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drawings/drawing1.xml" ContentType="application/vnd.openxmlformats-officedocument.drawing+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omments1.xml" ContentType="application/vnd.openxmlformats-officedocument.spreadsheetml.comments+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drawings/drawing2.xml" ContentType="application/vnd.openxmlformats-officedocument.drawing+xml"/>
  <Override PartName="/xl/comments2.xml" ContentType="application/vnd.openxmlformats-officedocument.spreadsheetml.comments+xml"/>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3.xml" ContentType="application/vnd.openxmlformats-officedocument.spreadsheetml.comments+xml"/>
  <Override PartName="/xl/threadedComments/threadedComment1.xml" ContentType="application/vnd.ms-excel.threadedcomments+xml"/>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omments4.xml" ContentType="application/vnd.openxmlformats-officedocument.spreadsheetml.comments+xml"/>
  <Override PartName="/xl/customProperty30.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olatileDependencies.xml" ContentType="application/vnd.openxmlformats-officedocument.spreadsheetml.volatileDependenc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never" codeName="ThisWorkbook" defaultThemeVersion="124226"/>
  <mc:AlternateContent xmlns:mc="http://schemas.openxmlformats.org/markup-compatibility/2006">
    <mc:Choice Requires="x15">
      <x15ac:absPath xmlns:x15ac="http://schemas.microsoft.com/office/spreadsheetml/2010/11/ac" url="\\firmwide.corp.gs.com\root\Projects\Research\au\Financials\BANKS\Models\Published\ANZ\"/>
    </mc:Choice>
  </mc:AlternateContent>
  <xr:revisionPtr revIDLastSave="0" documentId="13_ncr:1_{6C85FECB-0B6D-483A-B992-E1507021F24F}" xr6:coauthVersionLast="47" xr6:coauthVersionMax="47" xr10:uidLastSave="{00000000-0000-0000-0000-000000000000}"/>
  <bookViews>
    <workbookView xWindow="-28920" yWindow="1845" windowWidth="29040" windowHeight="15840" firstSheet="6" activeTab="6" xr2:uid="{CA0C0812-719D-47C5-AFE2-1AF1052C536B}"/>
  </bookViews>
  <sheets>
    <sheet name="_QP_ANZ.AX" sheetId="6" state="hidden" r:id="rId1"/>
    <sheet name="Sheet2" sheetId="15" state="hidden" r:id="rId2"/>
    <sheet name="Sheet1" sheetId="14" state="hidden" r:id="rId3"/>
    <sheet name="MigrationOutput_QP_ANZ.AX" sheetId="13" state="hidden" r:id="rId4"/>
    <sheet name="Cover Page" sheetId="27" state="hidden" r:id="rId5"/>
    <sheet name="QP_ANZ.AX_migrated" sheetId="8" state="hidden" r:id="rId6"/>
    <sheet name="Summary" sheetId="2" r:id="rId7"/>
    <sheet name="Model" sheetId="1" r:id="rId8"/>
    <sheet name="FinSum" sheetId="7" state="hidden" r:id="rId9"/>
    <sheet name="Financial Summary" sheetId="30" r:id="rId10"/>
    <sheet name="RIM" sheetId="16" state="hidden" r:id="rId11"/>
    <sheet name="Old" sheetId="4" state="hidden" r:id="rId12"/>
    <sheet name="Detailed P&amp;L" sheetId="31" r:id="rId13"/>
  </sheets>
  <functionGroups builtInGroupCount="19"/>
  <externalReferences>
    <externalReference r:id="rId14"/>
    <externalReference r:id="rId15"/>
    <externalReference r:id="rId16"/>
  </externalReferences>
  <definedNames>
    <definedName name="_bdm.6853ae974491421d8c8741a49da2d516.edm" hidden="1">'Financial Summary'!$1:$1048576</definedName>
    <definedName name="_bdm.90f80edeb5104123b680556941af8b06.edm" localSheetId="9" hidden="1">'Financial Summary'!$B$2:$O$57</definedName>
    <definedName name="_xleta.T" hidden="1" xlm="1">#NAME?</definedName>
    <definedName name="A_ALL_ANZ.AX" localSheetId="4">#REF!</definedName>
    <definedName name="A_ALL_ANZ.AX">#REF!</definedName>
    <definedName name="A_ALL_ANZ.AX_" localSheetId="4">#REF!</definedName>
    <definedName name="A_ALL_ANZ.AX_">#REF!</definedName>
    <definedName name="A_ALL_KEYWORDS_TYPE_ScalarContributed_EQTY_200004992" localSheetId="4">#REF!,#REF!,#REF!,#REF!</definedName>
    <definedName name="A_ALL_KEYWORDS_TYPE_ScalarContributed_EQTY_200004992">#REF!,#REF!,#REF!,#REF!,#REF!,#REF!,#REF!,#REF!,#REF!,#REF!,#REF!</definedName>
    <definedName name="A_ALL_KEYWORDS_TYPE_ScalarContributed_ISSR_208005522" localSheetId="4">#REF!,#REF!,#REF!</definedName>
    <definedName name="A_ALL_KEYWORDS_TYPE_ScalarContributed_ISSR_208005522">#REF!,#REF!</definedName>
    <definedName name="A_ALL_KEYWORDS_TYPE_Vector_EQTY_200004992" localSheetId="4">#REF!,#REF!,#REF!,#REF!,#REF!,#REF!,#REF!,#REF!,#REF!,#REF!,#REF!,#REF!,#REF!</definedName>
    <definedName name="A_ALL_KEYWORDS_TYPE_Vector_EQTY_200004992">#REF!,#REF!,#REF!,#REF!,#REF!,#REF!,#REF!,#REF!</definedName>
    <definedName name="A_ALL_KEYWORDS_TYPE_Vector_ISSR_208005522" localSheetId="4">#REF!,#REF!,#REF!,#REF!,#REF!,#REF!,#REF!,#REF!,#REF!,#REF!,#REF!,#REF!,#REF!,#REF!,#REF!,#REF!,#REF!,#REF!,#REF!,#REF!,#REF!,#REF!,#REF!,#REF!,#REF!,#REF!,#REF!,#REF!</definedName>
    <definedName name="A_ALL_KEYWORDS_TYPE_Vector_ISSR_208005522">#REF!,#REF!,#REF!,#REF!,#REF!,#REF!,#REF!,#REF!,#REF!,#REF!,#REF!,#REF!,#REF!,#REF!,#REF!,#REF!,#REF!,#REF!,#REF!,#REF!,#REF!,#REF!,#REF!,#REF!,#REF!,#REF!,#REF!,#REF!,#REF!,#REF!</definedName>
    <definedName name="A_ALL_SECTION_KEYWORDS_EQTY_200004992_1314" localSheetId="4">#REF!</definedName>
    <definedName name="A_ALL_SECTION_KEYWORDS_EQTY_200004992_1314">#REF!</definedName>
    <definedName name="A_ALL_SECTION_KEYWORDS_EQTY_200004992_1316A" localSheetId="4">#REF!</definedName>
    <definedName name="A_ALL_SECTION_KEYWORDS_EQTY_200004992_1316A">#REF!</definedName>
    <definedName name="A_ALL_SECTION_KEYWORDS_EQTY_200004992_1316B" localSheetId="4">#REF!</definedName>
    <definedName name="A_ALL_SECTION_KEYWORDS_EQTY_200004992_1316B">#REF!</definedName>
    <definedName name="A_ALL_SECTION_KEYWORDS_EQTY_200004992_1316C" localSheetId="4">#REF!</definedName>
    <definedName name="A_ALL_SECTION_KEYWORDS_EQTY_200004992_1316C">#REF!</definedName>
    <definedName name="A_ALL_SECTION_KEYWORDS_EQTY_200004992_1316E" localSheetId="4">#REF!</definedName>
    <definedName name="A_ALL_SECTION_KEYWORDS_EQTY_200004992_1316E">#REF!</definedName>
    <definedName name="A_ALL_SECTION_KEYWORDS_EQTY_200004992_1319" localSheetId="4">#REF!</definedName>
    <definedName name="A_ALL_SECTION_KEYWORDS_EQTY_200004992_1319">#REF!</definedName>
    <definedName name="A_ALL_SECTION_KEYWORDS_EQTY_200004992_131J" localSheetId="4">#REF!</definedName>
    <definedName name="A_ALL_SECTION_KEYWORDS_EQTY_200004992_131J">#REF!</definedName>
    <definedName name="A_ALL_SECTION_KEYWORDS_EQTY_200004992_131P" localSheetId="4">#REF!</definedName>
    <definedName name="A_ALL_SECTION_KEYWORDS_EQTY_200004992_131P">#REF!</definedName>
    <definedName name="A_ALL_SECTION_KEYWORDS_EQTY_200004992_13A" localSheetId="4">#REF!</definedName>
    <definedName name="A_ALL_SECTION_KEYWORDS_EQTY_200004992_13A">#REF!</definedName>
    <definedName name="A_ALL_SECTION_KEYWORDS_EQTY_200004992_13K" localSheetId="4">#REF!</definedName>
    <definedName name="A_ALL_SECTION_KEYWORDS_EQTY_200004992_13K">#REF!</definedName>
    <definedName name="A_ALL_SECTION_KEYWORDS_EQTY_200004992_13U" localSheetId="4">#REF!</definedName>
    <definedName name="A_ALL_SECTION_KEYWORDS_EQTY_200004992_13U">#REF!</definedName>
    <definedName name="A_ALL_SECTION_KEYWORDS_EQTY_200004992_13V" localSheetId="4">#REF!</definedName>
    <definedName name="A_ALL_SECTION_KEYWORDS_EQTY_200004992_13V">#REF!</definedName>
    <definedName name="A_ALL_SECTION_KEYWORDS_EQTY_200004992_13W" localSheetId="4">#REF!,#REF!</definedName>
    <definedName name="A_ALL_SECTION_KEYWORDS_EQTY_200004992_13W">#REF!,#REF!</definedName>
    <definedName name="A_ALL_SECTION_KEYWORDS_ISSR_208005522_0918E" localSheetId="4">#REF!,#REF!</definedName>
    <definedName name="A_ALL_SECTION_KEYWORDS_ISSR_208005522_0918E">#REF!,#REF!</definedName>
    <definedName name="A_ALL_SECTION_KEYWORDS_ISSR_208005522_1314" localSheetId="4">#REF!</definedName>
    <definedName name="A_ALL_SECTION_KEYWORDS_ISSR_208005522_1314">#REF!</definedName>
    <definedName name="A_ALL_SECTION_KEYWORDS_ISSR_208005522_13168" localSheetId="4">#REF!,#REF!</definedName>
    <definedName name="A_ALL_SECTION_KEYWORDS_ISSR_208005522_13168">#REF!,#REF!</definedName>
    <definedName name="A_ALL_SECTION_KEYWORDS_ISSR_208005522_1316B" localSheetId="4">#REF!</definedName>
    <definedName name="A_ALL_SECTION_KEYWORDS_ISSR_208005522_1316B">#REF!</definedName>
    <definedName name="A_ALL_SECTION_KEYWORDS_ISSR_208005522_1316C" localSheetId="4">#REF!</definedName>
    <definedName name="A_ALL_SECTION_KEYWORDS_ISSR_208005522_1316C">#REF!</definedName>
    <definedName name="A_ALL_SECTION_KEYWORDS_ISSR_208005522_1316E" localSheetId="4">#REF!</definedName>
    <definedName name="A_ALL_SECTION_KEYWORDS_ISSR_208005522_1316E">#REF!</definedName>
    <definedName name="A_ALL_SECTION_KEYWORDS_ISSR_208005522_1316U" localSheetId="4">#REF!</definedName>
    <definedName name="A_ALL_SECTION_KEYWORDS_ISSR_208005522_1316U">#REF!</definedName>
    <definedName name="A_ALL_SECTION_KEYWORDS_ISSR_208005522_1319" localSheetId="4">#REF!</definedName>
    <definedName name="A_ALL_SECTION_KEYWORDS_ISSR_208005522_1319">#REF!</definedName>
    <definedName name="A_ALL_SECTION_KEYWORDS_ISSR_208005522_131E" localSheetId="4">#REF!</definedName>
    <definedName name="A_ALL_SECTION_KEYWORDS_ISSR_208005522_131E">#REF!</definedName>
    <definedName name="A_ALL_SECTION_KEYWORDS_ISSR_208005522_131J" localSheetId="4">#REF!,#REF!</definedName>
    <definedName name="A_ALL_SECTION_KEYWORDS_ISSR_208005522_131J">#REF!,#REF!</definedName>
    <definedName name="A_ALL_SECTION_KEYWORDS_ISSR_208005522_131O" localSheetId="4">#REF!</definedName>
    <definedName name="A_ALL_SECTION_KEYWORDS_ISSR_208005522_131O">#REF!</definedName>
    <definedName name="A_ALL_SECTION_KEYWORDS_ISSR_208005522_131P" localSheetId="4">#REF!</definedName>
    <definedName name="A_ALL_SECTION_KEYWORDS_ISSR_208005522_131P">#REF!</definedName>
    <definedName name="A_ALL_SECTION_KEYWORDS_ISSR_208005522_133M" localSheetId="4">#REF!</definedName>
    <definedName name="A_ALL_SECTION_KEYWORDS_ISSR_208005522_133M">#REF!</definedName>
    <definedName name="A_ALL_SECTION_KEYWORDS_ISSR_208005522_133R" localSheetId="4">#REF!</definedName>
    <definedName name="A_ALL_SECTION_KEYWORDS_ISSR_208005522_133R">#REF!</definedName>
    <definedName name="A_ALL_SECTION_KEYWORDS_ISSR_208005522_133W" localSheetId="4">#REF!</definedName>
    <definedName name="A_ALL_SECTION_KEYWORDS_ISSR_208005522_133W">#REF!</definedName>
    <definedName name="A_ALL_SECTION_KEYWORDS_ISSR_208005522_1341" localSheetId="4">#REF!</definedName>
    <definedName name="A_ALL_SECTION_KEYWORDS_ISSR_208005522_1341">#REF!</definedName>
    <definedName name="A_ALL_SECTION_KEYWORDS_ISSR_208005522_1346" localSheetId="4">#REF!</definedName>
    <definedName name="A_ALL_SECTION_KEYWORDS_ISSR_208005522_1346">#REF!</definedName>
    <definedName name="A_ALL_SECTION_KEYWORDS_ISSR_208005522_134B" localSheetId="4">#REF!</definedName>
    <definedName name="A_ALL_SECTION_KEYWORDS_ISSR_208005522_134B">#REF!</definedName>
    <definedName name="A_ALL_SECTION_KEYWORDS_ISSR_208005522_134G" localSheetId="4">#REF!</definedName>
    <definedName name="A_ALL_SECTION_KEYWORDS_ISSR_208005522_134G">#REF!</definedName>
    <definedName name="A_ALL_SECTION_KEYWORDS_ISSR_208005522_134L" localSheetId="4">#REF!</definedName>
    <definedName name="A_ALL_SECTION_KEYWORDS_ISSR_208005522_134L">#REF!</definedName>
    <definedName name="A_ALL_SECTION_KEYWORDS_ISSR_208005522_134Q" localSheetId="4">#REF!</definedName>
    <definedName name="A_ALL_SECTION_KEYWORDS_ISSR_208005522_134Q">#REF!</definedName>
    <definedName name="A_ALL_SECTION_KEYWORDS_ISSR_208005522_134V" localSheetId="4">#REF!</definedName>
    <definedName name="A_ALL_SECTION_KEYWORDS_ISSR_208005522_134V">#REF!</definedName>
    <definedName name="A_ALL_SECTION_KEYWORDS_ISSR_208005522_1350" localSheetId="4">#REF!,#REF!</definedName>
    <definedName name="A_ALL_SECTION_KEYWORDS_ISSR_208005522_1350">#REF!,#REF!</definedName>
    <definedName name="A_ALL_SECTION_KEYWORDS_ISSR_208005522_1355" localSheetId="4">#REF!,#REF!</definedName>
    <definedName name="A_ALL_SECTION_KEYWORDS_ISSR_208005522_1355">#REF!,#REF!</definedName>
    <definedName name="A_ALL_SECTION_KEYWORDS_ISSR_208005522_135A" localSheetId="4">#REF!,#REF!</definedName>
    <definedName name="A_ALL_SECTION_KEYWORDS_ISSR_208005522_135A">#REF!,#REF!</definedName>
    <definedName name="A_ALL_SECTION_KEYWORDS_ISSR_208005522_135F" localSheetId="4">#REF!,#REF!</definedName>
    <definedName name="A_ALL_SECTION_KEYWORDS_ISSR_208005522_135F">#REF!,#REF!</definedName>
    <definedName name="A_ALL_SECTION_KEYWORDS_ISSR_208005522_135K" localSheetId="4">#REF!,#REF!</definedName>
    <definedName name="A_ALL_SECTION_KEYWORDS_ISSR_208005522_135K">#REF!,#REF!</definedName>
    <definedName name="A_ALL_SECTION_KEYWORDS_ISSR_208005522_135P" localSheetId="4">#REF!</definedName>
    <definedName name="A_ALL_SECTION_KEYWORDS_ISSR_208005522_135P">#REF!</definedName>
    <definedName name="A_ALL_SECTION_KEYWORDS_ISSR_208005522_135U" localSheetId="4">#REF!,#REF!</definedName>
    <definedName name="A_ALL_SECTION_KEYWORDS_ISSR_208005522_135U">#REF!,#REF!</definedName>
    <definedName name="A_ALL_SECTION_KEYWORDS_ISSR_208005522_135Z" localSheetId="4">#REF!,#REF!</definedName>
    <definedName name="A_ALL_SECTION_KEYWORDS_ISSR_208005522_135Z">#REF!,#REF!</definedName>
    <definedName name="A_ALL_SECTION_KEYWORDS_ISSR_208005522_13A" localSheetId="4">#REF!</definedName>
    <definedName name="A_ALL_SECTION_KEYWORDS_ISSR_208005522_13A">#REF!</definedName>
    <definedName name="A_ALL_SECTION_KEYWORDS_ISSR_208005522_13U" localSheetId="4">#REF!</definedName>
    <definedName name="A_ALL_SECTION_KEYWORDS_ISSR_208005522_13U">#REF!</definedName>
    <definedName name="A_ALL_SECTION_KEYWORDS_ISSR_208005522_13V" localSheetId="4">#REF!,#REF!</definedName>
    <definedName name="A_ALL_SECTION_KEYWORDS_ISSR_208005522_13V">#REF!</definedName>
    <definedName name="asset_sales" localSheetId="5">#REF!</definedName>
    <definedName name="assets_acceptances" localSheetId="5">#REF!</definedName>
    <definedName name="assets_total" localSheetId="5">#REF!</definedName>
    <definedName name="assets_total">#REF!</definedName>
    <definedName name="Aust_housing" localSheetId="5">#REF!</definedName>
    <definedName name="Aust_housing">#REF!</definedName>
    <definedName name="Aust_nonhousing" localSheetId="5">#REF!</definedName>
    <definedName name="Aust_Risk_Free" localSheetId="5">#REF!</definedName>
    <definedName name="average_assets" localSheetId="5">#REF!</definedName>
    <definedName name="average_assets">#REF!</definedName>
    <definedName name="average_equity" localSheetId="5">#REF!</definedName>
    <definedName name="average_equity">#REF!</definedName>
    <definedName name="average_gross_loans" localSheetId="5">#REF!</definedName>
    <definedName name="average_gross_loans">#REF!</definedName>
    <definedName name="average_interest_assets" localSheetId="5">#REF!</definedName>
    <definedName name="average_interest_liabilities" localSheetId="5">#REF!</definedName>
    <definedName name="Beta" localSheetId="4">#REF!</definedName>
    <definedName name="Beta" localSheetId="5">#REF!</definedName>
    <definedName name="Beta">#REF!</definedName>
    <definedName name="BeyondFCF" localSheetId="5">#REF!</definedName>
    <definedName name="BV" localSheetId="5">#REF!</definedName>
    <definedName name="BV">#REF!</definedName>
    <definedName name="capital_tier_1" localSheetId="5">#REF!</definedName>
    <definedName name="capital_tier_1">#REF!</definedName>
    <definedName name="capital_tier_2" localSheetId="5">#REF!</definedName>
    <definedName name="capital_tier_2">#REF!</definedName>
    <definedName name="cash_earnings" localSheetId="5">#REF!</definedName>
    <definedName name="cash_eps" localSheetId="5">#REF!</definedName>
    <definedName name="company_eps" localSheetId="5">#REF!</definedName>
    <definedName name="company_eps">#REF!</definedName>
    <definedName name="core_tier1" localSheetId="5">#REF!</definedName>
    <definedName name="core_tier1">#REF!</definedName>
    <definedName name="Core_tier1_ratio" localSheetId="5">#REF!</definedName>
    <definedName name="Core_tier1_ratio">#REF!</definedName>
    <definedName name="cost_income" localSheetId="5">#REF!</definedName>
    <definedName name="cost_income">#REF!</definedName>
    <definedName name="Cost_of_Equity" localSheetId="4">#REF!</definedName>
    <definedName name="Cost_of_Equity" localSheetId="5">#REF!</definedName>
    <definedName name="Cost_of_Equity">#REF!</definedName>
    <definedName name="CostDebt" localSheetId="5">#REF!</definedName>
    <definedName name="CostEquity" localSheetId="5">#REF!</definedName>
    <definedName name="Cwvu.Full_Year." hidden="1">#REF!,#REF!</definedName>
    <definedName name="Cwvu.Summary." hidden="1">#REF!,#REF!,#REF!,#REF!</definedName>
    <definedName name="DCF_INF" localSheetId="4">#REF!</definedName>
    <definedName name="DCF_INF" localSheetId="5">#REF!</definedName>
    <definedName name="DCF_INF">#REF!</definedName>
    <definedName name="DCF_Result" localSheetId="5">#REF!</definedName>
    <definedName name="DCF_WACC" localSheetId="4">#REF!</definedName>
    <definedName name="DCF_WACC" localSheetId="5">#REF!</definedName>
    <definedName name="DCF_WACC">#REF!</definedName>
    <definedName name="DDE" localSheetId="4">#REF!</definedName>
    <definedName name="DDE" localSheetId="5">#REF!</definedName>
    <definedName name="DDE">#REF!</definedName>
    <definedName name="depreciation" localSheetId="5">#REF!</definedName>
    <definedName name="depreciation">#REF!</definedName>
    <definedName name="dividend_income" localSheetId="5">#REF!</definedName>
    <definedName name="DPS" localSheetId="5">#REF!</definedName>
    <definedName name="DPS">#REF!</definedName>
    <definedName name="DRP_participation" localSheetId="5">#REF!</definedName>
    <definedName name="DS" localSheetId="5" hidden="1">{"Full_Year",#N/A,FALSE,"PE1_S";#N/A,#N/A,FALSE,"DIVIS_S"}</definedName>
    <definedName name="E_ALL_ANZ.AX" localSheetId="4">#REF!</definedName>
    <definedName name="E_ALL_ANZ.AX">#REF!</definedName>
    <definedName name="E_ALL_KEYWORDS_TYPE_ScalarContributed_EQTY_200004992" localSheetId="4">#REF!,#REF!,#REF!</definedName>
    <definedName name="E_ALL_KEYWORDS_TYPE_ScalarContributed_EQTY_200004992">#REF!,#REF!,#REF!</definedName>
    <definedName name="E_ALL_KEYWORDS_TYPE_ScalarContributed_ISSR_208005522" localSheetId="4">#REF!,#REF!,#REF!</definedName>
    <definedName name="E_ALL_KEYWORDS_TYPE_ScalarContributed_ISSR_208005522">#REF!,#REF!</definedName>
    <definedName name="E_ALL_KEYWORDS_TYPE_Vector_EQTY_200004992" localSheetId="4">#REF!,#REF!,#REF!,#REF!,#REF!,#REF!,#REF!,#REF!,#REF!,#REF!,#REF!,#REF!,#REF!</definedName>
    <definedName name="E_ALL_KEYWORDS_TYPE_Vector_EQTY_200004992">#REF!,#REF!,#REF!,#REF!,#REF!</definedName>
    <definedName name="E_ALL_KEYWORDS_TYPE_Vector_ISSR_208005522" localSheetId="4">#REF!,#REF!,#REF!,#REF!,#REF!,#REF!,#REF!,#REF!,#REF!,#REF!,#REF!,#REF!,#REF!,#REF!,#REF!,#REF!,#REF!,#REF!,#REF!,#REF!,#REF!,#REF!,#REF!,#REF!,#REF!,#REF!,#REF!,#REF!</definedName>
    <definedName name="E_ALL_KEYWORDS_TYPE_Vector_ISSR_208005522">#REF!,#REF!,#REF!,#REF!,#REF!,#REF!,#REF!,#REF!,#REF!,#REF!,#REF!,#REF!,#REF!,#REF!,#REF!,#REF!,#REF!,#REF!,#REF!,#REF!,#REF!,#REF!,#REF!,#REF!,#REF!,#REF!,#REF!</definedName>
    <definedName name="E_ALL_SECTION_KEYWORDS_EQTY_200004992_1319" localSheetId="4">#REF!</definedName>
    <definedName name="E_ALL_SECTION_KEYWORDS_EQTY_200004992_1319">#REF!</definedName>
    <definedName name="E_ALL_SECTION_KEYWORDS_EQTY_200004992_13A" localSheetId="4">#REF!</definedName>
    <definedName name="E_ALL_SECTION_KEYWORDS_EQTY_200004992_13A">#REF!</definedName>
    <definedName name="E_ALL_SECTION_KEYWORDS_EQTY_200004992_13K" localSheetId="4">#REF!</definedName>
    <definedName name="E_ALL_SECTION_KEYWORDS_EQTY_200004992_13K">#REF!</definedName>
    <definedName name="E_ALL_SECTION_KEYWORDS_EQTY_200004992_13U" localSheetId="4">#REF!</definedName>
    <definedName name="E_ALL_SECTION_KEYWORDS_EQTY_200004992_13U">#REF!</definedName>
    <definedName name="E_ALL_SECTION_KEYWORDS_EQTY_200004992_13W" localSheetId="4">#REF!,#REF!</definedName>
    <definedName name="E_ALL_SECTION_KEYWORDS_EQTY_200004992_13W">#REF!,#REF!</definedName>
    <definedName name="E_ALL_SECTION_KEYWORDS_ISSR_208005522_0918E" localSheetId="4">#REF!,#REF!</definedName>
    <definedName name="E_ALL_SECTION_KEYWORDS_ISSR_208005522_0918E">#REF!,#REF!</definedName>
    <definedName name="E_ALL_SECTION_KEYWORDS_ISSR_208005522_1314" localSheetId="4">#REF!</definedName>
    <definedName name="E_ALL_SECTION_KEYWORDS_ISSR_208005522_1314">#REF!</definedName>
    <definedName name="E_ALL_SECTION_KEYWORDS_ISSR_208005522_13168" localSheetId="4">#REF!,#REF!</definedName>
    <definedName name="E_ALL_SECTION_KEYWORDS_ISSR_208005522_13168">#REF!,#REF!</definedName>
    <definedName name="E_ALL_SECTION_KEYWORDS_ISSR_208005522_1316U" localSheetId="4">#REF!</definedName>
    <definedName name="E_ALL_SECTION_KEYWORDS_ISSR_208005522_1316U">#REF!</definedName>
    <definedName name="E_ALL_SECTION_KEYWORDS_ISSR_208005522_1319" localSheetId="4">#REF!</definedName>
    <definedName name="E_ALL_SECTION_KEYWORDS_ISSR_208005522_1319">#REF!</definedName>
    <definedName name="E_ALL_SECTION_KEYWORDS_ISSR_208005522_131E" localSheetId="4">#REF!</definedName>
    <definedName name="E_ALL_SECTION_KEYWORDS_ISSR_208005522_131E">#REF!</definedName>
    <definedName name="E_ALL_SECTION_KEYWORDS_ISSR_208005522_131J" localSheetId="4">#REF!,#REF!</definedName>
    <definedName name="E_ALL_SECTION_KEYWORDS_ISSR_208005522_131J">#REF!,#REF!</definedName>
    <definedName name="E_ALL_SECTION_KEYWORDS_ISSR_208005522_131O" localSheetId="4">#REF!</definedName>
    <definedName name="E_ALL_SECTION_KEYWORDS_ISSR_208005522_131O">#REF!</definedName>
    <definedName name="E_ALL_SECTION_KEYWORDS_ISSR_208005522_1350" localSheetId="4">#REF!,#REF!</definedName>
    <definedName name="E_ALL_SECTION_KEYWORDS_ISSR_208005522_1350">#REF!,#REF!</definedName>
    <definedName name="E_ALL_SECTION_KEYWORDS_ISSR_208005522_1355" localSheetId="4">#REF!,#REF!</definedName>
    <definedName name="E_ALL_SECTION_KEYWORDS_ISSR_208005522_1355">#REF!,#REF!</definedName>
    <definedName name="E_ALL_SECTION_KEYWORDS_ISSR_208005522_135A" localSheetId="4">#REF!,#REF!</definedName>
    <definedName name="E_ALL_SECTION_KEYWORDS_ISSR_208005522_135A">#REF!,#REF!</definedName>
    <definedName name="E_ALL_SECTION_KEYWORDS_ISSR_208005522_135F" localSheetId="4">#REF!,#REF!</definedName>
    <definedName name="E_ALL_SECTION_KEYWORDS_ISSR_208005522_135F">#REF!,#REF!</definedName>
    <definedName name="E_ALL_SECTION_KEYWORDS_ISSR_208005522_135K" localSheetId="4">#REF!,#REF!</definedName>
    <definedName name="E_ALL_SECTION_KEYWORDS_ISSR_208005522_135K">#REF!,#REF!</definedName>
    <definedName name="E_ALL_SECTION_KEYWORDS_ISSR_208005522_135P" localSheetId="4">#REF!</definedName>
    <definedName name="E_ALL_SECTION_KEYWORDS_ISSR_208005522_135P">#REF!</definedName>
    <definedName name="E_ALL_SECTION_KEYWORDS_ISSR_208005522_135U" localSheetId="4">#REF!,#REF!</definedName>
    <definedName name="E_ALL_SECTION_KEYWORDS_ISSR_208005522_135U">#REF!,#REF!</definedName>
    <definedName name="E_ALL_SECTION_KEYWORDS_ISSR_208005522_135Z" localSheetId="4">#REF!,#REF!</definedName>
    <definedName name="E_ALL_SECTION_KEYWORDS_ISSR_208005522_135Z">#REF!,#REF!</definedName>
    <definedName name="E_ALL_SECTION_KEYWORDS_ISSR_208005522_13U" localSheetId="4">#REF!</definedName>
    <definedName name="E_ALL_SECTION_KEYWORDS_ISSR_208005522_13U">#REF!</definedName>
    <definedName name="E_ALL_SECTION_KEYWORDS_ISSR_208005522_13V" localSheetId="4">#REF!,#REF!</definedName>
    <definedName name="E_ALL_SECTION_KEYWORDS_ISSR_208005522_13V">#REF!,#REF!</definedName>
    <definedName name="earnings_adjustment" localSheetId="5">#REF!</definedName>
    <definedName name="effective_tax_rate" localSheetId="5">#REF!</definedName>
    <definedName name="EFPOWA" localSheetId="5">#REF!</definedName>
    <definedName name="EFPOWA">#REF!</definedName>
    <definedName name="EFPOWA_basic" localSheetId="5">#REF!</definedName>
    <definedName name="equity" localSheetId="5">#REF!</definedName>
    <definedName name="equity">#REF!</definedName>
    <definedName name="equity_and_minorities" localSheetId="5">#REF!</definedName>
    <definedName name="equity_buyback" localSheetId="5">#REF!</definedName>
    <definedName name="equity_buyback">#REF!</definedName>
    <definedName name="equity_drp" localSheetId="5">#REF!</definedName>
    <definedName name="equity_drp">#REF!</definedName>
    <definedName name="equity_SPP" localSheetId="5">#REF!</definedName>
    <definedName name="equity_SPP">#REF!</definedName>
    <definedName name="ExchangeSheetLink" localSheetId="3">MigrationOutput_QP_ANZ.AX!$F$2</definedName>
    <definedName name="forex_income" localSheetId="5">#REF!</definedName>
    <definedName name="franking" localSheetId="5">#REF!</definedName>
    <definedName name="franking">#REF!</definedName>
    <definedName name="Free_funds" localSheetId="5">#REF!</definedName>
    <definedName name="funds_management" localSheetId="5">#REF!</definedName>
    <definedName name="GNAL" localSheetId="5">#REF!</definedName>
    <definedName name="GNAL">#REF!</definedName>
    <definedName name="goodwill" localSheetId="5">#REF!</definedName>
    <definedName name="goodwill">#REF!</definedName>
    <definedName name="gross_impaired_assets" localSheetId="5">#REF!</definedName>
    <definedName name="gross_impaired_assets">#REF!</definedName>
    <definedName name="gross_loans" localSheetId="5">#REF!</definedName>
    <definedName name="gross_loans">#REF!</definedName>
    <definedName name="HiddenSheetLink" localSheetId="3">MigrationOutput_QP_ANZ.AX!$F$3</definedName>
    <definedName name="housing_loans" localSheetId="5">#REF!</definedName>
    <definedName name="IFRS_adj_hedge" localSheetId="5">#REF!</definedName>
    <definedName name="IFRS_adj_revaluation" localSheetId="5">#REF!</definedName>
    <definedName name="IFRS_adj_treasury" localSheetId="5">#REF!</definedName>
    <definedName name="Imp_Credit" localSheetId="4">#REF!</definedName>
    <definedName name="Imp_Credit" localSheetId="5">#REF!</definedName>
    <definedName name="Imp_Credit">#REF!</definedName>
    <definedName name="income_tax" localSheetId="5">#REF!</definedName>
    <definedName name="intangibles" localSheetId="5">#REF!</definedName>
    <definedName name="intangibles">#REF!</definedName>
    <definedName name="interest_expense" localSheetId="5">#REF!</definedName>
    <definedName name="interest_expense">#REF!</definedName>
    <definedName name="interest_income" localSheetId="5">#REF!</definedName>
    <definedName name="interest_income">#REF!</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issued_shares" localSheetId="5">#REF!</definedName>
    <definedName name="issued_shares">#REF!</definedName>
    <definedName name="L_ALL_ANZ.AX" localSheetId="4">#REF!</definedName>
    <definedName name="L_ALL_ANZ.AX">#REF!</definedName>
    <definedName name="L_ALL_ANZ.AX_" localSheetId="4">#REF!</definedName>
    <definedName name="L_ALL_ANZ.AX_">#REF!</definedName>
    <definedName name="L_ALL_KEYWORDS_TYPE_ScalarContributed_EQTY_200004992" localSheetId="4">#REF!,#REF!,#REF!,#REF!</definedName>
    <definedName name="L_ALL_KEYWORDS_TYPE_ScalarContributed_EQTY_200004992">#REF!,#REF!,#REF!,#REF!,#REF!,#REF!,#REF!,#REF!,#REF!,#REF!,#REF!</definedName>
    <definedName name="L_ALL_KEYWORDS_TYPE_ScalarContributed_ISSR_208005522" localSheetId="4">#REF!,#REF!,#REF!</definedName>
    <definedName name="L_ALL_KEYWORDS_TYPE_ScalarContributed_ISSR_208005522">#REF!,#REF!</definedName>
    <definedName name="L_ALL_KEYWORDS_TYPE_Vector_EQTY_200004992" localSheetId="4">#REF!,#REF!,#REF!,#REF!,#REF!,#REF!,#REF!,#REF!,#REF!,#REF!,#REF!,#REF!,#REF!</definedName>
    <definedName name="L_ALL_KEYWORDS_TYPE_Vector_EQTY_200004992">#REF!,#REF!,#REF!,#REF!,#REF!,#REF!,#REF!,#REF!</definedName>
    <definedName name="L_ALL_KEYWORDS_TYPE_Vector_ISSR_208005522" localSheetId="4">#REF!,#REF!,#REF!,#REF!,#REF!,#REF!,#REF!,#REF!,#REF!,#REF!,#REF!,#REF!,#REF!,#REF!,#REF!,#REF!,#REF!,#REF!,#REF!,#REF!,#REF!,#REF!,#REF!,#REF!,#REF!,#REF!,#REF!,#REF!</definedName>
    <definedName name="L_ALL_KEYWORDS_TYPE_Vector_ISSR_208005522">#REF!,#REF!,#REF!,#REF!,#REF!,#REF!,#REF!,#REF!,#REF!,#REF!,#REF!,#REF!,#REF!,#REF!,#REF!,#REF!,#REF!,#REF!,#REF!,#REF!,#REF!,#REF!,#REF!,#REF!,#REF!,#REF!,#REF!,#REF!,#REF!,#REF!</definedName>
    <definedName name="L_ALL_SECTION_KEYWORDS_EQTY_200004992_1314" localSheetId="4">#REF!</definedName>
    <definedName name="L_ALL_SECTION_KEYWORDS_EQTY_200004992_1314">#REF!</definedName>
    <definedName name="L_ALL_SECTION_KEYWORDS_EQTY_200004992_1316A" localSheetId="4">#REF!</definedName>
    <definedName name="L_ALL_SECTION_KEYWORDS_EQTY_200004992_1316A">#REF!</definedName>
    <definedName name="L_ALL_SECTION_KEYWORDS_EQTY_200004992_1316B" localSheetId="4">#REF!</definedName>
    <definedName name="L_ALL_SECTION_KEYWORDS_EQTY_200004992_1316B">#REF!</definedName>
    <definedName name="L_ALL_SECTION_KEYWORDS_EQTY_200004992_1316C" localSheetId="4">#REF!</definedName>
    <definedName name="L_ALL_SECTION_KEYWORDS_EQTY_200004992_1316C">#REF!</definedName>
    <definedName name="L_ALL_SECTION_KEYWORDS_EQTY_200004992_1316E" localSheetId="4">#REF!</definedName>
    <definedName name="L_ALL_SECTION_KEYWORDS_EQTY_200004992_1316E">#REF!</definedName>
    <definedName name="L_ALL_SECTION_KEYWORDS_EQTY_200004992_1319" localSheetId="4">#REF!</definedName>
    <definedName name="L_ALL_SECTION_KEYWORDS_EQTY_200004992_1319">#REF!</definedName>
    <definedName name="L_ALL_SECTION_KEYWORDS_EQTY_200004992_131J" localSheetId="4">#REF!</definedName>
    <definedName name="L_ALL_SECTION_KEYWORDS_EQTY_200004992_131J">#REF!</definedName>
    <definedName name="L_ALL_SECTION_KEYWORDS_EQTY_200004992_131P" localSheetId="4">#REF!</definedName>
    <definedName name="L_ALL_SECTION_KEYWORDS_EQTY_200004992_131P">#REF!</definedName>
    <definedName name="L_ALL_SECTION_KEYWORDS_EQTY_200004992_13A" localSheetId="4">#REF!</definedName>
    <definedName name="L_ALL_SECTION_KEYWORDS_EQTY_200004992_13A">#REF!</definedName>
    <definedName name="L_ALL_SECTION_KEYWORDS_EQTY_200004992_13K" localSheetId="4">#REF!</definedName>
    <definedName name="L_ALL_SECTION_KEYWORDS_EQTY_200004992_13K">#REF!</definedName>
    <definedName name="L_ALL_SECTION_KEYWORDS_EQTY_200004992_13U" localSheetId="4">#REF!</definedName>
    <definedName name="L_ALL_SECTION_KEYWORDS_EQTY_200004992_13U">#REF!</definedName>
    <definedName name="L_ALL_SECTION_KEYWORDS_EQTY_200004992_13V" localSheetId="4">#REF!</definedName>
    <definedName name="L_ALL_SECTION_KEYWORDS_EQTY_200004992_13V">#REF!</definedName>
    <definedName name="L_ALL_SECTION_KEYWORDS_EQTY_200004992_13W" localSheetId="4">#REF!,#REF!</definedName>
    <definedName name="L_ALL_SECTION_KEYWORDS_EQTY_200004992_13W">#REF!,#REF!</definedName>
    <definedName name="L_ALL_SECTION_KEYWORDS_ISSR_208005522_0918E" localSheetId="4">#REF!,#REF!</definedName>
    <definedName name="L_ALL_SECTION_KEYWORDS_ISSR_208005522_0918E">#REF!,#REF!</definedName>
    <definedName name="L_ALL_SECTION_KEYWORDS_ISSR_208005522_1314" localSheetId="4">#REF!</definedName>
    <definedName name="L_ALL_SECTION_KEYWORDS_ISSR_208005522_1314">#REF!</definedName>
    <definedName name="L_ALL_SECTION_KEYWORDS_ISSR_208005522_13168" localSheetId="4">#REF!,#REF!</definedName>
    <definedName name="L_ALL_SECTION_KEYWORDS_ISSR_208005522_13168">#REF!,#REF!</definedName>
    <definedName name="L_ALL_SECTION_KEYWORDS_ISSR_208005522_1316B" localSheetId="4">#REF!</definedName>
    <definedName name="L_ALL_SECTION_KEYWORDS_ISSR_208005522_1316B">#REF!</definedName>
    <definedName name="L_ALL_SECTION_KEYWORDS_ISSR_208005522_1316C" localSheetId="4">#REF!</definedName>
    <definedName name="L_ALL_SECTION_KEYWORDS_ISSR_208005522_1316C">#REF!</definedName>
    <definedName name="L_ALL_SECTION_KEYWORDS_ISSR_208005522_1316E" localSheetId="4">#REF!</definedName>
    <definedName name="L_ALL_SECTION_KEYWORDS_ISSR_208005522_1316E">#REF!</definedName>
    <definedName name="L_ALL_SECTION_KEYWORDS_ISSR_208005522_1316U" localSheetId="4">#REF!</definedName>
    <definedName name="L_ALL_SECTION_KEYWORDS_ISSR_208005522_1316U">#REF!</definedName>
    <definedName name="L_ALL_SECTION_KEYWORDS_ISSR_208005522_1319" localSheetId="4">#REF!</definedName>
    <definedName name="L_ALL_SECTION_KEYWORDS_ISSR_208005522_1319">#REF!</definedName>
    <definedName name="L_ALL_SECTION_KEYWORDS_ISSR_208005522_131E" localSheetId="4">#REF!</definedName>
    <definedName name="L_ALL_SECTION_KEYWORDS_ISSR_208005522_131E">#REF!</definedName>
    <definedName name="L_ALL_SECTION_KEYWORDS_ISSR_208005522_131J" localSheetId="4">#REF!,#REF!</definedName>
    <definedName name="L_ALL_SECTION_KEYWORDS_ISSR_208005522_131J">#REF!,#REF!</definedName>
    <definedName name="L_ALL_SECTION_KEYWORDS_ISSR_208005522_131O" localSheetId="4">#REF!</definedName>
    <definedName name="L_ALL_SECTION_KEYWORDS_ISSR_208005522_131O">#REF!</definedName>
    <definedName name="L_ALL_SECTION_KEYWORDS_ISSR_208005522_131P" localSheetId="4">#REF!</definedName>
    <definedName name="L_ALL_SECTION_KEYWORDS_ISSR_208005522_131P">#REF!</definedName>
    <definedName name="L_ALL_SECTION_KEYWORDS_ISSR_208005522_133M" localSheetId="4">#REF!</definedName>
    <definedName name="L_ALL_SECTION_KEYWORDS_ISSR_208005522_133M">#REF!</definedName>
    <definedName name="L_ALL_SECTION_KEYWORDS_ISSR_208005522_133R" localSheetId="4">#REF!</definedName>
    <definedName name="L_ALL_SECTION_KEYWORDS_ISSR_208005522_133R">#REF!</definedName>
    <definedName name="L_ALL_SECTION_KEYWORDS_ISSR_208005522_133W" localSheetId="4">#REF!</definedName>
    <definedName name="L_ALL_SECTION_KEYWORDS_ISSR_208005522_133W">#REF!</definedName>
    <definedName name="L_ALL_SECTION_KEYWORDS_ISSR_208005522_1341" localSheetId="4">#REF!</definedName>
    <definedName name="L_ALL_SECTION_KEYWORDS_ISSR_208005522_1341">#REF!</definedName>
    <definedName name="L_ALL_SECTION_KEYWORDS_ISSR_208005522_1346" localSheetId="4">#REF!</definedName>
    <definedName name="L_ALL_SECTION_KEYWORDS_ISSR_208005522_1346">#REF!</definedName>
    <definedName name="L_ALL_SECTION_KEYWORDS_ISSR_208005522_134B" localSheetId="4">#REF!</definedName>
    <definedName name="L_ALL_SECTION_KEYWORDS_ISSR_208005522_134B">#REF!</definedName>
    <definedName name="L_ALL_SECTION_KEYWORDS_ISSR_208005522_134G" localSheetId="4">#REF!</definedName>
    <definedName name="L_ALL_SECTION_KEYWORDS_ISSR_208005522_134G">#REF!</definedName>
    <definedName name="L_ALL_SECTION_KEYWORDS_ISSR_208005522_134L" localSheetId="4">#REF!</definedName>
    <definedName name="L_ALL_SECTION_KEYWORDS_ISSR_208005522_134L">#REF!</definedName>
    <definedName name="L_ALL_SECTION_KEYWORDS_ISSR_208005522_134Q" localSheetId="4">#REF!</definedName>
    <definedName name="L_ALL_SECTION_KEYWORDS_ISSR_208005522_134Q">#REF!</definedName>
    <definedName name="L_ALL_SECTION_KEYWORDS_ISSR_208005522_134V" localSheetId="4">#REF!</definedName>
    <definedName name="L_ALL_SECTION_KEYWORDS_ISSR_208005522_134V">#REF!</definedName>
    <definedName name="L_ALL_SECTION_KEYWORDS_ISSR_208005522_1350" localSheetId="4">#REF!,#REF!</definedName>
    <definedName name="L_ALL_SECTION_KEYWORDS_ISSR_208005522_1350">#REF!,#REF!</definedName>
    <definedName name="L_ALL_SECTION_KEYWORDS_ISSR_208005522_1355" localSheetId="4">#REF!,#REF!</definedName>
    <definedName name="L_ALL_SECTION_KEYWORDS_ISSR_208005522_1355">#REF!,#REF!</definedName>
    <definedName name="L_ALL_SECTION_KEYWORDS_ISSR_208005522_135A" localSheetId="4">#REF!,#REF!</definedName>
    <definedName name="L_ALL_SECTION_KEYWORDS_ISSR_208005522_135A">#REF!,#REF!</definedName>
    <definedName name="L_ALL_SECTION_KEYWORDS_ISSR_208005522_135F" localSheetId="4">#REF!,#REF!</definedName>
    <definedName name="L_ALL_SECTION_KEYWORDS_ISSR_208005522_135F">#REF!,#REF!</definedName>
    <definedName name="L_ALL_SECTION_KEYWORDS_ISSR_208005522_135K" localSheetId="4">#REF!,#REF!</definedName>
    <definedName name="L_ALL_SECTION_KEYWORDS_ISSR_208005522_135K">#REF!,#REF!</definedName>
    <definedName name="L_ALL_SECTION_KEYWORDS_ISSR_208005522_135P" localSheetId="4">#REF!</definedName>
    <definedName name="L_ALL_SECTION_KEYWORDS_ISSR_208005522_135P">#REF!</definedName>
    <definedName name="L_ALL_SECTION_KEYWORDS_ISSR_208005522_135U" localSheetId="4">#REF!,#REF!</definedName>
    <definedName name="L_ALL_SECTION_KEYWORDS_ISSR_208005522_135U">#REF!,#REF!</definedName>
    <definedName name="L_ALL_SECTION_KEYWORDS_ISSR_208005522_135Z" localSheetId="4">#REF!,#REF!</definedName>
    <definedName name="L_ALL_SECTION_KEYWORDS_ISSR_208005522_135Z">#REF!,#REF!</definedName>
    <definedName name="L_ALL_SECTION_KEYWORDS_ISSR_208005522_13A" localSheetId="4">#REF!</definedName>
    <definedName name="L_ALL_SECTION_KEYWORDS_ISSR_208005522_13A">#REF!</definedName>
    <definedName name="L_ALL_SECTION_KEYWORDS_ISSR_208005522_13U" localSheetId="4">#REF!</definedName>
    <definedName name="L_ALL_SECTION_KEYWORDS_ISSR_208005522_13U">#REF!</definedName>
    <definedName name="L_ALL_SECTION_KEYWORDS_ISSR_208005522_13V" localSheetId="4">#REF!,#REF!</definedName>
    <definedName name="L_ALL_SECTION_KEYWORDS_ISSR_208005522_13V">#REF!</definedName>
    <definedName name="LastProblemKeyword" localSheetId="3">MigrationOutput_QP_ANZ.AX!$B$7:$F$7</definedName>
    <definedName name="lending_fees" localSheetId="5">#REF!</definedName>
    <definedName name="liabilities_deposits" localSheetId="5">#REF!</definedName>
    <definedName name="liabilities_total" localSheetId="5">#REF!</definedName>
    <definedName name="margin" localSheetId="5">#REF!</definedName>
    <definedName name="minorities" localSheetId="5">#REF!</definedName>
    <definedName name="net_gains_investment" localSheetId="5">#REF!</definedName>
    <definedName name="net_interest_income" localSheetId="5">#REF!</definedName>
    <definedName name="net_loans_company" localSheetId="5">#REF!</definedName>
    <definedName name="non_interest_expense" localSheetId="5">#REF!</definedName>
    <definedName name="non_interest_income" localSheetId="5">#REF!</definedName>
    <definedName name="NTA" localSheetId="5">#REF!</definedName>
    <definedName name="NTA">#REF!</definedName>
    <definedName name="OEI" localSheetId="5">#REF!</definedName>
    <definedName name="other_commissions" localSheetId="5">#REF!</definedName>
    <definedName name="Other_expense" localSheetId="5">#REF!</definedName>
    <definedName name="past_90" localSheetId="5">#REF!</definedName>
    <definedName name="past_90">#REF!</definedName>
    <definedName name="period" localSheetId="5">#REF!</definedName>
    <definedName name="personnel" localSheetId="5">#REF!</definedName>
    <definedName name="pre_tax_profit" localSheetId="5">#REF!</definedName>
    <definedName name="pre_tax_profit">#REF!</definedName>
    <definedName name="pref_divs_post_tax" localSheetId="5">#REF!</definedName>
    <definedName name="pref_divs_pre_tax" localSheetId="5">#REF!</definedName>
    <definedName name="premises_expense" localSheetId="5">#REF!</definedName>
    <definedName name="_xlnm.Print_Area" localSheetId="8">FinSum!$E$5:$Q$85</definedName>
    <definedName name="_xlnm.Print_Area" localSheetId="7">Model!$B$1:$DD$853</definedName>
    <definedName name="_xlnm.Print_Area" localSheetId="10">RIM!$C$1:$AD$59</definedName>
    <definedName name="_xlnm.Print_Area" localSheetId="6">Summary!$B$2:$L$54,Summary!$B$57:$L$115,Summary!$B$118:$L$154,Summary!#REF!</definedName>
    <definedName name="_xlnm.Print_Titles" localSheetId="7">Model!$B:$B,Model!$1:$6</definedName>
    <definedName name="_xlnm.Print_Titles" localSheetId="6">Summary!$2:$11</definedName>
    <definedName name="provisioning" localSheetId="5">#REF!</definedName>
    <definedName name="provisioning_specific" localSheetId="5">#REF!</definedName>
    <definedName name="provisions_general" localSheetId="5">#REF!</definedName>
    <definedName name="provisions_general">#REF!</definedName>
    <definedName name="provisions_specific" localSheetId="5">#REF!</definedName>
    <definedName name="provisions_specific">#REF!</definedName>
    <definedName name="PT_Price" localSheetId="4">#REF!</definedName>
    <definedName name="PT_Price" localSheetId="5">#REF!</definedName>
    <definedName name="PT_Price">#REF!</definedName>
    <definedName name="PVCF" localSheetId="4">#REF!</definedName>
    <definedName name="PVCF" localSheetId="5">#REF!</definedName>
    <definedName name="PVCF">#REF!</definedName>
    <definedName name="recoveries" localSheetId="5">#REF!</definedName>
    <definedName name="recoveries">#REF!</definedName>
    <definedName name="reported_profit" localSheetId="5">#REF!</definedName>
    <definedName name="Risk_Premium" localSheetId="5">#REF!</definedName>
    <definedName name="ROE" localSheetId="5">#REF!</definedName>
    <definedName name="ROE">#REF!</definedName>
    <definedName name="RWA" localSheetId="5">#REF!</definedName>
    <definedName name="RWA">#REF!</definedName>
    <definedName name="RWA_credit" localSheetId="5">#REF!</definedName>
    <definedName name="RWA_credit">#REF!</definedName>
    <definedName name="Rwvu.Full_Year." hidden="1">#REF!,#REF!,#REF!</definedName>
    <definedName name="salaries" localSheetId="5">#REF!</definedName>
    <definedName name="Scatter_Data_1">"$F$4:$N$5"</definedName>
    <definedName name="Scatter_Data_2">"$F$4:$N$5"</definedName>
    <definedName name="Scatter_Data_3">"$F$4:$N$5"</definedName>
    <definedName name="Scatter_Data_4">"$F$4:$N$5"</definedName>
    <definedName name="Scatter_Data_5">"$L$10:$O$103"</definedName>
    <definedName name="Scatter_Data_6">"$L$10:$O$103"</definedName>
    <definedName name="Scatter_Data_7">"$F$4:$N$5"</definedName>
    <definedName name="shareholder_funds" localSheetId="5">#REF!</definedName>
    <definedName name="significant_items_company" localSheetId="5">#REF!</definedName>
    <definedName name="spread" localSheetId="5">#REF!</definedName>
    <definedName name="staff" localSheetId="5">#REF!</definedName>
    <definedName name="staff">#REF!</definedName>
    <definedName name="staff_other" localSheetId="5">#REF!</definedName>
    <definedName name="Tier_1_hybrids" localSheetId="5">#REF!</definedName>
    <definedName name="Tier_1_hybrids">#REF!</definedName>
    <definedName name="tier_1_ratio" localSheetId="5">#REF!</definedName>
    <definedName name="tier_1_ratio">#REF!</definedName>
    <definedName name="tier_2_ratio" localSheetId="5">#REF!</definedName>
    <definedName name="Tier1" localSheetId="4">#REF!</definedName>
    <definedName name="Tier1" localSheetId="5">#REF!</definedName>
    <definedName name="Tier1">#REF!</definedName>
    <definedName name="Tigr_Exhibit480a7ef5_0fd4_4624_bc55_87ec8c9300b8" localSheetId="4" hidden="1">#REF!</definedName>
    <definedName name="Tigr_Exhibit480a7ef5_0fd4_4624_bc55_87ec8c9300b8" hidden="1">FinSum!$E$4:$Q$83</definedName>
    <definedName name="Tigr_Exhibited97845e_7962_47b8_b778_8788b41b6d02" localSheetId="4" hidden="1">#REF!</definedName>
    <definedName name="Tigr_Exhibited97845e_7962_47b8_b778_8788b41b6d02" hidden="1">FinSum!$E$4:$Q$82</definedName>
    <definedName name="Total_capital" localSheetId="5">#REF!</definedName>
    <definedName name="Total_capital">#REF!</definedName>
    <definedName name="total_capital_ratio" localSheetId="5">#REF!</definedName>
    <definedName name="total_fee" localSheetId="5">#REF!</definedName>
    <definedName name="total_fee">#REF!</definedName>
    <definedName name="total_interest_assets" localSheetId="5">#REF!</definedName>
    <definedName name="total_interest_assets">#REF!</definedName>
    <definedName name="total_revenue" localSheetId="5">#REF!</definedName>
    <definedName name="total_revenue">#REF!</definedName>
    <definedName name="trading_income" localSheetId="5">#REF!</definedName>
    <definedName name="trading_income">#REF!</definedName>
    <definedName name="underlying_performance" localSheetId="5">#REF!</definedName>
    <definedName name="V_ALL_ANZ.AX" localSheetId="4">#REF!</definedName>
    <definedName name="V_ALL_ANZ.AX">#REF!</definedName>
    <definedName name="V_ALL_ANZ.AX_" localSheetId="4">#REF!</definedName>
    <definedName name="V_ALL_ANZ.AX_">#REF!</definedName>
    <definedName name="V_ALL_KEYWORDS_TYPE_ScalarContributed_EQTY_200004992" localSheetId="4">#REF!,#REF!,#REF!,#REF!</definedName>
    <definedName name="V_ALL_KEYWORDS_TYPE_ScalarContributed_EQTY_200004992">#REF!,#REF!,#REF!,#REF!,#REF!,#REF!,#REF!,#REF!,#REF!,#REF!,#REF!</definedName>
    <definedName name="V_ALL_KEYWORDS_TYPE_ScalarContributed_ISSR_208005522" localSheetId="4">#REF!,#REF!,#REF!</definedName>
    <definedName name="V_ALL_KEYWORDS_TYPE_ScalarContributed_ISSR_208005522">#REF!,#REF!</definedName>
    <definedName name="V_ALL_KEYWORDS_TYPE_Vector_EQTY_200004992" localSheetId="4">#REF!,#REF!,#REF!,#REF!,#REF!,#REF!,#REF!,#REF!,#REF!,#REF!,#REF!,#REF!,#REF!</definedName>
    <definedName name="V_ALL_KEYWORDS_TYPE_Vector_EQTY_200004992">#REF!,#REF!,#REF!,#REF!,#REF!,#REF!,#REF!,#REF!</definedName>
    <definedName name="V_ALL_KEYWORDS_TYPE_Vector_ISSR_208005522" localSheetId="4">#REF!,#REF!,#REF!,#REF!,#REF!,#REF!,#REF!,#REF!,#REF!,#REF!,#REF!,#REF!,#REF!,#REF!,#REF!,#REF!,#REF!,#REF!,#REF!,#REF!,#REF!,#REF!,#REF!,#REF!,#REF!,#REF!,#REF!,#REF!</definedName>
    <definedName name="V_ALL_KEYWORDS_TYPE_Vector_ISSR_208005522">#REF!,#REF!,#REF!,#REF!,#REF!,#REF!,#REF!,#REF!,#REF!,#REF!,#REF!,#REF!,#REF!,#REF!,#REF!,#REF!,#REF!,#REF!,#REF!,#REF!,#REF!,#REF!,#REF!,#REF!,#REF!,#REF!,#REF!,#REF!,#REF!,#REF!</definedName>
    <definedName name="V_ALL_SECTION_KEYWORDS_EQTY_200004992_1314" localSheetId="4">#REF!</definedName>
    <definedName name="V_ALL_SECTION_KEYWORDS_EQTY_200004992_1314">#REF!</definedName>
    <definedName name="V_ALL_SECTION_KEYWORDS_EQTY_200004992_1316A" localSheetId="4">#REF!</definedName>
    <definedName name="V_ALL_SECTION_KEYWORDS_EQTY_200004992_1316A">#REF!</definedName>
    <definedName name="V_ALL_SECTION_KEYWORDS_EQTY_200004992_1316B" localSheetId="4">#REF!</definedName>
    <definedName name="V_ALL_SECTION_KEYWORDS_EQTY_200004992_1316B">#REF!</definedName>
    <definedName name="V_ALL_SECTION_KEYWORDS_EQTY_200004992_1316C" localSheetId="4">#REF!</definedName>
    <definedName name="V_ALL_SECTION_KEYWORDS_EQTY_200004992_1316C">#REF!</definedName>
    <definedName name="V_ALL_SECTION_KEYWORDS_EQTY_200004992_1316E" localSheetId="4">#REF!</definedName>
    <definedName name="V_ALL_SECTION_KEYWORDS_EQTY_200004992_1316E">#REF!</definedName>
    <definedName name="V_ALL_SECTION_KEYWORDS_EQTY_200004992_1319" localSheetId="4">#REF!</definedName>
    <definedName name="V_ALL_SECTION_KEYWORDS_EQTY_200004992_1319">#REF!</definedName>
    <definedName name="V_ALL_SECTION_KEYWORDS_EQTY_200004992_131J" localSheetId="4">#REF!</definedName>
    <definedName name="V_ALL_SECTION_KEYWORDS_EQTY_200004992_131J">#REF!</definedName>
    <definedName name="V_ALL_SECTION_KEYWORDS_EQTY_200004992_131P" localSheetId="4">#REF!</definedName>
    <definedName name="V_ALL_SECTION_KEYWORDS_EQTY_200004992_131P">#REF!</definedName>
    <definedName name="V_ALL_SECTION_KEYWORDS_EQTY_200004992_13A" localSheetId="4">#REF!</definedName>
    <definedName name="V_ALL_SECTION_KEYWORDS_EQTY_200004992_13A">#REF!</definedName>
    <definedName name="V_ALL_SECTION_KEYWORDS_EQTY_200004992_13K" localSheetId="4">#REF!</definedName>
    <definedName name="V_ALL_SECTION_KEYWORDS_EQTY_200004992_13K">#REF!</definedName>
    <definedName name="V_ALL_SECTION_KEYWORDS_EQTY_200004992_13U" localSheetId="4">#REF!</definedName>
    <definedName name="V_ALL_SECTION_KEYWORDS_EQTY_200004992_13U">#REF!</definedName>
    <definedName name="V_ALL_SECTION_KEYWORDS_EQTY_200004992_13V" localSheetId="4">#REF!</definedName>
    <definedName name="V_ALL_SECTION_KEYWORDS_EQTY_200004992_13V">#REF!</definedName>
    <definedName name="V_ALL_SECTION_KEYWORDS_EQTY_200004992_13W" localSheetId="4">#REF!,#REF!</definedName>
    <definedName name="V_ALL_SECTION_KEYWORDS_EQTY_200004992_13W">#REF!,#REF!</definedName>
    <definedName name="V_ALL_SECTION_KEYWORDS_ISSR_208005522_0918E" localSheetId="4">#REF!,#REF!</definedName>
    <definedName name="V_ALL_SECTION_KEYWORDS_ISSR_208005522_0918E">#REF!,#REF!</definedName>
    <definedName name="V_ALL_SECTION_KEYWORDS_ISSR_208005522_1314" localSheetId="4">#REF!</definedName>
    <definedName name="V_ALL_SECTION_KEYWORDS_ISSR_208005522_1314">#REF!</definedName>
    <definedName name="V_ALL_SECTION_KEYWORDS_ISSR_208005522_13168" localSheetId="4">#REF!,#REF!</definedName>
    <definedName name="V_ALL_SECTION_KEYWORDS_ISSR_208005522_13168">#REF!,#REF!</definedName>
    <definedName name="V_ALL_SECTION_KEYWORDS_ISSR_208005522_1316B" localSheetId="4">#REF!</definedName>
    <definedName name="V_ALL_SECTION_KEYWORDS_ISSR_208005522_1316B">#REF!</definedName>
    <definedName name="V_ALL_SECTION_KEYWORDS_ISSR_208005522_1316C" localSheetId="4">#REF!</definedName>
    <definedName name="V_ALL_SECTION_KEYWORDS_ISSR_208005522_1316C">#REF!</definedName>
    <definedName name="V_ALL_SECTION_KEYWORDS_ISSR_208005522_1316E" localSheetId="4">#REF!</definedName>
    <definedName name="V_ALL_SECTION_KEYWORDS_ISSR_208005522_1316E">#REF!</definedName>
    <definedName name="V_ALL_SECTION_KEYWORDS_ISSR_208005522_1316U" localSheetId="4">#REF!</definedName>
    <definedName name="V_ALL_SECTION_KEYWORDS_ISSR_208005522_1316U">#REF!</definedName>
    <definedName name="V_ALL_SECTION_KEYWORDS_ISSR_208005522_1319" localSheetId="4">#REF!</definedName>
    <definedName name="V_ALL_SECTION_KEYWORDS_ISSR_208005522_1319">#REF!</definedName>
    <definedName name="V_ALL_SECTION_KEYWORDS_ISSR_208005522_131E" localSheetId="4">#REF!</definedName>
    <definedName name="V_ALL_SECTION_KEYWORDS_ISSR_208005522_131E">#REF!</definedName>
    <definedName name="V_ALL_SECTION_KEYWORDS_ISSR_208005522_131J" localSheetId="4">#REF!,#REF!</definedName>
    <definedName name="V_ALL_SECTION_KEYWORDS_ISSR_208005522_131J">#REF!,#REF!</definedName>
    <definedName name="V_ALL_SECTION_KEYWORDS_ISSR_208005522_131O" localSheetId="4">#REF!</definedName>
    <definedName name="V_ALL_SECTION_KEYWORDS_ISSR_208005522_131O">#REF!</definedName>
    <definedName name="V_ALL_SECTION_KEYWORDS_ISSR_208005522_131P" localSheetId="4">#REF!</definedName>
    <definedName name="V_ALL_SECTION_KEYWORDS_ISSR_208005522_131P">#REF!</definedName>
    <definedName name="V_ALL_SECTION_KEYWORDS_ISSR_208005522_133M" localSheetId="4">#REF!</definedName>
    <definedName name="V_ALL_SECTION_KEYWORDS_ISSR_208005522_133M">#REF!</definedName>
    <definedName name="V_ALL_SECTION_KEYWORDS_ISSR_208005522_133R" localSheetId="4">#REF!</definedName>
    <definedName name="V_ALL_SECTION_KEYWORDS_ISSR_208005522_133R">#REF!</definedName>
    <definedName name="V_ALL_SECTION_KEYWORDS_ISSR_208005522_133W" localSheetId="4">#REF!</definedName>
    <definedName name="V_ALL_SECTION_KEYWORDS_ISSR_208005522_133W">#REF!</definedName>
    <definedName name="V_ALL_SECTION_KEYWORDS_ISSR_208005522_1341" localSheetId="4">#REF!</definedName>
    <definedName name="V_ALL_SECTION_KEYWORDS_ISSR_208005522_1341">#REF!</definedName>
    <definedName name="V_ALL_SECTION_KEYWORDS_ISSR_208005522_1346" localSheetId="4">#REF!</definedName>
    <definedName name="V_ALL_SECTION_KEYWORDS_ISSR_208005522_1346">#REF!</definedName>
    <definedName name="V_ALL_SECTION_KEYWORDS_ISSR_208005522_134B" localSheetId="4">#REF!</definedName>
    <definedName name="V_ALL_SECTION_KEYWORDS_ISSR_208005522_134B">#REF!</definedName>
    <definedName name="V_ALL_SECTION_KEYWORDS_ISSR_208005522_134G" localSheetId="4">#REF!</definedName>
    <definedName name="V_ALL_SECTION_KEYWORDS_ISSR_208005522_134G">#REF!</definedName>
    <definedName name="V_ALL_SECTION_KEYWORDS_ISSR_208005522_134L" localSheetId="4">#REF!</definedName>
    <definedName name="V_ALL_SECTION_KEYWORDS_ISSR_208005522_134L">#REF!</definedName>
    <definedName name="V_ALL_SECTION_KEYWORDS_ISSR_208005522_134Q" localSheetId="4">#REF!</definedName>
    <definedName name="V_ALL_SECTION_KEYWORDS_ISSR_208005522_134Q">#REF!</definedName>
    <definedName name="V_ALL_SECTION_KEYWORDS_ISSR_208005522_134V" localSheetId="4">#REF!</definedName>
    <definedName name="V_ALL_SECTION_KEYWORDS_ISSR_208005522_134V">#REF!</definedName>
    <definedName name="V_ALL_SECTION_KEYWORDS_ISSR_208005522_1350" localSheetId="4">#REF!,#REF!</definedName>
    <definedName name="V_ALL_SECTION_KEYWORDS_ISSR_208005522_1350">#REF!,#REF!</definedName>
    <definedName name="V_ALL_SECTION_KEYWORDS_ISSR_208005522_1355" localSheetId="4">#REF!,#REF!</definedName>
    <definedName name="V_ALL_SECTION_KEYWORDS_ISSR_208005522_1355">#REF!,#REF!</definedName>
    <definedName name="V_ALL_SECTION_KEYWORDS_ISSR_208005522_135A" localSheetId="4">#REF!,#REF!</definedName>
    <definedName name="V_ALL_SECTION_KEYWORDS_ISSR_208005522_135A">#REF!,#REF!</definedName>
    <definedName name="V_ALL_SECTION_KEYWORDS_ISSR_208005522_135F" localSheetId="4">#REF!,#REF!</definedName>
    <definedName name="V_ALL_SECTION_KEYWORDS_ISSR_208005522_135F">#REF!,#REF!</definedName>
    <definedName name="V_ALL_SECTION_KEYWORDS_ISSR_208005522_135K" localSheetId="4">#REF!,#REF!</definedName>
    <definedName name="V_ALL_SECTION_KEYWORDS_ISSR_208005522_135K">#REF!,#REF!</definedName>
    <definedName name="V_ALL_SECTION_KEYWORDS_ISSR_208005522_135P" localSheetId="4">#REF!</definedName>
    <definedName name="V_ALL_SECTION_KEYWORDS_ISSR_208005522_135P">#REF!</definedName>
    <definedName name="V_ALL_SECTION_KEYWORDS_ISSR_208005522_135U" localSheetId="4">#REF!,#REF!</definedName>
    <definedName name="V_ALL_SECTION_KEYWORDS_ISSR_208005522_135U">#REF!,#REF!</definedName>
    <definedName name="V_ALL_SECTION_KEYWORDS_ISSR_208005522_135Z" localSheetId="4">#REF!,#REF!</definedName>
    <definedName name="V_ALL_SECTION_KEYWORDS_ISSR_208005522_135Z">#REF!,#REF!</definedName>
    <definedName name="V_ALL_SECTION_KEYWORDS_ISSR_208005522_13A" localSheetId="4">#REF!</definedName>
    <definedName name="V_ALL_SECTION_KEYWORDS_ISSR_208005522_13A">#REF!</definedName>
    <definedName name="V_ALL_SECTION_KEYWORDS_ISSR_208005522_13U" localSheetId="4">#REF!</definedName>
    <definedName name="V_ALL_SECTION_KEYWORDS_ISSR_208005522_13U">#REF!</definedName>
    <definedName name="V_ALL_SECTION_KEYWORDS_ISSR_208005522_13V" localSheetId="4">#REF!,#REF!</definedName>
    <definedName name="V_ALL_SECTION_KEYWORDS_ISSR_208005522_13V">#REF!</definedName>
    <definedName name="WACC" localSheetId="5">#REF!</definedName>
    <definedName name="write_offs_general" localSheetId="5">#REF!</definedName>
    <definedName name="write_offs_general">#REF!</definedName>
    <definedName name="write_offs_specific" localSheetId="5">#REF!</definedName>
    <definedName name="write_offs_specific">#REF!</definedName>
    <definedName name="wrn.Client." localSheetId="5" hidden="1">{"Full_Year",#N/A,FALSE,"PE1_S";#N/A,#N/A,FALSE,"DIVIS_S"}</definedName>
    <definedName name="wrn.Client_Detailed." localSheetId="5" hidden="1">{"Full_Year",#N/A,FALSE,"PE1_S";"Full_Year",#N/A,FALSE,"Cashflow_EPS";"Full_Year",#N/A,FALSE,"EBIT_DIV"}</definedName>
    <definedName name="wrn.Full_Client." localSheetId="5" hidden="1">{"Full_Year",#N/A,FALSE,"PE1_S";"Automotive",#N/A,FALSE,"Auto_EBIT";#N/A,#N/A,FALSE,"Industrial_EBIT";#N/A,#N/A,FALSE,"Webforge_EBIT"}</definedName>
    <definedName name="wvu.B_Sheet." localSheetId="5" hidden="1">{TRUE,TRUE,-1.25,-15.5,604.5,366.75,FALSE,TRUE,TRUE,TRUE,0,1,#N/A,1,65,17.1333333333333,4,3,FALSE,TRUE,3,TRUE,1,FALSE,75,"Swvu.B_Sheet.","ACwvu.B_Sheet.",#N/A,FALSE,FALSE,0.748031496062992,0.748031496062992,0.984251968503937,0.984251968503937,1,"","&amp;C&amp;""Helvetica,Regular""&amp;10J B Were &amp;&amp; Son Industrial Research - Analyst: Matt Cook - (03) 9679-1445",FALSE,FALSE,FALSE,FALSE,1,75,#N/A,#N/A,"=R5C7:R69C15","=C1:C3,R1:R4","Rwvu.B_Sheet.",#N/A,FALSE,FALSE,TRUE,9,#N/A,#N/A,FALSE,FALSE,TRUE,TRUE,TRUE}</definedName>
    <definedName name="wvu.Detail." localSheetId="5" hidden="1">{TRUE,TRUE,-1.25,-15.5,604.5,366.75,FALSE,TRUE,TRUE,TRUE,0,1,#N/A,1,#N/A,11.4,33.0769230769231,1,FALSE,FALSE,3,TRUE,1,FALSE,75,"Swvu.Detail.","ACwvu.Detail.",#N/A,FALSE,FALSE,0.393700787401575,0.393700787401575,0.393700787401575,0.393700787401575,1,"","&amp;C&amp;""Helvetica,Regular""&amp;10J B Were &amp;&amp; Son Industrial Research:  Analyst Matt Cook:  Ph: 03-9679 1445",TRUE,FALSE,FALSE,FALSE,1,80,#N/A,#N/A,"=R5C4:R105C11","=C1,R1:R4",#N/A,#N/A,FALSE,FALSE,TRUE,9,#N/A,#N/A,FALSE,FALSE,TRUE,TRUE,TRUE}</definedName>
    <definedName name="wvu.Warehouse." localSheetId="5" hidden="1">{TRUE,TRUE,-1.25,-15.5,604.5,366.75,FALSE,TRUE,TRUE,TRUE,0,1,6,1,74,3.7,5.15384615384615,4,TRUE,TRUE,3,TRUE,1,FALSE,75,"Swvu.Warehouse.","ACwvu.Warehouse.",#N/A,FALSE,FALSE,0.393700787401575,0.393700787401575,0.393700787401575,0.393700787401575,1,"","&amp;C&amp;10J B Were &amp;&amp; Son Industrial Research - Analyst:  Matt Cook Ph: 03 9679 1445",TRUE,FALSE,FALSE,FALSE,1,75,#N/A,#N/A,"=R74C7:R192C13","=C1:C4,R1:R4",#N/A,#N/A,FALSE,FALSE,TRUE,9,#N/A,#N/A,FALSE,FALSE,TRUE,TRUE,TRUE}</definedName>
    <definedName name="zDebt" localSheetId="5">#REF!</definedName>
    <definedName name="zEDE" localSheetId="5">#REF!</definedName>
    <definedName name="zEquityValue" localSheetId="5">#REF!</definedName>
    <definedName name="zIRRM" localSheetId="5">#REF!</definedName>
    <definedName name="zTc" localSheetId="5">#REF!</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J96" i="1" l="1"/>
  <c r="BJ440" i="1"/>
  <c r="BK92" i="1"/>
  <c r="BJ92" i="1"/>
  <c r="E40" i="30" l="1"/>
  <c r="F40" i="30"/>
  <c r="G40" i="30"/>
  <c r="D40" i="30"/>
  <c r="M32" i="30"/>
  <c r="N32" i="30"/>
  <c r="O32" i="30"/>
  <c r="L32" i="30"/>
  <c r="M18" i="30"/>
  <c r="N18" i="30"/>
  <c r="O18" i="30"/>
  <c r="L18" i="30"/>
  <c r="E22" i="30"/>
  <c r="F22" i="30"/>
  <c r="G22" i="30"/>
  <c r="D22" i="30"/>
  <c r="C5" i="2" a="1"/>
  <c r="C6" i="2" a="1"/>
  <c r="C6" i="2" l="1"/>
  <c r="C5" i="2"/>
  <c r="BA25" i="31" l="1"/>
  <c r="AZ25" i="31"/>
  <c r="AY25" i="31"/>
  <c r="AX25" i="31"/>
  <c r="AW25" i="31"/>
  <c r="AV25" i="31"/>
  <c r="AU25" i="31"/>
  <c r="AT25" i="31"/>
  <c r="AS25" i="31"/>
  <c r="BA24" i="31"/>
  <c r="AZ24" i="31"/>
  <c r="AY24" i="31"/>
  <c r="AX24" i="31"/>
  <c r="AW24" i="31"/>
  <c r="AV24" i="31"/>
  <c r="AU24" i="31"/>
  <c r="AT24" i="31"/>
  <c r="AS24" i="31"/>
  <c r="BA23" i="31"/>
  <c r="AZ23" i="31"/>
  <c r="AY23" i="31"/>
  <c r="AX23" i="31"/>
  <c r="AW23" i="31"/>
  <c r="AV23" i="31"/>
  <c r="AU23" i="31"/>
  <c r="AT23" i="31"/>
  <c r="AS23" i="31"/>
  <c r="BA22" i="31"/>
  <c r="AZ22" i="31"/>
  <c r="AY22" i="31"/>
  <c r="AX22" i="31"/>
  <c r="AW22" i="31"/>
  <c r="AV22" i="31"/>
  <c r="AU22" i="31"/>
  <c r="AT22" i="31"/>
  <c r="AS22" i="31"/>
  <c r="AD25" i="31"/>
  <c r="AC25" i="31"/>
  <c r="AB25" i="31"/>
  <c r="AA25" i="31"/>
  <c r="Z25" i="31"/>
  <c r="Y25" i="31"/>
  <c r="X25" i="31"/>
  <c r="W25" i="31"/>
  <c r="V25" i="31"/>
  <c r="U25" i="31"/>
  <c r="T25" i="31"/>
  <c r="S25" i="31"/>
  <c r="R25" i="31"/>
  <c r="Q25" i="31"/>
  <c r="P25" i="31"/>
  <c r="O25" i="31"/>
  <c r="N25" i="31"/>
  <c r="M25" i="31"/>
  <c r="AD24" i="31"/>
  <c r="AC24" i="31"/>
  <c r="AB24" i="31"/>
  <c r="AA24" i="31"/>
  <c r="Z24" i="31"/>
  <c r="Y24" i="31"/>
  <c r="X24" i="31"/>
  <c r="W24" i="31"/>
  <c r="V24" i="31"/>
  <c r="U24" i="31"/>
  <c r="T24" i="31"/>
  <c r="S24" i="31"/>
  <c r="R24" i="31"/>
  <c r="Q24" i="31"/>
  <c r="P24" i="31"/>
  <c r="O24" i="31"/>
  <c r="N24" i="31"/>
  <c r="M24" i="31"/>
  <c r="AD23" i="31"/>
  <c r="AC23" i="31"/>
  <c r="AB23" i="31"/>
  <c r="AA23" i="31"/>
  <c r="Z23" i="31"/>
  <c r="Y23" i="31"/>
  <c r="X23" i="31"/>
  <c r="W23" i="31"/>
  <c r="V23" i="31"/>
  <c r="U23" i="31"/>
  <c r="T23" i="31"/>
  <c r="S23" i="31"/>
  <c r="R23" i="31"/>
  <c r="Q23" i="31"/>
  <c r="P23" i="31"/>
  <c r="O23" i="31"/>
  <c r="N23" i="31"/>
  <c r="M23" i="31"/>
  <c r="AD22" i="31"/>
  <c r="AC22" i="31"/>
  <c r="AB22" i="31"/>
  <c r="AA22" i="31"/>
  <c r="Z22" i="31"/>
  <c r="Y22" i="31"/>
  <c r="X22" i="31"/>
  <c r="W22" i="31"/>
  <c r="V22" i="31"/>
  <c r="U22" i="31"/>
  <c r="T22" i="31"/>
  <c r="S22" i="31"/>
  <c r="R22" i="31"/>
  <c r="Q22" i="31"/>
  <c r="P22" i="31"/>
  <c r="O22" i="31"/>
  <c r="N22" i="31"/>
  <c r="M22" i="31"/>
  <c r="BI449" i="1"/>
  <c r="BH449" i="1"/>
  <c r="BG449" i="1"/>
  <c r="BF449" i="1"/>
  <c r="BE449" i="1"/>
  <c r="BD449" i="1"/>
  <c r="BC449" i="1"/>
  <c r="BB449" i="1"/>
  <c r="BA449" i="1"/>
  <c r="AZ449" i="1"/>
  <c r="BI442" i="1"/>
  <c r="BH442" i="1"/>
  <c r="BG442" i="1"/>
  <c r="BF442" i="1"/>
  <c r="BE442" i="1"/>
  <c r="BD442" i="1"/>
  <c r="BC442" i="1"/>
  <c r="BB442" i="1"/>
  <c r="BA442" i="1"/>
  <c r="AZ442" i="1"/>
  <c r="AY442" i="1"/>
  <c r="AX442" i="1"/>
  <c r="AW442" i="1"/>
  <c r="AV442" i="1"/>
  <c r="BI407" i="1"/>
  <c r="BH407" i="1"/>
  <c r="BG407" i="1"/>
  <c r="BF407" i="1"/>
  <c r="BE407" i="1"/>
  <c r="BD407" i="1"/>
  <c r="BC407" i="1"/>
  <c r="BB407" i="1"/>
  <c r="BA407" i="1"/>
  <c r="AZ407" i="1"/>
  <c r="AY407" i="1"/>
  <c r="AX407" i="1"/>
  <c r="AW407" i="1"/>
  <c r="AY323" i="1"/>
  <c r="BI103" i="1"/>
  <c r="BH103" i="1"/>
  <c r="BG103" i="1"/>
  <c r="BF103" i="1"/>
  <c r="BE103" i="1"/>
  <c r="BD103" i="1"/>
  <c r="BC103" i="1"/>
  <c r="BB103" i="1"/>
  <c r="BA103" i="1"/>
  <c r="AZ103" i="1"/>
  <c r="BI102" i="1"/>
  <c r="BH102" i="1"/>
  <c r="BG102" i="1"/>
  <c r="BF102" i="1"/>
  <c r="BE102" i="1"/>
  <c r="BD102" i="1"/>
  <c r="BC102" i="1"/>
  <c r="BB102" i="1"/>
  <c r="BA102" i="1"/>
  <c r="AZ102" i="1"/>
  <c r="AZ92" i="1"/>
  <c r="BA92" i="1" s="1"/>
  <c r="BB92" i="1" l="1"/>
  <c r="BC92" i="1" l="1"/>
  <c r="BD92" i="1" l="1"/>
  <c r="AV66" i="31"/>
  <c r="AU66" i="31"/>
  <c r="AT66" i="31"/>
  <c r="AS66" i="31"/>
  <c r="AR66" i="31"/>
  <c r="AS67" i="31" s="1"/>
  <c r="AQ66" i="31"/>
  <c r="AP66" i="31"/>
  <c r="AO66" i="31"/>
  <c r="AN66" i="31"/>
  <c r="T66" i="31"/>
  <c r="S66" i="31"/>
  <c r="S67" i="31" s="1"/>
  <c r="R66" i="31"/>
  <c r="Q66" i="31"/>
  <c r="P66" i="31"/>
  <c r="O66" i="31"/>
  <c r="P67" i="31" s="1"/>
  <c r="N66" i="31"/>
  <c r="N67" i="31" s="1"/>
  <c r="M66" i="31"/>
  <c r="M67" i="31" s="1"/>
  <c r="L66" i="31"/>
  <c r="K66" i="31"/>
  <c r="J66" i="31"/>
  <c r="I66" i="31"/>
  <c r="H66" i="31"/>
  <c r="G66" i="31"/>
  <c r="G67" i="31" s="1"/>
  <c r="F66" i="31"/>
  <c r="E66" i="31"/>
  <c r="D66" i="31"/>
  <c r="C66" i="31"/>
  <c r="T62" i="31"/>
  <c r="S62" i="31"/>
  <c r="R62" i="31"/>
  <c r="Q62" i="31"/>
  <c r="P62" i="31"/>
  <c r="O62" i="31"/>
  <c r="N62" i="31"/>
  <c r="M62" i="31"/>
  <c r="L62" i="31"/>
  <c r="K62" i="31"/>
  <c r="J62" i="31"/>
  <c r="I62" i="31"/>
  <c r="H62" i="31"/>
  <c r="G62" i="31"/>
  <c r="F62" i="31"/>
  <c r="E62" i="31"/>
  <c r="D62" i="31"/>
  <c r="C62" i="31"/>
  <c r="T40" i="31"/>
  <c r="S40" i="31"/>
  <c r="R40" i="31"/>
  <c r="Q40" i="31"/>
  <c r="P40" i="31"/>
  <c r="O40" i="31"/>
  <c r="N40" i="31"/>
  <c r="M40" i="31"/>
  <c r="L40" i="31"/>
  <c r="K40" i="31"/>
  <c r="J40" i="31"/>
  <c r="I40" i="31"/>
  <c r="H40" i="31"/>
  <c r="G40" i="31"/>
  <c r="F40" i="31"/>
  <c r="E40" i="31"/>
  <c r="D40" i="31"/>
  <c r="C40" i="31"/>
  <c r="AL27" i="31"/>
  <c r="AK27" i="31"/>
  <c r="AJ27" i="31"/>
  <c r="AI27" i="31"/>
  <c r="AH27" i="31"/>
  <c r="AG27" i="31"/>
  <c r="AF27" i="31"/>
  <c r="AE27" i="31"/>
  <c r="M27" i="31"/>
  <c r="I27" i="31"/>
  <c r="D27" i="31"/>
  <c r="C27" i="31"/>
  <c r="L22" i="31"/>
  <c r="K22" i="31"/>
  <c r="J22" i="31"/>
  <c r="I22" i="31"/>
  <c r="H22" i="31"/>
  <c r="G22" i="31"/>
  <c r="F22" i="31"/>
  <c r="E22" i="31"/>
  <c r="D22" i="31"/>
  <c r="C22" i="31"/>
  <c r="AL16" i="31"/>
  <c r="AK16" i="31"/>
  <c r="AJ16" i="31"/>
  <c r="AI16" i="31"/>
  <c r="AH16" i="31"/>
  <c r="AG16" i="31"/>
  <c r="AF16" i="31"/>
  <c r="AE16" i="31"/>
  <c r="T16" i="31"/>
  <c r="Q16" i="31"/>
  <c r="T13" i="31"/>
  <c r="S13" i="31"/>
  <c r="R13" i="31"/>
  <c r="Q13" i="31"/>
  <c r="P13" i="31"/>
  <c r="O13" i="31"/>
  <c r="N13" i="31"/>
  <c r="M13" i="31"/>
  <c r="L13" i="31"/>
  <c r="F13" i="31"/>
  <c r="E13" i="31"/>
  <c r="D13" i="31"/>
  <c r="C13" i="31"/>
  <c r="T12" i="31"/>
  <c r="S12" i="31"/>
  <c r="R12" i="31"/>
  <c r="Q12" i="31"/>
  <c r="P12" i="31"/>
  <c r="O12" i="31"/>
  <c r="N12" i="31"/>
  <c r="M12" i="31"/>
  <c r="L12" i="31"/>
  <c r="K12" i="31"/>
  <c r="J12" i="31"/>
  <c r="I12" i="31"/>
  <c r="H12" i="31"/>
  <c r="G12" i="31"/>
  <c r="F12" i="31"/>
  <c r="E12" i="31"/>
  <c r="D12" i="31"/>
  <c r="C12" i="31"/>
  <c r="BE4" i="31"/>
  <c r="BD4" i="31"/>
  <c r="BC4" i="31"/>
  <c r="BB4" i="31"/>
  <c r="BA4" i="31"/>
  <c r="AZ4" i="31"/>
  <c r="AY4" i="31"/>
  <c r="AX4" i="31"/>
  <c r="AW4" i="31"/>
  <c r="AV4" i="31"/>
  <c r="AU4" i="31"/>
  <c r="AT4" i="31"/>
  <c r="AS4" i="31"/>
  <c r="AR4" i="31"/>
  <c r="AQ4" i="31"/>
  <c r="AP4" i="31"/>
  <c r="AO4" i="31"/>
  <c r="AN4" i="31"/>
  <c r="S27" i="31"/>
  <c r="R27" i="31"/>
  <c r="Q27" i="31"/>
  <c r="T27" i="31"/>
  <c r="R16" i="31"/>
  <c r="S16" i="31"/>
  <c r="T67" i="31" l="1"/>
  <c r="J67" i="31"/>
  <c r="K67" i="31"/>
  <c r="D67" i="31"/>
  <c r="E67" i="31"/>
  <c r="H67" i="31"/>
  <c r="I67" i="31"/>
  <c r="AO67" i="31"/>
  <c r="AU67" i="31"/>
  <c r="AR67" i="31"/>
  <c r="F67" i="31"/>
  <c r="L67" i="31"/>
  <c r="BE92" i="1"/>
  <c r="O67" i="31"/>
  <c r="AN67" i="31"/>
  <c r="AT67" i="31"/>
  <c r="Q67" i="31"/>
  <c r="AP67" i="31"/>
  <c r="AV67" i="31"/>
  <c r="R67" i="31"/>
  <c r="AQ67" i="31"/>
  <c r="BF92" i="1" l="1"/>
  <c r="CZ696" i="1"/>
  <c r="BA135" i="1"/>
  <c r="BB135" i="1" s="1"/>
  <c r="BC135" i="1" s="1"/>
  <c r="BD135" i="1" s="1"/>
  <c r="BE135" i="1" s="1"/>
  <c r="BG92" i="1" l="1"/>
  <c r="BF135" i="1"/>
  <c r="BG135" i="1" s="1"/>
  <c r="BH135" i="1" s="1"/>
  <c r="BI135" i="1" s="1"/>
  <c r="BJ135" i="1" s="1"/>
  <c r="BK135" i="1" s="1"/>
  <c r="BL135" i="1" s="1"/>
  <c r="BM135" i="1" s="1"/>
  <c r="BN135" i="1" s="1"/>
  <c r="BO135" i="1" s="1"/>
  <c r="BP135" i="1" s="1"/>
  <c r="BQ135" i="1" s="1"/>
  <c r="BH92" i="1" l="1"/>
  <c r="AX696" i="1"/>
  <c r="AY696" i="1"/>
  <c r="BI47" i="1"/>
  <c r="BJ47" i="1" s="1"/>
  <c r="BK47" i="1" s="1"/>
  <c r="BL47" i="1" s="1"/>
  <c r="BM47" i="1" s="1"/>
  <c r="BN47" i="1" s="1"/>
  <c r="BO47" i="1" s="1"/>
  <c r="BP47" i="1" s="1"/>
  <c r="BQ47" i="1" s="1"/>
  <c r="AZ158" i="1"/>
  <c r="BA158" i="1" s="1"/>
  <c r="BB158" i="1" s="1"/>
  <c r="BC158" i="1" s="1"/>
  <c r="BD158" i="1" s="1"/>
  <c r="BE158" i="1" s="1"/>
  <c r="BF158" i="1" s="1"/>
  <c r="BG158" i="1" s="1"/>
  <c r="BH158" i="1" s="1"/>
  <c r="BI158" i="1" s="1"/>
  <c r="BJ158" i="1" s="1"/>
  <c r="BK158" i="1" s="1"/>
  <c r="BL158" i="1" s="1"/>
  <c r="BM158" i="1" s="1"/>
  <c r="BN158" i="1" s="1"/>
  <c r="BO158" i="1" s="1"/>
  <c r="BP158" i="1" s="1"/>
  <c r="BQ158" i="1" s="1"/>
  <c r="BI92" i="1" l="1"/>
  <c r="AY21" i="1"/>
  <c r="AX21" i="1"/>
  <c r="AW21" i="1"/>
  <c r="AX672" i="1" l="1"/>
  <c r="AY672" i="1"/>
  <c r="AY665" i="1"/>
  <c r="AY677" i="1" s="1"/>
  <c r="AX259" i="1"/>
  <c r="AX260" i="1" s="1"/>
  <c r="AY259" i="1"/>
  <c r="AY260" i="1"/>
  <c r="AY701" i="1"/>
  <c r="AY469" i="1"/>
  <c r="AY470" i="1"/>
  <c r="AY143" i="1"/>
  <c r="CZ258" i="1"/>
  <c r="AY71" i="1"/>
  <c r="AY74" i="1"/>
  <c r="AY160" i="1"/>
  <c r="AY115" i="1"/>
  <c r="AY101" i="1"/>
  <c r="AY105" i="1" s="1"/>
  <c r="AY60" i="1"/>
  <c r="AY59" i="1"/>
  <c r="AY57" i="1"/>
  <c r="AY56" i="1"/>
  <c r="AY52" i="1"/>
  <c r="AY704" i="1"/>
  <c r="AY712" i="1"/>
  <c r="AY703" i="1"/>
  <c r="AY680" i="1"/>
  <c r="AY671" i="1"/>
  <c r="AY668" i="1"/>
  <c r="AY663" i="1"/>
  <c r="AY661" i="1"/>
  <c r="AY678" i="1"/>
  <c r="AY601" i="1"/>
  <c r="AY599" i="1"/>
  <c r="AY602" i="1" s="1"/>
  <c r="AY589" i="1"/>
  <c r="AY588" i="1"/>
  <c r="AY584" i="1"/>
  <c r="AY571" i="1"/>
  <c r="AY546" i="1"/>
  <c r="AY545" i="1"/>
  <c r="AY544" i="1"/>
  <c r="AY543" i="1"/>
  <c r="AY535" i="1"/>
  <c r="AY526" i="1"/>
  <c r="AY522" i="1"/>
  <c r="AY536" i="1" s="1"/>
  <c r="AY520" i="1"/>
  <c r="AY519" i="1"/>
  <c r="AY518" i="1"/>
  <c r="AY517" i="1"/>
  <c r="AY516" i="1"/>
  <c r="AY509" i="1"/>
  <c r="AY506" i="1"/>
  <c r="AY504" i="1"/>
  <c r="AY503" i="1"/>
  <c r="AY502" i="1"/>
  <c r="AY130" i="1" s="1"/>
  <c r="AY501" i="1"/>
  <c r="AY479" i="1"/>
  <c r="AY475" i="1"/>
  <c r="AY474" i="1"/>
  <c r="AY473" i="1"/>
  <c r="AY450" i="1"/>
  <c r="AY445" i="1"/>
  <c r="AY444" i="1"/>
  <c r="AY425" i="1"/>
  <c r="AY460" i="1" s="1"/>
  <c r="AY489" i="1" s="1"/>
  <c r="AY424" i="1"/>
  <c r="AY459" i="1" s="1"/>
  <c r="AY488" i="1" s="1"/>
  <c r="AY423" i="1"/>
  <c r="AY458" i="1" s="1"/>
  <c r="AY487" i="1" s="1"/>
  <c r="AY422" i="1"/>
  <c r="AY457" i="1" s="1"/>
  <c r="AY420" i="1"/>
  <c r="AY396" i="1"/>
  <c r="T11" i="31" s="1"/>
  <c r="AY415" i="1"/>
  <c r="AY409" i="1"/>
  <c r="AY421" i="1" s="1"/>
  <c r="AY381" i="1"/>
  <c r="AY388" i="1"/>
  <c r="AY122" i="1"/>
  <c r="AY434" i="1"/>
  <c r="AY699" i="1" l="1"/>
  <c r="AY390" i="1"/>
  <c r="T8" i="31"/>
  <c r="AY456" i="1"/>
  <c r="AY485" i="1" s="1"/>
  <c r="AY408" i="1"/>
  <c r="AY455" i="1"/>
  <c r="AY484" i="1" s="1"/>
  <c r="AY472" i="1"/>
  <c r="AY486" i="1"/>
  <c r="AY427" i="1"/>
  <c r="AY462" i="1" s="1"/>
  <c r="AY491" i="1" s="1"/>
  <c r="AY500" i="1"/>
  <c r="AY498" i="1" s="1"/>
  <c r="T43" i="31" s="1"/>
  <c r="AY443" i="1"/>
  <c r="AY468" i="1"/>
  <c r="AY471" i="1"/>
  <c r="AY713" i="1"/>
  <c r="AY507" i="1"/>
  <c r="AY453" i="1" l="1"/>
  <c r="T28" i="31"/>
  <c r="AY406" i="1"/>
  <c r="AY405" i="1" s="1"/>
  <c r="T14" i="31" s="1"/>
  <c r="AY418" i="1"/>
  <c r="T17" i="31"/>
  <c r="AY482" i="1"/>
  <c r="T35" i="31"/>
  <c r="AY99" i="1"/>
  <c r="AY441" i="1"/>
  <c r="AY515" i="1"/>
  <c r="T44" i="31" s="1"/>
  <c r="T47" i="31" s="1"/>
  <c r="T15" i="31" l="1"/>
  <c r="AY440" i="1"/>
  <c r="T26" i="31"/>
  <c r="AY521" i="1"/>
  <c r="AY525" i="1"/>
  <c r="T51" i="31" s="1"/>
  <c r="T50" i="31" s="1"/>
  <c r="AY610" i="1"/>
  <c r="AY611" i="1" s="1"/>
  <c r="U16" i="31"/>
  <c r="AY258" i="1"/>
  <c r="AY248" i="1" s="1"/>
  <c r="AY262" i="1"/>
  <c r="AY234" i="1"/>
  <c r="AY237" i="1" s="1"/>
  <c r="T68" i="31" s="1"/>
  <c r="AY222" i="1"/>
  <c r="AY216" i="1"/>
  <c r="AY215" i="1"/>
  <c r="AY208" i="1"/>
  <c r="AY205" i="1"/>
  <c r="AY203" i="1"/>
  <c r="AY202" i="1"/>
  <c r="AY191" i="1"/>
  <c r="AY190" i="1"/>
  <c r="AY192" i="1" s="1"/>
  <c r="AY58" i="1" s="1"/>
  <c r="AY185" i="1"/>
  <c r="AY184" i="1"/>
  <c r="AY176" i="1"/>
  <c r="AY173" i="1"/>
  <c r="AY178" i="1" s="1"/>
  <c r="T59" i="31" s="1"/>
  <c r="AY165" i="1"/>
  <c r="AY159" i="1"/>
  <c r="AY243" i="1" l="1"/>
  <c r="AY204" i="1"/>
  <c r="T61" i="31" s="1"/>
  <c r="AY186" i="1"/>
  <c r="AY55" i="1" s="1"/>
  <c r="AY257" i="1"/>
  <c r="T36" i="31"/>
  <c r="AY171" i="1"/>
  <c r="AY238" i="1"/>
  <c r="AY670" i="1"/>
  <c r="AY177" i="1"/>
  <c r="AY114" i="1" s="1"/>
  <c r="AY247" i="1"/>
  <c r="AY249" i="1" s="1"/>
  <c r="AY242" i="1"/>
  <c r="AY181" i="1"/>
  <c r="AY667" i="1"/>
  <c r="AY612" i="1"/>
  <c r="AY116" i="1" s="1"/>
  <c r="AY261" i="1"/>
  <c r="C5" i="30" l="1"/>
  <c r="O5" i="30"/>
  <c r="J11" i="30"/>
  <c r="J13" i="30"/>
  <c r="O13" i="30"/>
  <c r="C35" i="30"/>
  <c r="AZ139" i="1" l="1"/>
  <c r="D151" i="2" l="1"/>
  <c r="J12" i="30" s="1"/>
  <c r="AZ558" i="1" l="1"/>
  <c r="AZ559" i="1"/>
  <c r="AZ560" i="1"/>
  <c r="BK94" i="1"/>
  <c r="BL94" i="1" s="1"/>
  <c r="BM94" i="1" s="1"/>
  <c r="BN94" i="1" s="1"/>
  <c r="BO94" i="1" s="1"/>
  <c r="BP94" i="1" s="1"/>
  <c r="BQ94" i="1" s="1"/>
  <c r="BM95" i="1"/>
  <c r="BN95" i="1" s="1"/>
  <c r="BO95" i="1" s="1"/>
  <c r="BP95" i="1" s="1"/>
  <c r="BQ95" i="1" s="1"/>
  <c r="AX704" i="1" l="1"/>
  <c r="AX680" i="1"/>
  <c r="AX671" i="1"/>
  <c r="AX668" i="1"/>
  <c r="AX665" i="1"/>
  <c r="AX663" i="1"/>
  <c r="AX661" i="1"/>
  <c r="AX610" i="1"/>
  <c r="AX601" i="1"/>
  <c r="AX571" i="1"/>
  <c r="AX546" i="1"/>
  <c r="AX545" i="1"/>
  <c r="AX544" i="1"/>
  <c r="AX543" i="1"/>
  <c r="AX537" i="1"/>
  <c r="AY537" i="1" s="1"/>
  <c r="AW526" i="1"/>
  <c r="AX509" i="1"/>
  <c r="AX506" i="1"/>
  <c r="AX416" i="1"/>
  <c r="AX415" i="1" s="1"/>
  <c r="AX396" i="1"/>
  <c r="S11" i="31" s="1"/>
  <c r="AX258" i="1"/>
  <c r="AX248" i="1" s="1"/>
  <c r="AX205" i="1"/>
  <c r="AX199" i="1" s="1"/>
  <c r="AX203" i="1"/>
  <c r="AX202" i="1"/>
  <c r="AX191" i="1"/>
  <c r="AX190" i="1"/>
  <c r="AX185" i="1"/>
  <c r="AX184" i="1"/>
  <c r="AX173" i="1"/>
  <c r="AY227" i="1" s="1"/>
  <c r="AY232" i="1" s="1"/>
  <c r="AY233" i="1" s="1"/>
  <c r="AX160" i="1"/>
  <c r="AX52" i="1"/>
  <c r="AX56" i="1"/>
  <c r="AX57" i="1"/>
  <c r="AX59" i="1"/>
  <c r="AX48" i="1" s="1"/>
  <c r="AX60" i="1"/>
  <c r="AX49" i="1" s="1"/>
  <c r="AX101" i="1"/>
  <c r="AX105" i="1" s="1"/>
  <c r="AX115" i="1"/>
  <c r="AX122" i="1"/>
  <c r="AX143" i="1"/>
  <c r="AX165" i="1"/>
  <c r="AY223" i="1" s="1"/>
  <c r="AX176" i="1"/>
  <c r="AX209" i="1"/>
  <c r="AX212" i="1"/>
  <c r="AX215" i="1"/>
  <c r="AX216" i="1"/>
  <c r="AX222" i="1"/>
  <c r="AX234" i="1"/>
  <c r="AX237" i="1" s="1"/>
  <c r="S68" i="31" s="1"/>
  <c r="AX262" i="1"/>
  <c r="AX318" i="1"/>
  <c r="AX381" i="1"/>
  <c r="S8" i="31" s="1"/>
  <c r="AX388" i="1"/>
  <c r="AX409" i="1"/>
  <c r="AX421" i="1" s="1"/>
  <c r="AX420" i="1"/>
  <c r="AX422" i="1"/>
  <c r="AX457" i="1" s="1"/>
  <c r="AX423" i="1"/>
  <c r="AX458" i="1" s="1"/>
  <c r="AX487" i="1" s="1"/>
  <c r="AX425" i="1"/>
  <c r="AX460" i="1" s="1"/>
  <c r="AX489" i="1" s="1"/>
  <c r="AX434" i="1"/>
  <c r="AX444" i="1"/>
  <c r="AX445" i="1"/>
  <c r="AX450" i="1"/>
  <c r="AX469" i="1"/>
  <c r="AX470" i="1"/>
  <c r="AX473" i="1"/>
  <c r="AX474" i="1"/>
  <c r="AX475" i="1"/>
  <c r="AX479" i="1"/>
  <c r="AX501" i="1"/>
  <c r="AX503" i="1"/>
  <c r="AX504" i="1"/>
  <c r="AX516" i="1"/>
  <c r="AX517" i="1"/>
  <c r="AX518" i="1"/>
  <c r="AX519" i="1"/>
  <c r="AX520" i="1"/>
  <c r="AX522" i="1"/>
  <c r="AX536" i="1" s="1"/>
  <c r="AX623" i="1" s="1"/>
  <c r="AX588" i="1"/>
  <c r="AX589" i="1"/>
  <c r="AX599" i="1"/>
  <c r="AX625" i="1"/>
  <c r="AX626" i="1"/>
  <c r="AX678" i="1"/>
  <c r="AX701" i="1"/>
  <c r="AX703" i="1"/>
  <c r="AX712" i="1"/>
  <c r="AX735" i="1"/>
  <c r="S56" i="31" s="1"/>
  <c r="AX737" i="1"/>
  <c r="AX763" i="1" s="1"/>
  <c r="AX814" i="1"/>
  <c r="AX815" i="1"/>
  <c r="AX818" i="1"/>
  <c r="AX821" i="1"/>
  <c r="AX824" i="1"/>
  <c r="AX827" i="1"/>
  <c r="AX839" i="1"/>
  <c r="T69" i="31" l="1"/>
  <c r="AX159" i="1"/>
  <c r="AY53" i="1" s="1"/>
  <c r="AY54" i="1"/>
  <c r="AY218" i="1"/>
  <c r="T9" i="31"/>
  <c r="AY64" i="1"/>
  <c r="AY266" i="1"/>
  <c r="AY217" i="1"/>
  <c r="AY698" i="1"/>
  <c r="AY702" i="1"/>
  <c r="AX762" i="1"/>
  <c r="AX204" i="1"/>
  <c r="S61" i="31" s="1"/>
  <c r="AX611" i="1"/>
  <c r="AX197" i="1"/>
  <c r="AX257" i="1"/>
  <c r="AX242" i="1" s="1"/>
  <c r="AX468" i="1"/>
  <c r="AX602" i="1"/>
  <c r="AX507" i="1"/>
  <c r="AX713" i="1"/>
  <c r="AX196" i="1"/>
  <c r="AX456" i="1"/>
  <c r="AX485" i="1" s="1"/>
  <c r="AX192" i="1"/>
  <c r="AX58" i="1" s="1"/>
  <c r="AX699" i="1"/>
  <c r="AX186" i="1"/>
  <c r="AX55" i="1" s="1"/>
  <c r="AX243" i="1"/>
  <c r="AX253" i="1" s="1"/>
  <c r="AX171" i="1"/>
  <c r="AY228" i="1" s="1"/>
  <c r="AX486" i="1"/>
  <c r="AX145" i="1"/>
  <c r="AY145" i="1" s="1"/>
  <c r="AX472" i="1"/>
  <c r="S35" i="31" s="1"/>
  <c r="AX427" i="1"/>
  <c r="AX462" i="1" s="1"/>
  <c r="AX491" i="1" s="1"/>
  <c r="AX208" i="1"/>
  <c r="AX455" i="1"/>
  <c r="AX484" i="1" s="1"/>
  <c r="AX443" i="1"/>
  <c r="AX238" i="1"/>
  <c r="AX584" i="1"/>
  <c r="AX677" i="1"/>
  <c r="AX327" i="1"/>
  <c r="AX178" i="1"/>
  <c r="S59" i="31" s="1"/>
  <c r="C8" i="2"/>
  <c r="AW470" i="1"/>
  <c r="AW469" i="1"/>
  <c r="CY258" i="1"/>
  <c r="G6" i="2"/>
  <c r="G5" i="2"/>
  <c r="G4" i="2"/>
  <c r="O11" i="30" s="1"/>
  <c r="G2" i="2"/>
  <c r="AW704" i="1"/>
  <c r="AW680" i="1"/>
  <c r="AW672" i="1"/>
  <c r="AW671" i="1"/>
  <c r="AW668" i="1"/>
  <c r="AW665" i="1"/>
  <c r="AW677" i="1" s="1"/>
  <c r="AW663" i="1"/>
  <c r="AW661" i="1"/>
  <c r="AX702" i="1" s="1"/>
  <c r="AW610" i="1"/>
  <c r="AW601" i="1"/>
  <c r="AW571" i="1"/>
  <c r="AX627" i="1" s="1"/>
  <c r="AW546" i="1"/>
  <c r="AW545" i="1"/>
  <c r="AW544" i="1"/>
  <c r="AW543" i="1"/>
  <c r="AX141" i="1" s="1"/>
  <c r="AW535" i="1"/>
  <c r="AX621" i="1"/>
  <c r="AW506" i="1"/>
  <c r="AW509" i="1"/>
  <c r="AW416" i="1"/>
  <c r="AW415" i="1" s="1"/>
  <c r="AW396" i="1"/>
  <c r="R11" i="31" s="1"/>
  <c r="AW259" i="1"/>
  <c r="AW258" i="1"/>
  <c r="AW248" i="1" s="1"/>
  <c r="AW205" i="1"/>
  <c r="AW199" i="1" s="1"/>
  <c r="AW203" i="1"/>
  <c r="AW202" i="1"/>
  <c r="AW191" i="1"/>
  <c r="AW190" i="1"/>
  <c r="AW185" i="1"/>
  <c r="AW184" i="1"/>
  <c r="AW173" i="1"/>
  <c r="AX227" i="1" s="1"/>
  <c r="AX232" i="1" s="1"/>
  <c r="AX233" i="1" s="1"/>
  <c r="AW160" i="1"/>
  <c r="AW52" i="1"/>
  <c r="AW56" i="1"/>
  <c r="AW57" i="1"/>
  <c r="AW59" i="1"/>
  <c r="AW48" i="1" s="1"/>
  <c r="AW60" i="1"/>
  <c r="AW49" i="1" s="1"/>
  <c r="AW101" i="1"/>
  <c r="AW105" i="1" s="1"/>
  <c r="AW115" i="1"/>
  <c r="AW122" i="1"/>
  <c r="AW143" i="1"/>
  <c r="AW165" i="1"/>
  <c r="AX223" i="1" s="1"/>
  <c r="AW176" i="1"/>
  <c r="AW209" i="1"/>
  <c r="AW212" i="1"/>
  <c r="AW215" i="1"/>
  <c r="AW216" i="1"/>
  <c r="AW222" i="1"/>
  <c r="AW234" i="1"/>
  <c r="AW237" i="1" s="1"/>
  <c r="R68" i="31" s="1"/>
  <c r="AW262" i="1"/>
  <c r="AW318" i="1"/>
  <c r="AW381" i="1"/>
  <c r="R8" i="31" s="1"/>
  <c r="AW388" i="1"/>
  <c r="AW409" i="1"/>
  <c r="AW421" i="1" s="1"/>
  <c r="AW420" i="1"/>
  <c r="AW422" i="1"/>
  <c r="AW457" i="1" s="1"/>
  <c r="AW423" i="1"/>
  <c r="AW458" i="1" s="1"/>
  <c r="AW487" i="1" s="1"/>
  <c r="AW425" i="1"/>
  <c r="AW460" i="1" s="1"/>
  <c r="AW489" i="1" s="1"/>
  <c r="AW434" i="1"/>
  <c r="AW444" i="1"/>
  <c r="AW445" i="1"/>
  <c r="AW450" i="1"/>
  <c r="AW473" i="1"/>
  <c r="AW474" i="1"/>
  <c r="AW475" i="1"/>
  <c r="AW479" i="1"/>
  <c r="AW501" i="1"/>
  <c r="AW503" i="1"/>
  <c r="AW504" i="1"/>
  <c r="AW516" i="1"/>
  <c r="AW517" i="1"/>
  <c r="AW518" i="1"/>
  <c r="AW519" i="1"/>
  <c r="AW520" i="1"/>
  <c r="AW522" i="1"/>
  <c r="AW588" i="1"/>
  <c r="AW589" i="1"/>
  <c r="AW599" i="1"/>
  <c r="AW625" i="1"/>
  <c r="AW626" i="1"/>
  <c r="AW678" i="1"/>
  <c r="AW701" i="1"/>
  <c r="AW703" i="1"/>
  <c r="AW712" i="1"/>
  <c r="AW735" i="1"/>
  <c r="R56" i="31" s="1"/>
  <c r="AW737" i="1"/>
  <c r="AW763" i="1" s="1"/>
  <c r="AW814" i="1"/>
  <c r="AW815" i="1"/>
  <c r="AW818" i="1"/>
  <c r="AW821" i="1"/>
  <c r="AW824" i="1"/>
  <c r="AW827" i="1"/>
  <c r="AW839" i="1"/>
  <c r="DI34" i="1"/>
  <c r="DI35" i="1"/>
  <c r="DI104" i="1"/>
  <c r="DI105" i="1"/>
  <c r="DI149" i="1"/>
  <c r="DI382" i="1"/>
  <c r="DI420" i="1" s="1"/>
  <c r="DI383" i="1"/>
  <c r="DI384" i="1"/>
  <c r="DI385" i="1"/>
  <c r="DI386" i="1"/>
  <c r="DI388" i="1"/>
  <c r="DI399" i="1"/>
  <c r="DI400" i="1"/>
  <c r="DI407" i="1"/>
  <c r="BE16" i="31" s="1"/>
  <c r="DI410" i="1"/>
  <c r="DI411" i="1"/>
  <c r="DI413" i="1"/>
  <c r="DI415" i="1"/>
  <c r="DI442" i="1"/>
  <c r="BE27" i="31" s="1"/>
  <c r="DI446" i="1"/>
  <c r="DI447" i="1"/>
  <c r="DI448" i="1"/>
  <c r="DI450" i="1"/>
  <c r="DI476" i="1"/>
  <c r="DI477" i="1"/>
  <c r="DI479" i="1"/>
  <c r="DI492" i="1"/>
  <c r="DI505" i="1"/>
  <c r="DI508" i="1"/>
  <c r="DI523" i="1"/>
  <c r="DI524" i="1"/>
  <c r="DI527" i="1"/>
  <c r="DI528" i="1"/>
  <c r="DI707" i="1"/>
  <c r="DI736" i="1"/>
  <c r="DI857" i="1"/>
  <c r="BQ622" i="1"/>
  <c r="BP622" i="1"/>
  <c r="BQ520" i="1"/>
  <c r="BP520" i="1"/>
  <c r="BQ519" i="1"/>
  <c r="BP519" i="1"/>
  <c r="BQ518" i="1"/>
  <c r="BP518" i="1"/>
  <c r="BQ517" i="1"/>
  <c r="BP517" i="1"/>
  <c r="BQ516" i="1"/>
  <c r="BP516" i="1"/>
  <c r="BQ504" i="1"/>
  <c r="BP504" i="1"/>
  <c r="BQ503" i="1"/>
  <c r="BP503" i="1"/>
  <c r="BQ501" i="1"/>
  <c r="BP501" i="1"/>
  <c r="BQ475" i="1"/>
  <c r="BP475" i="1"/>
  <c r="BQ474" i="1"/>
  <c r="BP474" i="1"/>
  <c r="BQ473" i="1"/>
  <c r="BP473" i="1"/>
  <c r="BQ445" i="1"/>
  <c r="BP445" i="1"/>
  <c r="BQ444" i="1"/>
  <c r="BP444" i="1"/>
  <c r="BQ427" i="1"/>
  <c r="BQ462" i="1" s="1"/>
  <c r="BQ491" i="1" s="1"/>
  <c r="BQ507" i="1" s="1"/>
  <c r="BP427" i="1"/>
  <c r="BP462" i="1" s="1"/>
  <c r="BP491" i="1" s="1"/>
  <c r="BP507" i="1" s="1"/>
  <c r="BQ425" i="1"/>
  <c r="BQ460" i="1" s="1"/>
  <c r="BQ489" i="1" s="1"/>
  <c r="BP425" i="1"/>
  <c r="BP460" i="1" s="1"/>
  <c r="BP489" i="1" s="1"/>
  <c r="BQ423" i="1"/>
  <c r="BQ458" i="1" s="1"/>
  <c r="BQ487" i="1" s="1"/>
  <c r="BP423" i="1"/>
  <c r="BP458" i="1" s="1"/>
  <c r="BP487" i="1" s="1"/>
  <c r="BQ422" i="1"/>
  <c r="BQ457" i="1" s="1"/>
  <c r="BP422" i="1"/>
  <c r="BP457" i="1" s="1"/>
  <c r="BQ420" i="1"/>
  <c r="BP420" i="1"/>
  <c r="BQ409" i="1"/>
  <c r="BQ421" i="1" s="1"/>
  <c r="BP409" i="1"/>
  <c r="BQ60" i="1"/>
  <c r="BP60" i="1"/>
  <c r="BQ59" i="1"/>
  <c r="BP59" i="1"/>
  <c r="S36" i="31" l="1"/>
  <c r="S9" i="31"/>
  <c r="S28" i="31"/>
  <c r="T60" i="31"/>
  <c r="S69" i="31"/>
  <c r="AX152" i="1"/>
  <c r="AY265" i="1"/>
  <c r="AY267" i="1" s="1"/>
  <c r="AX670" i="1"/>
  <c r="AY206" i="1"/>
  <c r="AZ145" i="1"/>
  <c r="BA145" i="1" s="1"/>
  <c r="BB145" i="1" s="1"/>
  <c r="BC145" i="1" s="1"/>
  <c r="BD145" i="1" s="1"/>
  <c r="BE145" i="1" s="1"/>
  <c r="BF145" i="1" s="1"/>
  <c r="BG145" i="1" s="1"/>
  <c r="BH145" i="1" s="1"/>
  <c r="BI145" i="1" s="1"/>
  <c r="BJ145" i="1" s="1"/>
  <c r="BK145" i="1" s="1"/>
  <c r="BL145" i="1" s="1"/>
  <c r="BM145" i="1" s="1"/>
  <c r="BN145" i="1" s="1"/>
  <c r="BO145" i="1" s="1"/>
  <c r="BP145" i="1" s="1"/>
  <c r="BQ145" i="1" s="1"/>
  <c r="AW762" i="1"/>
  <c r="AW327" i="1"/>
  <c r="AW260" i="1"/>
  <c r="AW699" i="1" s="1"/>
  <c r="AX471" i="1"/>
  <c r="AX612" i="1"/>
  <c r="AW611" i="1"/>
  <c r="AX247" i="1"/>
  <c r="AX252" i="1" s="1"/>
  <c r="AX254" i="1" s="1"/>
  <c r="DI507" i="1"/>
  <c r="DI473" i="1"/>
  <c r="DI501" i="1"/>
  <c r="DI516" i="1"/>
  <c r="DI519" i="1"/>
  <c r="AW584" i="1"/>
  <c r="AW192" i="1"/>
  <c r="AW58" i="1" s="1"/>
  <c r="AX261" i="1"/>
  <c r="AW602" i="1"/>
  <c r="AW197" i="1"/>
  <c r="AW243" i="1"/>
  <c r="DI475" i="1"/>
  <c r="DI504" i="1"/>
  <c r="DI518" i="1"/>
  <c r="AW486" i="1"/>
  <c r="AW443" i="1"/>
  <c r="AW186" i="1"/>
  <c r="AW55" i="1" s="1"/>
  <c r="AW455" i="1"/>
  <c r="AW484" i="1" s="1"/>
  <c r="AX54" i="1"/>
  <c r="AX218" i="1"/>
  <c r="AW159" i="1"/>
  <c r="AX53" i="1" s="1"/>
  <c r="AX198" i="1"/>
  <c r="AX61" i="1" s="1"/>
  <c r="AX465" i="1"/>
  <c r="AW621" i="1"/>
  <c r="BP486" i="1"/>
  <c r="AX266" i="1"/>
  <c r="AX64" i="1"/>
  <c r="BQ486" i="1"/>
  <c r="DI425" i="1"/>
  <c r="DI460" i="1" s="1"/>
  <c r="DI489" i="1" s="1"/>
  <c r="AX698" i="1"/>
  <c r="AX177" i="1"/>
  <c r="AX795" i="1"/>
  <c r="AX181" i="1"/>
  <c r="AX667" i="1"/>
  <c r="AX430" i="1"/>
  <c r="AX441" i="1"/>
  <c r="S26" i="31" s="1"/>
  <c r="AX244" i="1"/>
  <c r="AW178" i="1"/>
  <c r="R59" i="31" s="1"/>
  <c r="AW196" i="1"/>
  <c r="AW204" i="1"/>
  <c r="R61" i="31" s="1"/>
  <c r="AW507" i="1"/>
  <c r="AW468" i="1"/>
  <c r="AW238" i="1"/>
  <c r="AW145" i="1"/>
  <c r="AW472" i="1"/>
  <c r="R35" i="31" s="1"/>
  <c r="R36" i="31" s="1"/>
  <c r="AW257" i="1"/>
  <c r="AW536" i="1"/>
  <c r="AW623" i="1" s="1"/>
  <c r="AW713" i="1"/>
  <c r="AW427" i="1"/>
  <c r="AW462" i="1" s="1"/>
  <c r="AW491" i="1" s="1"/>
  <c r="AW208" i="1"/>
  <c r="AX265" i="1" s="1"/>
  <c r="AW171" i="1"/>
  <c r="AX228" i="1" s="1"/>
  <c r="AW456" i="1"/>
  <c r="AW485" i="1" s="1"/>
  <c r="DI422" i="1"/>
  <c r="DI457" i="1" s="1"/>
  <c r="BQ456" i="1"/>
  <c r="BQ485" i="1" s="1"/>
  <c r="BQ455" i="1"/>
  <c r="BQ484" i="1" s="1"/>
  <c r="DI622" i="1"/>
  <c r="BP421" i="1"/>
  <c r="BP456" i="1" s="1"/>
  <c r="BP485" i="1" s="1"/>
  <c r="DI409" i="1"/>
  <c r="DI421" i="1" s="1"/>
  <c r="BP455" i="1"/>
  <c r="BP484" i="1" s="1"/>
  <c r="DI444" i="1"/>
  <c r="DI455" i="1" s="1"/>
  <c r="DI445" i="1"/>
  <c r="DI474" i="1"/>
  <c r="DI503" i="1"/>
  <c r="DI517" i="1"/>
  <c r="DI520" i="1"/>
  <c r="DI423" i="1"/>
  <c r="DI458" i="1" s="1"/>
  <c r="DI487" i="1" s="1"/>
  <c r="DI427" i="1"/>
  <c r="DI462" i="1" s="1"/>
  <c r="DI491" i="1" s="1"/>
  <c r="T30" i="31" l="1"/>
  <c r="AY98" i="1"/>
  <c r="R28" i="31"/>
  <c r="S60" i="31"/>
  <c r="T29" i="31"/>
  <c r="AW181" i="1"/>
  <c r="AW154" i="1" s="1"/>
  <c r="AW670" i="1"/>
  <c r="AX206" i="1"/>
  <c r="AW441" i="1"/>
  <c r="AW261" i="1"/>
  <c r="AX440" i="1"/>
  <c r="AY96" i="1" s="1"/>
  <c r="AW612" i="1"/>
  <c r="AW147" i="1" s="1"/>
  <c r="AX116" i="1"/>
  <c r="AX820" i="1"/>
  <c r="AX817" i="1"/>
  <c r="AX826" i="1"/>
  <c r="AZ612" i="1"/>
  <c r="BA612" i="1" s="1"/>
  <c r="BB612" i="1" s="1"/>
  <c r="BC612" i="1" s="1"/>
  <c r="BD612" i="1" s="1"/>
  <c r="BE612" i="1" s="1"/>
  <c r="BF612" i="1" s="1"/>
  <c r="BG612" i="1" s="1"/>
  <c r="BH612" i="1" s="1"/>
  <c r="BI612" i="1" s="1"/>
  <c r="BJ612" i="1" s="1"/>
  <c r="BK612" i="1" s="1"/>
  <c r="BL612" i="1" s="1"/>
  <c r="BM612" i="1" s="1"/>
  <c r="BN612" i="1" s="1"/>
  <c r="BO612" i="1" s="1"/>
  <c r="BP612" i="1" s="1"/>
  <c r="BQ612" i="1" s="1"/>
  <c r="BS612" i="1" s="1"/>
  <c r="BT612" i="1" s="1"/>
  <c r="BU612" i="1" s="1"/>
  <c r="BV612" i="1" s="1"/>
  <c r="BW612" i="1" s="1"/>
  <c r="BX612" i="1" s="1"/>
  <c r="BY612" i="1" s="1"/>
  <c r="BZ612" i="1" s="1"/>
  <c r="CA612" i="1" s="1"/>
  <c r="CB612" i="1" s="1"/>
  <c r="CC612" i="1" s="1"/>
  <c r="CD612" i="1" s="1"/>
  <c r="CE612" i="1" s="1"/>
  <c r="CF612" i="1" s="1"/>
  <c r="CG612" i="1" s="1"/>
  <c r="CH612" i="1" s="1"/>
  <c r="CI612" i="1" s="1"/>
  <c r="CJ612" i="1" s="1"/>
  <c r="CK612" i="1" s="1"/>
  <c r="CL612" i="1" s="1"/>
  <c r="CM612" i="1" s="1"/>
  <c r="CN612" i="1" s="1"/>
  <c r="CO612" i="1" s="1"/>
  <c r="CP612" i="1" s="1"/>
  <c r="CQ612" i="1" s="1"/>
  <c r="CR612" i="1" s="1"/>
  <c r="CS612" i="1" s="1"/>
  <c r="AX823" i="1"/>
  <c r="DI484" i="1"/>
  <c r="AX249" i="1"/>
  <c r="AW813" i="1"/>
  <c r="DI486" i="1"/>
  <c r="AW430" i="1"/>
  <c r="AW825" i="1"/>
  <c r="AW667" i="1"/>
  <c r="AX217" i="1"/>
  <c r="AW177" i="1"/>
  <c r="AW114" i="1" s="1"/>
  <c r="AW242" i="1"/>
  <c r="AW247" i="1"/>
  <c r="AW812" i="1"/>
  <c r="AX267" i="1"/>
  <c r="AW819" i="1"/>
  <c r="AW822" i="1"/>
  <c r="DI456" i="1"/>
  <c r="DI485" i="1" s="1"/>
  <c r="AW816" i="1"/>
  <c r="AX813" i="1"/>
  <c r="AX819" i="1"/>
  <c r="AX825" i="1"/>
  <c r="AX816" i="1"/>
  <c r="AX812" i="1"/>
  <c r="AX154" i="1"/>
  <c r="AX822" i="1"/>
  <c r="AX147" i="1"/>
  <c r="AX114" i="1"/>
  <c r="AX146" i="1"/>
  <c r="AY146" i="1" s="1"/>
  <c r="AW471" i="1"/>
  <c r="AW465" i="1"/>
  <c r="AW198" i="1"/>
  <c r="AW61" i="1" s="1"/>
  <c r="AW795" i="1"/>
  <c r="AW152" i="1"/>
  <c r="AW253" i="1"/>
  <c r="S30" i="31" l="1"/>
  <c r="AW440" i="1"/>
  <c r="AX96" i="1" s="1"/>
  <c r="R26" i="31"/>
  <c r="AW817" i="1"/>
  <c r="AW116" i="1"/>
  <c r="AW823" i="1"/>
  <c r="AW820" i="1"/>
  <c r="AW826" i="1"/>
  <c r="AW252" i="1"/>
  <c r="AW254" i="1" s="1"/>
  <c r="AW146" i="1"/>
  <c r="AW244" i="1"/>
  <c r="AW249" i="1"/>
  <c r="S29" i="31" l="1"/>
  <c r="DI435" i="1"/>
  <c r="AT509" i="1"/>
  <c r="AU509" i="1"/>
  <c r="AV509" i="1"/>
  <c r="AT506" i="1"/>
  <c r="AU506" i="1"/>
  <c r="AV506" i="1"/>
  <c r="AV470" i="1" l="1"/>
  <c r="AV469" i="1"/>
  <c r="AV543" i="1"/>
  <c r="AW141" i="1" s="1"/>
  <c r="AV704" i="1"/>
  <c r="AV680" i="1"/>
  <c r="AV672" i="1"/>
  <c r="AV671" i="1"/>
  <c r="AV668" i="1"/>
  <c r="AV665" i="1"/>
  <c r="AV677" i="1" s="1"/>
  <c r="AV663" i="1"/>
  <c r="AV661" i="1"/>
  <c r="AV610" i="1"/>
  <c r="AV601" i="1"/>
  <c r="AV571" i="1"/>
  <c r="AW627" i="1" s="1"/>
  <c r="AV546" i="1"/>
  <c r="AV545" i="1"/>
  <c r="AV544" i="1"/>
  <c r="AV537" i="1"/>
  <c r="AW537" i="1" s="1"/>
  <c r="AT537" i="1"/>
  <c r="AV416" i="1"/>
  <c r="AV415" i="1" s="1"/>
  <c r="AT416" i="1"/>
  <c r="AU416" i="1"/>
  <c r="AV396" i="1"/>
  <c r="Q11" i="31" s="1"/>
  <c r="AV259" i="1"/>
  <c r="AV258" i="1"/>
  <c r="AV243" i="1" s="1"/>
  <c r="AV205" i="1"/>
  <c r="AV199" i="1" s="1"/>
  <c r="AV203" i="1"/>
  <c r="AV202" i="1"/>
  <c r="AV191" i="1"/>
  <c r="AV190" i="1"/>
  <c r="AV185" i="1"/>
  <c r="AV184" i="1"/>
  <c r="AV173" i="1"/>
  <c r="AV160" i="1"/>
  <c r="AV165" i="1"/>
  <c r="AW223" i="1" s="1"/>
  <c r="AV176" i="1"/>
  <c r="AV209" i="1"/>
  <c r="AV212" i="1"/>
  <c r="AV215" i="1"/>
  <c r="AV216" i="1"/>
  <c r="AV222" i="1"/>
  <c r="AV234" i="1"/>
  <c r="AV237" i="1" s="1"/>
  <c r="Q68" i="31" s="1"/>
  <c r="AV262" i="1"/>
  <c r="AV318" i="1"/>
  <c r="AV381" i="1"/>
  <c r="Q8" i="31" s="1"/>
  <c r="AV388" i="1"/>
  <c r="AV409" i="1"/>
  <c r="AV421" i="1" s="1"/>
  <c r="AV420" i="1"/>
  <c r="AV422" i="1"/>
  <c r="AV457" i="1" s="1"/>
  <c r="AV423" i="1"/>
  <c r="AV458" i="1" s="1"/>
  <c r="AV487" i="1" s="1"/>
  <c r="AV425" i="1"/>
  <c r="AV460" i="1" s="1"/>
  <c r="AV489" i="1" s="1"/>
  <c r="AV434" i="1"/>
  <c r="AV444" i="1"/>
  <c r="AV445" i="1"/>
  <c r="AV450" i="1"/>
  <c r="AV473" i="1"/>
  <c r="AV474" i="1"/>
  <c r="AV475" i="1"/>
  <c r="AV479" i="1"/>
  <c r="AV501" i="1"/>
  <c r="AV503" i="1"/>
  <c r="AV504" i="1"/>
  <c r="AV507" i="1"/>
  <c r="AV516" i="1"/>
  <c r="AV517" i="1"/>
  <c r="AV518" i="1"/>
  <c r="AV519" i="1"/>
  <c r="AV520" i="1"/>
  <c r="AV522" i="1"/>
  <c r="AV536" i="1" s="1"/>
  <c r="AV588" i="1"/>
  <c r="AV589" i="1"/>
  <c r="AV599" i="1"/>
  <c r="AV625" i="1"/>
  <c r="AV626" i="1"/>
  <c r="AV678" i="1"/>
  <c r="AV701" i="1"/>
  <c r="AV703" i="1"/>
  <c r="AV712" i="1"/>
  <c r="AV735" i="1"/>
  <c r="Q56" i="31" s="1"/>
  <c r="AV737" i="1"/>
  <c r="AV763" i="1" s="1"/>
  <c r="AV814" i="1"/>
  <c r="AV815" i="1"/>
  <c r="AV818" i="1"/>
  <c r="AV821" i="1"/>
  <c r="AV824" i="1"/>
  <c r="AV827" i="1"/>
  <c r="AV839" i="1"/>
  <c r="AV101" i="1"/>
  <c r="AV105" i="1" s="1"/>
  <c r="AV115" i="1"/>
  <c r="AV122" i="1"/>
  <c r="R9" i="31" l="1"/>
  <c r="R69" i="31"/>
  <c r="AV762" i="1"/>
  <c r="AV327" i="1"/>
  <c r="AV260" i="1"/>
  <c r="AV699" i="1" s="1"/>
  <c r="AV611" i="1"/>
  <c r="AX634" i="1"/>
  <c r="AW634" i="1"/>
  <c r="AV584" i="1"/>
  <c r="AW218" i="1"/>
  <c r="AW54" i="1"/>
  <c r="AW64" i="1"/>
  <c r="AW266" i="1"/>
  <c r="AW698" i="1"/>
  <c r="AW702" i="1"/>
  <c r="AV171" i="1"/>
  <c r="AW228" i="1" s="1"/>
  <c r="AW227" i="1"/>
  <c r="AW232" i="1" s="1"/>
  <c r="AV468" i="1"/>
  <c r="AV713" i="1"/>
  <c r="AV602" i="1"/>
  <c r="AV159" i="1"/>
  <c r="AV257" i="1"/>
  <c r="AV242" i="1" s="1"/>
  <c r="AV455" i="1"/>
  <c r="AV484" i="1" s="1"/>
  <c r="AV186" i="1"/>
  <c r="AV192" i="1"/>
  <c r="AV248" i="1"/>
  <c r="AV253" i="1" s="1"/>
  <c r="AV486" i="1"/>
  <c r="AV456" i="1"/>
  <c r="AV485" i="1" s="1"/>
  <c r="AV623" i="1"/>
  <c r="AV472" i="1"/>
  <c r="Q35" i="31" s="1"/>
  <c r="AV178" i="1"/>
  <c r="Q59" i="31" s="1"/>
  <c r="AV427" i="1"/>
  <c r="AV462" i="1" s="1"/>
  <c r="AV491" i="1" s="1"/>
  <c r="AV145" i="1"/>
  <c r="AV238" i="1"/>
  <c r="AV196" i="1"/>
  <c r="AV204" i="1"/>
  <c r="Q61" i="31" s="1"/>
  <c r="AV443" i="1"/>
  <c r="Q28" i="31" s="1"/>
  <c r="R30" i="31" s="1"/>
  <c r="AV208" i="1"/>
  <c r="AW265" i="1" s="1"/>
  <c r="AV197" i="1"/>
  <c r="Q36" i="31" l="1"/>
  <c r="R60" i="31"/>
  <c r="AV667" i="1"/>
  <c r="AV670" i="1"/>
  <c r="AW206" i="1"/>
  <c r="AX98" i="1"/>
  <c r="AV261" i="1"/>
  <c r="AV465" i="1"/>
  <c r="AW267" i="1"/>
  <c r="AW53" i="1"/>
  <c r="AW217" i="1"/>
  <c r="AW233" i="1"/>
  <c r="AV247" i="1"/>
  <c r="AV249" i="1" s="1"/>
  <c r="AV177" i="1"/>
  <c r="AV146" i="1" s="1"/>
  <c r="AV181" i="1"/>
  <c r="AV471" i="1"/>
  <c r="AV430" i="1"/>
  <c r="AV441" i="1"/>
  <c r="Q26" i="31" s="1"/>
  <c r="AV244" i="1"/>
  <c r="AV612" i="1"/>
  <c r="AV152" i="1"/>
  <c r="AV198" i="1"/>
  <c r="AV795" i="1"/>
  <c r="AV143" i="1"/>
  <c r="R29" i="31" l="1"/>
  <c r="AV813" i="1"/>
  <c r="AV252" i="1"/>
  <c r="AV254" i="1" s="1"/>
  <c r="AV825" i="1"/>
  <c r="AV154" i="1"/>
  <c r="AV812" i="1"/>
  <c r="AV819" i="1"/>
  <c r="AV440" i="1"/>
  <c r="AW96" i="1" s="1"/>
  <c r="AV822" i="1"/>
  <c r="AV816" i="1"/>
  <c r="AV820" i="1"/>
  <c r="AV826" i="1"/>
  <c r="AV147" i="1"/>
  <c r="AV817" i="1"/>
  <c r="AV823" i="1"/>
  <c r="AU135" i="1"/>
  <c r="AU138" i="1"/>
  <c r="AU165" i="1" l="1"/>
  <c r="AV223" i="1" s="1"/>
  <c r="AT165" i="1"/>
  <c r="AS165" i="1"/>
  <c r="AU672" i="1" l="1"/>
  <c r="AU191" i="1"/>
  <c r="AT191" i="1"/>
  <c r="AT190" i="1"/>
  <c r="AU190" i="1"/>
  <c r="AU185" i="1"/>
  <c r="AU184" i="1"/>
  <c r="AU115" i="1"/>
  <c r="CX258" i="1"/>
  <c r="AU704" i="1"/>
  <c r="AT704" i="1"/>
  <c r="AS704" i="1"/>
  <c r="AU665" i="1"/>
  <c r="AU708" i="1"/>
  <c r="AU705" i="1"/>
  <c r="AU680" i="1"/>
  <c r="AU546" i="1"/>
  <c r="AU545" i="1"/>
  <c r="AU544" i="1"/>
  <c r="AU543" i="1"/>
  <c r="AU470" i="1"/>
  <c r="AU469" i="1"/>
  <c r="AU407" i="1"/>
  <c r="P16" i="31" s="1"/>
  <c r="AU395" i="1"/>
  <c r="AU203" i="1"/>
  <c r="AU202" i="1" s="1"/>
  <c r="AU173" i="1"/>
  <c r="AV227" i="1" s="1"/>
  <c r="AV232" i="1" s="1"/>
  <c r="AU160" i="1"/>
  <c r="CX682" i="1"/>
  <c r="CX681" i="1"/>
  <c r="AU671" i="1"/>
  <c r="AU668" i="1"/>
  <c r="AU663" i="1"/>
  <c r="AU661" i="1"/>
  <c r="AU610" i="1"/>
  <c r="AU601" i="1"/>
  <c r="AU611" i="1" l="1"/>
  <c r="AU612" i="1" s="1"/>
  <c r="AU159" i="1"/>
  <c r="AV217" i="1" s="1"/>
  <c r="AV218" i="1"/>
  <c r="AV233" i="1"/>
  <c r="AV702" i="1"/>
  <c r="AV698" i="1"/>
  <c r="AU396" i="1"/>
  <c r="P11" i="31" s="1"/>
  <c r="AU571" i="1"/>
  <c r="AV627" i="1" s="1"/>
  <c r="AU535" i="1"/>
  <c r="AU526" i="1"/>
  <c r="AV621" i="1" s="1"/>
  <c r="AU523" i="1"/>
  <c r="AU507" i="1"/>
  <c r="AU442" i="1"/>
  <c r="P27" i="31" s="1"/>
  <c r="AU259" i="1"/>
  <c r="AU258" i="1"/>
  <c r="AU171" i="1"/>
  <c r="AV228" i="1" s="1"/>
  <c r="AU176" i="1"/>
  <c r="AU178" i="1"/>
  <c r="P59" i="31" s="1"/>
  <c r="Q60" i="31" s="1"/>
  <c r="AU199" i="1"/>
  <c r="AU197" i="1"/>
  <c r="AU204" i="1"/>
  <c r="P61" i="31" s="1"/>
  <c r="AU209" i="1"/>
  <c r="AU212" i="1"/>
  <c r="AU222" i="1"/>
  <c r="AU234" i="1"/>
  <c r="AU262" i="1"/>
  <c r="AU318" i="1"/>
  <c r="AU381" i="1"/>
  <c r="P8" i="31" s="1"/>
  <c r="AU388" i="1"/>
  <c r="AU409" i="1"/>
  <c r="AU421" i="1" s="1"/>
  <c r="AU415" i="1"/>
  <c r="AU420" i="1"/>
  <c r="AU422" i="1"/>
  <c r="AU457" i="1" s="1"/>
  <c r="AU423" i="1"/>
  <c r="AU458" i="1" s="1"/>
  <c r="AU487" i="1" s="1"/>
  <c r="AU425" i="1"/>
  <c r="AU460" i="1" s="1"/>
  <c r="AU489" i="1" s="1"/>
  <c r="AU434" i="1"/>
  <c r="AU444" i="1"/>
  <c r="AU445" i="1"/>
  <c r="AU450" i="1"/>
  <c r="AU467" i="1"/>
  <c r="AU468" i="1" s="1"/>
  <c r="AU473" i="1"/>
  <c r="AU474" i="1"/>
  <c r="AU475" i="1"/>
  <c r="AU479" i="1"/>
  <c r="AU501" i="1"/>
  <c r="AU503" i="1"/>
  <c r="AU504" i="1"/>
  <c r="AU516" i="1"/>
  <c r="AU517" i="1"/>
  <c r="AU518" i="1"/>
  <c r="AU519" i="1"/>
  <c r="AU520" i="1"/>
  <c r="AU522" i="1"/>
  <c r="AU588" i="1"/>
  <c r="AU589" i="1"/>
  <c r="AU599" i="1"/>
  <c r="AU602" i="1" s="1"/>
  <c r="AU625" i="1"/>
  <c r="AU626" i="1"/>
  <c r="AU677" i="1"/>
  <c r="AU678" i="1"/>
  <c r="AU701" i="1"/>
  <c r="AU703" i="1"/>
  <c r="AU712" i="1"/>
  <c r="AU713" i="1"/>
  <c r="AU735" i="1"/>
  <c r="P56" i="31" s="1"/>
  <c r="AU737" i="1"/>
  <c r="AU763" i="1" s="1"/>
  <c r="AU814" i="1"/>
  <c r="AU815" i="1"/>
  <c r="AU818" i="1"/>
  <c r="AU821" i="1"/>
  <c r="AU824" i="1"/>
  <c r="AU827" i="1"/>
  <c r="AU839" i="1"/>
  <c r="AU122" i="1"/>
  <c r="AU101" i="1"/>
  <c r="AU105" i="1" s="1"/>
  <c r="Q9" i="31" l="1"/>
  <c r="AU670" i="1"/>
  <c r="AV206" i="1"/>
  <c r="AU762" i="1"/>
  <c r="AU327" i="1"/>
  <c r="AU621" i="1"/>
  <c r="AU584" i="1"/>
  <c r="AU243" i="1"/>
  <c r="AU248" i="1"/>
  <c r="AU208" i="1"/>
  <c r="AV265" i="1" s="1"/>
  <c r="AV266" i="1"/>
  <c r="AU817" i="1"/>
  <c r="AU116" i="1"/>
  <c r="AU427" i="1"/>
  <c r="AU462" i="1" s="1"/>
  <c r="AU491" i="1" s="1"/>
  <c r="AU257" i="1"/>
  <c r="AU186" i="1"/>
  <c r="AU192" i="1"/>
  <c r="AU260" i="1"/>
  <c r="AU699" i="1" s="1"/>
  <c r="AU196" i="1"/>
  <c r="AU486" i="1"/>
  <c r="AU472" i="1"/>
  <c r="P35" i="31" s="1"/>
  <c r="P36" i="31" s="1"/>
  <c r="AU443" i="1"/>
  <c r="AU456" i="1"/>
  <c r="AU485" i="1" s="1"/>
  <c r="AU455" i="1"/>
  <c r="AU484" i="1" s="1"/>
  <c r="AU145" i="1"/>
  <c r="AU177" i="1"/>
  <c r="AU114" i="1" s="1"/>
  <c r="AU667" i="1"/>
  <c r="AU826" i="1"/>
  <c r="AU181" i="1"/>
  <c r="AU820" i="1"/>
  <c r="AU795" i="1"/>
  <c r="AU237" i="1"/>
  <c r="P68" i="31" s="1"/>
  <c r="Q69" i="31" s="1"/>
  <c r="AU823" i="1"/>
  <c r="AU536" i="1"/>
  <c r="AU623" i="1" s="1"/>
  <c r="P28" i="31" l="1"/>
  <c r="AU465" i="1"/>
  <c r="AU152" i="1"/>
  <c r="AU147" i="1"/>
  <c r="AU253" i="1"/>
  <c r="AU430" i="1"/>
  <c r="AW98" i="1"/>
  <c r="AU242" i="1"/>
  <c r="AU244" i="1" s="1"/>
  <c r="AU247" i="1"/>
  <c r="AU249" i="1" s="1"/>
  <c r="AV267" i="1"/>
  <c r="AU198" i="1"/>
  <c r="AU146" i="1"/>
  <c r="AU261" i="1"/>
  <c r="AU471" i="1"/>
  <c r="AU441" i="1"/>
  <c r="P26" i="31" s="1"/>
  <c r="AU238" i="1"/>
  <c r="AU816" i="1"/>
  <c r="AU822" i="1"/>
  <c r="AU812" i="1"/>
  <c r="AU154" i="1"/>
  <c r="AU813" i="1"/>
  <c r="AU819" i="1"/>
  <c r="AU825" i="1"/>
  <c r="Q30" i="31" l="1"/>
  <c r="Q29" i="31"/>
  <c r="AU440" i="1"/>
  <c r="AV96" i="1" s="1"/>
  <c r="AU252" i="1"/>
  <c r="AU254" i="1" s="1"/>
  <c r="DH857" i="1"/>
  <c r="DH736" i="1"/>
  <c r="DH707" i="1"/>
  <c r="DH528" i="1"/>
  <c r="DH527" i="1"/>
  <c r="DH524" i="1"/>
  <c r="DH523" i="1"/>
  <c r="DH508" i="1"/>
  <c r="DH505" i="1"/>
  <c r="DH492" i="1"/>
  <c r="DH479" i="1"/>
  <c r="DH477" i="1"/>
  <c r="DH476" i="1"/>
  <c r="DH450" i="1"/>
  <c r="DH448" i="1"/>
  <c r="DH447" i="1"/>
  <c r="DH446" i="1"/>
  <c r="DH442" i="1"/>
  <c r="BD27" i="31" s="1"/>
  <c r="DH435" i="1"/>
  <c r="DH415" i="1"/>
  <c r="DH413" i="1"/>
  <c r="DH411" i="1"/>
  <c r="DH410" i="1"/>
  <c r="DH407" i="1"/>
  <c r="BD16" i="31" s="1"/>
  <c r="DH400" i="1"/>
  <c r="DH399" i="1"/>
  <c r="DH388" i="1"/>
  <c r="DH386" i="1"/>
  <c r="DH385" i="1"/>
  <c r="DH384" i="1"/>
  <c r="DH383" i="1"/>
  <c r="DH382" i="1"/>
  <c r="DH420" i="1" s="1"/>
  <c r="DH149" i="1"/>
  <c r="DH105" i="1"/>
  <c r="DH104" i="1"/>
  <c r="DH35" i="1"/>
  <c r="DH34" i="1"/>
  <c r="BO622" i="1"/>
  <c r="BN622" i="1"/>
  <c r="BO520" i="1"/>
  <c r="BN520" i="1"/>
  <c r="BO519" i="1"/>
  <c r="BN519" i="1"/>
  <c r="BO518" i="1"/>
  <c r="BN518" i="1"/>
  <c r="BO517" i="1"/>
  <c r="BN517" i="1"/>
  <c r="BO516" i="1"/>
  <c r="BN516" i="1"/>
  <c r="BO504" i="1"/>
  <c r="BN504" i="1"/>
  <c r="BO503" i="1"/>
  <c r="BN503" i="1"/>
  <c r="BO501" i="1"/>
  <c r="BN501" i="1"/>
  <c r="BO475" i="1"/>
  <c r="BN475" i="1"/>
  <c r="BO474" i="1"/>
  <c r="BN474" i="1"/>
  <c r="BO473" i="1"/>
  <c r="BN473" i="1"/>
  <c r="BO445" i="1"/>
  <c r="BN445" i="1"/>
  <c r="BO444" i="1"/>
  <c r="BN444" i="1"/>
  <c r="BO427" i="1"/>
  <c r="BO462" i="1" s="1"/>
  <c r="BO491" i="1" s="1"/>
  <c r="BO507" i="1" s="1"/>
  <c r="BN427" i="1"/>
  <c r="BN462" i="1" s="1"/>
  <c r="BN491" i="1" s="1"/>
  <c r="BN507" i="1" s="1"/>
  <c r="BO425" i="1"/>
  <c r="BO460" i="1" s="1"/>
  <c r="BO489" i="1" s="1"/>
  <c r="BN425" i="1"/>
  <c r="BN460" i="1" s="1"/>
  <c r="BN489" i="1" s="1"/>
  <c r="BO423" i="1"/>
  <c r="BO458" i="1" s="1"/>
  <c r="BO487" i="1" s="1"/>
  <c r="BN423" i="1"/>
  <c r="BN458" i="1" s="1"/>
  <c r="BN487" i="1" s="1"/>
  <c r="BO422" i="1"/>
  <c r="BO457" i="1" s="1"/>
  <c r="BN422" i="1"/>
  <c r="BN457" i="1" s="1"/>
  <c r="BO420" i="1"/>
  <c r="BN420" i="1"/>
  <c r="BO409" i="1"/>
  <c r="BN409" i="1"/>
  <c r="BN421" i="1" s="1"/>
  <c r="BO60" i="1"/>
  <c r="BN60" i="1"/>
  <c r="BO59" i="1"/>
  <c r="BN59" i="1"/>
  <c r="BO421" i="1" l="1"/>
  <c r="BO456" i="1" s="1"/>
  <c r="BO485" i="1" s="1"/>
  <c r="DH444" i="1"/>
  <c r="DH455" i="1" s="1"/>
  <c r="DH503" i="1"/>
  <c r="DH473" i="1"/>
  <c r="DH501" i="1"/>
  <c r="DH516" i="1"/>
  <c r="DH519" i="1"/>
  <c r="BO486" i="1"/>
  <c r="DH423" i="1"/>
  <c r="DH458" i="1" s="1"/>
  <c r="DH487" i="1" s="1"/>
  <c r="DH475" i="1"/>
  <c r="DH504" i="1"/>
  <c r="DH425" i="1"/>
  <c r="DH460" i="1" s="1"/>
  <c r="DH489" i="1" s="1"/>
  <c r="DH507" i="1"/>
  <c r="DH518" i="1"/>
  <c r="DH622" i="1"/>
  <c r="DH474" i="1"/>
  <c r="DH422" i="1"/>
  <c r="DH457" i="1" s="1"/>
  <c r="DH517" i="1"/>
  <c r="DH520" i="1"/>
  <c r="DH445" i="1"/>
  <c r="BN486" i="1"/>
  <c r="DH409" i="1"/>
  <c r="DH421" i="1" s="1"/>
  <c r="BN456" i="1"/>
  <c r="BN485" i="1" s="1"/>
  <c r="BN455" i="1"/>
  <c r="BN484" i="1" s="1"/>
  <c r="DH427" i="1"/>
  <c r="DH462" i="1" s="1"/>
  <c r="DH491" i="1" s="1"/>
  <c r="BO455" i="1"/>
  <c r="BO484" i="1" s="1"/>
  <c r="DH484" i="1" l="1"/>
  <c r="DH486" i="1"/>
  <c r="DH456" i="1"/>
  <c r="DH485" i="1" s="1"/>
  <c r="CW557" i="1"/>
  <c r="CV557" i="1"/>
  <c r="CU557" i="1"/>
  <c r="CT557" i="1"/>
  <c r="CS557" i="1"/>
  <c r="CR557" i="1"/>
  <c r="CQ557" i="1"/>
  <c r="CP557" i="1"/>
  <c r="CO557" i="1"/>
  <c r="CN557" i="1"/>
  <c r="CM557" i="1"/>
  <c r="CL557" i="1"/>
  <c r="CK557" i="1"/>
  <c r="CJ557" i="1"/>
  <c r="CI557" i="1"/>
  <c r="CH557" i="1"/>
  <c r="CG557" i="1"/>
  <c r="CF557" i="1"/>
  <c r="CE557" i="1"/>
  <c r="CD557" i="1"/>
  <c r="CC557" i="1"/>
  <c r="AS469" i="1" l="1"/>
  <c r="AT470" i="1"/>
  <c r="AT469" i="1"/>
  <c r="AT467" i="1"/>
  <c r="AT680" i="1"/>
  <c r="AT672" i="1"/>
  <c r="AT671" i="1"/>
  <c r="AT668" i="1"/>
  <c r="AT665" i="1"/>
  <c r="AT663" i="1"/>
  <c r="AT661" i="1"/>
  <c r="AT610" i="1"/>
  <c r="AT601" i="1"/>
  <c r="AT571" i="1"/>
  <c r="AU627" i="1" s="1"/>
  <c r="AT546" i="1"/>
  <c r="AT545" i="1"/>
  <c r="AT544" i="1"/>
  <c r="AT543" i="1"/>
  <c r="AU141" i="1" s="1"/>
  <c r="AU537" i="1"/>
  <c r="AT523" i="1"/>
  <c r="AT442" i="1"/>
  <c r="AT407" i="1"/>
  <c r="O16" i="31" s="1"/>
  <c r="AT396" i="1"/>
  <c r="O11" i="31" s="1"/>
  <c r="AT259" i="1"/>
  <c r="AT258" i="1"/>
  <c r="AT205" i="1"/>
  <c r="AT203" i="1"/>
  <c r="AT202" i="1"/>
  <c r="AS191" i="1"/>
  <c r="AS190" i="1"/>
  <c r="AT185" i="1"/>
  <c r="AT184" i="1"/>
  <c r="AT160" i="1"/>
  <c r="AT159" i="1" s="1"/>
  <c r="CX442" i="1" l="1"/>
  <c r="AT27" i="31" s="1"/>
  <c r="O27" i="31"/>
  <c r="AT260" i="1"/>
  <c r="AT699" i="1" s="1"/>
  <c r="AT611" i="1"/>
  <c r="AT248" i="1"/>
  <c r="AT243" i="1"/>
  <c r="AU634" i="1"/>
  <c r="AU218" i="1"/>
  <c r="AU143" i="1"/>
  <c r="AU698" i="1"/>
  <c r="AU702" i="1"/>
  <c r="AU217" i="1"/>
  <c r="AU223" i="1"/>
  <c r="AT176" i="1"/>
  <c r="AT145" i="1" s="1"/>
  <c r="AT186" i="1"/>
  <c r="AT192" i="1"/>
  <c r="AT199" i="1"/>
  <c r="AT204" i="1"/>
  <c r="O61" i="31" s="1"/>
  <c r="AT209" i="1"/>
  <c r="AU266" i="1" s="1"/>
  <c r="AT212" i="1"/>
  <c r="AT222" i="1"/>
  <c r="AT234" i="1"/>
  <c r="AT237" i="1" s="1"/>
  <c r="O68" i="31" s="1"/>
  <c r="AT257" i="1"/>
  <c r="AT262" i="1"/>
  <c r="AT318" i="1"/>
  <c r="AT381" i="1"/>
  <c r="O8" i="31" s="1"/>
  <c r="AT388" i="1"/>
  <c r="AT409" i="1"/>
  <c r="AT421" i="1" s="1"/>
  <c r="AT415" i="1"/>
  <c r="AT420" i="1"/>
  <c r="AT422" i="1"/>
  <c r="AT457" i="1" s="1"/>
  <c r="AT423" i="1"/>
  <c r="AT458" i="1" s="1"/>
  <c r="AT487" i="1" s="1"/>
  <c r="AT425" i="1"/>
  <c r="AT460" i="1" s="1"/>
  <c r="AT489" i="1" s="1"/>
  <c r="AT434" i="1"/>
  <c r="AT444" i="1"/>
  <c r="AT445" i="1"/>
  <c r="AT450" i="1"/>
  <c r="AT468" i="1"/>
  <c r="AT473" i="1"/>
  <c r="AT474" i="1"/>
  <c r="AT475" i="1"/>
  <c r="AT479" i="1"/>
  <c r="AT501" i="1"/>
  <c r="AT503" i="1"/>
  <c r="AT504" i="1"/>
  <c r="AT507" i="1"/>
  <c r="AT516" i="1"/>
  <c r="AT517" i="1"/>
  <c r="AT518" i="1"/>
  <c r="AT519" i="1"/>
  <c r="AT520" i="1"/>
  <c r="AT522" i="1"/>
  <c r="AT536" i="1" s="1"/>
  <c r="AT623" i="1" s="1"/>
  <c r="AT584" i="1"/>
  <c r="AT588" i="1"/>
  <c r="AT589" i="1"/>
  <c r="AT599" i="1"/>
  <c r="AT602" i="1" s="1"/>
  <c r="AT625" i="1"/>
  <c r="AT626" i="1"/>
  <c r="AT677" i="1"/>
  <c r="AT678" i="1"/>
  <c r="AT701" i="1"/>
  <c r="AT703" i="1"/>
  <c r="AT712" i="1"/>
  <c r="AT713" i="1"/>
  <c r="AT735" i="1"/>
  <c r="O56" i="31" s="1"/>
  <c r="AT737" i="1"/>
  <c r="AT763" i="1" s="1"/>
  <c r="AT814" i="1"/>
  <c r="AT815" i="1"/>
  <c r="AT818" i="1"/>
  <c r="AT821" i="1"/>
  <c r="AT824" i="1"/>
  <c r="AT827" i="1"/>
  <c r="AT839" i="1"/>
  <c r="AT101" i="1"/>
  <c r="AT105" i="1" s="1"/>
  <c r="AT115" i="1"/>
  <c r="AT122" i="1"/>
  <c r="P69" i="31" l="1"/>
  <c r="P9" i="31"/>
  <c r="AT670" i="1"/>
  <c r="AU206" i="1"/>
  <c r="AT762" i="1"/>
  <c r="AV634" i="1"/>
  <c r="AT173" i="1"/>
  <c r="AU215" i="1"/>
  <c r="AU216" i="1"/>
  <c r="AT197" i="1"/>
  <c r="AT455" i="1"/>
  <c r="AT484" i="1" s="1"/>
  <c r="AT456" i="1"/>
  <c r="AT485" i="1" s="1"/>
  <c r="AT486" i="1"/>
  <c r="AT472" i="1"/>
  <c r="O35" i="31" s="1"/>
  <c r="AT247" i="1"/>
  <c r="AT249" i="1" s="1"/>
  <c r="AT242" i="1"/>
  <c r="AT427" i="1"/>
  <c r="AT462" i="1" s="1"/>
  <c r="AT491" i="1" s="1"/>
  <c r="AT198" i="1"/>
  <c r="AT238" i="1"/>
  <c r="AT253" i="1"/>
  <c r="AT443" i="1"/>
  <c r="AT327" i="1"/>
  <c r="AT261" i="1"/>
  <c r="AT208" i="1"/>
  <c r="AU265" i="1" s="1"/>
  <c r="AU267" i="1" s="1"/>
  <c r="AT196" i="1"/>
  <c r="O28" i="31" l="1"/>
  <c r="AT471" i="1"/>
  <c r="AT465" i="1"/>
  <c r="AU227" i="1"/>
  <c r="AU232" i="1" s="1"/>
  <c r="AU233" i="1" s="1"/>
  <c r="AT171" i="1"/>
  <c r="AU228" i="1" s="1"/>
  <c r="AT178" i="1"/>
  <c r="O59" i="31" s="1"/>
  <c r="AT430" i="1"/>
  <c r="AT441" i="1"/>
  <c r="O26" i="31" s="1"/>
  <c r="P29" i="31" s="1"/>
  <c r="AT152" i="1"/>
  <c r="AT244" i="1"/>
  <c r="AT252" i="1"/>
  <c r="AT254" i="1" s="1"/>
  <c r="AT612" i="1"/>
  <c r="P60" i="31" l="1"/>
  <c r="P30" i="31"/>
  <c r="O36" i="31"/>
  <c r="AT440" i="1"/>
  <c r="AT181" i="1"/>
  <c r="AT795" i="1"/>
  <c r="AT177" i="1"/>
  <c r="AT146" i="1" s="1"/>
  <c r="AT667" i="1"/>
  <c r="AT820" i="1"/>
  <c r="AT826" i="1"/>
  <c r="AT817" i="1"/>
  <c r="AT823" i="1"/>
  <c r="AT147" i="1" l="1"/>
  <c r="AT819" i="1"/>
  <c r="AT154" i="1"/>
  <c r="AT813" i="1"/>
  <c r="AT825" i="1"/>
  <c r="AT816" i="1"/>
  <c r="AT812" i="1"/>
  <c r="AT822" i="1"/>
  <c r="AS467" i="1" l="1"/>
  <c r="AS712" i="1"/>
  <c r="AS470" i="1"/>
  <c r="CW258" i="1" l="1"/>
  <c r="AS680" i="1"/>
  <c r="AS672" i="1"/>
  <c r="AS671" i="1"/>
  <c r="AS668" i="1"/>
  <c r="AS665" i="1"/>
  <c r="AS677" i="1" s="1"/>
  <c r="AS663" i="1"/>
  <c r="AS661" i="1"/>
  <c r="AS610" i="1"/>
  <c r="AS601" i="1"/>
  <c r="AS571" i="1"/>
  <c r="AS546" i="1"/>
  <c r="AS545" i="1"/>
  <c r="AR545" i="1"/>
  <c r="AR544" i="1"/>
  <c r="AS544" i="1"/>
  <c r="AS543" i="1"/>
  <c r="AS535" i="1"/>
  <c r="AS526" i="1"/>
  <c r="AS523" i="1"/>
  <c r="AR523" i="1"/>
  <c r="AS509" i="1"/>
  <c r="AS507" i="1" s="1"/>
  <c r="AS442" i="1"/>
  <c r="N27" i="31" s="1"/>
  <c r="AS416" i="1"/>
  <c r="AS415" i="1" s="1"/>
  <c r="AS407" i="1"/>
  <c r="N16" i="31" s="1"/>
  <c r="AR407" i="1"/>
  <c r="M16" i="31" s="1"/>
  <c r="AS396" i="1"/>
  <c r="N11" i="31" s="1"/>
  <c r="AS259" i="1"/>
  <c r="AS258" i="1"/>
  <c r="AS205" i="1"/>
  <c r="AS199" i="1" s="1"/>
  <c r="AS203" i="1"/>
  <c r="AS202" i="1"/>
  <c r="AS185" i="1"/>
  <c r="AS184" i="1"/>
  <c r="AS160" i="1"/>
  <c r="AT223" i="1"/>
  <c r="AS176" i="1"/>
  <c r="AS209" i="1"/>
  <c r="AS212" i="1"/>
  <c r="AS216" i="1"/>
  <c r="AS222" i="1"/>
  <c r="AS234" i="1"/>
  <c r="AS237" i="1" s="1"/>
  <c r="N68" i="31" s="1"/>
  <c r="AS262" i="1"/>
  <c r="AS318" i="1"/>
  <c r="AS381" i="1"/>
  <c r="N8" i="31" s="1"/>
  <c r="AS388" i="1"/>
  <c r="AS409" i="1"/>
  <c r="AS421" i="1" s="1"/>
  <c r="AS420" i="1"/>
  <c r="AS422" i="1"/>
  <c r="AS457" i="1" s="1"/>
  <c r="AS423" i="1"/>
  <c r="AS458" i="1" s="1"/>
  <c r="AS487" i="1" s="1"/>
  <c r="AS425" i="1"/>
  <c r="AS460" i="1" s="1"/>
  <c r="AS489" i="1" s="1"/>
  <c r="AS434" i="1"/>
  <c r="AS444" i="1"/>
  <c r="AS445" i="1"/>
  <c r="AS450" i="1"/>
  <c r="AS473" i="1"/>
  <c r="AS474" i="1"/>
  <c r="AS475" i="1"/>
  <c r="AS479" i="1"/>
  <c r="AS501" i="1"/>
  <c r="AS503" i="1"/>
  <c r="AS504" i="1"/>
  <c r="AS516" i="1"/>
  <c r="AS517" i="1"/>
  <c r="AS518" i="1"/>
  <c r="AS519" i="1"/>
  <c r="AS520" i="1"/>
  <c r="AS522" i="1"/>
  <c r="AS536" i="1" s="1"/>
  <c r="AS588" i="1"/>
  <c r="AS589" i="1"/>
  <c r="AS599" i="1"/>
  <c r="AS625" i="1"/>
  <c r="AS626" i="1"/>
  <c r="AS678" i="1"/>
  <c r="AS701" i="1"/>
  <c r="AS703" i="1"/>
  <c r="AS713" i="1"/>
  <c r="AS814" i="1"/>
  <c r="AS815" i="1"/>
  <c r="AS818" i="1"/>
  <c r="AS821" i="1"/>
  <c r="AS824" i="1"/>
  <c r="AS827" i="1"/>
  <c r="AS839" i="1"/>
  <c r="AS735" i="1"/>
  <c r="N56" i="31" s="1"/>
  <c r="AS101" i="1"/>
  <c r="AS105" i="1" s="1"/>
  <c r="AS115" i="1"/>
  <c r="AS122" i="1"/>
  <c r="O9" i="31" l="1"/>
  <c r="O69" i="31"/>
  <c r="AS762" i="1"/>
  <c r="AS260" i="1"/>
  <c r="AS699" i="1" s="1"/>
  <c r="AS611" i="1"/>
  <c r="AS215" i="1"/>
  <c r="AS159" i="1"/>
  <c r="AT217" i="1" s="1"/>
  <c r="AS173" i="1"/>
  <c r="AS178" i="1" s="1"/>
  <c r="N59" i="31" s="1"/>
  <c r="AT215" i="1"/>
  <c r="AT216" i="1"/>
  <c r="AS204" i="1"/>
  <c r="N61" i="31" s="1"/>
  <c r="AS623" i="1"/>
  <c r="AT218" i="1"/>
  <c r="AS243" i="1"/>
  <c r="AS248" i="1"/>
  <c r="AS584" i="1"/>
  <c r="AT627" i="1"/>
  <c r="AR139" i="1"/>
  <c r="AT702" i="1"/>
  <c r="AT698" i="1"/>
  <c r="AS208" i="1"/>
  <c r="AT265" i="1" s="1"/>
  <c r="AT266" i="1"/>
  <c r="AS621" i="1"/>
  <c r="AT621" i="1"/>
  <c r="AS602" i="1"/>
  <c r="AS257" i="1"/>
  <c r="AS247" i="1" s="1"/>
  <c r="AS192" i="1"/>
  <c r="AS197" i="1"/>
  <c r="AS472" i="1"/>
  <c r="N35" i="31" s="1"/>
  <c r="AS186" i="1"/>
  <c r="AS196" i="1"/>
  <c r="AS427" i="1"/>
  <c r="AS462" i="1" s="1"/>
  <c r="AS491" i="1" s="1"/>
  <c r="AS455" i="1"/>
  <c r="AS484" i="1" s="1"/>
  <c r="AS456" i="1"/>
  <c r="AS485" i="1" s="1"/>
  <c r="AS486" i="1"/>
  <c r="AS238" i="1"/>
  <c r="AS443" i="1"/>
  <c r="AS327" i="1"/>
  <c r="AS261" i="1"/>
  <c r="AS737" i="1"/>
  <c r="AS763" i="1" s="1"/>
  <c r="AS612" i="1"/>
  <c r="AS145" i="1"/>
  <c r="N36" i="31" l="1"/>
  <c r="O60" i="31"/>
  <c r="N28" i="31"/>
  <c r="AS670" i="1"/>
  <c r="AT206" i="1"/>
  <c r="AS465" i="1"/>
  <c r="AS177" i="1"/>
  <c r="AS146" i="1" s="1"/>
  <c r="AS667" i="1"/>
  <c r="AS181" i="1"/>
  <c r="AS795" i="1"/>
  <c r="AT227" i="1"/>
  <c r="AT232" i="1" s="1"/>
  <c r="AT233" i="1" s="1"/>
  <c r="AS227" i="1"/>
  <c r="AS232" i="1" s="1"/>
  <c r="AS233" i="1" s="1"/>
  <c r="AS171" i="1"/>
  <c r="AT228" i="1" s="1"/>
  <c r="AS242" i="1"/>
  <c r="AS252" i="1" s="1"/>
  <c r="AT267" i="1"/>
  <c r="AS152" i="1"/>
  <c r="AS198" i="1"/>
  <c r="AS471" i="1"/>
  <c r="AS820" i="1"/>
  <c r="AS826" i="1"/>
  <c r="AS817" i="1"/>
  <c r="AS823" i="1"/>
  <c r="AS430" i="1"/>
  <c r="AS441" i="1"/>
  <c r="N26" i="31" s="1"/>
  <c r="AS253" i="1"/>
  <c r="AS249" i="1"/>
  <c r="O29" i="31" l="1"/>
  <c r="O30" i="31"/>
  <c r="AS440" i="1"/>
  <c r="AT96" i="1" s="1"/>
  <c r="AS819" i="1"/>
  <c r="AS154" i="1"/>
  <c r="AS812" i="1"/>
  <c r="AS825" i="1"/>
  <c r="AS822" i="1"/>
  <c r="AS816" i="1"/>
  <c r="AS813" i="1"/>
  <c r="AS147" i="1"/>
  <c r="AS244" i="1"/>
  <c r="AS254" i="1"/>
  <c r="DG857" i="1"/>
  <c r="DG736" i="1"/>
  <c r="DG707" i="1"/>
  <c r="DG528" i="1"/>
  <c r="DG527" i="1"/>
  <c r="DG524" i="1"/>
  <c r="DG523" i="1"/>
  <c r="DG508" i="1"/>
  <c r="DG505" i="1"/>
  <c r="DG492" i="1"/>
  <c r="DG479" i="1"/>
  <c r="DG477" i="1"/>
  <c r="DG476" i="1"/>
  <c r="DG450" i="1"/>
  <c r="DG448" i="1"/>
  <c r="DG447" i="1"/>
  <c r="DG446" i="1"/>
  <c r="DG442" i="1"/>
  <c r="BC27" i="31" s="1"/>
  <c r="DG435" i="1"/>
  <c r="DG415" i="1"/>
  <c r="DG413" i="1"/>
  <c r="DG411" i="1"/>
  <c r="DG410" i="1"/>
  <c r="DG407" i="1"/>
  <c r="BC16" i="31" s="1"/>
  <c r="DG400" i="1"/>
  <c r="DG399" i="1"/>
  <c r="DG388" i="1"/>
  <c r="DG386" i="1"/>
  <c r="DG385" i="1"/>
  <c r="DG384" i="1"/>
  <c r="DG383" i="1"/>
  <c r="DG382" i="1"/>
  <c r="DG420" i="1" s="1"/>
  <c r="DG149" i="1"/>
  <c r="DG105" i="1"/>
  <c r="DG104" i="1"/>
  <c r="DG35" i="1"/>
  <c r="DG34" i="1"/>
  <c r="BM622" i="1"/>
  <c r="BL622" i="1"/>
  <c r="BM520" i="1"/>
  <c r="BL520" i="1"/>
  <c r="BM519" i="1"/>
  <c r="BL519" i="1"/>
  <c r="BM518" i="1"/>
  <c r="BL518" i="1"/>
  <c r="BM517" i="1"/>
  <c r="BL517" i="1"/>
  <c r="BM516" i="1"/>
  <c r="BL516" i="1"/>
  <c r="BM504" i="1"/>
  <c r="BL504" i="1"/>
  <c r="BM503" i="1"/>
  <c r="BL503" i="1"/>
  <c r="BM501" i="1"/>
  <c r="BL501" i="1"/>
  <c r="BM475" i="1"/>
  <c r="BL475" i="1"/>
  <c r="BM474" i="1"/>
  <c r="BL474" i="1"/>
  <c r="BM473" i="1"/>
  <c r="BL473" i="1"/>
  <c r="BM445" i="1"/>
  <c r="BL445" i="1"/>
  <c r="BM444" i="1"/>
  <c r="BL444" i="1"/>
  <c r="BM427" i="1"/>
  <c r="BM462" i="1" s="1"/>
  <c r="BM491" i="1" s="1"/>
  <c r="BM507" i="1" s="1"/>
  <c r="BL427" i="1"/>
  <c r="BL462" i="1" s="1"/>
  <c r="BL491" i="1" s="1"/>
  <c r="BL507" i="1" s="1"/>
  <c r="BM425" i="1"/>
  <c r="BM460" i="1" s="1"/>
  <c r="BM489" i="1" s="1"/>
  <c r="BL425" i="1"/>
  <c r="BL460" i="1" s="1"/>
  <c r="BL489" i="1" s="1"/>
  <c r="BM423" i="1"/>
  <c r="BM458" i="1" s="1"/>
  <c r="BM487" i="1" s="1"/>
  <c r="BL423" i="1"/>
  <c r="BL458" i="1" s="1"/>
  <c r="BL487" i="1" s="1"/>
  <c r="BM422" i="1"/>
  <c r="BM457" i="1" s="1"/>
  <c r="BL422" i="1"/>
  <c r="BL457" i="1" s="1"/>
  <c r="BM420" i="1"/>
  <c r="BL420" i="1"/>
  <c r="BM409" i="1"/>
  <c r="BM421" i="1" s="1"/>
  <c r="BL409" i="1"/>
  <c r="BL421" i="1" s="1"/>
  <c r="BM60" i="1"/>
  <c r="BL60" i="1"/>
  <c r="BM59" i="1"/>
  <c r="BL59" i="1"/>
  <c r="DG518" i="1" l="1"/>
  <c r="DG622" i="1"/>
  <c r="DG475" i="1"/>
  <c r="DG504" i="1"/>
  <c r="BL486" i="1"/>
  <c r="DG474" i="1"/>
  <c r="DG520" i="1"/>
  <c r="DG507" i="1"/>
  <c r="DG501" i="1"/>
  <c r="BL455" i="1"/>
  <c r="BL484" i="1" s="1"/>
  <c r="DG425" i="1"/>
  <c r="DG460" i="1" s="1"/>
  <c r="DG489" i="1" s="1"/>
  <c r="BM455" i="1"/>
  <c r="BM484" i="1" s="1"/>
  <c r="DG445" i="1"/>
  <c r="DG427" i="1"/>
  <c r="DG462" i="1" s="1"/>
  <c r="DG491" i="1" s="1"/>
  <c r="DG422" i="1"/>
  <c r="DG457" i="1" s="1"/>
  <c r="DG473" i="1"/>
  <c r="DG516" i="1"/>
  <c r="DG519" i="1"/>
  <c r="BM456" i="1"/>
  <c r="BM485" i="1" s="1"/>
  <c r="DG503" i="1"/>
  <c r="DG517" i="1"/>
  <c r="BM486" i="1"/>
  <c r="DG409" i="1"/>
  <c r="DG421" i="1" s="1"/>
  <c r="DG444" i="1"/>
  <c r="DG455" i="1" s="1"/>
  <c r="DG423" i="1"/>
  <c r="DG458" i="1" s="1"/>
  <c r="DG487" i="1" s="1"/>
  <c r="BL456" i="1"/>
  <c r="BL485" i="1" s="1"/>
  <c r="DG486" i="1" l="1"/>
  <c r="DG484" i="1"/>
  <c r="DG456" i="1"/>
  <c r="DG485" i="1" s="1"/>
  <c r="DF857" i="1"/>
  <c r="DE857" i="1"/>
  <c r="DD857" i="1"/>
  <c r="DC857" i="1"/>
  <c r="DB857" i="1"/>
  <c r="DA857" i="1"/>
  <c r="CZ857" i="1"/>
  <c r="CY857" i="1"/>
  <c r="CX857" i="1"/>
  <c r="CW857" i="1"/>
  <c r="CV660" i="1"/>
  <c r="CU660" i="1"/>
  <c r="CT660" i="1"/>
  <c r="CS660" i="1"/>
  <c r="CR660" i="1"/>
  <c r="CQ660" i="1"/>
  <c r="CP660" i="1"/>
  <c r="CO660" i="1"/>
  <c r="CN660" i="1"/>
  <c r="CM660" i="1"/>
  <c r="CL660" i="1"/>
  <c r="CK660" i="1"/>
  <c r="CJ660" i="1"/>
  <c r="CI660" i="1"/>
  <c r="CH660" i="1"/>
  <c r="CG660" i="1"/>
  <c r="CF660" i="1"/>
  <c r="CE660" i="1"/>
  <c r="CD660" i="1"/>
  <c r="CC660" i="1"/>
  <c r="CZ545" i="1" l="1"/>
  <c r="CZ544" i="1"/>
  <c r="CY545" i="1"/>
  <c r="C57" i="30" s="1"/>
  <c r="CY544" i="1"/>
  <c r="C56" i="30" s="1"/>
  <c r="CX545" i="1"/>
  <c r="CX544" i="1"/>
  <c r="CW545" i="1"/>
  <c r="CW544" i="1"/>
  <c r="AQ857" i="1" l="1"/>
  <c r="AR543" i="1"/>
  <c r="AR142" i="1"/>
  <c r="AR135" i="1"/>
  <c r="AQ142" i="1" l="1"/>
  <c r="CV857" i="1"/>
  <c r="AQ545" i="1"/>
  <c r="AQ135" i="1"/>
  <c r="AQ544" i="1"/>
  <c r="AP857" i="1"/>
  <c r="AQ543" i="1"/>
  <c r="CV545" i="1" l="1"/>
  <c r="CV544" i="1"/>
  <c r="AP544" i="1"/>
  <c r="AP543" i="1"/>
  <c r="AP142" i="1"/>
  <c r="AP545" i="1"/>
  <c r="AP135" i="1"/>
  <c r="AO857" i="1"/>
  <c r="CU857" i="1" s="1"/>
  <c r="CU544" i="1" l="1"/>
  <c r="CU545" i="1"/>
  <c r="AN857" i="1"/>
  <c r="AO543" i="1"/>
  <c r="AO135" i="1"/>
  <c r="AO544" i="1"/>
  <c r="AO545" i="1"/>
  <c r="AO142" i="1"/>
  <c r="AM857" i="1" l="1"/>
  <c r="CT857" i="1" s="1"/>
  <c r="AN545" i="1"/>
  <c r="AN142" i="1"/>
  <c r="AN543" i="1"/>
  <c r="AN544" i="1"/>
  <c r="AN135" i="1"/>
  <c r="CT545" i="1" l="1"/>
  <c r="CT544" i="1"/>
  <c r="AM545" i="1"/>
  <c r="AM135" i="1"/>
  <c r="AM544" i="1"/>
  <c r="AL857" i="1"/>
  <c r="AM543" i="1"/>
  <c r="AM142" i="1"/>
  <c r="AL544" i="1" l="1"/>
  <c r="AK857" i="1"/>
  <c r="CS857" i="1" s="1"/>
  <c r="AL545" i="1"/>
  <c r="AL543" i="1"/>
  <c r="AL142" i="1"/>
  <c r="AL135" i="1"/>
  <c r="CS544" i="1" l="1"/>
  <c r="CS545" i="1"/>
  <c r="AJ857" i="1"/>
  <c r="AK543" i="1"/>
  <c r="AK135" i="1"/>
  <c r="AK545" i="1"/>
  <c r="AK544" i="1"/>
  <c r="AK142" i="1"/>
  <c r="AI857" i="1" l="1"/>
  <c r="CR857" i="1" s="1"/>
  <c r="AJ545" i="1"/>
  <c r="AJ142" i="1"/>
  <c r="AJ543" i="1"/>
  <c r="AJ544" i="1"/>
  <c r="AJ135" i="1"/>
  <c r="CR545" i="1" l="1"/>
  <c r="CR544" i="1"/>
  <c r="AI545" i="1"/>
  <c r="AI135" i="1"/>
  <c r="AI544" i="1"/>
  <c r="AH857" i="1"/>
  <c r="AI543" i="1"/>
  <c r="AI142" i="1"/>
  <c r="AH544" i="1" l="1"/>
  <c r="AH545" i="1"/>
  <c r="AH543" i="1"/>
  <c r="AH142" i="1"/>
  <c r="AG857" i="1"/>
  <c r="CQ857" i="1" s="1"/>
  <c r="AH135" i="1"/>
  <c r="CQ544" i="1" l="1"/>
  <c r="CQ545" i="1"/>
  <c r="AF857" i="1"/>
  <c r="AG543" i="1"/>
  <c r="AG135" i="1"/>
  <c r="AG545" i="1"/>
  <c r="AG544" i="1"/>
  <c r="AG142" i="1"/>
  <c r="AE857" i="1" l="1"/>
  <c r="CP857" i="1" s="1"/>
  <c r="AF545" i="1"/>
  <c r="AF142" i="1"/>
  <c r="AF543" i="1"/>
  <c r="AF544" i="1"/>
  <c r="AF135" i="1"/>
  <c r="CP545" i="1" l="1"/>
  <c r="CP544" i="1"/>
  <c r="AE545" i="1"/>
  <c r="AE135" i="1"/>
  <c r="AE544" i="1"/>
  <c r="AD857" i="1"/>
  <c r="AE543" i="1"/>
  <c r="AE142" i="1"/>
  <c r="AD544" i="1" l="1"/>
  <c r="AD545" i="1"/>
  <c r="AD543" i="1"/>
  <c r="AD142" i="1"/>
  <c r="AD135" i="1"/>
  <c r="AC857" i="1"/>
  <c r="CO857" i="1" s="1"/>
  <c r="CO544" i="1" l="1"/>
  <c r="CO545" i="1"/>
  <c r="AB857" i="1"/>
  <c r="AC543" i="1"/>
  <c r="AC135" i="1"/>
  <c r="AC544" i="1"/>
  <c r="AC545" i="1"/>
  <c r="AC142" i="1"/>
  <c r="AA857" i="1" l="1"/>
  <c r="CN857" i="1" s="1"/>
  <c r="AB545" i="1"/>
  <c r="AB142" i="1"/>
  <c r="AB544" i="1"/>
  <c r="AB135" i="1"/>
  <c r="AB543" i="1"/>
  <c r="CN545" i="1" l="1"/>
  <c r="CN544" i="1"/>
  <c r="AA545" i="1"/>
  <c r="AA135" i="1"/>
  <c r="AA544" i="1"/>
  <c r="Z857" i="1"/>
  <c r="AA543" i="1"/>
  <c r="AA142" i="1"/>
  <c r="Z544" i="1" l="1"/>
  <c r="Z543" i="1"/>
  <c r="Z142" i="1"/>
  <c r="Z545" i="1"/>
  <c r="Z135" i="1"/>
  <c r="Y857" i="1"/>
  <c r="CM857" i="1" s="1"/>
  <c r="CM544" i="1" l="1"/>
  <c r="CM545" i="1"/>
  <c r="X857" i="1"/>
  <c r="Y543" i="1"/>
  <c r="Y135" i="1"/>
  <c r="Y544" i="1"/>
  <c r="Y545" i="1"/>
  <c r="Y142" i="1"/>
  <c r="W857" i="1" l="1"/>
  <c r="CL857" i="1" s="1"/>
  <c r="X545" i="1"/>
  <c r="X142" i="1"/>
  <c r="X543" i="1"/>
  <c r="X544" i="1"/>
  <c r="X135" i="1"/>
  <c r="CL545" i="1" l="1"/>
  <c r="CL544" i="1"/>
  <c r="W544" i="1"/>
  <c r="W135" i="1"/>
  <c r="W543" i="1"/>
  <c r="V857" i="1"/>
  <c r="W142" i="1"/>
  <c r="V142" i="1" l="1"/>
  <c r="V544" i="1"/>
  <c r="V135" i="1"/>
  <c r="U857" i="1"/>
  <c r="CK857" i="1" s="1"/>
  <c r="V543" i="1"/>
  <c r="CK544" i="1" l="1"/>
  <c r="CK545" i="1"/>
  <c r="T857" i="1"/>
  <c r="U544" i="1"/>
  <c r="U135" i="1"/>
  <c r="U543" i="1"/>
  <c r="U142" i="1"/>
  <c r="S857" i="1" l="1"/>
  <c r="CJ857" i="1" s="1"/>
  <c r="T142" i="1"/>
  <c r="T544" i="1"/>
  <c r="T135" i="1"/>
  <c r="T543" i="1"/>
  <c r="CJ545" i="1" l="1"/>
  <c r="CJ544" i="1"/>
  <c r="S545" i="1"/>
  <c r="S135" i="1"/>
  <c r="S544" i="1"/>
  <c r="R857" i="1"/>
  <c r="S543" i="1"/>
  <c r="S142" i="1"/>
  <c r="R544" i="1" l="1"/>
  <c r="Q857" i="1"/>
  <c r="CI857" i="1" s="1"/>
  <c r="R543" i="1"/>
  <c r="R142" i="1"/>
  <c r="R545" i="1"/>
  <c r="R135" i="1"/>
  <c r="CI544" i="1" l="1"/>
  <c r="CI545" i="1"/>
  <c r="P857" i="1"/>
  <c r="Q543" i="1"/>
  <c r="Q135" i="1"/>
  <c r="Q544" i="1"/>
  <c r="Q545" i="1"/>
  <c r="Q142" i="1"/>
  <c r="O857" i="1" l="1"/>
  <c r="CH857" i="1" s="1"/>
  <c r="P545" i="1"/>
  <c r="P142" i="1"/>
  <c r="P544" i="1"/>
  <c r="P135" i="1"/>
  <c r="P543" i="1"/>
  <c r="CH545" i="1" l="1"/>
  <c r="CH544" i="1"/>
  <c r="O545" i="1"/>
  <c r="O135" i="1"/>
  <c r="O544" i="1"/>
  <c r="N857" i="1"/>
  <c r="O543" i="1"/>
  <c r="O142" i="1"/>
  <c r="N544" i="1" l="1"/>
  <c r="N543" i="1"/>
  <c r="N142" i="1"/>
  <c r="M857" i="1"/>
  <c r="CG857" i="1" s="1"/>
  <c r="N545" i="1"/>
  <c r="N135" i="1"/>
  <c r="CG544" i="1" l="1"/>
  <c r="CG545" i="1"/>
  <c r="L857" i="1"/>
  <c r="M543" i="1"/>
  <c r="M135" i="1"/>
  <c r="M544" i="1"/>
  <c r="M545" i="1"/>
  <c r="M142" i="1"/>
  <c r="K857" i="1" l="1"/>
  <c r="CF857" i="1" s="1"/>
  <c r="L545" i="1"/>
  <c r="L142" i="1"/>
  <c r="L544" i="1"/>
  <c r="L135" i="1"/>
  <c r="L543" i="1"/>
  <c r="K545" i="1" l="1"/>
  <c r="K135" i="1"/>
  <c r="K544" i="1"/>
  <c r="J857" i="1"/>
  <c r="K543" i="1"/>
  <c r="K142" i="1"/>
  <c r="J544" i="1" l="1"/>
  <c r="J543" i="1"/>
  <c r="J142" i="1"/>
  <c r="J545" i="1"/>
  <c r="J135" i="1"/>
  <c r="I857" i="1"/>
  <c r="CE857" i="1" s="1"/>
  <c r="H857" i="1" l="1"/>
  <c r="I543" i="1"/>
  <c r="I135" i="1"/>
  <c r="I544" i="1"/>
  <c r="I545" i="1"/>
  <c r="I142" i="1"/>
  <c r="H545" i="1" l="1"/>
  <c r="H142" i="1"/>
  <c r="H544" i="1"/>
  <c r="H135" i="1"/>
  <c r="H543" i="1"/>
  <c r="G857" i="1" l="1"/>
  <c r="CD857" i="1" s="1"/>
  <c r="G545" i="1" l="1"/>
  <c r="G135" i="1"/>
  <c r="G544" i="1"/>
  <c r="G543" i="1"/>
  <c r="G142" i="1"/>
  <c r="F857" i="1"/>
  <c r="E857" i="1" l="1"/>
  <c r="F544" i="1"/>
  <c r="F543" i="1"/>
  <c r="F142" i="1"/>
  <c r="F135" i="1"/>
  <c r="F545" i="1"/>
  <c r="D857" i="1" l="1"/>
  <c r="D135" i="1" s="1"/>
  <c r="CC857" i="1"/>
  <c r="CB857" i="1" s="1"/>
  <c r="CB543" i="1" s="1"/>
  <c r="CB652" i="1" s="1"/>
  <c r="E543" i="1"/>
  <c r="E544" i="1"/>
  <c r="E545" i="1"/>
  <c r="E142" i="1"/>
  <c r="E135" i="1"/>
  <c r="D142" i="1" l="1"/>
  <c r="D543" i="1"/>
  <c r="D544" i="1"/>
  <c r="D545" i="1"/>
  <c r="C857" i="1"/>
  <c r="C544" i="1" s="1"/>
  <c r="CB135" i="1"/>
  <c r="CB544" i="1"/>
  <c r="CB545" i="1"/>
  <c r="CA857" i="1"/>
  <c r="CA543" i="1" s="1"/>
  <c r="CA652" i="1" s="1"/>
  <c r="CB142" i="1"/>
  <c r="C142" i="1" l="1"/>
  <c r="C543" i="1"/>
  <c r="C545" i="1"/>
  <c r="C135" i="1"/>
  <c r="BZ857" i="1"/>
  <c r="BZ545" i="1" s="1"/>
  <c r="CA544" i="1"/>
  <c r="CA545" i="1"/>
  <c r="CA135" i="1"/>
  <c r="CA142" i="1"/>
  <c r="BZ142" i="1" l="1"/>
  <c r="BY857" i="1"/>
  <c r="BY545" i="1" s="1"/>
  <c r="BZ135" i="1"/>
  <c r="BZ544" i="1"/>
  <c r="BZ543" i="1"/>
  <c r="BZ652" i="1" s="1"/>
  <c r="BX857" i="1" l="1"/>
  <c r="BX543" i="1" s="1"/>
  <c r="BX652" i="1" s="1"/>
  <c r="BY142" i="1"/>
  <c r="BY543" i="1"/>
  <c r="BY652" i="1" s="1"/>
  <c r="BY544" i="1"/>
  <c r="BY135" i="1"/>
  <c r="AR546" i="1"/>
  <c r="BX544" i="1" l="1"/>
  <c r="BW857" i="1"/>
  <c r="BW543" i="1" s="1"/>
  <c r="BW652" i="1" s="1"/>
  <c r="BX545" i="1"/>
  <c r="BX135" i="1"/>
  <c r="BX142" i="1"/>
  <c r="BV857" i="1"/>
  <c r="BW544" i="1" l="1"/>
  <c r="BW142" i="1"/>
  <c r="BW545" i="1"/>
  <c r="BW135" i="1"/>
  <c r="BU857" i="1"/>
  <c r="BV545" i="1"/>
  <c r="BV142" i="1"/>
  <c r="BV544" i="1"/>
  <c r="BV135" i="1"/>
  <c r="BV543" i="1"/>
  <c r="BV652" i="1" s="1"/>
  <c r="AR469" i="1"/>
  <c r="AR467" i="1"/>
  <c r="AR704" i="1"/>
  <c r="AR680" i="1"/>
  <c r="AR672" i="1"/>
  <c r="AR671" i="1"/>
  <c r="AR668" i="1"/>
  <c r="AR665" i="1"/>
  <c r="AR663" i="1"/>
  <c r="AR661" i="1"/>
  <c r="AR610" i="1"/>
  <c r="AR601" i="1"/>
  <c r="AR571" i="1"/>
  <c r="AS627" i="1" s="1"/>
  <c r="AR537" i="1"/>
  <c r="AS537" i="1" s="1"/>
  <c r="AR509" i="1"/>
  <c r="AR470" i="1"/>
  <c r="AR416" i="1"/>
  <c r="AR611" i="1" l="1"/>
  <c r="AS634" i="1"/>
  <c r="AT634" i="1"/>
  <c r="AS698" i="1"/>
  <c r="AS702" i="1"/>
  <c r="BT857" i="1"/>
  <c r="BU545" i="1"/>
  <c r="BU135" i="1"/>
  <c r="BU544" i="1"/>
  <c r="BU543" i="1"/>
  <c r="BU652" i="1" s="1"/>
  <c r="BU142" i="1"/>
  <c r="AR396" i="1"/>
  <c r="M11" i="31" s="1"/>
  <c r="AR389" i="1"/>
  <c r="AR259" i="1"/>
  <c r="AR258" i="1"/>
  <c r="AR243" i="1" s="1"/>
  <c r="AR205" i="1"/>
  <c r="AR203" i="1"/>
  <c r="AR202" i="1"/>
  <c r="AR191" i="1"/>
  <c r="AR190" i="1"/>
  <c r="AR185" i="1"/>
  <c r="AR184" i="1"/>
  <c r="AR160" i="1"/>
  <c r="AS218" i="1" s="1"/>
  <c r="AR260" i="1" l="1"/>
  <c r="AR248" i="1"/>
  <c r="AR253" i="1" s="1"/>
  <c r="BS857" i="1"/>
  <c r="BT544" i="1"/>
  <c r="BT543" i="1"/>
  <c r="BT652" i="1" s="1"/>
  <c r="BT142" i="1"/>
  <c r="BT135" i="1"/>
  <c r="BT545" i="1"/>
  <c r="AR52" i="1"/>
  <c r="AR56" i="1"/>
  <c r="AR57" i="1"/>
  <c r="AR59" i="1"/>
  <c r="AR48" i="1" s="1"/>
  <c r="AR60" i="1"/>
  <c r="AR49" i="1" s="1"/>
  <c r="AR101" i="1"/>
  <c r="AR105" i="1" s="1"/>
  <c r="AR115" i="1"/>
  <c r="AR122" i="1"/>
  <c r="AR141" i="1"/>
  <c r="AR165" i="1"/>
  <c r="AS223" i="1" s="1"/>
  <c r="AR171" i="1"/>
  <c r="AS228" i="1" s="1"/>
  <c r="AR176" i="1"/>
  <c r="AR178" i="1"/>
  <c r="M59" i="31" s="1"/>
  <c r="AR186" i="1"/>
  <c r="AR55" i="1" s="1"/>
  <c r="AR192" i="1"/>
  <c r="AR58" i="1" s="1"/>
  <c r="AR196" i="1"/>
  <c r="AR199" i="1"/>
  <c r="AR209" i="1"/>
  <c r="AS266" i="1" s="1"/>
  <c r="AR212" i="1"/>
  <c r="AR215" i="1"/>
  <c r="AR216" i="1"/>
  <c r="AR222" i="1"/>
  <c r="AR227" i="1"/>
  <c r="AR234" i="1"/>
  <c r="AR237" i="1" s="1"/>
  <c r="M68" i="31" s="1"/>
  <c r="AR262" i="1"/>
  <c r="AR381" i="1"/>
  <c r="M8" i="31" s="1"/>
  <c r="AR388" i="1"/>
  <c r="AR409" i="1"/>
  <c r="AR415" i="1"/>
  <c r="AR420" i="1"/>
  <c r="AR422" i="1"/>
  <c r="AR457" i="1" s="1"/>
  <c r="AR423" i="1"/>
  <c r="AR458" i="1" s="1"/>
  <c r="AR487" i="1" s="1"/>
  <c r="AR425" i="1"/>
  <c r="AR460" i="1" s="1"/>
  <c r="AR489" i="1" s="1"/>
  <c r="AR434" i="1"/>
  <c r="AR444" i="1"/>
  <c r="AR445" i="1"/>
  <c r="AR450" i="1"/>
  <c r="AR473" i="1"/>
  <c r="AR474" i="1"/>
  <c r="AR475" i="1"/>
  <c r="AR479" i="1"/>
  <c r="AR501" i="1"/>
  <c r="AR503" i="1"/>
  <c r="AR504" i="1"/>
  <c r="AR507" i="1"/>
  <c r="AR516" i="1"/>
  <c r="AR517" i="1"/>
  <c r="AR518" i="1"/>
  <c r="AR519" i="1"/>
  <c r="AR520" i="1"/>
  <c r="AR522" i="1"/>
  <c r="AR584" i="1"/>
  <c r="AR588" i="1"/>
  <c r="AR589" i="1"/>
  <c r="AR599" i="1"/>
  <c r="AR602" i="1" s="1"/>
  <c r="AR612" i="1"/>
  <c r="AR817" i="1" s="1"/>
  <c r="AR625" i="1"/>
  <c r="AR626" i="1"/>
  <c r="AR678" i="1"/>
  <c r="AR701" i="1"/>
  <c r="AR703" i="1"/>
  <c r="AR711" i="1"/>
  <c r="AR735" i="1"/>
  <c r="M56" i="31" s="1"/>
  <c r="AR737" i="1"/>
  <c r="AR763" i="1" s="1"/>
  <c r="AR814" i="1"/>
  <c r="AR815" i="1"/>
  <c r="AR818" i="1"/>
  <c r="AR821" i="1"/>
  <c r="AR824" i="1"/>
  <c r="AR827" i="1"/>
  <c r="AR839" i="1"/>
  <c r="N9" i="31" l="1"/>
  <c r="N60" i="31"/>
  <c r="N69" i="31"/>
  <c r="AR762" i="1"/>
  <c r="AR327" i="1"/>
  <c r="AR238" i="1"/>
  <c r="AR181" i="1"/>
  <c r="AR819" i="1" s="1"/>
  <c r="BS543" i="1"/>
  <c r="BS652" i="1" s="1"/>
  <c r="BS135" i="1"/>
  <c r="BS545" i="1"/>
  <c r="BS544" i="1"/>
  <c r="BS142" i="1"/>
  <c r="AR443" i="1"/>
  <c r="M28" i="31" s="1"/>
  <c r="AR486" i="1"/>
  <c r="AR472" i="1"/>
  <c r="M35" i="31" s="1"/>
  <c r="M36" i="31" s="1"/>
  <c r="AR427" i="1"/>
  <c r="AR462" i="1" s="1"/>
  <c r="AR491" i="1" s="1"/>
  <c r="AR177" i="1"/>
  <c r="AR114" i="1" s="1"/>
  <c r="AR820" i="1"/>
  <c r="AR208" i="1"/>
  <c r="AS265" i="1" s="1"/>
  <c r="AS267" i="1" s="1"/>
  <c r="AR145" i="1"/>
  <c r="AR455" i="1"/>
  <c r="AR484" i="1" s="1"/>
  <c r="AR197" i="1"/>
  <c r="AR116" i="1"/>
  <c r="AR826" i="1"/>
  <c r="AR823" i="1"/>
  <c r="AR421" i="1"/>
  <c r="AR456" i="1" s="1"/>
  <c r="AR485" i="1" s="1"/>
  <c r="AR261" i="1"/>
  <c r="AR257" i="1"/>
  <c r="AR232" i="1"/>
  <c r="AR159" i="1"/>
  <c r="AS217" i="1" s="1"/>
  <c r="AR667" i="1"/>
  <c r="AR677" i="1"/>
  <c r="AR713" i="1"/>
  <c r="AR536" i="1"/>
  <c r="AR623" i="1" s="1"/>
  <c r="AR468" i="1"/>
  <c r="AR204" i="1"/>
  <c r="M61" i="31" s="1"/>
  <c r="AQ442" i="1"/>
  <c r="L27" i="31" s="1"/>
  <c r="AP442" i="1"/>
  <c r="K27" i="31" s="1"/>
  <c r="AQ407" i="1"/>
  <c r="L16" i="31" s="1"/>
  <c r="AP407" i="1"/>
  <c r="K16" i="31" s="1"/>
  <c r="N30" i="31" l="1"/>
  <c r="AR670" i="1"/>
  <c r="AR430" i="1"/>
  <c r="AR822" i="1"/>
  <c r="AR147" i="1"/>
  <c r="AR816" i="1"/>
  <c r="AR465" i="1"/>
  <c r="AR812" i="1"/>
  <c r="AR813" i="1"/>
  <c r="AR154" i="1"/>
  <c r="AR825" i="1"/>
  <c r="AR471" i="1"/>
  <c r="AR441" i="1"/>
  <c r="M26" i="31" s="1"/>
  <c r="AR146" i="1"/>
  <c r="AR242" i="1"/>
  <c r="AR247" i="1"/>
  <c r="AR699" i="1"/>
  <c r="AR152" i="1"/>
  <c r="AR198" i="1"/>
  <c r="AR61" i="1" s="1"/>
  <c r="AR795" i="1"/>
  <c r="AR233" i="1"/>
  <c r="N29" i="31" l="1"/>
  <c r="AR440" i="1"/>
  <c r="AS96" i="1" s="1"/>
  <c r="AR252" i="1"/>
  <c r="AR254" i="1" s="1"/>
  <c r="AR244" i="1"/>
  <c r="AR249" i="1"/>
  <c r="AQ469" i="1" l="1"/>
  <c r="AQ467" i="1"/>
  <c r="AQ704" i="1" l="1"/>
  <c r="AQ470" i="1"/>
  <c r="AQ509" i="1"/>
  <c r="AQ701" i="1" l="1"/>
  <c r="CV258" i="1"/>
  <c r="CV234" i="1"/>
  <c r="AQ680" i="1"/>
  <c r="AQ671" i="1"/>
  <c r="AQ668" i="1"/>
  <c r="AQ665" i="1"/>
  <c r="AQ663" i="1"/>
  <c r="AQ661" i="1"/>
  <c r="AQ610" i="1"/>
  <c r="AQ601" i="1"/>
  <c r="AQ571" i="1"/>
  <c r="AR627" i="1" s="1"/>
  <c r="AQ546" i="1"/>
  <c r="AQ535" i="1"/>
  <c r="AQ526" i="1"/>
  <c r="AR621" i="1" s="1"/>
  <c r="AQ523" i="1"/>
  <c r="AQ611" i="1" l="1"/>
  <c r="AR698" i="1"/>
  <c r="AR702" i="1"/>
  <c r="AR634" i="1"/>
  <c r="AR143" i="1"/>
  <c r="AQ506" i="1"/>
  <c r="AQ507" i="1" s="1"/>
  <c r="AP416" i="1"/>
  <c r="AQ416" i="1"/>
  <c r="AQ415" i="1" s="1"/>
  <c r="AQ396" i="1"/>
  <c r="L11" i="31" s="1"/>
  <c r="AQ389" i="1"/>
  <c r="AQ388" i="1" s="1"/>
  <c r="AQ259" i="1"/>
  <c r="AQ258" i="1"/>
  <c r="AQ248" i="1" s="1"/>
  <c r="AQ205" i="1"/>
  <c r="AQ199" i="1" s="1"/>
  <c r="AQ203" i="1"/>
  <c r="AQ202" i="1"/>
  <c r="AQ191" i="1"/>
  <c r="AQ190" i="1"/>
  <c r="AQ185" i="1"/>
  <c r="AQ184" i="1"/>
  <c r="AQ160" i="1"/>
  <c r="AQ159" i="1" s="1"/>
  <c r="AQ318" i="1"/>
  <c r="AQ52" i="1"/>
  <c r="AQ56" i="1"/>
  <c r="AQ57" i="1"/>
  <c r="AQ59" i="1"/>
  <c r="AQ48" i="1" s="1"/>
  <c r="AQ60" i="1"/>
  <c r="AQ49" i="1" s="1"/>
  <c r="AQ101" i="1"/>
  <c r="AQ105" i="1" s="1"/>
  <c r="AQ115" i="1"/>
  <c r="AQ122" i="1"/>
  <c r="AQ141" i="1"/>
  <c r="AQ165" i="1"/>
  <c r="AR223" i="1" s="1"/>
  <c r="AQ171" i="1"/>
  <c r="AR228" i="1" s="1"/>
  <c r="AQ176" i="1"/>
  <c r="AQ178" i="1"/>
  <c r="L59" i="31" s="1"/>
  <c r="AQ209" i="1"/>
  <c r="AQ208" i="1" s="1"/>
  <c r="AR265" i="1" s="1"/>
  <c r="AQ212" i="1"/>
  <c r="AQ215" i="1"/>
  <c r="AQ216" i="1"/>
  <c r="AQ222" i="1"/>
  <c r="AQ227" i="1"/>
  <c r="AQ234" i="1"/>
  <c r="AQ237" i="1" s="1"/>
  <c r="L68" i="31" s="1"/>
  <c r="AQ262" i="1"/>
  <c r="AQ381" i="1"/>
  <c r="L8" i="31" s="1"/>
  <c r="AQ409" i="1"/>
  <c r="AQ421" i="1" s="1"/>
  <c r="AQ420" i="1"/>
  <c r="AQ422" i="1"/>
  <c r="AQ457" i="1" s="1"/>
  <c r="AQ423" i="1"/>
  <c r="AQ458" i="1" s="1"/>
  <c r="AQ487" i="1" s="1"/>
  <c r="AQ425" i="1"/>
  <c r="AQ460" i="1" s="1"/>
  <c r="AQ489" i="1" s="1"/>
  <c r="AQ434" i="1"/>
  <c r="AQ444" i="1"/>
  <c r="AQ445" i="1"/>
  <c r="AQ450" i="1"/>
  <c r="AQ473" i="1"/>
  <c r="AQ474" i="1"/>
  <c r="AQ475" i="1"/>
  <c r="AQ479" i="1"/>
  <c r="AQ501" i="1"/>
  <c r="AQ503" i="1"/>
  <c r="AQ504" i="1"/>
  <c r="AQ516" i="1"/>
  <c r="AQ517" i="1"/>
  <c r="AQ518" i="1"/>
  <c r="AQ519" i="1"/>
  <c r="AQ520" i="1"/>
  <c r="AQ522" i="1"/>
  <c r="AQ536" i="1" s="1"/>
  <c r="AQ623" i="1" s="1"/>
  <c r="AQ584" i="1"/>
  <c r="AQ588" i="1"/>
  <c r="AQ589" i="1"/>
  <c r="AQ599" i="1"/>
  <c r="AQ602" i="1" s="1"/>
  <c r="AQ621" i="1"/>
  <c r="AQ625" i="1"/>
  <c r="AQ626" i="1"/>
  <c r="AQ677" i="1"/>
  <c r="AQ678" i="1"/>
  <c r="AQ703" i="1"/>
  <c r="AQ711" i="1"/>
  <c r="AQ713" i="1"/>
  <c r="AQ735" i="1"/>
  <c r="L56" i="31" s="1"/>
  <c r="AQ737" i="1"/>
  <c r="AQ763" i="1" s="1"/>
  <c r="AQ814" i="1"/>
  <c r="AQ815" i="1"/>
  <c r="AQ818" i="1"/>
  <c r="AQ821" i="1"/>
  <c r="AQ824" i="1"/>
  <c r="AQ827" i="1"/>
  <c r="AQ839" i="1"/>
  <c r="M69" i="31" l="1"/>
  <c r="M60" i="31"/>
  <c r="M9" i="31"/>
  <c r="AQ181" i="1"/>
  <c r="AQ819" i="1" s="1"/>
  <c r="AQ762" i="1"/>
  <c r="AQ260" i="1"/>
  <c r="AQ699" i="1" s="1"/>
  <c r="AQ204" i="1"/>
  <c r="L61" i="31" s="1"/>
  <c r="AQ612" i="1"/>
  <c r="AQ820" i="1" s="1"/>
  <c r="AQ197" i="1"/>
  <c r="AQ186" i="1"/>
  <c r="AQ55" i="1" s="1"/>
  <c r="AQ192" i="1"/>
  <c r="AQ58" i="1" s="1"/>
  <c r="AQ257" i="1"/>
  <c r="AQ242" i="1" s="1"/>
  <c r="AQ196" i="1"/>
  <c r="AQ243" i="1"/>
  <c r="AQ253" i="1" s="1"/>
  <c r="AR54" i="1"/>
  <c r="AR218" i="1"/>
  <c r="AQ443" i="1"/>
  <c r="L28" i="31" s="1"/>
  <c r="AQ455" i="1"/>
  <c r="AQ484" i="1" s="1"/>
  <c r="AQ486" i="1"/>
  <c r="AQ472" i="1"/>
  <c r="L35" i="31" s="1"/>
  <c r="L36" i="31" s="1"/>
  <c r="AR266" i="1"/>
  <c r="AR267" i="1" s="1"/>
  <c r="AR64" i="1"/>
  <c r="AR217" i="1"/>
  <c r="AR53" i="1"/>
  <c r="AQ427" i="1"/>
  <c r="AQ462" i="1" s="1"/>
  <c r="AQ491" i="1" s="1"/>
  <c r="AQ456" i="1"/>
  <c r="AQ485" i="1" s="1"/>
  <c r="AQ667" i="1"/>
  <c r="AQ177" i="1"/>
  <c r="AQ114" i="1" s="1"/>
  <c r="AQ232" i="1"/>
  <c r="AQ813" i="1"/>
  <c r="AQ822" i="1"/>
  <c r="AQ812" i="1"/>
  <c r="AQ825" i="1"/>
  <c r="AQ145" i="1"/>
  <c r="AQ238" i="1"/>
  <c r="AQ327" i="1"/>
  <c r="AQ154" i="1"/>
  <c r="AQ152" i="1"/>
  <c r="AQ816" i="1"/>
  <c r="M30" i="31" l="1"/>
  <c r="AQ670" i="1"/>
  <c r="AQ441" i="1"/>
  <c r="AQ795" i="1"/>
  <c r="AQ261" i="1"/>
  <c r="AQ471" i="1"/>
  <c r="AQ817" i="1"/>
  <c r="AQ826" i="1"/>
  <c r="AQ147" i="1"/>
  <c r="AQ823" i="1"/>
  <c r="AQ116" i="1"/>
  <c r="AQ198" i="1"/>
  <c r="AQ61" i="1" s="1"/>
  <c r="AQ430" i="1"/>
  <c r="AQ247" i="1"/>
  <c r="AQ249" i="1" s="1"/>
  <c r="AQ465" i="1"/>
  <c r="AQ244" i="1"/>
  <c r="AQ146" i="1"/>
  <c r="AQ233" i="1"/>
  <c r="AQ440" i="1" l="1"/>
  <c r="AR96" i="1" s="1"/>
  <c r="L26" i="31"/>
  <c r="AQ252" i="1"/>
  <c r="AQ254" i="1" s="1"/>
  <c r="M29" i="31" l="1"/>
  <c r="DF34" i="1"/>
  <c r="DF35" i="1"/>
  <c r="DF104" i="1"/>
  <c r="DF105" i="1"/>
  <c r="DF149" i="1"/>
  <c r="DF382" i="1"/>
  <c r="DF420" i="1" s="1"/>
  <c r="DF383" i="1"/>
  <c r="DF384" i="1"/>
  <c r="DF385" i="1"/>
  <c r="DF386" i="1"/>
  <c r="DF388" i="1"/>
  <c r="DF399" i="1"/>
  <c r="DF400" i="1"/>
  <c r="DF407" i="1"/>
  <c r="BB16" i="31" s="1"/>
  <c r="DF410" i="1"/>
  <c r="DF411" i="1"/>
  <c r="DF413" i="1"/>
  <c r="DF415" i="1"/>
  <c r="DF435" i="1"/>
  <c r="DF442" i="1"/>
  <c r="BB27" i="31" s="1"/>
  <c r="DF446" i="1"/>
  <c r="DF447" i="1"/>
  <c r="DF448" i="1"/>
  <c r="DF450" i="1"/>
  <c r="DF476" i="1"/>
  <c r="DF477" i="1"/>
  <c r="DF479" i="1"/>
  <c r="DF492" i="1"/>
  <c r="DF505" i="1"/>
  <c r="DF508" i="1"/>
  <c r="DF523" i="1"/>
  <c r="DF524" i="1"/>
  <c r="DF527" i="1"/>
  <c r="DF528" i="1"/>
  <c r="DF707" i="1"/>
  <c r="DF736" i="1"/>
  <c r="BK59" i="1"/>
  <c r="BK60" i="1"/>
  <c r="BK409" i="1"/>
  <c r="BK421" i="1" s="1"/>
  <c r="BK420" i="1"/>
  <c r="BK422" i="1"/>
  <c r="BK457" i="1" s="1"/>
  <c r="BK423" i="1"/>
  <c r="BK458" i="1" s="1"/>
  <c r="BK487" i="1" s="1"/>
  <c r="BK425" i="1"/>
  <c r="BK460" i="1" s="1"/>
  <c r="BK489" i="1" s="1"/>
  <c r="BK427" i="1"/>
  <c r="BK462" i="1" s="1"/>
  <c r="BK491" i="1" s="1"/>
  <c r="BK507" i="1" s="1"/>
  <c r="BK444" i="1"/>
  <c r="BK445" i="1"/>
  <c r="BK473" i="1"/>
  <c r="BK474" i="1"/>
  <c r="BK475" i="1"/>
  <c r="BK501" i="1"/>
  <c r="BK503" i="1"/>
  <c r="BK504" i="1"/>
  <c r="BK516" i="1"/>
  <c r="BK517" i="1"/>
  <c r="BK518" i="1"/>
  <c r="BK519" i="1"/>
  <c r="BK520" i="1"/>
  <c r="BK622" i="1"/>
  <c r="BJ59" i="1"/>
  <c r="BJ60" i="1"/>
  <c r="BJ409" i="1"/>
  <c r="BJ421" i="1" s="1"/>
  <c r="BJ420" i="1"/>
  <c r="BJ422" i="1"/>
  <c r="BJ457" i="1" s="1"/>
  <c r="BJ423" i="1"/>
  <c r="BJ458" i="1" s="1"/>
  <c r="BJ487" i="1" s="1"/>
  <c r="BJ425" i="1"/>
  <c r="BJ460" i="1" s="1"/>
  <c r="BJ489" i="1" s="1"/>
  <c r="BJ427" i="1"/>
  <c r="BJ462" i="1" s="1"/>
  <c r="BJ491" i="1" s="1"/>
  <c r="BJ507" i="1" s="1"/>
  <c r="BJ444" i="1"/>
  <c r="BJ445" i="1"/>
  <c r="BJ473" i="1"/>
  <c r="BJ474" i="1"/>
  <c r="BJ475" i="1"/>
  <c r="BJ501" i="1"/>
  <c r="BJ503" i="1"/>
  <c r="BJ504" i="1"/>
  <c r="BJ516" i="1"/>
  <c r="BJ517" i="1"/>
  <c r="BJ518" i="1"/>
  <c r="BJ519" i="1"/>
  <c r="BJ520" i="1"/>
  <c r="BJ622" i="1"/>
  <c r="DF422" i="1" l="1"/>
  <c r="DF457" i="1" s="1"/>
  <c r="DF423" i="1"/>
  <c r="DF458" i="1" s="1"/>
  <c r="DF487" i="1" s="1"/>
  <c r="DF520" i="1"/>
  <c r="DF503" i="1"/>
  <c r="DF444" i="1"/>
  <c r="DF455" i="1" s="1"/>
  <c r="DF518" i="1"/>
  <c r="DF473" i="1"/>
  <c r="DF622" i="1"/>
  <c r="DF501" i="1"/>
  <c r="DF445" i="1"/>
  <c r="DF517" i="1"/>
  <c r="BK455" i="1"/>
  <c r="BK484" i="1" s="1"/>
  <c r="DF516" i="1"/>
  <c r="DF504" i="1"/>
  <c r="BK456" i="1"/>
  <c r="BK485" i="1" s="1"/>
  <c r="DF425" i="1"/>
  <c r="DF460" i="1" s="1"/>
  <c r="DF489" i="1" s="1"/>
  <c r="DF474" i="1"/>
  <c r="BJ486" i="1"/>
  <c r="BK486" i="1"/>
  <c r="DF427" i="1"/>
  <c r="DF462" i="1" s="1"/>
  <c r="DF491" i="1" s="1"/>
  <c r="DF507" i="1"/>
  <c r="DF475" i="1"/>
  <c r="BJ456" i="1"/>
  <c r="BJ485" i="1" s="1"/>
  <c r="DF519" i="1"/>
  <c r="DF409" i="1"/>
  <c r="DF421" i="1" s="1"/>
  <c r="BJ455" i="1"/>
  <c r="BJ484" i="1" s="1"/>
  <c r="DF486" i="1" l="1"/>
  <c r="BN735" i="1"/>
  <c r="AI56" i="31" s="1"/>
  <c r="DH135" i="1"/>
  <c r="DH735" i="1" s="1"/>
  <c r="BD56" i="31" s="1"/>
  <c r="DF456" i="1"/>
  <c r="DF485" i="1" s="1"/>
  <c r="DF484" i="1"/>
  <c r="AP469" i="1"/>
  <c r="AP470" i="1"/>
  <c r="BO735" i="1" l="1"/>
  <c r="AJ56" i="31" s="1"/>
  <c r="AP704" i="1"/>
  <c r="AP701" i="1"/>
  <c r="AP680" i="1"/>
  <c r="AP672" i="1"/>
  <c r="AP671" i="1"/>
  <c r="AP668" i="1"/>
  <c r="AP665" i="1"/>
  <c r="AP663" i="1"/>
  <c r="AP661" i="1"/>
  <c r="AP610" i="1"/>
  <c r="AP611" i="1" s="1"/>
  <c r="AP601" i="1"/>
  <c r="AP571" i="1"/>
  <c r="AQ627" i="1" s="1"/>
  <c r="AP546" i="1"/>
  <c r="AP537" i="1"/>
  <c r="AQ537" i="1" s="1"/>
  <c r="AP523" i="1"/>
  <c r="AP509" i="1"/>
  <c r="AP506" i="1"/>
  <c r="AP467" i="1"/>
  <c r="AP451" i="1"/>
  <c r="AP398" i="1"/>
  <c r="K13" i="31" s="1"/>
  <c r="AP389" i="1"/>
  <c r="AP259" i="1"/>
  <c r="AP258" i="1"/>
  <c r="AP248" i="1" s="1"/>
  <c r="AP205" i="1"/>
  <c r="AP203" i="1"/>
  <c r="AP202" i="1"/>
  <c r="AP191" i="1"/>
  <c r="AP190" i="1"/>
  <c r="AP185" i="1"/>
  <c r="AP184" i="1"/>
  <c r="AP160" i="1"/>
  <c r="AP260" i="1" l="1"/>
  <c r="AP699" i="1" s="1"/>
  <c r="AP396" i="1"/>
  <c r="K11" i="31" s="1"/>
  <c r="BP735" i="1"/>
  <c r="AK56" i="31" s="1"/>
  <c r="DI135" i="1"/>
  <c r="DI735" i="1" s="1"/>
  <c r="BE56" i="31" s="1"/>
  <c r="AQ634" i="1"/>
  <c r="AQ143" i="1"/>
  <c r="AQ218" i="1"/>
  <c r="AQ54" i="1"/>
  <c r="AP243" i="1"/>
  <c r="AP253" i="1" s="1"/>
  <c r="AQ698" i="1"/>
  <c r="AQ702" i="1"/>
  <c r="AP450" i="1"/>
  <c r="AP52" i="1"/>
  <c r="AP101" i="1"/>
  <c r="AP105" i="1" s="1"/>
  <c r="AP115" i="1"/>
  <c r="AP122" i="1"/>
  <c r="AP141" i="1"/>
  <c r="AP159" i="1"/>
  <c r="AP165" i="1"/>
  <c r="AQ223" i="1" s="1"/>
  <c r="AP171" i="1"/>
  <c r="AQ228" i="1" s="1"/>
  <c r="AP176" i="1"/>
  <c r="AP178" i="1"/>
  <c r="K59" i="31" s="1"/>
  <c r="AP186" i="1"/>
  <c r="AP55" i="1" s="1"/>
  <c r="AP192" i="1"/>
  <c r="AP58" i="1" s="1"/>
  <c r="AP197" i="1"/>
  <c r="AP199" i="1"/>
  <c r="AP209" i="1"/>
  <c r="AP212" i="1"/>
  <c r="AP215" i="1"/>
  <c r="AP216" i="1"/>
  <c r="AP222" i="1"/>
  <c r="AP227" i="1"/>
  <c r="AP234" i="1"/>
  <c r="AP237" i="1" s="1"/>
  <c r="K68" i="31" s="1"/>
  <c r="AP257" i="1"/>
  <c r="AP262" i="1"/>
  <c r="AP381" i="1"/>
  <c r="K8" i="31" s="1"/>
  <c r="AP388" i="1"/>
  <c r="AP409" i="1"/>
  <c r="AP421" i="1" s="1"/>
  <c r="AP415" i="1"/>
  <c r="AP420" i="1"/>
  <c r="AP422" i="1"/>
  <c r="AP457" i="1" s="1"/>
  <c r="AP423" i="1"/>
  <c r="AP458" i="1" s="1"/>
  <c r="AP487" i="1" s="1"/>
  <c r="AP425" i="1"/>
  <c r="AP460" i="1" s="1"/>
  <c r="AP489" i="1" s="1"/>
  <c r="AP434" i="1"/>
  <c r="AP444" i="1"/>
  <c r="AP445" i="1"/>
  <c r="AP473" i="1"/>
  <c r="AP474" i="1"/>
  <c r="AP475" i="1"/>
  <c r="AP479" i="1"/>
  <c r="AP501" i="1"/>
  <c r="AP503" i="1"/>
  <c r="AP504" i="1"/>
  <c r="AP516" i="1"/>
  <c r="AP517" i="1"/>
  <c r="AP518" i="1"/>
  <c r="AP519" i="1"/>
  <c r="AP520" i="1"/>
  <c r="AP522" i="1"/>
  <c r="AP536" i="1" s="1"/>
  <c r="AP584" i="1"/>
  <c r="AP588" i="1"/>
  <c r="AP589" i="1"/>
  <c r="AP599" i="1"/>
  <c r="AP602" i="1" s="1"/>
  <c r="AP612" i="1"/>
  <c r="AP625" i="1"/>
  <c r="AP626" i="1"/>
  <c r="AP677" i="1"/>
  <c r="AP678" i="1"/>
  <c r="AP703" i="1"/>
  <c r="AP711" i="1"/>
  <c r="AP735" i="1"/>
  <c r="K56" i="31" s="1"/>
  <c r="AP737" i="1"/>
  <c r="AP763" i="1" s="1"/>
  <c r="AP814" i="1"/>
  <c r="AP815" i="1"/>
  <c r="AP818" i="1"/>
  <c r="AP821" i="1"/>
  <c r="AP824" i="1"/>
  <c r="AP827" i="1"/>
  <c r="AP839" i="1"/>
  <c r="L9" i="31" l="1"/>
  <c r="L60" i="31"/>
  <c r="L69" i="31"/>
  <c r="AP261" i="1"/>
  <c r="AP762" i="1"/>
  <c r="AP327" i="1"/>
  <c r="AP238" i="1"/>
  <c r="BQ735" i="1"/>
  <c r="AL56" i="31" s="1"/>
  <c r="AQ266" i="1"/>
  <c r="AQ64" i="1"/>
  <c r="AP181" i="1"/>
  <c r="AP816" i="1" s="1"/>
  <c r="AQ53" i="1"/>
  <c r="AQ217" i="1"/>
  <c r="AP823" i="1"/>
  <c r="AP116" i="1"/>
  <c r="AP486" i="1"/>
  <c r="AP472" i="1"/>
  <c r="K35" i="31" s="1"/>
  <c r="K36" i="31" s="1"/>
  <c r="AP455" i="1"/>
  <c r="AP484" i="1" s="1"/>
  <c r="AP427" i="1"/>
  <c r="AP462" i="1" s="1"/>
  <c r="AP491" i="1" s="1"/>
  <c r="AP443" i="1"/>
  <c r="AP456" i="1"/>
  <c r="AP485" i="1" s="1"/>
  <c r="AP242" i="1"/>
  <c r="AP244" i="1" s="1"/>
  <c r="AP247" i="1"/>
  <c r="AP667" i="1"/>
  <c r="AP232" i="1"/>
  <c r="AP233" i="1" s="1"/>
  <c r="AP145" i="1"/>
  <c r="AP177" i="1"/>
  <c r="AP114" i="1" s="1"/>
  <c r="AP817" i="1"/>
  <c r="AP826" i="1"/>
  <c r="AP507" i="1"/>
  <c r="AP468" i="1"/>
  <c r="AP713" i="1"/>
  <c r="AP208" i="1"/>
  <c r="AQ265" i="1" s="1"/>
  <c r="AQ267" i="1" s="1"/>
  <c r="AP204" i="1"/>
  <c r="K61" i="31" s="1"/>
  <c r="AP813" i="1"/>
  <c r="AP820" i="1"/>
  <c r="AP196" i="1"/>
  <c r="AP623" i="1"/>
  <c r="K28" i="31" l="1"/>
  <c r="AP670" i="1"/>
  <c r="AP471" i="1"/>
  <c r="AP147" i="1"/>
  <c r="AP465" i="1"/>
  <c r="AP819" i="1"/>
  <c r="AP154" i="1"/>
  <c r="AP430" i="1"/>
  <c r="AR98" i="1"/>
  <c r="AP822" i="1"/>
  <c r="AP825" i="1"/>
  <c r="AP812" i="1"/>
  <c r="AP441" i="1"/>
  <c r="K26" i="31" s="1"/>
  <c r="AP252" i="1"/>
  <c r="AP254" i="1" s="1"/>
  <c r="AP146" i="1"/>
  <c r="AP198" i="1"/>
  <c r="AP61" i="1" s="1"/>
  <c r="AP795" i="1"/>
  <c r="AP152" i="1"/>
  <c r="AP249" i="1"/>
  <c r="L30" i="31" l="1"/>
  <c r="L29" i="31"/>
  <c r="AP440" i="1"/>
  <c r="AQ96" i="1" s="1"/>
  <c r="AY138" i="1"/>
  <c r="AZ138" i="1" s="1"/>
  <c r="BA138" i="1" s="1"/>
  <c r="BB138" i="1" s="1"/>
  <c r="BC138" i="1" s="1"/>
  <c r="BD138" i="1" s="1"/>
  <c r="BE138" i="1" s="1"/>
  <c r="BF138" i="1" s="1"/>
  <c r="BG138" i="1" s="1"/>
  <c r="BH138" i="1" s="1"/>
  <c r="BI138" i="1" s="1"/>
  <c r="BJ138" i="1" s="1"/>
  <c r="BK138" i="1" s="1"/>
  <c r="BL138" i="1" s="1"/>
  <c r="BM138" i="1" s="1"/>
  <c r="BN138" i="1" s="1"/>
  <c r="BO138" i="1" s="1"/>
  <c r="DH138" i="1" l="1"/>
  <c r="BP138" i="1"/>
  <c r="AO469" i="1"/>
  <c r="AO467" i="1"/>
  <c r="BQ138" i="1" l="1"/>
  <c r="DI138" i="1" s="1"/>
  <c r="AN139" i="1"/>
  <c r="CU258" i="1" l="1"/>
  <c r="CU262" i="1"/>
  <c r="CU234" i="1"/>
  <c r="AO704" i="1"/>
  <c r="AZ565" i="1"/>
  <c r="BA565" i="1" s="1"/>
  <c r="BB565" i="1" s="1"/>
  <c r="BC565" i="1" s="1"/>
  <c r="BD565" i="1" s="1"/>
  <c r="BE565" i="1" s="1"/>
  <c r="BF565" i="1" s="1"/>
  <c r="BG565" i="1" s="1"/>
  <c r="BH565" i="1" s="1"/>
  <c r="BI565" i="1" s="1"/>
  <c r="BJ565" i="1" s="1"/>
  <c r="BK565" i="1" s="1"/>
  <c r="AO509" i="1"/>
  <c r="AO506" i="1"/>
  <c r="AO480" i="1"/>
  <c r="AO442" i="1"/>
  <c r="J27" i="31" s="1"/>
  <c r="AO451" i="1"/>
  <c r="AO416" i="1"/>
  <c r="AO389" i="1"/>
  <c r="AO407" i="1"/>
  <c r="J16" i="31" s="1"/>
  <c r="DF565" i="1" l="1"/>
  <c r="BL565" i="1"/>
  <c r="BM565" i="1" s="1"/>
  <c r="AO526" i="1"/>
  <c r="AP621" i="1" s="1"/>
  <c r="AO537" i="1"/>
  <c r="DG565" i="1" l="1"/>
  <c r="BN565" i="1"/>
  <c r="AP143" i="1"/>
  <c r="AO139" i="1" s="1"/>
  <c r="AP634" i="1"/>
  <c r="AO701" i="1"/>
  <c r="AO680" i="1"/>
  <c r="AO672" i="1"/>
  <c r="AO671" i="1"/>
  <c r="AO668" i="1"/>
  <c r="AO665" i="1"/>
  <c r="AO677" i="1" s="1"/>
  <c r="AO663" i="1"/>
  <c r="AO661" i="1"/>
  <c r="AP702" i="1" s="1"/>
  <c r="AO599" i="1"/>
  <c r="AO610" i="1"/>
  <c r="AO611" i="1" s="1"/>
  <c r="AO612" i="1" s="1"/>
  <c r="AO820" i="1" s="1"/>
  <c r="AO601" i="1"/>
  <c r="AZ601" i="1" s="1"/>
  <c r="BA601" i="1" s="1"/>
  <c r="BB601" i="1" s="1"/>
  <c r="BC601" i="1" s="1"/>
  <c r="BD601" i="1" s="1"/>
  <c r="BE601" i="1" s="1"/>
  <c r="BF601" i="1" s="1"/>
  <c r="BG601" i="1" s="1"/>
  <c r="BH601" i="1" s="1"/>
  <c r="BI601" i="1" s="1"/>
  <c r="BJ601" i="1" s="1"/>
  <c r="BK601" i="1" s="1"/>
  <c r="AO571" i="1"/>
  <c r="AP627" i="1" s="1"/>
  <c r="AO546" i="1"/>
  <c r="AO523" i="1"/>
  <c r="AO470" i="1"/>
  <c r="AO398" i="1"/>
  <c r="J13" i="31" s="1"/>
  <c r="AO259" i="1"/>
  <c r="AO258" i="1"/>
  <c r="AO248" i="1" s="1"/>
  <c r="AO209" i="1"/>
  <c r="AO205" i="1"/>
  <c r="AO199" i="1" s="1"/>
  <c r="AO203" i="1"/>
  <c r="AO202" i="1"/>
  <c r="AO191" i="1"/>
  <c r="AO190" i="1"/>
  <c r="AO185" i="1"/>
  <c r="AO184" i="1"/>
  <c r="AO160" i="1"/>
  <c r="AO52" i="1"/>
  <c r="AO56" i="1"/>
  <c r="AO57" i="1"/>
  <c r="AO59" i="1"/>
  <c r="AO48" i="1" s="1"/>
  <c r="AO60" i="1"/>
  <c r="AO49" i="1" s="1"/>
  <c r="AO101" i="1"/>
  <c r="AO105" i="1" s="1"/>
  <c r="AO115" i="1"/>
  <c r="AO122" i="1"/>
  <c r="AO141" i="1"/>
  <c r="AO143" i="1" s="1"/>
  <c r="AO165" i="1"/>
  <c r="AP223" i="1" s="1"/>
  <c r="AO171" i="1"/>
  <c r="AP228" i="1" s="1"/>
  <c r="AO176" i="1"/>
  <c r="AO178" i="1"/>
  <c r="J59" i="31" s="1"/>
  <c r="AO212" i="1"/>
  <c r="AO215" i="1"/>
  <c r="AO216" i="1"/>
  <c r="AO222" i="1"/>
  <c r="AO227" i="1"/>
  <c r="AO234" i="1"/>
  <c r="AO262" i="1"/>
  <c r="AO318" i="1"/>
  <c r="AO381" i="1"/>
  <c r="J8" i="31" s="1"/>
  <c r="AO388" i="1"/>
  <c r="AO409" i="1"/>
  <c r="AO421" i="1" s="1"/>
  <c r="AO415" i="1"/>
  <c r="AO420" i="1"/>
  <c r="AO422" i="1"/>
  <c r="AO457" i="1" s="1"/>
  <c r="AO423" i="1"/>
  <c r="AO458" i="1" s="1"/>
  <c r="AO487" i="1" s="1"/>
  <c r="AO425" i="1"/>
  <c r="AO460" i="1" s="1"/>
  <c r="AO489" i="1" s="1"/>
  <c r="AO434" i="1"/>
  <c r="AO444" i="1"/>
  <c r="AO445" i="1"/>
  <c r="AO450" i="1"/>
  <c r="AO473" i="1"/>
  <c r="AO474" i="1"/>
  <c r="AO475" i="1"/>
  <c r="AO479" i="1"/>
  <c r="AO501" i="1"/>
  <c r="AO503" i="1"/>
  <c r="AO504" i="1"/>
  <c r="AO516" i="1"/>
  <c r="AO517" i="1"/>
  <c r="AO518" i="1"/>
  <c r="AO519" i="1"/>
  <c r="AO520" i="1"/>
  <c r="AO522" i="1"/>
  <c r="AO536" i="1" s="1"/>
  <c r="AO588" i="1"/>
  <c r="AO589" i="1"/>
  <c r="AO621" i="1"/>
  <c r="AO625" i="1"/>
  <c r="AO626" i="1"/>
  <c r="AO634" i="1"/>
  <c r="AO678" i="1"/>
  <c r="AO703" i="1"/>
  <c r="AO711" i="1"/>
  <c r="AO735" i="1"/>
  <c r="J56" i="31" s="1"/>
  <c r="AO737" i="1"/>
  <c r="AO763" i="1" s="1"/>
  <c r="AO814" i="1"/>
  <c r="AO815" i="1"/>
  <c r="AO818" i="1"/>
  <c r="AO821" i="1"/>
  <c r="AO824" i="1"/>
  <c r="AO827" i="1"/>
  <c r="AO839" i="1"/>
  <c r="K60" i="31" l="1"/>
  <c r="K9" i="31"/>
  <c r="AO181" i="1"/>
  <c r="AO812" i="1" s="1"/>
  <c r="AO762" i="1"/>
  <c r="AO327" i="1"/>
  <c r="AO260" i="1"/>
  <c r="AO699" i="1" s="1"/>
  <c r="AO396" i="1"/>
  <c r="J11" i="31" s="1"/>
  <c r="BO565" i="1"/>
  <c r="AO145" i="1"/>
  <c r="AO204" i="1"/>
  <c r="J61" i="31" s="1"/>
  <c r="DF601" i="1"/>
  <c r="BL601" i="1"/>
  <c r="BM601" i="1" s="1"/>
  <c r="AO623" i="1"/>
  <c r="AO257" i="1"/>
  <c r="AO242" i="1" s="1"/>
  <c r="AO192" i="1"/>
  <c r="AO58" i="1" s="1"/>
  <c r="AO602" i="1"/>
  <c r="AP218" i="1"/>
  <c r="AP54" i="1"/>
  <c r="AO713" i="1"/>
  <c r="AO468" i="1"/>
  <c r="AO243" i="1"/>
  <c r="AO159" i="1"/>
  <c r="AP217" i="1" s="1"/>
  <c r="AP266" i="1"/>
  <c r="AP64" i="1"/>
  <c r="AP698" i="1"/>
  <c r="AO455" i="1"/>
  <c r="AO484" i="1" s="1"/>
  <c r="AO456" i="1"/>
  <c r="AO485" i="1" s="1"/>
  <c r="AO186" i="1"/>
  <c r="AO55" i="1" s="1"/>
  <c r="AO197" i="1"/>
  <c r="AO427" i="1"/>
  <c r="AO462" i="1" s="1"/>
  <c r="AO491" i="1" s="1"/>
  <c r="AO486" i="1"/>
  <c r="AO472" i="1"/>
  <c r="J35" i="31" s="1"/>
  <c r="J36" i="31" s="1"/>
  <c r="AO443" i="1"/>
  <c r="AO584" i="1"/>
  <c r="AO196" i="1"/>
  <c r="AO822" i="1"/>
  <c r="AO823" i="1"/>
  <c r="AO817" i="1"/>
  <c r="AO667" i="1"/>
  <c r="AO177" i="1"/>
  <c r="AO114" i="1" s="1"/>
  <c r="AO813" i="1"/>
  <c r="AO825" i="1"/>
  <c r="AO816" i="1"/>
  <c r="AO819" i="1"/>
  <c r="AO232" i="1"/>
  <c r="AO208" i="1"/>
  <c r="AO154" i="1"/>
  <c r="AO147" i="1"/>
  <c r="AO116" i="1"/>
  <c r="AO826" i="1"/>
  <c r="AO237" i="1"/>
  <c r="J68" i="31" s="1"/>
  <c r="AO507" i="1"/>
  <c r="DE736" i="1"/>
  <c r="DE707" i="1"/>
  <c r="DE528" i="1"/>
  <c r="DE527" i="1"/>
  <c r="DE524" i="1"/>
  <c r="DE523" i="1"/>
  <c r="DE508" i="1"/>
  <c r="DE505" i="1"/>
  <c r="DE492" i="1"/>
  <c r="DE479" i="1"/>
  <c r="DE477" i="1"/>
  <c r="DE476" i="1"/>
  <c r="DE450" i="1"/>
  <c r="DE448" i="1"/>
  <c r="DE447" i="1"/>
  <c r="DE446" i="1"/>
  <c r="DE435" i="1"/>
  <c r="DE415" i="1"/>
  <c r="DE413" i="1"/>
  <c r="DE411" i="1"/>
  <c r="DE410" i="1"/>
  <c r="DE400" i="1"/>
  <c r="DE399" i="1"/>
  <c r="DE388" i="1"/>
  <c r="DE386" i="1"/>
  <c r="DE385" i="1"/>
  <c r="DE384" i="1"/>
  <c r="DE383" i="1"/>
  <c r="DE382" i="1"/>
  <c r="DE420" i="1" s="1"/>
  <c r="DE149" i="1"/>
  <c r="DE105" i="1"/>
  <c r="DE104" i="1"/>
  <c r="DE35" i="1"/>
  <c r="DE34" i="1"/>
  <c r="BI59" i="1"/>
  <c r="BI60" i="1"/>
  <c r="BI409" i="1"/>
  <c r="BI421" i="1" s="1"/>
  <c r="BI420" i="1"/>
  <c r="BI422" i="1"/>
  <c r="BI457" i="1" s="1"/>
  <c r="BI423" i="1"/>
  <c r="BI458" i="1" s="1"/>
  <c r="BI487" i="1" s="1"/>
  <c r="BI425" i="1"/>
  <c r="BI460" i="1" s="1"/>
  <c r="BI489" i="1" s="1"/>
  <c r="BI427" i="1"/>
  <c r="BI462" i="1" s="1"/>
  <c r="BI491" i="1" s="1"/>
  <c r="BI507" i="1" s="1"/>
  <c r="BI444" i="1"/>
  <c r="BI445" i="1"/>
  <c r="BI473" i="1"/>
  <c r="BI474" i="1"/>
  <c r="BI475" i="1"/>
  <c r="BI501" i="1"/>
  <c r="BI503" i="1"/>
  <c r="BI504" i="1"/>
  <c r="BI516" i="1"/>
  <c r="BI517" i="1"/>
  <c r="BI518" i="1"/>
  <c r="BI519" i="1"/>
  <c r="BI520" i="1"/>
  <c r="BI622" i="1"/>
  <c r="BH59" i="1"/>
  <c r="BH60" i="1"/>
  <c r="BH409" i="1"/>
  <c r="BH421" i="1" s="1"/>
  <c r="BH420" i="1"/>
  <c r="BH422" i="1"/>
  <c r="BH457" i="1" s="1"/>
  <c r="BH423" i="1"/>
  <c r="BH458" i="1" s="1"/>
  <c r="BH487" i="1" s="1"/>
  <c r="BH425" i="1"/>
  <c r="BH460" i="1" s="1"/>
  <c r="BH489" i="1" s="1"/>
  <c r="BH427" i="1"/>
  <c r="BH462" i="1" s="1"/>
  <c r="BH491" i="1" s="1"/>
  <c r="BH507" i="1" s="1"/>
  <c r="BH444" i="1"/>
  <c r="BH445" i="1"/>
  <c r="BH473" i="1"/>
  <c r="BH474" i="1"/>
  <c r="BH475" i="1"/>
  <c r="BH501" i="1"/>
  <c r="BH503" i="1"/>
  <c r="BH504" i="1"/>
  <c r="BH516" i="1"/>
  <c r="BH517" i="1"/>
  <c r="BH518" i="1"/>
  <c r="BH519" i="1"/>
  <c r="BH520" i="1"/>
  <c r="BH622" i="1"/>
  <c r="K69" i="31" l="1"/>
  <c r="J28" i="31"/>
  <c r="AO670" i="1"/>
  <c r="AO261" i="1"/>
  <c r="AO471" i="1"/>
  <c r="DH565" i="1"/>
  <c r="BP565" i="1"/>
  <c r="DG601" i="1"/>
  <c r="BN601" i="1"/>
  <c r="BO601" i="1" s="1"/>
  <c r="AO247" i="1"/>
  <c r="AO249" i="1" s="1"/>
  <c r="AO795" i="1"/>
  <c r="DG135" i="1"/>
  <c r="BL735" i="1"/>
  <c r="AG56" i="31" s="1"/>
  <c r="AO430" i="1"/>
  <c r="AQ98" i="1"/>
  <c r="DE507" i="1"/>
  <c r="AO198" i="1"/>
  <c r="AO61" i="1" s="1"/>
  <c r="BJ735" i="1"/>
  <c r="AE56" i="31" s="1"/>
  <c r="DE473" i="1"/>
  <c r="AP53" i="1"/>
  <c r="DE518" i="1"/>
  <c r="DE503" i="1"/>
  <c r="BI455" i="1"/>
  <c r="BI484" i="1" s="1"/>
  <c r="DE622" i="1"/>
  <c r="AP265" i="1"/>
  <c r="AP267" i="1" s="1"/>
  <c r="AP63" i="1"/>
  <c r="DE516" i="1"/>
  <c r="DE475" i="1"/>
  <c r="DE520" i="1"/>
  <c r="AO233" i="1"/>
  <c r="DE517" i="1"/>
  <c r="DE501" i="1"/>
  <c r="DE427" i="1"/>
  <c r="DE462" i="1" s="1"/>
  <c r="DE491" i="1" s="1"/>
  <c r="AO465" i="1"/>
  <c r="AO441" i="1"/>
  <c r="J26" i="31" s="1"/>
  <c r="DE444" i="1"/>
  <c r="DE455" i="1" s="1"/>
  <c r="BI486" i="1"/>
  <c r="BH455" i="1"/>
  <c r="BH484" i="1" s="1"/>
  <c r="DE422" i="1"/>
  <c r="DE457" i="1" s="1"/>
  <c r="DE519" i="1"/>
  <c r="DE504" i="1"/>
  <c r="DE474" i="1"/>
  <c r="DE445" i="1"/>
  <c r="DE409" i="1"/>
  <c r="DE421" i="1" s="1"/>
  <c r="DE423" i="1"/>
  <c r="DE458" i="1" s="1"/>
  <c r="DE487" i="1" s="1"/>
  <c r="AO146" i="1"/>
  <c r="AO238" i="1"/>
  <c r="AO244" i="1"/>
  <c r="AO253" i="1"/>
  <c r="AO152" i="1"/>
  <c r="BH486" i="1"/>
  <c r="DE425" i="1"/>
  <c r="DE460" i="1" s="1"/>
  <c r="DE489" i="1" s="1"/>
  <c r="BI456" i="1"/>
  <c r="BI485" i="1" s="1"/>
  <c r="BH456" i="1"/>
  <c r="BH485" i="1" s="1"/>
  <c r="K30" i="31" l="1"/>
  <c r="K29" i="31"/>
  <c r="AO440" i="1"/>
  <c r="AP96" i="1" s="1"/>
  <c r="BQ565" i="1"/>
  <c r="DI565" i="1" s="1"/>
  <c r="DH601" i="1"/>
  <c r="BP601" i="1"/>
  <c r="AO252" i="1"/>
  <c r="AO254" i="1" s="1"/>
  <c r="BM735" i="1"/>
  <c r="AH56" i="31" s="1"/>
  <c r="DG138" i="1"/>
  <c r="DG735" i="1"/>
  <c r="BC56" i="31" s="1"/>
  <c r="DE484" i="1"/>
  <c r="BK735" i="1"/>
  <c r="AF56" i="31" s="1"/>
  <c r="DF138" i="1"/>
  <c r="DF135" i="1"/>
  <c r="DF735" i="1" s="1"/>
  <c r="BB56" i="31" s="1"/>
  <c r="DE486" i="1"/>
  <c r="DE456" i="1"/>
  <c r="DE485" i="1" s="1"/>
  <c r="BQ601" i="1" l="1"/>
  <c r="DI601" i="1" s="1"/>
  <c r="AN407" i="1"/>
  <c r="I16" i="31" s="1"/>
  <c r="AM442" i="1"/>
  <c r="H27" i="31" s="1"/>
  <c r="AL442" i="1"/>
  <c r="G27" i="31" s="1"/>
  <c r="AM407" i="1"/>
  <c r="H16" i="31" s="1"/>
  <c r="AL407" i="1"/>
  <c r="G16" i="31" s="1"/>
  <c r="R76" i="8" l="1"/>
  <c r="S76" i="8"/>
  <c r="T76" i="8"/>
  <c r="U76" i="8"/>
  <c r="V76" i="8"/>
  <c r="W76" i="8"/>
  <c r="X76" i="8"/>
  <c r="Y76" i="8"/>
  <c r="Z76" i="8"/>
  <c r="R83" i="8"/>
  <c r="S83" i="8"/>
  <c r="T83" i="8"/>
  <c r="U83" i="8"/>
  <c r="V83" i="8"/>
  <c r="W83" i="8"/>
  <c r="X83" i="8"/>
  <c r="Y83" i="8"/>
  <c r="Z83" i="8"/>
  <c r="R84" i="8"/>
  <c r="S84" i="8"/>
  <c r="T84" i="8"/>
  <c r="U84" i="8"/>
  <c r="V84" i="8"/>
  <c r="W84" i="8"/>
  <c r="X84" i="8"/>
  <c r="Y84" i="8"/>
  <c r="Z84" i="8"/>
  <c r="R87" i="8"/>
  <c r="S87" i="8"/>
  <c r="T87" i="8"/>
  <c r="U87" i="8"/>
  <c r="V87" i="8"/>
  <c r="W87" i="8"/>
  <c r="X87" i="8"/>
  <c r="Y87" i="8"/>
  <c r="Z87" i="8"/>
  <c r="R94" i="8"/>
  <c r="S94" i="8"/>
  <c r="T94" i="8"/>
  <c r="U94" i="8"/>
  <c r="V94" i="8"/>
  <c r="W94" i="8"/>
  <c r="X94" i="8"/>
  <c r="Y94" i="8"/>
  <c r="Z94" i="8"/>
  <c r="R95" i="8"/>
  <c r="S95" i="8"/>
  <c r="T95" i="8"/>
  <c r="U95" i="8"/>
  <c r="V95" i="8"/>
  <c r="W95" i="8"/>
  <c r="X95" i="8"/>
  <c r="Y95" i="8"/>
  <c r="Z95" i="8"/>
  <c r="R96" i="8"/>
  <c r="S96" i="8"/>
  <c r="T96" i="8"/>
  <c r="U96" i="8"/>
  <c r="V96" i="8"/>
  <c r="W96" i="8"/>
  <c r="X96" i="8"/>
  <c r="Y96" i="8"/>
  <c r="Z96" i="8"/>
  <c r="R101" i="8"/>
  <c r="S101" i="8"/>
  <c r="T101" i="8"/>
  <c r="U101" i="8"/>
  <c r="V101" i="8"/>
  <c r="W101" i="8"/>
  <c r="X101" i="8"/>
  <c r="Y101" i="8"/>
  <c r="Z101" i="8"/>
  <c r="R102" i="8"/>
  <c r="S102" i="8"/>
  <c r="T102" i="8"/>
  <c r="U102" i="8"/>
  <c r="V102" i="8"/>
  <c r="W102" i="8"/>
  <c r="X102" i="8"/>
  <c r="Y102" i="8"/>
  <c r="Z102" i="8"/>
  <c r="R104" i="8"/>
  <c r="S104" i="8"/>
  <c r="T104" i="8"/>
  <c r="U104" i="8"/>
  <c r="V104" i="8"/>
  <c r="W104" i="8"/>
  <c r="X104" i="8"/>
  <c r="Y104" i="8"/>
  <c r="Z104" i="8"/>
  <c r="R106" i="8"/>
  <c r="S106" i="8"/>
  <c r="T106" i="8"/>
  <c r="U106" i="8"/>
  <c r="V106" i="8"/>
  <c r="W106" i="8"/>
  <c r="X106" i="8"/>
  <c r="Y106" i="8"/>
  <c r="Z106" i="8"/>
  <c r="R113" i="8"/>
  <c r="S113" i="8"/>
  <c r="T113" i="8"/>
  <c r="U113" i="8"/>
  <c r="V113" i="8"/>
  <c r="W113" i="8"/>
  <c r="X113" i="8"/>
  <c r="Y113" i="8"/>
  <c r="Z113" i="8"/>
  <c r="R114" i="8"/>
  <c r="S114" i="8"/>
  <c r="T114" i="8"/>
  <c r="U114" i="8"/>
  <c r="V114" i="8"/>
  <c r="W114" i="8"/>
  <c r="X114" i="8"/>
  <c r="Y114" i="8"/>
  <c r="Z114" i="8"/>
  <c r="R214" i="8"/>
  <c r="S214" i="8"/>
  <c r="T214" i="8"/>
  <c r="U214" i="8"/>
  <c r="V214" i="8"/>
  <c r="W214" i="8"/>
  <c r="X214" i="8"/>
  <c r="Y214" i="8"/>
  <c r="Z214" i="8"/>
  <c r="R218" i="8"/>
  <c r="S218" i="8"/>
  <c r="T218" i="8"/>
  <c r="U218" i="8"/>
  <c r="V218" i="8"/>
  <c r="W218" i="8"/>
  <c r="X218" i="8"/>
  <c r="Y218" i="8"/>
  <c r="Z218" i="8"/>
  <c r="R225" i="8"/>
  <c r="S225" i="8"/>
  <c r="T225" i="8"/>
  <c r="U225" i="8"/>
  <c r="V225" i="8"/>
  <c r="W225" i="8"/>
  <c r="X225" i="8"/>
  <c r="Y225" i="8"/>
  <c r="Z225" i="8"/>
  <c r="R231" i="8"/>
  <c r="S231" i="8"/>
  <c r="T231" i="8"/>
  <c r="U231" i="8"/>
  <c r="V231" i="8"/>
  <c r="W231" i="8"/>
  <c r="X231" i="8"/>
  <c r="Y231" i="8"/>
  <c r="Z231" i="8"/>
  <c r="R237" i="8"/>
  <c r="S237" i="8"/>
  <c r="T237" i="8"/>
  <c r="U237" i="8"/>
  <c r="V237" i="8"/>
  <c r="W237" i="8"/>
  <c r="X237" i="8"/>
  <c r="Y237" i="8"/>
  <c r="Z237" i="8"/>
  <c r="R242" i="8"/>
  <c r="S242" i="8"/>
  <c r="T242" i="8"/>
  <c r="U242" i="8"/>
  <c r="V242" i="8"/>
  <c r="W242" i="8"/>
  <c r="X242" i="8"/>
  <c r="Y242" i="8"/>
  <c r="Z242" i="8"/>
  <c r="R243" i="8"/>
  <c r="S243" i="8"/>
  <c r="T243" i="8"/>
  <c r="U243" i="8"/>
  <c r="V243" i="8"/>
  <c r="W243" i="8"/>
  <c r="X243" i="8"/>
  <c r="Y243" i="8"/>
  <c r="Z243" i="8"/>
  <c r="R244" i="8"/>
  <c r="S244" i="8"/>
  <c r="T244" i="8"/>
  <c r="U244" i="8"/>
  <c r="V244" i="8"/>
  <c r="W244" i="8"/>
  <c r="X244" i="8"/>
  <c r="Y244" i="8"/>
  <c r="Z244" i="8"/>
  <c r="R245" i="8"/>
  <c r="S245" i="8"/>
  <c r="T245" i="8"/>
  <c r="U245" i="8"/>
  <c r="V245" i="8"/>
  <c r="W245" i="8"/>
  <c r="X245" i="8"/>
  <c r="Y245" i="8"/>
  <c r="Z245" i="8"/>
  <c r="R355" i="8"/>
  <c r="S355" i="8"/>
  <c r="T355" i="8"/>
  <c r="U355" i="8"/>
  <c r="V355" i="8"/>
  <c r="W355" i="8"/>
  <c r="X355" i="8"/>
  <c r="Y355" i="8"/>
  <c r="Z355" i="8"/>
  <c r="R388" i="8"/>
  <c r="S388" i="8"/>
  <c r="T388" i="8"/>
  <c r="U388" i="8"/>
  <c r="V388" i="8"/>
  <c r="W388" i="8"/>
  <c r="X388" i="8"/>
  <c r="Y388" i="8"/>
  <c r="Z388" i="8"/>
  <c r="R389" i="8"/>
  <c r="S389" i="8"/>
  <c r="T389" i="8"/>
  <c r="U389" i="8"/>
  <c r="V389" i="8"/>
  <c r="W389" i="8"/>
  <c r="X389" i="8"/>
  <c r="Y389" i="8"/>
  <c r="Z389" i="8"/>
  <c r="Q389" i="8"/>
  <c r="Q388" i="8"/>
  <c r="Q355" i="8"/>
  <c r="Q245" i="8"/>
  <c r="Q244" i="8"/>
  <c r="Q243" i="8"/>
  <c r="Q242" i="8"/>
  <c r="Q237" i="8"/>
  <c r="Q231" i="8"/>
  <c r="Q225" i="8"/>
  <c r="Q218" i="8"/>
  <c r="Q214" i="8"/>
  <c r="Q114" i="8"/>
  <c r="Q113" i="8"/>
  <c r="Q106" i="8"/>
  <c r="Q104" i="8"/>
  <c r="Q102" i="8"/>
  <c r="Q101" i="8"/>
  <c r="Q96" i="8"/>
  <c r="Q95" i="8"/>
  <c r="Q94" i="8"/>
  <c r="Q87" i="8"/>
  <c r="Q84" i="8"/>
  <c r="Q83" i="8"/>
  <c r="Q76" i="8"/>
  <c r="J6" i="7" l="1"/>
  <c r="AN509" i="1" l="1"/>
  <c r="AN480" i="1"/>
  <c r="AN451" i="1"/>
  <c r="AN416" i="1"/>
  <c r="AN389" i="1"/>
  <c r="AN523" i="1" l="1"/>
  <c r="AN469" i="1"/>
  <c r="AN467" i="1"/>
  <c r="AN704" i="1"/>
  <c r="AN839" i="1"/>
  <c r="AN827" i="1"/>
  <c r="AN824" i="1"/>
  <c r="AN821" i="1"/>
  <c r="AN818" i="1"/>
  <c r="AN815" i="1"/>
  <c r="AN814" i="1"/>
  <c r="AN737" i="1"/>
  <c r="AN763" i="1" s="1"/>
  <c r="AN735" i="1"/>
  <c r="I56" i="31" s="1"/>
  <c r="AN711" i="1"/>
  <c r="AN703" i="1"/>
  <c r="AN701" i="1"/>
  <c r="AN680" i="1"/>
  <c r="AN671" i="1"/>
  <c r="AN668" i="1"/>
  <c r="AN665" i="1"/>
  <c r="AN677" i="1" s="1"/>
  <c r="AN663" i="1"/>
  <c r="AN661" i="1"/>
  <c r="AN678" i="1"/>
  <c r="AN634" i="1"/>
  <c r="AN626" i="1"/>
  <c r="AN625" i="1"/>
  <c r="AN621" i="1"/>
  <c r="AN610" i="1"/>
  <c r="AN611" i="1" s="1"/>
  <c r="AN601" i="1"/>
  <c r="AN599" i="1"/>
  <c r="AN589" i="1"/>
  <c r="AN588" i="1"/>
  <c r="AN571" i="1"/>
  <c r="AN546" i="1"/>
  <c r="AN522" i="1"/>
  <c r="AN536" i="1" s="1"/>
  <c r="AN520" i="1"/>
  <c r="AN519" i="1"/>
  <c r="AN518" i="1"/>
  <c r="AN517" i="1"/>
  <c r="AN516" i="1"/>
  <c r="AN506" i="1"/>
  <c r="AN504" i="1"/>
  <c r="AN503" i="1"/>
  <c r="AN501" i="1"/>
  <c r="AN470" i="1"/>
  <c r="AN713" i="1" s="1"/>
  <c r="AN479" i="1"/>
  <c r="AN475" i="1"/>
  <c r="AN474" i="1"/>
  <c r="AN473" i="1"/>
  <c r="AN450" i="1"/>
  <c r="AN445" i="1"/>
  <c r="AN444" i="1"/>
  <c r="AN434" i="1"/>
  <c r="AN425" i="1"/>
  <c r="AN460" i="1" s="1"/>
  <c r="AN489" i="1" s="1"/>
  <c r="AN423" i="1"/>
  <c r="AN458" i="1" s="1"/>
  <c r="AN487" i="1" s="1"/>
  <c r="AN422" i="1"/>
  <c r="AN457" i="1" s="1"/>
  <c r="AN420" i="1"/>
  <c r="AN398" i="1"/>
  <c r="I13" i="31" s="1"/>
  <c r="AN415" i="1"/>
  <c r="AN409" i="1"/>
  <c r="AN421" i="1" s="1"/>
  <c r="AN388" i="1"/>
  <c r="AN381" i="1"/>
  <c r="I8" i="31" s="1"/>
  <c r="AN318" i="1"/>
  <c r="AN259" i="1"/>
  <c r="AN258" i="1"/>
  <c r="AN248" i="1" s="1"/>
  <c r="AN262" i="1"/>
  <c r="AN234" i="1"/>
  <c r="AN237" i="1" s="1"/>
  <c r="I68" i="31" s="1"/>
  <c r="AN227" i="1"/>
  <c r="AN222" i="1"/>
  <c r="AN216" i="1"/>
  <c r="AN215" i="1"/>
  <c r="AN212" i="1"/>
  <c r="AN205" i="1"/>
  <c r="AN199" i="1" s="1"/>
  <c r="AN203" i="1"/>
  <c r="AN202" i="1"/>
  <c r="AN191" i="1"/>
  <c r="AN190" i="1"/>
  <c r="AN209" i="1"/>
  <c r="AN185" i="1"/>
  <c r="AN184" i="1"/>
  <c r="AN160" i="1"/>
  <c r="AN178" i="1"/>
  <c r="I59" i="31" s="1"/>
  <c r="AN176" i="1"/>
  <c r="AN171" i="1"/>
  <c r="AO228" i="1" s="1"/>
  <c r="AN165" i="1"/>
  <c r="AO223" i="1" s="1"/>
  <c r="AN122" i="1"/>
  <c r="AN115" i="1"/>
  <c r="AN101" i="1"/>
  <c r="AN105" i="1" s="1"/>
  <c r="J60" i="31" l="1"/>
  <c r="J9" i="31"/>
  <c r="J69" i="31"/>
  <c r="AN238" i="1"/>
  <c r="AN260" i="1"/>
  <c r="AN699" i="1" s="1"/>
  <c r="AN396" i="1"/>
  <c r="I11" i="31" s="1"/>
  <c r="AN762" i="1"/>
  <c r="AN602" i="1"/>
  <c r="AN486" i="1"/>
  <c r="AN243" i="1"/>
  <c r="AN253" i="1" s="1"/>
  <c r="AN443" i="1"/>
  <c r="I28" i="31" s="1"/>
  <c r="AN159" i="1"/>
  <c r="AO53" i="1" s="1"/>
  <c r="AO218" i="1"/>
  <c r="AO54" i="1"/>
  <c r="AN584" i="1"/>
  <c r="AO627" i="1"/>
  <c r="AN208" i="1"/>
  <c r="AO64" i="1"/>
  <c r="AO266" i="1"/>
  <c r="AN472" i="1"/>
  <c r="I35" i="31" s="1"/>
  <c r="I36" i="31" s="1"/>
  <c r="AN427" i="1"/>
  <c r="AN462" i="1" s="1"/>
  <c r="AN491" i="1" s="1"/>
  <c r="AO698" i="1"/>
  <c r="AO702" i="1"/>
  <c r="AN186" i="1"/>
  <c r="AN468" i="1"/>
  <c r="AN197" i="1"/>
  <c r="AN257" i="1"/>
  <c r="AN242" i="1" s="1"/>
  <c r="AN232" i="1"/>
  <c r="AN233" i="1" s="1"/>
  <c r="AN667" i="1"/>
  <c r="AN612" i="1"/>
  <c r="AN820" i="1" s="1"/>
  <c r="AN196" i="1"/>
  <c r="AN456" i="1"/>
  <c r="AN455" i="1"/>
  <c r="AN484" i="1" s="1"/>
  <c r="AN623" i="1"/>
  <c r="AN507" i="1"/>
  <c r="AN204" i="1"/>
  <c r="I61" i="31" s="1"/>
  <c r="AN192" i="1"/>
  <c r="AN177" i="1"/>
  <c r="AN114" i="1" s="1"/>
  <c r="AN181" i="1"/>
  <c r="J30" i="31" l="1"/>
  <c r="AN670" i="1"/>
  <c r="AP98" i="1"/>
  <c r="AN261" i="1"/>
  <c r="AN465" i="1"/>
  <c r="AN244" i="1"/>
  <c r="AN430" i="1"/>
  <c r="AN441" i="1"/>
  <c r="I26" i="31" s="1"/>
  <c r="AN471" i="1"/>
  <c r="AO217" i="1"/>
  <c r="AN826" i="1"/>
  <c r="AN247" i="1"/>
  <c r="AN252" i="1" s="1"/>
  <c r="AN254" i="1" s="1"/>
  <c r="AO265" i="1"/>
  <c r="AO267" i="1" s="1"/>
  <c r="AO63" i="1"/>
  <c r="AN817" i="1"/>
  <c r="AN823" i="1"/>
  <c r="AN154" i="1"/>
  <c r="AN822" i="1"/>
  <c r="AN825" i="1"/>
  <c r="AN813" i="1"/>
  <c r="AN816" i="1"/>
  <c r="AN812" i="1"/>
  <c r="AN819" i="1"/>
  <c r="AN795" i="1"/>
  <c r="AN485" i="1"/>
  <c r="AN198" i="1"/>
  <c r="J29" i="31" l="1"/>
  <c r="AN440" i="1"/>
  <c r="AO96" i="1" s="1"/>
  <c r="AN249" i="1"/>
  <c r="AN60" i="1"/>
  <c r="AN59" i="1"/>
  <c r="AN57" i="1"/>
  <c r="AN56" i="1"/>
  <c r="AN55" i="1"/>
  <c r="AN52" i="1"/>
  <c r="AM469" i="1" l="1"/>
  <c r="AM467" i="1"/>
  <c r="AM701" i="1" l="1"/>
  <c r="AL701" i="1"/>
  <c r="AM389" i="1" l="1"/>
  <c r="AM470" i="1"/>
  <c r="AM468" i="1" s="1"/>
  <c r="AM398" i="1"/>
  <c r="H13" i="31" s="1"/>
  <c r="AL398" i="1"/>
  <c r="G13" i="31" s="1"/>
  <c r="AL396" i="1" l="1"/>
  <c r="G11" i="31" s="1"/>
  <c r="AM396" i="1"/>
  <c r="H11" i="31" s="1"/>
  <c r="CT258" i="1"/>
  <c r="CT234" i="1"/>
  <c r="AM839" i="1"/>
  <c r="AM827" i="1"/>
  <c r="AM824" i="1"/>
  <c r="AM821" i="1"/>
  <c r="AM818" i="1"/>
  <c r="AM815" i="1"/>
  <c r="AM814" i="1"/>
  <c r="AM737" i="1"/>
  <c r="AM763" i="1" s="1"/>
  <c r="AM735" i="1"/>
  <c r="H56" i="31" s="1"/>
  <c r="AM706" i="1"/>
  <c r="AN706" i="1" s="1"/>
  <c r="AO706" i="1" s="1"/>
  <c r="AP706" i="1" s="1"/>
  <c r="AQ706" i="1" s="1"/>
  <c r="AR706" i="1" s="1"/>
  <c r="AS706" i="1" s="1"/>
  <c r="AT706" i="1" s="1"/>
  <c r="AU706" i="1" s="1"/>
  <c r="AV706" i="1" s="1"/>
  <c r="AW706" i="1" s="1"/>
  <c r="AX706" i="1" s="1"/>
  <c r="AY706" i="1" s="1"/>
  <c r="AM704" i="1"/>
  <c r="AM711" i="1"/>
  <c r="AM703" i="1"/>
  <c r="AM680" i="1"/>
  <c r="AM671" i="1"/>
  <c r="AM668" i="1"/>
  <c r="AM665" i="1"/>
  <c r="AM677" i="1" s="1"/>
  <c r="AM663" i="1"/>
  <c r="AM661" i="1"/>
  <c r="AM678" i="1"/>
  <c r="AM626" i="1"/>
  <c r="AM625" i="1"/>
  <c r="AM621" i="1"/>
  <c r="AM610" i="1"/>
  <c r="AM611" i="1" s="1"/>
  <c r="AM612" i="1" s="1"/>
  <c r="AM601" i="1"/>
  <c r="AM599" i="1"/>
  <c r="AM589" i="1"/>
  <c r="AM588" i="1"/>
  <c r="AM571" i="1"/>
  <c r="AM546" i="1"/>
  <c r="AM634" i="1"/>
  <c r="AM523" i="1"/>
  <c r="AM522" i="1"/>
  <c r="AM536" i="1" s="1"/>
  <c r="AM520" i="1"/>
  <c r="AM519" i="1"/>
  <c r="AM518" i="1"/>
  <c r="AM517" i="1"/>
  <c r="AM516" i="1"/>
  <c r="AM509" i="1"/>
  <c r="AM506" i="1"/>
  <c r="AM504" i="1"/>
  <c r="AM503" i="1"/>
  <c r="AM501" i="1"/>
  <c r="AL480" i="1"/>
  <c r="AM479" i="1"/>
  <c r="AM475" i="1"/>
  <c r="AM474" i="1"/>
  <c r="AM473" i="1"/>
  <c r="AM451" i="1"/>
  <c r="AM450" i="1" s="1"/>
  <c r="AM445" i="1"/>
  <c r="AM444" i="1"/>
  <c r="AM434" i="1"/>
  <c r="AM416" i="1"/>
  <c r="AM415" i="1" s="1"/>
  <c r="AM425" i="1"/>
  <c r="AM460" i="1" s="1"/>
  <c r="AM489" i="1" s="1"/>
  <c r="AM423" i="1"/>
  <c r="AM458" i="1" s="1"/>
  <c r="AM487" i="1" s="1"/>
  <c r="AM422" i="1"/>
  <c r="AM457" i="1" s="1"/>
  <c r="AM420" i="1"/>
  <c r="AM409" i="1"/>
  <c r="AM421" i="1" s="1"/>
  <c r="AM388" i="1"/>
  <c r="AM381" i="1"/>
  <c r="H8" i="31" s="1"/>
  <c r="AM318" i="1"/>
  <c r="AM259" i="1"/>
  <c r="AM258" i="1"/>
  <c r="AM262" i="1"/>
  <c r="AM234" i="1"/>
  <c r="AM227" i="1"/>
  <c r="AM222" i="1"/>
  <c r="AM216" i="1"/>
  <c r="AM215" i="1"/>
  <c r="AM212" i="1"/>
  <c r="AM205" i="1"/>
  <c r="AM199" i="1" s="1"/>
  <c r="AM203" i="1"/>
  <c r="AM202" i="1"/>
  <c r="AM191" i="1"/>
  <c r="AM190" i="1"/>
  <c r="AL190" i="1"/>
  <c r="AM185" i="1"/>
  <c r="AL185" i="1"/>
  <c r="AM184" i="1"/>
  <c r="AM209" i="1"/>
  <c r="AM160" i="1"/>
  <c r="AM178" i="1"/>
  <c r="H59" i="31" s="1"/>
  <c r="AM176" i="1"/>
  <c r="AM171" i="1"/>
  <c r="AN228" i="1" s="1"/>
  <c r="AM165" i="1"/>
  <c r="AN223" i="1" s="1"/>
  <c r="AM122" i="1"/>
  <c r="AM115" i="1"/>
  <c r="AM101" i="1"/>
  <c r="AM105" i="1" s="1"/>
  <c r="I9" i="31" l="1"/>
  <c r="I60" i="31"/>
  <c r="AM762" i="1"/>
  <c r="AM602" i="1"/>
  <c r="AM204" i="1"/>
  <c r="H61" i="31" s="1"/>
  <c r="AM196" i="1"/>
  <c r="AM584" i="1"/>
  <c r="AN627" i="1"/>
  <c r="AM159" i="1"/>
  <c r="AN217" i="1" s="1"/>
  <c r="AN218" i="1"/>
  <c r="AN54" i="1"/>
  <c r="AN698" i="1"/>
  <c r="AN702" i="1"/>
  <c r="AM208" i="1"/>
  <c r="AN265" i="1" s="1"/>
  <c r="AN266" i="1"/>
  <c r="AM192" i="1"/>
  <c r="AM257" i="1"/>
  <c r="AM242" i="1" s="1"/>
  <c r="AM248" i="1"/>
  <c r="AM243" i="1"/>
  <c r="AM667" i="1"/>
  <c r="AM260" i="1"/>
  <c r="AM261" i="1" s="1"/>
  <c r="AM456" i="1"/>
  <c r="AM485" i="1" s="1"/>
  <c r="AM623" i="1"/>
  <c r="AM455" i="1"/>
  <c r="AM484" i="1" s="1"/>
  <c r="AM472" i="1"/>
  <c r="H35" i="31" s="1"/>
  <c r="H36" i="31" s="1"/>
  <c r="AM486" i="1"/>
  <c r="AM820" i="1"/>
  <c r="AM823" i="1"/>
  <c r="AM826" i="1"/>
  <c r="AM817" i="1"/>
  <c r="AM197" i="1"/>
  <c r="AM427" i="1"/>
  <c r="AM462" i="1" s="1"/>
  <c r="AM491" i="1" s="1"/>
  <c r="AM713" i="1"/>
  <c r="AM443" i="1"/>
  <c r="H28" i="31" s="1"/>
  <c r="AM507" i="1"/>
  <c r="AM232" i="1"/>
  <c r="AM233" i="1" s="1"/>
  <c r="AM237" i="1"/>
  <c r="H68" i="31" s="1"/>
  <c r="AM186" i="1"/>
  <c r="AM177" i="1"/>
  <c r="AM181" i="1"/>
  <c r="DD736" i="1"/>
  <c r="DD707" i="1"/>
  <c r="DD528" i="1"/>
  <c r="DD527" i="1"/>
  <c r="DD524" i="1"/>
  <c r="DD523" i="1"/>
  <c r="DD508" i="1"/>
  <c r="DD505" i="1"/>
  <c r="DD492" i="1"/>
  <c r="DD479" i="1"/>
  <c r="DD477" i="1"/>
  <c r="DD476" i="1"/>
  <c r="DD450" i="1"/>
  <c r="DD448" i="1"/>
  <c r="DD447" i="1"/>
  <c r="DD446" i="1"/>
  <c r="DD435" i="1"/>
  <c r="DD415" i="1"/>
  <c r="DD413" i="1"/>
  <c r="DD411" i="1"/>
  <c r="DD410" i="1"/>
  <c r="DD400" i="1"/>
  <c r="DD399" i="1"/>
  <c r="DD388" i="1"/>
  <c r="DD386" i="1"/>
  <c r="DD385" i="1"/>
  <c r="DD384" i="1"/>
  <c r="DD383" i="1"/>
  <c r="DD382" i="1"/>
  <c r="DD420" i="1" s="1"/>
  <c r="DD149" i="1"/>
  <c r="DD105" i="1"/>
  <c r="DD104" i="1"/>
  <c r="DD35" i="1"/>
  <c r="DD34" i="1"/>
  <c r="BG622" i="1"/>
  <c r="BF622" i="1"/>
  <c r="BG520" i="1"/>
  <c r="BF520" i="1"/>
  <c r="BG519" i="1"/>
  <c r="BF519" i="1"/>
  <c r="BG518" i="1"/>
  <c r="BF518" i="1"/>
  <c r="BG517" i="1"/>
  <c r="BF517" i="1"/>
  <c r="BG516" i="1"/>
  <c r="BF516" i="1"/>
  <c r="BG504" i="1"/>
  <c r="BF504" i="1"/>
  <c r="BG503" i="1"/>
  <c r="BF503" i="1"/>
  <c r="BG501" i="1"/>
  <c r="BF501" i="1"/>
  <c r="BG475" i="1"/>
  <c r="BF475" i="1"/>
  <c r="BG474" i="1"/>
  <c r="BF474" i="1"/>
  <c r="BG473" i="1"/>
  <c r="BF473" i="1"/>
  <c r="BG445" i="1"/>
  <c r="BF445" i="1"/>
  <c r="BG444" i="1"/>
  <c r="BF444" i="1"/>
  <c r="BG427" i="1"/>
  <c r="BG462" i="1" s="1"/>
  <c r="BG491" i="1" s="1"/>
  <c r="BG507" i="1" s="1"/>
  <c r="BF427" i="1"/>
  <c r="BF462" i="1" s="1"/>
  <c r="BF491" i="1" s="1"/>
  <c r="BF507" i="1" s="1"/>
  <c r="BG425" i="1"/>
  <c r="BG460" i="1" s="1"/>
  <c r="BG489" i="1" s="1"/>
  <c r="BF425" i="1"/>
  <c r="BF460" i="1" s="1"/>
  <c r="BF489" i="1" s="1"/>
  <c r="BG423" i="1"/>
  <c r="BG458" i="1" s="1"/>
  <c r="BG487" i="1" s="1"/>
  <c r="BF423" i="1"/>
  <c r="BF458" i="1" s="1"/>
  <c r="BF487" i="1" s="1"/>
  <c r="BG422" i="1"/>
  <c r="BG457" i="1" s="1"/>
  <c r="BF422" i="1"/>
  <c r="BF457" i="1" s="1"/>
  <c r="BG420" i="1"/>
  <c r="BF420" i="1"/>
  <c r="BG409" i="1"/>
  <c r="BG421" i="1" s="1"/>
  <c r="BF409" i="1"/>
  <c r="BG60" i="1"/>
  <c r="BF60" i="1"/>
  <c r="BG59" i="1"/>
  <c r="BF59" i="1"/>
  <c r="I69" i="31" l="1"/>
  <c r="I30" i="31"/>
  <c r="AM670" i="1"/>
  <c r="AO98" i="1"/>
  <c r="AM238" i="1"/>
  <c r="AM471" i="1"/>
  <c r="AM699" i="1"/>
  <c r="AM795" i="1"/>
  <c r="BG486" i="1"/>
  <c r="AN53" i="1"/>
  <c r="AN267" i="1"/>
  <c r="AM247" i="1"/>
  <c r="AM198" i="1"/>
  <c r="BG456" i="1"/>
  <c r="BG485" i="1" s="1"/>
  <c r="DD507" i="1"/>
  <c r="DD445" i="1"/>
  <c r="DD501" i="1"/>
  <c r="DD504" i="1"/>
  <c r="DD517" i="1"/>
  <c r="DD519" i="1"/>
  <c r="DD622" i="1"/>
  <c r="DD425" i="1"/>
  <c r="DD460" i="1" s="1"/>
  <c r="DD489" i="1" s="1"/>
  <c r="AM465" i="1"/>
  <c r="AM441" i="1"/>
  <c r="H26" i="31" s="1"/>
  <c r="AM154" i="1"/>
  <c r="AM816" i="1"/>
  <c r="AM812" i="1"/>
  <c r="AM819" i="1"/>
  <c r="AM825" i="1"/>
  <c r="AM813" i="1"/>
  <c r="AM822" i="1"/>
  <c r="AM430" i="1"/>
  <c r="BG455" i="1"/>
  <c r="BG484" i="1" s="1"/>
  <c r="DD473" i="1"/>
  <c r="DD475" i="1"/>
  <c r="BF421" i="1"/>
  <c r="BF456" i="1" s="1"/>
  <c r="BF485" i="1" s="1"/>
  <c r="DD409" i="1"/>
  <c r="DD421" i="1" s="1"/>
  <c r="BF486" i="1"/>
  <c r="BF455" i="1"/>
  <c r="BF484" i="1" s="1"/>
  <c r="DD444" i="1"/>
  <c r="DD455" i="1" s="1"/>
  <c r="DD474" i="1"/>
  <c r="DD503" i="1"/>
  <c r="DD516" i="1"/>
  <c r="DD518" i="1"/>
  <c r="DD520" i="1"/>
  <c r="DD423" i="1"/>
  <c r="DD458" i="1" s="1"/>
  <c r="DD487" i="1" s="1"/>
  <c r="DD427" i="1"/>
  <c r="DD462" i="1" s="1"/>
  <c r="DD491" i="1" s="1"/>
  <c r="DD422" i="1"/>
  <c r="DD457" i="1" s="1"/>
  <c r="I29" i="31" l="1"/>
  <c r="AM440" i="1"/>
  <c r="AN96" i="1" s="1"/>
  <c r="DD486" i="1"/>
  <c r="DD456" i="1"/>
  <c r="DD485" i="1" s="1"/>
  <c r="DD484" i="1"/>
  <c r="CS262" i="1" l="1"/>
  <c r="CS234" i="1"/>
  <c r="AJ259" i="1"/>
  <c r="AL259" i="1"/>
  <c r="AK259" i="1"/>
  <c r="AI259" i="1"/>
  <c r="AI260" i="1" l="1"/>
  <c r="AK260" i="1"/>
  <c r="AL260" i="1"/>
  <c r="AJ260" i="1"/>
  <c r="AL451" i="1"/>
  <c r="AL389" i="1"/>
  <c r="AL416" i="1"/>
  <c r="AL509" i="1"/>
  <c r="AK442" i="1"/>
  <c r="F27" i="31" s="1"/>
  <c r="AJ442" i="1"/>
  <c r="E27" i="31" s="1"/>
  <c r="AK407" i="1"/>
  <c r="F16" i="31" s="1"/>
  <c r="AJ407" i="1"/>
  <c r="E16" i="31" s="1"/>
  <c r="AK396" i="1"/>
  <c r="F11" i="31" s="1"/>
  <c r="AJ396" i="1"/>
  <c r="E11" i="31" s="1"/>
  <c r="AK433" i="1"/>
  <c r="AJ433" i="1"/>
  <c r="AL469" i="1"/>
  <c r="AL467" i="1"/>
  <c r="AL479" i="1"/>
  <c r="AL475" i="1"/>
  <c r="AL474" i="1"/>
  <c r="AL473" i="1"/>
  <c r="AL470" i="1"/>
  <c r="AL468" i="1" l="1"/>
  <c r="AL472" i="1"/>
  <c r="G35" i="31" s="1"/>
  <c r="AL523" i="1"/>
  <c r="AL522" i="1"/>
  <c r="AL536" i="1" s="1"/>
  <c r="AL520" i="1"/>
  <c r="AL519" i="1"/>
  <c r="AL518" i="1"/>
  <c r="AL517" i="1"/>
  <c r="AL516" i="1"/>
  <c r="AL450" i="1"/>
  <c r="AL445" i="1"/>
  <c r="AL444" i="1"/>
  <c r="AL415" i="1"/>
  <c r="AL409" i="1"/>
  <c r="AL546" i="1"/>
  <c r="AL537" i="1"/>
  <c r="AL122" i="1"/>
  <c r="AL115" i="1"/>
  <c r="AL101" i="1"/>
  <c r="AL105" i="1" s="1"/>
  <c r="AL471" i="1" l="1"/>
  <c r="AL443" i="1"/>
  <c r="G28" i="31" s="1"/>
  <c r="AL465" i="1"/>
  <c r="AL60" i="1"/>
  <c r="AL59" i="1"/>
  <c r="AL57" i="1"/>
  <c r="AL56" i="1"/>
  <c r="AL52" i="1"/>
  <c r="AL827" i="1"/>
  <c r="AL824" i="1"/>
  <c r="AL821" i="1"/>
  <c r="AL818" i="1"/>
  <c r="AL815" i="1"/>
  <c r="AL814" i="1"/>
  <c r="AL735" i="1"/>
  <c r="G56" i="31" s="1"/>
  <c r="AK704" i="1"/>
  <c r="AL704" i="1"/>
  <c r="AL703" i="1"/>
  <c r="AL680" i="1"/>
  <c r="AL671" i="1"/>
  <c r="AL668" i="1"/>
  <c r="AL665" i="1"/>
  <c r="AL677" i="1" s="1"/>
  <c r="AL663" i="1"/>
  <c r="AL661" i="1"/>
  <c r="AL678" i="1"/>
  <c r="AL626" i="1"/>
  <c r="AL625" i="1"/>
  <c r="AL623" i="1"/>
  <c r="AL610" i="1"/>
  <c r="AL611" i="1" s="1"/>
  <c r="AL612" i="1" s="1"/>
  <c r="AL601" i="1"/>
  <c r="AL599" i="1"/>
  <c r="AL589" i="1"/>
  <c r="AL588" i="1"/>
  <c r="AL571" i="1"/>
  <c r="AL506" i="1"/>
  <c r="AL507" i="1" s="1"/>
  <c r="AL504" i="1"/>
  <c r="AL503" i="1"/>
  <c r="AL501" i="1"/>
  <c r="AL434" i="1"/>
  <c r="AL425" i="1"/>
  <c r="AL460" i="1" s="1"/>
  <c r="AL489" i="1" s="1"/>
  <c r="AL423" i="1"/>
  <c r="AL458" i="1" s="1"/>
  <c r="AL487" i="1" s="1"/>
  <c r="AL422" i="1"/>
  <c r="AL457" i="1" s="1"/>
  <c r="AL421" i="1"/>
  <c r="AL420" i="1"/>
  <c r="AL455" i="1" s="1"/>
  <c r="AL484" i="1" s="1"/>
  <c r="AL388" i="1"/>
  <c r="AL381" i="1"/>
  <c r="G8" i="31" s="1"/>
  <c r="AL318" i="1"/>
  <c r="AL258" i="1"/>
  <c r="AL257" i="1" s="1"/>
  <c r="AK258" i="1"/>
  <c r="AL262" i="1"/>
  <c r="AL234" i="1"/>
  <c r="AL237" i="1" s="1"/>
  <c r="G68" i="31" s="1"/>
  <c r="AL227" i="1"/>
  <c r="AL222" i="1"/>
  <c r="AL216" i="1"/>
  <c r="AL215" i="1"/>
  <c r="AL212" i="1"/>
  <c r="AL205" i="1"/>
  <c r="AL199" i="1" s="1"/>
  <c r="AL203" i="1"/>
  <c r="AL202" i="1"/>
  <c r="AL191" i="1"/>
  <c r="AJ184" i="1"/>
  <c r="AK184" i="1"/>
  <c r="AL184" i="1"/>
  <c r="AL209" i="1"/>
  <c r="AL160" i="1"/>
  <c r="AL178" i="1"/>
  <c r="G59" i="31" s="1"/>
  <c r="AL176" i="1"/>
  <c r="AL171" i="1"/>
  <c r="AM228" i="1" s="1"/>
  <c r="AL165" i="1"/>
  <c r="AM223" i="1" s="1"/>
  <c r="H9" i="31" l="1"/>
  <c r="H69" i="31"/>
  <c r="H30" i="31"/>
  <c r="H60" i="31"/>
  <c r="G36" i="31"/>
  <c r="AL441" i="1"/>
  <c r="AL238" i="1"/>
  <c r="AL762" i="1"/>
  <c r="AL145" i="1"/>
  <c r="AL242" i="1"/>
  <c r="AL247" i="1"/>
  <c r="AL248" i="1"/>
  <c r="AL243" i="1"/>
  <c r="AL181" i="1"/>
  <c r="AL154" i="1" s="1"/>
  <c r="AL159" i="1"/>
  <c r="AM217" i="1" s="1"/>
  <c r="AM218" i="1"/>
  <c r="AL584" i="1"/>
  <c r="AM627" i="1"/>
  <c r="AM698" i="1"/>
  <c r="AM702" i="1"/>
  <c r="AL208" i="1"/>
  <c r="AM266" i="1"/>
  <c r="AL196" i="1"/>
  <c r="AL192" i="1"/>
  <c r="AL58" i="1" s="1"/>
  <c r="AL197" i="1"/>
  <c r="AL602" i="1"/>
  <c r="AL699" i="1"/>
  <c r="AL427" i="1"/>
  <c r="AL462" i="1" s="1"/>
  <c r="AL491" i="1" s="1"/>
  <c r="AL116" i="1"/>
  <c r="AL820" i="1"/>
  <c r="AL823" i="1"/>
  <c r="AL826" i="1"/>
  <c r="AL817" i="1"/>
  <c r="AL667" i="1"/>
  <c r="AL177" i="1"/>
  <c r="AL114" i="1" s="1"/>
  <c r="AL261" i="1"/>
  <c r="AL232" i="1"/>
  <c r="AL233" i="1" s="1"/>
  <c r="AL204" i="1"/>
  <c r="G61" i="31" s="1"/>
  <c r="AL186" i="1"/>
  <c r="AL55" i="1" s="1"/>
  <c r="AL440" i="1" l="1"/>
  <c r="AM96" i="1" s="1"/>
  <c r="G26" i="31"/>
  <c r="AL670" i="1"/>
  <c r="AL816" i="1"/>
  <c r="AL813" i="1"/>
  <c r="AL822" i="1"/>
  <c r="AL147" i="1"/>
  <c r="AL825" i="1"/>
  <c r="AL812" i="1"/>
  <c r="AL819" i="1"/>
  <c r="AL152" i="1"/>
  <c r="AM265" i="1"/>
  <c r="AM267" i="1" s="1"/>
  <c r="AL146" i="1"/>
  <c r="AL795" i="1"/>
  <c r="AL198" i="1"/>
  <c r="AL61" i="1" s="1"/>
  <c r="AK451" i="1"/>
  <c r="AJ451" i="1"/>
  <c r="AK416" i="1"/>
  <c r="AJ416" i="1"/>
  <c r="H29" i="31" l="1"/>
  <c r="AK141" i="1"/>
  <c r="AK467" i="1" l="1"/>
  <c r="AJ467" i="1"/>
  <c r="AK469" i="1"/>
  <c r="AK523" i="1" l="1"/>
  <c r="CS258" i="1" l="1"/>
  <c r="AK415" i="1"/>
  <c r="AK546" i="1"/>
  <c r="AK537" i="1"/>
  <c r="AK526" i="1"/>
  <c r="AK522" i="1"/>
  <c r="AK536" i="1" s="1"/>
  <c r="AK520" i="1"/>
  <c r="AK519" i="1"/>
  <c r="AK518" i="1"/>
  <c r="AK517" i="1"/>
  <c r="AK516" i="1"/>
  <c r="AK122" i="1"/>
  <c r="AK104" i="1"/>
  <c r="AK101" i="1"/>
  <c r="AK60" i="1"/>
  <c r="AK49" i="1" s="1"/>
  <c r="AK59" i="1"/>
  <c r="AK48" i="1" s="1"/>
  <c r="AK57" i="1"/>
  <c r="AK56" i="1"/>
  <c r="AK52" i="1"/>
  <c r="AK105" i="1" l="1"/>
  <c r="AK680" i="1"/>
  <c r="AK735" i="1"/>
  <c r="F56" i="31" s="1"/>
  <c r="AK706" i="1"/>
  <c r="AK762" i="1" l="1"/>
  <c r="AK711" i="1"/>
  <c r="AK703" i="1"/>
  <c r="AK701" i="1"/>
  <c r="AK671" i="1"/>
  <c r="AK668" i="1"/>
  <c r="AK665" i="1" l="1"/>
  <c r="AK677" i="1" s="1"/>
  <c r="AK663" i="1"/>
  <c r="AK678" i="1"/>
  <c r="AK626" i="1"/>
  <c r="AK625" i="1"/>
  <c r="AK610" i="1"/>
  <c r="AK611" i="1" s="1"/>
  <c r="AK601" i="1"/>
  <c r="AK599" i="1"/>
  <c r="AK589" i="1"/>
  <c r="AK588" i="1"/>
  <c r="AK571" i="1"/>
  <c r="AL627" i="1" s="1"/>
  <c r="AK509" i="1"/>
  <c r="AK506" i="1"/>
  <c r="AK504" i="1"/>
  <c r="AK503" i="1"/>
  <c r="AK501" i="1"/>
  <c r="AK470" i="1"/>
  <c r="AK713" i="1" s="1"/>
  <c r="AK479" i="1"/>
  <c r="AK475" i="1"/>
  <c r="AK474" i="1"/>
  <c r="AK473" i="1"/>
  <c r="AK450" i="1"/>
  <c r="AK445" i="1"/>
  <c r="AK444" i="1"/>
  <c r="AK425" i="1"/>
  <c r="AK460" i="1" s="1"/>
  <c r="AK489" i="1" s="1"/>
  <c r="AK423" i="1"/>
  <c r="AK458" i="1" s="1"/>
  <c r="AK487" i="1" s="1"/>
  <c r="AK422" i="1"/>
  <c r="AK457" i="1" s="1"/>
  <c r="AK420" i="1"/>
  <c r="AK409" i="1"/>
  <c r="AK388" i="1"/>
  <c r="AK427" i="1" s="1"/>
  <c r="AK381" i="1"/>
  <c r="F8" i="31" s="1"/>
  <c r="AK699" i="1"/>
  <c r="AK262" i="1"/>
  <c r="AK257" i="1"/>
  <c r="AK234" i="1"/>
  <c r="AK237" i="1" s="1"/>
  <c r="F68" i="31" s="1"/>
  <c r="AK227" i="1"/>
  <c r="AK222" i="1"/>
  <c r="AK216" i="1"/>
  <c r="AK215" i="1"/>
  <c r="AK205" i="1"/>
  <c r="AK199" i="1" s="1"/>
  <c r="AK203" i="1"/>
  <c r="AK202" i="1"/>
  <c r="AK209" i="1"/>
  <c r="AK191" i="1"/>
  <c r="AK190" i="1"/>
  <c r="AK185" i="1"/>
  <c r="AK186" i="1" s="1"/>
  <c r="AK55" i="1" s="1"/>
  <c r="AK178" i="1"/>
  <c r="F59" i="31" s="1"/>
  <c r="AK176" i="1"/>
  <c r="AK171" i="1"/>
  <c r="AL228" i="1" s="1"/>
  <c r="AK165" i="1"/>
  <c r="AL223" i="1" s="1"/>
  <c r="AK160" i="1"/>
  <c r="AK159" i="1" s="1"/>
  <c r="G9" i="31" l="1"/>
  <c r="G60" i="31"/>
  <c r="G69" i="31"/>
  <c r="AK486" i="1"/>
  <c r="AK192" i="1"/>
  <c r="AK58" i="1" s="1"/>
  <c r="AK196" i="1"/>
  <c r="AK145" i="1"/>
  <c r="AK204" i="1"/>
  <c r="F61" i="31" s="1"/>
  <c r="AK584" i="1"/>
  <c r="AK197" i="1"/>
  <c r="AL218" i="1"/>
  <c r="AL54" i="1"/>
  <c r="AK507" i="1"/>
  <c r="AL266" i="1"/>
  <c r="AL64" i="1"/>
  <c r="AL217" i="1"/>
  <c r="AL53" i="1"/>
  <c r="AK443" i="1"/>
  <c r="F28" i="31" s="1"/>
  <c r="AK462" i="1"/>
  <c r="AK491" i="1" s="1"/>
  <c r="AK455" i="1"/>
  <c r="AK484" i="1" s="1"/>
  <c r="AK208" i="1"/>
  <c r="AK181" i="1"/>
  <c r="AK238" i="1"/>
  <c r="AK612" i="1"/>
  <c r="AK421" i="1"/>
  <c r="AK456" i="1" s="1"/>
  <c r="AK485" i="1" s="1"/>
  <c r="AK472" i="1"/>
  <c r="F35" i="31" s="1"/>
  <c r="F36" i="31" s="1"/>
  <c r="AK602" i="1"/>
  <c r="AK261" i="1"/>
  <c r="AK232" i="1"/>
  <c r="AK233" i="1" s="1"/>
  <c r="AK177" i="1"/>
  <c r="AK146" i="1" s="1"/>
  <c r="DC736" i="1"/>
  <c r="DC707" i="1"/>
  <c r="DC528" i="1"/>
  <c r="DC527" i="1"/>
  <c r="DC524" i="1"/>
  <c r="G18" i="30" s="1"/>
  <c r="DC523" i="1"/>
  <c r="DC508" i="1"/>
  <c r="DC505" i="1"/>
  <c r="DC492" i="1"/>
  <c r="DC479" i="1"/>
  <c r="DC477" i="1"/>
  <c r="DC476" i="1"/>
  <c r="DC448" i="1"/>
  <c r="DC447" i="1"/>
  <c r="DC446" i="1"/>
  <c r="DC435" i="1"/>
  <c r="DC413" i="1"/>
  <c r="DC411" i="1"/>
  <c r="DC410" i="1"/>
  <c r="DC400" i="1"/>
  <c r="DC399" i="1"/>
  <c r="DC386" i="1"/>
  <c r="DC385" i="1"/>
  <c r="DC384" i="1"/>
  <c r="DC383" i="1"/>
  <c r="DC382" i="1"/>
  <c r="DC420" i="1" s="1"/>
  <c r="DC149" i="1"/>
  <c r="DC105" i="1"/>
  <c r="DC104" i="1"/>
  <c r="DC35" i="1"/>
  <c r="DC34" i="1"/>
  <c r="BE622" i="1"/>
  <c r="BD622" i="1"/>
  <c r="BE520" i="1"/>
  <c r="BD520" i="1"/>
  <c r="BE519" i="1"/>
  <c r="BD519" i="1"/>
  <c r="BE518" i="1"/>
  <c r="BD518" i="1"/>
  <c r="BE517" i="1"/>
  <c r="BD517" i="1"/>
  <c r="BE516" i="1"/>
  <c r="BD516" i="1"/>
  <c r="BE504" i="1"/>
  <c r="BD504" i="1"/>
  <c r="BE503" i="1"/>
  <c r="BD503" i="1"/>
  <c r="BE501" i="1"/>
  <c r="BD501" i="1"/>
  <c r="BE475" i="1"/>
  <c r="BD475" i="1"/>
  <c r="BE474" i="1"/>
  <c r="BD474" i="1"/>
  <c r="BE473" i="1"/>
  <c r="BD473" i="1"/>
  <c r="BE445" i="1"/>
  <c r="BD445" i="1"/>
  <c r="BE444" i="1"/>
  <c r="BD444" i="1"/>
  <c r="BE425" i="1"/>
  <c r="BE460" i="1" s="1"/>
  <c r="BE489" i="1" s="1"/>
  <c r="BD425" i="1"/>
  <c r="BD460" i="1" s="1"/>
  <c r="BD489" i="1" s="1"/>
  <c r="BE423" i="1"/>
  <c r="BE458" i="1" s="1"/>
  <c r="BE487" i="1" s="1"/>
  <c r="BD423" i="1"/>
  <c r="BD458" i="1" s="1"/>
  <c r="BD487" i="1" s="1"/>
  <c r="BE422" i="1"/>
  <c r="BE457" i="1" s="1"/>
  <c r="BD422" i="1"/>
  <c r="BD457" i="1" s="1"/>
  <c r="BE420" i="1"/>
  <c r="BD420" i="1"/>
  <c r="BE409" i="1"/>
  <c r="BE421" i="1" s="1"/>
  <c r="BD409" i="1"/>
  <c r="BD421" i="1" s="1"/>
  <c r="BE60" i="1"/>
  <c r="BD60" i="1"/>
  <c r="BE59" i="1"/>
  <c r="BD59" i="1"/>
  <c r="G30" i="31" l="1"/>
  <c r="AK670" i="1"/>
  <c r="AK441" i="1"/>
  <c r="F26" i="31" s="1"/>
  <c r="G19" i="30"/>
  <c r="AK471" i="1"/>
  <c r="BE456" i="1"/>
  <c r="BE485" i="1" s="1"/>
  <c r="AK198" i="1"/>
  <c r="AK61" i="1" s="1"/>
  <c r="AK795" i="1"/>
  <c r="AK147" i="1"/>
  <c r="BD456" i="1"/>
  <c r="BD485" i="1" s="1"/>
  <c r="AL265" i="1"/>
  <c r="AL267" i="1" s="1"/>
  <c r="AL63" i="1"/>
  <c r="DC473" i="1"/>
  <c r="DC475" i="1"/>
  <c r="DC503" i="1"/>
  <c r="DC516" i="1"/>
  <c r="BE486" i="1"/>
  <c r="BD486" i="1"/>
  <c r="DC425" i="1"/>
  <c r="DC460" i="1" s="1"/>
  <c r="DC489" i="1" s="1"/>
  <c r="DC445" i="1"/>
  <c r="DC474" i="1"/>
  <c r="DC501" i="1"/>
  <c r="DC504" i="1"/>
  <c r="DC517" i="1"/>
  <c r="DC519" i="1"/>
  <c r="AK152" i="1"/>
  <c r="DC622" i="1"/>
  <c r="DC518" i="1"/>
  <c r="DC520" i="1"/>
  <c r="DC422" i="1"/>
  <c r="DC457" i="1" s="1"/>
  <c r="DC409" i="1"/>
  <c r="DC421" i="1" s="1"/>
  <c r="BD455" i="1"/>
  <c r="BD484" i="1" s="1"/>
  <c r="DC444" i="1"/>
  <c r="DC455" i="1" s="1"/>
  <c r="BE455" i="1"/>
  <c r="BE484" i="1" s="1"/>
  <c r="DC423" i="1"/>
  <c r="DC458" i="1" s="1"/>
  <c r="DC487" i="1" s="1"/>
  <c r="G29" i="31" l="1"/>
  <c r="DC486" i="1"/>
  <c r="DC484" i="1"/>
  <c r="DC456" i="1"/>
  <c r="DC485" i="1" s="1"/>
  <c r="AJ141" i="1" l="1"/>
  <c r="AJ523" i="1" l="1"/>
  <c r="AJ509" i="1"/>
  <c r="AI509" i="1"/>
  <c r="AH509" i="1"/>
  <c r="AI451" i="1"/>
  <c r="AH451" i="1"/>
  <c r="AI416" i="1"/>
  <c r="AH416" i="1"/>
  <c r="AH389" i="1"/>
  <c r="AJ704" i="1" l="1"/>
  <c r="AH433" i="1"/>
  <c r="AI433" i="1"/>
  <c r="AH209" i="1"/>
  <c r="AI209" i="1"/>
  <c r="AJ209" i="1"/>
  <c r="AJ160" i="1"/>
  <c r="AI160" i="1"/>
  <c r="AH160" i="1"/>
  <c r="AK218" i="1" l="1"/>
  <c r="AK54" i="1"/>
  <c r="AK266" i="1"/>
  <c r="AK64" i="1"/>
  <c r="AJ546" i="1"/>
  <c r="AJ537" i="1"/>
  <c r="AJ143" i="1" s="1"/>
  <c r="AJ208" i="1"/>
  <c r="AK63" i="1" s="1"/>
  <c r="AJ122" i="1"/>
  <c r="AJ104" i="1"/>
  <c r="AJ101" i="1"/>
  <c r="AJ60" i="1"/>
  <c r="AJ59" i="1"/>
  <c r="AJ57" i="1"/>
  <c r="AJ56" i="1"/>
  <c r="AJ54" i="1"/>
  <c r="AJ52" i="1"/>
  <c r="AJ735" i="1"/>
  <c r="E56" i="31" s="1"/>
  <c r="AJ711" i="1"/>
  <c r="AJ703" i="1"/>
  <c r="AJ701" i="1"/>
  <c r="AJ680" i="1"/>
  <c r="AJ671" i="1"/>
  <c r="AJ668" i="1"/>
  <c r="AJ665" i="1"/>
  <c r="AJ677" i="1" s="1"/>
  <c r="AJ663" i="1"/>
  <c r="AJ678" i="1"/>
  <c r="AJ626" i="1"/>
  <c r="AJ625" i="1"/>
  <c r="AJ621" i="1"/>
  <c r="AJ610" i="1"/>
  <c r="AJ611" i="1" s="1"/>
  <c r="AJ601" i="1"/>
  <c r="AJ599" i="1"/>
  <c r="AJ589" i="1"/>
  <c r="AJ588" i="1"/>
  <c r="AJ571" i="1"/>
  <c r="AJ522" i="1"/>
  <c r="AJ536" i="1" s="1"/>
  <c r="AJ520" i="1"/>
  <c r="AJ519" i="1"/>
  <c r="AJ518" i="1"/>
  <c r="AJ517" i="1"/>
  <c r="AJ516" i="1"/>
  <c r="AJ506" i="1"/>
  <c r="AJ507" i="1" s="1"/>
  <c r="AJ504" i="1"/>
  <c r="AJ503" i="1"/>
  <c r="AJ501" i="1"/>
  <c r="AJ470" i="1"/>
  <c r="AJ713" i="1" s="1"/>
  <c r="AJ469" i="1"/>
  <c r="AJ479" i="1"/>
  <c r="AJ475" i="1"/>
  <c r="AJ474" i="1"/>
  <c r="AJ473" i="1"/>
  <c r="AJ450" i="1"/>
  <c r="AJ445" i="1"/>
  <c r="AJ444" i="1"/>
  <c r="AJ425" i="1"/>
  <c r="AJ460" i="1" s="1"/>
  <c r="AJ489" i="1" s="1"/>
  <c r="AJ423" i="1"/>
  <c r="AJ458" i="1" s="1"/>
  <c r="AJ487" i="1" s="1"/>
  <c r="AJ422" i="1"/>
  <c r="AJ457" i="1" s="1"/>
  <c r="AJ420" i="1"/>
  <c r="AJ415" i="1"/>
  <c r="AJ409" i="1"/>
  <c r="AJ421" i="1" s="1"/>
  <c r="AJ388" i="1"/>
  <c r="AJ699" i="1"/>
  <c r="AJ258" i="1"/>
  <c r="AJ262" i="1"/>
  <c r="AJ234" i="1"/>
  <c r="AJ237" i="1" s="1"/>
  <c r="E68" i="31" s="1"/>
  <c r="AJ227" i="1"/>
  <c r="AJ222" i="1"/>
  <c r="AJ218" i="1"/>
  <c r="AJ216" i="1"/>
  <c r="AJ215" i="1"/>
  <c r="AJ212" i="1"/>
  <c r="AJ205" i="1"/>
  <c r="AJ199" i="1" s="1"/>
  <c r="AJ203" i="1"/>
  <c r="AJ202" i="1"/>
  <c r="AJ191" i="1"/>
  <c r="AJ190" i="1"/>
  <c r="AJ185" i="1"/>
  <c r="AI185" i="1"/>
  <c r="F69" i="31" l="1"/>
  <c r="AJ238" i="1"/>
  <c r="AJ762" i="1"/>
  <c r="AJ634" i="1"/>
  <c r="AJ192" i="1"/>
  <c r="AJ58" i="1" s="1"/>
  <c r="AJ105" i="1"/>
  <c r="AJ486" i="1"/>
  <c r="AJ602" i="1"/>
  <c r="AJ197" i="1"/>
  <c r="AJ257" i="1"/>
  <c r="AJ584" i="1"/>
  <c r="AK627" i="1"/>
  <c r="AJ456" i="1"/>
  <c r="AJ485" i="1" s="1"/>
  <c r="AJ152" i="1"/>
  <c r="AK265" i="1"/>
  <c r="AK267" i="1" s="1"/>
  <c r="AJ455" i="1"/>
  <c r="AJ484" i="1" s="1"/>
  <c r="AJ427" i="1"/>
  <c r="AJ462" i="1" s="1"/>
  <c r="AJ491" i="1" s="1"/>
  <c r="AJ443" i="1"/>
  <c r="E28" i="31" s="1"/>
  <c r="AJ472" i="1"/>
  <c r="E35" i="31" s="1"/>
  <c r="AJ623" i="1"/>
  <c r="AJ612" i="1"/>
  <c r="AJ468" i="1"/>
  <c r="AJ261" i="1"/>
  <c r="AJ232" i="1"/>
  <c r="AJ233" i="1" s="1"/>
  <c r="AJ204" i="1"/>
  <c r="E61" i="31" s="1"/>
  <c r="AJ196" i="1"/>
  <c r="AJ186" i="1"/>
  <c r="AJ178" i="1"/>
  <c r="E59" i="31" s="1"/>
  <c r="AJ176" i="1"/>
  <c r="AJ145" i="1" s="1"/>
  <c r="AJ171" i="1"/>
  <c r="AK228" i="1" s="1"/>
  <c r="AJ165" i="1"/>
  <c r="AK223" i="1" s="1"/>
  <c r="AJ159" i="1"/>
  <c r="E36" i="31" l="1"/>
  <c r="F30" i="31"/>
  <c r="F60" i="31"/>
  <c r="AJ670" i="1"/>
  <c r="AJ430" i="1"/>
  <c r="AJ471" i="1"/>
  <c r="AK217" i="1"/>
  <c r="AK53" i="1"/>
  <c r="AJ465" i="1"/>
  <c r="AJ181" i="1"/>
  <c r="AJ154" i="1" s="1"/>
  <c r="AJ795" i="1"/>
  <c r="AJ198" i="1"/>
  <c r="AJ61" i="1" s="1"/>
  <c r="AJ55" i="1"/>
  <c r="AJ441" i="1"/>
  <c r="E26" i="31" s="1"/>
  <c r="AJ177" i="1"/>
  <c r="AJ146" i="1" s="1"/>
  <c r="F29" i="31" l="1"/>
  <c r="AJ147" i="1"/>
  <c r="AI506" i="1"/>
  <c r="AH506" i="1"/>
  <c r="AI467" i="1" l="1"/>
  <c r="AI469" i="1"/>
  <c r="AI396" i="1" l="1"/>
  <c r="D11" i="31" s="1"/>
  <c r="AH396" i="1"/>
  <c r="C11" i="31" s="1"/>
  <c r="AG396" i="1"/>
  <c r="AF396" i="1"/>
  <c r="AE396" i="1"/>
  <c r="AD396" i="1"/>
  <c r="AC396" i="1"/>
  <c r="AB396" i="1"/>
  <c r="AA396" i="1"/>
  <c r="Z396" i="1"/>
  <c r="Y396" i="1"/>
  <c r="X396" i="1"/>
  <c r="W396" i="1"/>
  <c r="V396" i="1"/>
  <c r="AI704" i="1" l="1"/>
  <c r="AI407" i="1"/>
  <c r="D16" i="31" s="1"/>
  <c r="AI212" i="1"/>
  <c r="AI202" i="1"/>
  <c r="AI184" i="1"/>
  <c r="CR184" i="1" s="1"/>
  <c r="AI115" i="1"/>
  <c r="AI101" i="1"/>
  <c r="AI60" i="1"/>
  <c r="AI49" i="1" s="1"/>
  <c r="AI59" i="1"/>
  <c r="AI48" i="1" s="1"/>
  <c r="AI57" i="1"/>
  <c r="AI56" i="1"/>
  <c r="AI52" i="1"/>
  <c r="CR258" i="1" l="1"/>
  <c r="CR262" i="1"/>
  <c r="CR234" i="1"/>
  <c r="AI668" i="1"/>
  <c r="AI537" i="1"/>
  <c r="AI634" i="1" s="1"/>
  <c r="AI470" i="1"/>
  <c r="AI713" i="1" s="1"/>
  <c r="CR712" i="1"/>
  <c r="CR710" i="1"/>
  <c r="CR708" i="1"/>
  <c r="CR707" i="1"/>
  <c r="CR706" i="1"/>
  <c r="CR705" i="1"/>
  <c r="AI839" i="1"/>
  <c r="AI827" i="1"/>
  <c r="AI824" i="1"/>
  <c r="AI821" i="1"/>
  <c r="AI818" i="1"/>
  <c r="AI815" i="1"/>
  <c r="AI814" i="1"/>
  <c r="AI735" i="1"/>
  <c r="D56" i="31" s="1"/>
  <c r="AI711" i="1"/>
  <c r="AI703" i="1"/>
  <c r="AI701" i="1"/>
  <c r="AI680" i="1"/>
  <c r="AI671" i="1"/>
  <c r="AI665" i="1"/>
  <c r="AI677" i="1" s="1"/>
  <c r="AI663" i="1"/>
  <c r="AI661" i="1"/>
  <c r="AI678" i="1"/>
  <c r="AI626" i="1"/>
  <c r="AI625" i="1"/>
  <c r="AI610" i="1"/>
  <c r="AI611" i="1" s="1"/>
  <c r="AI601" i="1"/>
  <c r="AI599" i="1"/>
  <c r="AI589" i="1"/>
  <c r="AI588" i="1"/>
  <c r="AI571" i="1"/>
  <c r="AJ627" i="1" s="1"/>
  <c r="AI546" i="1"/>
  <c r="AI526" i="1"/>
  <c r="AI621" i="1" s="1"/>
  <c r="AI524" i="1"/>
  <c r="AI523" i="1" s="1"/>
  <c r="AI522" i="1"/>
  <c r="AI536" i="1" s="1"/>
  <c r="AI520" i="1"/>
  <c r="AI519" i="1"/>
  <c r="AI518" i="1"/>
  <c r="AI517" i="1"/>
  <c r="AI516" i="1"/>
  <c r="AI504" i="1"/>
  <c r="AI503" i="1"/>
  <c r="AI501" i="1"/>
  <c r="AI479" i="1"/>
  <c r="AI475" i="1"/>
  <c r="AI474" i="1"/>
  <c r="AI473" i="1"/>
  <c r="AI450" i="1"/>
  <c r="AI445" i="1"/>
  <c r="AI444" i="1"/>
  <c r="AI434" i="1"/>
  <c r="AI425" i="1"/>
  <c r="AI460" i="1" s="1"/>
  <c r="AI489" i="1" s="1"/>
  <c r="AI423" i="1"/>
  <c r="AI458" i="1" s="1"/>
  <c r="AI487" i="1" s="1"/>
  <c r="AI422" i="1"/>
  <c r="AI457" i="1" s="1"/>
  <c r="AI420" i="1"/>
  <c r="AI415" i="1"/>
  <c r="AI409" i="1"/>
  <c r="AI388" i="1"/>
  <c r="AI318" i="1"/>
  <c r="AI699" i="1"/>
  <c r="AI258" i="1"/>
  <c r="AI248" i="1" s="1"/>
  <c r="AI262" i="1"/>
  <c r="AI234" i="1"/>
  <c r="AI237" i="1" s="1"/>
  <c r="D68" i="31" s="1"/>
  <c r="AI227" i="1"/>
  <c r="AI222" i="1"/>
  <c r="AI216" i="1"/>
  <c r="AI215" i="1"/>
  <c r="AI205" i="1"/>
  <c r="AI203" i="1"/>
  <c r="AI191" i="1"/>
  <c r="AI190" i="1"/>
  <c r="CR190" i="1" s="1"/>
  <c r="AI186" i="1"/>
  <c r="AI55" i="1" s="1"/>
  <c r="CR185" i="1"/>
  <c r="AI178" i="1"/>
  <c r="D59" i="31" s="1"/>
  <c r="AI176" i="1"/>
  <c r="AI171" i="1"/>
  <c r="AJ228" i="1" s="1"/>
  <c r="AI165" i="1"/>
  <c r="AJ223" i="1" s="1"/>
  <c r="AI122" i="1"/>
  <c r="AI104" i="1"/>
  <c r="E60" i="31" l="1"/>
  <c r="E69" i="31"/>
  <c r="AI181" i="1"/>
  <c r="AI154" i="1" s="1"/>
  <c r="AI762" i="1"/>
  <c r="AI584" i="1"/>
  <c r="AI257" i="1"/>
  <c r="AI247" i="1" s="1"/>
  <c r="AI177" i="1"/>
  <c r="AI114" i="1" s="1"/>
  <c r="AI486" i="1"/>
  <c r="AI443" i="1"/>
  <c r="D28" i="31" s="1"/>
  <c r="AJ266" i="1"/>
  <c r="AJ64" i="1"/>
  <c r="AI472" i="1"/>
  <c r="D35" i="31" s="1"/>
  <c r="D36" i="31" s="1"/>
  <c r="AI232" i="1"/>
  <c r="AI233" i="1" s="1"/>
  <c r="AI427" i="1"/>
  <c r="AI462" i="1" s="1"/>
  <c r="AI491" i="1" s="1"/>
  <c r="AI243" i="1"/>
  <c r="AI468" i="1"/>
  <c r="AI159" i="1"/>
  <c r="AI192" i="1"/>
  <c r="AI58" i="1" s="1"/>
  <c r="CR191" i="1"/>
  <c r="AI623" i="1"/>
  <c r="AI238" i="1"/>
  <c r="AI667" i="1"/>
  <c r="AI421" i="1"/>
  <c r="AI456" i="1" s="1"/>
  <c r="AI485" i="1" s="1"/>
  <c r="AI455" i="1"/>
  <c r="AI484" i="1" s="1"/>
  <c r="AI825" i="1"/>
  <c r="AI208" i="1"/>
  <c r="AI152" i="1" s="1"/>
  <c r="AI612" i="1"/>
  <c r="AI602" i="1"/>
  <c r="AI507" i="1"/>
  <c r="AI261" i="1"/>
  <c r="AI204" i="1"/>
  <c r="D61" i="31" s="1"/>
  <c r="AI105" i="1"/>
  <c r="DB149" i="1"/>
  <c r="DB105" i="1"/>
  <c r="DB104" i="1"/>
  <c r="DB736" i="1"/>
  <c r="DB707" i="1"/>
  <c r="DB528" i="1"/>
  <c r="DB527" i="1"/>
  <c r="DB524" i="1"/>
  <c r="F18" i="30" s="1"/>
  <c r="DB523" i="1"/>
  <c r="DB508" i="1"/>
  <c r="DB505" i="1"/>
  <c r="DB492" i="1"/>
  <c r="DB479" i="1"/>
  <c r="DB477" i="1"/>
  <c r="DB476" i="1"/>
  <c r="DB448" i="1"/>
  <c r="DB447" i="1"/>
  <c r="DB446" i="1"/>
  <c r="DB435" i="1"/>
  <c r="DB413" i="1"/>
  <c r="DB411" i="1"/>
  <c r="DB410" i="1"/>
  <c r="DB386" i="1"/>
  <c r="DB385" i="1"/>
  <c r="DB384" i="1"/>
  <c r="DB383" i="1"/>
  <c r="DB382" i="1"/>
  <c r="DB420" i="1" s="1"/>
  <c r="AI822" i="1" l="1"/>
  <c r="AI819" i="1"/>
  <c r="AI813" i="1"/>
  <c r="AI812" i="1"/>
  <c r="AI816" i="1"/>
  <c r="E30" i="31"/>
  <c r="AK98" i="1"/>
  <c r="F19" i="30"/>
  <c r="AI471" i="1"/>
  <c r="AI242" i="1"/>
  <c r="AI465" i="1"/>
  <c r="AI430" i="1"/>
  <c r="AI441" i="1"/>
  <c r="D26" i="31" s="1"/>
  <c r="AJ217" i="1"/>
  <c r="AJ53" i="1"/>
  <c r="AJ265" i="1"/>
  <c r="AJ63" i="1"/>
  <c r="AI116" i="1"/>
  <c r="AI826" i="1"/>
  <c r="AI823" i="1"/>
  <c r="AI820" i="1"/>
  <c r="AI817" i="1"/>
  <c r="DB422" i="1"/>
  <c r="DB457" i="1" s="1"/>
  <c r="AI795" i="1"/>
  <c r="AI670" i="1"/>
  <c r="DB423" i="1"/>
  <c r="DB458" i="1" s="1"/>
  <c r="DB487" i="1" s="1"/>
  <c r="DB425" i="1"/>
  <c r="DB460" i="1" s="1"/>
  <c r="DB489" i="1" s="1"/>
  <c r="BC622" i="1"/>
  <c r="BB622" i="1"/>
  <c r="BC520" i="1"/>
  <c r="BB520" i="1"/>
  <c r="BC519" i="1"/>
  <c r="BB519" i="1"/>
  <c r="BC518" i="1"/>
  <c r="BB518" i="1"/>
  <c r="BC517" i="1"/>
  <c r="BB517" i="1"/>
  <c r="BC516" i="1"/>
  <c r="BB516" i="1"/>
  <c r="BC504" i="1"/>
  <c r="BB504" i="1"/>
  <c r="BC503" i="1"/>
  <c r="BB503" i="1"/>
  <c r="BC501" i="1"/>
  <c r="BB501" i="1"/>
  <c r="BC475" i="1"/>
  <c r="BB475" i="1"/>
  <c r="BC474" i="1"/>
  <c r="BB474" i="1"/>
  <c r="BC473" i="1"/>
  <c r="BB473" i="1"/>
  <c r="BC445" i="1"/>
  <c r="BB445" i="1"/>
  <c r="BC444" i="1"/>
  <c r="BB444" i="1"/>
  <c r="BC425" i="1"/>
  <c r="BC460" i="1" s="1"/>
  <c r="BC489" i="1" s="1"/>
  <c r="BB425" i="1"/>
  <c r="BB460" i="1" s="1"/>
  <c r="BB489" i="1" s="1"/>
  <c r="BC423" i="1"/>
  <c r="BC458" i="1" s="1"/>
  <c r="BC487" i="1" s="1"/>
  <c r="BB423" i="1"/>
  <c r="BB458" i="1" s="1"/>
  <c r="BB487" i="1" s="1"/>
  <c r="BC422" i="1"/>
  <c r="BC457" i="1" s="1"/>
  <c r="BB422" i="1"/>
  <c r="BB457" i="1" s="1"/>
  <c r="BC420" i="1"/>
  <c r="BB420" i="1"/>
  <c r="BC409" i="1"/>
  <c r="BC421" i="1" s="1"/>
  <c r="BB409" i="1"/>
  <c r="E29" i="31" l="1"/>
  <c r="BC456" i="1"/>
  <c r="BC485" i="1" s="1"/>
  <c r="AI440" i="1"/>
  <c r="AJ96" i="1" s="1"/>
  <c r="BC486" i="1"/>
  <c r="BB486" i="1"/>
  <c r="AJ267" i="1"/>
  <c r="BB421" i="1"/>
  <c r="BB456" i="1" s="1"/>
  <c r="BB485" i="1" s="1"/>
  <c r="DB409" i="1"/>
  <c r="DB421" i="1" s="1"/>
  <c r="DB444" i="1"/>
  <c r="DB455" i="1" s="1"/>
  <c r="DB445" i="1"/>
  <c r="DB473" i="1"/>
  <c r="DB474" i="1"/>
  <c r="DB475" i="1"/>
  <c r="DB486" i="1" s="1"/>
  <c r="DB501" i="1"/>
  <c r="DB503" i="1"/>
  <c r="DB504" i="1"/>
  <c r="DB516" i="1"/>
  <c r="DB517" i="1"/>
  <c r="DB518" i="1"/>
  <c r="DB519" i="1"/>
  <c r="DB520" i="1"/>
  <c r="DB622" i="1"/>
  <c r="BC455" i="1"/>
  <c r="BC484" i="1" s="1"/>
  <c r="BB455" i="1"/>
  <c r="BB484" i="1" s="1"/>
  <c r="DB456" i="1" l="1"/>
  <c r="DB485" i="1" s="1"/>
  <c r="DB484" i="1"/>
  <c r="AH407" i="1" l="1"/>
  <c r="C16" i="31" s="1"/>
  <c r="AH141" i="1"/>
  <c r="AH122" i="1"/>
  <c r="AH104" i="1"/>
  <c r="CR104" i="1" s="1"/>
  <c r="AH101" i="1"/>
  <c r="AH60" i="1"/>
  <c r="AH49" i="1" s="1"/>
  <c r="AH59" i="1"/>
  <c r="AH48" i="1" s="1"/>
  <c r="AH57" i="1"/>
  <c r="AH56" i="1"/>
  <c r="AH52" i="1"/>
  <c r="AH467" i="1"/>
  <c r="AH469" i="1"/>
  <c r="AH665" i="1"/>
  <c r="AH677" i="1" s="1"/>
  <c r="AH709" i="1"/>
  <c r="AI709" i="1" s="1"/>
  <c r="AJ709" i="1" s="1"/>
  <c r="AK709" i="1" s="1"/>
  <c r="AL709" i="1" s="1"/>
  <c r="AM709" i="1" s="1"/>
  <c r="AN709" i="1" s="1"/>
  <c r="AO709" i="1" s="1"/>
  <c r="AP709" i="1" s="1"/>
  <c r="AQ709" i="1" s="1"/>
  <c r="AR709" i="1" s="1"/>
  <c r="AS709" i="1" s="1"/>
  <c r="AT709" i="1" s="1"/>
  <c r="AU709" i="1" s="1"/>
  <c r="AV709" i="1" s="1"/>
  <c r="AW709" i="1" s="1"/>
  <c r="AX709" i="1" s="1"/>
  <c r="AY709" i="1" s="1"/>
  <c r="AH680" i="1"/>
  <c r="AH671" i="1"/>
  <c r="AH668" i="1"/>
  <c r="AH663" i="1"/>
  <c r="AH735" i="1"/>
  <c r="C56" i="31" s="1"/>
  <c r="AH711" i="1"/>
  <c r="CR711" i="1" s="1"/>
  <c r="AH703" i="1"/>
  <c r="AH701" i="1"/>
  <c r="AH678" i="1"/>
  <c r="AH626" i="1"/>
  <c r="AH625" i="1"/>
  <c r="AH621" i="1"/>
  <c r="AH610" i="1"/>
  <c r="AH611" i="1" s="1"/>
  <c r="AH612" i="1" s="1"/>
  <c r="AH823" i="1" s="1"/>
  <c r="AH601" i="1"/>
  <c r="AH571" i="1"/>
  <c r="AI627" i="1" s="1"/>
  <c r="AH599" i="1"/>
  <c r="AH589" i="1"/>
  <c r="AH588" i="1"/>
  <c r="AH546" i="1"/>
  <c r="AH537" i="1"/>
  <c r="AH634" i="1" s="1"/>
  <c r="AH524" i="1"/>
  <c r="CR524" i="1" s="1"/>
  <c r="AH522" i="1"/>
  <c r="AH536" i="1" s="1"/>
  <c r="AH520" i="1"/>
  <c r="AH519" i="1"/>
  <c r="CR519" i="1" s="1"/>
  <c r="AH518" i="1"/>
  <c r="CR518" i="1" s="1"/>
  <c r="AH517" i="1"/>
  <c r="CR517" i="1" s="1"/>
  <c r="AH516" i="1"/>
  <c r="CR516" i="1" s="1"/>
  <c r="AH507" i="1"/>
  <c r="CR507" i="1" s="1"/>
  <c r="AH504" i="1"/>
  <c r="CR504" i="1" s="1"/>
  <c r="AH503" i="1"/>
  <c r="CR503" i="1" s="1"/>
  <c r="AH501" i="1"/>
  <c r="CR501" i="1" s="1"/>
  <c r="AH470" i="1"/>
  <c r="AH713" i="1" s="1"/>
  <c r="CR713" i="1" s="1"/>
  <c r="AH479" i="1"/>
  <c r="CR479" i="1" s="1"/>
  <c r="AH475" i="1"/>
  <c r="CR475" i="1" s="1"/>
  <c r="AH474" i="1"/>
  <c r="AH473" i="1"/>
  <c r="CR473" i="1" s="1"/>
  <c r="AG442" i="1"/>
  <c r="AF442" i="1"/>
  <c r="AF433" i="1"/>
  <c r="AG433" i="1"/>
  <c r="AH450" i="1"/>
  <c r="CR450" i="1" s="1"/>
  <c r="AH445" i="1"/>
  <c r="CR445" i="1" s="1"/>
  <c r="AH444" i="1"/>
  <c r="CR444" i="1" s="1"/>
  <c r="AH425" i="1"/>
  <c r="AH460" i="1" s="1"/>
  <c r="AH489" i="1" s="1"/>
  <c r="AH423" i="1"/>
  <c r="AH458" i="1" s="1"/>
  <c r="AH487" i="1" s="1"/>
  <c r="AH422" i="1"/>
  <c r="AH457" i="1" s="1"/>
  <c r="AH486" i="1" s="1"/>
  <c r="AH420" i="1"/>
  <c r="AH415" i="1"/>
  <c r="CR415" i="1" s="1"/>
  <c r="AH409" i="1"/>
  <c r="AH421" i="1" s="1"/>
  <c r="AH388" i="1"/>
  <c r="CR388" i="1" s="1"/>
  <c r="AH381" i="1"/>
  <c r="C8" i="31" s="1"/>
  <c r="AH318" i="1"/>
  <c r="AF259" i="1"/>
  <c r="AG259" i="1"/>
  <c r="AG260" i="1" s="1"/>
  <c r="AG699" i="1" s="1"/>
  <c r="AH259" i="1"/>
  <c r="AH258" i="1"/>
  <c r="AH248" i="1" s="1"/>
  <c r="AF219" i="1"/>
  <c r="AF215" i="1" s="1"/>
  <c r="AG219" i="1"/>
  <c r="AG215" i="1" s="1"/>
  <c r="AH219" i="1"/>
  <c r="AH216" i="1" s="1"/>
  <c r="AH262" i="1"/>
  <c r="AH227" i="1"/>
  <c r="AH222" i="1"/>
  <c r="AH212" i="1"/>
  <c r="AH205" i="1"/>
  <c r="AH199" i="1" s="1"/>
  <c r="AH203" i="1"/>
  <c r="AH202" i="1"/>
  <c r="AH191" i="1"/>
  <c r="AH190" i="1"/>
  <c r="AH185" i="1"/>
  <c r="AH184" i="1"/>
  <c r="AH234" i="1"/>
  <c r="AH237" i="1" s="1"/>
  <c r="C68" i="31" s="1"/>
  <c r="D69" i="31" s="1"/>
  <c r="AF160" i="1"/>
  <c r="AF159" i="1" s="1"/>
  <c r="AG160" i="1"/>
  <c r="AH54" i="1" s="1"/>
  <c r="AH178" i="1"/>
  <c r="C59" i="31" s="1"/>
  <c r="D60" i="31" s="1"/>
  <c r="AH176" i="1"/>
  <c r="AH171" i="1"/>
  <c r="AI228" i="1" s="1"/>
  <c r="AH165" i="1"/>
  <c r="AI223" i="1" s="1"/>
  <c r="AG469" i="1"/>
  <c r="AG467" i="1"/>
  <c r="AH143" i="1"/>
  <c r="AF139" i="1"/>
  <c r="CP259" i="1"/>
  <c r="CQ258" i="1"/>
  <c r="AG80" i="1"/>
  <c r="AG318" i="1" s="1"/>
  <c r="AG141" i="1"/>
  <c r="AG122" i="1"/>
  <c r="AG101" i="1"/>
  <c r="AG105" i="1" s="1"/>
  <c r="AG60" i="1"/>
  <c r="AG49" i="1" s="1"/>
  <c r="AG59" i="1"/>
  <c r="AG57" i="1"/>
  <c r="AG56" i="1"/>
  <c r="AG52" i="1"/>
  <c r="AF400" i="1"/>
  <c r="AG400" i="1"/>
  <c r="AG398" i="1" s="1"/>
  <c r="AG399" i="1" s="1"/>
  <c r="AG526" i="1"/>
  <c r="AG621" i="1" s="1"/>
  <c r="AG680" i="1"/>
  <c r="CQ680" i="1" s="1"/>
  <c r="AG671" i="1"/>
  <c r="CQ671" i="1" s="1"/>
  <c r="AG668" i="1"/>
  <c r="CQ668" i="1" s="1"/>
  <c r="AG665" i="1"/>
  <c r="AG677" i="1" s="1"/>
  <c r="CQ677" i="1" s="1"/>
  <c r="AG663" i="1"/>
  <c r="CQ663" i="1" s="1"/>
  <c r="AG737" i="1"/>
  <c r="AG763" i="1" s="1"/>
  <c r="AG735" i="1"/>
  <c r="AG762" i="1" s="1"/>
  <c r="AG711" i="1"/>
  <c r="AG703" i="1"/>
  <c r="AG701" i="1"/>
  <c r="AG678" i="1"/>
  <c r="CQ678" i="1" s="1"/>
  <c r="AG626" i="1"/>
  <c r="AG625" i="1"/>
  <c r="AG610" i="1"/>
  <c r="AG611" i="1" s="1"/>
  <c r="AG612" i="1" s="1"/>
  <c r="AG826" i="1" s="1"/>
  <c r="AG601" i="1"/>
  <c r="CQ601" i="1" s="1"/>
  <c r="AG571" i="1"/>
  <c r="CQ571" i="1" s="1"/>
  <c r="AG599" i="1"/>
  <c r="CQ599" i="1" s="1"/>
  <c r="AG589" i="1"/>
  <c r="AG588" i="1"/>
  <c r="CQ588" i="1" s="1"/>
  <c r="AG546" i="1"/>
  <c r="AG537" i="1"/>
  <c r="AG634" i="1" s="1"/>
  <c r="AG524" i="1"/>
  <c r="AG523" i="1" s="1"/>
  <c r="AG522" i="1"/>
  <c r="AG536" i="1" s="1"/>
  <c r="AG520" i="1"/>
  <c r="AG519" i="1"/>
  <c r="AG518" i="1"/>
  <c r="AG517" i="1"/>
  <c r="AG516" i="1"/>
  <c r="AG506" i="1"/>
  <c r="AG509" i="1"/>
  <c r="AG504" i="1"/>
  <c r="AG503" i="1"/>
  <c r="AG501" i="1"/>
  <c r="AG470" i="1"/>
  <c r="AG479" i="1"/>
  <c r="AG475" i="1"/>
  <c r="AG474" i="1"/>
  <c r="AG473" i="1"/>
  <c r="AG450" i="1"/>
  <c r="AG445" i="1"/>
  <c r="AG444" i="1"/>
  <c r="AG425" i="1"/>
  <c r="AG460" i="1" s="1"/>
  <c r="AG489" i="1" s="1"/>
  <c r="AG423" i="1"/>
  <c r="AG458" i="1" s="1"/>
  <c r="AG487" i="1" s="1"/>
  <c r="AG422" i="1"/>
  <c r="AG457" i="1" s="1"/>
  <c r="AG420" i="1"/>
  <c r="AG415" i="1"/>
  <c r="AG409" i="1"/>
  <c r="AG421" i="1" s="1"/>
  <c r="AG388" i="1"/>
  <c r="AG381" i="1"/>
  <c r="AG327" i="1" s="1"/>
  <c r="AG258" i="1"/>
  <c r="AG248" i="1" s="1"/>
  <c r="AG262" i="1"/>
  <c r="AG227" i="1"/>
  <c r="AG222" i="1"/>
  <c r="AG209" i="1"/>
  <c r="AG208" i="1" s="1"/>
  <c r="AG152" i="1" s="1"/>
  <c r="AG202" i="1"/>
  <c r="CQ202" i="1" s="1"/>
  <c r="AF205" i="1"/>
  <c r="AF199" i="1" s="1"/>
  <c r="AG205" i="1"/>
  <c r="AG199" i="1" s="1"/>
  <c r="CQ199" i="1" s="1"/>
  <c r="AG203" i="1"/>
  <c r="CQ203" i="1" s="1"/>
  <c r="AG191" i="1"/>
  <c r="AG190" i="1"/>
  <c r="CQ190" i="1" s="1"/>
  <c r="AG184" i="1"/>
  <c r="AG185" i="1"/>
  <c r="CQ185" i="1" s="1"/>
  <c r="AG178" i="1"/>
  <c r="AG181" i="1" s="1"/>
  <c r="CQ181" i="1" s="1"/>
  <c r="CQ154" i="1" s="1"/>
  <c r="AG176" i="1"/>
  <c r="CQ176" i="1" s="1"/>
  <c r="AG171" i="1"/>
  <c r="CQ171" i="1" s="1"/>
  <c r="AG165" i="1"/>
  <c r="CQ165" i="1" s="1"/>
  <c r="CQ92" i="1"/>
  <c r="DA736" i="1"/>
  <c r="DA707" i="1"/>
  <c r="DA528" i="1"/>
  <c r="DA527" i="1"/>
  <c r="DA524" i="1"/>
  <c r="E18" i="30" s="1"/>
  <c r="DA523" i="1"/>
  <c r="DA508" i="1"/>
  <c r="DA505" i="1"/>
  <c r="DA492" i="1"/>
  <c r="DA479" i="1"/>
  <c r="DA477" i="1"/>
  <c r="DA476" i="1"/>
  <c r="DA448" i="1"/>
  <c r="DA447" i="1"/>
  <c r="DA446" i="1"/>
  <c r="DA435" i="1"/>
  <c r="DA413" i="1"/>
  <c r="DA411" i="1"/>
  <c r="DA410" i="1"/>
  <c r="DA386" i="1"/>
  <c r="DA385" i="1"/>
  <c r="DA384" i="1"/>
  <c r="DA383" i="1"/>
  <c r="DA382" i="1"/>
  <c r="DA420" i="1" s="1"/>
  <c r="DA149" i="1"/>
  <c r="DA105" i="1"/>
  <c r="DA104" i="1"/>
  <c r="BA622" i="1"/>
  <c r="AZ622" i="1"/>
  <c r="BA520" i="1"/>
  <c r="AZ520" i="1"/>
  <c r="BA519" i="1"/>
  <c r="AZ519" i="1"/>
  <c r="BA518" i="1"/>
  <c r="AZ518" i="1"/>
  <c r="BA517" i="1"/>
  <c r="AZ517" i="1"/>
  <c r="BA516" i="1"/>
  <c r="AZ516" i="1"/>
  <c r="BA504" i="1"/>
  <c r="AZ504" i="1"/>
  <c r="BA503" i="1"/>
  <c r="AZ503" i="1"/>
  <c r="BA501" i="1"/>
  <c r="AZ501" i="1"/>
  <c r="BA475" i="1"/>
  <c r="AZ475" i="1"/>
  <c r="BA474" i="1"/>
  <c r="AZ474" i="1"/>
  <c r="BA473" i="1"/>
  <c r="AZ473" i="1"/>
  <c r="BA445" i="1"/>
  <c r="AZ445" i="1"/>
  <c r="BA444" i="1"/>
  <c r="AZ444" i="1"/>
  <c r="BA425" i="1"/>
  <c r="BA460" i="1" s="1"/>
  <c r="BA489" i="1" s="1"/>
  <c r="AZ425" i="1"/>
  <c r="AZ460" i="1" s="1"/>
  <c r="AZ489" i="1" s="1"/>
  <c r="BA423" i="1"/>
  <c r="BA458" i="1" s="1"/>
  <c r="BA487" i="1" s="1"/>
  <c r="AZ423" i="1"/>
  <c r="AZ458" i="1" s="1"/>
  <c r="AZ487" i="1" s="1"/>
  <c r="BA422" i="1"/>
  <c r="BA457" i="1" s="1"/>
  <c r="AZ422" i="1"/>
  <c r="AZ457" i="1" s="1"/>
  <c r="BA420" i="1"/>
  <c r="AZ420" i="1"/>
  <c r="BA409" i="1"/>
  <c r="BA421" i="1" s="1"/>
  <c r="AZ409" i="1"/>
  <c r="AZ421" i="1" s="1"/>
  <c r="CR92" i="1"/>
  <c r="AE139" i="1"/>
  <c r="AD407" i="1"/>
  <c r="AE407" i="1"/>
  <c r="AD442" i="1"/>
  <c r="AE442" i="1"/>
  <c r="AC508" i="1"/>
  <c r="CO508" i="1" s="1"/>
  <c r="AF387" i="1"/>
  <c r="AF388" i="1" s="1"/>
  <c r="AF407" i="1"/>
  <c r="CQ407" i="1" s="1"/>
  <c r="AC407" i="1"/>
  <c r="CO407" i="1" s="1"/>
  <c r="AF469" i="1"/>
  <c r="CQ469" i="1" s="1"/>
  <c r="AF467" i="1"/>
  <c r="AF141" i="1"/>
  <c r="AF115" i="1"/>
  <c r="AF52" i="1"/>
  <c r="AF56" i="1"/>
  <c r="AF57" i="1"/>
  <c r="AF59" i="1"/>
  <c r="AF48" i="1" s="1"/>
  <c r="AF60" i="1"/>
  <c r="AF49" i="1" s="1"/>
  <c r="AF706" i="1"/>
  <c r="AG706" i="1" s="1"/>
  <c r="CQ706" i="1" s="1"/>
  <c r="AF680" i="1"/>
  <c r="AF671" i="1"/>
  <c r="AF668" i="1"/>
  <c r="AF665" i="1"/>
  <c r="AF677" i="1" s="1"/>
  <c r="AF663" i="1"/>
  <c r="AF610" i="1"/>
  <c r="AF611" i="1" s="1"/>
  <c r="AF612" i="1" s="1"/>
  <c r="AF116" i="1" s="1"/>
  <c r="AF601" i="1"/>
  <c r="AF571" i="1"/>
  <c r="AF584" i="1" s="1"/>
  <c r="AF546" i="1"/>
  <c r="AF537" i="1"/>
  <c r="AF524" i="1"/>
  <c r="AF509" i="1"/>
  <c r="AF506" i="1"/>
  <c r="AF470" i="1"/>
  <c r="AF713" i="1" s="1"/>
  <c r="AE433" i="1"/>
  <c r="AD433" i="1"/>
  <c r="AE450" i="1"/>
  <c r="AD450" i="1"/>
  <c r="AE400" i="1"/>
  <c r="AD400" i="1"/>
  <c r="AD398" i="1" s="1"/>
  <c r="AF258" i="1"/>
  <c r="AF248" i="1" s="1"/>
  <c r="AF209" i="1"/>
  <c r="AF203" i="1"/>
  <c r="AF202" i="1"/>
  <c r="AF191" i="1"/>
  <c r="AF190" i="1"/>
  <c r="AF185" i="1"/>
  <c r="AF184" i="1"/>
  <c r="AF711" i="1"/>
  <c r="AF703" i="1"/>
  <c r="AF701" i="1"/>
  <c r="AF678" i="1"/>
  <c r="AF626" i="1"/>
  <c r="AF625" i="1"/>
  <c r="AF599" i="1"/>
  <c r="AF589" i="1"/>
  <c r="AF588" i="1"/>
  <c r="AF621" i="1"/>
  <c r="CQ621" i="1" s="1"/>
  <c r="AF522" i="1"/>
  <c r="AF520" i="1"/>
  <c r="AF519" i="1"/>
  <c r="AF518" i="1"/>
  <c r="AF517" i="1"/>
  <c r="AF516" i="1"/>
  <c r="AF504" i="1"/>
  <c r="CQ504" i="1" s="1"/>
  <c r="AF503" i="1"/>
  <c r="AF501" i="1"/>
  <c r="AF479" i="1"/>
  <c r="AF475" i="1"/>
  <c r="AF474" i="1"/>
  <c r="CQ474" i="1" s="1"/>
  <c r="AF473" i="1"/>
  <c r="AF450" i="1"/>
  <c r="AF445" i="1"/>
  <c r="AF444" i="1"/>
  <c r="AF425" i="1"/>
  <c r="AF460" i="1" s="1"/>
  <c r="AF489" i="1" s="1"/>
  <c r="AF423" i="1"/>
  <c r="AF458" i="1" s="1"/>
  <c r="AF487" i="1" s="1"/>
  <c r="AF422" i="1"/>
  <c r="AF457" i="1" s="1"/>
  <c r="AF420" i="1"/>
  <c r="AF415" i="1"/>
  <c r="AF409" i="1"/>
  <c r="AF318" i="1"/>
  <c r="AF262" i="1"/>
  <c r="AF227" i="1"/>
  <c r="AF222" i="1"/>
  <c r="AF212" i="1"/>
  <c r="AF178" i="1"/>
  <c r="AF181" i="1" s="1"/>
  <c r="AF176" i="1"/>
  <c r="AF171" i="1"/>
  <c r="AF165" i="1"/>
  <c r="Y191" i="1"/>
  <c r="Y190" i="1"/>
  <c r="CM190" i="1" s="1"/>
  <c r="Z190" i="1"/>
  <c r="Y185" i="1"/>
  <c r="Y184" i="1"/>
  <c r="CM184" i="1" s="1"/>
  <c r="AA191" i="1"/>
  <c r="AA190" i="1"/>
  <c r="CN190" i="1" s="1"/>
  <c r="Z191" i="1"/>
  <c r="Z199" i="1"/>
  <c r="AA185" i="1"/>
  <c r="AA184" i="1"/>
  <c r="CN184" i="1" s="1"/>
  <c r="Z185" i="1"/>
  <c r="AB184" i="1"/>
  <c r="Z184" i="1"/>
  <c r="AB191" i="1"/>
  <c r="AB190" i="1"/>
  <c r="AB185" i="1"/>
  <c r="AD191" i="1"/>
  <c r="AC191" i="1"/>
  <c r="AD190" i="1"/>
  <c r="AC190" i="1"/>
  <c r="CO190" i="1" s="1"/>
  <c r="AD185" i="1"/>
  <c r="AC185" i="1"/>
  <c r="CO185" i="1" s="1"/>
  <c r="AD184" i="1"/>
  <c r="AC184" i="1"/>
  <c r="CO184" i="1" s="1"/>
  <c r="AE191" i="1"/>
  <c r="CP191" i="1" s="1"/>
  <c r="AE190" i="1"/>
  <c r="CP190" i="1" s="1"/>
  <c r="AE185" i="1"/>
  <c r="CP185" i="1" s="1"/>
  <c r="AE184" i="1"/>
  <c r="CP184" i="1" s="1"/>
  <c r="AF143" i="1"/>
  <c r="AG143" i="1" s="1"/>
  <c r="AE469" i="1"/>
  <c r="AE467" i="1"/>
  <c r="CO258" i="1"/>
  <c r="CP258" i="1"/>
  <c r="CO242" i="1"/>
  <c r="CO244" i="1" s="1"/>
  <c r="AD259" i="1"/>
  <c r="AD260" i="1" s="1"/>
  <c r="AD699" i="1" s="1"/>
  <c r="AE259" i="1"/>
  <c r="AE260" i="1" s="1"/>
  <c r="AE699" i="1" s="1"/>
  <c r="AE827" i="1"/>
  <c r="AE824" i="1"/>
  <c r="AE821" i="1"/>
  <c r="AE818" i="1"/>
  <c r="AE815" i="1"/>
  <c r="AE814" i="1"/>
  <c r="AE737" i="1"/>
  <c r="AE763" i="1" s="1"/>
  <c r="AE735" i="1"/>
  <c r="AE762" i="1" s="1"/>
  <c r="AE711" i="1"/>
  <c r="AE703" i="1"/>
  <c r="AE701" i="1"/>
  <c r="AE678" i="1"/>
  <c r="CP678" i="1" s="1"/>
  <c r="AE626" i="1"/>
  <c r="AE625" i="1"/>
  <c r="AE589" i="1"/>
  <c r="CP589" i="1" s="1"/>
  <c r="AE588" i="1"/>
  <c r="CP588" i="1" s="1"/>
  <c r="AE522" i="1"/>
  <c r="AE536" i="1" s="1"/>
  <c r="AE520" i="1"/>
  <c r="AE519" i="1"/>
  <c r="AE518" i="1"/>
  <c r="AE517" i="1"/>
  <c r="AE516" i="1"/>
  <c r="AE479" i="1"/>
  <c r="AE445" i="1"/>
  <c r="AE444" i="1"/>
  <c r="AE434" i="1"/>
  <c r="AE425" i="1"/>
  <c r="AE460" i="1" s="1"/>
  <c r="AE489" i="1" s="1"/>
  <c r="AE423" i="1"/>
  <c r="AE458" i="1" s="1"/>
  <c r="AE487" i="1" s="1"/>
  <c r="AE422" i="1"/>
  <c r="AE457" i="1" s="1"/>
  <c r="AE420" i="1"/>
  <c r="AE415" i="1"/>
  <c r="AE409" i="1"/>
  <c r="AE421" i="1" s="1"/>
  <c r="AE388" i="1"/>
  <c r="AE381" i="1"/>
  <c r="AE327" i="1" s="1"/>
  <c r="AE318" i="1"/>
  <c r="AE262" i="1"/>
  <c r="AE234" i="1"/>
  <c r="AE237" i="1" s="1"/>
  <c r="AE238" i="1" s="1"/>
  <c r="AE227" i="1"/>
  <c r="AE222" i="1"/>
  <c r="AE216" i="1"/>
  <c r="AE215" i="1"/>
  <c r="AE212" i="1"/>
  <c r="AE178" i="1"/>
  <c r="AE181" i="1" s="1"/>
  <c r="AE154" i="1" s="1"/>
  <c r="AE176" i="1"/>
  <c r="CP176" i="1" s="1"/>
  <c r="AE171" i="1"/>
  <c r="CP171" i="1" s="1"/>
  <c r="AE165" i="1"/>
  <c r="CP165" i="1" s="1"/>
  <c r="AE143" i="1"/>
  <c r="AE141" i="1"/>
  <c r="AE122" i="1"/>
  <c r="AE115" i="1"/>
  <c r="AE101" i="1"/>
  <c r="AE105" i="1" s="1"/>
  <c r="AE60" i="1"/>
  <c r="AE49" i="1" s="1"/>
  <c r="AE59" i="1"/>
  <c r="AE48" i="1" s="1"/>
  <c r="AE57" i="1"/>
  <c r="AE56" i="1"/>
  <c r="AE52" i="1"/>
  <c r="CP262" i="1"/>
  <c r="CP234" i="1"/>
  <c r="AE526" i="1"/>
  <c r="AE621" i="1" s="1"/>
  <c r="AE706" i="1"/>
  <c r="CP706" i="1" s="1"/>
  <c r="AE681" i="1"/>
  <c r="CP681" i="1" s="1"/>
  <c r="AE680" i="1"/>
  <c r="CP680" i="1" s="1"/>
  <c r="AE671" i="1"/>
  <c r="CP671" i="1" s="1"/>
  <c r="AE668" i="1"/>
  <c r="CP668" i="1" s="1"/>
  <c r="AE665" i="1"/>
  <c r="AE663" i="1"/>
  <c r="CP663" i="1" s="1"/>
  <c r="AE661" i="1"/>
  <c r="CP661" i="1" s="1"/>
  <c r="AE610" i="1"/>
  <c r="CP610" i="1" s="1"/>
  <c r="AE601" i="1"/>
  <c r="CP601" i="1" s="1"/>
  <c r="AE571" i="1"/>
  <c r="CP571" i="1" s="1"/>
  <c r="AE546" i="1"/>
  <c r="AE537" i="1"/>
  <c r="AE634" i="1" s="1"/>
  <c r="AE524" i="1"/>
  <c r="AE506" i="1"/>
  <c r="AE509" i="1"/>
  <c r="AE470" i="1"/>
  <c r="AE258" i="1"/>
  <c r="AE202" i="1"/>
  <c r="CP202" i="1" s="1"/>
  <c r="AE209" i="1"/>
  <c r="CP209" i="1" s="1"/>
  <c r="AE205" i="1"/>
  <c r="AE199" i="1" s="1"/>
  <c r="CP199" i="1" s="1"/>
  <c r="AE203" i="1"/>
  <c r="CP203" i="1" s="1"/>
  <c r="AE160" i="1"/>
  <c r="CP160" i="1" s="1"/>
  <c r="AE599" i="1"/>
  <c r="CP599" i="1" s="1"/>
  <c r="AE504" i="1"/>
  <c r="AE503" i="1"/>
  <c r="AE501" i="1"/>
  <c r="AE475" i="1"/>
  <c r="AE474" i="1"/>
  <c r="AE473" i="1"/>
  <c r="CZ736" i="1"/>
  <c r="CZ707" i="1"/>
  <c r="CZ528" i="1"/>
  <c r="CZ524" i="1"/>
  <c r="D18" i="30" s="1"/>
  <c r="CZ523" i="1"/>
  <c r="CZ508" i="1"/>
  <c r="CZ505" i="1"/>
  <c r="CZ492" i="1"/>
  <c r="CZ479" i="1"/>
  <c r="CZ477" i="1"/>
  <c r="CZ476" i="1"/>
  <c r="CZ448" i="1"/>
  <c r="CZ447" i="1"/>
  <c r="CZ446" i="1"/>
  <c r="CZ435" i="1"/>
  <c r="CZ413" i="1"/>
  <c r="CZ411" i="1"/>
  <c r="CZ410" i="1"/>
  <c r="CZ407" i="1"/>
  <c r="AV16" i="31" s="1"/>
  <c r="CZ386" i="1"/>
  <c r="CZ385" i="1"/>
  <c r="CZ384" i="1"/>
  <c r="CZ383" i="1"/>
  <c r="CZ382" i="1"/>
  <c r="CZ420" i="1" s="1"/>
  <c r="CZ149" i="1"/>
  <c r="CZ105" i="1"/>
  <c r="CZ104" i="1"/>
  <c r="AD381" i="1"/>
  <c r="AD327" i="1" s="1"/>
  <c r="AD388" i="1"/>
  <c r="AD318" i="1"/>
  <c r="AD141" i="1"/>
  <c r="AD122" i="1"/>
  <c r="AD52" i="1"/>
  <c r="AD56" i="1"/>
  <c r="AD57" i="1"/>
  <c r="AD59" i="1"/>
  <c r="AD48" i="1" s="1"/>
  <c r="AD60" i="1"/>
  <c r="AD49" i="1" s="1"/>
  <c r="AD735" i="1"/>
  <c r="AD762" i="1" s="1"/>
  <c r="AD711" i="1"/>
  <c r="AD703" i="1"/>
  <c r="AD701" i="1"/>
  <c r="AD681" i="1"/>
  <c r="AD680" i="1"/>
  <c r="AD678" i="1"/>
  <c r="AD671" i="1"/>
  <c r="AD668" i="1"/>
  <c r="AD665" i="1"/>
  <c r="AD677" i="1" s="1"/>
  <c r="AD663" i="1"/>
  <c r="AD626" i="1"/>
  <c r="AD625" i="1"/>
  <c r="AD621" i="1"/>
  <c r="AD610" i="1"/>
  <c r="AD611" i="1" s="1"/>
  <c r="AD612" i="1" s="1"/>
  <c r="AD823" i="1" s="1"/>
  <c r="AD601" i="1"/>
  <c r="AD599" i="1"/>
  <c r="AD589" i="1"/>
  <c r="AD588" i="1"/>
  <c r="AD571" i="1"/>
  <c r="AD584" i="1" s="1"/>
  <c r="AD546" i="1"/>
  <c r="AD537" i="1"/>
  <c r="AD634" i="1" s="1"/>
  <c r="AD522" i="1"/>
  <c r="AD520" i="1"/>
  <c r="AD519" i="1"/>
  <c r="AD518" i="1"/>
  <c r="AD517" i="1"/>
  <c r="AD516" i="1"/>
  <c r="AD524" i="1"/>
  <c r="AD523" i="1" s="1"/>
  <c r="AD506" i="1"/>
  <c r="AD504" i="1"/>
  <c r="AD503" i="1"/>
  <c r="AD501" i="1"/>
  <c r="AD509" i="1"/>
  <c r="AD475" i="1"/>
  <c r="AD474" i="1"/>
  <c r="AD473" i="1"/>
  <c r="AD479" i="1"/>
  <c r="AD467" i="1"/>
  <c r="AD469" i="1"/>
  <c r="AD470" i="1"/>
  <c r="AD713" i="1" s="1"/>
  <c r="AD445" i="1"/>
  <c r="AD444" i="1"/>
  <c r="AB433" i="1"/>
  <c r="AC433" i="1"/>
  <c r="AD415" i="1"/>
  <c r="AD409" i="1"/>
  <c r="AD421" i="1" s="1"/>
  <c r="AB400" i="1"/>
  <c r="AB398" i="1" s="1"/>
  <c r="AB399" i="1" s="1"/>
  <c r="AC400" i="1"/>
  <c r="AD258" i="1"/>
  <c r="AD234" i="1"/>
  <c r="AD237" i="1" s="1"/>
  <c r="AD238" i="1" s="1"/>
  <c r="AD227" i="1"/>
  <c r="AD222" i="1"/>
  <c r="AD216" i="1"/>
  <c r="AD215" i="1"/>
  <c r="AD205" i="1"/>
  <c r="AD199" i="1" s="1"/>
  <c r="AD203" i="1"/>
  <c r="AD202" i="1"/>
  <c r="AD178" i="1"/>
  <c r="AD181" i="1" s="1"/>
  <c r="AD154" i="1" s="1"/>
  <c r="AD176" i="1"/>
  <c r="AD171" i="1"/>
  <c r="AD165" i="1"/>
  <c r="AD160" i="1"/>
  <c r="AD159" i="1" s="1"/>
  <c r="AB160" i="1"/>
  <c r="AB159" i="1" s="1"/>
  <c r="AC160" i="1"/>
  <c r="CO160" i="1" s="1"/>
  <c r="AC139" i="1"/>
  <c r="AC469" i="1"/>
  <c r="AC467" i="1"/>
  <c r="CO614" i="1"/>
  <c r="AA665" i="1"/>
  <c r="AA677" i="1" s="1"/>
  <c r="CN677" i="1" s="1"/>
  <c r="AC678" i="1"/>
  <c r="CO678" i="1" s="1"/>
  <c r="AB678" i="1"/>
  <c r="AA678" i="1"/>
  <c r="CN678" i="1" s="1"/>
  <c r="AC398" i="1"/>
  <c r="CO262" i="1"/>
  <c r="CO252" i="1"/>
  <c r="CO254" i="1" s="1"/>
  <c r="CO247" i="1"/>
  <c r="CO249" i="1" s="1"/>
  <c r="CN242" i="1"/>
  <c r="CN244" i="1" s="1"/>
  <c r="CO234" i="1"/>
  <c r="CO237" i="1" s="1"/>
  <c r="CO238" i="1" s="1"/>
  <c r="AC141" i="1"/>
  <c r="AC122" i="1"/>
  <c r="AC101" i="1"/>
  <c r="AC105" i="1" s="1"/>
  <c r="AC52" i="1"/>
  <c r="AC56" i="1"/>
  <c r="AC57" i="1"/>
  <c r="AC59" i="1"/>
  <c r="AC48" i="1" s="1"/>
  <c r="AC60" i="1"/>
  <c r="AC49" i="1" s="1"/>
  <c r="AC1" i="1"/>
  <c r="AD1" i="1" s="1"/>
  <c r="AE1" i="1" s="1"/>
  <c r="AF1" i="1" s="1"/>
  <c r="AG1" i="1" s="1"/>
  <c r="AH1" i="1" s="1"/>
  <c r="C2" i="31" s="1"/>
  <c r="AC735" i="1"/>
  <c r="AC762" i="1" s="1"/>
  <c r="AC711" i="1"/>
  <c r="AC706" i="1"/>
  <c r="CO706" i="1" s="1"/>
  <c r="AC704" i="1"/>
  <c r="AC703" i="1"/>
  <c r="AC701" i="1"/>
  <c r="AC681" i="1"/>
  <c r="CO681" i="1" s="1"/>
  <c r="AC680" i="1"/>
  <c r="CO680" i="1" s="1"/>
  <c r="AC671" i="1"/>
  <c r="CO671" i="1" s="1"/>
  <c r="AC668" i="1"/>
  <c r="CO668" i="1" s="1"/>
  <c r="AC665" i="1"/>
  <c r="AC677" i="1" s="1"/>
  <c r="CO677" i="1" s="1"/>
  <c r="AC663" i="1"/>
  <c r="CO663" i="1" s="1"/>
  <c r="AC626" i="1"/>
  <c r="AC625" i="1"/>
  <c r="AC621" i="1"/>
  <c r="AC610" i="1"/>
  <c r="AC611" i="1" s="1"/>
  <c r="AC612" i="1" s="1"/>
  <c r="AC116" i="1" s="1"/>
  <c r="AC601" i="1"/>
  <c r="CO601" i="1" s="1"/>
  <c r="AC599" i="1"/>
  <c r="AC589" i="1"/>
  <c r="CO589" i="1" s="1"/>
  <c r="AC588" i="1"/>
  <c r="CO588" i="1" s="1"/>
  <c r="AC571" i="1"/>
  <c r="AC584" i="1" s="1"/>
  <c r="CO584" i="1" s="1"/>
  <c r="AC546" i="1"/>
  <c r="AC537" i="1"/>
  <c r="AC634" i="1" s="1"/>
  <c r="AC524" i="1"/>
  <c r="AC523" i="1" s="1"/>
  <c r="AB524" i="1"/>
  <c r="AB523" i="1" s="1"/>
  <c r="AC509" i="1"/>
  <c r="AC504" i="1"/>
  <c r="AC503" i="1"/>
  <c r="AC501" i="1"/>
  <c r="AC506" i="1"/>
  <c r="AB501" i="1"/>
  <c r="AB503" i="1"/>
  <c r="AB504" i="1"/>
  <c r="AA504" i="1"/>
  <c r="AA503" i="1"/>
  <c r="AA502" i="1"/>
  <c r="AA130" i="1" s="1"/>
  <c r="AA501" i="1"/>
  <c r="AB509" i="1"/>
  <c r="AC475" i="1"/>
  <c r="AC474" i="1"/>
  <c r="AC473" i="1"/>
  <c r="AC479" i="1"/>
  <c r="AC470" i="1"/>
  <c r="AC445" i="1"/>
  <c r="AC444" i="1"/>
  <c r="AC450" i="1"/>
  <c r="AC409" i="1"/>
  <c r="AC421" i="1" s="1"/>
  <c r="AC415" i="1"/>
  <c r="AC388" i="1"/>
  <c r="AC381" i="1"/>
  <c r="AC327" i="1" s="1"/>
  <c r="AC262" i="1"/>
  <c r="AC258" i="1"/>
  <c r="AC252" i="1"/>
  <c r="AC254" i="1" s="1"/>
  <c r="AC247" i="1"/>
  <c r="AC249" i="1" s="1"/>
  <c r="AC242" i="1"/>
  <c r="AC244" i="1" s="1"/>
  <c r="AC234" i="1"/>
  <c r="AC237" i="1" s="1"/>
  <c r="AC238" i="1" s="1"/>
  <c r="AC227" i="1"/>
  <c r="AC222" i="1"/>
  <c r="AC216" i="1"/>
  <c r="AC215" i="1"/>
  <c r="AC205" i="1"/>
  <c r="AC199" i="1" s="1"/>
  <c r="CO199" i="1" s="1"/>
  <c r="AC203" i="1"/>
  <c r="CO203" i="1" s="1"/>
  <c r="AC202" i="1"/>
  <c r="CO202" i="1" s="1"/>
  <c r="AC178" i="1"/>
  <c r="CO178" i="1" s="1"/>
  <c r="AC176" i="1"/>
  <c r="CO176" i="1" s="1"/>
  <c r="AC171" i="1"/>
  <c r="CO171" i="1" s="1"/>
  <c r="AC165" i="1"/>
  <c r="CO165" i="1" s="1"/>
  <c r="CY104" i="1"/>
  <c r="CY105" i="1"/>
  <c r="CY149" i="1"/>
  <c r="CY382" i="1"/>
  <c r="CY420" i="1" s="1"/>
  <c r="CY383" i="1"/>
  <c r="CY384" i="1"/>
  <c r="CY385" i="1"/>
  <c r="CY386" i="1"/>
  <c r="CY407" i="1"/>
  <c r="AU16" i="31" s="1"/>
  <c r="CY410" i="1"/>
  <c r="CY411" i="1"/>
  <c r="CY413" i="1"/>
  <c r="CY435" i="1"/>
  <c r="CY442" i="1"/>
  <c r="AU27" i="31" s="1"/>
  <c r="CY446" i="1"/>
  <c r="CY447" i="1"/>
  <c r="CY448" i="1"/>
  <c r="CY476" i="1"/>
  <c r="CY477" i="1"/>
  <c r="CY479" i="1"/>
  <c r="CY492" i="1"/>
  <c r="CY505" i="1"/>
  <c r="CY508" i="1"/>
  <c r="CY523" i="1"/>
  <c r="CY524" i="1"/>
  <c r="C18" i="30" s="1"/>
  <c r="CY528" i="1"/>
  <c r="CY736" i="1"/>
  <c r="AC143" i="1"/>
  <c r="CB839" i="1"/>
  <c r="CA839" i="1"/>
  <c r="BZ839" i="1"/>
  <c r="BY839" i="1"/>
  <c r="BX839" i="1"/>
  <c r="BW839" i="1"/>
  <c r="BV839" i="1"/>
  <c r="BU839" i="1"/>
  <c r="BT839" i="1"/>
  <c r="BS839" i="1"/>
  <c r="CB827" i="1"/>
  <c r="CA827" i="1"/>
  <c r="BZ827" i="1"/>
  <c r="BY827" i="1"/>
  <c r="BX827" i="1"/>
  <c r="BW827" i="1"/>
  <c r="BV827" i="1"/>
  <c r="BU827" i="1"/>
  <c r="BT827" i="1"/>
  <c r="BS827" i="1"/>
  <c r="CB826" i="1"/>
  <c r="CA826" i="1"/>
  <c r="BZ826" i="1"/>
  <c r="BY826" i="1"/>
  <c r="BX826" i="1"/>
  <c r="BW826" i="1"/>
  <c r="BV826" i="1"/>
  <c r="BU826" i="1"/>
  <c r="BT826" i="1"/>
  <c r="BS826" i="1"/>
  <c r="CB824" i="1"/>
  <c r="CA824" i="1"/>
  <c r="BZ824" i="1"/>
  <c r="BY824" i="1"/>
  <c r="BX824" i="1"/>
  <c r="BW824" i="1"/>
  <c r="BV824" i="1"/>
  <c r="BU824" i="1"/>
  <c r="BT824" i="1"/>
  <c r="BS824" i="1"/>
  <c r="CB823" i="1"/>
  <c r="CA823" i="1"/>
  <c r="BZ823" i="1"/>
  <c r="BY823" i="1"/>
  <c r="BX823" i="1"/>
  <c r="BW823" i="1"/>
  <c r="BV823" i="1"/>
  <c r="BU823" i="1"/>
  <c r="BT823" i="1"/>
  <c r="BS823" i="1"/>
  <c r="CB821" i="1"/>
  <c r="CA821" i="1"/>
  <c r="BZ821" i="1"/>
  <c r="BY821" i="1"/>
  <c r="BX821" i="1"/>
  <c r="BW821" i="1"/>
  <c r="BV821" i="1"/>
  <c r="BU821" i="1"/>
  <c r="BT821" i="1"/>
  <c r="BS821" i="1"/>
  <c r="CB820" i="1"/>
  <c r="CA820" i="1"/>
  <c r="BZ820" i="1"/>
  <c r="BY820" i="1"/>
  <c r="BX820" i="1"/>
  <c r="BW820" i="1"/>
  <c r="BV820" i="1"/>
  <c r="BU820" i="1"/>
  <c r="BT820" i="1"/>
  <c r="BS820" i="1"/>
  <c r="CB818" i="1"/>
  <c r="CA818" i="1"/>
  <c r="BZ818" i="1"/>
  <c r="BY818" i="1"/>
  <c r="BX818" i="1"/>
  <c r="BW818" i="1"/>
  <c r="BV818" i="1"/>
  <c r="BU818" i="1"/>
  <c r="BT818" i="1"/>
  <c r="BS818" i="1"/>
  <c r="CB817" i="1"/>
  <c r="CA817" i="1"/>
  <c r="BZ817" i="1"/>
  <c r="BY817" i="1"/>
  <c r="BX817" i="1"/>
  <c r="BW817" i="1"/>
  <c r="BV817" i="1"/>
  <c r="BU817" i="1"/>
  <c r="BT817" i="1"/>
  <c r="BS817" i="1"/>
  <c r="CB815" i="1"/>
  <c r="CA815" i="1"/>
  <c r="BZ815" i="1"/>
  <c r="BY815" i="1"/>
  <c r="BX815" i="1"/>
  <c r="BW815" i="1"/>
  <c r="BV815" i="1"/>
  <c r="BU815" i="1"/>
  <c r="BT815" i="1"/>
  <c r="BS815" i="1"/>
  <c r="CB814" i="1"/>
  <c r="CA814" i="1"/>
  <c r="BZ814" i="1"/>
  <c r="BY814" i="1"/>
  <c r="BX814" i="1"/>
  <c r="BW814" i="1"/>
  <c r="BV814" i="1"/>
  <c r="BU814" i="1"/>
  <c r="BT814" i="1"/>
  <c r="BS814" i="1"/>
  <c r="CA790" i="1"/>
  <c r="BZ790" i="1"/>
  <c r="BY790" i="1"/>
  <c r="BX790" i="1"/>
  <c r="BW790" i="1"/>
  <c r="BV790" i="1"/>
  <c r="BU790" i="1"/>
  <c r="BT790" i="1"/>
  <c r="BS790" i="1"/>
  <c r="CB703" i="1"/>
  <c r="CA703" i="1"/>
  <c r="BZ703" i="1"/>
  <c r="BY703" i="1"/>
  <c r="BX703" i="1"/>
  <c r="BW703" i="1"/>
  <c r="BV703" i="1"/>
  <c r="BU703" i="1"/>
  <c r="BT703" i="1"/>
  <c r="BS703" i="1"/>
  <c r="CB701" i="1"/>
  <c r="CA701" i="1"/>
  <c r="BZ701" i="1"/>
  <c r="BY701" i="1"/>
  <c r="BX701" i="1"/>
  <c r="BW701" i="1"/>
  <c r="BV701" i="1"/>
  <c r="BU701" i="1"/>
  <c r="BT701" i="1"/>
  <c r="BS701" i="1"/>
  <c r="CB696" i="1"/>
  <c r="CA696" i="1"/>
  <c r="BZ696" i="1"/>
  <c r="BY696" i="1"/>
  <c r="BX696" i="1"/>
  <c r="BW696" i="1"/>
  <c r="BV696" i="1"/>
  <c r="BU696" i="1"/>
  <c r="BT696" i="1"/>
  <c r="BS696" i="1"/>
  <c r="CB663" i="1"/>
  <c r="CA663" i="1"/>
  <c r="BZ663" i="1"/>
  <c r="BY663" i="1"/>
  <c r="BX663" i="1"/>
  <c r="BW663" i="1"/>
  <c r="BV663" i="1"/>
  <c r="BU663" i="1"/>
  <c r="BT663" i="1"/>
  <c r="BS663" i="1"/>
  <c r="CB633" i="1"/>
  <c r="CA633" i="1"/>
  <c r="CA636" i="1" s="1"/>
  <c r="BZ633" i="1"/>
  <c r="BY633" i="1"/>
  <c r="BX633" i="1"/>
  <c r="BW633" i="1"/>
  <c r="BW636" i="1" s="1"/>
  <c r="BV633" i="1"/>
  <c r="BU633" i="1"/>
  <c r="BU636" i="1" s="1"/>
  <c r="CB627" i="1"/>
  <c r="CA627" i="1"/>
  <c r="BZ627" i="1"/>
  <c r="BY627" i="1"/>
  <c r="BX627" i="1"/>
  <c r="BW627" i="1"/>
  <c r="BV627" i="1"/>
  <c r="BU627" i="1"/>
  <c r="BT627" i="1"/>
  <c r="BS627" i="1"/>
  <c r="CB626" i="1"/>
  <c r="CA626" i="1"/>
  <c r="BZ626" i="1"/>
  <c r="BY626" i="1"/>
  <c r="BX626" i="1"/>
  <c r="BW626" i="1"/>
  <c r="BV626" i="1"/>
  <c r="BU626" i="1"/>
  <c r="BT626" i="1"/>
  <c r="BS626" i="1"/>
  <c r="CB625" i="1"/>
  <c r="CA625" i="1"/>
  <c r="BZ625" i="1"/>
  <c r="BY625" i="1"/>
  <c r="BX625" i="1"/>
  <c r="BW625" i="1"/>
  <c r="BV625" i="1"/>
  <c r="BU625" i="1"/>
  <c r="BT625" i="1"/>
  <c r="BS625" i="1"/>
  <c r="CB621" i="1"/>
  <c r="CA621" i="1"/>
  <c r="BZ621" i="1"/>
  <c r="BY621" i="1"/>
  <c r="BX621" i="1"/>
  <c r="BW621" i="1"/>
  <c r="BV621" i="1"/>
  <c r="BU621" i="1"/>
  <c r="BT621" i="1"/>
  <c r="CB603" i="1"/>
  <c r="CA603" i="1"/>
  <c r="BZ603" i="1"/>
  <c r="BY603" i="1"/>
  <c r="BX603" i="1"/>
  <c r="BW603" i="1"/>
  <c r="BV603" i="1"/>
  <c r="BU603" i="1"/>
  <c r="BT603" i="1"/>
  <c r="BS598" i="1"/>
  <c r="BS603" i="1" s="1"/>
  <c r="CB593" i="1"/>
  <c r="CA593" i="1"/>
  <c r="CB592" i="1"/>
  <c r="CA592" i="1"/>
  <c r="CB591" i="1"/>
  <c r="CA591" i="1"/>
  <c r="CB589" i="1"/>
  <c r="CA589" i="1"/>
  <c r="BZ589" i="1"/>
  <c r="BY589" i="1"/>
  <c r="BX589" i="1"/>
  <c r="BW589" i="1"/>
  <c r="BV589" i="1"/>
  <c r="BU589" i="1"/>
  <c r="BT589" i="1"/>
  <c r="BS589" i="1"/>
  <c r="CB588" i="1"/>
  <c r="CA588" i="1"/>
  <c r="BZ588" i="1"/>
  <c r="BY588" i="1"/>
  <c r="BX588" i="1"/>
  <c r="BW588" i="1"/>
  <c r="BV588" i="1"/>
  <c r="BU588" i="1"/>
  <c r="BT588" i="1"/>
  <c r="CB562" i="1"/>
  <c r="CA562" i="1"/>
  <c r="BZ562" i="1"/>
  <c r="BY562" i="1"/>
  <c r="BX562" i="1"/>
  <c r="BW562" i="1"/>
  <c r="BV562" i="1"/>
  <c r="BU562" i="1"/>
  <c r="BT562" i="1"/>
  <c r="BS562" i="1"/>
  <c r="BS539" i="1"/>
  <c r="BS588" i="1" s="1"/>
  <c r="CB537" i="1"/>
  <c r="CB634" i="1" s="1"/>
  <c r="CA537" i="1"/>
  <c r="CA634" i="1" s="1"/>
  <c r="BZ537" i="1"/>
  <c r="BZ634" i="1" s="1"/>
  <c r="BY537" i="1"/>
  <c r="BY634" i="1" s="1"/>
  <c r="BX537" i="1"/>
  <c r="BX634" i="1" s="1"/>
  <c r="BW537" i="1"/>
  <c r="BW634" i="1" s="1"/>
  <c r="BV537" i="1"/>
  <c r="BV634" i="1" s="1"/>
  <c r="BU537" i="1"/>
  <c r="BU634" i="1" s="1"/>
  <c r="BT537" i="1"/>
  <c r="BT634" i="1" s="1"/>
  <c r="BS537" i="1"/>
  <c r="BS634" i="1" s="1"/>
  <c r="BT535" i="1"/>
  <c r="BT633" i="1" s="1"/>
  <c r="BS535" i="1"/>
  <c r="BS633" i="1" s="1"/>
  <c r="BS636" i="1" s="1"/>
  <c r="BS533" i="1"/>
  <c r="BS526" i="1"/>
  <c r="BS621" i="1" s="1"/>
  <c r="CB522" i="1"/>
  <c r="CB536" i="1" s="1"/>
  <c r="CB623" i="1" s="1"/>
  <c r="CA522" i="1"/>
  <c r="CA536" i="1" s="1"/>
  <c r="CA623" i="1" s="1"/>
  <c r="BZ522" i="1"/>
  <c r="BZ536" i="1" s="1"/>
  <c r="BZ623" i="1" s="1"/>
  <c r="BY522" i="1"/>
  <c r="BY536" i="1" s="1"/>
  <c r="BY623" i="1" s="1"/>
  <c r="BX522" i="1"/>
  <c r="BX536" i="1" s="1"/>
  <c r="BX623" i="1" s="1"/>
  <c r="BW522" i="1"/>
  <c r="BW536" i="1" s="1"/>
  <c r="BW623" i="1" s="1"/>
  <c r="BV522" i="1"/>
  <c r="BV536" i="1" s="1"/>
  <c r="BV623" i="1" s="1"/>
  <c r="BU522" i="1"/>
  <c r="BU536" i="1" s="1"/>
  <c r="BU623" i="1" s="1"/>
  <c r="BT522" i="1"/>
  <c r="BT536" i="1" s="1"/>
  <c r="BT623" i="1" s="1"/>
  <c r="BS522" i="1"/>
  <c r="BS536" i="1" s="1"/>
  <c r="BS623" i="1" s="1"/>
  <c r="CB520" i="1"/>
  <c r="CA520" i="1"/>
  <c r="BZ520" i="1"/>
  <c r="BY520" i="1"/>
  <c r="BX520" i="1"/>
  <c r="BW520" i="1"/>
  <c r="BV520" i="1"/>
  <c r="BU520" i="1"/>
  <c r="BT520" i="1"/>
  <c r="BS520" i="1"/>
  <c r="CB519" i="1"/>
  <c r="CA519" i="1"/>
  <c r="BZ519" i="1"/>
  <c r="BY519" i="1"/>
  <c r="BX519" i="1"/>
  <c r="BW519" i="1"/>
  <c r="BV519" i="1"/>
  <c r="BU519" i="1"/>
  <c r="BT519" i="1"/>
  <c r="BS519" i="1"/>
  <c r="CB518" i="1"/>
  <c r="CA518" i="1"/>
  <c r="BZ518" i="1"/>
  <c r="BY518" i="1"/>
  <c r="BX518" i="1"/>
  <c r="BW518" i="1"/>
  <c r="BV518" i="1"/>
  <c r="BU518" i="1"/>
  <c r="BT518" i="1"/>
  <c r="BS518" i="1"/>
  <c r="CB517" i="1"/>
  <c r="CA517" i="1"/>
  <c r="BZ517" i="1"/>
  <c r="BY517" i="1"/>
  <c r="BX517" i="1"/>
  <c r="BW517" i="1"/>
  <c r="BV517" i="1"/>
  <c r="BU517" i="1"/>
  <c r="BT517" i="1"/>
  <c r="BS517" i="1"/>
  <c r="CB516" i="1"/>
  <c r="CA516" i="1"/>
  <c r="BZ516" i="1"/>
  <c r="BY516" i="1"/>
  <c r="BX516" i="1"/>
  <c r="BW516" i="1"/>
  <c r="BV516" i="1"/>
  <c r="BU516" i="1"/>
  <c r="BT516" i="1"/>
  <c r="BS516" i="1"/>
  <c r="CB509" i="1"/>
  <c r="CA509" i="1"/>
  <c r="BZ509" i="1"/>
  <c r="BY509" i="1"/>
  <c r="BX509" i="1"/>
  <c r="BW509" i="1"/>
  <c r="BV509" i="1"/>
  <c r="BU509" i="1"/>
  <c r="BT509" i="1"/>
  <c r="BS509" i="1"/>
  <c r="CB506" i="1"/>
  <c r="CA506" i="1"/>
  <c r="BZ506" i="1"/>
  <c r="BY506" i="1"/>
  <c r="BX506" i="1"/>
  <c r="BW506" i="1"/>
  <c r="BV506" i="1"/>
  <c r="BU506" i="1"/>
  <c r="BT506" i="1"/>
  <c r="BS506" i="1"/>
  <c r="CB504" i="1"/>
  <c r="CA504" i="1"/>
  <c r="BZ504" i="1"/>
  <c r="BY504" i="1"/>
  <c r="BX504" i="1"/>
  <c r="BW504" i="1"/>
  <c r="BV504" i="1"/>
  <c r="BU504" i="1"/>
  <c r="BT504" i="1"/>
  <c r="BS504" i="1"/>
  <c r="CB503" i="1"/>
  <c r="CA503" i="1"/>
  <c r="BZ503" i="1"/>
  <c r="BY503" i="1"/>
  <c r="BX503" i="1"/>
  <c r="BW503" i="1"/>
  <c r="BV503" i="1"/>
  <c r="BU503" i="1"/>
  <c r="BT503" i="1"/>
  <c r="BS503" i="1"/>
  <c r="CB502" i="1"/>
  <c r="CA502" i="1"/>
  <c r="BZ502" i="1"/>
  <c r="BY502" i="1"/>
  <c r="BX502" i="1"/>
  <c r="BW502" i="1"/>
  <c r="BW130" i="1" s="1"/>
  <c r="BV502" i="1"/>
  <c r="BV130" i="1" s="1"/>
  <c r="BU502" i="1"/>
  <c r="BT502" i="1"/>
  <c r="BS502" i="1"/>
  <c r="CB501" i="1"/>
  <c r="CA501" i="1"/>
  <c r="BZ501" i="1"/>
  <c r="BY501" i="1"/>
  <c r="BX501" i="1"/>
  <c r="BW501" i="1"/>
  <c r="BV501" i="1"/>
  <c r="BU501" i="1"/>
  <c r="BT501" i="1"/>
  <c r="BS501" i="1"/>
  <c r="BT480" i="1"/>
  <c r="BS480" i="1"/>
  <c r="CB479" i="1"/>
  <c r="CA479" i="1"/>
  <c r="BZ479" i="1"/>
  <c r="BY479" i="1"/>
  <c r="BX479" i="1"/>
  <c r="BW479" i="1"/>
  <c r="BV479" i="1"/>
  <c r="BU479" i="1"/>
  <c r="BT478" i="1"/>
  <c r="BS478" i="1"/>
  <c r="CB475" i="1"/>
  <c r="CA475" i="1"/>
  <c r="BZ475" i="1"/>
  <c r="BY475" i="1"/>
  <c r="BX475" i="1"/>
  <c r="BW475" i="1"/>
  <c r="BV475" i="1"/>
  <c r="BU475" i="1"/>
  <c r="BT475" i="1"/>
  <c r="BS475" i="1"/>
  <c r="CB474" i="1"/>
  <c r="CA474" i="1"/>
  <c r="BZ474" i="1"/>
  <c r="BY474" i="1"/>
  <c r="BX474" i="1"/>
  <c r="BW474" i="1"/>
  <c r="BV474" i="1"/>
  <c r="BU474" i="1"/>
  <c r="BT474" i="1"/>
  <c r="BS474" i="1"/>
  <c r="CB473" i="1"/>
  <c r="CA473" i="1"/>
  <c r="BZ473" i="1"/>
  <c r="BY473" i="1"/>
  <c r="BX473" i="1"/>
  <c r="BW473" i="1"/>
  <c r="BV473" i="1"/>
  <c r="BU473" i="1"/>
  <c r="BT473" i="1"/>
  <c r="BS473" i="1"/>
  <c r="CB470" i="1"/>
  <c r="CA470" i="1"/>
  <c r="BZ470" i="1"/>
  <c r="BY470" i="1"/>
  <c r="BX470" i="1"/>
  <c r="BW470" i="1"/>
  <c r="BV470" i="1"/>
  <c r="BU470" i="1"/>
  <c r="BT470" i="1"/>
  <c r="BS470" i="1"/>
  <c r="CA451" i="1"/>
  <c r="BY451" i="1"/>
  <c r="BX451" i="1"/>
  <c r="BZ450" i="1"/>
  <c r="BW450" i="1"/>
  <c r="BV450" i="1"/>
  <c r="BU450" i="1"/>
  <c r="BT450" i="1"/>
  <c r="BS450" i="1"/>
  <c r="CB449" i="1"/>
  <c r="CB450" i="1" s="1"/>
  <c r="CA449" i="1"/>
  <c r="BY449" i="1"/>
  <c r="BX449" i="1"/>
  <c r="CB445" i="1"/>
  <c r="CA445" i="1"/>
  <c r="BZ445" i="1"/>
  <c r="BY445" i="1"/>
  <c r="BX445" i="1"/>
  <c r="BW445" i="1"/>
  <c r="BV445" i="1"/>
  <c r="BU445" i="1"/>
  <c r="BT445" i="1"/>
  <c r="BS445" i="1"/>
  <c r="CB444" i="1"/>
  <c r="CA444" i="1"/>
  <c r="BZ444" i="1"/>
  <c r="BY444" i="1"/>
  <c r="BX444" i="1"/>
  <c r="BW444" i="1"/>
  <c r="BV444" i="1"/>
  <c r="BU444" i="1"/>
  <c r="BT444" i="1"/>
  <c r="BS444" i="1"/>
  <c r="CB434" i="1"/>
  <c r="CA434" i="1"/>
  <c r="BZ434" i="1"/>
  <c r="BY434" i="1"/>
  <c r="BX434" i="1"/>
  <c r="BW434" i="1"/>
  <c r="BV434" i="1"/>
  <c r="BU434" i="1"/>
  <c r="BT434" i="1"/>
  <c r="BS434" i="1"/>
  <c r="CB433" i="1"/>
  <c r="CB432" i="1"/>
  <c r="CB93" i="1" s="1"/>
  <c r="BS432" i="1"/>
  <c r="BS93" i="1" s="1"/>
  <c r="CB425" i="1"/>
  <c r="CB460" i="1" s="1"/>
  <c r="CB489" i="1" s="1"/>
  <c r="CA425" i="1"/>
  <c r="CA460" i="1" s="1"/>
  <c r="CA489" i="1" s="1"/>
  <c r="BZ425" i="1"/>
  <c r="BZ460" i="1" s="1"/>
  <c r="BZ489" i="1" s="1"/>
  <c r="BY425" i="1"/>
  <c r="BY460" i="1" s="1"/>
  <c r="BY489" i="1" s="1"/>
  <c r="BX425" i="1"/>
  <c r="BX460" i="1" s="1"/>
  <c r="BX489" i="1" s="1"/>
  <c r="BW425" i="1"/>
  <c r="BW460" i="1" s="1"/>
  <c r="BW489" i="1" s="1"/>
  <c r="BV425" i="1"/>
  <c r="BV460" i="1" s="1"/>
  <c r="BV489" i="1" s="1"/>
  <c r="BU425" i="1"/>
  <c r="BU460" i="1" s="1"/>
  <c r="BU489" i="1" s="1"/>
  <c r="BT425" i="1"/>
  <c r="BT460" i="1" s="1"/>
  <c r="BT489" i="1" s="1"/>
  <c r="BS425" i="1"/>
  <c r="BS460" i="1" s="1"/>
  <c r="BS489" i="1" s="1"/>
  <c r="CB424" i="1"/>
  <c r="CB459" i="1" s="1"/>
  <c r="CB488" i="1" s="1"/>
  <c r="CA424" i="1"/>
  <c r="CA459" i="1" s="1"/>
  <c r="CA488" i="1" s="1"/>
  <c r="BZ424" i="1"/>
  <c r="BZ459" i="1" s="1"/>
  <c r="BZ488" i="1" s="1"/>
  <c r="BY424" i="1"/>
  <c r="BY459" i="1" s="1"/>
  <c r="BY488" i="1" s="1"/>
  <c r="BX424" i="1"/>
  <c r="BX459" i="1" s="1"/>
  <c r="BX488" i="1" s="1"/>
  <c r="BW424" i="1"/>
  <c r="BW459" i="1" s="1"/>
  <c r="BW488" i="1" s="1"/>
  <c r="BV424" i="1"/>
  <c r="BV459" i="1" s="1"/>
  <c r="BV488" i="1" s="1"/>
  <c r="BU424" i="1"/>
  <c r="BU459" i="1" s="1"/>
  <c r="BU488" i="1" s="1"/>
  <c r="BT424" i="1"/>
  <c r="BT459" i="1" s="1"/>
  <c r="BT488" i="1" s="1"/>
  <c r="BS424" i="1"/>
  <c r="BS459" i="1" s="1"/>
  <c r="BS488" i="1" s="1"/>
  <c r="CB423" i="1"/>
  <c r="CB458" i="1" s="1"/>
  <c r="CB487" i="1" s="1"/>
  <c r="CA423" i="1"/>
  <c r="CA458" i="1" s="1"/>
  <c r="CA487" i="1" s="1"/>
  <c r="BZ423" i="1"/>
  <c r="BZ458" i="1" s="1"/>
  <c r="BZ487" i="1" s="1"/>
  <c r="BY423" i="1"/>
  <c r="BY458" i="1" s="1"/>
  <c r="BY487" i="1" s="1"/>
  <c r="BX423" i="1"/>
  <c r="BX458" i="1" s="1"/>
  <c r="BX487" i="1" s="1"/>
  <c r="BW423" i="1"/>
  <c r="BW458" i="1" s="1"/>
  <c r="BW487" i="1" s="1"/>
  <c r="BV423" i="1"/>
  <c r="BV458" i="1" s="1"/>
  <c r="BV487" i="1" s="1"/>
  <c r="BU423" i="1"/>
  <c r="BU458" i="1" s="1"/>
  <c r="BU487" i="1" s="1"/>
  <c r="BT423" i="1"/>
  <c r="BT458" i="1" s="1"/>
  <c r="BT487" i="1" s="1"/>
  <c r="BS423" i="1"/>
  <c r="BS458" i="1" s="1"/>
  <c r="BS487" i="1" s="1"/>
  <c r="CB422" i="1"/>
  <c r="CB457" i="1" s="1"/>
  <c r="CA422" i="1"/>
  <c r="CA457" i="1" s="1"/>
  <c r="BZ422" i="1"/>
  <c r="BZ457" i="1" s="1"/>
  <c r="BY422" i="1"/>
  <c r="BY457" i="1" s="1"/>
  <c r="BX422" i="1"/>
  <c r="BX457" i="1" s="1"/>
  <c r="BW422" i="1"/>
  <c r="BW457" i="1" s="1"/>
  <c r="BV422" i="1"/>
  <c r="BV457" i="1" s="1"/>
  <c r="BU422" i="1"/>
  <c r="BU457" i="1" s="1"/>
  <c r="BT422" i="1"/>
  <c r="BT457" i="1" s="1"/>
  <c r="BS422" i="1"/>
  <c r="BS457" i="1" s="1"/>
  <c r="CB420" i="1"/>
  <c r="CA420" i="1"/>
  <c r="BZ420" i="1"/>
  <c r="BY420" i="1"/>
  <c r="BX420" i="1"/>
  <c r="BW420" i="1"/>
  <c r="BV420" i="1"/>
  <c r="BU420" i="1"/>
  <c r="BT420" i="1"/>
  <c r="BS420" i="1"/>
  <c r="CA416" i="1"/>
  <c r="CA415" i="1" s="1"/>
  <c r="BZ416" i="1"/>
  <c r="BY416" i="1"/>
  <c r="BX416" i="1"/>
  <c r="BX415" i="1" s="1"/>
  <c r="BU416" i="1"/>
  <c r="BT416" i="1"/>
  <c r="BT415" i="1" s="1"/>
  <c r="BS416" i="1"/>
  <c r="BS415" i="1" s="1"/>
  <c r="CB415" i="1"/>
  <c r="BW415" i="1"/>
  <c r="BV415" i="1"/>
  <c r="BZ414" i="1"/>
  <c r="BY414" i="1"/>
  <c r="BU414" i="1"/>
  <c r="CB409" i="1"/>
  <c r="CB421" i="1" s="1"/>
  <c r="CA409" i="1"/>
  <c r="CA421" i="1" s="1"/>
  <c r="BZ409" i="1"/>
  <c r="BY409" i="1"/>
  <c r="BX409" i="1"/>
  <c r="BX421" i="1" s="1"/>
  <c r="BW409" i="1"/>
  <c r="BV409" i="1"/>
  <c r="BU409" i="1"/>
  <c r="BU421" i="1" s="1"/>
  <c r="BT409" i="1"/>
  <c r="BS409" i="1"/>
  <c r="BS421" i="1" s="1"/>
  <c r="CB397" i="1"/>
  <c r="CA397" i="1"/>
  <c r="BZ397" i="1"/>
  <c r="BY397" i="1"/>
  <c r="BX397" i="1"/>
  <c r="BW397" i="1"/>
  <c r="BV397" i="1"/>
  <c r="BU397" i="1"/>
  <c r="BT397" i="1"/>
  <c r="BS397" i="1"/>
  <c r="CB396" i="1"/>
  <c r="CA396" i="1"/>
  <c r="BZ396" i="1"/>
  <c r="BY396" i="1"/>
  <c r="BX396" i="1"/>
  <c r="BW396" i="1"/>
  <c r="BV396" i="1"/>
  <c r="BU396" i="1"/>
  <c r="BT396" i="1"/>
  <c r="BS396" i="1"/>
  <c r="BX389" i="1"/>
  <c r="BS389" i="1"/>
  <c r="BS388" i="1" s="1"/>
  <c r="CB388" i="1"/>
  <c r="CA388" i="1"/>
  <c r="BZ388" i="1"/>
  <c r="BY388" i="1"/>
  <c r="BW388" i="1"/>
  <c r="BV388" i="1"/>
  <c r="BU388" i="1"/>
  <c r="BT388" i="1"/>
  <c r="BX387" i="1"/>
  <c r="CB381" i="1"/>
  <c r="CA381" i="1"/>
  <c r="CA327" i="1" s="1"/>
  <c r="BZ381" i="1"/>
  <c r="BZ327" i="1" s="1"/>
  <c r="BY381" i="1"/>
  <c r="BY327" i="1" s="1"/>
  <c r="BW381" i="1"/>
  <c r="BW327" i="1" s="1"/>
  <c r="BV381" i="1"/>
  <c r="BV327" i="1" s="1"/>
  <c r="BU381" i="1"/>
  <c r="BU327" i="1" s="1"/>
  <c r="BT381" i="1"/>
  <c r="BT327" i="1" s="1"/>
  <c r="BS381" i="1"/>
  <c r="BS327" i="1" s="1"/>
  <c r="CB351" i="1"/>
  <c r="CA351" i="1"/>
  <c r="BZ351" i="1"/>
  <c r="BY351" i="1"/>
  <c r="BX351" i="1"/>
  <c r="BW351" i="1"/>
  <c r="BV351" i="1"/>
  <c r="BU351" i="1"/>
  <c r="BT351" i="1"/>
  <c r="BS351" i="1"/>
  <c r="CB350" i="1"/>
  <c r="CA350" i="1"/>
  <c r="BZ350" i="1"/>
  <c r="BY350" i="1"/>
  <c r="BX350" i="1"/>
  <c r="BW350" i="1"/>
  <c r="BV350" i="1"/>
  <c r="BU350" i="1"/>
  <c r="BT350" i="1"/>
  <c r="BS350" i="1"/>
  <c r="CB318" i="1"/>
  <c r="CA318" i="1"/>
  <c r="BZ318" i="1"/>
  <c r="BY318" i="1"/>
  <c r="BX318" i="1"/>
  <c r="BW318" i="1"/>
  <c r="BV318" i="1"/>
  <c r="BV286" i="1" s="1"/>
  <c r="BV344" i="1" s="1"/>
  <c r="BU318" i="1"/>
  <c r="BT318" i="1"/>
  <c r="BS318" i="1"/>
  <c r="CA267" i="1"/>
  <c r="CA87" i="1" s="1"/>
  <c r="BZ267" i="1"/>
  <c r="BZ87" i="1" s="1"/>
  <c r="BY267" i="1"/>
  <c r="BY87" i="1" s="1"/>
  <c r="BX267" i="1"/>
  <c r="BX87" i="1" s="1"/>
  <c r="CB262" i="1"/>
  <c r="CA262" i="1"/>
  <c r="BZ262" i="1"/>
  <c r="BY262" i="1"/>
  <c r="BX262" i="1"/>
  <c r="BW262" i="1"/>
  <c r="BV262" i="1"/>
  <c r="BU262" i="1"/>
  <c r="BT262" i="1"/>
  <c r="BS262" i="1"/>
  <c r="CB254" i="1"/>
  <c r="CA254" i="1"/>
  <c r="BZ254" i="1"/>
  <c r="BY254" i="1"/>
  <c r="BX254" i="1"/>
  <c r="BW254" i="1"/>
  <c r="BV254" i="1"/>
  <c r="BU254" i="1"/>
  <c r="CB249" i="1"/>
  <c r="CA249" i="1"/>
  <c r="BZ249" i="1"/>
  <c r="BY249" i="1"/>
  <c r="BX249" i="1"/>
  <c r="BW249" i="1"/>
  <c r="BV249" i="1"/>
  <c r="BU249" i="1"/>
  <c r="CB244" i="1"/>
  <c r="CA244" i="1"/>
  <c r="BZ244" i="1"/>
  <c r="BY244" i="1"/>
  <c r="BX244" i="1"/>
  <c r="BW244" i="1"/>
  <c r="BV244" i="1"/>
  <c r="BU244" i="1"/>
  <c r="BT244" i="1"/>
  <c r="BS244" i="1"/>
  <c r="CB234" i="1"/>
  <c r="CB237" i="1" s="1"/>
  <c r="CA234" i="1"/>
  <c r="CA237" i="1" s="1"/>
  <c r="BZ234" i="1"/>
  <c r="BZ237" i="1" s="1"/>
  <c r="BY234" i="1"/>
  <c r="BY237" i="1" s="1"/>
  <c r="BX234" i="1"/>
  <c r="BX237" i="1" s="1"/>
  <c r="BW234" i="1"/>
  <c r="BW237" i="1" s="1"/>
  <c r="BW238" i="1" s="1"/>
  <c r="BV234" i="1"/>
  <c r="BV237" i="1" s="1"/>
  <c r="BU234" i="1"/>
  <c r="BU237" i="1" s="1"/>
  <c r="BU238" i="1" s="1"/>
  <c r="CB227" i="1"/>
  <c r="CA227" i="1"/>
  <c r="BT224" i="1"/>
  <c r="CB222" i="1"/>
  <c r="CA222" i="1"/>
  <c r="CB215" i="1"/>
  <c r="CA215" i="1"/>
  <c r="BZ215" i="1"/>
  <c r="BY215" i="1"/>
  <c r="CB212" i="1"/>
  <c r="CA212" i="1"/>
  <c r="BZ212" i="1"/>
  <c r="BY212" i="1"/>
  <c r="BX212" i="1"/>
  <c r="BW212" i="1"/>
  <c r="BV212" i="1"/>
  <c r="BU212" i="1"/>
  <c r="BT212" i="1"/>
  <c r="BS212" i="1"/>
  <c r="BV210" i="1"/>
  <c r="BV209" i="1" s="1"/>
  <c r="BU210" i="1"/>
  <c r="BU209" i="1" s="1"/>
  <c r="BU208" i="1" s="1"/>
  <c r="BT210" i="1"/>
  <c r="BS210" i="1"/>
  <c r="CA209" i="1"/>
  <c r="BZ209" i="1"/>
  <c r="BY209" i="1"/>
  <c r="BY208" i="1" s="1"/>
  <c r="BX209" i="1"/>
  <c r="BX208" i="1" s="1"/>
  <c r="BW209" i="1"/>
  <c r="BW208" i="1" s="1"/>
  <c r="CB205" i="1"/>
  <c r="CA205" i="1"/>
  <c r="BZ205" i="1"/>
  <c r="BY205" i="1"/>
  <c r="BX205" i="1"/>
  <c r="BW205" i="1"/>
  <c r="BV205" i="1"/>
  <c r="BU205" i="1"/>
  <c r="BT205" i="1"/>
  <c r="BS205" i="1"/>
  <c r="CB203" i="1"/>
  <c r="CA203" i="1"/>
  <c r="BZ203" i="1"/>
  <c r="BY203" i="1"/>
  <c r="BX203" i="1"/>
  <c r="BW203" i="1"/>
  <c r="BV203" i="1"/>
  <c r="BU203" i="1"/>
  <c r="BT203" i="1"/>
  <c r="BS203" i="1"/>
  <c r="BT187" i="1"/>
  <c r="CB186" i="1"/>
  <c r="CB204" i="1" s="1"/>
  <c r="CB670" i="1" s="1"/>
  <c r="CA186" i="1"/>
  <c r="BZ186" i="1"/>
  <c r="BZ204" i="1" s="1"/>
  <c r="BY186" i="1"/>
  <c r="BY204" i="1" s="1"/>
  <c r="BX186" i="1"/>
  <c r="BW186" i="1"/>
  <c r="BW204" i="1" s="1"/>
  <c r="BV186" i="1"/>
  <c r="BV204" i="1" s="1"/>
  <c r="BU186" i="1"/>
  <c r="BU204" i="1" s="1"/>
  <c r="BT186" i="1"/>
  <c r="BT204" i="1" s="1"/>
  <c r="BS186" i="1"/>
  <c r="BS204" i="1" s="1"/>
  <c r="CB178" i="1"/>
  <c r="CB181" i="1" s="1"/>
  <c r="CA178" i="1"/>
  <c r="BZ178" i="1"/>
  <c r="CB176" i="1"/>
  <c r="CA176" i="1"/>
  <c r="BZ176" i="1"/>
  <c r="BU176" i="1"/>
  <c r="BU610" i="1" s="1"/>
  <c r="BU611" i="1" s="1"/>
  <c r="BT176" i="1"/>
  <c r="BT610" i="1" s="1"/>
  <c r="BT611" i="1" s="1"/>
  <c r="BS176" i="1"/>
  <c r="BS610" i="1" s="1"/>
  <c r="BS611" i="1" s="1"/>
  <c r="CB171" i="1"/>
  <c r="CA171" i="1"/>
  <c r="BZ171" i="1"/>
  <c r="BY167" i="1"/>
  <c r="CB165" i="1"/>
  <c r="CA165" i="1"/>
  <c r="BZ165" i="1"/>
  <c r="BW157" i="1"/>
  <c r="CB141" i="1"/>
  <c r="CA141" i="1"/>
  <c r="BT141" i="1"/>
  <c r="BS141" i="1"/>
  <c r="BY138" i="1"/>
  <c r="BU735" i="1"/>
  <c r="BU762" i="1" s="1"/>
  <c r="CB122" i="1"/>
  <c r="CA122" i="1"/>
  <c r="BZ122" i="1"/>
  <c r="BY122" i="1"/>
  <c r="BX122" i="1"/>
  <c r="BW122" i="1"/>
  <c r="BV122" i="1"/>
  <c r="BU122" i="1"/>
  <c r="BT122" i="1"/>
  <c r="BS122" i="1"/>
  <c r="CB116" i="1"/>
  <c r="CA116" i="1"/>
  <c r="BZ116" i="1"/>
  <c r="BY116" i="1"/>
  <c r="BX116" i="1"/>
  <c r="BW116" i="1"/>
  <c r="BV116" i="1"/>
  <c r="BU116" i="1"/>
  <c r="BT116" i="1"/>
  <c r="BS116" i="1"/>
  <c r="CB115" i="1"/>
  <c r="CA115" i="1"/>
  <c r="BZ115" i="1"/>
  <c r="BY115" i="1"/>
  <c r="BX115" i="1"/>
  <c r="BW115" i="1"/>
  <c r="BV115" i="1"/>
  <c r="BU115" i="1"/>
  <c r="BT115" i="1"/>
  <c r="BS115" i="1"/>
  <c r="CB106" i="1"/>
  <c r="CB101" i="1"/>
  <c r="CA97" i="1"/>
  <c r="BZ97" i="1"/>
  <c r="BY97" i="1"/>
  <c r="BX97" i="1"/>
  <c r="BW97" i="1"/>
  <c r="BV97" i="1"/>
  <c r="BU97" i="1"/>
  <c r="BT97" i="1"/>
  <c r="BS97" i="1"/>
  <c r="BS96" i="1"/>
  <c r="CA93" i="1"/>
  <c r="BZ93" i="1"/>
  <c r="BY93" i="1"/>
  <c r="BX93" i="1"/>
  <c r="BW93" i="1"/>
  <c r="BV93" i="1"/>
  <c r="BU93" i="1"/>
  <c r="BT93" i="1"/>
  <c r="CB73" i="1"/>
  <c r="CA73" i="1"/>
  <c r="BZ73" i="1"/>
  <c r="BY73" i="1"/>
  <c r="BX73" i="1"/>
  <c r="BW73" i="1"/>
  <c r="BV73" i="1"/>
  <c r="BU73" i="1"/>
  <c r="BT73" i="1"/>
  <c r="BS73" i="1"/>
  <c r="CB72" i="1"/>
  <c r="CA72" i="1"/>
  <c r="BZ72" i="1"/>
  <c r="BY72" i="1"/>
  <c r="BX72" i="1"/>
  <c r="BW72" i="1"/>
  <c r="BV72" i="1"/>
  <c r="BU72" i="1"/>
  <c r="BT72" i="1"/>
  <c r="BS72" i="1"/>
  <c r="CB70" i="1"/>
  <c r="CA70" i="1"/>
  <c r="BZ70" i="1"/>
  <c r="BY70" i="1"/>
  <c r="BX70" i="1"/>
  <c r="BW70" i="1"/>
  <c r="BV70" i="1"/>
  <c r="BU70" i="1"/>
  <c r="BT70" i="1"/>
  <c r="BS70" i="1"/>
  <c r="CB69" i="1"/>
  <c r="CA69" i="1"/>
  <c r="BZ69" i="1"/>
  <c r="BY69" i="1"/>
  <c r="BX69" i="1"/>
  <c r="BW69" i="1"/>
  <c r="BV69" i="1"/>
  <c r="BU69" i="1"/>
  <c r="BT69" i="1"/>
  <c r="BS69" i="1"/>
  <c r="CB68" i="1"/>
  <c r="CA68" i="1"/>
  <c r="BZ68" i="1"/>
  <c r="BY68" i="1"/>
  <c r="BX68" i="1"/>
  <c r="BW68" i="1"/>
  <c r="BV68" i="1"/>
  <c r="BU68" i="1"/>
  <c r="BT68" i="1"/>
  <c r="BS68" i="1"/>
  <c r="CB67" i="1"/>
  <c r="CA67" i="1"/>
  <c r="BZ67" i="1"/>
  <c r="BY67" i="1"/>
  <c r="BX67" i="1"/>
  <c r="BW67" i="1"/>
  <c r="BV67" i="1"/>
  <c r="BU67" i="1"/>
  <c r="BT67" i="1"/>
  <c r="BS67" i="1"/>
  <c r="CB60" i="1"/>
  <c r="CB49" i="1" s="1"/>
  <c r="CA60" i="1"/>
  <c r="CA49" i="1" s="1"/>
  <c r="CB59" i="1"/>
  <c r="CB48" i="1" s="1"/>
  <c r="CA59" i="1"/>
  <c r="CA48" i="1" s="1"/>
  <c r="CB57" i="1"/>
  <c r="CA57" i="1"/>
  <c r="CB56" i="1"/>
  <c r="CA56" i="1"/>
  <c r="CB52" i="1"/>
  <c r="CA52" i="1"/>
  <c r="BZ52" i="1"/>
  <c r="BY52" i="1"/>
  <c r="CB26" i="1"/>
  <c r="CA26" i="1"/>
  <c r="BZ26" i="1"/>
  <c r="BY26" i="1"/>
  <c r="CA3" i="1"/>
  <c r="BS3" i="1"/>
  <c r="CA2" i="1"/>
  <c r="CB725" i="1" s="1"/>
  <c r="BS2" i="1"/>
  <c r="BT725" i="1" s="1"/>
  <c r="CB1" i="1"/>
  <c r="BT1" i="1"/>
  <c r="K839" i="1"/>
  <c r="I839" i="1"/>
  <c r="G839" i="1"/>
  <c r="E839" i="1"/>
  <c r="C839" i="1"/>
  <c r="L827" i="1"/>
  <c r="K827" i="1"/>
  <c r="J827" i="1"/>
  <c r="I827" i="1"/>
  <c r="H827" i="1"/>
  <c r="G827" i="1"/>
  <c r="F827" i="1"/>
  <c r="E827" i="1"/>
  <c r="D827" i="1"/>
  <c r="C827" i="1"/>
  <c r="F826" i="1"/>
  <c r="E826" i="1"/>
  <c r="D826" i="1"/>
  <c r="C826" i="1"/>
  <c r="L824" i="1"/>
  <c r="K824" i="1"/>
  <c r="J824" i="1"/>
  <c r="I824" i="1"/>
  <c r="H824" i="1"/>
  <c r="G824" i="1"/>
  <c r="F824" i="1"/>
  <c r="E824" i="1"/>
  <c r="D824" i="1"/>
  <c r="C824" i="1"/>
  <c r="F823" i="1"/>
  <c r="E823" i="1"/>
  <c r="D823" i="1"/>
  <c r="C823" i="1"/>
  <c r="L821" i="1"/>
  <c r="K821" i="1"/>
  <c r="J821" i="1"/>
  <c r="I821" i="1"/>
  <c r="H821" i="1"/>
  <c r="G821" i="1"/>
  <c r="F821" i="1"/>
  <c r="E821" i="1"/>
  <c r="D821" i="1"/>
  <c r="C821" i="1"/>
  <c r="F820" i="1"/>
  <c r="E820" i="1"/>
  <c r="D820" i="1"/>
  <c r="C820" i="1"/>
  <c r="L818" i="1"/>
  <c r="K818" i="1"/>
  <c r="J818" i="1"/>
  <c r="I818" i="1"/>
  <c r="H818" i="1"/>
  <c r="G818" i="1"/>
  <c r="F818" i="1"/>
  <c r="E818" i="1"/>
  <c r="D818" i="1"/>
  <c r="C818" i="1"/>
  <c r="F817" i="1"/>
  <c r="E817" i="1"/>
  <c r="D817" i="1"/>
  <c r="C817" i="1"/>
  <c r="L815" i="1"/>
  <c r="K815" i="1"/>
  <c r="J815" i="1"/>
  <c r="I815" i="1"/>
  <c r="H815" i="1"/>
  <c r="G815" i="1"/>
  <c r="F815" i="1"/>
  <c r="E815" i="1"/>
  <c r="D815" i="1"/>
  <c r="C815" i="1"/>
  <c r="L814" i="1"/>
  <c r="K814" i="1"/>
  <c r="J814" i="1"/>
  <c r="I814" i="1"/>
  <c r="H814" i="1"/>
  <c r="G814" i="1"/>
  <c r="F814" i="1"/>
  <c r="E814" i="1"/>
  <c r="D814" i="1"/>
  <c r="C814" i="1"/>
  <c r="L737" i="1"/>
  <c r="L763" i="1" s="1"/>
  <c r="K737" i="1"/>
  <c r="K763" i="1" s="1"/>
  <c r="J737" i="1"/>
  <c r="J763" i="1" s="1"/>
  <c r="I737" i="1"/>
  <c r="I763" i="1" s="1"/>
  <c r="H737" i="1"/>
  <c r="H763" i="1" s="1"/>
  <c r="G737" i="1"/>
  <c r="G763" i="1" s="1"/>
  <c r="F737" i="1"/>
  <c r="F763" i="1" s="1"/>
  <c r="E737" i="1"/>
  <c r="E763" i="1" s="1"/>
  <c r="D737" i="1"/>
  <c r="C737" i="1"/>
  <c r="C763" i="1" s="1"/>
  <c r="L735" i="1"/>
  <c r="L762" i="1" s="1"/>
  <c r="K735" i="1"/>
  <c r="K762" i="1" s="1"/>
  <c r="J735" i="1"/>
  <c r="J762" i="1" s="1"/>
  <c r="I735" i="1"/>
  <c r="I762" i="1" s="1"/>
  <c r="H735" i="1"/>
  <c r="H762" i="1" s="1"/>
  <c r="G735" i="1"/>
  <c r="G762" i="1" s="1"/>
  <c r="F735" i="1"/>
  <c r="F762" i="1" s="1"/>
  <c r="E735" i="1"/>
  <c r="E762" i="1" s="1"/>
  <c r="D735" i="1"/>
  <c r="C735" i="1"/>
  <c r="C762" i="1" s="1"/>
  <c r="L703" i="1"/>
  <c r="K703" i="1"/>
  <c r="J703" i="1"/>
  <c r="I703" i="1"/>
  <c r="H703" i="1"/>
  <c r="G703" i="1"/>
  <c r="F703" i="1"/>
  <c r="E703" i="1"/>
  <c r="D703" i="1"/>
  <c r="C703" i="1"/>
  <c r="L701" i="1"/>
  <c r="K701" i="1"/>
  <c r="J701" i="1"/>
  <c r="I701" i="1"/>
  <c r="H701" i="1"/>
  <c r="G701" i="1"/>
  <c r="G702" i="1" s="1"/>
  <c r="F701" i="1"/>
  <c r="F702" i="1" s="1"/>
  <c r="E701" i="1"/>
  <c r="E702" i="1" s="1"/>
  <c r="D701" i="1"/>
  <c r="C701" i="1"/>
  <c r="G698" i="1"/>
  <c r="F698" i="1"/>
  <c r="E698" i="1"/>
  <c r="K696" i="1"/>
  <c r="J696" i="1"/>
  <c r="I696" i="1"/>
  <c r="H696" i="1"/>
  <c r="G696" i="1"/>
  <c r="F696" i="1"/>
  <c r="E696" i="1"/>
  <c r="D696" i="1"/>
  <c r="C696" i="1"/>
  <c r="L665" i="1"/>
  <c r="K665" i="1"/>
  <c r="CF665" i="1" s="1"/>
  <c r="J665" i="1"/>
  <c r="I665" i="1"/>
  <c r="CE665" i="1" s="1"/>
  <c r="H665" i="1"/>
  <c r="L663" i="1"/>
  <c r="K663" i="1"/>
  <c r="CF663" i="1" s="1"/>
  <c r="J663" i="1"/>
  <c r="I663" i="1"/>
  <c r="CE663" i="1" s="1"/>
  <c r="H663" i="1"/>
  <c r="G663" i="1"/>
  <c r="CD663" i="1" s="1"/>
  <c r="F663" i="1"/>
  <c r="E663" i="1"/>
  <c r="CC663" i="1" s="1"/>
  <c r="D663" i="1"/>
  <c r="C663" i="1"/>
  <c r="L661" i="1"/>
  <c r="K661" i="1"/>
  <c r="J661" i="1"/>
  <c r="I661" i="1"/>
  <c r="CE661" i="1" s="1"/>
  <c r="H661" i="1"/>
  <c r="H698" i="1" s="1"/>
  <c r="L633" i="1"/>
  <c r="L636" i="1" s="1"/>
  <c r="K633" i="1"/>
  <c r="K636" i="1" s="1"/>
  <c r="J633" i="1"/>
  <c r="J636" i="1" s="1"/>
  <c r="H633" i="1"/>
  <c r="F633" i="1"/>
  <c r="F636" i="1" s="1"/>
  <c r="D633" i="1"/>
  <c r="D636" i="1" s="1"/>
  <c r="C633" i="1"/>
  <c r="C636" i="1" s="1"/>
  <c r="K627" i="1"/>
  <c r="J627" i="1"/>
  <c r="I627" i="1"/>
  <c r="H627" i="1"/>
  <c r="G627" i="1"/>
  <c r="F627" i="1"/>
  <c r="E627" i="1"/>
  <c r="C627" i="1"/>
  <c r="L626" i="1"/>
  <c r="K626" i="1"/>
  <c r="J626" i="1"/>
  <c r="I626" i="1"/>
  <c r="H626" i="1"/>
  <c r="G626" i="1"/>
  <c r="F626" i="1"/>
  <c r="E626" i="1"/>
  <c r="D626" i="1"/>
  <c r="C626" i="1"/>
  <c r="L625" i="1"/>
  <c r="K625" i="1"/>
  <c r="J625" i="1"/>
  <c r="I625" i="1"/>
  <c r="H625" i="1"/>
  <c r="G625" i="1"/>
  <c r="F625" i="1"/>
  <c r="E625" i="1"/>
  <c r="D625" i="1"/>
  <c r="C625" i="1"/>
  <c r="L621" i="1"/>
  <c r="J621" i="1"/>
  <c r="H621" i="1"/>
  <c r="F621" i="1"/>
  <c r="D621" i="1"/>
  <c r="C621" i="1"/>
  <c r="L603" i="1"/>
  <c r="K603" i="1"/>
  <c r="CF603" i="1" s="1"/>
  <c r="J603" i="1"/>
  <c r="I603" i="1"/>
  <c r="CE603" i="1" s="1"/>
  <c r="H603" i="1"/>
  <c r="G603" i="1"/>
  <c r="CD603" i="1" s="1"/>
  <c r="F603" i="1"/>
  <c r="E603" i="1"/>
  <c r="CC603" i="1" s="1"/>
  <c r="D603" i="1"/>
  <c r="C603" i="1"/>
  <c r="L589" i="1"/>
  <c r="L588" i="1"/>
  <c r="K588" i="1"/>
  <c r="CF588" i="1" s="1"/>
  <c r="J588" i="1"/>
  <c r="I588" i="1"/>
  <c r="CE588" i="1" s="1"/>
  <c r="H588" i="1"/>
  <c r="G588" i="1"/>
  <c r="CD588" i="1" s="1"/>
  <c r="F588" i="1"/>
  <c r="E588" i="1"/>
  <c r="CC588" i="1" s="1"/>
  <c r="D588" i="1"/>
  <c r="C588" i="1"/>
  <c r="L571" i="1"/>
  <c r="L584" i="1" s="1"/>
  <c r="L562" i="1"/>
  <c r="L561" i="1" s="1"/>
  <c r="K555" i="1"/>
  <c r="K562" i="1" s="1"/>
  <c r="K561" i="1" s="1"/>
  <c r="CF561" i="1" s="1"/>
  <c r="J555" i="1"/>
  <c r="J589" i="1" s="1"/>
  <c r="I555" i="1"/>
  <c r="I589" i="1" s="1"/>
  <c r="CE589" i="1" s="1"/>
  <c r="H555" i="1"/>
  <c r="G555" i="1"/>
  <c r="G562" i="1" s="1"/>
  <c r="G561" i="1" s="1"/>
  <c r="CD561" i="1" s="1"/>
  <c r="F555" i="1"/>
  <c r="F589" i="1" s="1"/>
  <c r="E555" i="1"/>
  <c r="E562" i="1" s="1"/>
  <c r="E561" i="1" s="1"/>
  <c r="CC561" i="1" s="1"/>
  <c r="D555" i="1"/>
  <c r="C555" i="1"/>
  <c r="C562" i="1" s="1"/>
  <c r="C561" i="1" s="1"/>
  <c r="L546" i="1"/>
  <c r="J546" i="1"/>
  <c r="K546" i="1" s="1"/>
  <c r="CF546" i="1" s="1"/>
  <c r="L537" i="1"/>
  <c r="L634" i="1" s="1"/>
  <c r="J537" i="1"/>
  <c r="J634" i="1" s="1"/>
  <c r="H537" i="1"/>
  <c r="H634" i="1" s="1"/>
  <c r="F537" i="1"/>
  <c r="G537" i="1" s="1"/>
  <c r="CD537" i="1" s="1"/>
  <c r="D537" i="1"/>
  <c r="E537" i="1" s="1"/>
  <c r="E634" i="1" s="1"/>
  <c r="C537" i="1"/>
  <c r="C634" i="1" s="1"/>
  <c r="I535" i="1"/>
  <c r="I633" i="1" s="1"/>
  <c r="I636" i="1" s="1"/>
  <c r="G535" i="1"/>
  <c r="G633" i="1" s="1"/>
  <c r="E535" i="1"/>
  <c r="E633" i="1" s="1"/>
  <c r="E636" i="1" s="1"/>
  <c r="C533" i="1"/>
  <c r="K526" i="1"/>
  <c r="I526" i="1"/>
  <c r="G526" i="1"/>
  <c r="E526" i="1"/>
  <c r="E621" i="1" s="1"/>
  <c r="L524" i="1"/>
  <c r="D524" i="1"/>
  <c r="D627" i="1" s="1"/>
  <c r="L523" i="1"/>
  <c r="CG523" i="1" s="1"/>
  <c r="L522" i="1"/>
  <c r="J522" i="1"/>
  <c r="J536" i="1" s="1"/>
  <c r="H522" i="1"/>
  <c r="H536" i="1" s="1"/>
  <c r="F522" i="1"/>
  <c r="D522" i="1"/>
  <c r="D536" i="1" s="1"/>
  <c r="D623" i="1" s="1"/>
  <c r="C522" i="1"/>
  <c r="C536" i="1" s="1"/>
  <c r="C623" i="1" s="1"/>
  <c r="L519" i="1"/>
  <c r="K519" i="1"/>
  <c r="J519" i="1"/>
  <c r="I519" i="1"/>
  <c r="H519" i="1"/>
  <c r="G519" i="1"/>
  <c r="F519" i="1"/>
  <c r="E519" i="1"/>
  <c r="D519" i="1"/>
  <c r="C519" i="1"/>
  <c r="L518" i="1"/>
  <c r="K518" i="1"/>
  <c r="J518" i="1"/>
  <c r="I518" i="1"/>
  <c r="H518" i="1"/>
  <c r="G518" i="1"/>
  <c r="F518" i="1"/>
  <c r="E518" i="1"/>
  <c r="D518" i="1"/>
  <c r="C518" i="1"/>
  <c r="L517" i="1"/>
  <c r="K517" i="1"/>
  <c r="J517" i="1"/>
  <c r="I517" i="1"/>
  <c r="H517" i="1"/>
  <c r="G517" i="1"/>
  <c r="F517" i="1"/>
  <c r="E517" i="1"/>
  <c r="D517" i="1"/>
  <c r="C517" i="1"/>
  <c r="L516" i="1"/>
  <c r="K516" i="1"/>
  <c r="J516" i="1"/>
  <c r="I516" i="1"/>
  <c r="H516" i="1"/>
  <c r="G516" i="1"/>
  <c r="F516" i="1"/>
  <c r="E516" i="1"/>
  <c r="D516" i="1"/>
  <c r="C516" i="1"/>
  <c r="L509" i="1"/>
  <c r="J509" i="1"/>
  <c r="K509" i="1" s="1"/>
  <c r="CF509" i="1" s="1"/>
  <c r="H509" i="1"/>
  <c r="F509" i="1"/>
  <c r="G509" i="1" s="1"/>
  <c r="CD509" i="1" s="1"/>
  <c r="D509" i="1"/>
  <c r="C509" i="1"/>
  <c r="L506" i="1"/>
  <c r="L505" i="1" s="1"/>
  <c r="J506" i="1"/>
  <c r="J505" i="1" s="1"/>
  <c r="H506" i="1"/>
  <c r="F506" i="1"/>
  <c r="G506" i="1" s="1"/>
  <c r="D506" i="1"/>
  <c r="E506" i="1" s="1"/>
  <c r="E505" i="1" s="1"/>
  <c r="C506" i="1"/>
  <c r="C505" i="1" s="1"/>
  <c r="C520" i="1" s="1"/>
  <c r="L504" i="1"/>
  <c r="K504" i="1"/>
  <c r="J504" i="1"/>
  <c r="I504" i="1"/>
  <c r="H504" i="1"/>
  <c r="G504" i="1"/>
  <c r="F504" i="1"/>
  <c r="E504" i="1"/>
  <c r="D504" i="1"/>
  <c r="C504" i="1"/>
  <c r="L503" i="1"/>
  <c r="K503" i="1"/>
  <c r="J503" i="1"/>
  <c r="I503" i="1"/>
  <c r="H503" i="1"/>
  <c r="G503" i="1"/>
  <c r="F503" i="1"/>
  <c r="E503" i="1"/>
  <c r="D503" i="1"/>
  <c r="C503" i="1"/>
  <c r="D502" i="1"/>
  <c r="D130" i="1" s="1"/>
  <c r="C502" i="1"/>
  <c r="C130" i="1" s="1"/>
  <c r="L501" i="1"/>
  <c r="K501" i="1"/>
  <c r="J501" i="1"/>
  <c r="I501" i="1"/>
  <c r="H501" i="1"/>
  <c r="G501" i="1"/>
  <c r="F501" i="1"/>
  <c r="E501" i="1"/>
  <c r="D501" i="1"/>
  <c r="C501" i="1"/>
  <c r="K499" i="1"/>
  <c r="K522" i="1" s="1"/>
  <c r="K536" i="1" s="1"/>
  <c r="K623" i="1" s="1"/>
  <c r="I499" i="1"/>
  <c r="I522" i="1" s="1"/>
  <c r="G499" i="1"/>
  <c r="E499" i="1"/>
  <c r="E522" i="1" s="1"/>
  <c r="E536" i="1" s="1"/>
  <c r="K497" i="1"/>
  <c r="CF497" i="1" s="1"/>
  <c r="G497" i="1"/>
  <c r="CD497" i="1" s="1"/>
  <c r="E497" i="1"/>
  <c r="CC497" i="1" s="1"/>
  <c r="L480" i="1"/>
  <c r="K480" i="1"/>
  <c r="CF480" i="1" s="1"/>
  <c r="I480" i="1"/>
  <c r="CE480" i="1" s="1"/>
  <c r="G480" i="1"/>
  <c r="CD480" i="1" s="1"/>
  <c r="E480" i="1"/>
  <c r="CC480" i="1" s="1"/>
  <c r="J479" i="1"/>
  <c r="H479" i="1"/>
  <c r="F479" i="1"/>
  <c r="D479" i="1"/>
  <c r="C479" i="1"/>
  <c r="L478" i="1"/>
  <c r="K478" i="1"/>
  <c r="CF478" i="1" s="1"/>
  <c r="I478" i="1"/>
  <c r="G478" i="1"/>
  <c r="CD478" i="1" s="1"/>
  <c r="E478" i="1"/>
  <c r="CC478" i="1" s="1"/>
  <c r="L475" i="1"/>
  <c r="K475" i="1"/>
  <c r="J475" i="1"/>
  <c r="I475" i="1"/>
  <c r="H475" i="1"/>
  <c r="G475" i="1"/>
  <c r="F475" i="1"/>
  <c r="E475" i="1"/>
  <c r="D475" i="1"/>
  <c r="C475" i="1"/>
  <c r="L474" i="1"/>
  <c r="L470" i="1" s="1"/>
  <c r="L713" i="1" s="1"/>
  <c r="K474" i="1"/>
  <c r="K470" i="1" s="1"/>
  <c r="K713" i="1" s="1"/>
  <c r="J474" i="1"/>
  <c r="J470" i="1" s="1"/>
  <c r="J713" i="1" s="1"/>
  <c r="I474" i="1"/>
  <c r="I470" i="1" s="1"/>
  <c r="H474" i="1"/>
  <c r="H470" i="1" s="1"/>
  <c r="G474" i="1"/>
  <c r="F474" i="1"/>
  <c r="F470" i="1" s="1"/>
  <c r="F713" i="1" s="1"/>
  <c r="E474" i="1"/>
  <c r="E470" i="1" s="1"/>
  <c r="D474" i="1"/>
  <c r="D470" i="1" s="1"/>
  <c r="C474" i="1"/>
  <c r="C470" i="1" s="1"/>
  <c r="C713" i="1" s="1"/>
  <c r="L473" i="1"/>
  <c r="K473" i="1"/>
  <c r="J473" i="1"/>
  <c r="I473" i="1"/>
  <c r="H473" i="1"/>
  <c r="G473" i="1"/>
  <c r="F473" i="1"/>
  <c r="E473" i="1"/>
  <c r="D473" i="1"/>
  <c r="C473" i="1"/>
  <c r="L451" i="1"/>
  <c r="K451" i="1"/>
  <c r="G451" i="1"/>
  <c r="CD451" i="1" s="1"/>
  <c r="E451" i="1"/>
  <c r="CC451" i="1" s="1"/>
  <c r="J450" i="1"/>
  <c r="I450" i="1"/>
  <c r="H450" i="1"/>
  <c r="F450" i="1"/>
  <c r="D450" i="1"/>
  <c r="C450" i="1"/>
  <c r="L449" i="1"/>
  <c r="K449" i="1"/>
  <c r="CF449" i="1" s="1"/>
  <c r="G449" i="1"/>
  <c r="CD449" i="1" s="1"/>
  <c r="E449" i="1"/>
  <c r="CC449" i="1" s="1"/>
  <c r="D445" i="1"/>
  <c r="C445" i="1"/>
  <c r="L444" i="1"/>
  <c r="K444" i="1"/>
  <c r="J444" i="1"/>
  <c r="I444" i="1"/>
  <c r="H444" i="1"/>
  <c r="G444" i="1"/>
  <c r="F444" i="1"/>
  <c r="E444" i="1"/>
  <c r="D444" i="1"/>
  <c r="C444" i="1"/>
  <c r="L434" i="1"/>
  <c r="K434" i="1"/>
  <c r="J434" i="1"/>
  <c r="I434" i="1"/>
  <c r="H434" i="1"/>
  <c r="G434" i="1"/>
  <c r="F434" i="1"/>
  <c r="E434" i="1"/>
  <c r="C434" i="1"/>
  <c r="D433" i="1"/>
  <c r="C433" i="1"/>
  <c r="L432" i="1"/>
  <c r="K432" i="1"/>
  <c r="CF432" i="1" s="1"/>
  <c r="I432" i="1"/>
  <c r="CE432" i="1" s="1"/>
  <c r="G432" i="1"/>
  <c r="CD432" i="1" s="1"/>
  <c r="E432" i="1"/>
  <c r="CC432" i="1" s="1"/>
  <c r="C432" i="1"/>
  <c r="L425" i="1"/>
  <c r="L460" i="1" s="1"/>
  <c r="L489" i="1" s="1"/>
  <c r="K425" i="1"/>
  <c r="K460" i="1" s="1"/>
  <c r="K489" i="1" s="1"/>
  <c r="J425" i="1"/>
  <c r="J460" i="1" s="1"/>
  <c r="J489" i="1" s="1"/>
  <c r="I425" i="1"/>
  <c r="I460" i="1" s="1"/>
  <c r="I489" i="1" s="1"/>
  <c r="H425" i="1"/>
  <c r="H460" i="1" s="1"/>
  <c r="H489" i="1" s="1"/>
  <c r="G425" i="1"/>
  <c r="G460" i="1" s="1"/>
  <c r="G489" i="1" s="1"/>
  <c r="F425" i="1"/>
  <c r="F460" i="1" s="1"/>
  <c r="F489" i="1" s="1"/>
  <c r="E425" i="1"/>
  <c r="E460" i="1" s="1"/>
  <c r="E489" i="1" s="1"/>
  <c r="D425" i="1"/>
  <c r="D460" i="1" s="1"/>
  <c r="D489" i="1" s="1"/>
  <c r="C425" i="1"/>
  <c r="C460" i="1" s="1"/>
  <c r="C489" i="1" s="1"/>
  <c r="D424" i="1"/>
  <c r="D459" i="1" s="1"/>
  <c r="D488" i="1" s="1"/>
  <c r="C424" i="1"/>
  <c r="C459" i="1" s="1"/>
  <c r="C488" i="1" s="1"/>
  <c r="L423" i="1"/>
  <c r="L458" i="1" s="1"/>
  <c r="L487" i="1" s="1"/>
  <c r="K423" i="1"/>
  <c r="K458" i="1" s="1"/>
  <c r="K487" i="1" s="1"/>
  <c r="J423" i="1"/>
  <c r="J458" i="1" s="1"/>
  <c r="J487" i="1" s="1"/>
  <c r="I423" i="1"/>
  <c r="I458" i="1" s="1"/>
  <c r="I487" i="1" s="1"/>
  <c r="H423" i="1"/>
  <c r="H458" i="1" s="1"/>
  <c r="H487" i="1" s="1"/>
  <c r="G423" i="1"/>
  <c r="G458" i="1" s="1"/>
  <c r="G487" i="1" s="1"/>
  <c r="F423" i="1"/>
  <c r="F458" i="1" s="1"/>
  <c r="F487" i="1" s="1"/>
  <c r="E423" i="1"/>
  <c r="E458" i="1" s="1"/>
  <c r="E487" i="1" s="1"/>
  <c r="D423" i="1"/>
  <c r="D458" i="1" s="1"/>
  <c r="D487" i="1" s="1"/>
  <c r="C423" i="1"/>
  <c r="C458" i="1" s="1"/>
  <c r="C487" i="1" s="1"/>
  <c r="D422" i="1"/>
  <c r="D457" i="1" s="1"/>
  <c r="C422" i="1"/>
  <c r="C457" i="1" s="1"/>
  <c r="L420" i="1"/>
  <c r="K420" i="1"/>
  <c r="J420" i="1"/>
  <c r="I420" i="1"/>
  <c r="H420" i="1"/>
  <c r="G420" i="1"/>
  <c r="F420" i="1"/>
  <c r="E420" i="1"/>
  <c r="D420" i="1"/>
  <c r="C420" i="1"/>
  <c r="L416" i="1"/>
  <c r="K416" i="1"/>
  <c r="CF416" i="1" s="1"/>
  <c r="G416" i="1"/>
  <c r="CD416" i="1" s="1"/>
  <c r="E416" i="1"/>
  <c r="CC416" i="1" s="1"/>
  <c r="J415" i="1"/>
  <c r="I415" i="1"/>
  <c r="F415" i="1"/>
  <c r="D415" i="1"/>
  <c r="C415" i="1"/>
  <c r="L414" i="1"/>
  <c r="K414" i="1"/>
  <c r="H414" i="1"/>
  <c r="H415" i="1" s="1"/>
  <c r="G414" i="1"/>
  <c r="CD414" i="1" s="1"/>
  <c r="E414" i="1"/>
  <c r="CC414" i="1" s="1"/>
  <c r="L412" i="1"/>
  <c r="L424" i="1" s="1"/>
  <c r="L459" i="1" s="1"/>
  <c r="L488" i="1" s="1"/>
  <c r="K412" i="1"/>
  <c r="K502" i="1" s="1"/>
  <c r="J412" i="1"/>
  <c r="J424" i="1" s="1"/>
  <c r="J459" i="1" s="1"/>
  <c r="J488" i="1" s="1"/>
  <c r="I412" i="1"/>
  <c r="H412" i="1"/>
  <c r="H424" i="1" s="1"/>
  <c r="H459" i="1" s="1"/>
  <c r="H488" i="1" s="1"/>
  <c r="G412" i="1"/>
  <c r="F412" i="1"/>
  <c r="F424" i="1" s="1"/>
  <c r="F459" i="1" s="1"/>
  <c r="F488" i="1" s="1"/>
  <c r="E412" i="1"/>
  <c r="CC412" i="1" s="1"/>
  <c r="L410" i="1"/>
  <c r="K410" i="1"/>
  <c r="K445" i="1" s="1"/>
  <c r="J410" i="1"/>
  <c r="J445" i="1" s="1"/>
  <c r="I410" i="1"/>
  <c r="H410" i="1"/>
  <c r="G410" i="1"/>
  <c r="G422" i="1" s="1"/>
  <c r="G457" i="1" s="1"/>
  <c r="F410" i="1"/>
  <c r="F433" i="1" s="1"/>
  <c r="E410" i="1"/>
  <c r="L409" i="1"/>
  <c r="K409" i="1"/>
  <c r="K421" i="1" s="1"/>
  <c r="J409" i="1"/>
  <c r="I409" i="1"/>
  <c r="I421" i="1" s="1"/>
  <c r="H409" i="1"/>
  <c r="H421" i="1" s="1"/>
  <c r="G409" i="1"/>
  <c r="G421" i="1" s="1"/>
  <c r="F409" i="1"/>
  <c r="E409" i="1"/>
  <c r="E421" i="1" s="1"/>
  <c r="D409" i="1"/>
  <c r="C409" i="1"/>
  <c r="L400" i="1"/>
  <c r="K400" i="1"/>
  <c r="J400" i="1"/>
  <c r="I400" i="1"/>
  <c r="H400" i="1"/>
  <c r="G400" i="1"/>
  <c r="F400" i="1"/>
  <c r="E400" i="1"/>
  <c r="CC400" i="1" s="1"/>
  <c r="L399" i="1"/>
  <c r="K399" i="1"/>
  <c r="J399" i="1"/>
  <c r="I399" i="1"/>
  <c r="H399" i="1"/>
  <c r="G399" i="1"/>
  <c r="F399" i="1"/>
  <c r="E399" i="1"/>
  <c r="CC399" i="1" s="1"/>
  <c r="L398" i="1"/>
  <c r="K398" i="1"/>
  <c r="J398" i="1"/>
  <c r="I398" i="1"/>
  <c r="H398" i="1"/>
  <c r="G398" i="1"/>
  <c r="F398" i="1"/>
  <c r="E398" i="1"/>
  <c r="CC398" i="1" s="1"/>
  <c r="L397" i="1"/>
  <c r="K397" i="1"/>
  <c r="J397" i="1"/>
  <c r="I397" i="1"/>
  <c r="H397" i="1"/>
  <c r="G397" i="1"/>
  <c r="F397" i="1"/>
  <c r="E397" i="1"/>
  <c r="D397" i="1"/>
  <c r="C397" i="1"/>
  <c r="L396" i="1"/>
  <c r="K396" i="1"/>
  <c r="J396" i="1"/>
  <c r="I396" i="1"/>
  <c r="H396" i="1"/>
  <c r="G396" i="1"/>
  <c r="F396" i="1"/>
  <c r="E396" i="1"/>
  <c r="D396" i="1"/>
  <c r="C396" i="1"/>
  <c r="K389" i="1"/>
  <c r="CF389" i="1" s="1"/>
  <c r="G389" i="1"/>
  <c r="CD389" i="1" s="1"/>
  <c r="E389" i="1"/>
  <c r="CC389" i="1" s="1"/>
  <c r="L388" i="1"/>
  <c r="J388" i="1"/>
  <c r="I388" i="1"/>
  <c r="H388" i="1"/>
  <c r="F388" i="1"/>
  <c r="D388" i="1"/>
  <c r="C388" i="1"/>
  <c r="K387" i="1"/>
  <c r="CF387" i="1" s="1"/>
  <c r="G387" i="1"/>
  <c r="G381" i="1" s="1"/>
  <c r="G327" i="1" s="1"/>
  <c r="E387" i="1"/>
  <c r="E381" i="1" s="1"/>
  <c r="L381" i="1"/>
  <c r="L327" i="1" s="1"/>
  <c r="J381" i="1"/>
  <c r="J327" i="1" s="1"/>
  <c r="I381" i="1"/>
  <c r="I327" i="1" s="1"/>
  <c r="H381" i="1"/>
  <c r="F381" i="1"/>
  <c r="D381" i="1"/>
  <c r="D327" i="1" s="1"/>
  <c r="C381" i="1"/>
  <c r="C327" i="1" s="1"/>
  <c r="L318" i="1"/>
  <c r="K318" i="1"/>
  <c r="J318" i="1"/>
  <c r="I318" i="1"/>
  <c r="H318" i="1"/>
  <c r="G318" i="1"/>
  <c r="F318" i="1"/>
  <c r="E318" i="1"/>
  <c r="D318" i="1"/>
  <c r="C318" i="1"/>
  <c r="C267" i="1"/>
  <c r="K262" i="1"/>
  <c r="J262" i="1"/>
  <c r="I262" i="1"/>
  <c r="H262" i="1"/>
  <c r="G262" i="1"/>
  <c r="F262" i="1"/>
  <c r="E262" i="1"/>
  <c r="D262" i="1"/>
  <c r="C262" i="1"/>
  <c r="K258" i="1"/>
  <c r="J258" i="1"/>
  <c r="I258" i="1"/>
  <c r="H258" i="1"/>
  <c r="G258" i="1"/>
  <c r="F258" i="1"/>
  <c r="E258" i="1"/>
  <c r="D258" i="1"/>
  <c r="C258" i="1"/>
  <c r="L252" i="1"/>
  <c r="L254" i="1" s="1"/>
  <c r="K252" i="1"/>
  <c r="K254" i="1" s="1"/>
  <c r="J252" i="1"/>
  <c r="J254" i="1" s="1"/>
  <c r="I252" i="1"/>
  <c r="I254" i="1" s="1"/>
  <c r="H252" i="1"/>
  <c r="H254" i="1" s="1"/>
  <c r="G252" i="1"/>
  <c r="G254" i="1" s="1"/>
  <c r="F252" i="1"/>
  <c r="F254" i="1" s="1"/>
  <c r="E252" i="1"/>
  <c r="E254" i="1" s="1"/>
  <c r="D252" i="1"/>
  <c r="D254" i="1" s="1"/>
  <c r="C252" i="1"/>
  <c r="C254" i="1" s="1"/>
  <c r="L248" i="1"/>
  <c r="L247" i="1"/>
  <c r="K247" i="1"/>
  <c r="K249" i="1" s="1"/>
  <c r="J247" i="1"/>
  <c r="J249" i="1" s="1"/>
  <c r="I247" i="1"/>
  <c r="I249" i="1" s="1"/>
  <c r="H247" i="1"/>
  <c r="H249" i="1" s="1"/>
  <c r="G247" i="1"/>
  <c r="G249" i="1" s="1"/>
  <c r="F247" i="1"/>
  <c r="F249" i="1" s="1"/>
  <c r="E247" i="1"/>
  <c r="E249" i="1" s="1"/>
  <c r="D247" i="1"/>
  <c r="D249" i="1" s="1"/>
  <c r="C247" i="1"/>
  <c r="C249" i="1" s="1"/>
  <c r="L243" i="1"/>
  <c r="L242" i="1"/>
  <c r="K242" i="1"/>
  <c r="K244" i="1" s="1"/>
  <c r="J242" i="1"/>
  <c r="J244" i="1" s="1"/>
  <c r="I242" i="1"/>
  <c r="I244" i="1" s="1"/>
  <c r="H242" i="1"/>
  <c r="H244" i="1" s="1"/>
  <c r="G242" i="1"/>
  <c r="G244" i="1" s="1"/>
  <c r="F242" i="1"/>
  <c r="F244" i="1" s="1"/>
  <c r="E242" i="1"/>
  <c r="E244" i="1" s="1"/>
  <c r="D242" i="1"/>
  <c r="D244" i="1" s="1"/>
  <c r="C242" i="1"/>
  <c r="C244" i="1" s="1"/>
  <c r="L239" i="1"/>
  <c r="L696" i="1" s="1"/>
  <c r="L229" i="1"/>
  <c r="L227" i="1" s="1"/>
  <c r="K229" i="1"/>
  <c r="K227" i="1" s="1"/>
  <c r="J229" i="1"/>
  <c r="J227" i="1" s="1"/>
  <c r="C229" i="1"/>
  <c r="C227" i="1" s="1"/>
  <c r="I227" i="1"/>
  <c r="H227" i="1"/>
  <c r="G227" i="1"/>
  <c r="F227" i="1"/>
  <c r="E227" i="1"/>
  <c r="D227" i="1"/>
  <c r="L224" i="1"/>
  <c r="L222" i="1" s="1"/>
  <c r="C224" i="1"/>
  <c r="C222" i="1" s="1"/>
  <c r="K222" i="1"/>
  <c r="J222" i="1"/>
  <c r="I222" i="1"/>
  <c r="H222" i="1"/>
  <c r="G222" i="1"/>
  <c r="F222" i="1"/>
  <c r="E222" i="1"/>
  <c r="D222" i="1"/>
  <c r="L219" i="1"/>
  <c r="L215" i="1" s="1"/>
  <c r="K219" i="1"/>
  <c r="K215" i="1" s="1"/>
  <c r="J219" i="1"/>
  <c r="J215" i="1" s="1"/>
  <c r="I219" i="1"/>
  <c r="I234" i="1" s="1"/>
  <c r="I237" i="1" s="1"/>
  <c r="I238" i="1" s="1"/>
  <c r="H219" i="1"/>
  <c r="G219" i="1"/>
  <c r="G215" i="1" s="1"/>
  <c r="F219" i="1"/>
  <c r="F215" i="1" s="1"/>
  <c r="E219" i="1"/>
  <c r="E234" i="1" s="1"/>
  <c r="E237" i="1" s="1"/>
  <c r="E238" i="1" s="1"/>
  <c r="D219" i="1"/>
  <c r="C219" i="1"/>
  <c r="C215" i="1" s="1"/>
  <c r="K212" i="1"/>
  <c r="J212" i="1"/>
  <c r="I212" i="1"/>
  <c r="H212" i="1"/>
  <c r="G212" i="1"/>
  <c r="F212" i="1"/>
  <c r="E212" i="1"/>
  <c r="D212" i="1"/>
  <c r="C212" i="1"/>
  <c r="L210" i="1"/>
  <c r="L209" i="1" s="1"/>
  <c r="M64" i="1" s="1"/>
  <c r="K210" i="1"/>
  <c r="I210" i="1"/>
  <c r="I209" i="1" s="1"/>
  <c r="G210" i="1"/>
  <c r="CD210" i="1" s="1"/>
  <c r="E210" i="1"/>
  <c r="C209" i="1"/>
  <c r="K205" i="1"/>
  <c r="K203" i="1" s="1"/>
  <c r="CF203" i="1" s="1"/>
  <c r="I205" i="1"/>
  <c r="I203" i="1" s="1"/>
  <c r="CE203" i="1" s="1"/>
  <c r="G205" i="1"/>
  <c r="E205" i="1"/>
  <c r="CC205" i="1" s="1"/>
  <c r="C205" i="1"/>
  <c r="C203" i="1" s="1"/>
  <c r="L203" i="1"/>
  <c r="L202" i="1"/>
  <c r="K202" i="1"/>
  <c r="CF202" i="1" s="1"/>
  <c r="I202" i="1"/>
  <c r="CE202" i="1" s="1"/>
  <c r="G202" i="1"/>
  <c r="CD202" i="1" s="1"/>
  <c r="E202" i="1"/>
  <c r="CC202" i="1" s="1"/>
  <c r="C202" i="1"/>
  <c r="L178" i="1"/>
  <c r="L181" i="1" s="1"/>
  <c r="L154" i="1" s="1"/>
  <c r="K178" i="1"/>
  <c r="J178" i="1"/>
  <c r="J181" i="1" s="1"/>
  <c r="J813" i="1" s="1"/>
  <c r="I178" i="1"/>
  <c r="H178" i="1"/>
  <c r="H181" i="1" s="1"/>
  <c r="G178" i="1"/>
  <c r="F178" i="1"/>
  <c r="F181" i="1" s="1"/>
  <c r="E178" i="1"/>
  <c r="E181" i="1" s="1"/>
  <c r="D178" i="1"/>
  <c r="C178" i="1"/>
  <c r="C181" i="1" s="1"/>
  <c r="C154" i="1" s="1"/>
  <c r="L176" i="1"/>
  <c r="L610" i="1" s="1"/>
  <c r="K176" i="1"/>
  <c r="J176" i="1"/>
  <c r="J610" i="1" s="1"/>
  <c r="J611" i="1" s="1"/>
  <c r="I176" i="1"/>
  <c r="H176" i="1"/>
  <c r="H610" i="1" s="1"/>
  <c r="G176" i="1"/>
  <c r="G610" i="1" s="1"/>
  <c r="F176" i="1"/>
  <c r="F610" i="1" s="1"/>
  <c r="F611" i="1" s="1"/>
  <c r="E176" i="1"/>
  <c r="D176" i="1"/>
  <c r="D610" i="1" s="1"/>
  <c r="D611" i="1" s="1"/>
  <c r="C176" i="1"/>
  <c r="C610" i="1" s="1"/>
  <c r="C611" i="1" s="1"/>
  <c r="L171" i="1"/>
  <c r="K171" i="1"/>
  <c r="J171" i="1"/>
  <c r="I171" i="1"/>
  <c r="CE171" i="1" s="1"/>
  <c r="H171" i="1"/>
  <c r="G171" i="1"/>
  <c r="CD171" i="1" s="1"/>
  <c r="F171" i="1"/>
  <c r="E171" i="1"/>
  <c r="CC171" i="1" s="1"/>
  <c r="D171" i="1"/>
  <c r="C171" i="1"/>
  <c r="L165" i="1"/>
  <c r="K165" i="1"/>
  <c r="J165" i="1"/>
  <c r="I165" i="1"/>
  <c r="CE165" i="1" s="1"/>
  <c r="H165" i="1"/>
  <c r="G165" i="1"/>
  <c r="CD165" i="1" s="1"/>
  <c r="F165" i="1"/>
  <c r="E165" i="1"/>
  <c r="D165" i="1"/>
  <c r="C165" i="1"/>
  <c r="L141" i="1"/>
  <c r="K141" i="1"/>
  <c r="J141" i="1"/>
  <c r="I141" i="1"/>
  <c r="H141" i="1"/>
  <c r="G141" i="1"/>
  <c r="F141" i="1"/>
  <c r="E141" i="1"/>
  <c r="D141" i="1"/>
  <c r="C141" i="1"/>
  <c r="L139" i="1"/>
  <c r="L122" i="1"/>
  <c r="K122" i="1"/>
  <c r="J122" i="1"/>
  <c r="I122" i="1"/>
  <c r="H122" i="1"/>
  <c r="G122" i="1"/>
  <c r="F122" i="1"/>
  <c r="E122" i="1"/>
  <c r="D122" i="1"/>
  <c r="C122" i="1"/>
  <c r="F116" i="1"/>
  <c r="E116" i="1"/>
  <c r="D116" i="1"/>
  <c r="C116" i="1"/>
  <c r="L115" i="1"/>
  <c r="K115" i="1"/>
  <c r="J115" i="1"/>
  <c r="I115" i="1"/>
  <c r="H115" i="1"/>
  <c r="G115" i="1"/>
  <c r="F115" i="1"/>
  <c r="E115" i="1"/>
  <c r="D115" i="1"/>
  <c r="C115" i="1"/>
  <c r="E104" i="1"/>
  <c r="D104" i="1"/>
  <c r="C104" i="1"/>
  <c r="C101" i="1" s="1"/>
  <c r="D103" i="1"/>
  <c r="L101" i="1"/>
  <c r="L105" i="1" s="1"/>
  <c r="K101" i="1"/>
  <c r="K105" i="1" s="1"/>
  <c r="J101" i="1"/>
  <c r="J105" i="1" s="1"/>
  <c r="I101" i="1"/>
  <c r="H101" i="1"/>
  <c r="H105" i="1" s="1"/>
  <c r="G101" i="1"/>
  <c r="G105" i="1" s="1"/>
  <c r="F101" i="1"/>
  <c r="F105" i="1" s="1"/>
  <c r="E101" i="1"/>
  <c r="CC101" i="1" s="1"/>
  <c r="D101" i="1"/>
  <c r="C96" i="1"/>
  <c r="L60" i="1"/>
  <c r="L49" i="1" s="1"/>
  <c r="K60" i="1"/>
  <c r="K49" i="1" s="1"/>
  <c r="J60" i="1"/>
  <c r="J49" i="1" s="1"/>
  <c r="I60" i="1"/>
  <c r="I49" i="1" s="1"/>
  <c r="H60" i="1"/>
  <c r="H49" i="1" s="1"/>
  <c r="G60" i="1"/>
  <c r="G49" i="1" s="1"/>
  <c r="F60" i="1"/>
  <c r="F49" i="1" s="1"/>
  <c r="E60" i="1"/>
  <c r="E49" i="1" s="1"/>
  <c r="D60" i="1"/>
  <c r="D49" i="1" s="1"/>
  <c r="C60" i="1"/>
  <c r="C49" i="1" s="1"/>
  <c r="L59" i="1"/>
  <c r="L48" i="1" s="1"/>
  <c r="K59" i="1"/>
  <c r="K48" i="1" s="1"/>
  <c r="J59" i="1"/>
  <c r="J48" i="1" s="1"/>
  <c r="I59" i="1"/>
  <c r="I48" i="1" s="1"/>
  <c r="H59" i="1"/>
  <c r="H48" i="1" s="1"/>
  <c r="G59" i="1"/>
  <c r="G48" i="1" s="1"/>
  <c r="F59" i="1"/>
  <c r="F48" i="1" s="1"/>
  <c r="E59" i="1"/>
  <c r="E48" i="1" s="1"/>
  <c r="D59" i="1"/>
  <c r="D48" i="1" s="1"/>
  <c r="C59" i="1"/>
  <c r="C48" i="1" s="1"/>
  <c r="L57" i="1"/>
  <c r="K57" i="1"/>
  <c r="J57" i="1"/>
  <c r="I57" i="1"/>
  <c r="H57" i="1"/>
  <c r="G57" i="1"/>
  <c r="F57" i="1"/>
  <c r="E57" i="1"/>
  <c r="D57" i="1"/>
  <c r="C57" i="1"/>
  <c r="L56" i="1"/>
  <c r="K56" i="1"/>
  <c r="J56" i="1"/>
  <c r="I56" i="1"/>
  <c r="H56" i="1"/>
  <c r="G56" i="1"/>
  <c r="F56" i="1"/>
  <c r="E56" i="1"/>
  <c r="D56" i="1"/>
  <c r="C56" i="1"/>
  <c r="L52" i="1"/>
  <c r="K52" i="1"/>
  <c r="J52" i="1"/>
  <c r="I52" i="1"/>
  <c r="H52" i="1"/>
  <c r="G52" i="1"/>
  <c r="F52" i="1"/>
  <c r="E52" i="1"/>
  <c r="D52" i="1"/>
  <c r="C52" i="1"/>
  <c r="C3" i="1"/>
  <c r="C2" i="1"/>
  <c r="D725" i="1" s="1"/>
  <c r="D1" i="1"/>
  <c r="BZ141" i="1"/>
  <c r="BS737" i="1"/>
  <c r="BS763" i="1" s="1"/>
  <c r="BS735" i="1"/>
  <c r="BS762" i="1" s="1"/>
  <c r="BW737" i="1"/>
  <c r="BW763" i="1" s="1"/>
  <c r="BW735" i="1"/>
  <c r="BW762" i="1" s="1"/>
  <c r="BY735" i="1"/>
  <c r="BY762" i="1" s="1"/>
  <c r="CA737" i="1"/>
  <c r="CA763" i="1" s="1"/>
  <c r="CA735" i="1"/>
  <c r="CA762" i="1" s="1"/>
  <c r="AB469" i="1"/>
  <c r="AB467" i="1"/>
  <c r="Z537" i="1"/>
  <c r="AA537" i="1"/>
  <c r="AA634" i="1" s="1"/>
  <c r="AB537" i="1"/>
  <c r="CS138" i="1"/>
  <c r="O70" i="7"/>
  <c r="CX736" i="1"/>
  <c r="CX528" i="1"/>
  <c r="CX524" i="1"/>
  <c r="CX523" i="1"/>
  <c r="CX508" i="1"/>
  <c r="CX505" i="1"/>
  <c r="CX492" i="1"/>
  <c r="CX479" i="1"/>
  <c r="CX477" i="1"/>
  <c r="CX476" i="1"/>
  <c r="CX448" i="1"/>
  <c r="CX447" i="1"/>
  <c r="CX446" i="1"/>
  <c r="CX435" i="1"/>
  <c r="CX413" i="1"/>
  <c r="CX411" i="1"/>
  <c r="CX410" i="1"/>
  <c r="CX407" i="1"/>
  <c r="AT16" i="31" s="1"/>
  <c r="CX386" i="1"/>
  <c r="CX385" i="1"/>
  <c r="CX384" i="1"/>
  <c r="CX383" i="1"/>
  <c r="CX382" i="1"/>
  <c r="CX420" i="1" s="1"/>
  <c r="CX149" i="1"/>
  <c r="CX105" i="1"/>
  <c r="CX104" i="1"/>
  <c r="CW736" i="1"/>
  <c r="CW528" i="1"/>
  <c r="CW524" i="1"/>
  <c r="CW523" i="1"/>
  <c r="CW508" i="1"/>
  <c r="CW505" i="1"/>
  <c r="CW492" i="1"/>
  <c r="CW479" i="1"/>
  <c r="CW477" i="1"/>
  <c r="CW476" i="1"/>
  <c r="CW448" i="1"/>
  <c r="CW447" i="1"/>
  <c r="CW446" i="1"/>
  <c r="CW442" i="1"/>
  <c r="AS27" i="31" s="1"/>
  <c r="CW435" i="1"/>
  <c r="CW413" i="1"/>
  <c r="CW411" i="1"/>
  <c r="CW410" i="1"/>
  <c r="CW407" i="1"/>
  <c r="AS16" i="31" s="1"/>
  <c r="CW386" i="1"/>
  <c r="CW385" i="1"/>
  <c r="CW384" i="1"/>
  <c r="CW383" i="1"/>
  <c r="CW382" i="1"/>
  <c r="CW420" i="1" s="1"/>
  <c r="CW149" i="1"/>
  <c r="CW105" i="1"/>
  <c r="CW104" i="1"/>
  <c r="CV736" i="1"/>
  <c r="CV528" i="1"/>
  <c r="CV524" i="1"/>
  <c r="CV523" i="1"/>
  <c r="CV508" i="1"/>
  <c r="CV505" i="1"/>
  <c r="CV492" i="1"/>
  <c r="CV479" i="1"/>
  <c r="CV477" i="1"/>
  <c r="CV476" i="1"/>
  <c r="CV448" i="1"/>
  <c r="CV447" i="1"/>
  <c r="CV446" i="1"/>
  <c r="CV442" i="1"/>
  <c r="AR27" i="31" s="1"/>
  <c r="CV435" i="1"/>
  <c r="CV413" i="1"/>
  <c r="CV411" i="1"/>
  <c r="CV410" i="1"/>
  <c r="CV407" i="1"/>
  <c r="AR16" i="31" s="1"/>
  <c r="CV386" i="1"/>
  <c r="CV385" i="1"/>
  <c r="CV384" i="1"/>
  <c r="CV383" i="1"/>
  <c r="CV382" i="1"/>
  <c r="CV420" i="1" s="1"/>
  <c r="CV149" i="1"/>
  <c r="CV105" i="1"/>
  <c r="CV104" i="1"/>
  <c r="CU736" i="1"/>
  <c r="CU528" i="1"/>
  <c r="CU524" i="1"/>
  <c r="CU523" i="1"/>
  <c r="CU508" i="1"/>
  <c r="CU505" i="1"/>
  <c r="CU492" i="1"/>
  <c r="CU479" i="1"/>
  <c r="CU477" i="1"/>
  <c r="CU476" i="1"/>
  <c r="CU448" i="1"/>
  <c r="CU447" i="1"/>
  <c r="CU446" i="1"/>
  <c r="CU442" i="1"/>
  <c r="AQ27" i="31" s="1"/>
  <c r="CU435" i="1"/>
  <c r="CU413" i="1"/>
  <c r="CU411" i="1"/>
  <c r="CU410" i="1"/>
  <c r="CU407" i="1"/>
  <c r="AQ16" i="31" s="1"/>
  <c r="CU386" i="1"/>
  <c r="CU385" i="1"/>
  <c r="CU384" i="1"/>
  <c r="CU383" i="1"/>
  <c r="CU382" i="1"/>
  <c r="CU420" i="1" s="1"/>
  <c r="CU149" i="1"/>
  <c r="CU105" i="1"/>
  <c r="CU104" i="1"/>
  <c r="CT736" i="1"/>
  <c r="CT528" i="1"/>
  <c r="CT524" i="1"/>
  <c r="CT523" i="1"/>
  <c r="CT508" i="1"/>
  <c r="CT505" i="1"/>
  <c r="CT492" i="1"/>
  <c r="CT479" i="1"/>
  <c r="CT477" i="1"/>
  <c r="CT476" i="1"/>
  <c r="CT448" i="1"/>
  <c r="CT447" i="1"/>
  <c r="CT446" i="1"/>
  <c r="CT442" i="1"/>
  <c r="AP27" i="31" s="1"/>
  <c r="CT435" i="1"/>
  <c r="CT413" i="1"/>
  <c r="CT411" i="1"/>
  <c r="CT410" i="1"/>
  <c r="CT407" i="1"/>
  <c r="AP16" i="31" s="1"/>
  <c r="CT386" i="1"/>
  <c r="CT385" i="1"/>
  <c r="CT384" i="1"/>
  <c r="CT383" i="1"/>
  <c r="CT382" i="1"/>
  <c r="CT420" i="1" s="1"/>
  <c r="CT149" i="1"/>
  <c r="CT105" i="1"/>
  <c r="CT104" i="1"/>
  <c r="CT35" i="1"/>
  <c r="CT34" i="1"/>
  <c r="AL486" i="1"/>
  <c r="AL456" i="1"/>
  <c r="AL485" i="1" s="1"/>
  <c r="CU34" i="1"/>
  <c r="CU35" i="1"/>
  <c r="CV34" i="1"/>
  <c r="CV35" i="1"/>
  <c r="AB115" i="1"/>
  <c r="AB52" i="1"/>
  <c r="AB141" i="1"/>
  <c r="AB711" i="1"/>
  <c r="AB704" i="1"/>
  <c r="AB701" i="1"/>
  <c r="AB681" i="1"/>
  <c r="AB680" i="1"/>
  <c r="AB671" i="1"/>
  <c r="AB668" i="1"/>
  <c r="AB665" i="1"/>
  <c r="AB677" i="1" s="1"/>
  <c r="AB663" i="1"/>
  <c r="AB661" i="1"/>
  <c r="AB610" i="1"/>
  <c r="AB611" i="1" s="1"/>
  <c r="AB612" i="1" s="1"/>
  <c r="AB116" i="1" s="1"/>
  <c r="AB601" i="1"/>
  <c r="AB571" i="1"/>
  <c r="AB584" i="1" s="1"/>
  <c r="AB546" i="1"/>
  <c r="AA546" i="1"/>
  <c r="AB506" i="1"/>
  <c r="AB474" i="1"/>
  <c r="AB473" i="1"/>
  <c r="AB470" i="1"/>
  <c r="AB713" i="1" s="1"/>
  <c r="AB479" i="1"/>
  <c r="AB450" i="1"/>
  <c r="AA433" i="1"/>
  <c r="Z433" i="1"/>
  <c r="AB425" i="1"/>
  <c r="AB460" i="1" s="1"/>
  <c r="AB489" i="1" s="1"/>
  <c r="AB423" i="1"/>
  <c r="AB458" i="1" s="1"/>
  <c r="AB487" i="1" s="1"/>
  <c r="AB422" i="1"/>
  <c r="AB457" i="1" s="1"/>
  <c r="AB420" i="1"/>
  <c r="AB415" i="1"/>
  <c r="AA400" i="1"/>
  <c r="AA398" i="1" s="1"/>
  <c r="Z400" i="1"/>
  <c r="Z398" i="1" s="1"/>
  <c r="Z399" i="1" s="1"/>
  <c r="AB252" i="1"/>
  <c r="AB254" i="1" s="1"/>
  <c r="AB247" i="1"/>
  <c r="AB249" i="1" s="1"/>
  <c r="AB242" i="1"/>
  <c r="AB244" i="1" s="1"/>
  <c r="AB227" i="1"/>
  <c r="AB216" i="1"/>
  <c r="AB215" i="1"/>
  <c r="AB222" i="1"/>
  <c r="AB209" i="1"/>
  <c r="AB208" i="1" s="1"/>
  <c r="AB152" i="1" s="1"/>
  <c r="AB205" i="1"/>
  <c r="AB199" i="1" s="1"/>
  <c r="AA205" i="1"/>
  <c r="AA199" i="1" s="1"/>
  <c r="CN199" i="1" s="1"/>
  <c r="AB203" i="1"/>
  <c r="AA203" i="1"/>
  <c r="CN203" i="1" s="1"/>
  <c r="AB202" i="1"/>
  <c r="AB171" i="1"/>
  <c r="AB165" i="1"/>
  <c r="AA704" i="1"/>
  <c r="Z704" i="1"/>
  <c r="Z671" i="1"/>
  <c r="AA671" i="1"/>
  <c r="CN671" i="1" s="1"/>
  <c r="Z668" i="1"/>
  <c r="AA668" i="1"/>
  <c r="CN668" i="1" s="1"/>
  <c r="AA663" i="1"/>
  <c r="CN663" i="1" s="1"/>
  <c r="Z663" i="1"/>
  <c r="AA506" i="1"/>
  <c r="Z506" i="1"/>
  <c r="AA509" i="1"/>
  <c r="Z509" i="1"/>
  <c r="Z242" i="1"/>
  <c r="Z244" i="1" s="1"/>
  <c r="AA242" i="1"/>
  <c r="AA244" i="1" s="1"/>
  <c r="AA252" i="1"/>
  <c r="Z252" i="1"/>
  <c r="Z254" i="1" s="1"/>
  <c r="CS736" i="1"/>
  <c r="CR736" i="1"/>
  <c r="CQ736" i="1"/>
  <c r="CP736" i="1"/>
  <c r="CO736" i="1"/>
  <c r="CN736" i="1"/>
  <c r="CM736" i="1"/>
  <c r="CL736" i="1"/>
  <c r="CK736" i="1"/>
  <c r="CJ736" i="1"/>
  <c r="CI736" i="1"/>
  <c r="CH736" i="1"/>
  <c r="CG736" i="1"/>
  <c r="CF736" i="1"/>
  <c r="CE736" i="1"/>
  <c r="CD736" i="1"/>
  <c r="CC736" i="1"/>
  <c r="AA143" i="1"/>
  <c r="AB143" i="1" s="1"/>
  <c r="AA470" i="1"/>
  <c r="AA713" i="1" s="1"/>
  <c r="AA469" i="1"/>
  <c r="AA467" i="1"/>
  <c r="Z141" i="1"/>
  <c r="AA141" i="1"/>
  <c r="AA115" i="1"/>
  <c r="AA60" i="1"/>
  <c r="AA49" i="1" s="1"/>
  <c r="AA59" i="1"/>
  <c r="AA48" i="1" s="1"/>
  <c r="AA57" i="1"/>
  <c r="AA56" i="1"/>
  <c r="AA52" i="1"/>
  <c r="CM262" i="1"/>
  <c r="CN262" i="1"/>
  <c r="CM258" i="1"/>
  <c r="CN258" i="1"/>
  <c r="CN252" i="1"/>
  <c r="CN254" i="1" s="1"/>
  <c r="CN247" i="1"/>
  <c r="CN249" i="1" s="1"/>
  <c r="CN234" i="1"/>
  <c r="CN237" i="1" s="1"/>
  <c r="CN238" i="1" s="1"/>
  <c r="Z711" i="1"/>
  <c r="AA711" i="1"/>
  <c r="Z701" i="1"/>
  <c r="AA701" i="1"/>
  <c r="Y665" i="1"/>
  <c r="Y677" i="1" s="1"/>
  <c r="CM677" i="1" s="1"/>
  <c r="Z665" i="1"/>
  <c r="Z677" i="1" s="1"/>
  <c r="AA681" i="1"/>
  <c r="CN681" i="1" s="1"/>
  <c r="AA680" i="1"/>
  <c r="CN680" i="1" s="1"/>
  <c r="Z680" i="1"/>
  <c r="AA661" i="1"/>
  <c r="CN661" i="1" s="1"/>
  <c r="Z661" i="1"/>
  <c r="AA610" i="1"/>
  <c r="AA601" i="1"/>
  <c r="CN601" i="1" s="1"/>
  <c r="AA571" i="1"/>
  <c r="CN571" i="1" s="1"/>
  <c r="Z561" i="1"/>
  <c r="AA561" i="1"/>
  <c r="AA524" i="1"/>
  <c r="AA523" i="1" s="1"/>
  <c r="Z524" i="1"/>
  <c r="Z523" i="1" s="1"/>
  <c r="Z479" i="1"/>
  <c r="AA479" i="1"/>
  <c r="Z450" i="1"/>
  <c r="AA450" i="1"/>
  <c r="Z415" i="1"/>
  <c r="AA415" i="1"/>
  <c r="Z388" i="1"/>
  <c r="Z381" i="1"/>
  <c r="Z327" i="1" s="1"/>
  <c r="Z318" i="1"/>
  <c r="AA318" i="1"/>
  <c r="AA253" i="1"/>
  <c r="AA258" i="1" s="1"/>
  <c r="AA247" i="1"/>
  <c r="AA249" i="1" s="1"/>
  <c r="AA209" i="1"/>
  <c r="AA208" i="1" s="1"/>
  <c r="Z209" i="1"/>
  <c r="Z208" i="1" s="1"/>
  <c r="AA202" i="1"/>
  <c r="CN202" i="1" s="1"/>
  <c r="Z202" i="1"/>
  <c r="Z171" i="1"/>
  <c r="AA171" i="1"/>
  <c r="CN171" i="1" s="1"/>
  <c r="Z165" i="1"/>
  <c r="AA165" i="1"/>
  <c r="CN165" i="1" s="1"/>
  <c r="AA160" i="1"/>
  <c r="CS528" i="1"/>
  <c r="CS524" i="1"/>
  <c r="CS523" i="1"/>
  <c r="CS508" i="1"/>
  <c r="CS505" i="1"/>
  <c r="CS492" i="1"/>
  <c r="CS479" i="1"/>
  <c r="CS477" i="1"/>
  <c r="CS476" i="1"/>
  <c r="CS448" i="1"/>
  <c r="CS447" i="1"/>
  <c r="CS446" i="1"/>
  <c r="CS442" i="1"/>
  <c r="AO27" i="31" s="1"/>
  <c r="CS435" i="1"/>
  <c r="CS413" i="1"/>
  <c r="CS411" i="1"/>
  <c r="CS410" i="1"/>
  <c r="CS407" i="1"/>
  <c r="AO16" i="31" s="1"/>
  <c r="CS388" i="1"/>
  <c r="CS386" i="1"/>
  <c r="CS385" i="1"/>
  <c r="CS384" i="1"/>
  <c r="CS383" i="1"/>
  <c r="CS382" i="1"/>
  <c r="CS420" i="1" s="1"/>
  <c r="CS105" i="1"/>
  <c r="CS104" i="1"/>
  <c r="CS35" i="1"/>
  <c r="CS34" i="1"/>
  <c r="CS149" i="1"/>
  <c r="AA1" i="1"/>
  <c r="AA3" i="1" s="1"/>
  <c r="O72" i="7"/>
  <c r="A14" i="16"/>
  <c r="T545" i="1"/>
  <c r="U545" i="1"/>
  <c r="V545" i="1"/>
  <c r="W545" i="1"/>
  <c r="O394" i="1"/>
  <c r="F3" i="13"/>
  <c r="F2" i="13"/>
  <c r="Y388" i="1"/>
  <c r="X388" i="1"/>
  <c r="Z469" i="1"/>
  <c r="Z467" i="1"/>
  <c r="CM593" i="1"/>
  <c r="CL593" i="1"/>
  <c r="CK593" i="1"/>
  <c r="CJ593" i="1"/>
  <c r="CI593" i="1"/>
  <c r="CH593" i="1"/>
  <c r="CG593" i="1"/>
  <c r="CF593" i="1"/>
  <c r="CE593" i="1"/>
  <c r="CD593" i="1"/>
  <c r="CC593" i="1"/>
  <c r="CM592" i="1"/>
  <c r="CL592" i="1"/>
  <c r="CK592" i="1"/>
  <c r="CJ592" i="1"/>
  <c r="CI592" i="1"/>
  <c r="CH592" i="1"/>
  <c r="CG592" i="1"/>
  <c r="CF592" i="1"/>
  <c r="CE592" i="1"/>
  <c r="CD592" i="1"/>
  <c r="CC592" i="1"/>
  <c r="CM591" i="1"/>
  <c r="CL591" i="1"/>
  <c r="CK591" i="1"/>
  <c r="CJ591" i="1"/>
  <c r="CI591" i="1"/>
  <c r="CH591" i="1"/>
  <c r="CG591" i="1"/>
  <c r="CF591" i="1"/>
  <c r="CE591" i="1"/>
  <c r="CD591" i="1"/>
  <c r="CC591" i="1"/>
  <c r="Y433" i="1"/>
  <c r="X433" i="1"/>
  <c r="Y400" i="1"/>
  <c r="Y398" i="1" s="1"/>
  <c r="Y399" i="1" s="1"/>
  <c r="X400" i="1"/>
  <c r="X398" i="1" s="1"/>
  <c r="X399" i="1" s="1"/>
  <c r="Z151" i="1"/>
  <c r="AA625" i="1" s="1"/>
  <c r="Y141" i="1"/>
  <c r="Z115" i="1"/>
  <c r="Z52" i="1"/>
  <c r="Z56" i="1"/>
  <c r="Z57" i="1"/>
  <c r="Z59" i="1"/>
  <c r="Z48" i="1" s="1"/>
  <c r="Z60" i="1"/>
  <c r="Z49" i="1" s="1"/>
  <c r="Y589" i="1"/>
  <c r="CM589" i="1" s="1"/>
  <c r="Z565" i="1"/>
  <c r="Z589" i="1" s="1"/>
  <c r="AB554" i="1"/>
  <c r="AC554" i="1" s="1"/>
  <c r="AB553" i="1"/>
  <c r="AC553" i="1" s="1"/>
  <c r="CO553" i="1" s="1"/>
  <c r="Y696" i="1"/>
  <c r="Z696" i="1"/>
  <c r="AA696" i="1" s="1"/>
  <c r="AB696" i="1" s="1"/>
  <c r="AC696" i="1" s="1"/>
  <c r="AD696" i="1" s="1"/>
  <c r="Y701" i="1"/>
  <c r="X678" i="1"/>
  <c r="Y678" i="1"/>
  <c r="CM678" i="1" s="1"/>
  <c r="Z678" i="1"/>
  <c r="Z681" i="1"/>
  <c r="Y663" i="1"/>
  <c r="CM663" i="1" s="1"/>
  <c r="Y661" i="1"/>
  <c r="Z610" i="1"/>
  <c r="Z611" i="1" s="1"/>
  <c r="Z612" i="1" s="1"/>
  <c r="Z820" i="1" s="1"/>
  <c r="Z603" i="1"/>
  <c r="Z571" i="1"/>
  <c r="Z584" i="1" s="1"/>
  <c r="Y561" i="1"/>
  <c r="CM561" i="1" s="1"/>
  <c r="Z546" i="1"/>
  <c r="Y537" i="1"/>
  <c r="Y634" i="1" s="1"/>
  <c r="Y524" i="1"/>
  <c r="Y479" i="1"/>
  <c r="Z470" i="1"/>
  <c r="Z713" i="1" s="1"/>
  <c r="Y450" i="1"/>
  <c r="Y415" i="1"/>
  <c r="Y381" i="1"/>
  <c r="Z247" i="1"/>
  <c r="Z249" i="1" s="1"/>
  <c r="Y209" i="1"/>
  <c r="Y208" i="1" s="1"/>
  <c r="Z203" i="1"/>
  <c r="Y171" i="1"/>
  <c r="CM171" i="1" s="1"/>
  <c r="Y165" i="1"/>
  <c r="CM165" i="1" s="1"/>
  <c r="Z160" i="1"/>
  <c r="X160" i="1"/>
  <c r="X159" i="1" s="1"/>
  <c r="Y506" i="1"/>
  <c r="Y505" i="1" s="1"/>
  <c r="Y520" i="1" s="1"/>
  <c r="CG252" i="1"/>
  <c r="CG254" i="1" s="1"/>
  <c r="CG247" i="1"/>
  <c r="CG249" i="1" s="1"/>
  <c r="CG242" i="1"/>
  <c r="CG229" i="1"/>
  <c r="CG219" i="1"/>
  <c r="CH252" i="1"/>
  <c r="CH254" i="1" s="1"/>
  <c r="CH247" i="1"/>
  <c r="CH249" i="1" s="1"/>
  <c r="CH242" i="1"/>
  <c r="CH244" i="1" s="1"/>
  <c r="CH229" i="1"/>
  <c r="CH219" i="1"/>
  <c r="CI252" i="1"/>
  <c r="CI254" i="1" s="1"/>
  <c r="CI247" i="1"/>
  <c r="CI249" i="1" s="1"/>
  <c r="CI242" i="1"/>
  <c r="CI244" i="1" s="1"/>
  <c r="CI229" i="1"/>
  <c r="CI219" i="1"/>
  <c r="CJ252" i="1"/>
  <c r="CJ254" i="1" s="1"/>
  <c r="CJ247" i="1"/>
  <c r="CJ249" i="1" s="1"/>
  <c r="CJ242" i="1"/>
  <c r="CJ244" i="1" s="1"/>
  <c r="CJ229" i="1"/>
  <c r="CJ219" i="1"/>
  <c r="CK262" i="1"/>
  <c r="CK242" i="1"/>
  <c r="CK244" i="1" s="1"/>
  <c r="CK247" i="1"/>
  <c r="CK249" i="1" s="1"/>
  <c r="CK252" i="1"/>
  <c r="CK254" i="1" s="1"/>
  <c r="CL262" i="1"/>
  <c r="CJ262" i="1"/>
  <c r="CI262" i="1"/>
  <c r="CH262" i="1"/>
  <c r="CG262" i="1"/>
  <c r="CL258" i="1"/>
  <c r="CK258" i="1"/>
  <c r="CJ258" i="1"/>
  <c r="CI258" i="1"/>
  <c r="CH258" i="1"/>
  <c r="CG258" i="1"/>
  <c r="CM252" i="1"/>
  <c r="CM254" i="1" s="1"/>
  <c r="CL252" i="1"/>
  <c r="CL254" i="1" s="1"/>
  <c r="CL247" i="1"/>
  <c r="CL249" i="1" s="1"/>
  <c r="CM247" i="1"/>
  <c r="CM249" i="1" s="1"/>
  <c r="CL242" i="1"/>
  <c r="CL244" i="1" s="1"/>
  <c r="CM242" i="1"/>
  <c r="CM244" i="1" s="1"/>
  <c r="CM234" i="1"/>
  <c r="CM237" i="1" s="1"/>
  <c r="CM238" i="1" s="1"/>
  <c r="CL234" i="1"/>
  <c r="CL237" i="1" s="1"/>
  <c r="CL238" i="1" s="1"/>
  <c r="CK234" i="1"/>
  <c r="CK237" i="1" s="1"/>
  <c r="CK238" i="1" s="1"/>
  <c r="P7" i="16"/>
  <c r="Q7" i="16" s="1"/>
  <c r="R7" i="16" s="1"/>
  <c r="S7" i="16" s="1"/>
  <c r="T7" i="16" s="1"/>
  <c r="U7" i="16" s="1"/>
  <c r="V7" i="16" s="1"/>
  <c r="W7" i="16" s="1"/>
  <c r="X7" i="16" s="1"/>
  <c r="Y7" i="16" s="1"/>
  <c r="Z7" i="16" s="1"/>
  <c r="AA7" i="16" s="1"/>
  <c r="P8" i="16"/>
  <c r="Q8" i="16" s="1"/>
  <c r="R8" i="16" s="1"/>
  <c r="S8" i="16" s="1"/>
  <c r="T8" i="16" s="1"/>
  <c r="U8" i="16" s="1"/>
  <c r="V8" i="16" s="1"/>
  <c r="W8" i="16" s="1"/>
  <c r="X8" i="16" s="1"/>
  <c r="Y8" i="16" s="1"/>
  <c r="Z8" i="16" s="1"/>
  <c r="AA8" i="16" s="1"/>
  <c r="P9" i="16"/>
  <c r="Q9" i="16" s="1"/>
  <c r="CM707" i="1"/>
  <c r="CL707" i="1"/>
  <c r="CK707" i="1"/>
  <c r="CJ707" i="1"/>
  <c r="CI707" i="1"/>
  <c r="CH707" i="1"/>
  <c r="CG707" i="1"/>
  <c r="M827" i="1"/>
  <c r="N827" i="1"/>
  <c r="O827" i="1"/>
  <c r="P827" i="1"/>
  <c r="Q827" i="1"/>
  <c r="R827" i="1"/>
  <c r="S827" i="1"/>
  <c r="T827" i="1"/>
  <c r="U827" i="1"/>
  <c r="V827" i="1"/>
  <c r="W827" i="1"/>
  <c r="X827" i="1"/>
  <c r="Y827" i="1"/>
  <c r="M821" i="1"/>
  <c r="N821" i="1"/>
  <c r="O821" i="1"/>
  <c r="P821" i="1"/>
  <c r="Q821" i="1"/>
  <c r="R821" i="1"/>
  <c r="S821" i="1"/>
  <c r="T821" i="1"/>
  <c r="U821" i="1"/>
  <c r="V821" i="1"/>
  <c r="W821" i="1"/>
  <c r="X821" i="1"/>
  <c r="Y821" i="1"/>
  <c r="CC123" i="1"/>
  <c r="CD123" i="1"/>
  <c r="CE123" i="1"/>
  <c r="CF123" i="1"/>
  <c r="CG123" i="1"/>
  <c r="CH123" i="1"/>
  <c r="CI123" i="1"/>
  <c r="CJ123" i="1"/>
  <c r="CK123" i="1"/>
  <c r="CL123" i="1"/>
  <c r="CM123" i="1"/>
  <c r="CO707" i="1"/>
  <c r="CQ707" i="1"/>
  <c r="CN707" i="1"/>
  <c r="CP707" i="1"/>
  <c r="CN123" i="1"/>
  <c r="CS707" i="1"/>
  <c r="CO123" i="1"/>
  <c r="CP123" i="1"/>
  <c r="CT707" i="1"/>
  <c r="CQ123" i="1"/>
  <c r="CU707" i="1"/>
  <c r="CR123" i="1"/>
  <c r="O75" i="7"/>
  <c r="P74" i="7"/>
  <c r="O74" i="7"/>
  <c r="P73" i="7"/>
  <c r="G6" i="7"/>
  <c r="G7" i="7" s="1"/>
  <c r="CV707" i="1"/>
  <c r="CW707" i="1"/>
  <c r="CX707" i="1"/>
  <c r="CY707" i="1"/>
  <c r="O71" i="7"/>
  <c r="M661" i="1"/>
  <c r="CG661" i="1" s="1"/>
  <c r="N661" i="1"/>
  <c r="O661" i="1"/>
  <c r="CH661" i="1" s="1"/>
  <c r="P661" i="1"/>
  <c r="Q661" i="1"/>
  <c r="CI661" i="1" s="1"/>
  <c r="R661" i="1"/>
  <c r="S661" i="1"/>
  <c r="CJ661" i="1" s="1"/>
  <c r="T661" i="1"/>
  <c r="W661" i="1"/>
  <c r="CL661" i="1" s="1"/>
  <c r="X661" i="1"/>
  <c r="M701" i="1"/>
  <c r="R701" i="1"/>
  <c r="Q701" i="1"/>
  <c r="P701" i="1"/>
  <c r="O701" i="1"/>
  <c r="N701" i="1"/>
  <c r="T701" i="1"/>
  <c r="U701" i="1"/>
  <c r="V701" i="1"/>
  <c r="W701" i="1"/>
  <c r="X701" i="1"/>
  <c r="N78" i="7"/>
  <c r="N80" i="7"/>
  <c r="N79" i="7"/>
  <c r="N81" i="7"/>
  <c r="N470" i="1"/>
  <c r="N713" i="1" s="1"/>
  <c r="P470" i="1"/>
  <c r="P713" i="1" s="1"/>
  <c r="Q470" i="1"/>
  <c r="Q713" i="1" s="1"/>
  <c r="S469" i="1"/>
  <c r="R469" i="1"/>
  <c r="T469" i="1"/>
  <c r="U469" i="1" s="1"/>
  <c r="CK469" i="1" s="1"/>
  <c r="S451" i="1"/>
  <c r="S450" i="1" s="1"/>
  <c r="S416" i="1"/>
  <c r="S387" i="1"/>
  <c r="S389" i="1"/>
  <c r="CJ389" i="1" s="1"/>
  <c r="M412" i="1"/>
  <c r="M424" i="1" s="1"/>
  <c r="M459" i="1" s="1"/>
  <c r="M488" i="1" s="1"/>
  <c r="M410" i="1"/>
  <c r="M433" i="1" s="1"/>
  <c r="M400" i="1"/>
  <c r="M399" i="1"/>
  <c r="M398" i="1"/>
  <c r="O412" i="1"/>
  <c r="O502" i="1" s="1"/>
  <c r="N412" i="1"/>
  <c r="N424" i="1" s="1"/>
  <c r="N459" i="1" s="1"/>
  <c r="N488" i="1" s="1"/>
  <c r="O410" i="1"/>
  <c r="O422" i="1" s="1"/>
  <c r="O457" i="1" s="1"/>
  <c r="N410" i="1"/>
  <c r="N433" i="1" s="1"/>
  <c r="O400" i="1"/>
  <c r="N400" i="1"/>
  <c r="O399" i="1"/>
  <c r="N399" i="1"/>
  <c r="O398" i="1"/>
  <c r="N398" i="1"/>
  <c r="O416" i="1"/>
  <c r="Q412" i="1"/>
  <c r="Q502" i="1" s="1"/>
  <c r="P412" i="1"/>
  <c r="Q410" i="1"/>
  <c r="Q433" i="1" s="1"/>
  <c r="P410" i="1"/>
  <c r="Q400" i="1"/>
  <c r="P400" i="1"/>
  <c r="Q399" i="1"/>
  <c r="P399" i="1"/>
  <c r="Q398" i="1"/>
  <c r="P398" i="1"/>
  <c r="M210" i="1"/>
  <c r="N210" i="1"/>
  <c r="O210" i="1"/>
  <c r="CH210" i="1" s="1"/>
  <c r="P210" i="1"/>
  <c r="P208" i="1" s="1"/>
  <c r="Q210" i="1"/>
  <c r="Q208" i="1" s="1"/>
  <c r="R210" i="1"/>
  <c r="R208" i="1" s="1"/>
  <c r="S210" i="1"/>
  <c r="S208" i="1" s="1"/>
  <c r="S410" i="1"/>
  <c r="S433" i="1" s="1"/>
  <c r="S412" i="1"/>
  <c r="S400" i="1"/>
  <c r="S399" i="1"/>
  <c r="S398" i="1"/>
  <c r="R412" i="1"/>
  <c r="R410" i="1"/>
  <c r="R445" i="1" s="1"/>
  <c r="R400" i="1"/>
  <c r="R399" i="1"/>
  <c r="R398" i="1"/>
  <c r="S414" i="1"/>
  <c r="CJ414" i="1" s="1"/>
  <c r="S395" i="1"/>
  <c r="CJ395" i="1" s="1"/>
  <c r="M158" i="1"/>
  <c r="N158" i="1"/>
  <c r="O158" i="1"/>
  <c r="CH158" i="1" s="1"/>
  <c r="Q611" i="1"/>
  <c r="R611" i="1"/>
  <c r="R612" i="1" s="1"/>
  <c r="S611" i="1"/>
  <c r="S612" i="1" s="1"/>
  <c r="S823" i="1" s="1"/>
  <c r="V523" i="1"/>
  <c r="W523" i="1"/>
  <c r="V506" i="1"/>
  <c r="V505" i="1" s="1"/>
  <c r="V520" i="1" s="1"/>
  <c r="W506" i="1"/>
  <c r="W505" i="1" s="1"/>
  <c r="W520" i="1" s="1"/>
  <c r="X477" i="1"/>
  <c r="X519" i="1" s="1"/>
  <c r="V477" i="1"/>
  <c r="W478" i="1"/>
  <c r="W477" i="1" s="1"/>
  <c r="W519" i="1" s="1"/>
  <c r="V449" i="1"/>
  <c r="V450" i="1" s="1"/>
  <c r="W449" i="1"/>
  <c r="W450" i="1" s="1"/>
  <c r="V414" i="1"/>
  <c r="V415" i="1" s="1"/>
  <c r="W414" i="1"/>
  <c r="V387" i="1"/>
  <c r="W387" i="1"/>
  <c r="W381" i="1" s="1"/>
  <c r="W327" i="1" s="1"/>
  <c r="X523" i="1"/>
  <c r="Y523" i="1"/>
  <c r="X506" i="1"/>
  <c r="Y477" i="1"/>
  <c r="Y519" i="1" s="1"/>
  <c r="X448" i="1"/>
  <c r="Y448" i="1"/>
  <c r="Y518" i="1" s="1"/>
  <c r="Y407" i="1"/>
  <c r="CM407" i="1" s="1"/>
  <c r="Y216" i="1"/>
  <c r="X216" i="1"/>
  <c r="W216" i="1"/>
  <c r="V216" i="1"/>
  <c r="U216" i="1"/>
  <c r="T216" i="1"/>
  <c r="Y215" i="1"/>
  <c r="X215" i="1"/>
  <c r="W215" i="1"/>
  <c r="V215" i="1"/>
  <c r="U215" i="1"/>
  <c r="T215" i="1"/>
  <c r="O524" i="1"/>
  <c r="O523" i="1"/>
  <c r="N524" i="1"/>
  <c r="N523" i="1"/>
  <c r="M524" i="1"/>
  <c r="M509" i="1"/>
  <c r="M506" i="1"/>
  <c r="M505" i="1" s="1"/>
  <c r="N506" i="1"/>
  <c r="O506" i="1"/>
  <c r="O505" i="1" s="1"/>
  <c r="O520" i="1" s="1"/>
  <c r="N509" i="1"/>
  <c r="O509" i="1"/>
  <c r="M480" i="1"/>
  <c r="M478" i="1"/>
  <c r="N480" i="1"/>
  <c r="N479" i="1" s="1"/>
  <c r="O480" i="1"/>
  <c r="O479" i="1" s="1"/>
  <c r="M432" i="1"/>
  <c r="N432" i="1"/>
  <c r="O432" i="1"/>
  <c r="N451" i="1"/>
  <c r="O451" i="1"/>
  <c r="N449" i="1"/>
  <c r="O449" i="1"/>
  <c r="M451" i="1"/>
  <c r="M449" i="1"/>
  <c r="M397" i="1"/>
  <c r="M396" i="1"/>
  <c r="M416" i="1"/>
  <c r="M414" i="1"/>
  <c r="P407" i="1"/>
  <c r="CI407" i="1" s="1"/>
  <c r="N396" i="1"/>
  <c r="O396" i="1"/>
  <c r="N397" i="1"/>
  <c r="O397" i="1"/>
  <c r="O387" i="1"/>
  <c r="O381" i="1" s="1"/>
  <c r="M252" i="1"/>
  <c r="M254" i="1" s="1"/>
  <c r="M248" i="1"/>
  <c r="M247" i="1"/>
  <c r="M243" i="1"/>
  <c r="M242" i="1"/>
  <c r="M239" i="1"/>
  <c r="M212" i="1" s="1"/>
  <c r="M229" i="1"/>
  <c r="M227" i="1" s="1"/>
  <c r="M224" i="1"/>
  <c r="M222" i="1" s="1"/>
  <c r="M219" i="1"/>
  <c r="M215" i="1" s="1"/>
  <c r="N247" i="1"/>
  <c r="N252" i="1"/>
  <c r="N254" i="1" s="1"/>
  <c r="O252" i="1"/>
  <c r="O254" i="1" s="1"/>
  <c r="N248" i="1"/>
  <c r="O248" i="1"/>
  <c r="O258" i="1" s="1"/>
  <c r="O247" i="1"/>
  <c r="N243" i="1"/>
  <c r="N242" i="1"/>
  <c r="O242" i="1"/>
  <c r="O244" i="1" s="1"/>
  <c r="N239" i="1"/>
  <c r="N212" i="1" s="1"/>
  <c r="O239" i="1"/>
  <c r="O212" i="1" s="1"/>
  <c r="N229" i="1"/>
  <c r="O229" i="1"/>
  <c r="O227" i="1" s="1"/>
  <c r="N219" i="1"/>
  <c r="N215" i="1" s="1"/>
  <c r="O219" i="1"/>
  <c r="O215" i="1" s="1"/>
  <c r="O160" i="1"/>
  <c r="CH160" i="1" s="1"/>
  <c r="N160" i="1"/>
  <c r="M160" i="1"/>
  <c r="P158" i="1"/>
  <c r="M203" i="1"/>
  <c r="CG203" i="1" s="1"/>
  <c r="M202" i="1"/>
  <c r="N203" i="1"/>
  <c r="N202" i="1"/>
  <c r="O203" i="1"/>
  <c r="CH203" i="1" s="1"/>
  <c r="O202" i="1"/>
  <c r="M101" i="1"/>
  <c r="N101" i="1"/>
  <c r="N105" i="1" s="1"/>
  <c r="O101" i="1"/>
  <c r="CH101" i="1" s="1"/>
  <c r="P101" i="1"/>
  <c r="CI101" i="1" s="1"/>
  <c r="M546" i="1"/>
  <c r="M537" i="1"/>
  <c r="M634" i="1" s="1"/>
  <c r="N546" i="1"/>
  <c r="O546" i="1"/>
  <c r="N537" i="1"/>
  <c r="N634" i="1" s="1"/>
  <c r="O537" i="1"/>
  <c r="O634" i="1" s="1"/>
  <c r="M585" i="1"/>
  <c r="M571" i="1"/>
  <c r="CG571" i="1" s="1"/>
  <c r="M553" i="1"/>
  <c r="M139" i="1" s="1"/>
  <c r="M562" i="1"/>
  <c r="N585" i="1"/>
  <c r="N571" i="1"/>
  <c r="O585" i="1"/>
  <c r="O583" i="1"/>
  <c r="CH583" i="1" s="1"/>
  <c r="M675" i="1"/>
  <c r="CG675" i="1" s="1"/>
  <c r="M665" i="1"/>
  <c r="CG665" i="1" s="1"/>
  <c r="M663" i="1"/>
  <c r="CG663" i="1" s="1"/>
  <c r="N665" i="1"/>
  <c r="N663" i="1"/>
  <c r="O665" i="1"/>
  <c r="CH665" i="1" s="1"/>
  <c r="O663" i="1"/>
  <c r="CH663" i="1" s="1"/>
  <c r="P665" i="1"/>
  <c r="Q665" i="1"/>
  <c r="CI665" i="1" s="1"/>
  <c r="P663" i="1"/>
  <c r="Q663" i="1"/>
  <c r="CI663" i="1" s="1"/>
  <c r="P576" i="1"/>
  <c r="P583" i="1"/>
  <c r="Q583" i="1"/>
  <c r="CI583" i="1" s="1"/>
  <c r="R583" i="1"/>
  <c r="S583" i="1"/>
  <c r="CJ583" i="1" s="1"/>
  <c r="CI579" i="1"/>
  <c r="Q577" i="1"/>
  <c r="CI577" i="1" s="1"/>
  <c r="Q576" i="1"/>
  <c r="CI576" i="1" s="1"/>
  <c r="P546" i="1"/>
  <c r="Q546" i="1"/>
  <c r="P537" i="1"/>
  <c r="P634" i="1" s="1"/>
  <c r="Q537" i="1"/>
  <c r="Q634" i="1" s="1"/>
  <c r="R523" i="1"/>
  <c r="R497" i="1"/>
  <c r="R448" i="1"/>
  <c r="R518" i="1" s="1"/>
  <c r="P523" i="1"/>
  <c r="P524" i="1"/>
  <c r="P627" i="1" s="1"/>
  <c r="Q523" i="1"/>
  <c r="Q524" i="1"/>
  <c r="Q627" i="1" s="1"/>
  <c r="S523" i="1"/>
  <c r="Q509" i="1"/>
  <c r="P509" i="1"/>
  <c r="P497" i="1"/>
  <c r="CI497" i="1" s="1"/>
  <c r="P506" i="1"/>
  <c r="P505" i="1" s="1"/>
  <c r="P520" i="1" s="1"/>
  <c r="Q506" i="1"/>
  <c r="R506" i="1"/>
  <c r="R505" i="1" s="1"/>
  <c r="P478" i="1"/>
  <c r="P477" i="1" s="1"/>
  <c r="Q478" i="1"/>
  <c r="Q477" i="1" s="1"/>
  <c r="P480" i="1"/>
  <c r="CI480" i="1" s="1"/>
  <c r="P449" i="1"/>
  <c r="P448" i="1" s="1"/>
  <c r="Q449" i="1"/>
  <c r="Q448" i="1" s="1"/>
  <c r="Q518" i="1" s="1"/>
  <c r="P451" i="1"/>
  <c r="Q451" i="1"/>
  <c r="P432" i="1"/>
  <c r="Q432" i="1"/>
  <c r="P416" i="1"/>
  <c r="Q416" i="1"/>
  <c r="P414" i="1"/>
  <c r="P413" i="1" s="1"/>
  <c r="Q414" i="1"/>
  <c r="Q413" i="1" s="1"/>
  <c r="P397" i="1"/>
  <c r="Q397" i="1"/>
  <c r="P396" i="1"/>
  <c r="Q396" i="1"/>
  <c r="P386" i="1"/>
  <c r="Q387" i="1"/>
  <c r="Q386" i="1" s="1"/>
  <c r="P389" i="1"/>
  <c r="P388" i="1" s="1"/>
  <c r="Q389" i="1"/>
  <c r="P252" i="1"/>
  <c r="P254" i="1" s="1"/>
  <c r="Q252" i="1"/>
  <c r="Q254" i="1" s="1"/>
  <c r="P247" i="1"/>
  <c r="P249" i="1" s="1"/>
  <c r="Q247" i="1"/>
  <c r="P242" i="1"/>
  <c r="P244" i="1" s="1"/>
  <c r="Q242" i="1"/>
  <c r="Q244" i="1" s="1"/>
  <c r="S229" i="1"/>
  <c r="S227" i="1" s="1"/>
  <c r="P229" i="1"/>
  <c r="P227" i="1" s="1"/>
  <c r="R229" i="1"/>
  <c r="R227" i="1" s="1"/>
  <c r="Q229" i="1"/>
  <c r="P219" i="1"/>
  <c r="P215" i="1" s="1"/>
  <c r="Q219" i="1"/>
  <c r="Q215" i="1" s="1"/>
  <c r="P203" i="1"/>
  <c r="P202" i="1"/>
  <c r="Q203" i="1"/>
  <c r="CI203" i="1" s="1"/>
  <c r="Q202" i="1"/>
  <c r="CI202" i="1" s="1"/>
  <c r="P160" i="1"/>
  <c r="Q160" i="1"/>
  <c r="Q159" i="1" s="1"/>
  <c r="CI159" i="1" s="1"/>
  <c r="S700" i="1"/>
  <c r="S701" i="1" s="1"/>
  <c r="R665" i="1"/>
  <c r="S665" i="1"/>
  <c r="CJ665" i="1" s="1"/>
  <c r="R663" i="1"/>
  <c r="S663" i="1"/>
  <c r="CJ663" i="1" s="1"/>
  <c r="R576" i="1"/>
  <c r="S576" i="1"/>
  <c r="CJ576" i="1" s="1"/>
  <c r="S571" i="1"/>
  <c r="CJ571" i="1" s="1"/>
  <c r="R546" i="1"/>
  <c r="S546" i="1"/>
  <c r="R537" i="1"/>
  <c r="R634" i="1" s="1"/>
  <c r="S537" i="1"/>
  <c r="S634" i="1" s="1"/>
  <c r="R509" i="1"/>
  <c r="S509" i="1"/>
  <c r="S506" i="1"/>
  <c r="S505" i="1" s="1"/>
  <c r="R524" i="1"/>
  <c r="S524" i="1"/>
  <c r="S497" i="1"/>
  <c r="S478" i="1"/>
  <c r="S477" i="1" s="1"/>
  <c r="S519" i="1" s="1"/>
  <c r="R478" i="1"/>
  <c r="R480" i="1"/>
  <c r="S480" i="1"/>
  <c r="S448" i="1"/>
  <c r="R413" i="1"/>
  <c r="R397" i="1"/>
  <c r="S397" i="1" s="1"/>
  <c r="CJ397" i="1" s="1"/>
  <c r="R396" i="1"/>
  <c r="R253" i="1"/>
  <c r="R258" i="1" s="1"/>
  <c r="R252" i="1"/>
  <c r="S253" i="1"/>
  <c r="S252" i="1"/>
  <c r="R247" i="1"/>
  <c r="R249" i="1" s="1"/>
  <c r="S248" i="1"/>
  <c r="S247" i="1"/>
  <c r="R242" i="1"/>
  <c r="R244" i="1" s="1"/>
  <c r="S242" i="1"/>
  <c r="S244" i="1" s="1"/>
  <c r="R219" i="1"/>
  <c r="R215" i="1" s="1"/>
  <c r="S219" i="1"/>
  <c r="S215" i="1" s="1"/>
  <c r="R203" i="1"/>
  <c r="R202" i="1"/>
  <c r="S203" i="1"/>
  <c r="CJ203" i="1" s="1"/>
  <c r="S202" i="1"/>
  <c r="CJ202" i="1" s="1"/>
  <c r="R160" i="1"/>
  <c r="S160" i="1"/>
  <c r="CJ160" i="1" s="1"/>
  <c r="C4" i="2"/>
  <c r="C3" i="2"/>
  <c r="E9" i="2"/>
  <c r="CC17" i="1"/>
  <c r="CD17" i="1"/>
  <c r="CE17" i="1"/>
  <c r="CF17" i="1"/>
  <c r="CG17" i="1"/>
  <c r="CH17" i="1"/>
  <c r="CI17" i="1"/>
  <c r="CJ17" i="1"/>
  <c r="CK17" i="1"/>
  <c r="CL17" i="1"/>
  <c r="CM17" i="1"/>
  <c r="CC18" i="1"/>
  <c r="CD18" i="1"/>
  <c r="CE18" i="1"/>
  <c r="CF18" i="1"/>
  <c r="CG18" i="1"/>
  <c r="CH18" i="1"/>
  <c r="CI18" i="1"/>
  <c r="CJ18" i="1"/>
  <c r="CK18" i="1"/>
  <c r="CL18" i="1"/>
  <c r="CM18" i="1"/>
  <c r="CC19" i="1"/>
  <c r="CD19" i="1"/>
  <c r="CE19" i="1"/>
  <c r="CF19" i="1"/>
  <c r="CG19" i="1"/>
  <c r="CH19" i="1"/>
  <c r="CI19" i="1"/>
  <c r="CJ19" i="1"/>
  <c r="CK19" i="1"/>
  <c r="CL19" i="1"/>
  <c r="CM19" i="1"/>
  <c r="CC20" i="1"/>
  <c r="CD20" i="1"/>
  <c r="CE20" i="1"/>
  <c r="CF20" i="1"/>
  <c r="CG20" i="1"/>
  <c r="CH20" i="1"/>
  <c r="CI20" i="1"/>
  <c r="CJ20" i="1"/>
  <c r="CK20" i="1"/>
  <c r="CL20" i="1"/>
  <c r="CM20" i="1"/>
  <c r="CC34" i="1"/>
  <c r="CD34" i="1"/>
  <c r="CE34" i="1"/>
  <c r="CF34" i="1"/>
  <c r="CG34" i="1"/>
  <c r="CH34" i="1"/>
  <c r="CI34" i="1"/>
  <c r="CJ34" i="1"/>
  <c r="CK34" i="1"/>
  <c r="CL34" i="1"/>
  <c r="CM34" i="1"/>
  <c r="CN34" i="1"/>
  <c r="CO34" i="1"/>
  <c r="CP34" i="1"/>
  <c r="CQ34" i="1"/>
  <c r="CR34" i="1"/>
  <c r="CC35" i="1"/>
  <c r="CD35" i="1"/>
  <c r="CE35" i="1"/>
  <c r="CF35" i="1"/>
  <c r="CG35" i="1"/>
  <c r="CH35" i="1"/>
  <c r="CI35" i="1"/>
  <c r="CJ35" i="1"/>
  <c r="CK35" i="1"/>
  <c r="CL35" i="1"/>
  <c r="CM35" i="1"/>
  <c r="CN35" i="1"/>
  <c r="CO35" i="1"/>
  <c r="CP35" i="1"/>
  <c r="CQ35" i="1"/>
  <c r="CR35" i="1"/>
  <c r="M52" i="1"/>
  <c r="N52" i="1"/>
  <c r="O52" i="1"/>
  <c r="P52" i="1"/>
  <c r="Q52" i="1"/>
  <c r="R52" i="1"/>
  <c r="S52" i="1"/>
  <c r="T52" i="1"/>
  <c r="U52" i="1"/>
  <c r="V52" i="1"/>
  <c r="W52" i="1"/>
  <c r="X52" i="1"/>
  <c r="Y52" i="1"/>
  <c r="M56" i="1"/>
  <c r="N56" i="1"/>
  <c r="O56" i="1"/>
  <c r="P56" i="1"/>
  <c r="Q56" i="1"/>
  <c r="R56" i="1"/>
  <c r="S56" i="1"/>
  <c r="T56" i="1"/>
  <c r="U56" i="1"/>
  <c r="V56" i="1"/>
  <c r="W56" i="1"/>
  <c r="X56" i="1"/>
  <c r="Y56" i="1"/>
  <c r="M57" i="1"/>
  <c r="N57" i="1"/>
  <c r="O57" i="1"/>
  <c r="P57" i="1"/>
  <c r="Q57" i="1"/>
  <c r="R57" i="1"/>
  <c r="S57" i="1"/>
  <c r="T57" i="1"/>
  <c r="U57" i="1"/>
  <c r="V57" i="1"/>
  <c r="W57" i="1"/>
  <c r="X57" i="1"/>
  <c r="Y57" i="1"/>
  <c r="M59" i="1"/>
  <c r="M48" i="1" s="1"/>
  <c r="N59" i="1"/>
  <c r="N48" i="1" s="1"/>
  <c r="O59" i="1"/>
  <c r="O48" i="1" s="1"/>
  <c r="P59" i="1"/>
  <c r="P48" i="1" s="1"/>
  <c r="Q59" i="1"/>
  <c r="Q48" i="1" s="1"/>
  <c r="R59" i="1"/>
  <c r="R48" i="1" s="1"/>
  <c r="S59" i="1"/>
  <c r="S48" i="1" s="1"/>
  <c r="T59" i="1"/>
  <c r="T48" i="1" s="1"/>
  <c r="U59" i="1"/>
  <c r="U48" i="1" s="1"/>
  <c r="V59" i="1"/>
  <c r="V48" i="1" s="1"/>
  <c r="W59" i="1"/>
  <c r="W48" i="1" s="1"/>
  <c r="X59" i="1"/>
  <c r="X48" i="1" s="1"/>
  <c r="Y59" i="1"/>
  <c r="Y48" i="1" s="1"/>
  <c r="M60" i="1"/>
  <c r="M49" i="1" s="1"/>
  <c r="N60" i="1"/>
  <c r="N49" i="1" s="1"/>
  <c r="O60" i="1"/>
  <c r="O49" i="1" s="1"/>
  <c r="P60" i="1"/>
  <c r="P49" i="1" s="1"/>
  <c r="Q60" i="1"/>
  <c r="Q49" i="1" s="1"/>
  <c r="R60" i="1"/>
  <c r="R49" i="1" s="1"/>
  <c r="S60" i="1"/>
  <c r="S49" i="1" s="1"/>
  <c r="T60" i="1"/>
  <c r="T49" i="1" s="1"/>
  <c r="U60" i="1"/>
  <c r="U49" i="1" s="1"/>
  <c r="V60" i="1"/>
  <c r="V49" i="1" s="1"/>
  <c r="W60" i="1"/>
  <c r="W49" i="1" s="1"/>
  <c r="X60" i="1"/>
  <c r="X49" i="1" s="1"/>
  <c r="Y60" i="1"/>
  <c r="Y49" i="1" s="1"/>
  <c r="N64" i="1"/>
  <c r="O64" i="1"/>
  <c r="P64" i="1"/>
  <c r="Q64" i="1"/>
  <c r="R64" i="1"/>
  <c r="S64" i="1"/>
  <c r="CC92" i="1"/>
  <c r="CD92" i="1"/>
  <c r="CE92" i="1"/>
  <c r="CF92" i="1"/>
  <c r="CG92" i="1"/>
  <c r="CH92" i="1"/>
  <c r="CI92" i="1"/>
  <c r="CJ92" i="1"/>
  <c r="CK92" i="1"/>
  <c r="CL92" i="1"/>
  <c r="CM92" i="1"/>
  <c r="Q101" i="1"/>
  <c r="Q105" i="1" s="1"/>
  <c r="R101" i="1"/>
  <c r="R105" i="1" s="1"/>
  <c r="S101" i="1"/>
  <c r="S105" i="1" s="1"/>
  <c r="T101" i="1"/>
  <c r="T105" i="1" s="1"/>
  <c r="U101" i="1"/>
  <c r="U105" i="1" s="1"/>
  <c r="V101" i="1"/>
  <c r="V105" i="1" s="1"/>
  <c r="W101" i="1"/>
  <c r="W105" i="1" s="1"/>
  <c r="X101" i="1"/>
  <c r="X105" i="1" s="1"/>
  <c r="Y101" i="1"/>
  <c r="Y105" i="1" s="1"/>
  <c r="Z101" i="1"/>
  <c r="Z105" i="1" s="1"/>
  <c r="CC102" i="1"/>
  <c r="CD102" i="1"/>
  <c r="CE102" i="1"/>
  <c r="CF102" i="1"/>
  <c r="CG102" i="1"/>
  <c r="CH102" i="1"/>
  <c r="CI102" i="1"/>
  <c r="CJ102" i="1"/>
  <c r="CK102" i="1"/>
  <c r="CL102" i="1"/>
  <c r="CM102" i="1"/>
  <c r="CD103" i="1"/>
  <c r="CE103" i="1"/>
  <c r="CF103" i="1"/>
  <c r="CG103" i="1"/>
  <c r="CH103" i="1"/>
  <c r="CI103" i="1"/>
  <c r="CJ103" i="1"/>
  <c r="CK103" i="1"/>
  <c r="CL103" i="1"/>
  <c r="CM103" i="1"/>
  <c r="CD104" i="1"/>
  <c r="CE104" i="1"/>
  <c r="CF104" i="1"/>
  <c r="CG104" i="1"/>
  <c r="CH104" i="1"/>
  <c r="CI104" i="1"/>
  <c r="CJ104" i="1"/>
  <c r="CK104" i="1"/>
  <c r="CL104" i="1"/>
  <c r="CM104" i="1"/>
  <c r="CN104" i="1"/>
  <c r="CO104" i="1"/>
  <c r="CP104" i="1"/>
  <c r="CQ104" i="1"/>
  <c r="CC106" i="1"/>
  <c r="CD106" i="1"/>
  <c r="CE106" i="1"/>
  <c r="CF106" i="1"/>
  <c r="CG106" i="1"/>
  <c r="CH106" i="1"/>
  <c r="CI106" i="1"/>
  <c r="CJ101" i="1" s="1"/>
  <c r="CJ106" i="1"/>
  <c r="CK101" i="1" s="1"/>
  <c r="CK106" i="1"/>
  <c r="CL101" i="1" s="1"/>
  <c r="CL106" i="1"/>
  <c r="CM101" i="1" s="1"/>
  <c r="CM106" i="1"/>
  <c r="CN101" i="1" s="1"/>
  <c r="M115" i="1"/>
  <c r="N115" i="1"/>
  <c r="O115" i="1"/>
  <c r="P115" i="1"/>
  <c r="Q115" i="1"/>
  <c r="R115" i="1"/>
  <c r="S115" i="1"/>
  <c r="T115" i="1"/>
  <c r="U115" i="1"/>
  <c r="V115" i="1"/>
  <c r="W115" i="1"/>
  <c r="X115" i="1"/>
  <c r="Y115" i="1"/>
  <c r="CC120" i="1"/>
  <c r="CD120" i="1"/>
  <c r="CE120" i="1"/>
  <c r="CF120" i="1"/>
  <c r="CG120" i="1"/>
  <c r="CH120" i="1"/>
  <c r="CI120" i="1"/>
  <c r="CJ120" i="1"/>
  <c r="CK120" i="1"/>
  <c r="CL120" i="1"/>
  <c r="CM120" i="1"/>
  <c r="CC121" i="1"/>
  <c r="CD121" i="1"/>
  <c r="CE121" i="1"/>
  <c r="CF121" i="1"/>
  <c r="CG121" i="1"/>
  <c r="CH121" i="1"/>
  <c r="CI121" i="1"/>
  <c r="CJ121" i="1"/>
  <c r="CK121" i="1"/>
  <c r="CL121" i="1"/>
  <c r="CM121" i="1"/>
  <c r="M122" i="1"/>
  <c r="N122" i="1"/>
  <c r="O122" i="1"/>
  <c r="P122" i="1"/>
  <c r="Q122" i="1"/>
  <c r="R122" i="1"/>
  <c r="S122" i="1"/>
  <c r="T122" i="1"/>
  <c r="U122" i="1"/>
  <c r="V122" i="1"/>
  <c r="W122" i="1"/>
  <c r="X122" i="1"/>
  <c r="Y122" i="1"/>
  <c r="CC124" i="1"/>
  <c r="CD124" i="1"/>
  <c r="CE124" i="1"/>
  <c r="CF124" i="1"/>
  <c r="CG124" i="1"/>
  <c r="CH124" i="1"/>
  <c r="CI124" i="1"/>
  <c r="CJ124" i="1"/>
  <c r="CK124" i="1"/>
  <c r="CL124" i="1"/>
  <c r="CM124" i="1"/>
  <c r="CC125" i="1"/>
  <c r="CD125" i="1"/>
  <c r="CE125" i="1"/>
  <c r="CF125" i="1"/>
  <c r="CG125" i="1"/>
  <c r="CH125" i="1"/>
  <c r="CI125" i="1"/>
  <c r="CJ125" i="1"/>
  <c r="CK125" i="1"/>
  <c r="CL125" i="1"/>
  <c r="CM125" i="1"/>
  <c r="CC135" i="1"/>
  <c r="CC735" i="1" s="1"/>
  <c r="CD135" i="1"/>
  <c r="CD735" i="1" s="1"/>
  <c r="CE135" i="1"/>
  <c r="CE735" i="1" s="1"/>
  <c r="CF135" i="1"/>
  <c r="CF735" i="1" s="1"/>
  <c r="CG135" i="1"/>
  <c r="CG735" i="1" s="1"/>
  <c r="CH135" i="1"/>
  <c r="CH735" i="1" s="1"/>
  <c r="CI135" i="1"/>
  <c r="CI735" i="1" s="1"/>
  <c r="CJ135" i="1"/>
  <c r="CJ735" i="1" s="1"/>
  <c r="CK135" i="1"/>
  <c r="CK735" i="1" s="1"/>
  <c r="CL135" i="1"/>
  <c r="CL735" i="1" s="1"/>
  <c r="CM135" i="1"/>
  <c r="CM735" i="1" s="1"/>
  <c r="CC137" i="1"/>
  <c r="CC839" i="1" s="1"/>
  <c r="CD137" i="1"/>
  <c r="CD839" i="1" s="1"/>
  <c r="CE137" i="1"/>
  <c r="CE839" i="1" s="1"/>
  <c r="CF137" i="1"/>
  <c r="CF839" i="1" s="1"/>
  <c r="CG137" i="1"/>
  <c r="CG839" i="1" s="1"/>
  <c r="CH137" i="1"/>
  <c r="CH839" i="1" s="1"/>
  <c r="CI137" i="1"/>
  <c r="CI839" i="1" s="1"/>
  <c r="CJ137" i="1"/>
  <c r="CJ839" i="1" s="1"/>
  <c r="CK137" i="1"/>
  <c r="CK839" i="1" s="1"/>
  <c r="CL137" i="1"/>
  <c r="CL839" i="1" s="1"/>
  <c r="CM137" i="1"/>
  <c r="CM839" i="1" s="1"/>
  <c r="CC138" i="1"/>
  <c r="CD138" i="1"/>
  <c r="CE138" i="1"/>
  <c r="CF138" i="1"/>
  <c r="CG138" i="1"/>
  <c r="CH138" i="1"/>
  <c r="CI138" i="1"/>
  <c r="CJ138" i="1"/>
  <c r="CK138" i="1"/>
  <c r="CL138" i="1"/>
  <c r="CM138" i="1"/>
  <c r="N139" i="1"/>
  <c r="O139" i="1"/>
  <c r="P139" i="1"/>
  <c r="Q139" i="1"/>
  <c r="R139" i="1"/>
  <c r="S139" i="1"/>
  <c r="T139" i="1"/>
  <c r="U139" i="1"/>
  <c r="V139" i="1"/>
  <c r="W139" i="1"/>
  <c r="X139" i="1"/>
  <c r="Y139" i="1"/>
  <c r="M141" i="1"/>
  <c r="N141" i="1"/>
  <c r="O141" i="1"/>
  <c r="P141" i="1"/>
  <c r="Q141" i="1"/>
  <c r="R141" i="1"/>
  <c r="S141" i="1"/>
  <c r="T141" i="1"/>
  <c r="U141" i="1"/>
  <c r="V141" i="1"/>
  <c r="W141" i="1"/>
  <c r="X141" i="1"/>
  <c r="CC142" i="1"/>
  <c r="CD142" i="1"/>
  <c r="CE142" i="1"/>
  <c r="CF142" i="1"/>
  <c r="CG142" i="1"/>
  <c r="CH142" i="1"/>
  <c r="CI142" i="1"/>
  <c r="CJ142" i="1"/>
  <c r="CK142" i="1"/>
  <c r="CL142" i="1"/>
  <c r="CM142" i="1"/>
  <c r="CC149" i="1"/>
  <c r="CD149" i="1"/>
  <c r="CE149" i="1"/>
  <c r="CF149" i="1"/>
  <c r="CG149" i="1"/>
  <c r="CH149" i="1"/>
  <c r="CI149" i="1"/>
  <c r="CJ149" i="1"/>
  <c r="CK149" i="1"/>
  <c r="CL149" i="1"/>
  <c r="CM149" i="1"/>
  <c r="CN149" i="1"/>
  <c r="CO149" i="1"/>
  <c r="CP149" i="1"/>
  <c r="CQ149" i="1"/>
  <c r="CR149" i="1"/>
  <c r="CC151" i="1"/>
  <c r="CD151" i="1"/>
  <c r="CE151" i="1"/>
  <c r="CF151" i="1"/>
  <c r="CG151" i="1"/>
  <c r="CH151" i="1"/>
  <c r="CI151" i="1"/>
  <c r="CJ151" i="1"/>
  <c r="CK151" i="1"/>
  <c r="CC157" i="1"/>
  <c r="CC52" i="1" s="1"/>
  <c r="CD157" i="1"/>
  <c r="CE157" i="1"/>
  <c r="CF157" i="1"/>
  <c r="CG157" i="1"/>
  <c r="CH157" i="1"/>
  <c r="CI157" i="1"/>
  <c r="CJ157" i="1"/>
  <c r="CK157" i="1"/>
  <c r="CL157" i="1"/>
  <c r="CM157" i="1"/>
  <c r="CI158" i="1"/>
  <c r="CJ158" i="1"/>
  <c r="CK158" i="1"/>
  <c r="CL158" i="1"/>
  <c r="CM158" i="1"/>
  <c r="T160" i="1"/>
  <c r="T159" i="1" s="1"/>
  <c r="U160" i="1"/>
  <c r="CK160" i="1" s="1"/>
  <c r="V160" i="1"/>
  <c r="V159" i="1" s="1"/>
  <c r="W160" i="1"/>
  <c r="W159" i="1" s="1"/>
  <c r="CL159" i="1" s="1"/>
  <c r="Y160" i="1"/>
  <c r="Y159" i="1" s="1"/>
  <c r="CC161" i="1"/>
  <c r="CD161" i="1"/>
  <c r="CE161" i="1"/>
  <c r="CF161" i="1"/>
  <c r="CG161" i="1"/>
  <c r="CH161" i="1"/>
  <c r="CI161" i="1"/>
  <c r="CJ161" i="1"/>
  <c r="CK161" i="1"/>
  <c r="CL161" i="1"/>
  <c r="CM161" i="1"/>
  <c r="CC164" i="1"/>
  <c r="CD164" i="1"/>
  <c r="CE164" i="1"/>
  <c r="CF164" i="1"/>
  <c r="CG164" i="1"/>
  <c r="CH164" i="1"/>
  <c r="CI164" i="1"/>
  <c r="CJ164" i="1"/>
  <c r="CK164" i="1"/>
  <c r="CL164" i="1"/>
  <c r="CM164" i="1"/>
  <c r="M165" i="1"/>
  <c r="N165" i="1"/>
  <c r="O165" i="1"/>
  <c r="P165" i="1"/>
  <c r="Q165" i="1"/>
  <c r="R165" i="1"/>
  <c r="S165" i="1"/>
  <c r="CJ165" i="1" s="1"/>
  <c r="T165" i="1"/>
  <c r="U165" i="1"/>
  <c r="V165" i="1"/>
  <c r="W165" i="1"/>
  <c r="X165" i="1"/>
  <c r="CC166" i="1"/>
  <c r="CD166" i="1"/>
  <c r="CE166" i="1"/>
  <c r="CF166" i="1"/>
  <c r="CG166" i="1"/>
  <c r="CH166" i="1"/>
  <c r="CI166" i="1"/>
  <c r="CJ166" i="1"/>
  <c r="CK166" i="1"/>
  <c r="CL166" i="1"/>
  <c r="CM166" i="1"/>
  <c r="CC167" i="1"/>
  <c r="CD167" i="1"/>
  <c r="CE167" i="1"/>
  <c r="CF167" i="1"/>
  <c r="CG167" i="1"/>
  <c r="CH167" i="1"/>
  <c r="CI167" i="1"/>
  <c r="CJ167" i="1"/>
  <c r="CK167" i="1"/>
  <c r="CL167" i="1"/>
  <c r="CM167" i="1"/>
  <c r="CC170" i="1"/>
  <c r="CD170" i="1"/>
  <c r="CE170" i="1"/>
  <c r="CF170" i="1"/>
  <c r="CG170" i="1"/>
  <c r="CH170" i="1"/>
  <c r="CI170" i="1"/>
  <c r="CJ170" i="1"/>
  <c r="CK170" i="1"/>
  <c r="CL170" i="1"/>
  <c r="CM170" i="1"/>
  <c r="M171" i="1"/>
  <c r="N171" i="1"/>
  <c r="O171" i="1"/>
  <c r="CH171" i="1" s="1"/>
  <c r="P171" i="1"/>
  <c r="Q171" i="1"/>
  <c r="CI171" i="1" s="1"/>
  <c r="R171" i="1"/>
  <c r="S171" i="1"/>
  <c r="T171" i="1"/>
  <c r="U171" i="1"/>
  <c r="V171" i="1"/>
  <c r="W171" i="1"/>
  <c r="CL171" i="1" s="1"/>
  <c r="X171" i="1"/>
  <c r="CC172" i="1"/>
  <c r="CD172" i="1"/>
  <c r="CE172" i="1"/>
  <c r="CF172" i="1"/>
  <c r="CG172" i="1"/>
  <c r="CH172" i="1"/>
  <c r="CI172" i="1"/>
  <c r="CJ172" i="1"/>
  <c r="CK172" i="1"/>
  <c r="CL172" i="1"/>
  <c r="CM172" i="1"/>
  <c r="CC173" i="1"/>
  <c r="CD173" i="1"/>
  <c r="CE173" i="1"/>
  <c r="CF173" i="1"/>
  <c r="CG173" i="1"/>
  <c r="CH173" i="1"/>
  <c r="CI173" i="1"/>
  <c r="CJ173" i="1"/>
  <c r="CK173" i="1"/>
  <c r="CL173" i="1"/>
  <c r="CM173" i="1"/>
  <c r="M176" i="1"/>
  <c r="N176" i="1"/>
  <c r="N610" i="1" s="1"/>
  <c r="N611" i="1" s="1"/>
  <c r="N612" i="1" s="1"/>
  <c r="O176" i="1"/>
  <c r="O610" i="1" s="1"/>
  <c r="O611" i="1" s="1"/>
  <c r="P176" i="1"/>
  <c r="P610" i="1" s="1"/>
  <c r="P611" i="1" s="1"/>
  <c r="P612" i="1" s="1"/>
  <c r="Q176" i="1"/>
  <c r="R176" i="1"/>
  <c r="R145" i="1" s="1"/>
  <c r="S176" i="1"/>
  <c r="S145" i="1" s="1"/>
  <c r="T176" i="1"/>
  <c r="U176" i="1"/>
  <c r="V176" i="1"/>
  <c r="W176" i="1"/>
  <c r="X176" i="1"/>
  <c r="Y176" i="1"/>
  <c r="CM176" i="1" s="1"/>
  <c r="M178" i="1"/>
  <c r="N178" i="1"/>
  <c r="O178" i="1"/>
  <c r="P178" i="1"/>
  <c r="Q178" i="1"/>
  <c r="CI178" i="1" s="1"/>
  <c r="R178" i="1"/>
  <c r="S178" i="1"/>
  <c r="CJ178" i="1" s="1"/>
  <c r="T178" i="1"/>
  <c r="T181" i="1" s="1"/>
  <c r="T154" i="1" s="1"/>
  <c r="U178" i="1"/>
  <c r="V178" i="1"/>
  <c r="V181" i="1" s="1"/>
  <c r="V813" i="1" s="1"/>
  <c r="W178" i="1"/>
  <c r="X178" i="1"/>
  <c r="X181" i="1" s="1"/>
  <c r="Y178" i="1"/>
  <c r="CC179" i="1"/>
  <c r="CD179" i="1"/>
  <c r="CE179" i="1"/>
  <c r="CF179" i="1"/>
  <c r="CG179" i="1"/>
  <c r="CH179" i="1"/>
  <c r="CI179" i="1"/>
  <c r="CJ179" i="1"/>
  <c r="CK179" i="1"/>
  <c r="CL179" i="1"/>
  <c r="CM179" i="1"/>
  <c r="CC180" i="1"/>
  <c r="CD180" i="1"/>
  <c r="CE180" i="1"/>
  <c r="CF180" i="1"/>
  <c r="CG180" i="1"/>
  <c r="CH180" i="1"/>
  <c r="CI180" i="1"/>
  <c r="CJ180" i="1"/>
  <c r="CK180" i="1"/>
  <c r="CL180" i="1"/>
  <c r="CM180" i="1"/>
  <c r="CC187" i="1"/>
  <c r="CD187" i="1"/>
  <c r="CE187" i="1"/>
  <c r="CF187" i="1"/>
  <c r="CG187" i="1"/>
  <c r="CH187" i="1"/>
  <c r="CI187" i="1"/>
  <c r="CJ187" i="1"/>
  <c r="CK187" i="1"/>
  <c r="CL187" i="1"/>
  <c r="CM187" i="1"/>
  <c r="B190" i="1"/>
  <c r="B191" i="1"/>
  <c r="CN193" i="1"/>
  <c r="CC193" i="1"/>
  <c r="CD193" i="1"/>
  <c r="CE193" i="1"/>
  <c r="CF193" i="1"/>
  <c r="CG193" i="1"/>
  <c r="CH193" i="1"/>
  <c r="CI193" i="1"/>
  <c r="CJ193" i="1"/>
  <c r="CK193" i="1"/>
  <c r="CL193" i="1"/>
  <c r="CM193" i="1"/>
  <c r="B196" i="1"/>
  <c r="B197" i="1"/>
  <c r="CC199" i="1"/>
  <c r="CD199" i="1"/>
  <c r="CE199" i="1"/>
  <c r="CF199" i="1"/>
  <c r="CG199" i="1"/>
  <c r="CH199" i="1"/>
  <c r="CI199" i="1"/>
  <c r="CJ199" i="1"/>
  <c r="CK199" i="1"/>
  <c r="CL199" i="1"/>
  <c r="Y199" i="1"/>
  <c r="CM199" i="1" s="1"/>
  <c r="B202" i="1"/>
  <c r="T202" i="1"/>
  <c r="U202" i="1"/>
  <c r="CK202" i="1" s="1"/>
  <c r="V202" i="1"/>
  <c r="W202" i="1"/>
  <c r="CL202" i="1" s="1"/>
  <c r="X202" i="1"/>
  <c r="Y202" i="1"/>
  <c r="CM202" i="1" s="1"/>
  <c r="B203" i="1"/>
  <c r="T203" i="1"/>
  <c r="U203" i="1"/>
  <c r="CK203" i="1" s="1"/>
  <c r="V203" i="1"/>
  <c r="W203" i="1"/>
  <c r="CL203" i="1" s="1"/>
  <c r="X203" i="1"/>
  <c r="Y203" i="1"/>
  <c r="CM203" i="1" s="1"/>
  <c r="CG205" i="1"/>
  <c r="CH205" i="1"/>
  <c r="CI205" i="1"/>
  <c r="CJ205" i="1"/>
  <c r="CK205" i="1"/>
  <c r="CL205" i="1"/>
  <c r="CM205" i="1"/>
  <c r="T209" i="1"/>
  <c r="T64" i="1" s="1"/>
  <c r="U209" i="1"/>
  <c r="CK209" i="1" s="1"/>
  <c r="V209" i="1"/>
  <c r="V208" i="1" s="1"/>
  <c r="W209" i="1"/>
  <c r="X209" i="1"/>
  <c r="X208" i="1" s="1"/>
  <c r="CG209" i="1"/>
  <c r="CH209" i="1"/>
  <c r="CI209" i="1"/>
  <c r="CJ209" i="1"/>
  <c r="CK210" i="1"/>
  <c r="CL210" i="1"/>
  <c r="CM210" i="1"/>
  <c r="P212" i="1"/>
  <c r="Q212" i="1"/>
  <c r="R212" i="1"/>
  <c r="S212" i="1"/>
  <c r="T212" i="1"/>
  <c r="U212" i="1"/>
  <c r="V212" i="1"/>
  <c r="W212" i="1"/>
  <c r="X212" i="1"/>
  <c r="Y212" i="1"/>
  <c r="N222" i="1"/>
  <c r="O222" i="1"/>
  <c r="P222" i="1"/>
  <c r="Q222" i="1"/>
  <c r="R222" i="1"/>
  <c r="S222" i="1"/>
  <c r="T222" i="1"/>
  <c r="U222" i="1"/>
  <c r="V222" i="1"/>
  <c r="W222" i="1"/>
  <c r="X222" i="1"/>
  <c r="Y222" i="1"/>
  <c r="T227" i="1"/>
  <c r="U227" i="1"/>
  <c r="V227" i="1"/>
  <c r="W227" i="1"/>
  <c r="X227" i="1"/>
  <c r="Y227" i="1"/>
  <c r="T234" i="1"/>
  <c r="T237" i="1" s="1"/>
  <c r="T238" i="1" s="1"/>
  <c r="U234" i="1"/>
  <c r="U237" i="1" s="1"/>
  <c r="U238" i="1" s="1"/>
  <c r="V234" i="1"/>
  <c r="V237" i="1" s="1"/>
  <c r="V238" i="1" s="1"/>
  <c r="W234" i="1"/>
  <c r="W237" i="1" s="1"/>
  <c r="W238" i="1" s="1"/>
  <c r="X234" i="1"/>
  <c r="X237" i="1" s="1"/>
  <c r="X238" i="1" s="1"/>
  <c r="Y234" i="1"/>
  <c r="Y237" i="1" s="1"/>
  <c r="Y238" i="1" s="1"/>
  <c r="T242" i="1"/>
  <c r="T244" i="1" s="1"/>
  <c r="U242" i="1"/>
  <c r="V242" i="1"/>
  <c r="V244" i="1" s="1"/>
  <c r="W242" i="1"/>
  <c r="W244" i="1" s="1"/>
  <c r="X242" i="1"/>
  <c r="X244" i="1" s="1"/>
  <c r="Y242" i="1"/>
  <c r="Y244" i="1" s="1"/>
  <c r="T247" i="1"/>
  <c r="T249" i="1" s="1"/>
  <c r="U247" i="1"/>
  <c r="U249" i="1" s="1"/>
  <c r="V247" i="1"/>
  <c r="V249" i="1" s="1"/>
  <c r="W247" i="1"/>
  <c r="W249" i="1" s="1"/>
  <c r="X247" i="1"/>
  <c r="X249" i="1" s="1"/>
  <c r="Y247" i="1"/>
  <c r="Y249" i="1" s="1"/>
  <c r="T252" i="1"/>
  <c r="T254" i="1" s="1"/>
  <c r="U252" i="1"/>
  <c r="U254" i="1" s="1"/>
  <c r="V252" i="1"/>
  <c r="V254" i="1" s="1"/>
  <c r="W252" i="1"/>
  <c r="W254" i="1" s="1"/>
  <c r="X252" i="1"/>
  <c r="X254" i="1" s="1"/>
  <c r="Y252" i="1"/>
  <c r="Y254" i="1" s="1"/>
  <c r="B257" i="1"/>
  <c r="B258" i="1"/>
  <c r="P258" i="1"/>
  <c r="Q258" i="1"/>
  <c r="T258" i="1"/>
  <c r="U258" i="1"/>
  <c r="V258" i="1"/>
  <c r="W258" i="1"/>
  <c r="X258" i="1"/>
  <c r="Y258" i="1"/>
  <c r="P262" i="1"/>
  <c r="Q262" i="1"/>
  <c r="R262" i="1"/>
  <c r="S262" i="1"/>
  <c r="T262" i="1"/>
  <c r="U262" i="1"/>
  <c r="V262" i="1"/>
  <c r="W262" i="1"/>
  <c r="X262" i="1"/>
  <c r="Y262" i="1"/>
  <c r="B314" i="1"/>
  <c r="B315" i="1"/>
  <c r="M318" i="1"/>
  <c r="N318" i="1"/>
  <c r="O318" i="1"/>
  <c r="P318" i="1"/>
  <c r="Q318" i="1"/>
  <c r="R318" i="1"/>
  <c r="S318" i="1"/>
  <c r="T318" i="1"/>
  <c r="U318" i="1"/>
  <c r="V318" i="1"/>
  <c r="W318" i="1"/>
  <c r="X318" i="1"/>
  <c r="Y318" i="1"/>
  <c r="B372" i="1"/>
  <c r="B373" i="1"/>
  <c r="M381" i="1"/>
  <c r="M327" i="1" s="1"/>
  <c r="N381" i="1"/>
  <c r="N327" i="1" s="1"/>
  <c r="R381" i="1"/>
  <c r="R327" i="1" s="1"/>
  <c r="X381" i="1"/>
  <c r="CC382" i="1"/>
  <c r="CC420" i="1" s="1"/>
  <c r="CD382" i="1"/>
  <c r="CD420" i="1" s="1"/>
  <c r="CE382" i="1"/>
  <c r="CE420" i="1" s="1"/>
  <c r="CF382" i="1"/>
  <c r="CF420" i="1" s="1"/>
  <c r="CG382" i="1"/>
  <c r="CG420" i="1" s="1"/>
  <c r="CH382" i="1"/>
  <c r="CH420" i="1" s="1"/>
  <c r="CI382" i="1"/>
  <c r="CI420" i="1" s="1"/>
  <c r="CJ382" i="1"/>
  <c r="CJ420" i="1" s="1"/>
  <c r="CK382" i="1"/>
  <c r="CK420" i="1" s="1"/>
  <c r="CL382" i="1"/>
  <c r="CL420" i="1" s="1"/>
  <c r="CM382" i="1"/>
  <c r="CM420" i="1" s="1"/>
  <c r="CN382" i="1"/>
  <c r="CN420" i="1" s="1"/>
  <c r="CO382" i="1"/>
  <c r="CO420" i="1" s="1"/>
  <c r="CP382" i="1"/>
  <c r="CP420" i="1" s="1"/>
  <c r="CQ382" i="1"/>
  <c r="CQ420" i="1" s="1"/>
  <c r="CR382" i="1"/>
  <c r="CR420" i="1" s="1"/>
  <c r="CC383" i="1"/>
  <c r="CD383" i="1"/>
  <c r="CE383" i="1"/>
  <c r="CF383" i="1"/>
  <c r="CG383" i="1"/>
  <c r="CH383" i="1"/>
  <c r="CI383" i="1"/>
  <c r="CJ383" i="1"/>
  <c r="CK383" i="1"/>
  <c r="CL383" i="1"/>
  <c r="CM383" i="1"/>
  <c r="CN383" i="1"/>
  <c r="CO383" i="1"/>
  <c r="CP383" i="1"/>
  <c r="CQ383" i="1"/>
  <c r="CR383" i="1"/>
  <c r="CC384" i="1"/>
  <c r="CD384" i="1"/>
  <c r="CE384" i="1"/>
  <c r="CF384" i="1"/>
  <c r="CG384" i="1"/>
  <c r="CH384" i="1"/>
  <c r="CI384" i="1"/>
  <c r="CJ384" i="1"/>
  <c r="CK384" i="1"/>
  <c r="CL384" i="1"/>
  <c r="CM384" i="1"/>
  <c r="CN384" i="1"/>
  <c r="CO384" i="1"/>
  <c r="CP384" i="1"/>
  <c r="CQ384" i="1"/>
  <c r="CR384" i="1"/>
  <c r="CC385" i="1"/>
  <c r="CD385" i="1"/>
  <c r="CE385" i="1"/>
  <c r="CF385" i="1"/>
  <c r="CG385" i="1"/>
  <c r="CH385" i="1"/>
  <c r="CI385" i="1"/>
  <c r="CJ385" i="1"/>
  <c r="CK385" i="1"/>
  <c r="CL385" i="1"/>
  <c r="CM385" i="1"/>
  <c r="CN385" i="1"/>
  <c r="CO385" i="1"/>
  <c r="CP385" i="1"/>
  <c r="CQ385" i="1"/>
  <c r="CR385" i="1"/>
  <c r="T386" i="1"/>
  <c r="T516" i="1" s="1"/>
  <c r="U386" i="1"/>
  <c r="CC386" i="1"/>
  <c r="CD386" i="1"/>
  <c r="CE386" i="1"/>
  <c r="CF386" i="1"/>
  <c r="CG386" i="1"/>
  <c r="CH386" i="1"/>
  <c r="CJ386" i="1"/>
  <c r="CM386" i="1"/>
  <c r="CN386" i="1"/>
  <c r="CO386" i="1"/>
  <c r="CP386" i="1"/>
  <c r="CQ386" i="1"/>
  <c r="CR386" i="1"/>
  <c r="CE387" i="1"/>
  <c r="CG387" i="1"/>
  <c r="CK387" i="1"/>
  <c r="CM387" i="1"/>
  <c r="M388" i="1"/>
  <c r="N388" i="1"/>
  <c r="R388" i="1"/>
  <c r="T388" i="1"/>
  <c r="U388" i="1"/>
  <c r="W389" i="1"/>
  <c r="CE389" i="1"/>
  <c r="CG389" i="1"/>
  <c r="CH389" i="1"/>
  <c r="CC395" i="1"/>
  <c r="CD395" i="1"/>
  <c r="CE395" i="1"/>
  <c r="CF395" i="1"/>
  <c r="CG395" i="1"/>
  <c r="CH395" i="1"/>
  <c r="CI395" i="1"/>
  <c r="CK395" i="1"/>
  <c r="CL395" i="1"/>
  <c r="CM395" i="1"/>
  <c r="T396" i="1"/>
  <c r="U396" i="1"/>
  <c r="T397" i="1"/>
  <c r="U397" i="1"/>
  <c r="CL397" i="1"/>
  <c r="CM397" i="1"/>
  <c r="T398" i="1"/>
  <c r="U398" i="1"/>
  <c r="U399" i="1" s="1"/>
  <c r="V398" i="1"/>
  <c r="W400" i="1"/>
  <c r="CL400" i="1" s="1"/>
  <c r="CK400" i="1"/>
  <c r="CC407" i="1"/>
  <c r="CD407" i="1"/>
  <c r="CE407" i="1"/>
  <c r="CF407" i="1"/>
  <c r="CG407" i="1"/>
  <c r="CH407" i="1"/>
  <c r="CJ407" i="1"/>
  <c r="CK407" i="1"/>
  <c r="CL407" i="1"/>
  <c r="CN407" i="1"/>
  <c r="CR407" i="1"/>
  <c r="AN16" i="31" s="1"/>
  <c r="M409" i="1"/>
  <c r="N409" i="1"/>
  <c r="O409" i="1"/>
  <c r="O421" i="1" s="1"/>
  <c r="P409" i="1"/>
  <c r="Q409" i="1"/>
  <c r="Q421" i="1" s="1"/>
  <c r="R409" i="1"/>
  <c r="S409" i="1"/>
  <c r="S421" i="1" s="1"/>
  <c r="T409" i="1"/>
  <c r="T421" i="1" s="1"/>
  <c r="U409" i="1"/>
  <c r="V409" i="1"/>
  <c r="W409" i="1"/>
  <c r="X409" i="1"/>
  <c r="X408" i="1" s="1"/>
  <c r="X406" i="1" s="1"/>
  <c r="Y409" i="1"/>
  <c r="Y421" i="1" s="1"/>
  <c r="Z409" i="1"/>
  <c r="Z421" i="1" s="1"/>
  <c r="AA409" i="1"/>
  <c r="AA421" i="1" s="1"/>
  <c r="AB409" i="1"/>
  <c r="AB421" i="1" s="1"/>
  <c r="CK410" i="1"/>
  <c r="CL410" i="1"/>
  <c r="CM410" i="1"/>
  <c r="CN410" i="1"/>
  <c r="CO410" i="1"/>
  <c r="CP410" i="1"/>
  <c r="CQ410" i="1"/>
  <c r="CR410" i="1"/>
  <c r="T411" i="1"/>
  <c r="T474" i="1" s="1"/>
  <c r="T470" i="1" s="1"/>
  <c r="U411" i="1"/>
  <c r="V423" i="1"/>
  <c r="V458" i="1" s="1"/>
  <c r="V487" i="1" s="1"/>
  <c r="W423" i="1"/>
  <c r="W458" i="1" s="1"/>
  <c r="W487" i="1" s="1"/>
  <c r="CC411" i="1"/>
  <c r="CD411" i="1"/>
  <c r="CE411" i="1"/>
  <c r="CF411" i="1"/>
  <c r="CG411" i="1"/>
  <c r="CH411" i="1"/>
  <c r="CI411" i="1"/>
  <c r="CJ411" i="1"/>
  <c r="CM411" i="1"/>
  <c r="CN411" i="1"/>
  <c r="CO411" i="1"/>
  <c r="CP411" i="1"/>
  <c r="CQ411" i="1"/>
  <c r="CR411" i="1"/>
  <c r="CK412" i="1"/>
  <c r="CL412" i="1"/>
  <c r="CM412" i="1"/>
  <c r="T413" i="1"/>
  <c r="U413" i="1"/>
  <c r="U517" i="1" s="1"/>
  <c r="V425" i="1"/>
  <c r="V460" i="1" s="1"/>
  <c r="Y425" i="1"/>
  <c r="CC413" i="1"/>
  <c r="CD413" i="1"/>
  <c r="CE413" i="1"/>
  <c r="CF413" i="1"/>
  <c r="CG413" i="1"/>
  <c r="CH413" i="1"/>
  <c r="CN413" i="1"/>
  <c r="CO413" i="1"/>
  <c r="CP413" i="1"/>
  <c r="CQ413" i="1"/>
  <c r="CR413" i="1"/>
  <c r="CH414" i="1"/>
  <c r="CK414" i="1"/>
  <c r="CM414" i="1"/>
  <c r="N415" i="1"/>
  <c r="R415" i="1"/>
  <c r="T415" i="1"/>
  <c r="U415" i="1"/>
  <c r="X415" i="1"/>
  <c r="W416" i="1"/>
  <c r="CE416" i="1"/>
  <c r="M420" i="1"/>
  <c r="N420" i="1"/>
  <c r="O420" i="1"/>
  <c r="P420" i="1"/>
  <c r="Q420" i="1"/>
  <c r="R420" i="1"/>
  <c r="S420" i="1"/>
  <c r="T420" i="1"/>
  <c r="U420" i="1"/>
  <c r="V420" i="1"/>
  <c r="W420" i="1"/>
  <c r="X420" i="1"/>
  <c r="Y420" i="1"/>
  <c r="Z420" i="1"/>
  <c r="AA420" i="1"/>
  <c r="AC420" i="1"/>
  <c r="AD420" i="1"/>
  <c r="T422" i="1"/>
  <c r="T457" i="1" s="1"/>
  <c r="U422" i="1"/>
  <c r="U457" i="1" s="1"/>
  <c r="V422" i="1"/>
  <c r="V457" i="1" s="1"/>
  <c r="W422" i="1"/>
  <c r="W457" i="1" s="1"/>
  <c r="X422" i="1"/>
  <c r="X457" i="1" s="1"/>
  <c r="Y422" i="1"/>
  <c r="Y457" i="1" s="1"/>
  <c r="Z422" i="1"/>
  <c r="Z457" i="1" s="1"/>
  <c r="AA422" i="1"/>
  <c r="AA457" i="1" s="1"/>
  <c r="AC422" i="1"/>
  <c r="AC457" i="1" s="1"/>
  <c r="AD422" i="1"/>
  <c r="AD457" i="1" s="1"/>
  <c r="M423" i="1"/>
  <c r="M458" i="1" s="1"/>
  <c r="M487" i="1" s="1"/>
  <c r="N423" i="1"/>
  <c r="N458" i="1" s="1"/>
  <c r="N487" i="1" s="1"/>
  <c r="O423" i="1"/>
  <c r="O458" i="1" s="1"/>
  <c r="O487" i="1" s="1"/>
  <c r="P423" i="1"/>
  <c r="P458" i="1" s="1"/>
  <c r="P487" i="1" s="1"/>
  <c r="Q423" i="1"/>
  <c r="Q458" i="1" s="1"/>
  <c r="Q487" i="1" s="1"/>
  <c r="R423" i="1"/>
  <c r="R458" i="1" s="1"/>
  <c r="R487" i="1" s="1"/>
  <c r="S423" i="1"/>
  <c r="S458" i="1" s="1"/>
  <c r="S487" i="1" s="1"/>
  <c r="X423" i="1"/>
  <c r="X458" i="1" s="1"/>
  <c r="X487" i="1" s="1"/>
  <c r="Y423" i="1"/>
  <c r="Y458" i="1" s="1"/>
  <c r="Y487" i="1" s="1"/>
  <c r="Z423" i="1"/>
  <c r="Z458" i="1" s="1"/>
  <c r="Z487" i="1" s="1"/>
  <c r="AA423" i="1"/>
  <c r="AA458" i="1" s="1"/>
  <c r="AA487" i="1" s="1"/>
  <c r="AC423" i="1"/>
  <c r="AC458" i="1" s="1"/>
  <c r="AC487" i="1" s="1"/>
  <c r="AD423" i="1"/>
  <c r="AD458" i="1" s="1"/>
  <c r="AD487" i="1" s="1"/>
  <c r="T424" i="1"/>
  <c r="T459" i="1" s="1"/>
  <c r="T488" i="1" s="1"/>
  <c r="U424" i="1"/>
  <c r="U459" i="1" s="1"/>
  <c r="U488" i="1" s="1"/>
  <c r="V424" i="1"/>
  <c r="V459" i="1" s="1"/>
  <c r="V488" i="1" s="1"/>
  <c r="W424" i="1"/>
  <c r="W459" i="1" s="1"/>
  <c r="W488" i="1" s="1"/>
  <c r="X424" i="1"/>
  <c r="X459" i="1" s="1"/>
  <c r="X488" i="1" s="1"/>
  <c r="Y424" i="1"/>
  <c r="Y459" i="1" s="1"/>
  <c r="Y488" i="1" s="1"/>
  <c r="M425" i="1"/>
  <c r="M460" i="1" s="1"/>
  <c r="M489" i="1" s="1"/>
  <c r="N425" i="1"/>
  <c r="N460" i="1" s="1"/>
  <c r="N489" i="1" s="1"/>
  <c r="O425" i="1"/>
  <c r="O460" i="1" s="1"/>
  <c r="O489" i="1" s="1"/>
  <c r="X425" i="1"/>
  <c r="Z425" i="1"/>
  <c r="Z460" i="1" s="1"/>
  <c r="Z489" i="1" s="1"/>
  <c r="AA425" i="1"/>
  <c r="AA460" i="1" s="1"/>
  <c r="AA489" i="1" s="1"/>
  <c r="AC425" i="1"/>
  <c r="AC460" i="1" s="1"/>
  <c r="AC489" i="1" s="1"/>
  <c r="AD425" i="1"/>
  <c r="AD460" i="1" s="1"/>
  <c r="AD489" i="1" s="1"/>
  <c r="U432" i="1"/>
  <c r="CK432" i="1" s="1"/>
  <c r="W432" i="1"/>
  <c r="CL432" i="1" s="1"/>
  <c r="CJ432" i="1"/>
  <c r="CM432" i="1"/>
  <c r="T433" i="1"/>
  <c r="U433" i="1" s="1"/>
  <c r="CK433" i="1" s="1"/>
  <c r="V433" i="1"/>
  <c r="W433" i="1" s="1"/>
  <c r="CL433" i="1" s="1"/>
  <c r="M434" i="1"/>
  <c r="N434" i="1"/>
  <c r="O434" i="1"/>
  <c r="P434" i="1"/>
  <c r="Q434" i="1"/>
  <c r="R434" i="1"/>
  <c r="S434" i="1"/>
  <c r="T434" i="1"/>
  <c r="U434" i="1"/>
  <c r="V434" i="1"/>
  <c r="W434" i="1"/>
  <c r="X434" i="1"/>
  <c r="Y434" i="1"/>
  <c r="CC435" i="1"/>
  <c r="CD435" i="1"/>
  <c r="CE435" i="1"/>
  <c r="CF435" i="1"/>
  <c r="CG435" i="1"/>
  <c r="CH435" i="1"/>
  <c r="CI435" i="1"/>
  <c r="CJ435" i="1"/>
  <c r="CK435" i="1"/>
  <c r="CL435" i="1"/>
  <c r="CM435" i="1"/>
  <c r="CN435" i="1"/>
  <c r="CO435" i="1"/>
  <c r="CP435" i="1"/>
  <c r="CQ435" i="1"/>
  <c r="CR435" i="1"/>
  <c r="CC442" i="1"/>
  <c r="CD442" i="1"/>
  <c r="CE442" i="1"/>
  <c r="CF442" i="1"/>
  <c r="CG442" i="1"/>
  <c r="CH442" i="1"/>
  <c r="CI442" i="1"/>
  <c r="CJ442" i="1"/>
  <c r="CK442" i="1"/>
  <c r="CL442" i="1"/>
  <c r="CM442" i="1"/>
  <c r="CN442" i="1"/>
  <c r="CR442" i="1"/>
  <c r="AN27" i="31" s="1"/>
  <c r="M444" i="1"/>
  <c r="N444" i="1"/>
  <c r="O444" i="1"/>
  <c r="P444" i="1"/>
  <c r="Q444" i="1"/>
  <c r="R444" i="1"/>
  <c r="S444" i="1"/>
  <c r="T444" i="1"/>
  <c r="U444" i="1"/>
  <c r="V444" i="1"/>
  <c r="W444" i="1"/>
  <c r="X444" i="1"/>
  <c r="Y444" i="1"/>
  <c r="Z444" i="1"/>
  <c r="AA444" i="1"/>
  <c r="AB444" i="1"/>
  <c r="T445" i="1"/>
  <c r="U445" i="1"/>
  <c r="V445" i="1"/>
  <c r="W445" i="1"/>
  <c r="X445" i="1"/>
  <c r="Y445" i="1"/>
  <c r="Z445" i="1"/>
  <c r="AA445" i="1"/>
  <c r="AB445" i="1"/>
  <c r="CC446" i="1"/>
  <c r="CD446" i="1"/>
  <c r="CE446" i="1"/>
  <c r="CF446" i="1"/>
  <c r="CG446" i="1"/>
  <c r="CH446" i="1"/>
  <c r="CI446" i="1"/>
  <c r="CJ446" i="1"/>
  <c r="CK446" i="1"/>
  <c r="CL446" i="1"/>
  <c r="CM446" i="1"/>
  <c r="CN446" i="1"/>
  <c r="CO446" i="1"/>
  <c r="CP446" i="1"/>
  <c r="CQ446" i="1"/>
  <c r="CR446" i="1"/>
  <c r="CC447" i="1"/>
  <c r="CD447" i="1"/>
  <c r="CE447" i="1"/>
  <c r="CF447" i="1"/>
  <c r="CG447" i="1"/>
  <c r="CH447" i="1"/>
  <c r="CI447" i="1"/>
  <c r="CJ447" i="1"/>
  <c r="CK447" i="1"/>
  <c r="CL447" i="1"/>
  <c r="CM447" i="1"/>
  <c r="CN447" i="1"/>
  <c r="CO447" i="1"/>
  <c r="CP447" i="1"/>
  <c r="CQ447" i="1"/>
  <c r="CR447" i="1"/>
  <c r="T448" i="1"/>
  <c r="U448" i="1"/>
  <c r="V518" i="1"/>
  <c r="CC448" i="1"/>
  <c r="CD448" i="1"/>
  <c r="CE448" i="1"/>
  <c r="CF448" i="1"/>
  <c r="CG448" i="1"/>
  <c r="CH448" i="1"/>
  <c r="CN448" i="1"/>
  <c r="CO448" i="1"/>
  <c r="CP448" i="1"/>
  <c r="CQ448" i="1"/>
  <c r="CR448" i="1"/>
  <c r="CE449" i="1"/>
  <c r="CJ449" i="1"/>
  <c r="CK449" i="1"/>
  <c r="CM449" i="1"/>
  <c r="R450" i="1"/>
  <c r="T450" i="1"/>
  <c r="U450" i="1"/>
  <c r="X450" i="1"/>
  <c r="CE451" i="1"/>
  <c r="T467" i="1"/>
  <c r="U467" i="1" s="1"/>
  <c r="CK467" i="1" s="1"/>
  <c r="V467" i="1"/>
  <c r="W467" i="1"/>
  <c r="X467" i="1"/>
  <c r="Y467" i="1"/>
  <c r="CJ467" i="1"/>
  <c r="V469" i="1"/>
  <c r="W469" i="1"/>
  <c r="X469" i="1"/>
  <c r="Y469" i="1"/>
  <c r="M473" i="1"/>
  <c r="N473" i="1"/>
  <c r="O473" i="1"/>
  <c r="P473" i="1"/>
  <c r="Q473" i="1"/>
  <c r="R473" i="1"/>
  <c r="S473" i="1"/>
  <c r="T473" i="1"/>
  <c r="U473" i="1"/>
  <c r="V473" i="1"/>
  <c r="W473" i="1"/>
  <c r="X473" i="1"/>
  <c r="Y473" i="1"/>
  <c r="Z473" i="1"/>
  <c r="AA473" i="1"/>
  <c r="M474" i="1"/>
  <c r="N474" i="1"/>
  <c r="O474" i="1"/>
  <c r="O470" i="1" s="1"/>
  <c r="O713" i="1" s="1"/>
  <c r="P474" i="1"/>
  <c r="Q474" i="1"/>
  <c r="R474" i="1"/>
  <c r="R470" i="1" s="1"/>
  <c r="R713" i="1" s="1"/>
  <c r="S474" i="1"/>
  <c r="X474" i="1"/>
  <c r="Y474" i="1"/>
  <c r="Z474" i="1"/>
  <c r="AA474" i="1"/>
  <c r="M475" i="1"/>
  <c r="N475" i="1"/>
  <c r="O475" i="1"/>
  <c r="P475" i="1"/>
  <c r="Q475" i="1"/>
  <c r="R475" i="1"/>
  <c r="S475" i="1"/>
  <c r="T475" i="1"/>
  <c r="U475" i="1"/>
  <c r="V475" i="1"/>
  <c r="W475" i="1"/>
  <c r="X475" i="1"/>
  <c r="Y475" i="1"/>
  <c r="Z475" i="1"/>
  <c r="AA475" i="1"/>
  <c r="AB475" i="1"/>
  <c r="CC476" i="1"/>
  <c r="CD476" i="1"/>
  <c r="CE476" i="1"/>
  <c r="CF476" i="1"/>
  <c r="CG476" i="1"/>
  <c r="CH476" i="1"/>
  <c r="CI476" i="1"/>
  <c r="CJ476" i="1"/>
  <c r="CK476" i="1"/>
  <c r="CL476" i="1"/>
  <c r="CM476" i="1"/>
  <c r="CN476" i="1"/>
  <c r="CO476" i="1"/>
  <c r="CP476" i="1"/>
  <c r="CQ476" i="1"/>
  <c r="CR476" i="1"/>
  <c r="T477" i="1"/>
  <c r="T519" i="1" s="1"/>
  <c r="U477" i="1"/>
  <c r="CC477" i="1"/>
  <c r="CD477" i="1"/>
  <c r="CE477" i="1"/>
  <c r="CF477" i="1"/>
  <c r="CG477" i="1"/>
  <c r="CH477" i="1"/>
  <c r="CN477" i="1"/>
  <c r="CO477" i="1"/>
  <c r="CP477" i="1"/>
  <c r="CQ477" i="1"/>
  <c r="CR477" i="1"/>
  <c r="CH478" i="1"/>
  <c r="CK478" i="1"/>
  <c r="CM478" i="1"/>
  <c r="T479" i="1"/>
  <c r="U479" i="1"/>
  <c r="V479" i="1"/>
  <c r="X479" i="1"/>
  <c r="CC492" i="1"/>
  <c r="CD492" i="1"/>
  <c r="CE492" i="1"/>
  <c r="CF492" i="1"/>
  <c r="CG492" i="1"/>
  <c r="CH492" i="1"/>
  <c r="CI492" i="1"/>
  <c r="CJ492" i="1"/>
  <c r="CK492" i="1"/>
  <c r="CL492" i="1"/>
  <c r="CM492" i="1"/>
  <c r="CN492" i="1"/>
  <c r="CO492" i="1"/>
  <c r="CP492" i="1"/>
  <c r="CQ492" i="1"/>
  <c r="CR492" i="1"/>
  <c r="CE497" i="1"/>
  <c r="CG497" i="1"/>
  <c r="CH497" i="1"/>
  <c r="AA522" i="1"/>
  <c r="AA536" i="1" s="1"/>
  <c r="CG499" i="1"/>
  <c r="CH499" i="1"/>
  <c r="CI499" i="1"/>
  <c r="CJ499" i="1"/>
  <c r="CK499" i="1"/>
  <c r="CL499" i="1"/>
  <c r="CM499" i="1"/>
  <c r="M501" i="1"/>
  <c r="N501" i="1"/>
  <c r="O501" i="1"/>
  <c r="P501" i="1"/>
  <c r="Q501" i="1"/>
  <c r="R501" i="1"/>
  <c r="S501" i="1"/>
  <c r="T501" i="1"/>
  <c r="U501" i="1"/>
  <c r="V501" i="1"/>
  <c r="W501" i="1"/>
  <c r="X501" i="1"/>
  <c r="Y501" i="1"/>
  <c r="Z501" i="1"/>
  <c r="T502" i="1"/>
  <c r="U502" i="1"/>
  <c r="U497" i="1" s="1"/>
  <c r="V502" i="1"/>
  <c r="W502" i="1"/>
  <c r="W497" i="1" s="1"/>
  <c r="X502" i="1"/>
  <c r="Y502" i="1"/>
  <c r="Y497" i="1" s="1"/>
  <c r="Y130" i="1" s="1"/>
  <c r="M503" i="1"/>
  <c r="N503" i="1"/>
  <c r="O503" i="1"/>
  <c r="P503" i="1"/>
  <c r="Q503" i="1"/>
  <c r="R503" i="1"/>
  <c r="S503" i="1"/>
  <c r="T503" i="1"/>
  <c r="U503" i="1"/>
  <c r="V503" i="1"/>
  <c r="W503" i="1"/>
  <c r="X503" i="1"/>
  <c r="Y503" i="1"/>
  <c r="Z503" i="1"/>
  <c r="M504" i="1"/>
  <c r="N504" i="1"/>
  <c r="O504" i="1"/>
  <c r="P504" i="1"/>
  <c r="Q504" i="1"/>
  <c r="R504" i="1"/>
  <c r="S504" i="1"/>
  <c r="T504" i="1"/>
  <c r="U504" i="1"/>
  <c r="V504" i="1"/>
  <c r="W504" i="1"/>
  <c r="X504" i="1"/>
  <c r="Y504" i="1"/>
  <c r="Z504" i="1"/>
  <c r="CN505" i="1"/>
  <c r="CO505" i="1"/>
  <c r="CP505" i="1"/>
  <c r="CQ505" i="1"/>
  <c r="CR505" i="1"/>
  <c r="T506" i="1"/>
  <c r="T505" i="1" s="1"/>
  <c r="U506" i="1"/>
  <c r="U505" i="1" s="1"/>
  <c r="U520" i="1" s="1"/>
  <c r="CD508" i="1"/>
  <c r="CE508" i="1"/>
  <c r="CF508" i="1"/>
  <c r="CG508" i="1"/>
  <c r="CH508" i="1"/>
  <c r="CI508" i="1"/>
  <c r="CJ508" i="1"/>
  <c r="CK508" i="1"/>
  <c r="CL508" i="1"/>
  <c r="CM508" i="1"/>
  <c r="CN508" i="1"/>
  <c r="CP508" i="1"/>
  <c r="CQ508" i="1"/>
  <c r="CR508" i="1"/>
  <c r="T509" i="1"/>
  <c r="U509" i="1"/>
  <c r="V509" i="1"/>
  <c r="W509" i="1"/>
  <c r="X509" i="1"/>
  <c r="Y509" i="1"/>
  <c r="M516" i="1"/>
  <c r="N516" i="1"/>
  <c r="O516" i="1"/>
  <c r="R516" i="1"/>
  <c r="S516" i="1"/>
  <c r="V516" i="1"/>
  <c r="W516" i="1"/>
  <c r="X516" i="1"/>
  <c r="Y516" i="1"/>
  <c r="Z516" i="1"/>
  <c r="AA516" i="1"/>
  <c r="AB516" i="1"/>
  <c r="AC516" i="1"/>
  <c r="M517" i="1"/>
  <c r="N517" i="1"/>
  <c r="O517" i="1"/>
  <c r="V517" i="1"/>
  <c r="X517" i="1"/>
  <c r="Y517" i="1"/>
  <c r="Z517" i="1"/>
  <c r="AA517" i="1"/>
  <c r="AB517" i="1"/>
  <c r="AC517" i="1"/>
  <c r="M518" i="1"/>
  <c r="N518" i="1"/>
  <c r="O518" i="1"/>
  <c r="W518" i="1"/>
  <c r="Z518" i="1"/>
  <c r="AA518" i="1"/>
  <c r="AB518" i="1"/>
  <c r="AC518" i="1"/>
  <c r="M519" i="1"/>
  <c r="N519" i="1"/>
  <c r="O519" i="1"/>
  <c r="Z519" i="1"/>
  <c r="AA519" i="1"/>
  <c r="AB519" i="1"/>
  <c r="AC519" i="1"/>
  <c r="Z520" i="1"/>
  <c r="AA520" i="1"/>
  <c r="AB520" i="1"/>
  <c r="AC520" i="1"/>
  <c r="B522" i="1"/>
  <c r="M522" i="1"/>
  <c r="M536" i="1" s="1"/>
  <c r="M623" i="1" s="1"/>
  <c r="N522" i="1"/>
  <c r="O522" i="1"/>
  <c r="O536" i="1" s="1"/>
  <c r="P522" i="1"/>
  <c r="P536" i="1" s="1"/>
  <c r="Q522" i="1"/>
  <c r="Q536" i="1" s="1"/>
  <c r="R522" i="1"/>
  <c r="S522" i="1"/>
  <c r="S536" i="1" s="1"/>
  <c r="T522" i="1"/>
  <c r="T536" i="1" s="1"/>
  <c r="U522" i="1"/>
  <c r="U536" i="1" s="1"/>
  <c r="V522" i="1"/>
  <c r="W522" i="1"/>
  <c r="W536" i="1" s="1"/>
  <c r="X522" i="1"/>
  <c r="X536" i="1" s="1"/>
  <c r="Y522" i="1"/>
  <c r="Y536" i="1" s="1"/>
  <c r="Z522" i="1"/>
  <c r="Z536" i="1" s="1"/>
  <c r="T523" i="1"/>
  <c r="U523" i="1"/>
  <c r="CC523" i="1"/>
  <c r="CD523" i="1"/>
  <c r="CE523" i="1"/>
  <c r="CF523" i="1"/>
  <c r="T524" i="1"/>
  <c r="U524" i="1"/>
  <c r="V524" i="1"/>
  <c r="W524" i="1"/>
  <c r="X524" i="1"/>
  <c r="CD524" i="1"/>
  <c r="CE524" i="1"/>
  <c r="CF524" i="1"/>
  <c r="CG526" i="1"/>
  <c r="CH526" i="1"/>
  <c r="CI526" i="1"/>
  <c r="CJ526" i="1"/>
  <c r="CK526" i="1"/>
  <c r="CL526" i="1"/>
  <c r="CM526" i="1"/>
  <c r="CC528" i="1"/>
  <c r="CD528" i="1"/>
  <c r="CE528" i="1"/>
  <c r="CF528" i="1"/>
  <c r="CG528" i="1"/>
  <c r="CH528" i="1"/>
  <c r="CI528" i="1"/>
  <c r="CJ528" i="1"/>
  <c r="CK528" i="1"/>
  <c r="CL528" i="1"/>
  <c r="CM528" i="1"/>
  <c r="CN528" i="1"/>
  <c r="CO528" i="1"/>
  <c r="CP528" i="1"/>
  <c r="CQ528" i="1"/>
  <c r="CR528" i="1"/>
  <c r="CF535" i="1"/>
  <c r="CG535" i="1"/>
  <c r="CH535" i="1"/>
  <c r="CI535" i="1"/>
  <c r="CJ535" i="1"/>
  <c r="CK535" i="1"/>
  <c r="CL535" i="1"/>
  <c r="CM535" i="1"/>
  <c r="B536" i="1"/>
  <c r="T537" i="1"/>
  <c r="U537" i="1"/>
  <c r="U634" i="1" s="1"/>
  <c r="V537" i="1"/>
  <c r="V634" i="1" s="1"/>
  <c r="W537" i="1"/>
  <c r="W634" i="1" s="1"/>
  <c r="X537" i="1"/>
  <c r="X634" i="1" s="1"/>
  <c r="CC539" i="1"/>
  <c r="CD539" i="1"/>
  <c r="CE539" i="1"/>
  <c r="CF539" i="1"/>
  <c r="CG539" i="1"/>
  <c r="CH539" i="1"/>
  <c r="CI539" i="1"/>
  <c r="CJ539" i="1"/>
  <c r="CK539" i="1"/>
  <c r="CL539" i="1"/>
  <c r="CM539" i="1"/>
  <c r="CN540" i="1"/>
  <c r="CC540" i="1"/>
  <c r="CD540" i="1"/>
  <c r="CE540" i="1"/>
  <c r="CF540" i="1"/>
  <c r="CG540" i="1"/>
  <c r="CH540" i="1"/>
  <c r="CI540" i="1"/>
  <c r="CJ540" i="1"/>
  <c r="CK540" i="1"/>
  <c r="CL540" i="1"/>
  <c r="CM540" i="1"/>
  <c r="CC543" i="1"/>
  <c r="CC652" i="1" s="1"/>
  <c r="CD543" i="1"/>
  <c r="CD652" i="1" s="1"/>
  <c r="CE543" i="1"/>
  <c r="CE652" i="1" s="1"/>
  <c r="CF543" i="1"/>
  <c r="CF652" i="1" s="1"/>
  <c r="CG543" i="1"/>
  <c r="CG652" i="1" s="1"/>
  <c r="CH543" i="1"/>
  <c r="CH652" i="1" s="1"/>
  <c r="CI543" i="1"/>
  <c r="CI652" i="1" s="1"/>
  <c r="CJ543" i="1"/>
  <c r="CJ652" i="1" s="1"/>
  <c r="CK543" i="1"/>
  <c r="CK652" i="1" s="1"/>
  <c r="CL543" i="1"/>
  <c r="CL652" i="1" s="1"/>
  <c r="CM543" i="1"/>
  <c r="CM652" i="1" s="1"/>
  <c r="T546" i="1"/>
  <c r="U546" i="1"/>
  <c r="V546" i="1"/>
  <c r="W546" i="1"/>
  <c r="X546" i="1"/>
  <c r="Y546" i="1"/>
  <c r="CC546" i="1"/>
  <c r="CD546" i="1"/>
  <c r="CE546" i="1"/>
  <c r="CC553" i="1"/>
  <c r="CD553" i="1"/>
  <c r="CE553" i="1"/>
  <c r="CF553" i="1"/>
  <c r="CH553" i="1"/>
  <c r="CI553" i="1"/>
  <c r="CJ553" i="1"/>
  <c r="CK553" i="1"/>
  <c r="CL553" i="1"/>
  <c r="CM553" i="1"/>
  <c r="CC554" i="1"/>
  <c r="CD554" i="1"/>
  <c r="CE554" i="1"/>
  <c r="CF554" i="1"/>
  <c r="CG554" i="1"/>
  <c r="CH554" i="1"/>
  <c r="CI554" i="1"/>
  <c r="CJ554" i="1"/>
  <c r="CK554" i="1"/>
  <c r="CL554" i="1"/>
  <c r="CM554" i="1"/>
  <c r="CG555" i="1"/>
  <c r="CH555" i="1"/>
  <c r="CI555" i="1"/>
  <c r="CJ555" i="1"/>
  <c r="CK555" i="1"/>
  <c r="CL555" i="1"/>
  <c r="CM555" i="1"/>
  <c r="CC556" i="1"/>
  <c r="CD556" i="1"/>
  <c r="CE556" i="1"/>
  <c r="CF556" i="1"/>
  <c r="CG556" i="1"/>
  <c r="CH556" i="1"/>
  <c r="CI556" i="1"/>
  <c r="CJ556" i="1"/>
  <c r="CK556" i="1"/>
  <c r="CL556" i="1"/>
  <c r="CM556" i="1"/>
  <c r="N561" i="1"/>
  <c r="O561" i="1"/>
  <c r="P561" i="1"/>
  <c r="Q561" i="1"/>
  <c r="CI561" i="1" s="1"/>
  <c r="R561" i="1"/>
  <c r="S561" i="1"/>
  <c r="CJ561" i="1" s="1"/>
  <c r="T561" i="1"/>
  <c r="U561" i="1"/>
  <c r="CK561" i="1" s="1"/>
  <c r="V561" i="1"/>
  <c r="W561" i="1"/>
  <c r="CL561" i="1" s="1"/>
  <c r="X561" i="1"/>
  <c r="CN565" i="1"/>
  <c r="CC565" i="1"/>
  <c r="CD565" i="1"/>
  <c r="CE565" i="1"/>
  <c r="CF565" i="1"/>
  <c r="CG565" i="1"/>
  <c r="CH565" i="1"/>
  <c r="CI565" i="1"/>
  <c r="CJ565" i="1"/>
  <c r="CK565" i="1"/>
  <c r="CL565" i="1"/>
  <c r="CM565" i="1"/>
  <c r="CC566" i="1"/>
  <c r="CD566" i="1"/>
  <c r="CE566" i="1"/>
  <c r="CF566" i="1"/>
  <c r="CG566" i="1"/>
  <c r="CH566" i="1"/>
  <c r="CI566" i="1"/>
  <c r="CJ566" i="1"/>
  <c r="CK566" i="1"/>
  <c r="CL566" i="1"/>
  <c r="CM566" i="1"/>
  <c r="CC567" i="1"/>
  <c r="CD567" i="1"/>
  <c r="CE567" i="1"/>
  <c r="CF567" i="1"/>
  <c r="CG567" i="1"/>
  <c r="CH567" i="1"/>
  <c r="CI567" i="1"/>
  <c r="CJ567" i="1"/>
  <c r="CK567" i="1"/>
  <c r="CL567" i="1"/>
  <c r="CM567" i="1"/>
  <c r="T571" i="1"/>
  <c r="T583" i="1" s="1"/>
  <c r="U571" i="1"/>
  <c r="V571" i="1"/>
  <c r="V583" i="1" s="1"/>
  <c r="W571" i="1"/>
  <c r="CL571" i="1" s="1"/>
  <c r="X571" i="1"/>
  <c r="X583" i="1" s="1"/>
  <c r="Y571" i="1"/>
  <c r="CM571" i="1" s="1"/>
  <c r="CC571" i="1"/>
  <c r="CD571" i="1"/>
  <c r="CE571" i="1"/>
  <c r="CF571" i="1"/>
  <c r="CH571" i="1"/>
  <c r="CI571" i="1"/>
  <c r="CC572" i="1"/>
  <c r="CD572" i="1"/>
  <c r="CE572" i="1"/>
  <c r="CF572" i="1"/>
  <c r="CG572" i="1"/>
  <c r="CH572" i="1"/>
  <c r="CI572" i="1"/>
  <c r="CJ572" i="1"/>
  <c r="CK572" i="1"/>
  <c r="CL572" i="1"/>
  <c r="CM572" i="1"/>
  <c r="CC573" i="1"/>
  <c r="CD573" i="1"/>
  <c r="CE573" i="1"/>
  <c r="CF573" i="1"/>
  <c r="CG573" i="1"/>
  <c r="CH573" i="1"/>
  <c r="CI573" i="1"/>
  <c r="CJ573" i="1"/>
  <c r="CK573" i="1"/>
  <c r="CL573" i="1"/>
  <c r="CM573" i="1"/>
  <c r="CC574" i="1"/>
  <c r="CD574" i="1"/>
  <c r="CE574" i="1"/>
  <c r="CF574" i="1"/>
  <c r="CG574" i="1"/>
  <c r="CH574" i="1"/>
  <c r="CI574" i="1"/>
  <c r="CJ574" i="1"/>
  <c r="CK574" i="1"/>
  <c r="CL574" i="1"/>
  <c r="CM574" i="1"/>
  <c r="CC575" i="1"/>
  <c r="CD575" i="1"/>
  <c r="CE575" i="1"/>
  <c r="CF575" i="1"/>
  <c r="CG575" i="1"/>
  <c r="CH575" i="1"/>
  <c r="CI575" i="1"/>
  <c r="CJ575" i="1"/>
  <c r="CK575" i="1"/>
  <c r="CL575" i="1"/>
  <c r="CM575" i="1"/>
  <c r="T576" i="1"/>
  <c r="U576" i="1"/>
  <c r="CK576" i="1" s="1"/>
  <c r="V576" i="1"/>
  <c r="W576" i="1"/>
  <c r="CL576" i="1" s="1"/>
  <c r="X576" i="1"/>
  <c r="Y576" i="1"/>
  <c r="CC576" i="1"/>
  <c r="CD576" i="1"/>
  <c r="CE576" i="1"/>
  <c r="CF576" i="1"/>
  <c r="CG576" i="1"/>
  <c r="CH576" i="1"/>
  <c r="CC577" i="1"/>
  <c r="CD577" i="1"/>
  <c r="CE577" i="1"/>
  <c r="CF577" i="1"/>
  <c r="CG577" i="1"/>
  <c r="CH577" i="1"/>
  <c r="CJ577" i="1"/>
  <c r="CK577" i="1"/>
  <c r="CL577" i="1"/>
  <c r="CM577" i="1"/>
  <c r="CC578" i="1"/>
  <c r="CD578" i="1"/>
  <c r="CE578" i="1"/>
  <c r="CF578" i="1"/>
  <c r="CG578" i="1"/>
  <c r="CH578" i="1"/>
  <c r="CI578" i="1"/>
  <c r="CJ578" i="1"/>
  <c r="CK578" i="1"/>
  <c r="CL578" i="1"/>
  <c r="CM578" i="1"/>
  <c r="CG583" i="1"/>
  <c r="CC584" i="1"/>
  <c r="CD584" i="1"/>
  <c r="CE584" i="1"/>
  <c r="CF584" i="1"/>
  <c r="B587" i="1"/>
  <c r="M588" i="1"/>
  <c r="CG588" i="1" s="1"/>
  <c r="N588" i="1"/>
  <c r="O588" i="1"/>
  <c r="CH588" i="1" s="1"/>
  <c r="P588" i="1"/>
  <c r="Q588" i="1"/>
  <c r="CI588" i="1" s="1"/>
  <c r="R588" i="1"/>
  <c r="S588" i="1"/>
  <c r="CJ588" i="1" s="1"/>
  <c r="T588" i="1"/>
  <c r="U588" i="1"/>
  <c r="CK588" i="1" s="1"/>
  <c r="V588" i="1"/>
  <c r="W588" i="1"/>
  <c r="CL588" i="1" s="1"/>
  <c r="X588" i="1"/>
  <c r="Y588" i="1"/>
  <c r="CM588" i="1" s="1"/>
  <c r="Z588" i="1"/>
  <c r="M589" i="1"/>
  <c r="CG589" i="1" s="1"/>
  <c r="N589" i="1"/>
  <c r="O589" i="1"/>
  <c r="CH589" i="1" s="1"/>
  <c r="P589" i="1"/>
  <c r="Q589" i="1"/>
  <c r="CI589" i="1" s="1"/>
  <c r="R589" i="1"/>
  <c r="S589" i="1"/>
  <c r="CJ589" i="1" s="1"/>
  <c r="T589" i="1"/>
  <c r="U589" i="1"/>
  <c r="CK589" i="1" s="1"/>
  <c r="V589" i="1"/>
  <c r="W589" i="1"/>
  <c r="CL589" i="1" s="1"/>
  <c r="X589" i="1"/>
  <c r="CC598" i="1"/>
  <c r="CD598" i="1"/>
  <c r="CE598" i="1"/>
  <c r="CF598" i="1"/>
  <c r="CG598" i="1"/>
  <c r="CH598" i="1"/>
  <c r="CI598" i="1"/>
  <c r="CJ598" i="1"/>
  <c r="CK598" i="1"/>
  <c r="CL598" i="1"/>
  <c r="CM598" i="1"/>
  <c r="P599" i="1"/>
  <c r="Q599" i="1"/>
  <c r="CI599" i="1" s="1"/>
  <c r="R599" i="1"/>
  <c r="S599" i="1"/>
  <c r="CJ599" i="1" s="1"/>
  <c r="T599" i="1"/>
  <c r="U599" i="1"/>
  <c r="CK599" i="1" s="1"/>
  <c r="V599" i="1"/>
  <c r="W599" i="1"/>
  <c r="CL599" i="1" s="1"/>
  <c r="X599" i="1"/>
  <c r="Y599" i="1"/>
  <c r="CM599" i="1" s="1"/>
  <c r="CC599" i="1"/>
  <c r="CD599" i="1"/>
  <c r="CE599" i="1"/>
  <c r="CF599" i="1"/>
  <c r="CG599" i="1"/>
  <c r="CH599" i="1"/>
  <c r="CC600" i="1"/>
  <c r="CD600" i="1"/>
  <c r="CE600" i="1"/>
  <c r="CF600" i="1"/>
  <c r="CG600" i="1"/>
  <c r="CH600" i="1"/>
  <c r="CI600" i="1"/>
  <c r="CJ600" i="1"/>
  <c r="CK600" i="1"/>
  <c r="CL600" i="1"/>
  <c r="CM600" i="1"/>
  <c r="CC601" i="1"/>
  <c r="CD601" i="1"/>
  <c r="CE601" i="1"/>
  <c r="CF601" i="1"/>
  <c r="CG601" i="1"/>
  <c r="CH601" i="1"/>
  <c r="CI601" i="1"/>
  <c r="CJ601" i="1"/>
  <c r="CK601" i="1"/>
  <c r="CL601" i="1"/>
  <c r="CM601" i="1"/>
  <c r="CC602" i="1"/>
  <c r="CD602" i="1"/>
  <c r="CE602" i="1"/>
  <c r="CF602" i="1"/>
  <c r="CG602" i="1"/>
  <c r="CH602" i="1"/>
  <c r="M603" i="1"/>
  <c r="CG603" i="1" s="1"/>
  <c r="N603" i="1"/>
  <c r="O603" i="1"/>
  <c r="CH603" i="1" s="1"/>
  <c r="AA606" i="1"/>
  <c r="AB606" i="1" s="1"/>
  <c r="AC606" i="1" s="1"/>
  <c r="CC606" i="1"/>
  <c r="CD606" i="1"/>
  <c r="CE606" i="1"/>
  <c r="CF606" i="1"/>
  <c r="CG606" i="1"/>
  <c r="CH606" i="1"/>
  <c r="CI606" i="1"/>
  <c r="CJ606" i="1"/>
  <c r="CK606" i="1"/>
  <c r="CL606" i="1"/>
  <c r="CM606" i="1"/>
  <c r="T610" i="1"/>
  <c r="T611" i="1" s="1"/>
  <c r="U610" i="1"/>
  <c r="U611" i="1" s="1"/>
  <c r="CK611" i="1" s="1"/>
  <c r="V610" i="1"/>
  <c r="V611" i="1" s="1"/>
  <c r="V612" i="1" s="1"/>
  <c r="W610" i="1"/>
  <c r="X610" i="1"/>
  <c r="X611" i="1" s="1"/>
  <c r="X612" i="1" s="1"/>
  <c r="Y610" i="1"/>
  <c r="Y611" i="1" s="1"/>
  <c r="CI610" i="1"/>
  <c r="CJ610" i="1"/>
  <c r="B621" i="1"/>
  <c r="M621" i="1"/>
  <c r="N621" i="1"/>
  <c r="O621" i="1"/>
  <c r="P621" i="1"/>
  <c r="Q621" i="1"/>
  <c r="R621" i="1"/>
  <c r="S621" i="1"/>
  <c r="T621" i="1"/>
  <c r="U621" i="1"/>
  <c r="V621" i="1"/>
  <c r="W621" i="1"/>
  <c r="X621" i="1"/>
  <c r="Y621" i="1"/>
  <c r="B622" i="1"/>
  <c r="B623" i="1"/>
  <c r="M625" i="1"/>
  <c r="N625" i="1"/>
  <c r="O625" i="1"/>
  <c r="P625" i="1"/>
  <c r="Q625" i="1"/>
  <c r="R625" i="1"/>
  <c r="S625" i="1"/>
  <c r="T625" i="1"/>
  <c r="U625" i="1"/>
  <c r="M626" i="1"/>
  <c r="N626" i="1"/>
  <c r="O626" i="1"/>
  <c r="O633" i="1"/>
  <c r="P633" i="1"/>
  <c r="Q633" i="1"/>
  <c r="R633" i="1"/>
  <c r="S633" i="1"/>
  <c r="T633" i="1"/>
  <c r="U633" i="1"/>
  <c r="V633" i="1"/>
  <c r="W633" i="1"/>
  <c r="X633" i="1"/>
  <c r="Y633" i="1"/>
  <c r="B634" i="1"/>
  <c r="B635" i="1"/>
  <c r="B637" i="1" s="1"/>
  <c r="B652" i="1"/>
  <c r="CC661" i="1"/>
  <c r="CD661" i="1"/>
  <c r="CC662" i="1"/>
  <c r="CD662" i="1"/>
  <c r="CE662" i="1"/>
  <c r="CF662" i="1"/>
  <c r="CG662" i="1"/>
  <c r="CH662" i="1"/>
  <c r="CI662" i="1"/>
  <c r="CJ662" i="1"/>
  <c r="CK662" i="1"/>
  <c r="CL662" i="1"/>
  <c r="CM662" i="1"/>
  <c r="T663" i="1"/>
  <c r="U663" i="1"/>
  <c r="CK663" i="1" s="1"/>
  <c r="V663" i="1"/>
  <c r="W663" i="1"/>
  <c r="CL663" i="1" s="1"/>
  <c r="X663" i="1"/>
  <c r="CC664" i="1"/>
  <c r="CD664" i="1"/>
  <c r="CE664" i="1"/>
  <c r="CF664" i="1"/>
  <c r="CG664" i="1"/>
  <c r="CH664" i="1"/>
  <c r="CI664" i="1"/>
  <c r="CJ664" i="1"/>
  <c r="CK664" i="1"/>
  <c r="CL664" i="1"/>
  <c r="CM664" i="1"/>
  <c r="T665" i="1"/>
  <c r="U665" i="1"/>
  <c r="CK665" i="1" s="1"/>
  <c r="V665" i="1"/>
  <c r="W665" i="1"/>
  <c r="CL665" i="1" s="1"/>
  <c r="X665" i="1"/>
  <c r="X677" i="1" s="1"/>
  <c r="CC665" i="1"/>
  <c r="CD665" i="1"/>
  <c r="CC666" i="1"/>
  <c r="CD666" i="1"/>
  <c r="CE666" i="1"/>
  <c r="CF666" i="1"/>
  <c r="CG666" i="1"/>
  <c r="CH666" i="1"/>
  <c r="CI666" i="1"/>
  <c r="CJ666" i="1"/>
  <c r="CK666" i="1"/>
  <c r="CL666" i="1"/>
  <c r="CM666" i="1"/>
  <c r="CC668" i="1"/>
  <c r="CD668" i="1"/>
  <c r="CE668" i="1"/>
  <c r="CF668" i="1"/>
  <c r="CG668" i="1"/>
  <c r="CH668" i="1"/>
  <c r="CI668" i="1"/>
  <c r="CJ668" i="1"/>
  <c r="CK668" i="1"/>
  <c r="CL668" i="1"/>
  <c r="CM668" i="1"/>
  <c r="CC669" i="1"/>
  <c r="CD669" i="1"/>
  <c r="CE669" i="1"/>
  <c r="CF669" i="1"/>
  <c r="CG669" i="1"/>
  <c r="CH669" i="1"/>
  <c r="CI669" i="1"/>
  <c r="CJ669" i="1"/>
  <c r="CK669" i="1"/>
  <c r="CL669" i="1"/>
  <c r="CM669" i="1"/>
  <c r="CC671" i="1"/>
  <c r="CD671" i="1"/>
  <c r="CE671" i="1"/>
  <c r="CF671" i="1"/>
  <c r="CG671" i="1"/>
  <c r="CH671" i="1"/>
  <c r="CI671" i="1"/>
  <c r="CJ671" i="1"/>
  <c r="CK671" i="1"/>
  <c r="CL671" i="1"/>
  <c r="CM671" i="1"/>
  <c r="CC672" i="1"/>
  <c r="CD672" i="1"/>
  <c r="CE672" i="1"/>
  <c r="CF672" i="1"/>
  <c r="CG672" i="1"/>
  <c r="CH672" i="1"/>
  <c r="CI672" i="1"/>
  <c r="CJ672" i="1"/>
  <c r="CK672" i="1"/>
  <c r="CL672" i="1"/>
  <c r="CM672" i="1"/>
  <c r="CC673" i="1"/>
  <c r="CD673" i="1"/>
  <c r="CE673" i="1"/>
  <c r="CF673" i="1"/>
  <c r="CG673" i="1"/>
  <c r="CH673" i="1"/>
  <c r="CI673" i="1"/>
  <c r="CJ673" i="1"/>
  <c r="CK673" i="1"/>
  <c r="CL673" i="1"/>
  <c r="CM673" i="1"/>
  <c r="V675" i="1"/>
  <c r="W675" i="1"/>
  <c r="CL675" i="1" s="1"/>
  <c r="X675" i="1"/>
  <c r="CC675" i="1"/>
  <c r="CD675" i="1"/>
  <c r="CE675" i="1"/>
  <c r="CF675" i="1"/>
  <c r="CH675" i="1"/>
  <c r="CI675" i="1"/>
  <c r="CJ675" i="1"/>
  <c r="CK675" i="1"/>
  <c r="CM675" i="1"/>
  <c r="CC676" i="1"/>
  <c r="CD676" i="1"/>
  <c r="CE676" i="1"/>
  <c r="CF676" i="1"/>
  <c r="CG676" i="1"/>
  <c r="CH676" i="1"/>
  <c r="CI676" i="1"/>
  <c r="CJ676" i="1"/>
  <c r="CK676" i="1"/>
  <c r="CL676" i="1"/>
  <c r="CM676" i="1"/>
  <c r="P696" i="1"/>
  <c r="Q696" i="1"/>
  <c r="R696" i="1"/>
  <c r="S696" i="1"/>
  <c r="T696" i="1"/>
  <c r="U696" i="1"/>
  <c r="V696" i="1"/>
  <c r="W696" i="1"/>
  <c r="X696" i="1"/>
  <c r="M703" i="1"/>
  <c r="N703" i="1"/>
  <c r="O703" i="1"/>
  <c r="P703" i="1"/>
  <c r="Q703" i="1"/>
  <c r="R703" i="1"/>
  <c r="S703" i="1"/>
  <c r="T703" i="1"/>
  <c r="U703" i="1"/>
  <c r="V703" i="1"/>
  <c r="W703" i="1"/>
  <c r="X703" i="1"/>
  <c r="Y703" i="1"/>
  <c r="M735" i="1"/>
  <c r="M762" i="1" s="1"/>
  <c r="N735" i="1"/>
  <c r="N762" i="1" s="1"/>
  <c r="O735" i="1"/>
  <c r="O762" i="1" s="1"/>
  <c r="P735" i="1"/>
  <c r="P762" i="1" s="1"/>
  <c r="Q735" i="1"/>
  <c r="Q762" i="1" s="1"/>
  <c r="R735" i="1"/>
  <c r="R762" i="1" s="1"/>
  <c r="S735" i="1"/>
  <c r="S762" i="1" s="1"/>
  <c r="T735" i="1"/>
  <c r="T762" i="1" s="1"/>
  <c r="U735" i="1"/>
  <c r="U762" i="1" s="1"/>
  <c r="V735" i="1"/>
  <c r="V762" i="1" s="1"/>
  <c r="W735" i="1"/>
  <c r="W762" i="1" s="1"/>
  <c r="X735" i="1"/>
  <c r="X762" i="1" s="1"/>
  <c r="Y735" i="1"/>
  <c r="Y762" i="1" s="1"/>
  <c r="Z735" i="1"/>
  <c r="Z762" i="1" s="1"/>
  <c r="M737" i="1"/>
  <c r="M763" i="1" s="1"/>
  <c r="N737" i="1"/>
  <c r="N763" i="1" s="1"/>
  <c r="O737" i="1"/>
  <c r="O763" i="1" s="1"/>
  <c r="P737" i="1"/>
  <c r="P763" i="1" s="1"/>
  <c r="Q737" i="1"/>
  <c r="Q763" i="1" s="1"/>
  <c r="R737" i="1"/>
  <c r="R763" i="1" s="1"/>
  <c r="S737" i="1"/>
  <c r="S763" i="1" s="1"/>
  <c r="T737" i="1"/>
  <c r="T763" i="1" s="1"/>
  <c r="U737" i="1"/>
  <c r="U763" i="1" s="1"/>
  <c r="V737" i="1"/>
  <c r="V763" i="1" s="1"/>
  <c r="W737" i="1"/>
  <c r="W763" i="1" s="1"/>
  <c r="X737" i="1"/>
  <c r="X763" i="1" s="1"/>
  <c r="Y737" i="1"/>
  <c r="Y763" i="1" s="1"/>
  <c r="M814" i="1"/>
  <c r="N814" i="1"/>
  <c r="O814" i="1"/>
  <c r="P814" i="1"/>
  <c r="Q814" i="1"/>
  <c r="R814" i="1"/>
  <c r="S814" i="1"/>
  <c r="T814" i="1"/>
  <c r="U814" i="1"/>
  <c r="V814" i="1"/>
  <c r="W814" i="1"/>
  <c r="X814" i="1"/>
  <c r="Y814" i="1"/>
  <c r="M815" i="1"/>
  <c r="N815" i="1"/>
  <c r="O815" i="1"/>
  <c r="P815" i="1"/>
  <c r="Q815" i="1"/>
  <c r="R815" i="1"/>
  <c r="S815" i="1"/>
  <c r="T815" i="1"/>
  <c r="U815" i="1"/>
  <c r="V815" i="1"/>
  <c r="W815" i="1"/>
  <c r="X815" i="1"/>
  <c r="Y815" i="1"/>
  <c r="M818" i="1"/>
  <c r="N818" i="1"/>
  <c r="O818" i="1"/>
  <c r="P818" i="1"/>
  <c r="Q818" i="1"/>
  <c r="R818" i="1"/>
  <c r="S818" i="1"/>
  <c r="T818" i="1"/>
  <c r="U818" i="1"/>
  <c r="V818" i="1"/>
  <c r="W818" i="1"/>
  <c r="X818" i="1"/>
  <c r="Y818" i="1"/>
  <c r="M824" i="1"/>
  <c r="N824" i="1"/>
  <c r="O824" i="1"/>
  <c r="P824" i="1"/>
  <c r="Q824" i="1"/>
  <c r="R824" i="1"/>
  <c r="S824" i="1"/>
  <c r="T824" i="1"/>
  <c r="U824" i="1"/>
  <c r="V824" i="1"/>
  <c r="W824" i="1"/>
  <c r="X824" i="1"/>
  <c r="Y824" i="1"/>
  <c r="M839" i="1"/>
  <c r="O839" i="1"/>
  <c r="Q839" i="1"/>
  <c r="S839" i="1"/>
  <c r="U839" i="1"/>
  <c r="W839" i="1"/>
  <c r="Y839" i="1"/>
  <c r="CO442" i="1"/>
  <c r="V474" i="1"/>
  <c r="V470" i="1" s="1"/>
  <c r="CO540" i="1"/>
  <c r="CL396" i="1"/>
  <c r="W474" i="1"/>
  <c r="W470" i="1" s="1"/>
  <c r="CR520" i="1"/>
  <c r="CM413" i="1"/>
  <c r="CM396" i="1"/>
  <c r="CP193" i="1"/>
  <c r="CL448" i="1"/>
  <c r="CN92" i="1"/>
  <c r="CR474" i="1"/>
  <c r="CL411" i="1"/>
  <c r="CO577" i="1"/>
  <c r="CN577" i="1"/>
  <c r="AA588" i="1"/>
  <c r="CN588" i="1" s="1"/>
  <c r="CN539" i="1"/>
  <c r="CP187" i="1"/>
  <c r="CO187" i="1"/>
  <c r="CO193" i="1"/>
  <c r="CN574" i="1"/>
  <c r="CN555" i="1"/>
  <c r="CL386" i="1"/>
  <c r="CO92" i="1"/>
  <c r="CN600" i="1"/>
  <c r="CN575" i="1"/>
  <c r="CN573" i="1"/>
  <c r="CN566" i="1"/>
  <c r="CN499" i="1"/>
  <c r="CN187" i="1"/>
  <c r="CP576" i="1"/>
  <c r="CO576" i="1"/>
  <c r="CN142" i="1"/>
  <c r="CN576" i="1"/>
  <c r="CO574" i="1"/>
  <c r="CP574" i="1"/>
  <c r="CP577" i="1"/>
  <c r="CC682" i="1"/>
  <c r="CC681" i="1"/>
  <c r="CC680" i="1"/>
  <c r="CC679" i="1"/>
  <c r="CC678" i="1"/>
  <c r="CC677" i="1"/>
  <c r="CO555" i="1"/>
  <c r="CQ574" i="1"/>
  <c r="AB588" i="1"/>
  <c r="AB735" i="1"/>
  <c r="AB762" i="1" s="1"/>
  <c r="CL413" i="1"/>
  <c r="W425" i="1"/>
  <c r="W460" i="1" s="1"/>
  <c r="W517" i="1"/>
  <c r="CO600" i="1"/>
  <c r="CO499" i="1"/>
  <c r="AB522" i="1"/>
  <c r="AB536" i="1" s="1"/>
  <c r="CO566" i="1"/>
  <c r="CO573" i="1"/>
  <c r="CO575" i="1"/>
  <c r="CP92" i="1"/>
  <c r="CO565" i="1"/>
  <c r="CP540" i="1"/>
  <c r="CQ576" i="1"/>
  <c r="CR574" i="1"/>
  <c r="CO142" i="1"/>
  <c r="CN583" i="1"/>
  <c r="CO539" i="1"/>
  <c r="CP555" i="1"/>
  <c r="CP575" i="1"/>
  <c r="CP573" i="1"/>
  <c r="AC522" i="1"/>
  <c r="CP565" i="1"/>
  <c r="CP566" i="1"/>
  <c r="CP600" i="1"/>
  <c r="CN584" i="1"/>
  <c r="CQ577" i="1"/>
  <c r="CQ540" i="1"/>
  <c r="CR576" i="1"/>
  <c r="CR577" i="1"/>
  <c r="CO583" i="1"/>
  <c r="CD681" i="1"/>
  <c r="CD680" i="1"/>
  <c r="CD678" i="1"/>
  <c r="CD677" i="1"/>
  <c r="CD682" i="1"/>
  <c r="CD679" i="1"/>
  <c r="CQ555" i="1"/>
  <c r="AF735" i="1"/>
  <c r="AF762" i="1" s="1"/>
  <c r="CN603" i="1"/>
  <c r="CR546" i="1"/>
  <c r="Z139" i="1"/>
  <c r="CN139" i="1" s="1"/>
  <c r="CP499" i="1"/>
  <c r="CQ573" i="1"/>
  <c r="CQ575" i="1"/>
  <c r="CR575" i="1"/>
  <c r="CQ600" i="1"/>
  <c r="CR600" i="1"/>
  <c r="CQ566" i="1"/>
  <c r="CR566" i="1"/>
  <c r="CQ565" i="1"/>
  <c r="CR565" i="1"/>
  <c r="CR540" i="1"/>
  <c r="CP142" i="1"/>
  <c r="CR555" i="1"/>
  <c r="CR573" i="1"/>
  <c r="CN535" i="1"/>
  <c r="CP583" i="1"/>
  <c r="CP539" i="1"/>
  <c r="Z633" i="1"/>
  <c r="CO603" i="1"/>
  <c r="CQ142" i="1"/>
  <c r="CS576" i="1"/>
  <c r="CR571" i="1"/>
  <c r="CQ583" i="1"/>
  <c r="CE681" i="1"/>
  <c r="CE680" i="1"/>
  <c r="CE679" i="1"/>
  <c r="CE677" i="1"/>
  <c r="CE678" i="1"/>
  <c r="CE682" i="1"/>
  <c r="CP603" i="1"/>
  <c r="CQ499" i="1"/>
  <c r="CR583" i="1"/>
  <c r="CQ539" i="1"/>
  <c r="CQ603" i="1"/>
  <c r="CR603" i="1"/>
  <c r="CF682" i="1"/>
  <c r="CF681" i="1"/>
  <c r="CF680" i="1"/>
  <c r="CF679" i="1"/>
  <c r="CF678" i="1"/>
  <c r="CF677" i="1"/>
  <c r="CN543" i="1"/>
  <c r="CN652" i="1" s="1"/>
  <c r="CR588" i="1"/>
  <c r="CN553" i="1"/>
  <c r="AA633" i="1"/>
  <c r="CG709" i="1"/>
  <c r="CG681" i="1"/>
  <c r="CG680" i="1"/>
  <c r="CG679" i="1"/>
  <c r="CG677" i="1"/>
  <c r="CG678" i="1"/>
  <c r="CG682" i="1"/>
  <c r="CG706" i="1"/>
  <c r="CG705" i="1"/>
  <c r="CG708" i="1"/>
  <c r="CG710" i="1"/>
  <c r="CN554" i="1"/>
  <c r="CG712" i="1"/>
  <c r="CH709" i="1"/>
  <c r="CH706" i="1"/>
  <c r="CH682" i="1"/>
  <c r="CH681" i="1"/>
  <c r="CH679" i="1"/>
  <c r="CH678" i="1"/>
  <c r="CH677" i="1"/>
  <c r="CH680" i="1"/>
  <c r="CH712" i="1"/>
  <c r="CH708" i="1"/>
  <c r="CH705" i="1"/>
  <c r="CH710" i="1"/>
  <c r="CG212" i="1"/>
  <c r="CI682" i="1"/>
  <c r="CI681" i="1"/>
  <c r="CI680" i="1"/>
  <c r="CI679" i="1"/>
  <c r="CI678" i="1"/>
  <c r="CI677" i="1"/>
  <c r="CI712" i="1"/>
  <c r="CI709" i="1"/>
  <c r="CI705" i="1"/>
  <c r="CI708" i="1"/>
  <c r="CI710" i="1"/>
  <c r="CI706" i="1"/>
  <c r="CH212" i="1"/>
  <c r="CJ682" i="1"/>
  <c r="CJ681" i="1"/>
  <c r="CJ680" i="1"/>
  <c r="CJ679" i="1"/>
  <c r="CJ677" i="1"/>
  <c r="CJ678" i="1"/>
  <c r="CJ708" i="1"/>
  <c r="CJ710" i="1"/>
  <c r="CJ706" i="1"/>
  <c r="CJ712" i="1"/>
  <c r="CJ709" i="1"/>
  <c r="CJ705" i="1"/>
  <c r="CI212" i="1"/>
  <c r="CK682" i="1"/>
  <c r="CK681" i="1"/>
  <c r="CK680" i="1"/>
  <c r="CK679" i="1"/>
  <c r="CK678" i="1"/>
  <c r="CK677" i="1"/>
  <c r="CK708" i="1"/>
  <c r="CK710" i="1"/>
  <c r="CK706" i="1"/>
  <c r="CK712" i="1"/>
  <c r="CK709" i="1"/>
  <c r="CK705" i="1"/>
  <c r="CJ212" i="1"/>
  <c r="CL682" i="1"/>
  <c r="CL677" i="1"/>
  <c r="CL678" i="1"/>
  <c r="CL706" i="1"/>
  <c r="CL681" i="1"/>
  <c r="CL680" i="1"/>
  <c r="CL679" i="1"/>
  <c r="CL708" i="1"/>
  <c r="CL710" i="1"/>
  <c r="CL709" i="1"/>
  <c r="CL705" i="1"/>
  <c r="CK212" i="1"/>
  <c r="CL712" i="1"/>
  <c r="CM679" i="1"/>
  <c r="CM705" i="1"/>
  <c r="CM709" i="1"/>
  <c r="CM706" i="1"/>
  <c r="CM708" i="1"/>
  <c r="CM710" i="1"/>
  <c r="CL212" i="1"/>
  <c r="CM681" i="1"/>
  <c r="CM680" i="1"/>
  <c r="CM682" i="1"/>
  <c r="CM712" i="1"/>
  <c r="Z2" i="1"/>
  <c r="AA725" i="1" s="1"/>
  <c r="Z3" i="1"/>
  <c r="CN706" i="1"/>
  <c r="CN682" i="1"/>
  <c r="CM212" i="1"/>
  <c r="CN20" i="1"/>
  <c r="CO682" i="1"/>
  <c r="Z737" i="1"/>
  <c r="Z763" i="1" s="1"/>
  <c r="AB3" i="1"/>
  <c r="AB2" i="1"/>
  <c r="AC725" i="1" s="1"/>
  <c r="CN172" i="1"/>
  <c r="CP682" i="1"/>
  <c r="CN18" i="1"/>
  <c r="CN17" i="1"/>
  <c r="CN19" i="1"/>
  <c r="AB60" i="1"/>
  <c r="AB49" i="1" s="1"/>
  <c r="AB59" i="1"/>
  <c r="AB48" i="1" s="1"/>
  <c r="AB318" i="1"/>
  <c r="AB56" i="1"/>
  <c r="AB57" i="1"/>
  <c r="CN432" i="1"/>
  <c r="CQ682" i="1"/>
  <c r="CQ681" i="1"/>
  <c r="AB737" i="1"/>
  <c r="AB763" i="1" s="1"/>
  <c r="Z434" i="1"/>
  <c r="CN170" i="1"/>
  <c r="CR677" i="1"/>
  <c r="AC737" i="1"/>
  <c r="AC763" i="1" s="1"/>
  <c r="AC318" i="1"/>
  <c r="CO432" i="1"/>
  <c r="CN708" i="1"/>
  <c r="CO17" i="1"/>
  <c r="CO20" i="1"/>
  <c r="AA101" i="1"/>
  <c r="AA105" i="1" s="1"/>
  <c r="Z227" i="1"/>
  <c r="CO19" i="1"/>
  <c r="CO18" i="1"/>
  <c r="CN173" i="1"/>
  <c r="CR682" i="1"/>
  <c r="AD737" i="1"/>
  <c r="AD763" i="1" s="1"/>
  <c r="CO172" i="1"/>
  <c r="CO170" i="1"/>
  <c r="AA227" i="1"/>
  <c r="CS706" i="1"/>
  <c r="CO708" i="1"/>
  <c r="CO173" i="1"/>
  <c r="AF737" i="1"/>
  <c r="AF763" i="1" s="1"/>
  <c r="CT706" i="1"/>
  <c r="AH737" i="1"/>
  <c r="AH763" i="1" s="1"/>
  <c r="CU706" i="1"/>
  <c r="Z176" i="1"/>
  <c r="CN164" i="1"/>
  <c r="CN180" i="1"/>
  <c r="CN166" i="1"/>
  <c r="CN158" i="1"/>
  <c r="Z222" i="1"/>
  <c r="CO166" i="1"/>
  <c r="CO180" i="1"/>
  <c r="CN167" i="1"/>
  <c r="CO158" i="1"/>
  <c r="Z178" i="1"/>
  <c r="Z181" i="1" s="1"/>
  <c r="Z813" i="1" s="1"/>
  <c r="CN157" i="1"/>
  <c r="AA176" i="1"/>
  <c r="CN179" i="1"/>
  <c r="Z216" i="1"/>
  <c r="Z215" i="1"/>
  <c r="AA222" i="1"/>
  <c r="Z234" i="1"/>
  <c r="Z237" i="1" s="1"/>
  <c r="Z238" i="1" s="1"/>
  <c r="CO164" i="1"/>
  <c r="CN161" i="1"/>
  <c r="AA178" i="1"/>
  <c r="CN178" i="1" s="1"/>
  <c r="AB176" i="1"/>
  <c r="CP158" i="1"/>
  <c r="CP180" i="1"/>
  <c r="CO179" i="1"/>
  <c r="AA216" i="1"/>
  <c r="AA215" i="1"/>
  <c r="AB178" i="1"/>
  <c r="CO157" i="1"/>
  <c r="CN578" i="1"/>
  <c r="CO167" i="1"/>
  <c r="AA234" i="1"/>
  <c r="AA237" i="1" s="1"/>
  <c r="AA238" i="1" s="1"/>
  <c r="AB234" i="1"/>
  <c r="AB237" i="1" s="1"/>
  <c r="AB238" i="1" s="1"/>
  <c r="CO161" i="1"/>
  <c r="CP179" i="1"/>
  <c r="CN679" i="1"/>
  <c r="CN666" i="1"/>
  <c r="CP157" i="1"/>
  <c r="CN124" i="1"/>
  <c r="CO578" i="1"/>
  <c r="Z703" i="1"/>
  <c r="Z815" i="1"/>
  <c r="Z814" i="1"/>
  <c r="CN705" i="1"/>
  <c r="Z821" i="1"/>
  <c r="Z827" i="1"/>
  <c r="Z122" i="1"/>
  <c r="CN669" i="1"/>
  <c r="CN662" i="1"/>
  <c r="CN125" i="1"/>
  <c r="CN664" i="1"/>
  <c r="Z262" i="1"/>
  <c r="Z212" i="1"/>
  <c r="Z818" i="1"/>
  <c r="Z824" i="1"/>
  <c r="CN397" i="1"/>
  <c r="CN120" i="1"/>
  <c r="AA815" i="1"/>
  <c r="CP161" i="1"/>
  <c r="CN614" i="1"/>
  <c r="CN395" i="1"/>
  <c r="AA212" i="1"/>
  <c r="AA703" i="1"/>
  <c r="AA262" i="1"/>
  <c r="AA814" i="1"/>
  <c r="AB815" i="1"/>
  <c r="CP578" i="1"/>
  <c r="CO679" i="1"/>
  <c r="CO666" i="1"/>
  <c r="CN712" i="1"/>
  <c r="CN598" i="1"/>
  <c r="AA827" i="1"/>
  <c r="AA821" i="1"/>
  <c r="CN212" i="1"/>
  <c r="AA818" i="1"/>
  <c r="CN121" i="1"/>
  <c r="AA824" i="1"/>
  <c r="AA122" i="1"/>
  <c r="CO664" i="1"/>
  <c r="AB262" i="1"/>
  <c r="AB212" i="1"/>
  <c r="CO662" i="1"/>
  <c r="CO669" i="1"/>
  <c r="CO397" i="1"/>
  <c r="AC212" i="1"/>
  <c r="CO395" i="1"/>
  <c r="CO705" i="1"/>
  <c r="CO212" i="1"/>
  <c r="Z621" i="1"/>
  <c r="CN151" i="1"/>
  <c r="CO151" i="1"/>
  <c r="CP151" i="1"/>
  <c r="CQ151" i="1"/>
  <c r="CR151" i="1"/>
  <c r="Z258" i="1"/>
  <c r="Z599" i="1"/>
  <c r="CN478" i="1"/>
  <c r="Z424" i="1"/>
  <c r="Z459" i="1" s="1"/>
  <c r="Z502" i="1"/>
  <c r="CN102" i="1"/>
  <c r="CN106" i="1"/>
  <c r="CO101" i="1" s="1"/>
  <c r="AB101" i="1"/>
  <c r="AB105" i="1" s="1"/>
  <c r="CN103" i="1"/>
  <c r="AA434" i="1"/>
  <c r="CN572" i="1"/>
  <c r="CN526" i="1"/>
  <c r="AA621" i="1"/>
  <c r="CN675" i="1"/>
  <c r="AA737" i="1"/>
  <c r="AA763" i="1" s="1"/>
  <c r="AA735" i="1"/>
  <c r="AA762" i="1" s="1"/>
  <c r="CN138" i="1"/>
  <c r="CN135" i="1"/>
  <c r="CN735" i="1" s="1"/>
  <c r="CP138" i="1"/>
  <c r="CP135" i="1"/>
  <c r="CP735" i="1" s="1"/>
  <c r="CO138" i="1"/>
  <c r="CO135" i="1"/>
  <c r="CO735" i="1" s="1"/>
  <c r="CQ138" i="1"/>
  <c r="CQ135" i="1"/>
  <c r="CQ735" i="1" s="1"/>
  <c r="CS135" i="1"/>
  <c r="CS735" i="1" s="1"/>
  <c r="AO56" i="31" s="1"/>
  <c r="CR138" i="1"/>
  <c r="CR135" i="1"/>
  <c r="CR735" i="1" s="1"/>
  <c r="AN56" i="31" s="1"/>
  <c r="AB139" i="1"/>
  <c r="CO535" i="1"/>
  <c r="CO543" i="1"/>
  <c r="CO652" i="1" s="1"/>
  <c r="AD139" i="1"/>
  <c r="CP535" i="1"/>
  <c r="CP543" i="1"/>
  <c r="CP652" i="1" s="1"/>
  <c r="CQ535" i="1"/>
  <c r="CQ543" i="1"/>
  <c r="CQ652" i="1" s="1"/>
  <c r="AG139" i="1"/>
  <c r="CR139" i="1"/>
  <c r="CR535" i="1"/>
  <c r="CN396" i="1"/>
  <c r="CN210" i="1"/>
  <c r="CN556" i="1"/>
  <c r="AA626" i="1"/>
  <c r="AB626" i="1"/>
  <c r="CO556" i="1"/>
  <c r="CN387" i="1"/>
  <c r="AA381" i="1"/>
  <c r="AA327" i="1" s="1"/>
  <c r="AA388" i="1"/>
  <c r="AA424" i="1"/>
  <c r="AA459" i="1" s="1"/>
  <c r="CN412" i="1"/>
  <c r="CN414" i="1"/>
  <c r="CN709" i="1"/>
  <c r="CN449" i="1"/>
  <c r="CN497" i="1"/>
  <c r="CN710" i="1"/>
  <c r="AB434" i="1"/>
  <c r="CN676" i="1"/>
  <c r="AA839" i="1"/>
  <c r="CN137" i="1"/>
  <c r="CN839" i="1" s="1"/>
  <c r="AB621" i="1"/>
  <c r="CN672" i="1"/>
  <c r="CN673" i="1"/>
  <c r="CN567" i="1"/>
  <c r="AA589" i="1"/>
  <c r="CN589" i="1" s="1"/>
  <c r="AA599" i="1"/>
  <c r="AB703" i="1"/>
  <c r="AB625" i="1"/>
  <c r="AB814" i="1"/>
  <c r="AB122" i="1"/>
  <c r="AB827" i="1"/>
  <c r="AB821" i="1"/>
  <c r="AB818" i="1"/>
  <c r="AB824" i="1"/>
  <c r="CO598" i="1"/>
  <c r="CO712" i="1"/>
  <c r="AB258" i="1"/>
  <c r="AB381" i="1"/>
  <c r="AB327" i="1" s="1"/>
  <c r="AB388" i="1"/>
  <c r="CO102" i="1"/>
  <c r="AC434" i="1"/>
  <c r="CO106" i="1"/>
  <c r="CP101" i="1" s="1"/>
  <c r="AD101" i="1"/>
  <c r="AD105" i="1" s="1"/>
  <c r="CO103" i="1"/>
  <c r="AC661" i="1"/>
  <c r="CO572" i="1"/>
  <c r="CO526" i="1"/>
  <c r="CO675" i="1"/>
  <c r="AB599" i="1"/>
  <c r="AB589" i="1"/>
  <c r="CR584" i="1"/>
  <c r="CO478" i="1"/>
  <c r="CO396" i="1"/>
  <c r="CO210" i="1"/>
  <c r="AC209" i="1"/>
  <c r="CO209" i="1" s="1"/>
  <c r="CO387" i="1"/>
  <c r="CO709" i="1"/>
  <c r="CO710" i="1"/>
  <c r="CO414" i="1"/>
  <c r="CO449" i="1"/>
  <c r="CO497" i="1"/>
  <c r="CO676" i="1"/>
  <c r="CO673" i="1"/>
  <c r="CO672" i="1"/>
  <c r="CO567" i="1"/>
  <c r="CO120" i="1"/>
  <c r="AC821" i="1"/>
  <c r="AC827" i="1"/>
  <c r="CO121" i="1"/>
  <c r="AC824" i="1"/>
  <c r="AC818" i="1"/>
  <c r="AC115" i="1"/>
  <c r="AC815" i="1"/>
  <c r="CO124" i="1"/>
  <c r="CO125" i="1"/>
  <c r="AC814" i="1"/>
  <c r="CP17" i="1"/>
  <c r="CP20" i="1"/>
  <c r="CP18" i="1"/>
  <c r="CP19" i="1"/>
  <c r="CP172" i="1"/>
  <c r="CP164" i="1"/>
  <c r="CP166" i="1"/>
  <c r="CP170" i="1"/>
  <c r="CP173" i="1"/>
  <c r="CP167" i="1"/>
  <c r="CP669" i="1"/>
  <c r="CP662" i="1"/>
  <c r="CP666" i="1"/>
  <c r="AD262" i="1"/>
  <c r="AD212" i="1"/>
  <c r="CP664" i="1"/>
  <c r="CP395" i="1"/>
  <c r="CP397" i="1"/>
  <c r="CP705" i="1"/>
  <c r="CP212" i="1"/>
  <c r="CP614" i="1"/>
  <c r="AD209" i="1"/>
  <c r="CP210" i="1"/>
  <c r="CP556" i="1"/>
  <c r="CQ556" i="1"/>
  <c r="CP396" i="1"/>
  <c r="CP709" i="1"/>
  <c r="CP414" i="1"/>
  <c r="CR602" i="1"/>
  <c r="AD434" i="1"/>
  <c r="AD661" i="1"/>
  <c r="CP102" i="1"/>
  <c r="CP103" i="1"/>
  <c r="CP106" i="1"/>
  <c r="CQ101" i="1" s="1"/>
  <c r="AF101" i="1"/>
  <c r="AF105" i="1" s="1"/>
  <c r="CP572" i="1"/>
  <c r="AD821" i="1"/>
  <c r="AD827" i="1"/>
  <c r="AD818" i="1"/>
  <c r="AD824" i="1"/>
  <c r="CP121" i="1"/>
  <c r="AF818" i="1"/>
  <c r="AF821" i="1"/>
  <c r="CP598" i="1"/>
  <c r="CP712" i="1"/>
  <c r="AD815" i="1"/>
  <c r="AD814" i="1"/>
  <c r="AD115" i="1"/>
  <c r="CP124" i="1"/>
  <c r="CP679" i="1"/>
  <c r="CP125" i="1"/>
  <c r="CP120" i="1"/>
  <c r="AF824" i="1"/>
  <c r="AF122" i="1"/>
  <c r="AF815" i="1"/>
  <c r="AF827" i="1"/>
  <c r="AF814" i="1"/>
  <c r="CP478" i="1"/>
  <c r="AC839" i="1"/>
  <c r="CO137" i="1"/>
  <c r="CO839" i="1" s="1"/>
  <c r="AD839" i="1"/>
  <c r="AE839" i="1"/>
  <c r="CP675" i="1"/>
  <c r="CP387" i="1"/>
  <c r="CP710" i="1"/>
  <c r="CP432" i="1"/>
  <c r="CP497" i="1"/>
  <c r="CP449" i="1"/>
  <c r="CP708" i="1"/>
  <c r="AF434" i="1"/>
  <c r="CP676" i="1"/>
  <c r="CP137" i="1"/>
  <c r="CP839" i="1" s="1"/>
  <c r="CP673" i="1"/>
  <c r="CQ708" i="1"/>
  <c r="CQ432" i="1"/>
  <c r="CP567" i="1"/>
  <c r="CP672" i="1"/>
  <c r="AF839" i="1"/>
  <c r="AF661" i="1"/>
  <c r="CQ572" i="1"/>
  <c r="CQ20" i="1"/>
  <c r="CQ18" i="1"/>
  <c r="CQ210" i="1"/>
  <c r="CQ19" i="1"/>
  <c r="CQ17" i="1"/>
  <c r="CQ526" i="1"/>
  <c r="CQ172" i="1"/>
  <c r="CQ170" i="1"/>
  <c r="CQ173" i="1"/>
  <c r="CQ675" i="1"/>
  <c r="CQ709" i="1"/>
  <c r="CQ164" i="1"/>
  <c r="CQ166" i="1"/>
  <c r="CQ157" i="1"/>
  <c r="CQ179" i="1"/>
  <c r="CQ180" i="1"/>
  <c r="CQ158" i="1"/>
  <c r="CQ161" i="1"/>
  <c r="CQ167" i="1"/>
  <c r="CQ578" i="1"/>
  <c r="CQ187" i="1"/>
  <c r="CQ193" i="1"/>
  <c r="CQ611" i="1"/>
  <c r="CQ679" i="1"/>
  <c r="CQ614" i="1"/>
  <c r="CQ669" i="1"/>
  <c r="CQ397" i="1"/>
  <c r="AG212" i="1"/>
  <c r="CQ662" i="1"/>
  <c r="CQ664" i="1"/>
  <c r="CQ666" i="1"/>
  <c r="CQ395" i="1"/>
  <c r="CQ705" i="1"/>
  <c r="CQ396" i="1"/>
  <c r="CQ712" i="1"/>
  <c r="CQ598" i="1"/>
  <c r="CQ414" i="1"/>
  <c r="CQ478" i="1"/>
  <c r="CQ710" i="1"/>
  <c r="CQ449" i="1"/>
  <c r="CQ497" i="1"/>
  <c r="CQ676" i="1"/>
  <c r="CQ673" i="1"/>
  <c r="CQ672" i="1"/>
  <c r="CQ589" i="1"/>
  <c r="CQ567" i="1"/>
  <c r="AG48" i="1"/>
  <c r="CQ103" i="1"/>
  <c r="CQ106" i="1"/>
  <c r="CR101" i="1" s="1"/>
  <c r="AG661" i="1"/>
  <c r="CQ102" i="1"/>
  <c r="AG434" i="1"/>
  <c r="AG827" i="1"/>
  <c r="AG821" i="1"/>
  <c r="AG820" i="1"/>
  <c r="AG815" i="1"/>
  <c r="AG824" i="1"/>
  <c r="AG818" i="1"/>
  <c r="CQ121" i="1"/>
  <c r="CQ124" i="1"/>
  <c r="CQ120" i="1"/>
  <c r="AG814" i="1"/>
  <c r="CQ125" i="1"/>
  <c r="AG115" i="1"/>
  <c r="AH434" i="1"/>
  <c r="AH661" i="1"/>
  <c r="AH827" i="1"/>
  <c r="AH821" i="1"/>
  <c r="AH814" i="1"/>
  <c r="AH815" i="1"/>
  <c r="AH824" i="1"/>
  <c r="AH818" i="1"/>
  <c r="AH115" i="1"/>
  <c r="AH116" i="1"/>
  <c r="AG839" i="1"/>
  <c r="CQ137" i="1"/>
  <c r="CQ839" i="1" s="1"/>
  <c r="AH839" i="1"/>
  <c r="M4" i="2"/>
  <c r="AH181" i="1" l="1"/>
  <c r="J6" i="30"/>
  <c r="J8" i="30"/>
  <c r="C19" i="30"/>
  <c r="D19" i="30"/>
  <c r="E19" i="30"/>
  <c r="AH327" i="1"/>
  <c r="AH3" i="1"/>
  <c r="AH238" i="1"/>
  <c r="AH762" i="1"/>
  <c r="AG116" i="1"/>
  <c r="AH826" i="1"/>
  <c r="AG823" i="1"/>
  <c r="AH817" i="1"/>
  <c r="AG817" i="1"/>
  <c r="CQ610" i="1"/>
  <c r="CQ613" i="1" s="1"/>
  <c r="CQ821" i="1" s="1"/>
  <c r="CO469" i="1"/>
  <c r="CO400" i="1"/>
  <c r="CP473" i="1"/>
  <c r="AC486" i="1"/>
  <c r="CO571" i="1"/>
  <c r="CO585" i="1" s="1"/>
  <c r="BS32" i="1"/>
  <c r="BS29" i="1"/>
  <c r="BS38" i="1"/>
  <c r="BS39" i="1"/>
  <c r="BS40" i="1"/>
  <c r="BS30" i="1"/>
  <c r="BS31" i="1"/>
  <c r="BS33" i="1"/>
  <c r="CA33" i="1"/>
  <c r="CA30" i="1"/>
  <c r="CA39" i="1"/>
  <c r="CA40" i="1"/>
  <c r="CA29" i="1"/>
  <c r="CA31" i="1"/>
  <c r="CA38" i="1"/>
  <c r="CA32" i="1"/>
  <c r="CP475" i="1"/>
  <c r="C32" i="1"/>
  <c r="C70" i="1"/>
  <c r="C275" i="1" s="1"/>
  <c r="C67" i="1"/>
  <c r="C272" i="1" s="1"/>
  <c r="C39" i="1"/>
  <c r="C30" i="1"/>
  <c r="C29" i="1"/>
  <c r="C40" i="1"/>
  <c r="C31" i="1"/>
  <c r="C38" i="1"/>
  <c r="C33" i="1"/>
  <c r="C68" i="1"/>
  <c r="C273" i="1" s="1"/>
  <c r="AB70" i="1"/>
  <c r="AB275" i="1" s="1"/>
  <c r="AB67" i="1"/>
  <c r="AB272" i="1" s="1"/>
  <c r="AB39" i="1"/>
  <c r="AB132" i="1"/>
  <c r="AB68" i="1"/>
  <c r="AB273" i="1" s="1"/>
  <c r="AB40" i="1"/>
  <c r="AB38" i="1"/>
  <c r="AB32" i="1"/>
  <c r="AB30" i="1"/>
  <c r="AB33" i="1"/>
  <c r="AB31" i="1"/>
  <c r="AB29" i="1"/>
  <c r="Z32" i="1"/>
  <c r="Z70" i="1"/>
  <c r="Z275" i="1" s="1"/>
  <c r="Z67" i="1"/>
  <c r="Z272" i="1" s="1"/>
  <c r="Z132" i="1"/>
  <c r="Z636" i="1" s="1"/>
  <c r="Z39" i="1"/>
  <c r="Z31" i="1"/>
  <c r="Z29" i="1"/>
  <c r="Z40" i="1"/>
  <c r="Z30" i="1"/>
  <c r="Z68" i="1"/>
  <c r="Z273" i="1" s="1"/>
  <c r="Z33" i="1"/>
  <c r="Z38" i="1"/>
  <c r="AA32" i="1"/>
  <c r="AA70" i="1"/>
  <c r="AA275" i="1" s="1"/>
  <c r="AA67" i="1"/>
  <c r="AA272" i="1" s="1"/>
  <c r="AA39" i="1"/>
  <c r="AA132" i="1"/>
  <c r="AA636" i="1" s="1"/>
  <c r="AA33" i="1"/>
  <c r="AA29" i="1"/>
  <c r="AA40" i="1"/>
  <c r="AA30" i="1"/>
  <c r="AA68" i="1"/>
  <c r="AA273" i="1" s="1"/>
  <c r="AA38" i="1"/>
  <c r="AA31" i="1"/>
  <c r="AG154" i="1"/>
  <c r="AG813" i="1"/>
  <c r="CG546" i="1"/>
  <c r="CG478" i="1"/>
  <c r="CO621" i="1"/>
  <c r="CP526" i="1"/>
  <c r="CQ519" i="1"/>
  <c r="CE397" i="1"/>
  <c r="CE205" i="1"/>
  <c r="CG432" i="1"/>
  <c r="CG93" i="1" s="1"/>
  <c r="CP470" i="1"/>
  <c r="T626" i="1"/>
  <c r="BZ55" i="1"/>
  <c r="CD412" i="1"/>
  <c r="CD424" i="1" s="1"/>
  <c r="CD459" i="1" s="1"/>
  <c r="CD488" i="1" s="1"/>
  <c r="CB55" i="1"/>
  <c r="AF825" i="1"/>
  <c r="CF205" i="1"/>
  <c r="AB145" i="1"/>
  <c r="AE702" i="1"/>
  <c r="CG398" i="1"/>
  <c r="CP546" i="1"/>
  <c r="CE210" i="1"/>
  <c r="CP469" i="1"/>
  <c r="AG819" i="1"/>
  <c r="I537" i="1"/>
  <c r="CE537" i="1" s="1"/>
  <c r="CO506" i="1"/>
  <c r="CO537" i="1"/>
  <c r="CC555" i="1"/>
  <c r="CC562" i="1" s="1"/>
  <c r="CE414" i="1"/>
  <c r="CE415" i="1" s="1"/>
  <c r="CQ105" i="1"/>
  <c r="AC820" i="1"/>
  <c r="CO665" i="1"/>
  <c r="CQ178" i="1"/>
  <c r="CQ139" i="1"/>
  <c r="CG400" i="1"/>
  <c r="BV259" i="1"/>
  <c r="BV85" i="1" s="1"/>
  <c r="BZ259" i="1"/>
  <c r="BZ260" i="1" s="1"/>
  <c r="BZ699" i="1" s="1"/>
  <c r="CP506" i="1"/>
  <c r="CQ506" i="1"/>
  <c r="BX809" i="1"/>
  <c r="CP205" i="1"/>
  <c r="AH2" i="1"/>
  <c r="AI725" i="1" s="1"/>
  <c r="CG416" i="1"/>
  <c r="CC397" i="1"/>
  <c r="CE398" i="1"/>
  <c r="AF813" i="1"/>
  <c r="AF820" i="1"/>
  <c r="AB634" i="1"/>
  <c r="CO634" i="1" s="1"/>
  <c r="AE3" i="1"/>
  <c r="AD2" i="1"/>
  <c r="AE725" i="1" s="1"/>
  <c r="CO479" i="1"/>
  <c r="CO480" i="1" s="1"/>
  <c r="AE2" i="1"/>
  <c r="AF725" i="1" s="1"/>
  <c r="AG3" i="1"/>
  <c r="AD3" i="1"/>
  <c r="D667" i="1"/>
  <c r="BT2" i="1"/>
  <c r="BU725" i="1" s="1"/>
  <c r="CP85" i="1"/>
  <c r="AF3" i="1"/>
  <c r="AC2" i="1"/>
  <c r="AD725" i="1" s="1"/>
  <c r="AC54" i="1"/>
  <c r="CC1" i="1"/>
  <c r="CC3" i="1" s="1"/>
  <c r="AG2" i="1"/>
  <c r="AH725" i="1" s="1"/>
  <c r="CN665" i="1"/>
  <c r="AF2" i="1"/>
  <c r="AG725" i="1" s="1"/>
  <c r="AC3" i="1"/>
  <c r="CG524" i="1"/>
  <c r="CG399" i="1"/>
  <c r="J562" i="1"/>
  <c r="J561" i="1" s="1"/>
  <c r="CC503" i="1"/>
  <c r="AG812" i="1"/>
  <c r="AG825" i="1"/>
  <c r="CB143" i="1"/>
  <c r="AD257" i="1"/>
  <c r="AD247" i="1" s="1"/>
  <c r="AG234" i="1"/>
  <c r="AG237" i="1" s="1"/>
  <c r="AG238" i="1" s="1"/>
  <c r="J143" i="1"/>
  <c r="AG816" i="1"/>
  <c r="G209" i="1"/>
  <c r="G208" i="1" s="1"/>
  <c r="CE400" i="1"/>
  <c r="CP181" i="1"/>
  <c r="CP154" i="1" s="1"/>
  <c r="AG822" i="1"/>
  <c r="AF698" i="1"/>
  <c r="CP178" i="1"/>
  <c r="CN503" i="1"/>
  <c r="CF410" i="1"/>
  <c r="CF422" i="1" s="1"/>
  <c r="CF457" i="1" s="1"/>
  <c r="AB507" i="1"/>
  <c r="CC104" i="1"/>
  <c r="CO524" i="1"/>
  <c r="CG451" i="1"/>
  <c r="AC218" i="1"/>
  <c r="CO470" i="1"/>
  <c r="CO809" i="1" s="1"/>
  <c r="BZ809" i="1"/>
  <c r="CP260" i="1"/>
  <c r="CP699" i="1" s="1"/>
  <c r="AD816" i="1"/>
  <c r="AD819" i="1"/>
  <c r="CQ517" i="1"/>
  <c r="BU635" i="1"/>
  <c r="BU637" i="1" s="1"/>
  <c r="BU739" i="1" s="1"/>
  <c r="BU765" i="1" s="1"/>
  <c r="CO503" i="1"/>
  <c r="AC399" i="1"/>
  <c r="CO399" i="1" s="1"/>
  <c r="CP518" i="1"/>
  <c r="CQ518" i="1"/>
  <c r="AG216" i="1"/>
  <c r="AG584" i="1"/>
  <c r="CQ584" i="1" s="1"/>
  <c r="CQ585" i="1" s="1"/>
  <c r="BW259" i="1"/>
  <c r="BW85" i="1" s="1"/>
  <c r="CA259" i="1"/>
  <c r="CA260" i="1" s="1"/>
  <c r="CA699" i="1" s="1"/>
  <c r="CQ501" i="1"/>
  <c r="AD812" i="1"/>
  <c r="AD825" i="1"/>
  <c r="AD822" i="1"/>
  <c r="AD813" i="1"/>
  <c r="CP105" i="1"/>
  <c r="CE555" i="1"/>
  <c r="CC524" i="1"/>
  <c r="AF243" i="1"/>
  <c r="AF253" i="1" s="1"/>
  <c r="AH154" i="1"/>
  <c r="AH825" i="1"/>
  <c r="AH812" i="1"/>
  <c r="AH813" i="1"/>
  <c r="AZ455" i="1"/>
  <c r="AZ484" i="1" s="1"/>
  <c r="AH822" i="1"/>
  <c r="CE399" i="1"/>
  <c r="AH584" i="1"/>
  <c r="CG397" i="1"/>
  <c r="F562" i="1"/>
  <c r="F561" i="1" s="1"/>
  <c r="I215" i="1"/>
  <c r="I232" i="1" s="1"/>
  <c r="I233" i="1" s="1"/>
  <c r="BY635" i="1"/>
  <c r="BY738" i="1" s="1"/>
  <c r="BY764" i="1" s="1"/>
  <c r="AH816" i="1"/>
  <c r="AH819" i="1"/>
  <c r="AC823" i="1"/>
  <c r="AC826" i="1"/>
  <c r="CO611" i="1"/>
  <c r="M502" i="1"/>
  <c r="M130" i="1" s="1"/>
  <c r="CJ412" i="1"/>
  <c r="CJ424" i="1" s="1"/>
  <c r="CJ459" i="1" s="1"/>
  <c r="CJ488" i="1" s="1"/>
  <c r="CO467" i="1"/>
  <c r="CF412" i="1"/>
  <c r="CF424" i="1" s="1"/>
  <c r="CF459" i="1" s="1"/>
  <c r="CF488" i="1" s="1"/>
  <c r="CD410" i="1"/>
  <c r="CD422" i="1" s="1"/>
  <c r="CD457" i="1" s="1"/>
  <c r="AF455" i="1"/>
  <c r="AF484" i="1" s="1"/>
  <c r="CD555" i="1"/>
  <c r="CD562" i="1" s="1"/>
  <c r="CQ473" i="1"/>
  <c r="AC817" i="1"/>
  <c r="CN504" i="1"/>
  <c r="R507" i="1"/>
  <c r="Z196" i="1"/>
  <c r="H502" i="1"/>
  <c r="H130" i="1" s="1"/>
  <c r="CA143" i="1"/>
  <c r="BT249" i="1"/>
  <c r="BT254" i="1" s="1"/>
  <c r="BT311" i="1" s="1"/>
  <c r="BT78" i="1" s="1"/>
  <c r="AD507" i="1"/>
  <c r="CP634" i="1"/>
  <c r="AE456" i="1"/>
  <c r="AE485" i="1" s="1"/>
  <c r="CQ387" i="1"/>
  <c r="CP145" i="1"/>
  <c r="CO610" i="1"/>
  <c r="CO145" i="1" s="1"/>
  <c r="CP537" i="1"/>
  <c r="CJ497" i="1"/>
  <c r="AG455" i="1"/>
  <c r="AG484" i="1" s="1"/>
  <c r="P143" i="1"/>
  <c r="K537" i="1"/>
  <c r="CF537" i="1" s="1"/>
  <c r="W623" i="1"/>
  <c r="O623" i="1"/>
  <c r="CD101" i="1"/>
  <c r="CD790" i="1" s="1"/>
  <c r="O208" i="1"/>
  <c r="P265" i="1" s="1"/>
  <c r="CM433" i="1"/>
  <c r="AF381" i="1"/>
  <c r="CH432" i="1"/>
  <c r="CH93" i="1" s="1"/>
  <c r="CH523" i="1"/>
  <c r="CM160" i="1"/>
  <c r="O696" i="1"/>
  <c r="N445" i="1"/>
  <c r="N443" i="1" s="1"/>
  <c r="Q424" i="1"/>
  <c r="Q459" i="1" s="1"/>
  <c r="Q488" i="1" s="1"/>
  <c r="CJ210" i="1"/>
  <c r="CH410" i="1"/>
  <c r="CH422" i="1" s="1"/>
  <c r="CH457" i="1" s="1"/>
  <c r="C589" i="1"/>
  <c r="CM524" i="1"/>
  <c r="CI470" i="1"/>
  <c r="N422" i="1"/>
  <c r="N457" i="1" s="1"/>
  <c r="N486" i="1" s="1"/>
  <c r="CH387" i="1"/>
  <c r="CH388" i="1" s="1"/>
  <c r="S627" i="1"/>
  <c r="CP442" i="1"/>
  <c r="N244" i="1"/>
  <c r="CM523" i="1"/>
  <c r="CL414" i="1"/>
  <c r="CJ399" i="1"/>
  <c r="CI398" i="1"/>
  <c r="CI400" i="1"/>
  <c r="CI412" i="1"/>
  <c r="CI424" i="1" s="1"/>
  <c r="CI459" i="1" s="1"/>
  <c r="CI488" i="1" s="1"/>
  <c r="CM610" i="1"/>
  <c r="CM145" i="1" s="1"/>
  <c r="Y204" i="1"/>
  <c r="CM204" i="1" s="1"/>
  <c r="F445" i="1"/>
  <c r="F443" i="1" s="1"/>
  <c r="BV55" i="1"/>
  <c r="BW55" i="1"/>
  <c r="BS507" i="1"/>
  <c r="BW507" i="1"/>
  <c r="CA507" i="1"/>
  <c r="CQ442" i="1"/>
  <c r="W204" i="1"/>
  <c r="CL204" i="1" s="1"/>
  <c r="P54" i="1"/>
  <c r="CQ433" i="1"/>
  <c r="CP415" i="1"/>
  <c r="CP416" i="1" s="1"/>
  <c r="CP621" i="1"/>
  <c r="Y145" i="1"/>
  <c r="CE535" i="1"/>
  <c r="CC526" i="1"/>
  <c r="CG625" i="1"/>
  <c r="C10" i="27"/>
  <c r="C11" i="27" s="1"/>
  <c r="CO139" i="1"/>
  <c r="CC627" i="1"/>
  <c r="CK610" i="1"/>
  <c r="CL523" i="1"/>
  <c r="CJ400" i="1"/>
  <c r="O267" i="1"/>
  <c r="CH399" i="1"/>
  <c r="K422" i="1"/>
  <c r="K457" i="1" s="1"/>
  <c r="K486" i="1" s="1"/>
  <c r="BT143" i="1"/>
  <c r="AC468" i="1"/>
  <c r="CO433" i="1"/>
  <c r="K433" i="1"/>
  <c r="BY141" i="1"/>
  <c r="BY143" i="1" s="1"/>
  <c r="CP467" i="1"/>
  <c r="P415" i="1"/>
  <c r="P427" i="1" s="1"/>
  <c r="P450" i="1"/>
  <c r="CH546" i="1"/>
  <c r="N234" i="1"/>
  <c r="N237" i="1" s="1"/>
  <c r="N238" i="1" s="1"/>
  <c r="N450" i="1"/>
  <c r="O507" i="1"/>
  <c r="N627" i="1"/>
  <c r="L258" i="1"/>
  <c r="F505" i="1"/>
  <c r="F520" i="1" s="1"/>
  <c r="CP433" i="1"/>
  <c r="CP407" i="1"/>
  <c r="AF196" i="1"/>
  <c r="CE626" i="1"/>
  <c r="AF819" i="1"/>
  <c r="CQ625" i="1"/>
  <c r="O130" i="1"/>
  <c r="L627" i="1"/>
  <c r="CH234" i="1"/>
  <c r="CH237" i="1" s="1"/>
  <c r="CH238" i="1" s="1"/>
  <c r="AF812" i="1"/>
  <c r="AF816" i="1"/>
  <c r="Z823" i="1"/>
  <c r="CG621" i="1"/>
  <c r="CC506" i="1"/>
  <c r="CF499" i="1"/>
  <c r="BU306" i="1"/>
  <c r="BU76" i="1" s="1"/>
  <c r="Y197" i="1"/>
  <c r="CM197" i="1" s="1"/>
  <c r="N227" i="1"/>
  <c r="N232" i="1" s="1"/>
  <c r="AB698" i="1"/>
  <c r="Y507" i="1"/>
  <c r="P507" i="1"/>
  <c r="U204" i="1"/>
  <c r="U192" i="1" s="1"/>
  <c r="CK192" i="1" s="1"/>
  <c r="CK58" i="1" s="1"/>
  <c r="W415" i="1"/>
  <c r="CL415" i="1" s="1"/>
  <c r="CF625" i="1"/>
  <c r="CP501" i="1"/>
  <c r="AF822" i="1"/>
  <c r="AB633" i="1"/>
  <c r="CN424" i="1"/>
  <c r="CN459" i="1" s="1"/>
  <c r="CN488" i="1" s="1"/>
  <c r="CF633" i="1"/>
  <c r="CP503" i="1"/>
  <c r="CP626" i="1"/>
  <c r="AD261" i="1"/>
  <c r="AB197" i="1"/>
  <c r="CP444" i="1"/>
  <c r="CP455" i="1" s="1"/>
  <c r="CP517" i="1"/>
  <c r="CG509" i="1"/>
  <c r="CQ546" i="1"/>
  <c r="Y218" i="1"/>
  <c r="N633" i="1"/>
  <c r="CH633" i="1" s="1"/>
  <c r="CG553" i="1"/>
  <c r="CG139" i="1" s="1"/>
  <c r="CL524" i="1"/>
  <c r="P623" i="1"/>
  <c r="CL478" i="1"/>
  <c r="O424" i="1"/>
  <c r="O459" i="1" s="1"/>
  <c r="O488" i="1" s="1"/>
  <c r="CI537" i="1"/>
  <c r="Q584" i="1"/>
  <c r="Q602" i="1" s="1"/>
  <c r="CI602" i="1" s="1"/>
  <c r="N258" i="1"/>
  <c r="M244" i="1"/>
  <c r="CD398" i="1"/>
  <c r="CF400" i="1"/>
  <c r="CQ467" i="1"/>
  <c r="Y54" i="1"/>
  <c r="Y257" i="1"/>
  <c r="Y259" i="1" s="1"/>
  <c r="Y260" i="1" s="1"/>
  <c r="M633" i="1"/>
  <c r="M635" i="1" s="1"/>
  <c r="M738" i="1" s="1"/>
  <c r="M764" i="1" s="1"/>
  <c r="S623" i="1"/>
  <c r="M507" i="1"/>
  <c r="W479" i="1"/>
  <c r="CL479" i="1" s="1"/>
  <c r="O159" i="1"/>
  <c r="CH159" i="1" s="1"/>
  <c r="CI53" i="1" s="1"/>
  <c r="Q143" i="1"/>
  <c r="CI523" i="1"/>
  <c r="M257" i="1"/>
  <c r="CK546" i="1"/>
  <c r="CK537" i="1"/>
  <c r="V507" i="1"/>
  <c r="BU267" i="1"/>
  <c r="BU87" i="1" s="1"/>
  <c r="BY415" i="1"/>
  <c r="BY427" i="1" s="1"/>
  <c r="BY450" i="1"/>
  <c r="BY507" i="1"/>
  <c r="AD54" i="1"/>
  <c r="CE475" i="1"/>
  <c r="CP625" i="1"/>
  <c r="CQ445" i="1"/>
  <c r="CQ516" i="1"/>
  <c r="CQ520" i="1"/>
  <c r="CQ450" i="1"/>
  <c r="CQ451" i="1" s="1"/>
  <c r="CQ626" i="1"/>
  <c r="BS443" i="1"/>
  <c r="BS98" i="1" s="1"/>
  <c r="AD602" i="1"/>
  <c r="CE516" i="1"/>
  <c r="CC518" i="1"/>
  <c r="CC621" i="1"/>
  <c r="BW112" i="1"/>
  <c r="CO523" i="1"/>
  <c r="CL610" i="1"/>
  <c r="W611" i="1"/>
  <c r="CL611" i="1" s="1"/>
  <c r="G203" i="1"/>
  <c r="G204" i="1" s="1"/>
  <c r="G186" i="1" s="1"/>
  <c r="CD205" i="1"/>
  <c r="E209" i="1"/>
  <c r="CC209" i="1" s="1"/>
  <c r="CC210" i="1"/>
  <c r="I433" i="1"/>
  <c r="I422" i="1"/>
  <c r="I457" i="1" s="1"/>
  <c r="I486" i="1" s="1"/>
  <c r="H505" i="1"/>
  <c r="H520" i="1" s="1"/>
  <c r="I506" i="1"/>
  <c r="I505" i="1" s="1"/>
  <c r="I520" i="1" s="1"/>
  <c r="I621" i="1"/>
  <c r="CE621" i="1" s="1"/>
  <c r="CE526" i="1"/>
  <c r="BX204" i="1"/>
  <c r="BX202" i="1" s="1"/>
  <c r="BX55" i="1"/>
  <c r="BX141" i="1"/>
  <c r="BX143" i="1" s="1"/>
  <c r="AF536" i="1"/>
  <c r="CQ536" i="1" s="1"/>
  <c r="CQ522" i="1"/>
  <c r="CR409" i="1"/>
  <c r="CR421" i="1" s="1"/>
  <c r="CR456" i="1" s="1"/>
  <c r="CR485" i="1" s="1"/>
  <c r="R433" i="1"/>
  <c r="CJ433" i="1" s="1"/>
  <c r="R422" i="1"/>
  <c r="R457" i="1" s="1"/>
  <c r="R486" i="1" s="1"/>
  <c r="P433" i="1"/>
  <c r="CI433" i="1" s="1"/>
  <c r="P422" i="1"/>
  <c r="P457" i="1" s="1"/>
  <c r="P486" i="1" s="1"/>
  <c r="P445" i="1"/>
  <c r="O433" i="1"/>
  <c r="CH433" i="1" s="1"/>
  <c r="O445" i="1"/>
  <c r="CN467" i="1"/>
  <c r="AA611" i="1"/>
  <c r="AA612" i="1" s="1"/>
  <c r="CN610" i="1"/>
  <c r="F634" i="1"/>
  <c r="F635" i="1" s="1"/>
  <c r="F738" i="1" s="1"/>
  <c r="F764" i="1" s="1"/>
  <c r="L262" i="1"/>
  <c r="L212" i="1"/>
  <c r="BS143" i="1"/>
  <c r="AF627" i="1"/>
  <c r="AF634" i="1"/>
  <c r="CQ634" i="1" s="1"/>
  <c r="CQ537" i="1"/>
  <c r="AH820" i="1"/>
  <c r="CQ470" i="1"/>
  <c r="CQ205" i="1"/>
  <c r="AF823" i="1"/>
  <c r="AF817" i="1"/>
  <c r="AD116" i="1"/>
  <c r="AD817" i="1"/>
  <c r="AD826" i="1"/>
  <c r="CP139" i="1"/>
  <c r="AA145" i="1"/>
  <c r="CG501" i="1"/>
  <c r="CG475" i="1"/>
  <c r="S267" i="1"/>
  <c r="N208" i="1"/>
  <c r="N152" i="1" s="1"/>
  <c r="Y196" i="1"/>
  <c r="CM196" i="1" s="1"/>
  <c r="R477" i="1"/>
  <c r="R472" i="1" s="1"/>
  <c r="R465" i="1" s="1"/>
  <c r="R711" i="1" s="1"/>
  <c r="CJ478" i="1"/>
  <c r="Q505" i="1"/>
  <c r="Q500" i="1" s="1"/>
  <c r="Q498" i="1" s="1"/>
  <c r="CI506" i="1"/>
  <c r="CI546" i="1"/>
  <c r="P584" i="1"/>
  <c r="P602" i="1" s="1"/>
  <c r="P603" i="1" s="1"/>
  <c r="N54" i="1"/>
  <c r="N257" i="1"/>
  <c r="M249" i="1"/>
  <c r="CH397" i="1"/>
  <c r="CG414" i="1"/>
  <c r="M479" i="1"/>
  <c r="N505" i="1"/>
  <c r="CH505" i="1" s="1"/>
  <c r="CH506" i="1"/>
  <c r="X505" i="1"/>
  <c r="X520" i="1" s="1"/>
  <c r="CM520" i="1" s="1"/>
  <c r="CM506" i="1"/>
  <c r="CL387" i="1"/>
  <c r="CL449" i="1"/>
  <c r="O216" i="1"/>
  <c r="S502" i="1"/>
  <c r="S500" i="1" s="1"/>
  <c r="S424" i="1"/>
  <c r="S459" i="1" s="1"/>
  <c r="S488" i="1" s="1"/>
  <c r="CB210" i="1"/>
  <c r="CB209" i="1" s="1"/>
  <c r="CB64" i="1" s="1"/>
  <c r="N267" i="1"/>
  <c r="CH412" i="1"/>
  <c r="CH424" i="1" s="1"/>
  <c r="CH459" i="1" s="1"/>
  <c r="CH488" i="1" s="1"/>
  <c r="N502" i="1"/>
  <c r="N130" i="1" s="1"/>
  <c r="CN546" i="1"/>
  <c r="F507" i="1"/>
  <c r="E589" i="1"/>
  <c r="CC589" i="1" s="1"/>
  <c r="H257" i="1"/>
  <c r="H259" i="1" s="1"/>
  <c r="H260" i="1" s="1"/>
  <c r="H699" i="1" s="1"/>
  <c r="D210" i="1"/>
  <c r="D209" i="1" s="1"/>
  <c r="D64" i="1" s="1"/>
  <c r="BW141" i="1"/>
  <c r="BW143" i="1" s="1"/>
  <c r="BS55" i="1"/>
  <c r="AE243" i="1"/>
  <c r="AE248" i="1"/>
  <c r="AE523" i="1"/>
  <c r="CP523" i="1" s="1"/>
  <c r="CP524" i="1"/>
  <c r="AE677" i="1"/>
  <c r="CP677" i="1" s="1"/>
  <c r="CP665" i="1"/>
  <c r="CM576" i="1"/>
  <c r="Z626" i="1"/>
  <c r="CN626" i="1" s="1"/>
  <c r="AA159" i="1"/>
  <c r="CN159" i="1" s="1"/>
  <c r="CN160" i="1"/>
  <c r="Z634" i="1"/>
  <c r="CN634" i="1" s="1"/>
  <c r="CN537" i="1"/>
  <c r="F327" i="1"/>
  <c r="CD381" i="1"/>
  <c r="CD327" i="1" s="1"/>
  <c r="E445" i="1"/>
  <c r="CC445" i="1" s="1"/>
  <c r="E433" i="1"/>
  <c r="CC433" i="1" s="1"/>
  <c r="E502" i="1"/>
  <c r="CC502" i="1" s="1"/>
  <c r="E424" i="1"/>
  <c r="E459" i="1" s="1"/>
  <c r="E488" i="1" s="1"/>
  <c r="G522" i="1"/>
  <c r="G536" i="1" s="1"/>
  <c r="G623" i="1" s="1"/>
  <c r="CD499" i="1"/>
  <c r="AD536" i="1"/>
  <c r="CP536" i="1" s="1"/>
  <c r="CP522" i="1"/>
  <c r="AE398" i="1"/>
  <c r="AE399" i="1" s="1"/>
  <c r="CP400" i="1"/>
  <c r="AF523" i="1"/>
  <c r="CQ523" i="1" s="1"/>
  <c r="CQ524" i="1"/>
  <c r="AF216" i="1"/>
  <c r="AF234" i="1"/>
  <c r="AF237" i="1" s="1"/>
  <c r="AF238" i="1" s="1"/>
  <c r="AD820" i="1"/>
  <c r="CO205" i="1"/>
  <c r="U244" i="1"/>
  <c r="U257" i="1"/>
  <c r="U259" i="1" s="1"/>
  <c r="U260" i="1" s="1"/>
  <c r="U261" i="1" s="1"/>
  <c r="L160" i="1"/>
  <c r="K160" i="1" s="1"/>
  <c r="L54" i="1" s="1"/>
  <c r="CG160" i="1"/>
  <c r="N262" i="1"/>
  <c r="N696" i="1"/>
  <c r="Z159" i="1"/>
  <c r="Z53" i="1" s="1"/>
  <c r="Z218" i="1"/>
  <c r="AG159" i="1"/>
  <c r="CQ159" i="1" s="1"/>
  <c r="CQ665" i="1"/>
  <c r="CQ160" i="1"/>
  <c r="CP381" i="1"/>
  <c r="CP327" i="1" s="1"/>
  <c r="AF826" i="1"/>
  <c r="CP409" i="1"/>
  <c r="CP421" i="1" s="1"/>
  <c r="CM665" i="1"/>
  <c r="Q623" i="1"/>
  <c r="CG519" i="1"/>
  <c r="AD486" i="1"/>
  <c r="CJ410" i="1"/>
  <c r="CJ422" i="1" s="1"/>
  <c r="CJ457" i="1" s="1"/>
  <c r="CC410" i="1"/>
  <c r="CC422" i="1" s="1"/>
  <c r="CC457" i="1" s="1"/>
  <c r="P257" i="1"/>
  <c r="P259" i="1" s="1"/>
  <c r="Z143" i="1"/>
  <c r="CN506" i="1"/>
  <c r="BT267" i="1"/>
  <c r="BT87" i="1" s="1"/>
  <c r="BT55" i="1"/>
  <c r="F143" i="1"/>
  <c r="K209" i="1"/>
  <c r="CF209" i="1" s="1"/>
  <c r="CG64" i="1" s="1"/>
  <c r="CF210" i="1"/>
  <c r="CD397" i="1"/>
  <c r="CF397" i="1"/>
  <c r="CF398" i="1"/>
  <c r="CD399" i="1"/>
  <c r="CF399" i="1"/>
  <c r="CD400" i="1"/>
  <c r="H422" i="1"/>
  <c r="H457" i="1" s="1"/>
  <c r="H486" i="1" s="1"/>
  <c r="H433" i="1"/>
  <c r="CE410" i="1"/>
  <c r="CE422" i="1" s="1"/>
  <c r="CE457" i="1" s="1"/>
  <c r="L445" i="1"/>
  <c r="L443" i="1" s="1"/>
  <c r="L422" i="1"/>
  <c r="L457" i="1" s="1"/>
  <c r="L486" i="1" s="1"/>
  <c r="H562" i="1"/>
  <c r="H561" i="1" s="1"/>
  <c r="H589" i="1"/>
  <c r="CA204" i="1"/>
  <c r="CA670" i="1" s="1"/>
  <c r="CA55" i="1"/>
  <c r="BU141" i="1"/>
  <c r="BU143" i="1" s="1"/>
  <c r="BV141" i="1"/>
  <c r="BV143" i="1" s="1"/>
  <c r="CO599" i="1"/>
  <c r="AC602" i="1"/>
  <c r="CO602" i="1" s="1"/>
  <c r="AB602" i="1"/>
  <c r="AC702" i="1"/>
  <c r="AA427" i="1"/>
  <c r="AA462" i="1" s="1"/>
  <c r="AA491" i="1" s="1"/>
  <c r="Z602" i="1"/>
  <c r="CR701" i="1"/>
  <c r="AB623" i="1"/>
  <c r="CM546" i="1"/>
  <c r="CL467" i="1"/>
  <c r="P152" i="1"/>
  <c r="O667" i="1"/>
  <c r="CH667" i="1" s="1"/>
  <c r="AC228" i="1"/>
  <c r="CN433" i="1"/>
  <c r="CO546" i="1"/>
  <c r="BZ143" i="1"/>
  <c r="CA450" i="1"/>
  <c r="CO625" i="1"/>
  <c r="CO626" i="1"/>
  <c r="CO105" i="1"/>
  <c r="AB667" i="1"/>
  <c r="V626" i="1"/>
  <c r="CG517" i="1"/>
  <c r="X507" i="1"/>
  <c r="CM450" i="1"/>
  <c r="CM451" i="1" s="1"/>
  <c r="AC455" i="1"/>
  <c r="AC484" i="1" s="1"/>
  <c r="M584" i="1"/>
  <c r="CG584" i="1" s="1"/>
  <c r="CG585" i="1" s="1"/>
  <c r="N204" i="1"/>
  <c r="N670" i="1" s="1"/>
  <c r="M234" i="1"/>
  <c r="M237" i="1" s="1"/>
  <c r="M238" i="1" s="1"/>
  <c r="AB196" i="1"/>
  <c r="AC627" i="1"/>
  <c r="AC196" i="1"/>
  <c r="CO196" i="1" s="1"/>
  <c r="AD145" i="1"/>
  <c r="AC713" i="1"/>
  <c r="CO713" i="1" s="1"/>
  <c r="U627" i="1"/>
  <c r="CM467" i="1"/>
  <c r="CG480" i="1"/>
  <c r="Y626" i="1"/>
  <c r="Q234" i="1"/>
  <c r="Q237" i="1" s="1"/>
  <c r="Q238" i="1" s="1"/>
  <c r="CI399" i="1"/>
  <c r="CH400" i="1"/>
  <c r="P204" i="1"/>
  <c r="P186" i="1" s="1"/>
  <c r="P55" i="1" s="1"/>
  <c r="CI451" i="1"/>
  <c r="AB257" i="1"/>
  <c r="AB259" i="1" s="1"/>
  <c r="CN205" i="1"/>
  <c r="AA2" i="1"/>
  <c r="AB725" i="1" s="1"/>
  <c r="T634" i="1"/>
  <c r="T635" i="1" s="1"/>
  <c r="T738" i="1" s="1"/>
  <c r="T764" i="1" s="1"/>
  <c r="U626" i="1"/>
  <c r="U54" i="1"/>
  <c r="S626" i="1"/>
  <c r="CJ537" i="1"/>
  <c r="W507" i="1"/>
  <c r="R502" i="1"/>
  <c r="R500" i="1" s="1"/>
  <c r="R495" i="1" s="1"/>
  <c r="CC499" i="1"/>
  <c r="S479" i="1"/>
  <c r="R424" i="1"/>
  <c r="R459" i="1" s="1"/>
  <c r="R488" i="1" s="1"/>
  <c r="CG412" i="1"/>
  <c r="CG424" i="1" s="1"/>
  <c r="CG459" i="1" s="1"/>
  <c r="CG488" i="1" s="1"/>
  <c r="CI410" i="1"/>
  <c r="CI422" i="1" s="1"/>
  <c r="CI457" i="1" s="1"/>
  <c r="CK397" i="1"/>
  <c r="V381" i="1"/>
  <c r="V327" i="1" s="1"/>
  <c r="M267" i="1"/>
  <c r="M262" i="1"/>
  <c r="CI210" i="1"/>
  <c r="S152" i="1"/>
  <c r="S507" i="1"/>
  <c r="O584" i="1"/>
  <c r="CH584" i="1" s="1"/>
  <c r="CH585" i="1" s="1"/>
  <c r="N216" i="1"/>
  <c r="CJ398" i="1"/>
  <c r="Q267" i="1"/>
  <c r="CH398" i="1"/>
  <c r="CJ469" i="1"/>
  <c r="I257" i="1"/>
  <c r="I259" i="1" s="1"/>
  <c r="I260" i="1" s="1"/>
  <c r="L433" i="1"/>
  <c r="CG433" i="1" s="1"/>
  <c r="H445" i="1"/>
  <c r="H456" i="1" s="1"/>
  <c r="H485" i="1" s="1"/>
  <c r="L244" i="1"/>
  <c r="AA257" i="1"/>
  <c r="AA259" i="1" s="1"/>
  <c r="AA260" i="1" s="1"/>
  <c r="AA261" i="1" s="1"/>
  <c r="CN470" i="1"/>
  <c r="CN112" i="1" s="1"/>
  <c r="Y627" i="1"/>
  <c r="CC633" i="1"/>
  <c r="V54" i="1"/>
  <c r="T257" i="1"/>
  <c r="T259" i="1" s="1"/>
  <c r="T260" i="1" s="1"/>
  <c r="T699" i="1" s="1"/>
  <c r="U159" i="1"/>
  <c r="CK159" i="1" s="1"/>
  <c r="CL53" i="1" s="1"/>
  <c r="CF555" i="1"/>
  <c r="CF562" i="1" s="1"/>
  <c r="CG537" i="1"/>
  <c r="Q479" i="1"/>
  <c r="Q422" i="1"/>
  <c r="Q457" i="1" s="1"/>
  <c r="Q486" i="1" s="1"/>
  <c r="R267" i="1"/>
  <c r="S234" i="1"/>
  <c r="S237" i="1" s="1"/>
  <c r="S238" i="1" s="1"/>
  <c r="V204" i="1"/>
  <c r="V186" i="1" s="1"/>
  <c r="V55" i="1" s="1"/>
  <c r="P159" i="1"/>
  <c r="CH449" i="1"/>
  <c r="CH480" i="1"/>
  <c r="CH479" i="1" s="1"/>
  <c r="CH509" i="1"/>
  <c r="K589" i="1"/>
  <c r="CF589" i="1" s="1"/>
  <c r="G589" i="1"/>
  <c r="CD589" i="1" s="1"/>
  <c r="D634" i="1"/>
  <c r="CC634" i="1" s="1"/>
  <c r="G234" i="1"/>
  <c r="G237" i="1" s="1"/>
  <c r="G238" i="1" s="1"/>
  <c r="E422" i="1"/>
  <c r="E457" i="1" s="1"/>
  <c r="E486" i="1" s="1"/>
  <c r="L143" i="1"/>
  <c r="L479" i="1"/>
  <c r="Q507" i="1"/>
  <c r="BU737" i="1"/>
  <c r="BU763" i="1" s="1"/>
  <c r="AA602" i="1"/>
  <c r="CN602" i="1" s="1"/>
  <c r="CN400" i="1"/>
  <c r="Z468" i="1"/>
  <c r="Z145" i="1"/>
  <c r="V218" i="1"/>
  <c r="CC178" i="1"/>
  <c r="X257" i="1"/>
  <c r="X259" i="1" s="1"/>
  <c r="CC537" i="1"/>
  <c r="CC535" i="1"/>
  <c r="Q445" i="1"/>
  <c r="Q443" i="1" s="1"/>
  <c r="CE412" i="1"/>
  <c r="CE424" i="1" s="1"/>
  <c r="CE459" i="1" s="1"/>
  <c r="CE488" i="1" s="1"/>
  <c r="V388" i="1"/>
  <c r="V427" i="1" s="1"/>
  <c r="V462" i="1" s="1"/>
  <c r="V491" i="1" s="1"/>
  <c r="CG210" i="1"/>
  <c r="M208" i="1"/>
  <c r="M152" i="1" s="1"/>
  <c r="R143" i="1"/>
  <c r="CJ524" i="1"/>
  <c r="R54" i="1"/>
  <c r="CI397" i="1"/>
  <c r="CI416" i="1"/>
  <c r="AA507" i="1"/>
  <c r="L502" i="1"/>
  <c r="L130" i="1" s="1"/>
  <c r="I445" i="1"/>
  <c r="I443" i="1" s="1"/>
  <c r="AD204" i="1"/>
  <c r="AD670" i="1" s="1"/>
  <c r="AA443" i="1"/>
  <c r="AA430" i="1" s="1"/>
  <c r="CJ546" i="1"/>
  <c r="R584" i="1"/>
  <c r="CI389" i="1"/>
  <c r="CI432" i="1"/>
  <c r="CI93" i="1" s="1"/>
  <c r="CJ523" i="1"/>
  <c r="M561" i="1"/>
  <c r="CG561" i="1" s="1"/>
  <c r="CH537" i="1"/>
  <c r="O204" i="1"/>
  <c r="O186" i="1" s="1"/>
  <c r="O55" i="1" s="1"/>
  <c r="M204" i="1"/>
  <c r="M670" i="1" s="1"/>
  <c r="CG670" i="1" s="1"/>
  <c r="N249" i="1"/>
  <c r="M415" i="1"/>
  <c r="M427" i="1" s="1"/>
  <c r="M450" i="1"/>
  <c r="CH451" i="1"/>
  <c r="CH450" i="1" s="1"/>
  <c r="J507" i="1"/>
  <c r="E257" i="1"/>
  <c r="E259" i="1" s="1"/>
  <c r="E260" i="1" s="1"/>
  <c r="E699" i="1" s="1"/>
  <c r="J422" i="1"/>
  <c r="J457" i="1" s="1"/>
  <c r="J486" i="1" s="1"/>
  <c r="H210" i="1"/>
  <c r="I267" i="1" s="1"/>
  <c r="F202" i="1"/>
  <c r="L204" i="1"/>
  <c r="L186" i="1" s="1"/>
  <c r="L55" i="1" s="1"/>
  <c r="F210" i="1"/>
  <c r="F209" i="1" s="1"/>
  <c r="BV507" i="1"/>
  <c r="BZ507" i="1"/>
  <c r="AH602" i="1"/>
  <c r="CL537" i="1"/>
  <c r="W257" i="1"/>
  <c r="W259" i="1" s="1"/>
  <c r="R627" i="1"/>
  <c r="CK523" i="1"/>
  <c r="N507" i="1"/>
  <c r="CG506" i="1"/>
  <c r="W130" i="1"/>
  <c r="R479" i="1"/>
  <c r="CJ479" i="1" s="1"/>
  <c r="O450" i="1"/>
  <c r="M445" i="1"/>
  <c r="M443" i="1" s="1"/>
  <c r="M430" i="1" s="1"/>
  <c r="M422" i="1"/>
  <c r="M457" i="1" s="1"/>
  <c r="M486" i="1" s="1"/>
  <c r="Q415" i="1"/>
  <c r="CI387" i="1"/>
  <c r="P267" i="1"/>
  <c r="Q227" i="1"/>
  <c r="Q232" i="1" s="1"/>
  <c r="CI160" i="1"/>
  <c r="M143" i="1"/>
  <c r="CN524" i="1"/>
  <c r="K506" i="1"/>
  <c r="CF506" i="1" s="1"/>
  <c r="CF507" i="1" s="1"/>
  <c r="J433" i="1"/>
  <c r="J205" i="1"/>
  <c r="H143" i="1"/>
  <c r="AF145" i="1"/>
  <c r="CM537" i="1"/>
  <c r="AH197" i="1"/>
  <c r="Y623" i="1"/>
  <c r="CJ506" i="1"/>
  <c r="O388" i="1"/>
  <c r="O262" i="1"/>
  <c r="Q204" i="1"/>
  <c r="Q186" i="1" s="1"/>
  <c r="CI186" i="1" s="1"/>
  <c r="CI55" i="1" s="1"/>
  <c r="S143" i="1"/>
  <c r="S249" i="1"/>
  <c r="R254" i="1"/>
  <c r="AA204" i="1"/>
  <c r="AA795" i="1" s="1"/>
  <c r="G257" i="1"/>
  <c r="G259" i="1" s="1"/>
  <c r="G260" i="1" s="1"/>
  <c r="I562" i="1"/>
  <c r="I561" i="1" s="1"/>
  <c r="CE561" i="1" s="1"/>
  <c r="F502" i="1"/>
  <c r="F130" i="1" s="1"/>
  <c r="AE584" i="1"/>
  <c r="CP584" i="1" s="1"/>
  <c r="CP585" i="1" s="1"/>
  <c r="AE204" i="1"/>
  <c r="CP204" i="1" s="1"/>
  <c r="CM469" i="1"/>
  <c r="R204" i="1"/>
  <c r="R186" i="1" s="1"/>
  <c r="R55" i="1" s="1"/>
  <c r="CN398" i="1"/>
  <c r="Q257" i="1"/>
  <c r="Q259" i="1" s="1"/>
  <c r="Q260" i="1" s="1"/>
  <c r="CI524" i="1"/>
  <c r="S584" i="1"/>
  <c r="CJ584" i="1" s="1"/>
  <c r="CJ585" i="1" s="1"/>
  <c r="M258" i="1"/>
  <c r="CH524" i="1"/>
  <c r="D205" i="1"/>
  <c r="T627" i="1"/>
  <c r="X204" i="1"/>
  <c r="X670" i="1" s="1"/>
  <c r="T204" i="1"/>
  <c r="T670" i="1" s="1"/>
  <c r="AB54" i="1"/>
  <c r="AF186" i="1"/>
  <c r="AF55" i="1" s="1"/>
  <c r="CN469" i="1"/>
  <c r="M228" i="1"/>
  <c r="S413" i="1"/>
  <c r="CJ413" i="1" s="1"/>
  <c r="CJ425" i="1" s="1"/>
  <c r="AH260" i="1"/>
  <c r="AH699" i="1" s="1"/>
  <c r="AB627" i="1"/>
  <c r="AA399" i="1"/>
  <c r="CN399" i="1" s="1"/>
  <c r="AA627" i="1"/>
  <c r="Z257" i="1"/>
  <c r="Z259" i="1" s="1"/>
  <c r="Z260" i="1" s="1"/>
  <c r="X626" i="1"/>
  <c r="U218" i="1"/>
  <c r="CK524" i="1"/>
  <c r="W627" i="1"/>
  <c r="Z54" i="1"/>
  <c r="W583" i="1"/>
  <c r="CL583" i="1" s="1"/>
  <c r="M702" i="1"/>
  <c r="M696" i="1"/>
  <c r="O627" i="1"/>
  <c r="R626" i="1"/>
  <c r="Z623" i="1"/>
  <c r="CL506" i="1"/>
  <c r="CG449" i="1"/>
  <c r="W388" i="1"/>
  <c r="R257" i="1"/>
  <c r="R259" i="1" s="1"/>
  <c r="R260" i="1" s="1"/>
  <c r="Q249" i="1"/>
  <c r="P234" i="1"/>
  <c r="P237" i="1" s="1"/>
  <c r="P238" i="1" s="1"/>
  <c r="CH202" i="1"/>
  <c r="S159" i="1"/>
  <c r="CJ159" i="1" s="1"/>
  <c r="CJ217" i="1" s="1"/>
  <c r="N159" i="1"/>
  <c r="CG158" i="1"/>
  <c r="CH216" i="1" s="1"/>
  <c r="R218" i="1"/>
  <c r="F234" i="1"/>
  <c r="F237" i="1" s="1"/>
  <c r="F238" i="1" s="1"/>
  <c r="Y192" i="1"/>
  <c r="X627" i="1"/>
  <c r="CK506" i="1"/>
  <c r="T54" i="1"/>
  <c r="X54" i="1"/>
  <c r="V257" i="1"/>
  <c r="V259" i="1" s="1"/>
  <c r="V260" i="1" s="1"/>
  <c r="V261" i="1" s="1"/>
  <c r="CM400" i="1"/>
  <c r="CL160" i="1"/>
  <c r="Q626" i="1"/>
  <c r="CI509" i="1"/>
  <c r="T507" i="1"/>
  <c r="Q130" i="1"/>
  <c r="Q450" i="1"/>
  <c r="S445" i="1"/>
  <c r="S443" i="1" s="1"/>
  <c r="S430" i="1" s="1"/>
  <c r="S422" i="1"/>
  <c r="S457" i="1" s="1"/>
  <c r="S486" i="1" s="1"/>
  <c r="CI414" i="1"/>
  <c r="Q388" i="1"/>
  <c r="O249" i="1"/>
  <c r="O234" i="1"/>
  <c r="O237" i="1" s="1"/>
  <c r="O238" i="1" s="1"/>
  <c r="CG202" i="1"/>
  <c r="M159" i="1"/>
  <c r="CG159" i="1" s="1"/>
  <c r="O143" i="1"/>
  <c r="R216" i="1"/>
  <c r="N218" i="1"/>
  <c r="N584" i="1"/>
  <c r="CJ234" i="1"/>
  <c r="CJ237" i="1" s="1"/>
  <c r="CJ238" i="1" s="1"/>
  <c r="AA254" i="1"/>
  <c r="E203" i="1"/>
  <c r="D203" i="1" s="1"/>
  <c r="AB427" i="1"/>
  <c r="AB462" i="1" s="1"/>
  <c r="AB491" i="1" s="1"/>
  <c r="AA218" i="1"/>
  <c r="Z627" i="1"/>
  <c r="X218" i="1"/>
  <c r="T218" i="1"/>
  <c r="W218" i="1"/>
  <c r="T584" i="1"/>
  <c r="T602" i="1" s="1"/>
  <c r="T603" i="1" s="1"/>
  <c r="Y583" i="1"/>
  <c r="CM583" i="1" s="1"/>
  <c r="W54" i="1"/>
  <c r="M627" i="1"/>
  <c r="P626" i="1"/>
  <c r="CL546" i="1"/>
  <c r="P502" i="1"/>
  <c r="P500" i="1" s="1"/>
  <c r="P479" i="1"/>
  <c r="CI478" i="1"/>
  <c r="CI479" i="1" s="1"/>
  <c r="CI449" i="1"/>
  <c r="P424" i="1"/>
  <c r="P459" i="1" s="1"/>
  <c r="P488" i="1" s="1"/>
  <c r="CG410" i="1"/>
  <c r="CG422" i="1" s="1"/>
  <c r="CG457" i="1" s="1"/>
  <c r="R234" i="1"/>
  <c r="R237" i="1" s="1"/>
  <c r="R238" i="1" s="1"/>
  <c r="S218" i="1"/>
  <c r="S257" i="1"/>
  <c r="S258" i="1"/>
  <c r="CK257" i="1"/>
  <c r="CK259" i="1" s="1"/>
  <c r="CG257" i="1"/>
  <c r="CG259" i="1" s="1"/>
  <c r="Z204" i="1"/>
  <c r="Z670" i="1" s="1"/>
  <c r="Y427" i="1"/>
  <c r="Y462" i="1" s="1"/>
  <c r="Y491" i="1" s="1"/>
  <c r="J210" i="1"/>
  <c r="K267" i="1" s="1"/>
  <c r="AB45" i="16"/>
  <c r="G9" i="7"/>
  <c r="AD399" i="1"/>
  <c r="V584" i="1"/>
  <c r="V602" i="1" s="1"/>
  <c r="V603" i="1" s="1"/>
  <c r="W145" i="1"/>
  <c r="Z507" i="1"/>
  <c r="AB204" i="1"/>
  <c r="AB795" i="1" s="1"/>
  <c r="BZ415" i="1"/>
  <c r="BZ427" i="1" s="1"/>
  <c r="BZ462" i="1" s="1"/>
  <c r="BZ491" i="1" s="1"/>
  <c r="AC204" i="1"/>
  <c r="AC795" i="1" s="1"/>
  <c r="AA192" i="1"/>
  <c r="AG204" i="1"/>
  <c r="CQ204" i="1" s="1"/>
  <c r="AG243" i="1"/>
  <c r="CG634" i="1"/>
  <c r="X584" i="1"/>
  <c r="X602" i="1" s="1"/>
  <c r="X603" i="1" s="1"/>
  <c r="CL469" i="1"/>
  <c r="T143" i="1"/>
  <c r="BX259" i="1"/>
  <c r="BX260" i="1" s="1"/>
  <c r="CB259" i="1"/>
  <c r="CB260" i="1" s="1"/>
  <c r="CB699" i="1" s="1"/>
  <c r="CB301" i="1"/>
  <c r="CB74" i="1" s="1"/>
  <c r="CB130" i="1"/>
  <c r="CB507" i="1"/>
  <c r="AC145" i="1"/>
  <c r="AD468" i="1"/>
  <c r="U507" i="1"/>
  <c r="S254" i="1"/>
  <c r="H202" i="1"/>
  <c r="L507" i="1"/>
  <c r="H702" i="1"/>
  <c r="BU301" i="1"/>
  <c r="BU74" i="1" s="1"/>
  <c r="BS479" i="1"/>
  <c r="AF204" i="1"/>
  <c r="AF795" i="1" s="1"/>
  <c r="AG257" i="1"/>
  <c r="AG242" i="1" s="1"/>
  <c r="AA54" i="1"/>
  <c r="AE507" i="1"/>
  <c r="AF192" i="1"/>
  <c r="AF58" i="1" s="1"/>
  <c r="AG602" i="1"/>
  <c r="CQ602" i="1" s="1"/>
  <c r="CQ604" i="1" s="1"/>
  <c r="CN713" i="1"/>
  <c r="I408" i="1"/>
  <c r="I419" i="1" s="1"/>
  <c r="R517" i="1"/>
  <c r="AA702" i="1"/>
  <c r="CC409" i="1"/>
  <c r="CC421" i="1" s="1"/>
  <c r="CC415" i="1"/>
  <c r="CF473" i="1"/>
  <c r="CD501" i="1"/>
  <c r="CD517" i="1"/>
  <c r="AA228" i="1"/>
  <c r="CG516" i="1"/>
  <c r="CG444" i="1"/>
  <c r="CG455" i="1" s="1"/>
  <c r="CG505" i="1"/>
  <c r="CN105" i="1"/>
  <c r="CC474" i="1"/>
  <c r="CD396" i="1"/>
  <c r="CC475" i="1"/>
  <c r="CB500" i="1"/>
  <c r="CB498" i="1" s="1"/>
  <c r="CB131" i="1" s="1"/>
  <c r="X825" i="1"/>
  <c r="CF504" i="1"/>
  <c r="CE517" i="1"/>
  <c r="CD518" i="1"/>
  <c r="CF518" i="1"/>
  <c r="CC625" i="1"/>
  <c r="CL222" i="1"/>
  <c r="AB702" i="1"/>
  <c r="CD627" i="1"/>
  <c r="CO474" i="1"/>
  <c r="AD456" i="1"/>
  <c r="AD485" i="1" s="1"/>
  <c r="AB823" i="1"/>
  <c r="CD387" i="1"/>
  <c r="CD388" i="1" s="1"/>
  <c r="CM425" i="1"/>
  <c r="AB455" i="1"/>
  <c r="AB484" i="1" s="1"/>
  <c r="CH470" i="1"/>
  <c r="CJ611" i="1"/>
  <c r="AD455" i="1"/>
  <c r="AD484" i="1" s="1"/>
  <c r="CE499" i="1"/>
  <c r="AB817" i="1"/>
  <c r="AB826" i="1"/>
  <c r="W53" i="1"/>
  <c r="Z228" i="1"/>
  <c r="AB820" i="1"/>
  <c r="CF522" i="1"/>
  <c r="CJ790" i="1"/>
  <c r="CD535" i="1"/>
  <c r="CD176" i="1"/>
  <c r="AD427" i="1"/>
  <c r="AD462" i="1" s="1"/>
  <c r="AD491" i="1" s="1"/>
  <c r="G8" i="7"/>
  <c r="CD519" i="1"/>
  <c r="CO501" i="1"/>
  <c r="V822" i="1"/>
  <c r="CL52" i="1"/>
  <c r="CM479" i="1"/>
  <c r="CM480" i="1" s="1"/>
  <c r="CG504" i="1"/>
  <c r="BS635" i="1"/>
  <c r="BS738" i="1" s="1"/>
  <c r="BS764" i="1" s="1"/>
  <c r="CB472" i="1"/>
  <c r="CB465" i="1" s="1"/>
  <c r="CB443" i="1"/>
  <c r="CB791" i="1" s="1"/>
  <c r="AC186" i="1"/>
  <c r="CC141" i="1"/>
  <c r="BT500" i="1"/>
  <c r="BT498" i="1" s="1"/>
  <c r="BT131" i="1" s="1"/>
  <c r="CC57" i="1"/>
  <c r="CC56" i="1"/>
  <c r="BZ443" i="1"/>
  <c r="BZ791" i="1" s="1"/>
  <c r="BV472" i="1"/>
  <c r="BV471" i="1" s="1"/>
  <c r="BZ472" i="1"/>
  <c r="BZ471" i="1" s="1"/>
  <c r="CA500" i="1"/>
  <c r="CA498" i="1" s="1"/>
  <c r="CA131" i="1" s="1"/>
  <c r="V627" i="1"/>
  <c r="N408" i="1"/>
  <c r="N406" i="1" s="1"/>
  <c r="N421" i="1"/>
  <c r="CK571" i="1"/>
  <c r="U583" i="1"/>
  <c r="CK583" i="1" s="1"/>
  <c r="W626" i="1"/>
  <c r="BT636" i="1"/>
  <c r="BT635" i="1"/>
  <c r="BT738" i="1" s="1"/>
  <c r="BT764" i="1" s="1"/>
  <c r="W667" i="1"/>
  <c r="CL667" i="1" s="1"/>
  <c r="X145" i="1"/>
  <c r="U143" i="1"/>
  <c r="AE186" i="1"/>
  <c r="AH186" i="1"/>
  <c r="AH55" i="1" s="1"/>
  <c r="AH204" i="1"/>
  <c r="C61" i="31" s="1"/>
  <c r="X143" i="1"/>
  <c r="CJ257" i="1"/>
  <c r="CJ259" i="1" s="1"/>
  <c r="CJ260" i="1" s="1"/>
  <c r="CM257" i="1"/>
  <c r="CM259" i="1" s="1"/>
  <c r="AA468" i="1"/>
  <c r="C223" i="1"/>
  <c r="L415" i="1"/>
  <c r="L427" i="1" s="1"/>
  <c r="BY130" i="1"/>
  <c r="AC257" i="1"/>
  <c r="AC259" i="1" s="1"/>
  <c r="AC260" i="1" s="1"/>
  <c r="AC261" i="1" s="1"/>
  <c r="AC507" i="1"/>
  <c r="AA623" i="1"/>
  <c r="W143" i="1"/>
  <c r="CH257" i="1"/>
  <c r="CH259" i="1" s="1"/>
  <c r="CG244" i="1"/>
  <c r="AB218" i="1"/>
  <c r="AB468" i="1"/>
  <c r="F257" i="1"/>
  <c r="F259" i="1" s="1"/>
  <c r="F260" i="1" s="1"/>
  <c r="F261" i="1" s="1"/>
  <c r="C143" i="1"/>
  <c r="BU486" i="1"/>
  <c r="BY486" i="1"/>
  <c r="BZ130" i="1"/>
  <c r="BT507" i="1"/>
  <c r="BX507" i="1"/>
  <c r="AD218" i="1"/>
  <c r="AE257" i="1"/>
  <c r="AE247" i="1" s="1"/>
  <c r="AG196" i="1"/>
  <c r="CQ196" i="1" s="1"/>
  <c r="AG468" i="1"/>
  <c r="AG507" i="1"/>
  <c r="AG627" i="1"/>
  <c r="CP257" i="1"/>
  <c r="AH192" i="1"/>
  <c r="AH58" i="1" s="1"/>
  <c r="AH243" i="1"/>
  <c r="AH253" i="1" s="1"/>
  <c r="AH523" i="1"/>
  <c r="T623" i="1"/>
  <c r="O257" i="1"/>
  <c r="O259" i="1" s="1"/>
  <c r="S204" i="1"/>
  <c r="S795" i="1" s="1"/>
  <c r="V143" i="1"/>
  <c r="N143" i="1"/>
  <c r="Q216" i="1"/>
  <c r="Q54" i="1"/>
  <c r="CI257" i="1"/>
  <c r="CI259" i="1" s="1"/>
  <c r="CI260" i="1" s="1"/>
  <c r="CI699" i="1" s="1"/>
  <c r="AA196" i="1"/>
  <c r="CN196" i="1" s="1"/>
  <c r="J502" i="1"/>
  <c r="J130" i="1" s="1"/>
  <c r="BU259" i="1"/>
  <c r="BU260" i="1" s="1"/>
  <c r="BY259" i="1"/>
  <c r="BY260" i="1" s="1"/>
  <c r="BS130" i="1"/>
  <c r="DA423" i="1"/>
  <c r="DA458" i="1" s="1"/>
  <c r="DA487" i="1" s="1"/>
  <c r="CD57" i="1"/>
  <c r="CQ503" i="1"/>
  <c r="CN52" i="1"/>
  <c r="S223" i="1"/>
  <c r="P105" i="1"/>
  <c r="CI105" i="1" s="1"/>
  <c r="D181" i="1"/>
  <c r="D819" i="1" s="1"/>
  <c r="D443" i="1"/>
  <c r="D441" i="1" s="1"/>
  <c r="CB296" i="1"/>
  <c r="CB379" i="1" s="1"/>
  <c r="CB319" i="1" s="1"/>
  <c r="BX408" i="1"/>
  <c r="BX406" i="1" s="1"/>
  <c r="BX405" i="1" s="1"/>
  <c r="BY500" i="1"/>
  <c r="BY498" i="1" s="1"/>
  <c r="BY131" i="1" s="1"/>
  <c r="CY422" i="1"/>
  <c r="CY457" i="1" s="1"/>
  <c r="Y223" i="1"/>
  <c r="CQ388" i="1"/>
  <c r="Y143" i="1"/>
  <c r="CS422" i="1"/>
  <c r="CS457" i="1" s="1"/>
  <c r="BW443" i="1"/>
  <c r="BW441" i="1" s="1"/>
  <c r="BW440" i="1" s="1"/>
  <c r="BX96" i="1" s="1"/>
  <c r="BW472" i="1"/>
  <c r="BW465" i="1" s="1"/>
  <c r="CA472" i="1"/>
  <c r="CA465" i="1" s="1"/>
  <c r="CQ122" i="1"/>
  <c r="C472" i="1"/>
  <c r="C465" i="1" s="1"/>
  <c r="C711" i="1" s="1"/>
  <c r="O105" i="1"/>
  <c r="CH105" i="1" s="1"/>
  <c r="C443" i="1"/>
  <c r="C441" i="1" s="1"/>
  <c r="C440" i="1" s="1"/>
  <c r="D96" i="1" s="1"/>
  <c r="CB408" i="1"/>
  <c r="CB419" i="1" s="1"/>
  <c r="BU443" i="1"/>
  <c r="BU441" i="1" s="1"/>
  <c r="BU440" i="1" s="1"/>
  <c r="BV96" i="1" s="1"/>
  <c r="BY443" i="1"/>
  <c r="BY430" i="1" s="1"/>
  <c r="BU472" i="1"/>
  <c r="BU471" i="1" s="1"/>
  <c r="BY472" i="1"/>
  <c r="BY811" i="1" s="1"/>
  <c r="CY423" i="1"/>
  <c r="CY458" i="1" s="1"/>
  <c r="CY487" i="1" s="1"/>
  <c r="CO504" i="1"/>
  <c r="AD186" i="1"/>
  <c r="AD192" i="1"/>
  <c r="AD58" i="1" s="1"/>
  <c r="J203" i="1"/>
  <c r="H472" i="1"/>
  <c r="H465" i="1" s="1"/>
  <c r="H711" i="1" s="1"/>
  <c r="L472" i="1"/>
  <c r="L465" i="1" s="1"/>
  <c r="L711" i="1" s="1"/>
  <c r="CA408" i="1"/>
  <c r="CA393" i="1" s="1"/>
  <c r="BT443" i="1"/>
  <c r="BT441" i="1" s="1"/>
  <c r="BT440" i="1" s="1"/>
  <c r="BU96" i="1" s="1"/>
  <c r="BX443" i="1"/>
  <c r="BX441" i="1" s="1"/>
  <c r="BX440" i="1" s="1"/>
  <c r="BY96" i="1" s="1"/>
  <c r="BT472" i="1"/>
  <c r="BT465" i="1" s="1"/>
  <c r="BX472" i="1"/>
  <c r="BX117" i="1" s="1"/>
  <c r="BW500" i="1"/>
  <c r="BW495" i="1" s="1"/>
  <c r="R635" i="1"/>
  <c r="R738" i="1" s="1"/>
  <c r="R764" i="1" s="1"/>
  <c r="CN141" i="1"/>
  <c r="CO519" i="1"/>
  <c r="CF425" i="1"/>
  <c r="CF460" i="1" s="1"/>
  <c r="CF489" i="1" s="1"/>
  <c r="N177" i="1"/>
  <c r="N114" i="1" s="1"/>
  <c r="U177" i="1"/>
  <c r="U114" i="1" s="1"/>
  <c r="CH610" i="1"/>
  <c r="CO444" i="1"/>
  <c r="CO455" i="1" s="1"/>
  <c r="CJ176" i="1"/>
  <c r="CJ145" i="1" s="1"/>
  <c r="CC737" i="1"/>
  <c r="CC763" i="1" s="1"/>
  <c r="Y408" i="1"/>
  <c r="Y406" i="1" s="1"/>
  <c r="Y405" i="1" s="1"/>
  <c r="AA408" i="1"/>
  <c r="AA419" i="1" s="1"/>
  <c r="CN790" i="1"/>
  <c r="CJ503" i="1"/>
  <c r="CM475" i="1"/>
  <c r="O455" i="1"/>
  <c r="O484" i="1" s="1"/>
  <c r="Y177" i="1"/>
  <c r="CM177" i="1" s="1"/>
  <c r="CM114" i="1" s="1"/>
  <c r="CO520" i="1"/>
  <c r="CL518" i="1"/>
  <c r="V825" i="1"/>
  <c r="T812" i="1"/>
  <c r="CE56" i="1"/>
  <c r="CH52" i="1"/>
  <c r="CH115" i="1"/>
  <c r="CF115" i="1"/>
  <c r="CJ122" i="1"/>
  <c r="CM115" i="1"/>
  <c r="CK115" i="1"/>
  <c r="CF93" i="1"/>
  <c r="CH57" i="1"/>
  <c r="CD59" i="1"/>
  <c r="CD48" i="1" s="1"/>
  <c r="AB232" i="1"/>
  <c r="AB233" i="1" s="1"/>
  <c r="R826" i="1"/>
  <c r="R116" i="1"/>
  <c r="R823" i="1"/>
  <c r="CM159" i="1"/>
  <c r="CM217" i="1" s="1"/>
  <c r="R536" i="1"/>
  <c r="R623" i="1" s="1"/>
  <c r="CP701" i="1"/>
  <c r="S177" i="1"/>
  <c r="S114" i="1" s="1"/>
  <c r="CG141" i="1"/>
  <c r="R443" i="1"/>
  <c r="R441" i="1" s="1"/>
  <c r="X635" i="1"/>
  <c r="X738" i="1" s="1"/>
  <c r="X764" i="1" s="1"/>
  <c r="P635" i="1"/>
  <c r="P738" i="1" s="1"/>
  <c r="P764" i="1" s="1"/>
  <c r="Y612" i="1"/>
  <c r="CM611" i="1"/>
  <c r="W421" i="1"/>
  <c r="W456" i="1" s="1"/>
  <c r="W485" i="1" s="1"/>
  <c r="W408" i="1"/>
  <c r="W406" i="1" s="1"/>
  <c r="X327" i="1"/>
  <c r="X419" i="1"/>
  <c r="T145" i="1"/>
  <c r="T819" i="1"/>
  <c r="CJ171" i="1"/>
  <c r="CJ228" i="1" s="1"/>
  <c r="S228" i="1"/>
  <c r="CG122" i="1"/>
  <c r="CG115" i="1"/>
  <c r="CJ59" i="1"/>
  <c r="CJ48" i="1" s="1"/>
  <c r="R425" i="1"/>
  <c r="R460" i="1" s="1"/>
  <c r="O415" i="1"/>
  <c r="CH416" i="1"/>
  <c r="CH415" i="1" s="1"/>
  <c r="CI698" i="1"/>
  <c r="CB661" i="1"/>
  <c r="CB667" i="1" s="1"/>
  <c r="M698" i="1"/>
  <c r="Z116" i="1"/>
  <c r="Z826" i="1"/>
  <c r="Z817" i="1"/>
  <c r="AD554" i="1"/>
  <c r="AE554" i="1" s="1"/>
  <c r="CO554" i="1"/>
  <c r="Z223" i="1"/>
  <c r="AA223" i="1"/>
  <c r="Z427" i="1"/>
  <c r="Z462" i="1" s="1"/>
  <c r="Z491" i="1" s="1"/>
  <c r="CN561" i="1"/>
  <c r="CN562" i="1" s="1"/>
  <c r="AA628" i="1"/>
  <c r="AA698" i="1"/>
  <c r="Z702" i="1"/>
  <c r="Z667" i="1"/>
  <c r="V635" i="1"/>
  <c r="V738" i="1" s="1"/>
  <c r="V764" i="1" s="1"/>
  <c r="T825" i="1"/>
  <c r="CF519" i="1"/>
  <c r="CP711" i="1"/>
  <c r="AF223" i="1"/>
  <c r="CQ711" i="1"/>
  <c r="R820" i="1"/>
  <c r="AE698" i="1"/>
  <c r="T816" i="1"/>
  <c r="CN711" i="1"/>
  <c r="CO711" i="1"/>
  <c r="CM477" i="1"/>
  <c r="CM409" i="1"/>
  <c r="CM421" i="1" s="1"/>
  <c r="BU112" i="1"/>
  <c r="E472" i="1"/>
  <c r="E465" i="1" s="1"/>
  <c r="E711" i="1" s="1"/>
  <c r="CF445" i="1"/>
  <c r="F427" i="1"/>
  <c r="F462" i="1" s="1"/>
  <c r="F491" i="1" s="1"/>
  <c r="AF228" i="1"/>
  <c r="Z64" i="1"/>
  <c r="CO522" i="1"/>
  <c r="CJ698" i="1"/>
  <c r="CH698" i="1"/>
  <c r="CJ634" i="1"/>
  <c r="CI634" i="1"/>
  <c r="CH634" i="1"/>
  <c r="CM633" i="1"/>
  <c r="CL633" i="1"/>
  <c r="CK633" i="1"/>
  <c r="CJ633" i="1"/>
  <c r="CI633" i="1"/>
  <c r="CI627" i="1"/>
  <c r="CH626" i="1"/>
  <c r="CK625" i="1"/>
  <c r="CJ625" i="1"/>
  <c r="CI625" i="1"/>
  <c r="CH625" i="1"/>
  <c r="CM621" i="1"/>
  <c r="CL621" i="1"/>
  <c r="CK621" i="1"/>
  <c r="CJ621" i="1"/>
  <c r="CI621" i="1"/>
  <c r="CH621" i="1"/>
  <c r="CL562" i="1"/>
  <c r="CL139" i="1"/>
  <c r="CB812" i="1"/>
  <c r="G177" i="1"/>
  <c r="G114" i="1" s="1"/>
  <c r="CV422" i="1"/>
  <c r="CV457" i="1" s="1"/>
  <c r="CH139" i="1"/>
  <c r="CN519" i="1"/>
  <c r="CM519" i="1"/>
  <c r="CL516" i="1"/>
  <c r="CH516" i="1"/>
  <c r="CK504" i="1"/>
  <c r="CK503" i="1"/>
  <c r="CL501" i="1"/>
  <c r="CI501" i="1"/>
  <c r="T486" i="1"/>
  <c r="CJ475" i="1"/>
  <c r="CH475" i="1"/>
  <c r="CN473" i="1"/>
  <c r="CK473" i="1"/>
  <c r="CI473" i="1"/>
  <c r="Z443" i="1"/>
  <c r="Z441" i="1" s="1"/>
  <c r="Z440" i="1" s="1"/>
  <c r="AA96" i="1" s="1"/>
  <c r="CL444" i="1"/>
  <c r="CL455" i="1" s="1"/>
  <c r="CJ444" i="1"/>
  <c r="CJ455" i="1" s="1"/>
  <c r="CI444" i="1"/>
  <c r="CI455" i="1" s="1"/>
  <c r="CH444" i="1"/>
  <c r="CH455" i="1" s="1"/>
  <c r="CM434" i="1"/>
  <c r="CL434" i="1"/>
  <c r="CJ434" i="1"/>
  <c r="CH434" i="1"/>
  <c r="Y460" i="1"/>
  <c r="Y489" i="1" s="1"/>
  <c r="S702" i="1"/>
  <c r="CH396" i="1"/>
  <c r="Y698" i="1"/>
  <c r="CV473" i="1"/>
  <c r="CA635" i="1"/>
  <c r="BW635" i="1"/>
  <c r="BU311" i="1"/>
  <c r="BU78" i="1" s="1"/>
  <c r="K381" i="1"/>
  <c r="CF381" i="1" s="1"/>
  <c r="CF327" i="1" s="1"/>
  <c r="CD105" i="1"/>
  <c r="I228" i="1"/>
  <c r="G415" i="1"/>
  <c r="C455" i="1"/>
  <c r="C484" i="1" s="1"/>
  <c r="F455" i="1"/>
  <c r="F484" i="1" s="1"/>
  <c r="L667" i="1"/>
  <c r="CB97" i="1"/>
  <c r="BZ177" i="1"/>
  <c r="BZ114" i="1" s="1"/>
  <c r="CB109" i="1"/>
  <c r="BZ266" i="1"/>
  <c r="BZ635" i="1"/>
  <c r="BZ738" i="1" s="1"/>
  <c r="BZ764" i="1" s="1"/>
  <c r="AC197" i="1"/>
  <c r="CO197" i="1" s="1"/>
  <c r="X819" i="1"/>
  <c r="Y53" i="1"/>
  <c r="CL634" i="1"/>
  <c r="CK445" i="1"/>
  <c r="CD93" i="1"/>
  <c r="CQ425" i="1"/>
  <c r="CQ460" i="1" s="1"/>
  <c r="CQ489" i="1" s="1"/>
  <c r="J825" i="1"/>
  <c r="J635" i="1"/>
  <c r="J738" i="1" s="1"/>
  <c r="J177" i="1"/>
  <c r="J114" i="1" s="1"/>
  <c r="C635" i="1"/>
  <c r="C738" i="1" s="1"/>
  <c r="C764" i="1" s="1"/>
  <c r="CO701" i="1"/>
  <c r="CU422" i="1"/>
  <c r="CU457" i="1" s="1"/>
  <c r="CV423" i="1"/>
  <c r="CV458" i="1" s="1"/>
  <c r="CV487" i="1" s="1"/>
  <c r="K479" i="1"/>
  <c r="R468" i="1"/>
  <c r="CH517" i="1"/>
  <c r="CM474" i="1"/>
  <c r="CM445" i="1"/>
  <c r="CL445" i="1"/>
  <c r="CR425" i="1"/>
  <c r="CR460" i="1" s="1"/>
  <c r="CR489" i="1" s="1"/>
  <c r="S415" i="1"/>
  <c r="CJ415" i="1" s="1"/>
  <c r="CJ416" i="1" s="1"/>
  <c r="CM415" i="1"/>
  <c r="CM416" i="1" s="1"/>
  <c r="CR423" i="1"/>
  <c r="CR458" i="1" s="1"/>
  <c r="CR487" i="1" s="1"/>
  <c r="CL450" i="1"/>
  <c r="CK450" i="1"/>
  <c r="CK451" i="1" s="1"/>
  <c r="O500" i="1"/>
  <c r="O498" i="1" s="1"/>
  <c r="H825" i="1"/>
  <c r="H816" i="1"/>
  <c r="AH702" i="1"/>
  <c r="CQ762" i="1"/>
  <c r="CP762" i="1"/>
  <c r="CN762" i="1"/>
  <c r="O472" i="1"/>
  <c r="CL423" i="1"/>
  <c r="CL458" i="1" s="1"/>
  <c r="CL487" i="1" s="1"/>
  <c r="CG381" i="1"/>
  <c r="CG327" i="1" s="1"/>
  <c r="CH178" i="1"/>
  <c r="F177" i="1"/>
  <c r="F114" i="1" s="1"/>
  <c r="K204" i="1"/>
  <c r="K192" i="1" s="1"/>
  <c r="K58" i="1" s="1"/>
  <c r="CB816" i="1"/>
  <c r="F667" i="1"/>
  <c r="CT423" i="1"/>
  <c r="CT458" i="1" s="1"/>
  <c r="CT487" i="1" s="1"/>
  <c r="CX423" i="1"/>
  <c r="CX458" i="1" s="1"/>
  <c r="CX487" i="1" s="1"/>
  <c r="L822" i="1"/>
  <c r="L819" i="1"/>
  <c r="F822" i="1"/>
  <c r="H177" i="1"/>
  <c r="H114" i="1" s="1"/>
  <c r="L177" i="1"/>
  <c r="L114" i="1" s="1"/>
  <c r="C421" i="1"/>
  <c r="C456" i="1" s="1"/>
  <c r="C485" i="1" s="1"/>
  <c r="C408" i="1"/>
  <c r="C406" i="1" s="1"/>
  <c r="C405" i="1" s="1"/>
  <c r="I427" i="1"/>
  <c r="I462" i="1" s="1"/>
  <c r="CD450" i="1"/>
  <c r="G479" i="1"/>
  <c r="L536" i="1"/>
  <c r="L623" i="1" s="1"/>
  <c r="G621" i="1"/>
  <c r="CD621" i="1" s="1"/>
  <c r="CD526" i="1"/>
  <c r="K621" i="1"/>
  <c r="CF621" i="1" s="1"/>
  <c r="CF526" i="1"/>
  <c r="CB3" i="1"/>
  <c r="CB2" i="1"/>
  <c r="CC725" i="1" s="1"/>
  <c r="BZ208" i="1"/>
  <c r="BZ63" i="1" s="1"/>
  <c r="CA266" i="1"/>
  <c r="BV112" i="1"/>
  <c r="BV238" i="1"/>
  <c r="BW421" i="1"/>
  <c r="BW408" i="1"/>
  <c r="BW393" i="1" s="1"/>
  <c r="CG518" i="1"/>
  <c r="CG434" i="1"/>
  <c r="CX444" i="1"/>
  <c r="CX455" i="1" s="1"/>
  <c r="CU445" i="1"/>
  <c r="CX474" i="1"/>
  <c r="CU501" i="1"/>
  <c r="CX503" i="1"/>
  <c r="CV516" i="1"/>
  <c r="CW517" i="1"/>
  <c r="K228" i="1"/>
  <c r="L232" i="1"/>
  <c r="E408" i="1"/>
  <c r="E406" i="1" s="1"/>
  <c r="E405" i="1" s="1"/>
  <c r="CT519" i="1"/>
  <c r="CT425" i="1"/>
  <c r="CT460" i="1" s="1"/>
  <c r="CT489" i="1" s="1"/>
  <c r="BV276" i="1"/>
  <c r="AD197" i="1"/>
  <c r="CP479" i="1"/>
  <c r="CP480" i="1" s="1"/>
  <c r="CP474" i="1"/>
  <c r="CP388" i="1"/>
  <c r="CP389" i="1" s="1"/>
  <c r="CZ501" i="1"/>
  <c r="CK815" i="1"/>
  <c r="CE122" i="1"/>
  <c r="CE93" i="1"/>
  <c r="H812" i="1"/>
  <c r="H822" i="1"/>
  <c r="L813" i="1"/>
  <c r="L825" i="1"/>
  <c r="CP122" i="1"/>
  <c r="AB181" i="1"/>
  <c r="AB147" i="1" s="1"/>
  <c r="AA181" i="1"/>
  <c r="AA825" i="1" s="1"/>
  <c r="Z154" i="1"/>
  <c r="CF636" i="1"/>
  <c r="CQ209" i="1"/>
  <c r="CQ64" i="1" s="1"/>
  <c r="CQ208" i="1"/>
  <c r="CQ152" i="1" s="1"/>
  <c r="CJ562" i="1"/>
  <c r="T472" i="1"/>
  <c r="T465" i="1" s="1"/>
  <c r="T711" i="1" s="1"/>
  <c r="CI396" i="1"/>
  <c r="N702" i="1"/>
  <c r="P702" i="1"/>
  <c r="R702" i="1"/>
  <c r="CF105" i="1"/>
  <c r="F223" i="1"/>
  <c r="J223" i="1"/>
  <c r="H228" i="1"/>
  <c r="L228" i="1"/>
  <c r="K232" i="1"/>
  <c r="F232" i="1"/>
  <c r="CE381" i="1"/>
  <c r="CE327" i="1" s="1"/>
  <c r="D427" i="1"/>
  <c r="D462" i="1" s="1"/>
  <c r="D491" i="1" s="1"/>
  <c r="CC396" i="1"/>
  <c r="CE396" i="1"/>
  <c r="CF396" i="1"/>
  <c r="C427" i="1"/>
  <c r="C462" i="1" s="1"/>
  <c r="C491" i="1" s="1"/>
  <c r="J455" i="1"/>
  <c r="J484" i="1" s="1"/>
  <c r="D486" i="1"/>
  <c r="CD434" i="1"/>
  <c r="CE434" i="1"/>
  <c r="CF434" i="1"/>
  <c r="CC444" i="1"/>
  <c r="CC455" i="1" s="1"/>
  <c r="CF444" i="1"/>
  <c r="CF455" i="1" s="1"/>
  <c r="CC473" i="1"/>
  <c r="CE473" i="1"/>
  <c r="K472" i="1"/>
  <c r="K471" i="1" s="1"/>
  <c r="CC470" i="1"/>
  <c r="CE470" i="1"/>
  <c r="CD475" i="1"/>
  <c r="CF475" i="1"/>
  <c r="CE522" i="1"/>
  <c r="CC501" i="1"/>
  <c r="CE501" i="1"/>
  <c r="CF501" i="1"/>
  <c r="CD503" i="1"/>
  <c r="CE503" i="1"/>
  <c r="CF503" i="1"/>
  <c r="CC504" i="1"/>
  <c r="CD504" i="1"/>
  <c r="CE504" i="1"/>
  <c r="CC516" i="1"/>
  <c r="CD516" i="1"/>
  <c r="CF516" i="1"/>
  <c r="CC517" i="1"/>
  <c r="CF517" i="1"/>
  <c r="CE518" i="1"/>
  <c r="CC519" i="1"/>
  <c r="CE519" i="1"/>
  <c r="L635" i="1"/>
  <c r="L738" i="1" s="1"/>
  <c r="L764" i="1" s="1"/>
  <c r="CD625" i="1"/>
  <c r="CE625" i="1"/>
  <c r="CD626" i="1"/>
  <c r="CF626" i="1"/>
  <c r="CE627" i="1"/>
  <c r="CF627" i="1"/>
  <c r="J702" i="1"/>
  <c r="CA223" i="1"/>
  <c r="CB228" i="1"/>
  <c r="AE223" i="1"/>
  <c r="X816" i="1"/>
  <c r="Y455" i="1"/>
  <c r="Y484" i="1" s="1"/>
  <c r="W455" i="1"/>
  <c r="W484" i="1" s="1"/>
  <c r="CG425" i="1"/>
  <c r="CG460" i="1" s="1"/>
  <c r="CG489" i="1" s="1"/>
  <c r="CE425" i="1"/>
  <c r="CE460" i="1" s="1"/>
  <c r="CE489" i="1" s="1"/>
  <c r="CC425" i="1"/>
  <c r="CC460" i="1" s="1"/>
  <c r="CC489" i="1" s="1"/>
  <c r="CN423" i="1"/>
  <c r="CN458" i="1" s="1"/>
  <c r="CN487" i="1" s="1"/>
  <c r="CH423" i="1"/>
  <c r="CH458" i="1" s="1"/>
  <c r="CH487" i="1" s="1"/>
  <c r="CR422" i="1"/>
  <c r="CR457" i="1" s="1"/>
  <c r="CR486" i="1" s="1"/>
  <c r="CN422" i="1"/>
  <c r="CN457" i="1" s="1"/>
  <c r="CJ409" i="1"/>
  <c r="CJ421" i="1" s="1"/>
  <c r="CK396" i="1"/>
  <c r="U427" i="1"/>
  <c r="U462" i="1" s="1"/>
  <c r="U491" i="1" s="1"/>
  <c r="CC423" i="1"/>
  <c r="CC458" i="1" s="1"/>
  <c r="CC487" i="1" s="1"/>
  <c r="X177" i="1"/>
  <c r="V819" i="1"/>
  <c r="P228" i="1"/>
  <c r="T223" i="1"/>
  <c r="CM56" i="1"/>
  <c r="CV425" i="1"/>
  <c r="CV460" i="1" s="1"/>
  <c r="CV489" i="1" s="1"/>
  <c r="CD604" i="1"/>
  <c r="CG604" i="1"/>
  <c r="CE604" i="1"/>
  <c r="CK141" i="1"/>
  <c r="U130" i="1"/>
  <c r="CK497" i="1"/>
  <c r="U500" i="1"/>
  <c r="U495" i="1" s="1"/>
  <c r="M470" i="1"/>
  <c r="CG474" i="1"/>
  <c r="CQ812" i="1"/>
  <c r="CP93" i="1"/>
  <c r="CP790" i="1"/>
  <c r="AD702" i="1"/>
  <c r="AB443" i="1"/>
  <c r="AB441" i="1" s="1"/>
  <c r="AB440" i="1" s="1"/>
  <c r="AC96" i="1" s="1"/>
  <c r="CO388" i="1"/>
  <c r="CO389" i="1" s="1"/>
  <c r="CO141" i="1"/>
  <c r="CO790" i="1"/>
  <c r="Z500" i="1"/>
  <c r="Z495" i="1" s="1"/>
  <c r="CO93" i="1"/>
  <c r="X813" i="1"/>
  <c r="CJ473" i="1"/>
  <c r="Y635" i="1"/>
  <c r="Y738" i="1" s="1"/>
  <c r="Y764" i="1" s="1"/>
  <c r="CG522" i="1"/>
  <c r="CJ522" i="1"/>
  <c r="CM536" i="1"/>
  <c r="CK501" i="1"/>
  <c r="CH474" i="1"/>
  <c r="X486" i="1"/>
  <c r="N181" i="1"/>
  <c r="N825" i="1" s="1"/>
  <c r="CG176" i="1"/>
  <c r="M610" i="1"/>
  <c r="CG222" i="1"/>
  <c r="H154" i="1"/>
  <c r="H813" i="1"/>
  <c r="H819" i="1"/>
  <c r="L812" i="1"/>
  <c r="L816" i="1"/>
  <c r="BT130" i="1"/>
  <c r="BV635" i="1"/>
  <c r="BV738" i="1" s="1"/>
  <c r="BV764" i="1" s="1"/>
  <c r="AD223" i="1"/>
  <c r="AC427" i="1"/>
  <c r="AC462" i="1" s="1"/>
  <c r="AC491" i="1" s="1"/>
  <c r="CO450" i="1"/>
  <c r="CO451" i="1" s="1"/>
  <c r="CP445" i="1"/>
  <c r="CP516" i="1"/>
  <c r="CP520" i="1"/>
  <c r="CP504" i="1"/>
  <c r="AE455" i="1"/>
  <c r="AE484" i="1" s="1"/>
  <c r="CP519" i="1"/>
  <c r="AA197" i="1"/>
  <c r="CN197" i="1" s="1"/>
  <c r="CQ444" i="1"/>
  <c r="CQ455" i="1" s="1"/>
  <c r="AF472" i="1"/>
  <c r="AF465" i="1" s="1"/>
  <c r="CQ479" i="1"/>
  <c r="CQ480" i="1" s="1"/>
  <c r="CP450" i="1"/>
  <c r="CP451" i="1" s="1"/>
  <c r="DA503" i="1"/>
  <c r="AH223" i="1"/>
  <c r="CQ415" i="1"/>
  <c r="CQ416" i="1" s="1"/>
  <c r="CQ475" i="1"/>
  <c r="CR427" i="1"/>
  <c r="CR462" i="1" s="1"/>
  <c r="CR491" i="1" s="1"/>
  <c r="X53" i="1"/>
  <c r="CM701" i="1"/>
  <c r="CK479" i="1"/>
  <c r="CK480" i="1" s="1"/>
  <c r="CN475" i="1"/>
  <c r="CL475" i="1"/>
  <c r="CK475" i="1"/>
  <c r="CI475" i="1"/>
  <c r="CN474" i="1"/>
  <c r="CI474" i="1"/>
  <c r="N472" i="1"/>
  <c r="CM473" i="1"/>
  <c r="CL473" i="1"/>
  <c r="CH473" i="1"/>
  <c r="S455" i="1"/>
  <c r="S484" i="1" s="1"/>
  <c r="Q455" i="1"/>
  <c r="Q484" i="1" s="1"/>
  <c r="M455" i="1"/>
  <c r="M484" i="1" s="1"/>
  <c r="CH425" i="1"/>
  <c r="CH460" i="1" s="1"/>
  <c r="CH489" i="1" s="1"/>
  <c r="CD425" i="1"/>
  <c r="CD460" i="1" s="1"/>
  <c r="CD489" i="1" s="1"/>
  <c r="CK388" i="1"/>
  <c r="CK389" i="1" s="1"/>
  <c r="CG388" i="1"/>
  <c r="CN425" i="1"/>
  <c r="CN460" i="1" s="1"/>
  <c r="CN489" i="1" s="1"/>
  <c r="W232" i="1"/>
  <c r="W233" i="1" s="1"/>
  <c r="U232" i="1"/>
  <c r="U233" i="1" s="1"/>
  <c r="R232" i="1"/>
  <c r="CJ64" i="1"/>
  <c r="CH64" i="1"/>
  <c r="O223" i="1"/>
  <c r="N223" i="1"/>
  <c r="CE52" i="1"/>
  <c r="X427" i="1"/>
  <c r="X462" i="1" s="1"/>
  <c r="X491" i="1" s="1"/>
  <c r="CN523" i="1"/>
  <c r="BX63" i="1"/>
  <c r="U518" i="1"/>
  <c r="U443" i="1"/>
  <c r="U423" i="1"/>
  <c r="U458" i="1" s="1"/>
  <c r="U487" i="1" s="1"/>
  <c r="U474" i="1"/>
  <c r="AB456" i="1"/>
  <c r="AB485" i="1" s="1"/>
  <c r="Z456" i="1"/>
  <c r="Z485" i="1" s="1"/>
  <c r="T456" i="1"/>
  <c r="T485" i="1" s="1"/>
  <c r="BT276" i="1"/>
  <c r="BT71" i="1" s="1"/>
  <c r="BT281" i="1"/>
  <c r="BT75" i="1" s="1"/>
  <c r="BV296" i="1"/>
  <c r="BV379" i="1" s="1"/>
  <c r="BV319" i="1" s="1"/>
  <c r="BV322" i="1" s="1"/>
  <c r="BV301" i="1"/>
  <c r="BV74" i="1" s="1"/>
  <c r="BX286" i="1"/>
  <c r="BX344" i="1" s="1"/>
  <c r="BX281" i="1"/>
  <c r="BX75" i="1" s="1"/>
  <c r="BX276" i="1"/>
  <c r="BX334" i="1" s="1"/>
  <c r="BX296" i="1"/>
  <c r="BX301" i="1"/>
  <c r="BX306" i="1"/>
  <c r="BZ296" i="1"/>
  <c r="BZ379" i="1" s="1"/>
  <c r="BZ319" i="1" s="1"/>
  <c r="BZ322" i="1" s="1"/>
  <c r="BZ301" i="1"/>
  <c r="BZ359" i="1" s="1"/>
  <c r="BZ286" i="1"/>
  <c r="BZ281" i="1"/>
  <c r="BZ276" i="1"/>
  <c r="CB286" i="1"/>
  <c r="CB344" i="1" s="1"/>
  <c r="CB281" i="1"/>
  <c r="CB339" i="1" s="1"/>
  <c r="CB276" i="1"/>
  <c r="CB71" i="1" s="1"/>
  <c r="CB306" i="1"/>
  <c r="CB364" i="1" s="1"/>
  <c r="CB311" i="1"/>
  <c r="CB78" i="1" s="1"/>
  <c r="CO216" i="1"/>
  <c r="CP141" i="1"/>
  <c r="CO762" i="1"/>
  <c r="CN621" i="1"/>
  <c r="Z232" i="1"/>
  <c r="Z233" i="1" s="1"/>
  <c r="CO59" i="1"/>
  <c r="CO48" i="1" s="1"/>
  <c r="CN93" i="1"/>
  <c r="AC536" i="1"/>
  <c r="AC623" i="1" s="1"/>
  <c r="U612" i="1"/>
  <c r="U820" i="1" s="1"/>
  <c r="CL517" i="1"/>
  <c r="CL425" i="1"/>
  <c r="CL460" i="1" s="1"/>
  <c r="T822" i="1"/>
  <c r="T813" i="1"/>
  <c r="X822" i="1"/>
  <c r="X812" i="1"/>
  <c r="X154" i="1"/>
  <c r="X393" i="1"/>
  <c r="CL474" i="1"/>
  <c r="O635" i="1"/>
  <c r="O738" i="1" s="1"/>
  <c r="O764" i="1" s="1"/>
  <c r="CN536" i="1"/>
  <c r="S635" i="1"/>
  <c r="S738" i="1" s="1"/>
  <c r="S764" i="1" s="1"/>
  <c r="V443" i="1"/>
  <c r="CF479" i="1"/>
  <c r="AA486" i="1"/>
  <c r="U486" i="1"/>
  <c r="Z455" i="1"/>
  <c r="Z484" i="1" s="1"/>
  <c r="X455" i="1"/>
  <c r="X484" i="1" s="1"/>
  <c r="V455" i="1"/>
  <c r="V484" i="1" s="1"/>
  <c r="T455" i="1"/>
  <c r="T484" i="1" s="1"/>
  <c r="R455" i="1"/>
  <c r="R484" i="1" s="1"/>
  <c r="P455" i="1"/>
  <c r="P484" i="1" s="1"/>
  <c r="N455" i="1"/>
  <c r="N484" i="1" s="1"/>
  <c r="O327" i="1"/>
  <c r="CH381" i="1"/>
  <c r="CH327" i="1" s="1"/>
  <c r="R152" i="1"/>
  <c r="S63" i="1"/>
  <c r="CK171" i="1"/>
  <c r="CL228" i="1" s="1"/>
  <c r="V228" i="1"/>
  <c r="CG171" i="1"/>
  <c r="N228" i="1"/>
  <c r="CG227" i="1"/>
  <c r="CL215" i="1"/>
  <c r="CM57" i="1"/>
  <c r="CI56" i="1"/>
  <c r="CF57" i="1"/>
  <c r="CE57" i="1"/>
  <c r="CL59" i="1"/>
  <c r="CL48" i="1" s="1"/>
  <c r="V232" i="1"/>
  <c r="V233" i="1" s="1"/>
  <c r="X443" i="1"/>
  <c r="X430" i="1" s="1"/>
  <c r="CL520" i="1"/>
  <c r="Q698" i="1"/>
  <c r="P698" i="1"/>
  <c r="CU423" i="1"/>
  <c r="CU458" i="1" s="1"/>
  <c r="CU487" i="1" s="1"/>
  <c r="CD506" i="1"/>
  <c r="CD507" i="1" s="1"/>
  <c r="G507" i="1"/>
  <c r="CE209" i="1"/>
  <c r="I208" i="1"/>
  <c r="I152" i="1" s="1"/>
  <c r="BX311" i="1"/>
  <c r="BT301" i="1"/>
  <c r="BT74" i="1" s="1"/>
  <c r="BV77" i="1"/>
  <c r="BV281" i="1"/>
  <c r="BT296" i="1"/>
  <c r="CO445" i="1"/>
  <c r="CJ139" i="1"/>
  <c r="CK139" i="1"/>
  <c r="CN522" i="1"/>
  <c r="CM522" i="1"/>
  <c r="CK522" i="1"/>
  <c r="CI522" i="1"/>
  <c r="CH519" i="1"/>
  <c r="CN518" i="1"/>
  <c r="CH518" i="1"/>
  <c r="CO517" i="1"/>
  <c r="CN517" i="1"/>
  <c r="CM517" i="1"/>
  <c r="CO516" i="1"/>
  <c r="CN516" i="1"/>
  <c r="CM516" i="1"/>
  <c r="CJ516" i="1"/>
  <c r="CM504" i="1"/>
  <c r="CL504" i="1"/>
  <c r="CJ504" i="1"/>
  <c r="CI504" i="1"/>
  <c r="CH504" i="1"/>
  <c r="CI503" i="1"/>
  <c r="CH503" i="1"/>
  <c r="CN501" i="1"/>
  <c r="CJ501" i="1"/>
  <c r="CD479" i="1"/>
  <c r="CE450" i="1"/>
  <c r="CJ450" i="1"/>
  <c r="CJ451" i="1" s="1"/>
  <c r="CN445" i="1"/>
  <c r="CK434" i="1"/>
  <c r="CI434" i="1"/>
  <c r="CJ93" i="1"/>
  <c r="CL93" i="1"/>
  <c r="CK415" i="1"/>
  <c r="CK416" i="1" s="1"/>
  <c r="CK424" i="1"/>
  <c r="CK459" i="1" s="1"/>
  <c r="CK488" i="1" s="1"/>
  <c r="CQ423" i="1"/>
  <c r="CQ458" i="1" s="1"/>
  <c r="CQ487" i="1" s="1"/>
  <c r="CM423" i="1"/>
  <c r="CM458" i="1" s="1"/>
  <c r="CM487" i="1" s="1"/>
  <c r="CG423" i="1"/>
  <c r="CG458" i="1" s="1"/>
  <c r="CG487" i="1" s="1"/>
  <c r="CO422" i="1"/>
  <c r="CO457" i="1" s="1"/>
  <c r="CK422" i="1"/>
  <c r="CK457" i="1" s="1"/>
  <c r="CB193" i="1"/>
  <c r="T177" i="1"/>
  <c r="T114" i="1" s="1"/>
  <c r="W228" i="1"/>
  <c r="R228" i="1"/>
  <c r="Q228" i="1"/>
  <c r="O228" i="1"/>
  <c r="CJ52" i="1"/>
  <c r="CD52" i="1"/>
  <c r="CM762" i="1"/>
  <c r="CK762" i="1"/>
  <c r="CI762" i="1"/>
  <c r="CG762" i="1"/>
  <c r="CE762" i="1"/>
  <c r="CC762" i="1"/>
  <c r="CM815" i="1"/>
  <c r="CG815" i="1"/>
  <c r="CM122" i="1"/>
  <c r="CK122" i="1"/>
  <c r="CI122" i="1"/>
  <c r="CC122" i="1"/>
  <c r="CJ97" i="1"/>
  <c r="CH97" i="1"/>
  <c r="CL105" i="1"/>
  <c r="CK105" i="1"/>
  <c r="CJ105" i="1"/>
  <c r="CM93" i="1"/>
  <c r="CS504" i="1"/>
  <c r="AB223" i="1"/>
  <c r="CN415" i="1"/>
  <c r="CN416" i="1" s="1"/>
  <c r="CN450" i="1"/>
  <c r="CN451" i="1" s="1"/>
  <c r="CN479" i="1"/>
  <c r="CN480" i="1" s="1"/>
  <c r="CF388" i="1"/>
  <c r="CG396" i="1"/>
  <c r="CD415" i="1"/>
  <c r="CC450" i="1"/>
  <c r="E450" i="1"/>
  <c r="BU1" i="1"/>
  <c r="BT3" i="1"/>
  <c r="CA610" i="1"/>
  <c r="CA611" i="1" s="1"/>
  <c r="CA177" i="1"/>
  <c r="CA109" i="1"/>
  <c r="BZ181" i="1"/>
  <c r="BZ819" i="1" s="1"/>
  <c r="BU809" i="1"/>
  <c r="BW809" i="1"/>
  <c r="BY809" i="1"/>
  <c r="BY238" i="1"/>
  <c r="BY112" i="1"/>
  <c r="CA809" i="1"/>
  <c r="CA238" i="1"/>
  <c r="CA112" i="1"/>
  <c r="BT421" i="1"/>
  <c r="BT456" i="1" s="1"/>
  <c r="BT485" i="1" s="1"/>
  <c r="BT408" i="1"/>
  <c r="BV421" i="1"/>
  <c r="BV456" i="1" s="1"/>
  <c r="BV485" i="1" s="1"/>
  <c r="BV408" i="1"/>
  <c r="BZ421" i="1"/>
  <c r="BZ456" i="1" s="1"/>
  <c r="BZ485" i="1" s="1"/>
  <c r="BZ408" i="1"/>
  <c r="CB427" i="1"/>
  <c r="CB462" i="1" s="1"/>
  <c r="CB491" i="1" s="1"/>
  <c r="BX265" i="1"/>
  <c r="BX88" i="1" s="1"/>
  <c r="G486" i="1"/>
  <c r="CA228" i="1"/>
  <c r="BY64" i="1"/>
  <c r="CY409" i="1"/>
  <c r="CY421" i="1" s="1"/>
  <c r="X405" i="1"/>
  <c r="E154" i="1"/>
  <c r="E822" i="1"/>
  <c r="CC181" i="1"/>
  <c r="CC147" i="1" s="1"/>
  <c r="E327" i="1"/>
  <c r="CC381" i="1"/>
  <c r="CC327" i="1" s="1"/>
  <c r="CQ223" i="1"/>
  <c r="CH561" i="1"/>
  <c r="CH562" i="1" s="1"/>
  <c r="CL141" i="1"/>
  <c r="Y500" i="1"/>
  <c r="Y495" i="1" s="1"/>
  <c r="CM503" i="1"/>
  <c r="CL502" i="1"/>
  <c r="V497" i="1"/>
  <c r="CM501" i="1"/>
  <c r="T517" i="1"/>
  <c r="CK517" i="1" s="1"/>
  <c r="T425" i="1"/>
  <c r="T460" i="1" s="1"/>
  <c r="T489" i="1" s="1"/>
  <c r="Z408" i="1"/>
  <c r="CN409" i="1"/>
  <c r="CN421" i="1" s="1"/>
  <c r="P421" i="1"/>
  <c r="CI409" i="1"/>
  <c r="CI421" i="1" s="1"/>
  <c r="T399" i="1"/>
  <c r="CK399" i="1" s="1"/>
  <c r="CK398" i="1"/>
  <c r="T381" i="1"/>
  <c r="T327" i="1" s="1"/>
  <c r="CK386" i="1"/>
  <c r="S381" i="1"/>
  <c r="CJ387" i="1"/>
  <c r="S388" i="1"/>
  <c r="T667" i="1"/>
  <c r="T702" i="1"/>
  <c r="S698" i="1"/>
  <c r="R698" i="1"/>
  <c r="O698" i="1"/>
  <c r="N698" i="1"/>
  <c r="O702" i="1"/>
  <c r="N667" i="1"/>
  <c r="F536" i="1"/>
  <c r="G636" i="1"/>
  <c r="CD636" i="1" s="1"/>
  <c r="CD633" i="1"/>
  <c r="CG626" i="1"/>
  <c r="H636" i="1"/>
  <c r="CE636" i="1" s="1"/>
  <c r="CE633" i="1"/>
  <c r="K698" i="1"/>
  <c r="CF661" i="1"/>
  <c r="CG698" i="1" s="1"/>
  <c r="BX636" i="1"/>
  <c r="BX635" i="1"/>
  <c r="CB636" i="1"/>
  <c r="CB635" i="1"/>
  <c r="CB738" i="1" s="1"/>
  <c r="CB764" i="1" s="1"/>
  <c r="AF421" i="1"/>
  <c r="AF456" i="1" s="1"/>
  <c r="AF485" i="1" s="1"/>
  <c r="CQ409" i="1"/>
  <c r="CQ421" i="1" s="1"/>
  <c r="CF604" i="1"/>
  <c r="CC604" i="1"/>
  <c r="CE141" i="1"/>
  <c r="CJ701" i="1"/>
  <c r="CJ702" i="1" s="1"/>
  <c r="CI701" i="1"/>
  <c r="CI702" i="1" s="1"/>
  <c r="CL503" i="1"/>
  <c r="W500" i="1"/>
  <c r="CG503" i="1"/>
  <c r="X497" i="1"/>
  <c r="CM502" i="1"/>
  <c r="T130" i="1"/>
  <c r="CK502" i="1"/>
  <c r="V421" i="1"/>
  <c r="V456" i="1" s="1"/>
  <c r="V485" i="1" s="1"/>
  <c r="CL409" i="1"/>
  <c r="CL421" i="1" s="1"/>
  <c r="V408" i="1"/>
  <c r="R408" i="1"/>
  <c r="R406" i="1" s="1"/>
  <c r="R421" i="1"/>
  <c r="R456" i="1" s="1"/>
  <c r="R485" i="1" s="1"/>
  <c r="V399" i="1"/>
  <c r="W398" i="1"/>
  <c r="CL398" i="1" s="1"/>
  <c r="M181" i="1"/>
  <c r="M825" i="1" s="1"/>
  <c r="CG178" i="1"/>
  <c r="M667" i="1"/>
  <c r="CG667" i="1" s="1"/>
  <c r="CK57" i="1"/>
  <c r="CJ57" i="1"/>
  <c r="P381" i="1"/>
  <c r="P327" i="1" s="1"/>
  <c r="P516" i="1"/>
  <c r="V519" i="1"/>
  <c r="CL519" i="1" s="1"/>
  <c r="CL477" i="1"/>
  <c r="S820" i="1"/>
  <c r="S826" i="1"/>
  <c r="S817" i="1"/>
  <c r="CM381" i="1"/>
  <c r="CM327" i="1" s="1"/>
  <c r="Y327" i="1"/>
  <c r="CM661" i="1"/>
  <c r="Y667" i="1"/>
  <c r="CM667" i="1" s="1"/>
  <c r="J623" i="1"/>
  <c r="CF536" i="1"/>
  <c r="BV208" i="1"/>
  <c r="BW63" i="1" s="1"/>
  <c r="BV64" i="1"/>
  <c r="I105" i="1"/>
  <c r="CE105" i="1" s="1"/>
  <c r="CE101" i="1"/>
  <c r="CE97" i="1" s="1"/>
  <c r="D105" i="1"/>
  <c r="CC103" i="1"/>
  <c r="K223" i="1"/>
  <c r="CF165" i="1"/>
  <c r="D228" i="1"/>
  <c r="C228" i="1"/>
  <c r="E610" i="1"/>
  <c r="CC176" i="1"/>
  <c r="G611" i="1"/>
  <c r="CD611" i="1" s="1"/>
  <c r="CD610" i="1"/>
  <c r="I610" i="1"/>
  <c r="CE610" i="1" s="1"/>
  <c r="CE176" i="1"/>
  <c r="K610" i="1"/>
  <c r="CF176" i="1"/>
  <c r="C825" i="1"/>
  <c r="C812" i="1"/>
  <c r="G181" i="1"/>
  <c r="G819" i="1" s="1"/>
  <c r="G667" i="1"/>
  <c r="CD667" i="1" s="1"/>
  <c r="CD178" i="1"/>
  <c r="I177" i="1"/>
  <c r="I667" i="1"/>
  <c r="CE667" i="1" s="1"/>
  <c r="K177" i="1"/>
  <c r="CF178" i="1"/>
  <c r="D421" i="1"/>
  <c r="D456" i="1" s="1"/>
  <c r="D485" i="1" s="1"/>
  <c r="D408" i="1"/>
  <c r="F421" i="1"/>
  <c r="CD409" i="1"/>
  <c r="CD421" i="1" s="1"/>
  <c r="J421" i="1"/>
  <c r="J456" i="1" s="1"/>
  <c r="J485" i="1" s="1"/>
  <c r="J408" i="1"/>
  <c r="J419" i="1" s="1"/>
  <c r="CF409" i="1"/>
  <c r="CF421" i="1" s="1"/>
  <c r="L421" i="1"/>
  <c r="L408" i="1"/>
  <c r="L393" i="1" s="1"/>
  <c r="K130" i="1"/>
  <c r="K415" i="1"/>
  <c r="CF414" i="1"/>
  <c r="CF415" i="1" s="1"/>
  <c r="G455" i="1"/>
  <c r="G484" i="1" s="1"/>
  <c r="CD444" i="1"/>
  <c r="CD455" i="1" s="1"/>
  <c r="I455" i="1"/>
  <c r="I484" i="1" s="1"/>
  <c r="CE444" i="1"/>
  <c r="CE455" i="1" s="1"/>
  <c r="K450" i="1"/>
  <c r="CF451" i="1"/>
  <c r="CF450" i="1" s="1"/>
  <c r="G472" i="1"/>
  <c r="CD473" i="1"/>
  <c r="G470" i="1"/>
  <c r="CD474" i="1"/>
  <c r="I472" i="1"/>
  <c r="I471" i="1" s="1"/>
  <c r="CE478" i="1"/>
  <c r="CE479" i="1" s="1"/>
  <c r="E623" i="1"/>
  <c r="CC536" i="1"/>
  <c r="CQ93" i="1"/>
  <c r="Z698" i="1"/>
  <c r="CQ52" i="1"/>
  <c r="AA667" i="1"/>
  <c r="CN667" i="1" s="1"/>
  <c r="CM634" i="1"/>
  <c r="X623" i="1"/>
  <c r="W489" i="1"/>
  <c r="V812" i="1"/>
  <c r="V816" i="1"/>
  <c r="V154" i="1"/>
  <c r="W472" i="1"/>
  <c r="V472" i="1"/>
  <c r="V465" i="1" s="1"/>
  <c r="V711" i="1" s="1"/>
  <c r="Y217" i="1"/>
  <c r="S116" i="1"/>
  <c r="CC522" i="1"/>
  <c r="CM398" i="1"/>
  <c r="CL57" i="1"/>
  <c r="CM388" i="1"/>
  <c r="CM389" i="1" s="1"/>
  <c r="T408" i="1"/>
  <c r="T393" i="1" s="1"/>
  <c r="CH501" i="1"/>
  <c r="CE474" i="1"/>
  <c r="CK413" i="1"/>
  <c r="M177" i="1"/>
  <c r="CO409" i="1"/>
  <c r="CO421" i="1" s="1"/>
  <c r="CF474" i="1"/>
  <c r="Q635" i="1"/>
  <c r="Q738" i="1" s="1"/>
  <c r="Q764" i="1" s="1"/>
  <c r="X667" i="1"/>
  <c r="CE409" i="1"/>
  <c r="CE421" i="1" s="1"/>
  <c r="CE178" i="1"/>
  <c r="CF56" i="1"/>
  <c r="X421" i="1"/>
  <c r="CN606" i="1"/>
  <c r="Q702" i="1"/>
  <c r="T698" i="1"/>
  <c r="CI562" i="1"/>
  <c r="V536" i="1"/>
  <c r="CL536" i="1" s="1"/>
  <c r="CL522" i="1"/>
  <c r="N536" i="1"/>
  <c r="CH522" i="1"/>
  <c r="M520" i="1"/>
  <c r="X470" i="1"/>
  <c r="X472" i="1"/>
  <c r="X465" i="1" s="1"/>
  <c r="X711" i="1" s="1"/>
  <c r="S472" i="1"/>
  <c r="S465" i="1" s="1"/>
  <c r="S711" i="1" s="1"/>
  <c r="CG473" i="1"/>
  <c r="M472" i="1"/>
  <c r="CF470" i="1"/>
  <c r="CM444" i="1"/>
  <c r="CM455" i="1" s="1"/>
  <c r="Y443" i="1"/>
  <c r="CC387" i="1"/>
  <c r="CC388" i="1" s="1"/>
  <c r="U381" i="1"/>
  <c r="U327" i="1" s="1"/>
  <c r="U516" i="1"/>
  <c r="CK516" i="1" s="1"/>
  <c r="U425" i="1"/>
  <c r="U460" i="1" s="1"/>
  <c r="U489" i="1" s="1"/>
  <c r="Q265" i="1"/>
  <c r="R181" i="1"/>
  <c r="R147" i="1" s="1"/>
  <c r="R177" i="1"/>
  <c r="P181" i="1"/>
  <c r="P177" i="1"/>
  <c r="CL176" i="1"/>
  <c r="W177" i="1"/>
  <c r="CK176" i="1"/>
  <c r="U145" i="1"/>
  <c r="Q145" i="1"/>
  <c r="CI176" i="1"/>
  <c r="CI145" i="1" s="1"/>
  <c r="Q177" i="1"/>
  <c r="CH176" i="1"/>
  <c r="O177" i="1"/>
  <c r="O146" i="1" s="1"/>
  <c r="T228" i="1"/>
  <c r="U228" i="1"/>
  <c r="CF171" i="1"/>
  <c r="CM59" i="1"/>
  <c r="CM48" i="1" s="1"/>
  <c r="CK59" i="1"/>
  <c r="CK48" i="1" s="1"/>
  <c r="CK227" i="1"/>
  <c r="CJ227" i="1"/>
  <c r="CH59" i="1"/>
  <c r="CH48" i="1" s="1"/>
  <c r="CE59" i="1"/>
  <c r="CE48" i="1" s="1"/>
  <c r="CF59" i="1"/>
  <c r="CF48" i="1" s="1"/>
  <c r="CC59" i="1"/>
  <c r="CC48" i="1" s="1"/>
  <c r="CL165" i="1"/>
  <c r="CM223" i="1" s="1"/>
  <c r="X223" i="1"/>
  <c r="W223" i="1"/>
  <c r="CC165" i="1"/>
  <c r="CK222" i="1"/>
  <c r="CK56" i="1"/>
  <c r="CH222" i="1"/>
  <c r="CG56" i="1"/>
  <c r="CD56" i="1"/>
  <c r="CK216" i="1"/>
  <c r="CL216" i="1"/>
  <c r="CI52" i="1"/>
  <c r="CH215" i="1"/>
  <c r="CI215" i="1"/>
  <c r="CG52" i="1"/>
  <c r="CF52" i="1"/>
  <c r="CE815" i="1"/>
  <c r="CE115" i="1"/>
  <c r="CC815" i="1"/>
  <c r="CC115" i="1"/>
  <c r="CL815" i="1"/>
  <c r="CL115" i="1"/>
  <c r="CL122" i="1"/>
  <c r="CJ815" i="1"/>
  <c r="CJ115" i="1"/>
  <c r="CH815" i="1"/>
  <c r="CH122" i="1"/>
  <c r="CF815" i="1"/>
  <c r="CF122" i="1"/>
  <c r="CD815" i="1"/>
  <c r="CD115" i="1"/>
  <c r="CD122" i="1"/>
  <c r="CF101" i="1"/>
  <c r="CC93" i="1"/>
  <c r="CO415" i="1"/>
  <c r="CO473" i="1"/>
  <c r="CX422" i="1"/>
  <c r="CX457" i="1" s="1"/>
  <c r="C819" i="1"/>
  <c r="CB822" i="1"/>
  <c r="K667" i="1"/>
  <c r="CF667" i="1" s="1"/>
  <c r="H408" i="1"/>
  <c r="H406" i="1" s="1"/>
  <c r="H405" i="1" s="1"/>
  <c r="H327" i="1"/>
  <c r="F816" i="1"/>
  <c r="F812" i="1"/>
  <c r="D434" i="1"/>
  <c r="CC434" i="1" s="1"/>
  <c r="K181" i="1"/>
  <c r="K819" i="1" s="1"/>
  <c r="K455" i="1"/>
  <c r="K484" i="1" s="1"/>
  <c r="K702" i="1"/>
  <c r="BV636" i="1"/>
  <c r="BX52" i="1"/>
  <c r="BV157" i="1"/>
  <c r="BU157" i="1" s="1"/>
  <c r="BV215" i="1" s="1"/>
  <c r="BX215" i="1"/>
  <c r="BZ610" i="1"/>
  <c r="BZ611" i="1" s="1"/>
  <c r="CA111" i="1"/>
  <c r="CA181" i="1"/>
  <c r="CA816" i="1" s="1"/>
  <c r="BT229" i="1"/>
  <c r="BS224" i="1" s="1"/>
  <c r="BY301" i="1"/>
  <c r="BY306" i="1"/>
  <c r="BY76" i="1" s="1"/>
  <c r="BY311" i="1"/>
  <c r="BY78" i="1" s="1"/>
  <c r="CB327" i="1"/>
  <c r="BT427" i="1"/>
  <c r="BT462" i="1" s="1"/>
  <c r="W635" i="1"/>
  <c r="W738" i="1" s="1"/>
  <c r="W764" i="1" s="1"/>
  <c r="CM139" i="1"/>
  <c r="CI139" i="1"/>
  <c r="CL701" i="1"/>
  <c r="CK701" i="1"/>
  <c r="CH701" i="1"/>
  <c r="CH702" i="1" s="1"/>
  <c r="CG701" i="1"/>
  <c r="CN701" i="1"/>
  <c r="CN520" i="1"/>
  <c r="CO518" i="1"/>
  <c r="AA472" i="1"/>
  <c r="CH713" i="1"/>
  <c r="Z472" i="1"/>
  <c r="T427" i="1"/>
  <c r="T462" i="1" s="1"/>
  <c r="T491" i="1" s="1"/>
  <c r="R427" i="1"/>
  <c r="R462" i="1" s="1"/>
  <c r="N427" i="1"/>
  <c r="CP425" i="1"/>
  <c r="CP460" i="1" s="1"/>
  <c r="CP489" i="1" s="1"/>
  <c r="CM424" i="1"/>
  <c r="CM459" i="1" s="1"/>
  <c r="CM488" i="1" s="1"/>
  <c r="CC424" i="1"/>
  <c r="CC459" i="1" s="1"/>
  <c r="CC488" i="1" s="1"/>
  <c r="CO423" i="1"/>
  <c r="CO458" i="1" s="1"/>
  <c r="CO487" i="1" s="1"/>
  <c r="CI423" i="1"/>
  <c r="CI458" i="1" s="1"/>
  <c r="CI487" i="1" s="1"/>
  <c r="CE423" i="1"/>
  <c r="CE458" i="1" s="1"/>
  <c r="CE487" i="1" s="1"/>
  <c r="CQ422" i="1"/>
  <c r="CQ457" i="1" s="1"/>
  <c r="CM422" i="1"/>
  <c r="CM457" i="1" s="1"/>
  <c r="AC456" i="1"/>
  <c r="AC485" i="1" s="1"/>
  <c r="AA456" i="1"/>
  <c r="AA485" i="1" s="1"/>
  <c r="Y456" i="1"/>
  <c r="Y485" i="1" s="1"/>
  <c r="CE388" i="1"/>
  <c r="CO425" i="1"/>
  <c r="CO460" i="1" s="1"/>
  <c r="CO489" i="1" s="1"/>
  <c r="CL424" i="1"/>
  <c r="CL459" i="1" s="1"/>
  <c r="CL488" i="1" s="1"/>
  <c r="CP423" i="1"/>
  <c r="CP458" i="1" s="1"/>
  <c r="CP487" i="1" s="1"/>
  <c r="CJ423" i="1"/>
  <c r="CJ458" i="1" s="1"/>
  <c r="CJ487" i="1" s="1"/>
  <c r="CF423" i="1"/>
  <c r="CF458" i="1" s="1"/>
  <c r="CF487" i="1" s="1"/>
  <c r="CD423" i="1"/>
  <c r="CD458" i="1" s="1"/>
  <c r="CD487" i="1" s="1"/>
  <c r="CP422" i="1"/>
  <c r="CP457" i="1" s="1"/>
  <c r="CL422" i="1"/>
  <c r="CL457" i="1" s="1"/>
  <c r="Y232" i="1"/>
  <c r="Y233" i="1" s="1"/>
  <c r="CI64" i="1"/>
  <c r="CM216" i="1"/>
  <c r="CI216" i="1"/>
  <c r="CC60" i="1"/>
  <c r="CC49" i="1" s="1"/>
  <c r="Z197" i="1"/>
  <c r="CS444" i="1"/>
  <c r="CS455" i="1" s="1"/>
  <c r="CS517" i="1"/>
  <c r="AA500" i="1"/>
  <c r="AC223" i="1"/>
  <c r="CT444" i="1"/>
  <c r="CT455" i="1" s="1"/>
  <c r="CW445" i="1"/>
  <c r="CT474" i="1"/>
  <c r="CV474" i="1"/>
  <c r="CT475" i="1"/>
  <c r="CV475" i="1"/>
  <c r="CX475" i="1"/>
  <c r="CW501" i="1"/>
  <c r="CT503" i="1"/>
  <c r="CV503" i="1"/>
  <c r="CU504" i="1"/>
  <c r="CW504" i="1"/>
  <c r="CT516" i="1"/>
  <c r="CX516" i="1"/>
  <c r="CU517" i="1"/>
  <c r="CU518" i="1"/>
  <c r="CW518" i="1"/>
  <c r="CV519" i="1"/>
  <c r="CX519" i="1"/>
  <c r="CU520" i="1"/>
  <c r="CW520" i="1"/>
  <c r="CU425" i="1"/>
  <c r="CU460" i="1" s="1"/>
  <c r="CU489" i="1" s="1"/>
  <c r="CW425" i="1"/>
  <c r="CW460" i="1" s="1"/>
  <c r="CW489" i="1" s="1"/>
  <c r="CX425" i="1"/>
  <c r="CX460" i="1" s="1"/>
  <c r="CX489" i="1" s="1"/>
  <c r="H635" i="1"/>
  <c r="H738" i="1" s="1"/>
  <c r="H764" i="1" s="1"/>
  <c r="D763" i="1"/>
  <c r="BS455" i="1"/>
  <c r="BS484" i="1" s="1"/>
  <c r="BU455" i="1"/>
  <c r="BU484" i="1" s="1"/>
  <c r="BW455" i="1"/>
  <c r="BW484" i="1" s="1"/>
  <c r="BY455" i="1"/>
  <c r="BY484" i="1" s="1"/>
  <c r="CA455" i="1"/>
  <c r="CA484" i="1" s="1"/>
  <c r="CY425" i="1"/>
  <c r="CY460" i="1" s="1"/>
  <c r="CY489" i="1" s="1"/>
  <c r="AD228" i="1"/>
  <c r="AH472" i="1"/>
  <c r="C35" i="31" s="1"/>
  <c r="C36" i="31" s="1"/>
  <c r="CO115" i="1"/>
  <c r="CO122" i="1"/>
  <c r="AC698" i="1"/>
  <c r="CN97" i="1"/>
  <c r="CN434" i="1"/>
  <c r="CN122" i="1"/>
  <c r="Z822" i="1"/>
  <c r="Z816" i="1"/>
  <c r="AA232" i="1"/>
  <c r="AA233" i="1" s="1"/>
  <c r="CO56" i="1"/>
  <c r="CN222" i="1"/>
  <c r="CS677" i="1"/>
  <c r="CM141" i="1"/>
  <c r="CI141" i="1"/>
  <c r="CH141" i="1"/>
  <c r="U519" i="1"/>
  <c r="CK519" i="1" s="1"/>
  <c r="CK477" i="1"/>
  <c r="AB472" i="1"/>
  <c r="CO475" i="1"/>
  <c r="Y470" i="1"/>
  <c r="Y713" i="1" s="1"/>
  <c r="Y472" i="1"/>
  <c r="S470" i="1"/>
  <c r="CJ474" i="1"/>
  <c r="T423" i="1"/>
  <c r="T458" i="1" s="1"/>
  <c r="T487" i="1" s="1"/>
  <c r="CK411" i="1"/>
  <c r="CK423" i="1" s="1"/>
  <c r="CK458" i="1" s="1"/>
  <c r="CK487" i="1" s="1"/>
  <c r="U421" i="1"/>
  <c r="U456" i="1" s="1"/>
  <c r="CK409" i="1"/>
  <c r="CK421" i="1" s="1"/>
  <c r="U408" i="1"/>
  <c r="O408" i="1"/>
  <c r="O419" i="1" s="1"/>
  <c r="CH409" i="1"/>
  <c r="CH421" i="1" s="1"/>
  <c r="M408" i="1"/>
  <c r="CG409" i="1"/>
  <c r="CG421" i="1" s="1"/>
  <c r="M421" i="1"/>
  <c r="CJ208" i="1"/>
  <c r="S265" i="1"/>
  <c r="CI208" i="1"/>
  <c r="R63" i="1"/>
  <c r="Q152" i="1"/>
  <c r="R265" i="1"/>
  <c r="Q63" i="1"/>
  <c r="CM178" i="1"/>
  <c r="Y181" i="1"/>
  <c r="W181" i="1"/>
  <c r="CL178" i="1"/>
  <c r="U181" i="1"/>
  <c r="CK178" i="1"/>
  <c r="S667" i="1"/>
  <c r="CJ667" i="1" s="1"/>
  <c r="S181" i="1"/>
  <c r="Q667" i="1"/>
  <c r="CI667" i="1" s="1"/>
  <c r="Q181" i="1"/>
  <c r="O181" i="1"/>
  <c r="O822" i="1" s="1"/>
  <c r="V145" i="1"/>
  <c r="V177" i="1"/>
  <c r="CI57" i="1"/>
  <c r="CG57" i="1"/>
  <c r="CJ448" i="1"/>
  <c r="S518" i="1"/>
  <c r="CJ518" i="1" s="1"/>
  <c r="P232" i="1"/>
  <c r="M105" i="1"/>
  <c r="CG105" i="1" s="1"/>
  <c r="CG101" i="1"/>
  <c r="T232" i="1"/>
  <c r="T233" i="1" s="1"/>
  <c r="X232" i="1"/>
  <c r="X233" i="1" s="1"/>
  <c r="X518" i="1"/>
  <c r="CM518" i="1" s="1"/>
  <c r="CM448" i="1"/>
  <c r="CL505" i="1"/>
  <c r="CI611" i="1"/>
  <c r="Q612" i="1"/>
  <c r="X698" i="1"/>
  <c r="X702" i="1"/>
  <c r="Y702" i="1"/>
  <c r="CM562" i="1"/>
  <c r="CS409" i="1"/>
  <c r="CS421" i="1" s="1"/>
  <c r="CN59" i="1"/>
  <c r="CN48" i="1" s="1"/>
  <c r="R817" i="1"/>
  <c r="CD141" i="1"/>
  <c r="CD143" i="1" s="1"/>
  <c r="CJ141" i="1"/>
  <c r="CF141" i="1"/>
  <c r="V500" i="1"/>
  <c r="CC479" i="1"/>
  <c r="T518" i="1"/>
  <c r="T443" i="1"/>
  <c r="CK448" i="1"/>
  <c r="AA455" i="1"/>
  <c r="AA484" i="1" s="1"/>
  <c r="CN444" i="1"/>
  <c r="CN455" i="1" s="1"/>
  <c r="W443" i="1"/>
  <c r="U455" i="1"/>
  <c r="U484" i="1" s="1"/>
  <c r="CK444" i="1"/>
  <c r="CK455" i="1" s="1"/>
  <c r="Y228" i="1"/>
  <c r="X228" i="1"/>
  <c r="CM227" i="1"/>
  <c r="CL227" i="1"/>
  <c r="CI227" i="1"/>
  <c r="CI59" i="1"/>
  <c r="CI48" i="1" s="1"/>
  <c r="CG59" i="1"/>
  <c r="CG48" i="1" s="1"/>
  <c r="CH227" i="1"/>
  <c r="CK165" i="1"/>
  <c r="CK223" i="1" s="1"/>
  <c r="V223" i="1"/>
  <c r="U223" i="1"/>
  <c r="CI165" i="1"/>
  <c r="CJ223" i="1" s="1"/>
  <c r="R223" i="1"/>
  <c r="Q223" i="1"/>
  <c r="CH165" i="1"/>
  <c r="P223" i="1"/>
  <c r="CG165" i="1"/>
  <c r="M223" i="1"/>
  <c r="CL56" i="1"/>
  <c r="CM222" i="1"/>
  <c r="CJ56" i="1"/>
  <c r="CJ222" i="1"/>
  <c r="CH56" i="1"/>
  <c r="CI222" i="1"/>
  <c r="X217" i="1"/>
  <c r="W217" i="1"/>
  <c r="CJ216" i="1"/>
  <c r="CM215" i="1"/>
  <c r="CM52" i="1"/>
  <c r="CJ215" i="1"/>
  <c r="CK52" i="1"/>
  <c r="CK215" i="1"/>
  <c r="CG215" i="1"/>
  <c r="CI815" i="1"/>
  <c r="CI115" i="1"/>
  <c r="CI790" i="1"/>
  <c r="CI97" i="1"/>
  <c r="CS423" i="1"/>
  <c r="CS458" i="1" s="1"/>
  <c r="CS487" i="1" s="1"/>
  <c r="V489" i="1"/>
  <c r="CK562" i="1"/>
  <c r="CK93" i="1"/>
  <c r="X460" i="1"/>
  <c r="X489" i="1" s="1"/>
  <c r="R667" i="1"/>
  <c r="P667" i="1"/>
  <c r="CS445" i="1"/>
  <c r="CS473" i="1"/>
  <c r="CS474" i="1"/>
  <c r="CS475" i="1"/>
  <c r="CS501" i="1"/>
  <c r="CS503" i="1"/>
  <c r="CS516" i="1"/>
  <c r="CS518" i="1"/>
  <c r="CS519" i="1"/>
  <c r="CS520" i="1"/>
  <c r="CS425" i="1"/>
  <c r="CS460" i="1" s="1"/>
  <c r="CS489" i="1" s="1"/>
  <c r="AB228" i="1"/>
  <c r="AB63" i="1"/>
  <c r="G143" i="1"/>
  <c r="G634" i="1"/>
  <c r="J819" i="1"/>
  <c r="J154" i="1"/>
  <c r="E813" i="1"/>
  <c r="E825" i="1"/>
  <c r="BZ238" i="1"/>
  <c r="BZ112" i="1"/>
  <c r="BV809" i="1"/>
  <c r="CB825" i="1"/>
  <c r="CB819" i="1"/>
  <c r="CB813" i="1"/>
  <c r="CB154" i="1"/>
  <c r="BY737" i="1"/>
  <c r="BY763" i="1" s="1"/>
  <c r="BY636" i="1"/>
  <c r="CW422" i="1"/>
  <c r="CW457" i="1" s="1"/>
  <c r="E635" i="1"/>
  <c r="E1" i="1"/>
  <c r="K456" i="1"/>
  <c r="K485" i="1" s="1"/>
  <c r="C486" i="1"/>
  <c r="CC626" i="1"/>
  <c r="I702" i="1"/>
  <c r="L698" i="1"/>
  <c r="CB232" i="1"/>
  <c r="CA232" i="1"/>
  <c r="BV306" i="1"/>
  <c r="BZ306" i="1"/>
  <c r="BV311" i="1"/>
  <c r="BZ311" i="1"/>
  <c r="BV427" i="1"/>
  <c r="BV462" i="1" s="1"/>
  <c r="BV491" i="1" s="1"/>
  <c r="BS456" i="1"/>
  <c r="BS485" i="1" s="1"/>
  <c r="BU456" i="1"/>
  <c r="BU485" i="1" s="1"/>
  <c r="CA456" i="1"/>
  <c r="CA485" i="1" s="1"/>
  <c r="BT486" i="1"/>
  <c r="BX486" i="1"/>
  <c r="CB486" i="1"/>
  <c r="AD443" i="1"/>
  <c r="AD472" i="1"/>
  <c r="CZ473" i="1"/>
  <c r="AB186" i="1"/>
  <c r="AB55" i="1" s="1"/>
  <c r="AH443" i="1"/>
  <c r="C28" i="31" s="1"/>
  <c r="D30" i="31" s="1"/>
  <c r="E479" i="1"/>
  <c r="T208" i="1"/>
  <c r="T152" i="1" s="1"/>
  <c r="CQ813" i="1"/>
  <c r="AG698" i="1"/>
  <c r="AH698" i="1"/>
  <c r="CQ434" i="1"/>
  <c r="AC667" i="1"/>
  <c r="CO667" i="1" s="1"/>
  <c r="CO381" i="1"/>
  <c r="CO327" i="1" s="1"/>
  <c r="CO661" i="1"/>
  <c r="Z147" i="1"/>
  <c r="Z819" i="1"/>
  <c r="T713" i="1"/>
  <c r="T468" i="1"/>
  <c r="T612" i="1"/>
  <c r="T820" i="1" s="1"/>
  <c r="Q381" i="1"/>
  <c r="Q516" i="1"/>
  <c r="CI386" i="1"/>
  <c r="CI477" i="1"/>
  <c r="P519" i="1"/>
  <c r="P472" i="1"/>
  <c r="T520" i="1"/>
  <c r="CK520" i="1" s="1"/>
  <c r="CK505" i="1"/>
  <c r="T500" i="1"/>
  <c r="S520" i="1"/>
  <c r="Q472" i="1"/>
  <c r="Q519" i="1"/>
  <c r="CN815" i="1"/>
  <c r="CS682" i="1"/>
  <c r="CH604" i="1"/>
  <c r="X152" i="1"/>
  <c r="CL762" i="1"/>
  <c r="CJ762" i="1"/>
  <c r="CH762" i="1"/>
  <c r="CF762" i="1"/>
  <c r="CD762" i="1"/>
  <c r="S216" i="1"/>
  <c r="Q218" i="1"/>
  <c r="CI713" i="1"/>
  <c r="P216" i="1"/>
  <c r="P467" i="1"/>
  <c r="Q467" i="1" s="1"/>
  <c r="CI467" i="1" s="1"/>
  <c r="CI234" i="1"/>
  <c r="CI237" i="1" s="1"/>
  <c r="L520" i="1"/>
  <c r="BT202" i="1"/>
  <c r="BT670" i="1"/>
  <c r="BV202" i="1"/>
  <c r="BV670" i="1"/>
  <c r="BZ202" i="1"/>
  <c r="BZ670" i="1"/>
  <c r="BZ795" i="1"/>
  <c r="P218" i="1"/>
  <c r="J520" i="1"/>
  <c r="BS670" i="1"/>
  <c r="BS202" i="1"/>
  <c r="BU670" i="1"/>
  <c r="BU202" i="1"/>
  <c r="BW670" i="1"/>
  <c r="BW202" i="1"/>
  <c r="BY670" i="1"/>
  <c r="BY202" i="1"/>
  <c r="E388" i="1"/>
  <c r="K388" i="1"/>
  <c r="CA427" i="1"/>
  <c r="CA130" i="1"/>
  <c r="BU507" i="1"/>
  <c r="CG234" i="1"/>
  <c r="D202" i="1"/>
  <c r="C234" i="1"/>
  <c r="C237" i="1" s="1"/>
  <c r="C238" i="1" s="1"/>
  <c r="K234" i="1"/>
  <c r="L234" i="1"/>
  <c r="L237" i="1" s="1"/>
  <c r="L238" i="1" s="1"/>
  <c r="D257" i="1"/>
  <c r="D259" i="1" s="1"/>
  <c r="L257" i="1"/>
  <c r="C257" i="1"/>
  <c r="C259" i="1" s="1"/>
  <c r="C260" i="1" s="1"/>
  <c r="K257" i="1"/>
  <c r="K259" i="1" s="1"/>
  <c r="K260" i="1" s="1"/>
  <c r="K261" i="1" s="1"/>
  <c r="L249" i="1"/>
  <c r="J257" i="1"/>
  <c r="J259" i="1" s="1"/>
  <c r="J260" i="1" s="1"/>
  <c r="J261" i="1" s="1"/>
  <c r="E455" i="1"/>
  <c r="E484" i="1" s="1"/>
  <c r="D472" i="1"/>
  <c r="D471" i="1" s="1"/>
  <c r="F472" i="1"/>
  <c r="BU55" i="1"/>
  <c r="BY55" i="1"/>
  <c r="BS486" i="1"/>
  <c r="BW486" i="1"/>
  <c r="CA486" i="1"/>
  <c r="CA443" i="1"/>
  <c r="BX500" i="1"/>
  <c r="AC159" i="1"/>
  <c r="CO159" i="1" s="1"/>
  <c r="AD627" i="1"/>
  <c r="CO257" i="1"/>
  <c r="CO259" i="1" s="1"/>
  <c r="AD248" i="1"/>
  <c r="AD243" i="1"/>
  <c r="AD147" i="1"/>
  <c r="AE627" i="1"/>
  <c r="CZ409" i="1"/>
  <c r="CZ421" i="1" s="1"/>
  <c r="AE196" i="1"/>
  <c r="CP196" i="1" s="1"/>
  <c r="AE197" i="1"/>
  <c r="CP197" i="1" s="1"/>
  <c r="AE486" i="1"/>
  <c r="AE192" i="1"/>
  <c r="CN191" i="1"/>
  <c r="AB192" i="1"/>
  <c r="AB58" i="1" s="1"/>
  <c r="Z186" i="1"/>
  <c r="Z55" i="1" s="1"/>
  <c r="Z192" i="1"/>
  <c r="Z58" i="1" s="1"/>
  <c r="CM191" i="1"/>
  <c r="AF602" i="1"/>
  <c r="AF507" i="1"/>
  <c r="AZ456" i="1"/>
  <c r="AZ485" i="1" s="1"/>
  <c r="AZ486" i="1"/>
  <c r="DA517" i="1"/>
  <c r="DA520" i="1"/>
  <c r="AG186" i="1"/>
  <c r="AG177" i="1"/>
  <c r="AG145" i="1"/>
  <c r="AG192" i="1"/>
  <c r="AG456" i="1"/>
  <c r="AG485" i="1" s="1"/>
  <c r="AF398" i="1"/>
  <c r="CQ400" i="1"/>
  <c r="AH145" i="1"/>
  <c r="AH196" i="1"/>
  <c r="AH257" i="1"/>
  <c r="AH468" i="1"/>
  <c r="CZ422" i="1"/>
  <c r="CZ457" i="1" s="1"/>
  <c r="AG147" i="1"/>
  <c r="AH159" i="1"/>
  <c r="AI218" i="1"/>
  <c r="AI54" i="1"/>
  <c r="AB64" i="1"/>
  <c r="AI698" i="1"/>
  <c r="AI702" i="1"/>
  <c r="AG667" i="1"/>
  <c r="CQ667" i="1" s="1"/>
  <c r="CQ661" i="1"/>
  <c r="CQ698" i="1" s="1"/>
  <c r="CQ819" i="1"/>
  <c r="CQ227" i="1"/>
  <c r="CQ59" i="1"/>
  <c r="CQ48" i="1" s="1"/>
  <c r="CP115" i="1"/>
  <c r="CP59" i="1"/>
  <c r="CP48" i="1" s="1"/>
  <c r="CP56" i="1"/>
  <c r="CN502" i="1"/>
  <c r="CN130" i="1" s="1"/>
  <c r="Z130" i="1"/>
  <c r="CP215" i="1"/>
  <c r="CO52" i="1"/>
  <c r="CN216" i="1"/>
  <c r="CN56" i="1"/>
  <c r="CO60" i="1"/>
  <c r="CO49" i="1" s="1"/>
  <c r="CM97" i="1"/>
  <c r="CM790" i="1"/>
  <c r="CK790" i="1"/>
  <c r="CK97" i="1"/>
  <c r="V468" i="1"/>
  <c r="V713" i="1"/>
  <c r="CL97" i="1"/>
  <c r="CL790" i="1"/>
  <c r="CN633" i="1"/>
  <c r="CS571" i="1"/>
  <c r="Y486" i="1"/>
  <c r="W486" i="1"/>
  <c r="O486" i="1"/>
  <c r="S232" i="1"/>
  <c r="M232" i="1"/>
  <c r="S396" i="1"/>
  <c r="CJ396" i="1" s="1"/>
  <c r="CQ701" i="1"/>
  <c r="U635" i="1"/>
  <c r="U738" i="1" s="1"/>
  <c r="U764" i="1" s="1"/>
  <c r="Z486" i="1"/>
  <c r="V486" i="1"/>
  <c r="CH790" i="1"/>
  <c r="O232" i="1"/>
  <c r="H611" i="1"/>
  <c r="L611" i="1"/>
  <c r="E223" i="1"/>
  <c r="G223" i="1"/>
  <c r="I223" i="1"/>
  <c r="E228" i="1"/>
  <c r="G228" i="1"/>
  <c r="C177" i="1"/>
  <c r="C114" i="1" s="1"/>
  <c r="E177" i="1"/>
  <c r="G232" i="1"/>
  <c r="J232" i="1"/>
  <c r="J228" i="1"/>
  <c r="G388" i="1"/>
  <c r="F408" i="1"/>
  <c r="E415" i="1"/>
  <c r="H427" i="1"/>
  <c r="H462" i="1" s="1"/>
  <c r="H491" i="1" s="1"/>
  <c r="J427" i="1"/>
  <c r="J462" i="1" s="1"/>
  <c r="J491" i="1" s="1"/>
  <c r="D455" i="1"/>
  <c r="D484" i="1" s="1"/>
  <c r="H455" i="1"/>
  <c r="H484" i="1" s="1"/>
  <c r="G450" i="1"/>
  <c r="CV409" i="1"/>
  <c r="CV421" i="1" s="1"/>
  <c r="CU444" i="1"/>
  <c r="CU455" i="1" s="1"/>
  <c r="CW444" i="1"/>
  <c r="CW455" i="1" s="1"/>
  <c r="CT445" i="1"/>
  <c r="CV445" i="1"/>
  <c r="CX445" i="1"/>
  <c r="CT473" i="1"/>
  <c r="CX473" i="1"/>
  <c r="CU474" i="1"/>
  <c r="CW474" i="1"/>
  <c r="CU475" i="1"/>
  <c r="CW475" i="1"/>
  <c r="CT501" i="1"/>
  <c r="CV501" i="1"/>
  <c r="CX501" i="1"/>
  <c r="CU503" i="1"/>
  <c r="CW503" i="1"/>
  <c r="CT504" i="1"/>
  <c r="CV504" i="1"/>
  <c r="CX504" i="1"/>
  <c r="CU516" i="1"/>
  <c r="CW516" i="1"/>
  <c r="CT517" i="1"/>
  <c r="CV517" i="1"/>
  <c r="CX517" i="1"/>
  <c r="CT518" i="1"/>
  <c r="CV518" i="1"/>
  <c r="CX518" i="1"/>
  <c r="CU519" i="1"/>
  <c r="CW519" i="1"/>
  <c r="CT520" i="1"/>
  <c r="CV520" i="1"/>
  <c r="CX520" i="1"/>
  <c r="CT422" i="1"/>
  <c r="CT457" i="1" s="1"/>
  <c r="L455" i="1"/>
  <c r="L484" i="1" s="1"/>
  <c r="K443" i="1"/>
  <c r="K441" i="1" s="1"/>
  <c r="E667" i="1"/>
  <c r="CC667" i="1" s="1"/>
  <c r="H667" i="1"/>
  <c r="J667" i="1"/>
  <c r="CB223" i="1"/>
  <c r="CY473" i="1"/>
  <c r="CY475" i="1"/>
  <c r="CY504" i="1"/>
  <c r="CY520" i="1"/>
  <c r="AI1" i="1"/>
  <c r="D2" i="31" s="1"/>
  <c r="AE228" i="1"/>
  <c r="CZ445" i="1"/>
  <c r="CZ504" i="1"/>
  <c r="CZ516" i="1"/>
  <c r="CZ519" i="1"/>
  <c r="CZ520" i="1"/>
  <c r="CZ425" i="1"/>
  <c r="CZ460" i="1" s="1"/>
  <c r="CZ489" i="1" s="1"/>
  <c r="AE232" i="1"/>
  <c r="AE427" i="1"/>
  <c r="AE462" i="1" s="1"/>
  <c r="AE491" i="1" s="1"/>
  <c r="AE261" i="1"/>
  <c r="AG223" i="1"/>
  <c r="BA456" i="1"/>
  <c r="BA485" i="1" s="1"/>
  <c r="DA425" i="1"/>
  <c r="DA460" i="1" s="1"/>
  <c r="DA489" i="1" s="1"/>
  <c r="AH228" i="1"/>
  <c r="AG427" i="1"/>
  <c r="AG462" i="1" s="1"/>
  <c r="AG491" i="1" s="1"/>
  <c r="AH455" i="1"/>
  <c r="AH484" i="1" s="1"/>
  <c r="CR709" i="1"/>
  <c r="E143" i="1"/>
  <c r="BW427" i="1"/>
  <c r="BW462" i="1" s="1"/>
  <c r="BW491" i="1" s="1"/>
  <c r="BT455" i="1"/>
  <c r="BT484" i="1" s="1"/>
  <c r="BV455" i="1"/>
  <c r="BV484" i="1" s="1"/>
  <c r="BX455" i="1"/>
  <c r="BX484" i="1" s="1"/>
  <c r="BZ455" i="1"/>
  <c r="BZ484" i="1" s="1"/>
  <c r="CB455" i="1"/>
  <c r="CB484" i="1" s="1"/>
  <c r="BX456" i="1"/>
  <c r="BX485" i="1" s="1"/>
  <c r="CB456" i="1"/>
  <c r="CB485" i="1" s="1"/>
  <c r="Z266" i="1"/>
  <c r="U208" i="1"/>
  <c r="V63" i="1" s="1"/>
  <c r="V266" i="1"/>
  <c r="AF266" i="1"/>
  <c r="AI266" i="1"/>
  <c r="AI64" i="1"/>
  <c r="AE266" i="1"/>
  <c r="AA266" i="1"/>
  <c r="CP218" i="1"/>
  <c r="U64" i="1"/>
  <c r="U266" i="1"/>
  <c r="V64" i="1"/>
  <c r="CM228" i="1"/>
  <c r="CK218" i="1"/>
  <c r="AF64" i="1"/>
  <c r="AE208" i="1"/>
  <c r="AE152" i="1" s="1"/>
  <c r="AG64" i="1"/>
  <c r="AD64" i="1"/>
  <c r="AB265" i="1"/>
  <c r="CQ60" i="1"/>
  <c r="CQ49" i="1" s="1"/>
  <c r="CP60" i="1"/>
  <c r="CP49" i="1" s="1"/>
  <c r="AA152" i="1"/>
  <c r="CN209" i="1"/>
  <c r="CN228" i="1"/>
  <c r="V152" i="1"/>
  <c r="Y64" i="1"/>
  <c r="CM60" i="1"/>
  <c r="CM49" i="1" s="1"/>
  <c r="Y266" i="1"/>
  <c r="T266" i="1"/>
  <c r="CM209" i="1"/>
  <c r="AA64" i="1"/>
  <c r="CN585" i="1"/>
  <c r="CR455" i="1"/>
  <c r="CR484" i="1" s="1"/>
  <c r="AC208" i="1"/>
  <c r="CO208" i="1" s="1"/>
  <c r="CN208" i="1"/>
  <c r="CN152" i="1" s="1"/>
  <c r="CL60" i="1"/>
  <c r="CL49" i="1" s="1"/>
  <c r="CG60" i="1"/>
  <c r="CG49" i="1" s="1"/>
  <c r="CD60" i="1"/>
  <c r="CD49" i="1" s="1"/>
  <c r="CO57" i="1"/>
  <c r="CP57" i="1"/>
  <c r="CO223" i="1"/>
  <c r="CN57" i="1"/>
  <c r="CP54" i="1"/>
  <c r="CK54" i="1"/>
  <c r="CR661" i="1"/>
  <c r="CS681" i="1"/>
  <c r="CS603" i="1"/>
  <c r="CT583" i="1"/>
  <c r="CS575" i="1"/>
  <c r="CS565" i="1"/>
  <c r="CT574" i="1"/>
  <c r="CS574" i="1"/>
  <c r="CS566" i="1"/>
  <c r="CT566" i="1"/>
  <c r="CS555" i="1"/>
  <c r="CT555" i="1"/>
  <c r="AF702" i="1"/>
  <c r="CO97" i="1"/>
  <c r="AH667" i="1"/>
  <c r="CQ816" i="1"/>
  <c r="CQ825" i="1"/>
  <c r="CQ115" i="1"/>
  <c r="AG702" i="1"/>
  <c r="CQ57" i="1"/>
  <c r="CQ56" i="1"/>
  <c r="AF667" i="1"/>
  <c r="CP815" i="1"/>
  <c r="CP227" i="1"/>
  <c r="CP97" i="1"/>
  <c r="CN599" i="1"/>
  <c r="CQ141" i="1"/>
  <c r="CN115" i="1"/>
  <c r="AB177" i="1"/>
  <c r="AA177" i="1"/>
  <c r="CN177" i="1" s="1"/>
  <c r="CO222" i="1"/>
  <c r="Z177" i="1"/>
  <c r="CN176" i="1"/>
  <c r="CN223" i="1"/>
  <c r="CO228" i="1"/>
  <c r="CR681" i="1"/>
  <c r="AA635" i="1"/>
  <c r="AA738" i="1" s="1"/>
  <c r="P425" i="1"/>
  <c r="P460" i="1" s="1"/>
  <c r="P489" i="1" s="1"/>
  <c r="CI413" i="1"/>
  <c r="P517" i="1"/>
  <c r="CI448" i="1"/>
  <c r="P518" i="1"/>
  <c r="CI518" i="1" s="1"/>
  <c r="CM399" i="1"/>
  <c r="Q517" i="1"/>
  <c r="Q425" i="1"/>
  <c r="Q460" i="1" s="1"/>
  <c r="Q489" i="1" s="1"/>
  <c r="CJ505" i="1"/>
  <c r="R520" i="1"/>
  <c r="CM105" i="1"/>
  <c r="Q408" i="1"/>
  <c r="R159" i="1"/>
  <c r="S54" i="1"/>
  <c r="O54" i="1"/>
  <c r="P469" i="1"/>
  <c r="O218" i="1"/>
  <c r="CL257" i="1"/>
  <c r="CL259" i="1" s="1"/>
  <c r="CL85" i="1" s="1"/>
  <c r="CN257" i="1"/>
  <c r="CN259" i="1" s="1"/>
  <c r="CN85" i="1" s="1"/>
  <c r="CV444" i="1"/>
  <c r="CV455" i="1" s="1"/>
  <c r="CT409" i="1"/>
  <c r="CT421" i="1" s="1"/>
  <c r="CX409" i="1"/>
  <c r="CX421" i="1" s="1"/>
  <c r="CW409" i="1"/>
  <c r="CW421" i="1" s="1"/>
  <c r="CW423" i="1"/>
  <c r="CW458" i="1" s="1"/>
  <c r="CW487" i="1" s="1"/>
  <c r="U623" i="1"/>
  <c r="P408" i="1"/>
  <c r="AB486" i="1"/>
  <c r="J822" i="1"/>
  <c r="J816" i="1"/>
  <c r="J812" i="1"/>
  <c r="F825" i="1"/>
  <c r="F819" i="1"/>
  <c r="F813" i="1"/>
  <c r="F154" i="1"/>
  <c r="C822" i="1"/>
  <c r="C816" i="1"/>
  <c r="C813" i="1"/>
  <c r="E520" i="1"/>
  <c r="G505" i="1"/>
  <c r="E812" i="1"/>
  <c r="E816" i="1"/>
  <c r="E819" i="1"/>
  <c r="CB238" i="1"/>
  <c r="CB112" i="1"/>
  <c r="BX238" i="1"/>
  <c r="BX112" i="1"/>
  <c r="BW64" i="1"/>
  <c r="BV266" i="1"/>
  <c r="BW266" i="1"/>
  <c r="C232" i="1"/>
  <c r="J443" i="1"/>
  <c r="G502" i="1"/>
  <c r="G424" i="1"/>
  <c r="G459" i="1" s="1"/>
  <c r="G488" i="1" s="1"/>
  <c r="I502" i="1"/>
  <c r="I424" i="1"/>
  <c r="I459" i="1" s="1"/>
  <c r="I488" i="1" s="1"/>
  <c r="K408" i="1"/>
  <c r="E509" i="1"/>
  <c r="CC509" i="1" s="1"/>
  <c r="D507" i="1"/>
  <c r="I509" i="1"/>
  <c r="H507" i="1"/>
  <c r="D589" i="1"/>
  <c r="D562" i="1"/>
  <c r="D561" i="1" s="1"/>
  <c r="L702" i="1"/>
  <c r="BY166" i="1"/>
  <c r="BY173" i="1"/>
  <c r="CA208" i="1"/>
  <c r="CA64" i="1"/>
  <c r="BT209" i="1"/>
  <c r="BY421" i="1"/>
  <c r="BY456" i="1" s="1"/>
  <c r="BY485" i="1" s="1"/>
  <c r="BY408" i="1"/>
  <c r="BU415" i="1"/>
  <c r="BU427" i="1" s="1"/>
  <c r="BU462" i="1" s="1"/>
  <c r="BU491" i="1" s="1"/>
  <c r="BU408" i="1"/>
  <c r="BT479" i="1"/>
  <c r="BU130" i="1"/>
  <c r="BS500" i="1"/>
  <c r="BU500" i="1"/>
  <c r="J612" i="1"/>
  <c r="J817" i="1" s="1"/>
  <c r="BY63" i="1"/>
  <c r="BY265" i="1"/>
  <c r="BY88" i="1" s="1"/>
  <c r="I698" i="1"/>
  <c r="D762" i="1"/>
  <c r="J698" i="1"/>
  <c r="H623" i="1"/>
  <c r="J234" i="1"/>
  <c r="D177" i="1"/>
  <c r="D114" i="1" s="1"/>
  <c r="D143" i="1"/>
  <c r="F422" i="1"/>
  <c r="H205" i="1"/>
  <c r="I181" i="1"/>
  <c r="C204" i="1"/>
  <c r="F228" i="1"/>
  <c r="L223" i="1"/>
  <c r="H223" i="1"/>
  <c r="D223" i="1"/>
  <c r="BV443" i="1"/>
  <c r="BS408" i="1"/>
  <c r="G408" i="1"/>
  <c r="K424" i="1"/>
  <c r="K459" i="1" s="1"/>
  <c r="K488" i="1" s="1"/>
  <c r="L208" i="1"/>
  <c r="BZ64" i="1"/>
  <c r="F205" i="1"/>
  <c r="C507" i="1"/>
  <c r="BY164" i="1"/>
  <c r="E105" i="1"/>
  <c r="I204" i="1"/>
  <c r="J202" i="1"/>
  <c r="C64" i="1"/>
  <c r="C208" i="1"/>
  <c r="C152" i="1" s="1"/>
  <c r="L267" i="1"/>
  <c r="E215" i="1"/>
  <c r="E232" i="1" s="1"/>
  <c r="E233" i="1" s="1"/>
  <c r="D234" i="1"/>
  <c r="D215" i="1"/>
  <c r="D232" i="1" s="1"/>
  <c r="H234" i="1"/>
  <c r="H215" i="1"/>
  <c r="H232" i="1" s="1"/>
  <c r="G445" i="1"/>
  <c r="G433" i="1"/>
  <c r="CD433" i="1" s="1"/>
  <c r="L450" i="1"/>
  <c r="C500" i="1"/>
  <c r="C495" i="1" s="1"/>
  <c r="D505" i="1"/>
  <c r="CB790" i="1"/>
  <c r="CB105" i="1"/>
  <c r="BT737" i="1"/>
  <c r="BT763" i="1" s="1"/>
  <c r="BT735" i="1"/>
  <c r="BT762" i="1" s="1"/>
  <c r="BV735" i="1"/>
  <c r="BV762" i="1" s="1"/>
  <c r="BV737" i="1"/>
  <c r="BV763" i="1" s="1"/>
  <c r="BX737" i="1"/>
  <c r="BX763" i="1" s="1"/>
  <c r="BX735" i="1"/>
  <c r="BX762" i="1" s="1"/>
  <c r="BZ735" i="1"/>
  <c r="BZ762" i="1" s="1"/>
  <c r="BZ138" i="1"/>
  <c r="CB737" i="1"/>
  <c r="CB763" i="1" s="1"/>
  <c r="CB735" i="1"/>
  <c r="CB762" i="1" s="1"/>
  <c r="CB610" i="1"/>
  <c r="CB611" i="1" s="1"/>
  <c r="CB177" i="1"/>
  <c r="CB114" i="1" s="1"/>
  <c r="CB111" i="1"/>
  <c r="CB202" i="1"/>
  <c r="CB795" i="1"/>
  <c r="BX64" i="1"/>
  <c r="BY266" i="1"/>
  <c r="BX266" i="1"/>
  <c r="BS267" i="1"/>
  <c r="BS87" i="1" s="1"/>
  <c r="BS209" i="1"/>
  <c r="BW267" i="1"/>
  <c r="BW87" i="1" s="1"/>
  <c r="BV267" i="1"/>
  <c r="BV87" i="1" s="1"/>
  <c r="BS296" i="1"/>
  <c r="BS301" i="1"/>
  <c r="BU296" i="1"/>
  <c r="BW296" i="1"/>
  <c r="BW301" i="1"/>
  <c r="BW306" i="1"/>
  <c r="BW311" i="1"/>
  <c r="BY296" i="1"/>
  <c r="CA296" i="1"/>
  <c r="CA301" i="1"/>
  <c r="CA306" i="1"/>
  <c r="CA311" i="1"/>
  <c r="BX381" i="1"/>
  <c r="BX130" i="1"/>
  <c r="BX388" i="1"/>
  <c r="BX427" i="1" s="1"/>
  <c r="BS427" i="1"/>
  <c r="BS462" i="1" s="1"/>
  <c r="BX450" i="1"/>
  <c r="CB809" i="1"/>
  <c r="CZ423" i="1"/>
  <c r="CZ458" i="1" s="1"/>
  <c r="CZ487" i="1" s="1"/>
  <c r="AE159" i="1"/>
  <c r="AE218" i="1"/>
  <c r="AE145" i="1"/>
  <c r="AE611" i="1"/>
  <c r="CP611" i="1" s="1"/>
  <c r="CQ191" i="1"/>
  <c r="AG197" i="1"/>
  <c r="CQ197" i="1" s="1"/>
  <c r="AH627" i="1"/>
  <c r="I479" i="1"/>
  <c r="BV486" i="1"/>
  <c r="BZ486" i="1"/>
  <c r="BS472" i="1"/>
  <c r="BZ500" i="1"/>
  <c r="AC181" i="1"/>
  <c r="AC147" i="1" s="1"/>
  <c r="AD196" i="1"/>
  <c r="AE54" i="1"/>
  <c r="AF218" i="1"/>
  <c r="AE713" i="1"/>
  <c r="CP713" i="1" s="1"/>
  <c r="AE468" i="1"/>
  <c r="AE177" i="1"/>
  <c r="CP177" i="1" s="1"/>
  <c r="CP114" i="1" s="1"/>
  <c r="AE822" i="1"/>
  <c r="AF232" i="1"/>
  <c r="AF468" i="1"/>
  <c r="AF197" i="1"/>
  <c r="AG261" i="1"/>
  <c r="AG486" i="1"/>
  <c r="AG713" i="1"/>
  <c r="CQ713" i="1" s="1"/>
  <c r="CQ184" i="1"/>
  <c r="AG54" i="1"/>
  <c r="AG218" i="1"/>
  <c r="AF54" i="1"/>
  <c r="AH215" i="1"/>
  <c r="AH232" i="1" s="1"/>
  <c r="AH233" i="1" s="1"/>
  <c r="AH218" i="1"/>
  <c r="AF260" i="1"/>
  <c r="AF257" i="1"/>
  <c r="AH427" i="1"/>
  <c r="AH462" i="1" s="1"/>
  <c r="AH491" i="1" s="1"/>
  <c r="CY444" i="1"/>
  <c r="CY455" i="1" s="1"/>
  <c r="CY474" i="1"/>
  <c r="CY503" i="1"/>
  <c r="CY516" i="1"/>
  <c r="CY518" i="1"/>
  <c r="AC177" i="1"/>
  <c r="AC232" i="1"/>
  <c r="AC233" i="1" s="1"/>
  <c r="AC443" i="1"/>
  <c r="AC472" i="1"/>
  <c r="AD232" i="1"/>
  <c r="AD233" i="1" s="1"/>
  <c r="CZ444" i="1"/>
  <c r="CZ455" i="1" s="1"/>
  <c r="CZ474" i="1"/>
  <c r="CZ475" i="1"/>
  <c r="CZ503" i="1"/>
  <c r="CZ517" i="1"/>
  <c r="CZ518" i="1"/>
  <c r="AE602" i="1"/>
  <c r="CP602" i="1" s="1"/>
  <c r="CP604" i="1" s="1"/>
  <c r="AE667" i="1"/>
  <c r="CP667" i="1" s="1"/>
  <c r="AE825" i="1"/>
  <c r="AF486" i="1"/>
  <c r="AF443" i="1"/>
  <c r="AF441" i="1" s="1"/>
  <c r="AF427" i="1"/>
  <c r="AF462" i="1" s="1"/>
  <c r="AF491" i="1" s="1"/>
  <c r="DA445" i="1"/>
  <c r="DA473" i="1"/>
  <c r="DA474" i="1"/>
  <c r="DA475" i="1"/>
  <c r="DA501" i="1"/>
  <c r="DA504" i="1"/>
  <c r="DA516" i="1"/>
  <c r="DA518" i="1"/>
  <c r="DA519" i="1"/>
  <c r="DA622" i="1"/>
  <c r="AH456" i="1"/>
  <c r="AH485" i="1" s="1"/>
  <c r="AH105" i="1"/>
  <c r="CR105" i="1" s="1"/>
  <c r="CQ97" i="1"/>
  <c r="CQ790" i="1"/>
  <c r="CP64" i="1"/>
  <c r="CQ822" i="1"/>
  <c r="CQ815" i="1"/>
  <c r="CQ147" i="1"/>
  <c r="CQ222" i="1"/>
  <c r="AD667" i="1"/>
  <c r="CP434" i="1"/>
  <c r="AD698" i="1"/>
  <c r="AE64" i="1"/>
  <c r="CP223" i="1"/>
  <c r="CP222" i="1"/>
  <c r="CO815" i="1"/>
  <c r="CO398" i="1"/>
  <c r="AC266" i="1"/>
  <c r="CS584" i="1"/>
  <c r="AB412" i="1"/>
  <c r="CN388" i="1"/>
  <c r="CN389" i="1" s="1"/>
  <c r="CN381" i="1"/>
  <c r="CP216" i="1"/>
  <c r="CP52" i="1"/>
  <c r="Z825" i="1"/>
  <c r="CO215" i="1"/>
  <c r="Z812" i="1"/>
  <c r="CN215" i="1"/>
  <c r="CV706" i="1"/>
  <c r="CR678" i="1"/>
  <c r="CN227" i="1"/>
  <c r="CO227" i="1"/>
  <c r="CT571" i="1"/>
  <c r="CS546" i="1"/>
  <c r="CS600" i="1"/>
  <c r="CS601" i="1"/>
  <c r="O612" i="1"/>
  <c r="O817" i="1" s="1"/>
  <c r="CH611" i="1"/>
  <c r="V116" i="1"/>
  <c r="V820" i="1"/>
  <c r="V826" i="1"/>
  <c r="V823" i="1"/>
  <c r="V817" i="1"/>
  <c r="CO606" i="1"/>
  <c r="AD606" i="1"/>
  <c r="AE606" i="1" s="1"/>
  <c r="Y63" i="1"/>
  <c r="Y265" i="1"/>
  <c r="CS92" i="1"/>
  <c r="Z63" i="1"/>
  <c r="CN60" i="1"/>
  <c r="CN49" i="1" s="1"/>
  <c r="CR539" i="1"/>
  <c r="CS583" i="1"/>
  <c r="CS540" i="1"/>
  <c r="CR601" i="1"/>
  <c r="W713" i="1"/>
  <c r="W468" i="1"/>
  <c r="CL470" i="1"/>
  <c r="N826" i="1"/>
  <c r="N116" i="1"/>
  <c r="N823" i="1"/>
  <c r="N820" i="1"/>
  <c r="N817" i="1"/>
  <c r="X826" i="1"/>
  <c r="X823" i="1"/>
  <c r="X116" i="1"/>
  <c r="X820" i="1"/>
  <c r="X817" i="1"/>
  <c r="X147" i="1"/>
  <c r="AC561" i="1"/>
  <c r="CO561" i="1" s="1"/>
  <c r="AC633" i="1"/>
  <c r="AD553" i="1"/>
  <c r="AE553" i="1" s="1"/>
  <c r="CP553" i="1" s="1"/>
  <c r="CT123" i="1"/>
  <c r="CS123" i="1"/>
  <c r="CE60" i="1"/>
  <c r="CE49" i="1" s="1"/>
  <c r="AB266" i="1"/>
  <c r="CU409" i="1"/>
  <c r="CU421" i="1" s="1"/>
  <c r="CU473" i="1"/>
  <c r="CW473" i="1"/>
  <c r="CI536" i="1"/>
  <c r="CK536" i="1"/>
  <c r="V147" i="1"/>
  <c r="CK64" i="1"/>
  <c r="E713" i="1"/>
  <c r="I713" i="1"/>
  <c r="D713" i="1"/>
  <c r="H713" i="1"/>
  <c r="I536" i="1"/>
  <c r="CE536" i="1" s="1"/>
  <c r="CC636" i="1"/>
  <c r="J472" i="1"/>
  <c r="BV500" i="1"/>
  <c r="CO191" i="1"/>
  <c r="AC192" i="1"/>
  <c r="DA422" i="1"/>
  <c r="DA457" i="1" s="1"/>
  <c r="BS276" i="1"/>
  <c r="BU276" i="1"/>
  <c r="BW276" i="1"/>
  <c r="BY276" i="1"/>
  <c r="CA276" i="1"/>
  <c r="BU281" i="1"/>
  <c r="BW281" i="1"/>
  <c r="BY281" i="1"/>
  <c r="CA281" i="1"/>
  <c r="BU286" i="1"/>
  <c r="BW286" i="1"/>
  <c r="BY286" i="1"/>
  <c r="CA286" i="1"/>
  <c r="CY445" i="1"/>
  <c r="CY501" i="1"/>
  <c r="CY517" i="1"/>
  <c r="CY519" i="1"/>
  <c r="AE472" i="1"/>
  <c r="AE812" i="1"/>
  <c r="AE819" i="1"/>
  <c r="CN185" i="1"/>
  <c r="AA186" i="1"/>
  <c r="Y186" i="1"/>
  <c r="CM185" i="1"/>
  <c r="AG266" i="1"/>
  <c r="AF208" i="1"/>
  <c r="DA444" i="1"/>
  <c r="DA455" i="1" s="1"/>
  <c r="BA455" i="1"/>
  <c r="BA484" i="1" s="1"/>
  <c r="AH147" i="1"/>
  <c r="AE443" i="1"/>
  <c r="AG228" i="1"/>
  <c r="DA409" i="1"/>
  <c r="DA421" i="1" s="1"/>
  <c r="BA486" i="1"/>
  <c r="AG232" i="1"/>
  <c r="AG443" i="1"/>
  <c r="AG441" i="1" s="1"/>
  <c r="AG440" i="1" s="1"/>
  <c r="AH96" i="1" s="1"/>
  <c r="AG472" i="1"/>
  <c r="AG471" i="1" s="1"/>
  <c r="AH177" i="1"/>
  <c r="W208" i="1"/>
  <c r="W265" i="1" s="1"/>
  <c r="X266" i="1"/>
  <c r="W266" i="1"/>
  <c r="CL209" i="1"/>
  <c r="CJ60" i="1"/>
  <c r="CJ49" i="1" s="1"/>
  <c r="CK60" i="1"/>
  <c r="CK49" i="1" s="1"/>
  <c r="CF60" i="1"/>
  <c r="CF49" i="1" s="1"/>
  <c r="AH208" i="1"/>
  <c r="AH152" i="1" s="1"/>
  <c r="AH266" i="1"/>
  <c r="AB19" i="16"/>
  <c r="AA14" i="16" s="1"/>
  <c r="S3" i="16"/>
  <c r="J8" i="7"/>
  <c r="E10" i="2"/>
  <c r="CQ228" i="1"/>
  <c r="AD266" i="1"/>
  <c r="AD208" i="1"/>
  <c r="CP228" i="1"/>
  <c r="AC64" i="1"/>
  <c r="AA265" i="1"/>
  <c r="AA63" i="1"/>
  <c r="W64" i="1"/>
  <c r="CI60" i="1"/>
  <c r="CI49" i="1" s="1"/>
  <c r="CI228" i="1"/>
  <c r="X64" i="1"/>
  <c r="CH60" i="1"/>
  <c r="CH49" i="1" s="1"/>
  <c r="Z152" i="1"/>
  <c r="Z265" i="1"/>
  <c r="Y152" i="1"/>
  <c r="CM208" i="1"/>
  <c r="AH64" i="1"/>
  <c r="CS151" i="1"/>
  <c r="AE696" i="1"/>
  <c r="AF696" i="1" s="1"/>
  <c r="AA488" i="1"/>
  <c r="Z488" i="1"/>
  <c r="CT682" i="1"/>
  <c r="CO434" i="1"/>
  <c r="CT677" i="1"/>
  <c r="CR180" i="1"/>
  <c r="CR160" i="1"/>
  <c r="CR536" i="1"/>
  <c r="CT540" i="1"/>
  <c r="CS588" i="1"/>
  <c r="CS539" i="1"/>
  <c r="CS499" i="1"/>
  <c r="CR522" i="1"/>
  <c r="CR499" i="1"/>
  <c r="CS573" i="1"/>
  <c r="P817" i="1"/>
  <c r="P820" i="1"/>
  <c r="P823" i="1"/>
  <c r="P116" i="1"/>
  <c r="P826" i="1"/>
  <c r="CS577" i="1"/>
  <c r="CW35" i="1"/>
  <c r="AB561" i="1"/>
  <c r="CW34" i="1"/>
  <c r="D3" i="1"/>
  <c r="D2" i="1"/>
  <c r="E725" i="1" s="1"/>
  <c r="AF154" i="1"/>
  <c r="AF147" i="1"/>
  <c r="AD177" i="1"/>
  <c r="AE816" i="1"/>
  <c r="AE813" i="1"/>
  <c r="AF177" i="1"/>
  <c r="AG623" i="1"/>
  <c r="G10" i="7"/>
  <c r="P10" i="16"/>
  <c r="G8" i="2"/>
  <c r="O14" i="30" s="1"/>
  <c r="CR165" i="1"/>
  <c r="R9" i="16"/>
  <c r="Q10" i="16"/>
  <c r="AH31" i="1" l="1"/>
  <c r="C3" i="31"/>
  <c r="AH670" i="1"/>
  <c r="CF433" i="1"/>
  <c r="AH430" i="1"/>
  <c r="AH68" i="1"/>
  <c r="AH273" i="1" s="1"/>
  <c r="AH132" i="1"/>
  <c r="AH32" i="1"/>
  <c r="AH30" i="1"/>
  <c r="AH39" i="1"/>
  <c r="AH33" i="1"/>
  <c r="AH67" i="1"/>
  <c r="AH272" i="1" s="1"/>
  <c r="AH38" i="1"/>
  <c r="AH70" i="1"/>
  <c r="AH275" i="1" s="1"/>
  <c r="AH29" i="1"/>
  <c r="AH40" i="1"/>
  <c r="CR523" i="1"/>
  <c r="CQ145" i="1"/>
  <c r="CP484" i="1"/>
  <c r="CP486" i="1"/>
  <c r="G233" i="1"/>
  <c r="AC5" i="1"/>
  <c r="AC309" i="1" s="1"/>
  <c r="AC367" i="1" s="1"/>
  <c r="AC132" i="1"/>
  <c r="AC33" i="1"/>
  <c r="AC68" i="1"/>
  <c r="AC273" i="1" s="1"/>
  <c r="AC40" i="1"/>
  <c r="AC70" i="1"/>
  <c r="AC275" i="1" s="1"/>
  <c r="AC67" i="1"/>
  <c r="AC272" i="1" s="1"/>
  <c r="AC330" i="1" s="1"/>
  <c r="AC30" i="1"/>
  <c r="AC39" i="1"/>
  <c r="AC38" i="1"/>
  <c r="AC31" i="1"/>
  <c r="AC29" i="1"/>
  <c r="AC32" i="1"/>
  <c r="AG32" i="1"/>
  <c r="AG70" i="1"/>
  <c r="AG275" i="1" s="1"/>
  <c r="AG67" i="1"/>
  <c r="AG272" i="1" s="1"/>
  <c r="AG39" i="1"/>
  <c r="AG132" i="1"/>
  <c r="AG33" i="1"/>
  <c r="AG68" i="1"/>
  <c r="AG273" i="1" s="1"/>
  <c r="AG38" i="1"/>
  <c r="AG40" i="1"/>
  <c r="AG31" i="1"/>
  <c r="AG30" i="1"/>
  <c r="AG29" i="1"/>
  <c r="BT38" i="1"/>
  <c r="BT33" i="1"/>
  <c r="BT30" i="1"/>
  <c r="BT39" i="1"/>
  <c r="BT31" i="1"/>
  <c r="BT40" i="1"/>
  <c r="BT32" i="1"/>
  <c r="BT29" i="1"/>
  <c r="AF32" i="1"/>
  <c r="AF70" i="1"/>
  <c r="AF275" i="1" s="1"/>
  <c r="AF67" i="1"/>
  <c r="AF272" i="1" s="1"/>
  <c r="AF132" i="1"/>
  <c r="AF40" i="1"/>
  <c r="AF31" i="1"/>
  <c r="AF29" i="1"/>
  <c r="AF33" i="1"/>
  <c r="AF68" i="1"/>
  <c r="AF273" i="1" s="1"/>
  <c r="AF38" i="1"/>
  <c r="AF39" i="1"/>
  <c r="AF30" i="1"/>
  <c r="D70" i="1"/>
  <c r="D275" i="1" s="1"/>
  <c r="D67" i="1"/>
  <c r="D272" i="1" s="1"/>
  <c r="D39" i="1"/>
  <c r="D68" i="1"/>
  <c r="D273" i="1" s="1"/>
  <c r="D40" i="1"/>
  <c r="D38" i="1"/>
  <c r="D30" i="1"/>
  <c r="D33" i="1"/>
  <c r="D32" i="1"/>
  <c r="D31" i="1"/>
  <c r="D29" i="1"/>
  <c r="AE68" i="1"/>
  <c r="AE273" i="1" s="1"/>
  <c r="AE40" i="1"/>
  <c r="AE38" i="1"/>
  <c r="AE70" i="1"/>
  <c r="AE275" i="1" s="1"/>
  <c r="AE67" i="1"/>
  <c r="AE272" i="1" s="1"/>
  <c r="AE39" i="1"/>
  <c r="AE31" i="1"/>
  <c r="AE29" i="1"/>
  <c r="AE33" i="1"/>
  <c r="AE32" i="1"/>
  <c r="AE30" i="1"/>
  <c r="AE132" i="1"/>
  <c r="CB39" i="1"/>
  <c r="CB31" i="1"/>
  <c r="CB40" i="1"/>
  <c r="CB32" i="1"/>
  <c r="CB29" i="1"/>
  <c r="CB33" i="1"/>
  <c r="CB30" i="1"/>
  <c r="CB38" i="1"/>
  <c r="AD33" i="1"/>
  <c r="AD68" i="1"/>
  <c r="AD273" i="1" s="1"/>
  <c r="AD40" i="1"/>
  <c r="AD38" i="1"/>
  <c r="AD132" i="1"/>
  <c r="AD67" i="1"/>
  <c r="AD272" i="1" s="1"/>
  <c r="AD31" i="1"/>
  <c r="AD29" i="1"/>
  <c r="AD30" i="1"/>
  <c r="AD39" i="1"/>
  <c r="AD32" i="1"/>
  <c r="AD70" i="1"/>
  <c r="AD275" i="1" s="1"/>
  <c r="CG479" i="1"/>
  <c r="CK626" i="1"/>
  <c r="AB5" i="1"/>
  <c r="CO266" i="1" s="1"/>
  <c r="R519" i="1"/>
  <c r="CJ519" i="1" s="1"/>
  <c r="AD242" i="1"/>
  <c r="AD252" i="1" s="1"/>
  <c r="BS491" i="1"/>
  <c r="AG5" i="1"/>
  <c r="AG276" i="1" s="1"/>
  <c r="AG334" i="1" s="1"/>
  <c r="CD1" i="1"/>
  <c r="CD3" i="1" s="1"/>
  <c r="N456" i="1"/>
  <c r="N485" i="1" s="1"/>
  <c r="CP816" i="1"/>
  <c r="I143" i="1"/>
  <c r="CP822" i="1"/>
  <c r="BW260" i="1"/>
  <c r="BW699" i="1" s="1"/>
  <c r="I634" i="1"/>
  <c r="I635" i="1" s="1"/>
  <c r="CP813" i="1"/>
  <c r="BZ261" i="1"/>
  <c r="BZ376" i="1" s="1"/>
  <c r="CC2" i="1"/>
  <c r="CD725" i="1" s="1"/>
  <c r="CP812" i="1"/>
  <c r="BZ85" i="1"/>
  <c r="M500" i="1"/>
  <c r="M495" i="1" s="1"/>
  <c r="CE143" i="1"/>
  <c r="CQ389" i="1"/>
  <c r="CP825" i="1"/>
  <c r="CP819" i="1"/>
  <c r="CO507" i="1"/>
  <c r="CO509" i="1" s="1"/>
  <c r="CG415" i="1"/>
  <c r="CG427" i="1" s="1"/>
  <c r="CH445" i="1"/>
  <c r="CH456" i="1" s="1"/>
  <c r="CH485" i="1" s="1"/>
  <c r="AF5" i="1"/>
  <c r="AF350" i="1" s="1"/>
  <c r="CN604" i="1"/>
  <c r="F456" i="1"/>
  <c r="F485" i="1" s="1"/>
  <c r="AG795" i="1"/>
  <c r="AG217" i="1"/>
  <c r="AB53" i="1"/>
  <c r="CP111" i="1"/>
  <c r="CG450" i="1"/>
  <c r="CP507" i="1"/>
  <c r="CP509" i="1" s="1"/>
  <c r="CP143" i="1"/>
  <c r="CL795" i="1"/>
  <c r="W795" i="1"/>
  <c r="AG233" i="1"/>
  <c r="BZ430" i="1"/>
  <c r="W192" i="1"/>
  <c r="CL192" i="1" s="1"/>
  <c r="CL58" i="1" s="1"/>
  <c r="W186" i="1"/>
  <c r="CL186" i="1" s="1"/>
  <c r="CL55" i="1" s="1"/>
  <c r="W670" i="1"/>
  <c r="CL670" i="1" s="1"/>
  <c r="BT259" i="1"/>
  <c r="BT85" i="1" s="1"/>
  <c r="BS249" i="1"/>
  <c r="BS254" i="1" s="1"/>
  <c r="BS259" i="1" s="1"/>
  <c r="BT306" i="1"/>
  <c r="CO143" i="1"/>
  <c r="CE562" i="1"/>
  <c r="AD5" i="1"/>
  <c r="AD808" i="1" s="1"/>
  <c r="BZ441" i="1"/>
  <c r="BZ440" i="1" s="1"/>
  <c r="CA96" i="1" s="1"/>
  <c r="X500" i="1"/>
  <c r="X495" i="1" s="1"/>
  <c r="O53" i="1"/>
  <c r="R261" i="1"/>
  <c r="CQ248" i="1"/>
  <c r="CP795" i="1"/>
  <c r="R628" i="1"/>
  <c r="BY637" i="1"/>
  <c r="BY739" i="1" s="1"/>
  <c r="BY765" i="1" s="1"/>
  <c r="BU738" i="1"/>
  <c r="BU764" i="1" s="1"/>
  <c r="R192" i="1"/>
  <c r="R58" i="1" s="1"/>
  <c r="U670" i="1"/>
  <c r="CK670" i="1" s="1"/>
  <c r="AE5" i="1"/>
  <c r="AE315" i="1" s="1"/>
  <c r="AE373" i="1" s="1"/>
  <c r="BV260" i="1"/>
  <c r="BV699" i="1" s="1"/>
  <c r="CN145" i="1"/>
  <c r="M186" i="1"/>
  <c r="CG186" i="1" s="1"/>
  <c r="CG55" i="1" s="1"/>
  <c r="R670" i="1"/>
  <c r="CQ259" i="1"/>
  <c r="CQ85" i="1" s="1"/>
  <c r="R699" i="1"/>
  <c r="CL217" i="1"/>
  <c r="BV1" i="1"/>
  <c r="BV2" i="1" s="1"/>
  <c r="BW725" i="1" s="1"/>
  <c r="CD97" i="1"/>
  <c r="CH809" i="1"/>
  <c r="CJ507" i="1"/>
  <c r="CJ509" i="1" s="1"/>
  <c r="CD209" i="1"/>
  <c r="CD64" i="1" s="1"/>
  <c r="AE795" i="1"/>
  <c r="H443" i="1"/>
  <c r="H98" i="1" s="1"/>
  <c r="H203" i="1"/>
  <c r="H204" i="1" s="1"/>
  <c r="H192" i="1" s="1"/>
  <c r="H58" i="1" s="1"/>
  <c r="CQ243" i="1"/>
  <c r="K143" i="1"/>
  <c r="CI450" i="1"/>
  <c r="P462" i="1"/>
  <c r="P491" i="1" s="1"/>
  <c r="CF143" i="1"/>
  <c r="CP248" i="1"/>
  <c r="E393" i="1"/>
  <c r="K634" i="1"/>
  <c r="K635" i="1" s="1"/>
  <c r="CM795" i="1"/>
  <c r="CQ484" i="1"/>
  <c r="CA85" i="1"/>
  <c r="CL416" i="1"/>
  <c r="Y795" i="1"/>
  <c r="Y670" i="1"/>
  <c r="CM670" i="1" s="1"/>
  <c r="CK634" i="1"/>
  <c r="CK635" i="1" s="1"/>
  <c r="CK738" i="1" s="1"/>
  <c r="CK764" i="1" s="1"/>
  <c r="V670" i="1"/>
  <c r="Q795" i="1"/>
  <c r="Q192" i="1"/>
  <c r="Q198" i="1" s="1"/>
  <c r="CI204" i="1"/>
  <c r="CI795" i="1" s="1"/>
  <c r="CA261" i="1"/>
  <c r="CA376" i="1" s="1"/>
  <c r="Q670" i="1"/>
  <c r="CI670" i="1" s="1"/>
  <c r="CI484" i="1"/>
  <c r="M795" i="1"/>
  <c r="M456" i="1"/>
  <c r="M485" i="1" s="1"/>
  <c r="AG670" i="1"/>
  <c r="CQ670" i="1" s="1"/>
  <c r="T217" i="1"/>
  <c r="CG204" i="1"/>
  <c r="CG795" i="1" s="1"/>
  <c r="CK143" i="1"/>
  <c r="CI626" i="1"/>
  <c r="CO112" i="1"/>
  <c r="O233" i="1"/>
  <c r="L500" i="1"/>
  <c r="L515" i="1" s="1"/>
  <c r="CJ480" i="1"/>
  <c r="CN468" i="1"/>
  <c r="CP261" i="1"/>
  <c r="CO613" i="1"/>
  <c r="CO814" i="1" s="1"/>
  <c r="CJ626" i="1"/>
  <c r="CG627" i="1"/>
  <c r="I393" i="1"/>
  <c r="I792" i="1" s="1"/>
  <c r="BX670" i="1"/>
  <c r="AA217" i="1"/>
  <c r="D635" i="1"/>
  <c r="D738" i="1" s="1"/>
  <c r="D764" i="1" s="1"/>
  <c r="O152" i="1"/>
  <c r="CG633" i="1"/>
  <c r="CG635" i="1" s="1"/>
  <c r="CG738" i="1" s="1"/>
  <c r="CG764" i="1" s="1"/>
  <c r="CC507" i="1"/>
  <c r="N462" i="1"/>
  <c r="N491" i="1" s="1"/>
  <c r="CK627" i="1"/>
  <c r="CM507" i="1"/>
  <c r="CM509" i="1" s="1"/>
  <c r="CX484" i="1"/>
  <c r="CL626" i="1"/>
  <c r="Q427" i="1"/>
  <c r="Q462" i="1" s="1"/>
  <c r="Q491" i="1" s="1"/>
  <c r="AF233" i="1"/>
  <c r="AD795" i="1"/>
  <c r="BU359" i="1"/>
  <c r="BX261" i="1"/>
  <c r="BX376" i="1" s="1"/>
  <c r="CN809" i="1"/>
  <c r="L259" i="1"/>
  <c r="L260" i="1" s="1"/>
  <c r="S130" i="1"/>
  <c r="P233" i="1"/>
  <c r="CM143" i="1"/>
  <c r="BX85" i="1"/>
  <c r="CK145" i="1"/>
  <c r="CH208" i="1"/>
  <c r="CH152" i="1" s="1"/>
  <c r="L670" i="1"/>
  <c r="CO468" i="1"/>
  <c r="CJ627" i="1"/>
  <c r="AE670" i="1"/>
  <c r="CP670" i="1" s="1"/>
  <c r="BX699" i="1"/>
  <c r="CC486" i="1"/>
  <c r="CJ502" i="1"/>
  <c r="CJ130" i="1" s="1"/>
  <c r="V192" i="1"/>
  <c r="V58" i="1" s="1"/>
  <c r="AF327" i="1"/>
  <c r="CQ381" i="1"/>
  <c r="CQ327" i="1" s="1"/>
  <c r="CA202" i="1"/>
  <c r="CH143" i="1"/>
  <c r="R491" i="1"/>
  <c r="P63" i="1"/>
  <c r="V795" i="1"/>
  <c r="R130" i="1"/>
  <c r="AH795" i="1"/>
  <c r="AA813" i="1"/>
  <c r="N635" i="1"/>
  <c r="N738" i="1" s="1"/>
  <c r="N764" i="1" s="1"/>
  <c r="AE249" i="1"/>
  <c r="N233" i="1"/>
  <c r="CH627" i="1"/>
  <c r="Z635" i="1"/>
  <c r="Z738" i="1" s="1"/>
  <c r="Z764" i="1" s="1"/>
  <c r="O456" i="1"/>
  <c r="O485" i="1" s="1"/>
  <c r="E208" i="1"/>
  <c r="CC208" i="1" s="1"/>
  <c r="N186" i="1"/>
  <c r="N55" i="1" s="1"/>
  <c r="N795" i="1"/>
  <c r="CL145" i="1"/>
  <c r="O63" i="1"/>
  <c r="BZ99" i="1"/>
  <c r="CA117" i="1"/>
  <c r="M259" i="1"/>
  <c r="M260" i="1" s="1"/>
  <c r="M261" i="1" s="1"/>
  <c r="CB85" i="1"/>
  <c r="CL451" i="1"/>
  <c r="CC635" i="1"/>
  <c r="CC637" i="1" s="1"/>
  <c r="CN217" i="1"/>
  <c r="P670" i="1"/>
  <c r="CG507" i="1"/>
  <c r="CA795" i="1"/>
  <c r="CD203" i="1"/>
  <c r="Q603" i="1"/>
  <c r="CI603" i="1" s="1"/>
  <c r="CI604" i="1" s="1"/>
  <c r="L456" i="1"/>
  <c r="L485" i="1" s="1"/>
  <c r="R602" i="1"/>
  <c r="R603" i="1" s="1"/>
  <c r="CN143" i="1"/>
  <c r="N192" i="1"/>
  <c r="N58" i="1" s="1"/>
  <c r="K505" i="1"/>
  <c r="CF505" i="1" s="1"/>
  <c r="Q456" i="1"/>
  <c r="Q485" i="1" s="1"/>
  <c r="C471" i="1"/>
  <c r="CL381" i="1"/>
  <c r="CL327" i="1" s="1"/>
  <c r="CP456" i="1"/>
  <c r="CP485" i="1" s="1"/>
  <c r="CI584" i="1"/>
  <c r="CI585" i="1" s="1"/>
  <c r="Q628" i="1"/>
  <c r="CE520" i="1"/>
  <c r="CQ795" i="1"/>
  <c r="CE486" i="1"/>
  <c r="P53" i="1"/>
  <c r="CI507" i="1"/>
  <c r="S602" i="1"/>
  <c r="CJ602" i="1" s="1"/>
  <c r="M192" i="1"/>
  <c r="M58" i="1" s="1"/>
  <c r="F233" i="1"/>
  <c r="R795" i="1"/>
  <c r="CM505" i="1"/>
  <c r="CH507" i="1"/>
  <c r="CO604" i="1"/>
  <c r="CP623" i="1"/>
  <c r="AE253" i="1"/>
  <c r="CD177" i="1"/>
  <c r="CD114" i="1" s="1"/>
  <c r="CB261" i="1"/>
  <c r="CB376" i="1" s="1"/>
  <c r="CG502" i="1"/>
  <c r="CG130" i="1" s="1"/>
  <c r="M441" i="1"/>
  <c r="M440" i="1" s="1"/>
  <c r="N96" i="1" s="1"/>
  <c r="T628" i="1"/>
  <c r="CG562" i="1"/>
  <c r="CL507" i="1"/>
  <c r="CL509" i="1" s="1"/>
  <c r="CJ477" i="1"/>
  <c r="CP243" i="1"/>
  <c r="CO53" i="1"/>
  <c r="CI143" i="1"/>
  <c r="O217" i="1"/>
  <c r="BS441" i="1"/>
  <c r="BS440" i="1" s="1"/>
  <c r="BT96" i="1" s="1"/>
  <c r="CB359" i="1"/>
  <c r="CN611" i="1"/>
  <c r="CN146" i="1" s="1"/>
  <c r="K208" i="1"/>
  <c r="K152" i="1" s="1"/>
  <c r="D816" i="1"/>
  <c r="CB369" i="1"/>
  <c r="BY261" i="1"/>
  <c r="BY376" i="1" s="1"/>
  <c r="CQ143" i="1"/>
  <c r="AF623" i="1"/>
  <c r="M233" i="1"/>
  <c r="N520" i="1"/>
  <c r="CH520" i="1" s="1"/>
  <c r="BS430" i="1"/>
  <c r="S628" i="1"/>
  <c r="BS791" i="1"/>
  <c r="R489" i="1"/>
  <c r="W427" i="1"/>
  <c r="W462" i="1" s="1"/>
  <c r="W491" i="1" s="1"/>
  <c r="CI388" i="1"/>
  <c r="D812" i="1"/>
  <c r="L64" i="1"/>
  <c r="BU364" i="1"/>
  <c r="AH261" i="1"/>
  <c r="S233" i="1"/>
  <c r="CA462" i="1"/>
  <c r="CA491" i="1" s="1"/>
  <c r="J146" i="1"/>
  <c r="AB217" i="1"/>
  <c r="CG208" i="1"/>
  <c r="CG152" i="1" s="1"/>
  <c r="F203" i="1"/>
  <c r="F204" i="1" s="1"/>
  <c r="F186" i="1" s="1"/>
  <c r="F55" i="1" s="1"/>
  <c r="CG486" i="1"/>
  <c r="Z217" i="1"/>
  <c r="CE433" i="1"/>
  <c r="CI445" i="1"/>
  <c r="CI456" i="1" s="1"/>
  <c r="CI485" i="1" s="1"/>
  <c r="P443" i="1"/>
  <c r="R98" i="1" s="1"/>
  <c r="CQ456" i="1"/>
  <c r="CQ485" i="1" s="1"/>
  <c r="P456" i="1"/>
  <c r="P485" i="1" s="1"/>
  <c r="H471" i="1"/>
  <c r="CE471" i="1" s="1"/>
  <c r="E471" i="1"/>
  <c r="CC471" i="1" s="1"/>
  <c r="BX430" i="1"/>
  <c r="CH502" i="1"/>
  <c r="CH130" i="1" s="1"/>
  <c r="N500" i="1"/>
  <c r="N495" i="1" s="1"/>
  <c r="I456" i="1"/>
  <c r="I485" i="1" s="1"/>
  <c r="E500" i="1"/>
  <c r="E495" i="1" s="1"/>
  <c r="BX791" i="1"/>
  <c r="E130" i="1"/>
  <c r="N217" i="1"/>
  <c r="N259" i="1"/>
  <c r="N260" i="1" s="1"/>
  <c r="AB636" i="1"/>
  <c r="Q55" i="1"/>
  <c r="BY462" i="1"/>
  <c r="BY491" i="1" s="1"/>
  <c r="C430" i="1"/>
  <c r="AB635" i="1"/>
  <c r="AB738" i="1" s="1"/>
  <c r="AB764" i="1" s="1"/>
  <c r="O265" i="1"/>
  <c r="O443" i="1"/>
  <c r="O515" i="1" s="1"/>
  <c r="O732" i="1" s="1"/>
  <c r="O628" i="1"/>
  <c r="U186" i="1"/>
  <c r="U55" i="1" s="1"/>
  <c r="AA441" i="1"/>
  <c r="CN441" i="1" s="1"/>
  <c r="CD145" i="1"/>
  <c r="CL143" i="1"/>
  <c r="G192" i="1"/>
  <c r="G58" i="1" s="1"/>
  <c r="CE505" i="1"/>
  <c r="Q217" i="1"/>
  <c r="CL480" i="1"/>
  <c r="CQ627" i="1"/>
  <c r="I500" i="1"/>
  <c r="G670" i="1"/>
  <c r="CD670" i="1" s="1"/>
  <c r="G699" i="1"/>
  <c r="AH217" i="1"/>
  <c r="AG247" i="1"/>
  <c r="AG249" i="1" s="1"/>
  <c r="U217" i="1"/>
  <c r="F500" i="1"/>
  <c r="F498" i="1" s="1"/>
  <c r="Q53" i="1"/>
  <c r="AC412" i="1"/>
  <c r="AE412" i="1" s="1"/>
  <c r="AE502" i="1" s="1"/>
  <c r="AE500" i="1" s="1"/>
  <c r="Q520" i="1"/>
  <c r="CI520" i="1" s="1"/>
  <c r="M628" i="1"/>
  <c r="CD522" i="1"/>
  <c r="P628" i="1"/>
  <c r="V53" i="1"/>
  <c r="U795" i="1"/>
  <c r="U58" i="1"/>
  <c r="N63" i="1"/>
  <c r="AA793" i="1"/>
  <c r="CK204" i="1"/>
  <c r="CK795" i="1" s="1"/>
  <c r="CP398" i="1"/>
  <c r="CE623" i="1"/>
  <c r="AG53" i="1"/>
  <c r="G795" i="1"/>
  <c r="AE623" i="1"/>
  <c r="E443" i="1"/>
  <c r="E456" i="1"/>
  <c r="E485" i="1" s="1"/>
  <c r="U53" i="1"/>
  <c r="N265" i="1"/>
  <c r="V217" i="1"/>
  <c r="P217" i="1"/>
  <c r="CI505" i="1"/>
  <c r="BU117" i="1"/>
  <c r="P795" i="1"/>
  <c r="W612" i="1"/>
  <c r="W820" i="1" s="1"/>
  <c r="X192" i="1"/>
  <c r="X58" i="1" s="1"/>
  <c r="CK217" i="1"/>
  <c r="CK456" i="1"/>
  <c r="X186" i="1"/>
  <c r="X55" i="1" s="1"/>
  <c r="R233" i="1"/>
  <c r="X795" i="1"/>
  <c r="CQ54" i="1"/>
  <c r="CM54" i="1"/>
  <c r="CJ54" i="1"/>
  <c r="CH218" i="1"/>
  <c r="CN218" i="1"/>
  <c r="O427" i="1"/>
  <c r="O462" i="1" s="1"/>
  <c r="O491" i="1" s="1"/>
  <c r="Y584" i="1"/>
  <c r="CM584" i="1" s="1"/>
  <c r="CM585" i="1" s="1"/>
  <c r="CP399" i="1"/>
  <c r="Q233" i="1"/>
  <c r="CE445" i="1"/>
  <c r="CE456" i="1" s="1"/>
  <c r="CE485" i="1" s="1"/>
  <c r="H500" i="1"/>
  <c r="H498" i="1" s="1"/>
  <c r="CH54" i="1"/>
  <c r="CI54" i="1"/>
  <c r="CN54" i="1"/>
  <c r="E64" i="1"/>
  <c r="D208" i="1"/>
  <c r="CO54" i="1"/>
  <c r="R440" i="1"/>
  <c r="S96" i="1" s="1"/>
  <c r="CG445" i="1"/>
  <c r="CG456" i="1" s="1"/>
  <c r="CG485" i="1" s="1"/>
  <c r="AA53" i="1"/>
  <c r="CG143" i="1"/>
  <c r="AD623" i="1"/>
  <c r="CI415" i="1"/>
  <c r="F64" i="1"/>
  <c r="CQ623" i="1"/>
  <c r="CM627" i="1"/>
  <c r="CM626" i="1"/>
  <c r="CO627" i="1"/>
  <c r="P192" i="1"/>
  <c r="E267" i="1"/>
  <c r="CO111" i="1"/>
  <c r="CB267" i="1"/>
  <c r="CB87" i="1" s="1"/>
  <c r="CB208" i="1"/>
  <c r="CB63" i="1" s="1"/>
  <c r="CO218" i="1"/>
  <c r="CB266" i="1"/>
  <c r="D267" i="1"/>
  <c r="AG244" i="1"/>
  <c r="CE506" i="1"/>
  <c r="CC456" i="1"/>
  <c r="CC485" i="1" s="1"/>
  <c r="N628" i="1"/>
  <c r="G64" i="1"/>
  <c r="L218" i="1"/>
  <c r="CF160" i="1"/>
  <c r="CG218" i="1" s="1"/>
  <c r="J160" i="1"/>
  <c r="K54" i="1" s="1"/>
  <c r="L158" i="1"/>
  <c r="K158" i="1" s="1"/>
  <c r="M218" i="1"/>
  <c r="M54" i="1"/>
  <c r="CT701" i="1"/>
  <c r="CS701" i="1"/>
  <c r="F267" i="1"/>
  <c r="CJ218" i="1"/>
  <c r="CL54" i="1"/>
  <c r="H209" i="1"/>
  <c r="I64" i="1" s="1"/>
  <c r="H267" i="1"/>
  <c r="CL218" i="1"/>
  <c r="CI218" i="1"/>
  <c r="CM218" i="1"/>
  <c r="L192" i="1"/>
  <c r="L58" i="1" s="1"/>
  <c r="T795" i="1"/>
  <c r="CN507" i="1"/>
  <c r="CN509" i="1" s="1"/>
  <c r="CJ143" i="1"/>
  <c r="N53" i="1"/>
  <c r="O192" i="1"/>
  <c r="O58" i="1" s="1"/>
  <c r="L795" i="1"/>
  <c r="CC143" i="1"/>
  <c r="CN627" i="1"/>
  <c r="BT495" i="1"/>
  <c r="CB441" i="1"/>
  <c r="CB440" i="1" s="1"/>
  <c r="CC96" i="1" s="1"/>
  <c r="AB670" i="1"/>
  <c r="R393" i="1"/>
  <c r="I406" i="1"/>
  <c r="I405" i="1" s="1"/>
  <c r="CE405" i="1" s="1"/>
  <c r="CS486" i="1"/>
  <c r="O795" i="1"/>
  <c r="K507" i="1"/>
  <c r="CC427" i="1"/>
  <c r="CC462" i="1" s="1"/>
  <c r="CC491" i="1" s="1"/>
  <c r="M462" i="1"/>
  <c r="M491" i="1" s="1"/>
  <c r="T186" i="1"/>
  <c r="T192" i="1"/>
  <c r="T58" i="1" s="1"/>
  <c r="F208" i="1"/>
  <c r="G265" i="1" s="1"/>
  <c r="CJ111" i="1"/>
  <c r="G267" i="1"/>
  <c r="T53" i="1"/>
  <c r="BY495" i="1"/>
  <c r="AE198" i="1"/>
  <c r="CP198" i="1" s="1"/>
  <c r="CP61" i="1" s="1"/>
  <c r="CP247" i="1"/>
  <c r="D822" i="1"/>
  <c r="BZ811" i="1"/>
  <c r="CB495" i="1"/>
  <c r="D154" i="1"/>
  <c r="BT637" i="1"/>
  <c r="BT739" i="1" s="1"/>
  <c r="BT765" i="1" s="1"/>
  <c r="E419" i="1"/>
  <c r="BZ265" i="1"/>
  <c r="BZ88" i="1" s="1"/>
  <c r="C99" i="1"/>
  <c r="CN635" i="1"/>
  <c r="CN738" i="1" s="1"/>
  <c r="CN764" i="1" s="1"/>
  <c r="CK53" i="1"/>
  <c r="BX89" i="1"/>
  <c r="CH204" i="1"/>
  <c r="CH795" i="1" s="1"/>
  <c r="O670" i="1"/>
  <c r="CH670" i="1" s="1"/>
  <c r="U823" i="1"/>
  <c r="CD204" i="1"/>
  <c r="CD795" i="1" s="1"/>
  <c r="CJ53" i="1"/>
  <c r="AA670" i="1"/>
  <c r="CN670" i="1" s="1"/>
  <c r="CN204" i="1"/>
  <c r="CN795" i="1" s="1"/>
  <c r="AB430" i="1"/>
  <c r="CK623" i="1"/>
  <c r="I99" i="1"/>
  <c r="S259" i="1"/>
  <c r="S260" i="1" s="1"/>
  <c r="CK507" i="1"/>
  <c r="CK509" i="1" s="1"/>
  <c r="CL627" i="1"/>
  <c r="CH112" i="1"/>
  <c r="G11" i="7"/>
  <c r="AF198" i="1"/>
  <c r="AF61" i="1" s="1"/>
  <c r="BW99" i="1"/>
  <c r="BU261" i="1"/>
  <c r="BU376" i="1" s="1"/>
  <c r="Z795" i="1"/>
  <c r="BW430" i="1"/>
  <c r="CI502" i="1"/>
  <c r="CI130" i="1" s="1"/>
  <c r="S186" i="1"/>
  <c r="S55" i="1" s="1"/>
  <c r="CJ445" i="1"/>
  <c r="CJ456" i="1" s="1"/>
  <c r="CJ485" i="1" s="1"/>
  <c r="S517" i="1"/>
  <c r="CJ517" i="1" s="1"/>
  <c r="AF670" i="1"/>
  <c r="CL388" i="1"/>
  <c r="CL389" i="1" s="1"/>
  <c r="AA99" i="1"/>
  <c r="BY98" i="1"/>
  <c r="BU699" i="1"/>
  <c r="CF484" i="1"/>
  <c r="AG253" i="1"/>
  <c r="I699" i="1"/>
  <c r="P130" i="1"/>
  <c r="S670" i="1"/>
  <c r="CJ670" i="1" s="1"/>
  <c r="S456" i="1"/>
  <c r="S485" i="1" s="1"/>
  <c r="CB430" i="1"/>
  <c r="CB793" i="1" s="1"/>
  <c r="I261" i="1"/>
  <c r="S425" i="1"/>
  <c r="S460" i="1" s="1"/>
  <c r="S489" i="1" s="1"/>
  <c r="CU456" i="1"/>
  <c r="CU485" i="1" s="1"/>
  <c r="CK228" i="1"/>
  <c r="CP468" i="1"/>
  <c r="BV465" i="1"/>
  <c r="CQ507" i="1"/>
  <c r="CQ509" i="1" s="1"/>
  <c r="T471" i="1"/>
  <c r="W584" i="1"/>
  <c r="CB454" i="1"/>
  <c r="CB734" i="1" s="1"/>
  <c r="CB761" i="1" s="1"/>
  <c r="U146" i="1"/>
  <c r="S408" i="1"/>
  <c r="CJ408" i="1" s="1"/>
  <c r="J267" i="1"/>
  <c r="J209" i="1"/>
  <c r="J208" i="1" s="1"/>
  <c r="J152" i="1" s="1"/>
  <c r="E204" i="1"/>
  <c r="CC203" i="1"/>
  <c r="AF261" i="1"/>
  <c r="CQ260" i="1"/>
  <c r="Y58" i="1"/>
  <c r="CM192" i="1"/>
  <c r="CM58" i="1" s="1"/>
  <c r="CQ266" i="1"/>
  <c r="CN192" i="1"/>
  <c r="CN58" i="1" s="1"/>
  <c r="AA58" i="1"/>
  <c r="AC670" i="1"/>
  <c r="CO670" i="1" s="1"/>
  <c r="CO204" i="1"/>
  <c r="CO795" i="1" s="1"/>
  <c r="CJ613" i="1"/>
  <c r="CM635" i="1"/>
  <c r="CM738" i="1" s="1"/>
  <c r="CM764" i="1" s="1"/>
  <c r="CF623" i="1"/>
  <c r="CA495" i="1"/>
  <c r="U485" i="1"/>
  <c r="BX339" i="1"/>
  <c r="CQ820" i="1"/>
  <c r="CE484" i="1"/>
  <c r="CF456" i="1"/>
  <c r="CF485" i="1" s="1"/>
  <c r="U584" i="1"/>
  <c r="CK584" i="1" s="1"/>
  <c r="CK585" i="1" s="1"/>
  <c r="CG228" i="1"/>
  <c r="CT681" i="1"/>
  <c r="CY456" i="1"/>
  <c r="CY485" i="1" s="1"/>
  <c r="CH228" i="1"/>
  <c r="CB471" i="1"/>
  <c r="L406" i="1"/>
  <c r="L405" i="1" s="1"/>
  <c r="CJ85" i="1"/>
  <c r="CJ536" i="1"/>
  <c r="CJ623" i="1" s="1"/>
  <c r="BW791" i="1"/>
  <c r="AH623" i="1"/>
  <c r="CO562" i="1"/>
  <c r="V623" i="1"/>
  <c r="AE242" i="1"/>
  <c r="AE244" i="1" s="1"/>
  <c r="BZ98" i="1"/>
  <c r="BY99" i="1"/>
  <c r="BY441" i="1"/>
  <c r="BY440" i="1" s="1"/>
  <c r="BZ96" i="1" s="1"/>
  <c r="BX98" i="1"/>
  <c r="BY699" i="1"/>
  <c r="CB117" i="1"/>
  <c r="CB811" i="1"/>
  <c r="BZ822" i="1"/>
  <c r="BT430" i="1"/>
  <c r="CJ261" i="1"/>
  <c r="CM460" i="1"/>
  <c r="CM489" i="1" s="1"/>
  <c r="Z498" i="1"/>
  <c r="Z137" i="1" s="1"/>
  <c r="Z839" i="1" s="1"/>
  <c r="BZ146" i="1"/>
  <c r="S146" i="1"/>
  <c r="D813" i="1"/>
  <c r="U116" i="1"/>
  <c r="CU486" i="1"/>
  <c r="BW117" i="1"/>
  <c r="BV291" i="1"/>
  <c r="BV294" i="1" s="1"/>
  <c r="BV295" i="1" s="1"/>
  <c r="BV353" i="1" s="1"/>
  <c r="W419" i="1"/>
  <c r="W426" i="1" s="1"/>
  <c r="CF64" i="1"/>
  <c r="CM456" i="1"/>
  <c r="CM485" i="1" s="1"/>
  <c r="E261" i="1"/>
  <c r="U99" i="1"/>
  <c r="CH472" i="1"/>
  <c r="CH811" i="1" s="1"/>
  <c r="CM146" i="1"/>
  <c r="CB99" i="1"/>
  <c r="CZ486" i="1"/>
  <c r="U147" i="1"/>
  <c r="CA811" i="1"/>
  <c r="CH484" i="1"/>
  <c r="BX393" i="1"/>
  <c r="O260" i="1"/>
  <c r="O261" i="1" s="1"/>
  <c r="BZ465" i="1"/>
  <c r="BU369" i="1"/>
  <c r="CY486" i="1"/>
  <c r="AA816" i="1"/>
  <c r="CH486" i="1"/>
  <c r="CB75" i="1"/>
  <c r="BZ117" i="1"/>
  <c r="D430" i="1"/>
  <c r="CA471" i="1"/>
  <c r="N419" i="1"/>
  <c r="N426" i="1" s="1"/>
  <c r="N428" i="1" s="1"/>
  <c r="CK381" i="1"/>
  <c r="CK327" i="1" s="1"/>
  <c r="CB515" i="1"/>
  <c r="CB136" i="1" s="1"/>
  <c r="CB838" i="1" s="1"/>
  <c r="BT471" i="1"/>
  <c r="V471" i="1"/>
  <c r="AA819" i="1"/>
  <c r="CN181" i="1"/>
  <c r="CN154" i="1" s="1"/>
  <c r="CL486" i="1"/>
  <c r="CF502" i="1"/>
  <c r="CF130" i="1" s="1"/>
  <c r="N99" i="1"/>
  <c r="N393" i="1"/>
  <c r="AB98" i="1"/>
  <c r="CQ468" i="1"/>
  <c r="AA154" i="1"/>
  <c r="CN443" i="1"/>
  <c r="CN430" i="1" s="1"/>
  <c r="AH198" i="1"/>
  <c r="AH61" i="1" s="1"/>
  <c r="R99" i="1"/>
  <c r="AA812" i="1"/>
  <c r="AA822" i="1"/>
  <c r="L471" i="1"/>
  <c r="J500" i="1"/>
  <c r="I454" i="1"/>
  <c r="I483" i="1" s="1"/>
  <c r="I129" i="1" s="1"/>
  <c r="BS637" i="1"/>
  <c r="BS739" i="1" s="1"/>
  <c r="BS765" i="1" s="1"/>
  <c r="D825" i="1"/>
  <c r="BU465" i="1"/>
  <c r="BU85" i="1"/>
  <c r="BU316" i="1"/>
  <c r="CH85" i="1"/>
  <c r="BW811" i="1"/>
  <c r="CI635" i="1"/>
  <c r="CI738" i="1" s="1"/>
  <c r="CI764" i="1" s="1"/>
  <c r="AF471" i="1"/>
  <c r="CQ471" i="1" s="1"/>
  <c r="BV811" i="1"/>
  <c r="BW498" i="1"/>
  <c r="BW131" i="1" s="1"/>
  <c r="BV117" i="1"/>
  <c r="CL713" i="1"/>
  <c r="T146" i="1"/>
  <c r="G261" i="1"/>
  <c r="CB77" i="1"/>
  <c r="AC55" i="1"/>
  <c r="CO186" i="1"/>
  <c r="CO55" i="1" s="1"/>
  <c r="BZ74" i="1"/>
  <c r="CP427" i="1"/>
  <c r="CP462" i="1" s="1"/>
  <c r="CP491" i="1" s="1"/>
  <c r="C637" i="1"/>
  <c r="C739" i="1" s="1"/>
  <c r="C765" i="1" s="1"/>
  <c r="CB393" i="1"/>
  <c r="CB792" i="1" s="1"/>
  <c r="T826" i="1"/>
  <c r="CO484" i="1"/>
  <c r="AD98" i="1"/>
  <c r="CD486" i="1"/>
  <c r="BT334" i="1"/>
  <c r="BV359" i="1"/>
  <c r="CB406" i="1"/>
  <c r="CB405" i="1" s="1"/>
  <c r="CB89" i="1" s="1"/>
  <c r="BY471" i="1"/>
  <c r="BU811" i="1"/>
  <c r="BW471" i="1"/>
  <c r="CH427" i="1"/>
  <c r="CH462" i="1" s="1"/>
  <c r="CH491" i="1" s="1"/>
  <c r="CF192" i="1"/>
  <c r="CF58" i="1" s="1"/>
  <c r="S192" i="1"/>
  <c r="CJ204" i="1"/>
  <c r="CJ795" i="1" s="1"/>
  <c r="AE55" i="1"/>
  <c r="CP186" i="1"/>
  <c r="CP55" i="1" s="1"/>
  <c r="CE790" i="1"/>
  <c r="BY85" i="1"/>
  <c r="CG223" i="1"/>
  <c r="CF486" i="1"/>
  <c r="CM472" i="1"/>
  <c r="CM117" i="1" s="1"/>
  <c r="CL623" i="1"/>
  <c r="CQ818" i="1"/>
  <c r="BX471" i="1"/>
  <c r="G812" i="1"/>
  <c r="G146" i="1"/>
  <c r="BW419" i="1"/>
  <c r="BW454" i="1" s="1"/>
  <c r="BW734" i="1" s="1"/>
  <c r="BW761" i="1" s="1"/>
  <c r="CK427" i="1"/>
  <c r="CK462" i="1" s="1"/>
  <c r="CK491" i="1" s="1"/>
  <c r="L146" i="1"/>
  <c r="F146" i="1"/>
  <c r="CP702" i="1"/>
  <c r="BU791" i="1"/>
  <c r="CH145" i="1"/>
  <c r="CO456" i="1"/>
  <c r="CO485" i="1" s="1"/>
  <c r="CL456" i="1"/>
  <c r="CL485" i="1" s="1"/>
  <c r="CQ814" i="1"/>
  <c r="BX811" i="1"/>
  <c r="CA419" i="1"/>
  <c r="CA792" i="1" s="1"/>
  <c r="G825" i="1"/>
  <c r="CB76" i="1"/>
  <c r="K825" i="1"/>
  <c r="G427" i="1"/>
  <c r="G462" i="1" s="1"/>
  <c r="G491" i="1" s="1"/>
  <c r="CA515" i="1"/>
  <c r="CA787" i="1" s="1"/>
  <c r="D204" i="1"/>
  <c r="D795" i="1" s="1"/>
  <c r="L637" i="1"/>
  <c r="L739" i="1" s="1"/>
  <c r="L765" i="1" s="1"/>
  <c r="H393" i="1"/>
  <c r="CK518" i="1"/>
  <c r="BU430" i="1"/>
  <c r="CB321" i="1"/>
  <c r="Y114" i="1"/>
  <c r="Q261" i="1"/>
  <c r="J637" i="1"/>
  <c r="J739" i="1" s="1"/>
  <c r="J765" i="1" s="1"/>
  <c r="Y261" i="1"/>
  <c r="Q699" i="1"/>
  <c r="CC105" i="1"/>
  <c r="BX465" i="1"/>
  <c r="CA406" i="1"/>
  <c r="CA405" i="1" s="1"/>
  <c r="CA89" i="1" s="1"/>
  <c r="K327" i="1"/>
  <c r="BT359" i="1"/>
  <c r="BV63" i="1"/>
  <c r="AB154" i="1"/>
  <c r="AB816" i="1"/>
  <c r="CJ484" i="1"/>
  <c r="AB819" i="1"/>
  <c r="BU98" i="1"/>
  <c r="BW406" i="1"/>
  <c r="BW405" i="1" s="1"/>
  <c r="BW89" i="1" s="1"/>
  <c r="CJ699" i="1"/>
  <c r="U98" i="1"/>
  <c r="CK177" i="1"/>
  <c r="CK114" i="1" s="1"/>
  <c r="CO486" i="1"/>
  <c r="CI486" i="1"/>
  <c r="C261" i="1"/>
  <c r="CM443" i="1"/>
  <c r="CM791" i="1" s="1"/>
  <c r="C419" i="1"/>
  <c r="C454" i="1" s="1"/>
  <c r="C734" i="1" s="1"/>
  <c r="C761" i="1" s="1"/>
  <c r="Y146" i="1"/>
  <c r="CI85" i="1"/>
  <c r="CH635" i="1"/>
  <c r="CH738" i="1" s="1"/>
  <c r="CH764" i="1" s="1"/>
  <c r="CL635" i="1"/>
  <c r="CL738" i="1" s="1"/>
  <c r="CL764" i="1" s="1"/>
  <c r="AA147" i="1"/>
  <c r="AB825" i="1"/>
  <c r="BT515" i="1"/>
  <c r="BT732" i="1" s="1"/>
  <c r="AB813" i="1"/>
  <c r="BW456" i="1"/>
  <c r="BW485" i="1" s="1"/>
  <c r="BT791" i="1"/>
  <c r="CM53" i="1"/>
  <c r="CJ460" i="1"/>
  <c r="F637" i="1"/>
  <c r="F739" i="1" s="1"/>
  <c r="F765" i="1" s="1"/>
  <c r="CM408" i="1"/>
  <c r="CM419" i="1" s="1"/>
  <c r="CE208" i="1"/>
  <c r="CE152" i="1" s="1"/>
  <c r="CL489" i="1"/>
  <c r="CM406" i="1"/>
  <c r="X793" i="1"/>
  <c r="N146" i="1"/>
  <c r="X792" i="1"/>
  <c r="CJ177" i="1"/>
  <c r="CJ114" i="1" s="1"/>
  <c r="C393" i="1"/>
  <c r="R498" i="1"/>
  <c r="Z430" i="1"/>
  <c r="E3" i="1"/>
  <c r="CL111" i="1"/>
  <c r="O154" i="1"/>
  <c r="O393" i="1"/>
  <c r="O792" i="1" s="1"/>
  <c r="BZ812" i="1"/>
  <c r="CV484" i="1"/>
  <c r="CH223" i="1"/>
  <c r="M813" i="1"/>
  <c r="BT98" i="1"/>
  <c r="CM484" i="1"/>
  <c r="Y393" i="1"/>
  <c r="CM405" i="1"/>
  <c r="CM89" i="1" s="1"/>
  <c r="CD427" i="1"/>
  <c r="CD462" i="1" s="1"/>
  <c r="CD491" i="1" s="1"/>
  <c r="W393" i="1"/>
  <c r="CJ443" i="1"/>
  <c r="CJ791" i="1" s="1"/>
  <c r="Y419" i="1"/>
  <c r="Y426" i="1" s="1"/>
  <c r="Y428" i="1" s="1"/>
  <c r="BY791" i="1"/>
  <c r="CJ635" i="1"/>
  <c r="CJ738" i="1" s="1"/>
  <c r="CJ764" i="1" s="1"/>
  <c r="AD55" i="1"/>
  <c r="AD198" i="1"/>
  <c r="AD61" i="1" s="1"/>
  <c r="BY465" i="1"/>
  <c r="BY117" i="1"/>
  <c r="F1" i="1"/>
  <c r="R419" i="1"/>
  <c r="R454" i="1" s="1"/>
  <c r="E2" i="1"/>
  <c r="F725" i="1" s="1"/>
  <c r="CH186" i="1"/>
  <c r="CH55" i="1" s="1"/>
  <c r="CI623" i="1"/>
  <c r="AF699" i="1"/>
  <c r="J204" i="1"/>
  <c r="J192" i="1" s="1"/>
  <c r="J58" i="1" s="1"/>
  <c r="L233" i="1"/>
  <c r="AB812" i="1"/>
  <c r="Z699" i="1"/>
  <c r="T63" i="1"/>
  <c r="O825" i="1"/>
  <c r="CB426" i="1"/>
  <c r="CB428" i="1" s="1"/>
  <c r="BW515" i="1"/>
  <c r="BW730" i="1" s="1"/>
  <c r="BZ816" i="1"/>
  <c r="BT99" i="1"/>
  <c r="AB822" i="1"/>
  <c r="H146" i="1"/>
  <c r="CN53" i="1"/>
  <c r="CA812" i="1"/>
  <c r="CJ232" i="1"/>
  <c r="CJ109" i="1" s="1"/>
  <c r="CL232" i="1"/>
  <c r="CL808" i="1" s="1"/>
  <c r="CK484" i="1"/>
  <c r="CV486" i="1"/>
  <c r="CM486" i="1"/>
  <c r="BV321" i="1"/>
  <c r="BV323" i="1" s="1"/>
  <c r="CB334" i="1"/>
  <c r="K795" i="1"/>
  <c r="Z98" i="1"/>
  <c r="CG536" i="1"/>
  <c r="CG623" i="1" s="1"/>
  <c r="R430" i="1"/>
  <c r="CT138" i="1"/>
  <c r="CR54" i="1"/>
  <c r="C515" i="1"/>
  <c r="C525" i="1" s="1"/>
  <c r="CA819" i="1"/>
  <c r="CA154" i="1"/>
  <c r="CB637" i="1"/>
  <c r="CB739" i="1" s="1"/>
  <c r="CB765" i="1" s="1"/>
  <c r="AD217" i="1"/>
  <c r="CT602" i="1"/>
  <c r="T147" i="1"/>
  <c r="T116" i="1"/>
  <c r="O406" i="1"/>
  <c r="O405" i="1" s="1"/>
  <c r="CI516" i="1"/>
  <c r="CK232" i="1"/>
  <c r="CK233" i="1" s="1"/>
  <c r="CH232" i="1"/>
  <c r="CH808" i="1" s="1"/>
  <c r="U817" i="1"/>
  <c r="CJ381" i="1"/>
  <c r="CJ327" i="1" s="1"/>
  <c r="AA406" i="1"/>
  <c r="AA405" i="1" s="1"/>
  <c r="AA393" i="1"/>
  <c r="AA792" i="1" s="1"/>
  <c r="CT576" i="1"/>
  <c r="BX462" i="1"/>
  <c r="BX491" i="1" s="1"/>
  <c r="CN260" i="1"/>
  <c r="CN699" i="1" s="1"/>
  <c r="CN111" i="1"/>
  <c r="I611" i="1"/>
  <c r="I612" i="1" s="1"/>
  <c r="I817" i="1" s="1"/>
  <c r="W399" i="1"/>
  <c r="W405" i="1" s="1"/>
  <c r="CM427" i="1"/>
  <c r="CM462" i="1" s="1"/>
  <c r="CM491" i="1" s="1"/>
  <c r="U419" i="1"/>
  <c r="U454" i="1" s="1"/>
  <c r="CE427" i="1"/>
  <c r="CE462" i="1" s="1"/>
  <c r="CE491" i="1" s="1"/>
  <c r="CQ486" i="1"/>
  <c r="CG702" i="1"/>
  <c r="S441" i="1"/>
  <c r="CB316" i="1"/>
  <c r="BZ291" i="1"/>
  <c r="BZ294" i="1" s="1"/>
  <c r="BZ295" i="1" s="1"/>
  <c r="BZ353" i="1" s="1"/>
  <c r="CW486" i="1"/>
  <c r="CG520" i="1"/>
  <c r="CG232" i="1"/>
  <c r="CG233" i="1" s="1"/>
  <c r="CN500" i="1"/>
  <c r="CN495" i="1" s="1"/>
  <c r="BZ321" i="1"/>
  <c r="BZ323" i="1" s="1"/>
  <c r="BZ81" i="1" s="1"/>
  <c r="BX77" i="1"/>
  <c r="BX71" i="1"/>
  <c r="K465" i="1"/>
  <c r="K711" i="1" s="1"/>
  <c r="CK130" i="1"/>
  <c r="AF554" i="1"/>
  <c r="AG554" i="1" s="1"/>
  <c r="CP554" i="1"/>
  <c r="Y826" i="1"/>
  <c r="CM613" i="1"/>
  <c r="CM823" i="1" s="1"/>
  <c r="Y817" i="1"/>
  <c r="Y116" i="1"/>
  <c r="Y820" i="1"/>
  <c r="Y823" i="1"/>
  <c r="AA817" i="1"/>
  <c r="AA826" i="1"/>
  <c r="AA823" i="1"/>
  <c r="AA820" i="1"/>
  <c r="AA116" i="1"/>
  <c r="CK486" i="1"/>
  <c r="J699" i="1"/>
  <c r="CC64" i="1"/>
  <c r="BY369" i="1"/>
  <c r="V515" i="1"/>
  <c r="V730" i="1" s="1"/>
  <c r="CL472" i="1"/>
  <c r="CL811" i="1" s="1"/>
  <c r="CF427" i="1"/>
  <c r="CF462" i="1" s="1"/>
  <c r="CF491" i="1" s="1"/>
  <c r="CT92" i="1"/>
  <c r="AI217" i="1"/>
  <c r="CS484" i="1"/>
  <c r="CN702" i="1"/>
  <c r="K427" i="1"/>
  <c r="K462" i="1" s="1"/>
  <c r="K491" i="1" s="1"/>
  <c r="CE145" i="1"/>
  <c r="X99" i="1"/>
  <c r="CD484" i="1"/>
  <c r="CL484" i="1"/>
  <c r="CN484" i="1"/>
  <c r="CC484" i="1"/>
  <c r="R515" i="1"/>
  <c r="R741" i="1" s="1"/>
  <c r="R767" i="1" s="1"/>
  <c r="CY484" i="1"/>
  <c r="Q495" i="1"/>
  <c r="Y498" i="1"/>
  <c r="CI500" i="1"/>
  <c r="CI495" i="1" s="1"/>
  <c r="AH441" i="1"/>
  <c r="C26" i="31" s="1"/>
  <c r="D29" i="31" s="1"/>
  <c r="AJ98" i="1"/>
  <c r="M98" i="1"/>
  <c r="K430" i="1"/>
  <c r="AH465" i="1"/>
  <c r="AH471" i="1"/>
  <c r="CP232" i="1"/>
  <c r="CP109" i="1" s="1"/>
  <c r="G154" i="1"/>
  <c r="L419" i="1"/>
  <c r="L426" i="1" s="1"/>
  <c r="L428" i="1" s="1"/>
  <c r="K812" i="1"/>
  <c r="G612" i="1"/>
  <c r="G116" i="1" s="1"/>
  <c r="BW215" i="1"/>
  <c r="CW456" i="1"/>
  <c r="CW485" i="1" s="1"/>
  <c r="AJ1" i="1"/>
  <c r="E2" i="31" s="1"/>
  <c r="BV52" i="1"/>
  <c r="CO536" i="1"/>
  <c r="CO623" i="1" s="1"/>
  <c r="CL223" i="1"/>
  <c r="BT339" i="1"/>
  <c r="BT369" i="1"/>
  <c r="BV637" i="1"/>
  <c r="BV739" i="1" s="1"/>
  <c r="BV765" i="1" s="1"/>
  <c r="CJ472" i="1"/>
  <c r="CJ465" i="1" s="1"/>
  <c r="U498" i="1"/>
  <c r="S327" i="1"/>
  <c r="CO427" i="1"/>
  <c r="CO462" i="1" s="1"/>
  <c r="CO491" i="1" s="1"/>
  <c r="CH53" i="1"/>
  <c r="CJ486" i="1"/>
  <c r="CH260" i="1"/>
  <c r="CH261" i="1" s="1"/>
  <c r="T265" i="1"/>
  <c r="T267" i="1" s="1"/>
  <c r="CK425" i="1"/>
  <c r="CK460" i="1" s="1"/>
  <c r="CK489" i="1" s="1"/>
  <c r="CM623" i="1"/>
  <c r="BW637" i="1"/>
  <c r="BW739" i="1" s="1"/>
  <c r="BW765" i="1" s="1"/>
  <c r="BW738" i="1"/>
  <c r="BW764" i="1" s="1"/>
  <c r="CA637" i="1"/>
  <c r="CA739" i="1" s="1"/>
  <c r="CA765" i="1" s="1"/>
  <c r="CA738" i="1"/>
  <c r="CA764" i="1" s="1"/>
  <c r="J823" i="1"/>
  <c r="AD633" i="1"/>
  <c r="CT603" i="1"/>
  <c r="CN427" i="1"/>
  <c r="CN462" i="1" s="1"/>
  <c r="CN491" i="1" s="1"/>
  <c r="CU574" i="1"/>
  <c r="CT575" i="1"/>
  <c r="CC623" i="1"/>
  <c r="R471" i="1"/>
  <c r="O495" i="1"/>
  <c r="DA486" i="1"/>
  <c r="V699" i="1"/>
  <c r="O471" i="1"/>
  <c r="O465" i="1"/>
  <c r="O711" i="1" s="1"/>
  <c r="CQ116" i="1"/>
  <c r="K670" i="1"/>
  <c r="CF670" i="1" s="1"/>
  <c r="K186" i="1"/>
  <c r="CF204" i="1"/>
  <c r="CF795" i="1" s="1"/>
  <c r="G152" i="1"/>
  <c r="CD208" i="1"/>
  <c r="CD152" i="1" s="1"/>
  <c r="CM232" i="1"/>
  <c r="CM233" i="1" s="1"/>
  <c r="BV334" i="1"/>
  <c r="BV71" i="1"/>
  <c r="CI232" i="1"/>
  <c r="CI109" i="1" s="1"/>
  <c r="CI223" i="1"/>
  <c r="CJ711" i="1"/>
  <c r="Z267" i="1"/>
  <c r="V265" i="1"/>
  <c r="V267" i="1" s="1"/>
  <c r="H637" i="1"/>
  <c r="H739" i="1" s="1"/>
  <c r="H765" i="1" s="1"/>
  <c r="CN636" i="1"/>
  <c r="U63" i="1"/>
  <c r="AF430" i="1"/>
  <c r="O826" i="1"/>
  <c r="C498" i="1"/>
  <c r="C131" i="1" s="1"/>
  <c r="CS602" i="1"/>
  <c r="CB98" i="1"/>
  <c r="CJ520" i="1"/>
  <c r="CO217" i="1"/>
  <c r="CQ823" i="1"/>
  <c r="CW484" i="1"/>
  <c r="CT484" i="1"/>
  <c r="CQ817" i="1"/>
  <c r="AG198" i="1"/>
  <c r="CQ198" i="1" s="1"/>
  <c r="CQ61" i="1" s="1"/>
  <c r="CZ456" i="1"/>
  <c r="CZ485" i="1" s="1"/>
  <c r="Y468" i="1"/>
  <c r="BV316" i="1"/>
  <c r="CS456" i="1"/>
  <c r="CS485" i="1" s="1"/>
  <c r="Y471" i="1"/>
  <c r="CN456" i="1"/>
  <c r="CN485" i="1" s="1"/>
  <c r="X454" i="1"/>
  <c r="X441" i="1"/>
  <c r="X440" i="1" s="1"/>
  <c r="Y96" i="1" s="1"/>
  <c r="X98" i="1"/>
  <c r="CN486" i="1"/>
  <c r="X114" i="1"/>
  <c r="X146" i="1"/>
  <c r="F699" i="1"/>
  <c r="BX291" i="1"/>
  <c r="BX294" i="1" s="1"/>
  <c r="BX295" i="1" s="1"/>
  <c r="BX353" i="1" s="1"/>
  <c r="N471" i="1"/>
  <c r="N465" i="1"/>
  <c r="N711" i="1" s="1"/>
  <c r="CQ427" i="1"/>
  <c r="CQ462" i="1" s="1"/>
  <c r="CQ491" i="1" s="1"/>
  <c r="N154" i="1"/>
  <c r="N813" i="1"/>
  <c r="N822" i="1"/>
  <c r="N819" i="1"/>
  <c r="N812" i="1"/>
  <c r="N816" i="1"/>
  <c r="M713" i="1"/>
  <c r="CG713" i="1" s="1"/>
  <c r="CG470" i="1"/>
  <c r="AA637" i="1"/>
  <c r="AA739" i="1" s="1"/>
  <c r="AA765" i="1" s="1"/>
  <c r="AE233" i="1"/>
  <c r="AE114" i="1"/>
  <c r="Y699" i="1"/>
  <c r="CU583" i="1"/>
  <c r="C146" i="1"/>
  <c r="O812" i="1"/>
  <c r="O813" i="1"/>
  <c r="T817" i="1"/>
  <c r="T823" i="1"/>
  <c r="CL468" i="1"/>
  <c r="AA426" i="1"/>
  <c r="AA428" i="1" s="1"/>
  <c r="I491" i="1"/>
  <c r="K98" i="1"/>
  <c r="BT491" i="1"/>
  <c r="C233" i="1"/>
  <c r="BT286" i="1"/>
  <c r="BT344" i="1" s="1"/>
  <c r="K154" i="1"/>
  <c r="BW52" i="1"/>
  <c r="CT456" i="1"/>
  <c r="CT485" i="1" s="1"/>
  <c r="CI425" i="1"/>
  <c r="CI460" i="1" s="1"/>
  <c r="CI489" i="1" s="1"/>
  <c r="AA454" i="1"/>
  <c r="AA461" i="1" s="1"/>
  <c r="AA463" i="1" s="1"/>
  <c r="AI53" i="1"/>
  <c r="AH53" i="1"/>
  <c r="CT486" i="1"/>
  <c r="CG484" i="1"/>
  <c r="BY364" i="1"/>
  <c r="AA98" i="1"/>
  <c r="AA515" i="1"/>
  <c r="AA730" i="1" s="1"/>
  <c r="BY316" i="1"/>
  <c r="CG610" i="1"/>
  <c r="CG145" i="1" s="1"/>
  <c r="M611" i="1"/>
  <c r="M146" i="1" s="1"/>
  <c r="CU575" i="1"/>
  <c r="CV575" i="1"/>
  <c r="BS229" i="1"/>
  <c r="BS286" i="1" s="1"/>
  <c r="BS281" i="1"/>
  <c r="BS75" i="1" s="1"/>
  <c r="X471" i="1"/>
  <c r="BU2" i="1"/>
  <c r="BV725" i="1" s="1"/>
  <c r="BU3" i="1"/>
  <c r="BV339" i="1"/>
  <c r="BV75" i="1"/>
  <c r="N430" i="1"/>
  <c r="N441" i="1"/>
  <c r="N440" i="1" s="1"/>
  <c r="O96" i="1" s="1"/>
  <c r="CB291" i="1"/>
  <c r="CB294" i="1" s="1"/>
  <c r="CB295" i="1" s="1"/>
  <c r="CB353" i="1" s="1"/>
  <c r="BZ339" i="1"/>
  <c r="BZ75" i="1"/>
  <c r="BX76" i="1"/>
  <c r="BX364" i="1"/>
  <c r="BX379" i="1"/>
  <c r="BX319" i="1" s="1"/>
  <c r="BX321" i="1"/>
  <c r="U430" i="1"/>
  <c r="U441" i="1"/>
  <c r="U440" i="1" s="1"/>
  <c r="V96" i="1" s="1"/>
  <c r="CT135" i="1"/>
  <c r="CT735" i="1" s="1"/>
  <c r="AP56" i="31" s="1"/>
  <c r="AF98" i="1"/>
  <c r="AE146" i="1"/>
  <c r="AG465" i="1"/>
  <c r="AE561" i="1"/>
  <c r="CP561" i="1" s="1"/>
  <c r="O116" i="1"/>
  <c r="O820" i="1"/>
  <c r="CS678" i="1"/>
  <c r="Z261" i="1"/>
  <c r="CK208" i="1"/>
  <c r="CK152" i="1" s="1"/>
  <c r="U152" i="1"/>
  <c r="CK111" i="1"/>
  <c r="CM111" i="1"/>
  <c r="CP443" i="1"/>
  <c r="CP430" i="1" s="1"/>
  <c r="AC699" i="1"/>
  <c r="CU484" i="1"/>
  <c r="O819" i="1"/>
  <c r="CH181" i="1"/>
  <c r="CH812" i="1" s="1"/>
  <c r="O816" i="1"/>
  <c r="CH408" i="1"/>
  <c r="CH419" i="1" s="1"/>
  <c r="CQ827" i="1"/>
  <c r="CQ824" i="1"/>
  <c r="CZ484" i="1"/>
  <c r="AD53" i="1"/>
  <c r="CA98" i="1"/>
  <c r="C699" i="1"/>
  <c r="C725" i="1" s="1"/>
  <c r="BT234" i="1"/>
  <c r="BT237" i="1" s="1"/>
  <c r="CX456" i="1"/>
  <c r="CX485" i="1" s="1"/>
  <c r="CP698" i="1"/>
  <c r="CQ826" i="1"/>
  <c r="CM470" i="1"/>
  <c r="CM809" i="1" s="1"/>
  <c r="BT157" i="1"/>
  <c r="BU52" i="1" s="1"/>
  <c r="BZ393" i="1"/>
  <c r="BZ419" i="1"/>
  <c r="BZ406" i="1"/>
  <c r="BZ405" i="1" s="1"/>
  <c r="BZ89" i="1" s="1"/>
  <c r="BV393" i="1"/>
  <c r="BV419" i="1"/>
  <c r="BV426" i="1" s="1"/>
  <c r="BV428" i="1" s="1"/>
  <c r="BV406" i="1"/>
  <c r="BV405" i="1" s="1"/>
  <c r="BV89" i="1" s="1"/>
  <c r="BT419" i="1"/>
  <c r="BT393" i="1"/>
  <c r="BT406" i="1"/>
  <c r="BT405" i="1" s="1"/>
  <c r="BZ813" i="1"/>
  <c r="BZ825" i="1"/>
  <c r="BZ154" i="1"/>
  <c r="CA146" i="1"/>
  <c r="CA114" i="1"/>
  <c r="CB199" i="1"/>
  <c r="CA193" i="1"/>
  <c r="W260" i="1"/>
  <c r="W699" i="1" s="1"/>
  <c r="BT379" i="1"/>
  <c r="BT319" i="1" s="1"/>
  <c r="BT322" i="1" s="1"/>
  <c r="BT321" i="1"/>
  <c r="BX78" i="1"/>
  <c r="BX369" i="1"/>
  <c r="CI217" i="1"/>
  <c r="V430" i="1"/>
  <c r="V441" i="1"/>
  <c r="V440" i="1" s="1"/>
  <c r="W96" i="1" s="1"/>
  <c r="CH217" i="1"/>
  <c r="CN623" i="1"/>
  <c r="U826" i="1"/>
  <c r="CK613" i="1"/>
  <c r="CK814" i="1" s="1"/>
  <c r="BZ334" i="1"/>
  <c r="BZ71" i="1"/>
  <c r="BZ344" i="1"/>
  <c r="BZ77" i="1"/>
  <c r="BX74" i="1"/>
  <c r="BX316" i="1"/>
  <c r="BX359" i="1"/>
  <c r="U470" i="1"/>
  <c r="CK474" i="1"/>
  <c r="U472" i="1"/>
  <c r="AE441" i="1"/>
  <c r="AE440" i="1" s="1"/>
  <c r="DA484" i="1"/>
  <c r="E427" i="1"/>
  <c r="E462" i="1" s="1"/>
  <c r="E491" i="1" s="1"/>
  <c r="Z471" i="1"/>
  <c r="CN472" i="1"/>
  <c r="Z465" i="1"/>
  <c r="AA471" i="1"/>
  <c r="AA465" i="1"/>
  <c r="BY359" i="1"/>
  <c r="BY74" i="1"/>
  <c r="K816" i="1"/>
  <c r="K822" i="1"/>
  <c r="CF181" i="1"/>
  <c r="K813" i="1"/>
  <c r="CF790" i="1"/>
  <c r="CF97" i="1"/>
  <c r="W114" i="1"/>
  <c r="CL177" i="1"/>
  <c r="P146" i="1"/>
  <c r="P114" i="1"/>
  <c r="R114" i="1"/>
  <c r="R146" i="1"/>
  <c r="CG472" i="1"/>
  <c r="CG465" i="1" s="1"/>
  <c r="M471" i="1"/>
  <c r="M465" i="1"/>
  <c r="M711" i="1" s="1"/>
  <c r="CG711" i="1" s="1"/>
  <c r="X713" i="1"/>
  <c r="CM713" i="1" s="1"/>
  <c r="X468" i="1"/>
  <c r="X456" i="1"/>
  <c r="X426" i="1"/>
  <c r="X428" i="1" s="1"/>
  <c r="W465" i="1"/>
  <c r="W711" i="1" s="1"/>
  <c r="CL711" i="1" s="1"/>
  <c r="W471" i="1"/>
  <c r="CO416" i="1"/>
  <c r="D440" i="1"/>
  <c r="E96" i="1" s="1"/>
  <c r="CC130" i="1"/>
  <c r="J393" i="1"/>
  <c r="J792" i="1" s="1"/>
  <c r="J406" i="1"/>
  <c r="J405" i="1" s="1"/>
  <c r="D406" i="1"/>
  <c r="D419" i="1"/>
  <c r="CC408" i="1"/>
  <c r="D99" i="1"/>
  <c r="D393" i="1"/>
  <c r="G816" i="1"/>
  <c r="CD181" i="1"/>
  <c r="G813" i="1"/>
  <c r="G822" i="1"/>
  <c r="K611" i="1"/>
  <c r="CF610" i="1"/>
  <c r="CF145" i="1" s="1"/>
  <c r="E611" i="1"/>
  <c r="CC610" i="1"/>
  <c r="BV265" i="1"/>
  <c r="BV88" i="1" s="1"/>
  <c r="BW265" i="1"/>
  <c r="BW88" i="1" s="1"/>
  <c r="M819" i="1"/>
  <c r="CG181" i="1"/>
  <c r="M822" i="1"/>
  <c r="M154" i="1"/>
  <c r="M816" i="1"/>
  <c r="M812" i="1"/>
  <c r="V99" i="1"/>
  <c r="V419" i="1"/>
  <c r="CL408" i="1"/>
  <c r="CL393" i="1" s="1"/>
  <c r="V406" i="1"/>
  <c r="V393" i="1"/>
  <c r="W498" i="1"/>
  <c r="W495" i="1"/>
  <c r="Z515" i="1"/>
  <c r="BX738" i="1"/>
  <c r="BX764" i="1" s="1"/>
  <c r="BX637" i="1"/>
  <c r="BX739" i="1" s="1"/>
  <c r="BX765" i="1" s="1"/>
  <c r="F623" i="1"/>
  <c r="CD536" i="1"/>
  <c r="V130" i="1"/>
  <c r="CL497" i="1"/>
  <c r="CL130" i="1" s="1"/>
  <c r="G55" i="1"/>
  <c r="CD186" i="1"/>
  <c r="CD55" i="1" s="1"/>
  <c r="AA495" i="1"/>
  <c r="AA498" i="1"/>
  <c r="CA813" i="1"/>
  <c r="CA822" i="1"/>
  <c r="CA825" i="1"/>
  <c r="H419" i="1"/>
  <c r="CE408" i="1"/>
  <c r="CX486" i="1"/>
  <c r="O114" i="1"/>
  <c r="CH177" i="1"/>
  <c r="CH114" i="1" s="1"/>
  <c r="Q114" i="1"/>
  <c r="CI177" i="1"/>
  <c r="CI114" i="1" s="1"/>
  <c r="P812" i="1"/>
  <c r="P154" i="1"/>
  <c r="P825" i="1"/>
  <c r="P822" i="1"/>
  <c r="P813" i="1"/>
  <c r="P816" i="1"/>
  <c r="P819" i="1"/>
  <c r="R816" i="1"/>
  <c r="R825" i="1"/>
  <c r="R812" i="1"/>
  <c r="R819" i="1"/>
  <c r="R822" i="1"/>
  <c r="R813" i="1"/>
  <c r="R154" i="1"/>
  <c r="Y441" i="1"/>
  <c r="Y430" i="1"/>
  <c r="Y99" i="1"/>
  <c r="N623" i="1"/>
  <c r="CH536" i="1"/>
  <c r="CH623" i="1" s="1"/>
  <c r="CG177" i="1"/>
  <c r="M114" i="1"/>
  <c r="T419" i="1"/>
  <c r="T406" i="1"/>
  <c r="T405" i="1" s="1"/>
  <c r="I465" i="1"/>
  <c r="I711" i="1" s="1"/>
  <c r="CE472" i="1"/>
  <c r="CE465" i="1" s="1"/>
  <c r="G713" i="1"/>
  <c r="CD470" i="1"/>
  <c r="G465" i="1"/>
  <c r="G711" i="1" s="1"/>
  <c r="G471" i="1"/>
  <c r="I430" i="1"/>
  <c r="I793" i="1" s="1"/>
  <c r="I441" i="1"/>
  <c r="I440" i="1" s="1"/>
  <c r="J96" i="1" s="1"/>
  <c r="K114" i="1"/>
  <c r="CF177" i="1"/>
  <c r="CF114" i="1" s="1"/>
  <c r="I114" i="1"/>
  <c r="CE177" i="1"/>
  <c r="CE114" i="1" s="1"/>
  <c r="CC790" i="1"/>
  <c r="CC97" i="1"/>
  <c r="CM698" i="1"/>
  <c r="CN698" i="1"/>
  <c r="CH111" i="1"/>
  <c r="CH469" i="1" s="1"/>
  <c r="CH109" i="1"/>
  <c r="P495" i="1"/>
  <c r="P498" i="1"/>
  <c r="X130" i="1"/>
  <c r="CM497" i="1"/>
  <c r="CM130" i="1" s="1"/>
  <c r="S427" i="1"/>
  <c r="S462" i="1" s="1"/>
  <c r="S491" i="1" s="1"/>
  <c r="CJ388" i="1"/>
  <c r="CJ427" i="1" s="1"/>
  <c r="CJ462" i="1" s="1"/>
  <c r="CJ491" i="1" s="1"/>
  <c r="Z406" i="1"/>
  <c r="Z393" i="1"/>
  <c r="CN408" i="1"/>
  <c r="CN393" i="1" s="1"/>
  <c r="Z99" i="1"/>
  <c r="Z419" i="1"/>
  <c r="CC819" i="1"/>
  <c r="CC822" i="1"/>
  <c r="CC812" i="1"/>
  <c r="CC816" i="1"/>
  <c r="CC825" i="1"/>
  <c r="CC813" i="1"/>
  <c r="CC154" i="1"/>
  <c r="Q146" i="1"/>
  <c r="CM702" i="1"/>
  <c r="W146" i="1"/>
  <c r="AD441" i="1"/>
  <c r="AD440" i="1" s="1"/>
  <c r="AE96" i="1" s="1"/>
  <c r="AD430" i="1"/>
  <c r="BZ78" i="1"/>
  <c r="BZ369" i="1"/>
  <c r="BZ76" i="1"/>
  <c r="BZ364" i="1"/>
  <c r="BZ316" i="1"/>
  <c r="CA233" i="1"/>
  <c r="CA467" i="1"/>
  <c r="E738" i="1"/>
  <c r="E764" i="1" s="1"/>
  <c r="E637" i="1"/>
  <c r="E739" i="1" s="1"/>
  <c r="E765" i="1" s="1"/>
  <c r="W441" i="1"/>
  <c r="CL443" i="1"/>
  <c r="W430" i="1"/>
  <c r="W99" i="1"/>
  <c r="W98" i="1"/>
  <c r="Y98" i="1"/>
  <c r="T430" i="1"/>
  <c r="T441" i="1"/>
  <c r="T99" i="1"/>
  <c r="CK443" i="1"/>
  <c r="V98" i="1"/>
  <c r="T98" i="1"/>
  <c r="V495" i="1"/>
  <c r="V498" i="1"/>
  <c r="CL500" i="1"/>
  <c r="CL495" i="1" s="1"/>
  <c r="W515" i="1"/>
  <c r="Q820" i="1"/>
  <c r="Q116" i="1"/>
  <c r="Q817" i="1"/>
  <c r="Q147" i="1"/>
  <c r="Q826" i="1"/>
  <c r="CI613" i="1"/>
  <c r="Q823" i="1"/>
  <c r="V114" i="1"/>
  <c r="V146" i="1"/>
  <c r="U154" i="1"/>
  <c r="U812" i="1"/>
  <c r="U819" i="1"/>
  <c r="U813" i="1"/>
  <c r="CK181" i="1"/>
  <c r="U822" i="1"/>
  <c r="U825" i="1"/>
  <c r="U816" i="1"/>
  <c r="CL181" i="1"/>
  <c r="W154" i="1"/>
  <c r="W819" i="1"/>
  <c r="W816" i="1"/>
  <c r="W812" i="1"/>
  <c r="W822" i="1"/>
  <c r="W825" i="1"/>
  <c r="W813" i="1"/>
  <c r="M393" i="1"/>
  <c r="CG408" i="1"/>
  <c r="M419" i="1"/>
  <c r="M406" i="1"/>
  <c r="M405" i="1" s="1"/>
  <c r="M99" i="1"/>
  <c r="S713" i="1"/>
  <c r="CJ713" i="1" s="1"/>
  <c r="S468" i="1"/>
  <c r="CJ468" i="1" s="1"/>
  <c r="CJ470" i="1"/>
  <c r="S471" i="1"/>
  <c r="AB471" i="1"/>
  <c r="AB465" i="1"/>
  <c r="CI152" i="1"/>
  <c r="AE98" i="1"/>
  <c r="E507" i="1"/>
  <c r="AD253" i="1"/>
  <c r="CP627" i="1"/>
  <c r="AD471" i="1"/>
  <c r="AD465" i="1"/>
  <c r="BV78" i="1"/>
  <c r="BV369" i="1"/>
  <c r="BV76" i="1"/>
  <c r="BV364" i="1"/>
  <c r="CB233" i="1"/>
  <c r="CB467" i="1"/>
  <c r="G635" i="1"/>
  <c r="CD634" i="1"/>
  <c r="CD635" i="1" s="1"/>
  <c r="CD637" i="1" s="1"/>
  <c r="CM260" i="1"/>
  <c r="CM261" i="1" s="1"/>
  <c r="X260" i="1"/>
  <c r="X261" i="1" s="1"/>
  <c r="CM85" i="1"/>
  <c r="Q430" i="1"/>
  <c r="Q441" i="1"/>
  <c r="Q440" i="1" s="1"/>
  <c r="R96" i="1" s="1"/>
  <c r="S98" i="1"/>
  <c r="CG790" i="1"/>
  <c r="CG97" i="1"/>
  <c r="Q825" i="1"/>
  <c r="Q816" i="1"/>
  <c r="Q154" i="1"/>
  <c r="Q822" i="1"/>
  <c r="Q813" i="1"/>
  <c r="Q812" i="1"/>
  <c r="Q819" i="1"/>
  <c r="CI181" i="1"/>
  <c r="S816" i="1"/>
  <c r="S154" i="1"/>
  <c r="S147" i="1"/>
  <c r="S819" i="1"/>
  <c r="S812" i="1"/>
  <c r="CJ181" i="1"/>
  <c r="S813" i="1"/>
  <c r="S822" i="1"/>
  <c r="S825" i="1"/>
  <c r="Y812" i="1"/>
  <c r="CM181" i="1"/>
  <c r="Y819" i="1"/>
  <c r="Y816" i="1"/>
  <c r="Y825" i="1"/>
  <c r="Y822" i="1"/>
  <c r="Y813" i="1"/>
  <c r="Y154" i="1"/>
  <c r="Y147" i="1"/>
  <c r="CJ152" i="1"/>
  <c r="CJ63" i="1"/>
  <c r="P260" i="1"/>
  <c r="P699" i="1" s="1"/>
  <c r="U393" i="1"/>
  <c r="U406" i="1"/>
  <c r="CK408" i="1"/>
  <c r="CK393" i="1" s="1"/>
  <c r="Y465" i="1"/>
  <c r="Y711" i="1" s="1"/>
  <c r="CM711" i="1" s="1"/>
  <c r="Y515" i="1"/>
  <c r="AC152" i="1"/>
  <c r="AG55" i="1"/>
  <c r="CQ186" i="1"/>
  <c r="CQ55" i="1" s="1"/>
  <c r="CO260" i="1"/>
  <c r="CO699" i="1" s="1"/>
  <c r="CA441" i="1"/>
  <c r="CA440" i="1" s="1"/>
  <c r="CB96" i="1" s="1"/>
  <c r="CA791" i="1"/>
  <c r="CA99" i="1"/>
  <c r="CA430" i="1"/>
  <c r="F465" i="1"/>
  <c r="F711" i="1" s="1"/>
  <c r="F471" i="1"/>
  <c r="CD472" i="1"/>
  <c r="CD465" i="1" s="1"/>
  <c r="D260" i="1"/>
  <c r="D699" i="1" s="1"/>
  <c r="K237" i="1"/>
  <c r="K238" i="1" s="1"/>
  <c r="K233" i="1"/>
  <c r="AB198" i="1"/>
  <c r="AB61" i="1" s="1"/>
  <c r="CG237" i="1"/>
  <c r="CG109" i="1"/>
  <c r="CG111" i="1"/>
  <c r="AD249" i="1"/>
  <c r="AC217" i="1"/>
  <c r="Z198" i="1"/>
  <c r="Z61" i="1" s="1"/>
  <c r="CK260" i="1"/>
  <c r="CK261" i="1" s="1"/>
  <c r="CK85" i="1"/>
  <c r="Q471" i="1"/>
  <c r="Q465" i="1"/>
  <c r="Q711" i="1" s="1"/>
  <c r="T495" i="1"/>
  <c r="T498" i="1"/>
  <c r="T515" i="1"/>
  <c r="CK500" i="1"/>
  <c r="CK495" i="1" s="1"/>
  <c r="P471" i="1"/>
  <c r="P465" i="1"/>
  <c r="P711" i="1" s="1"/>
  <c r="CI472" i="1"/>
  <c r="CO85" i="1"/>
  <c r="AH98" i="1"/>
  <c r="AD561" i="1"/>
  <c r="AD628" i="1" s="1"/>
  <c r="AF553" i="1"/>
  <c r="AF633" i="1" s="1"/>
  <c r="AE633" i="1"/>
  <c r="AE635" i="1" s="1"/>
  <c r="AE738" i="1" s="1"/>
  <c r="AE764" i="1" s="1"/>
  <c r="O823" i="1"/>
  <c r="DA456" i="1"/>
  <c r="DA485" i="1" s="1"/>
  <c r="CI261" i="1"/>
  <c r="CL260" i="1"/>
  <c r="CL699" i="1" s="1"/>
  <c r="AE612" i="1"/>
  <c r="AE823" i="1" s="1"/>
  <c r="L612" i="1"/>
  <c r="L823" i="1" s="1"/>
  <c r="H612" i="1"/>
  <c r="H116" i="1" s="1"/>
  <c r="AH242" i="1"/>
  <c r="AH247" i="1"/>
  <c r="AF399" i="1"/>
  <c r="CQ399" i="1" s="1"/>
  <c r="CQ398" i="1"/>
  <c r="AG58" i="1"/>
  <c r="CQ192" i="1"/>
  <c r="CQ58" i="1" s="1"/>
  <c r="AG146" i="1"/>
  <c r="CQ177" i="1"/>
  <c r="AG114" i="1"/>
  <c r="AE58" i="1"/>
  <c r="CP192" i="1"/>
  <c r="CP58" i="1" s="1"/>
  <c r="BX498" i="1"/>
  <c r="BX131" i="1" s="1"/>
  <c r="BX495" i="1"/>
  <c r="D465" i="1"/>
  <c r="D711" i="1" s="1"/>
  <c r="CC472" i="1"/>
  <c r="CC465" i="1" s="1"/>
  <c r="AC53" i="1"/>
  <c r="CI238" i="1"/>
  <c r="CI112" i="1"/>
  <c r="CI809" i="1"/>
  <c r="CG260" i="1"/>
  <c r="CG261" i="1" s="1"/>
  <c r="CG85" i="1"/>
  <c r="S495" i="1"/>
  <c r="S498" i="1"/>
  <c r="CJ500" i="1"/>
  <c r="CJ495" i="1" s="1"/>
  <c r="CI519" i="1"/>
  <c r="Q327" i="1"/>
  <c r="CI381" i="1"/>
  <c r="CI327" i="1" s="1"/>
  <c r="CO698" i="1"/>
  <c r="CO702" i="1"/>
  <c r="U265" i="1"/>
  <c r="U267" i="1" s="1"/>
  <c r="AG98" i="1"/>
  <c r="AI98" i="1"/>
  <c r="CB146" i="1"/>
  <c r="H261" i="1"/>
  <c r="AI2" i="1"/>
  <c r="AJ725" i="1" s="1"/>
  <c r="AI3" i="1"/>
  <c r="D3" i="31" s="1"/>
  <c r="CV456" i="1"/>
  <c r="CV485" i="1" s="1"/>
  <c r="F406" i="1"/>
  <c r="F405" i="1" s="1"/>
  <c r="F419" i="1"/>
  <c r="F454" i="1" s="1"/>
  <c r="F393" i="1"/>
  <c r="E114" i="1"/>
  <c r="CC177" i="1"/>
  <c r="CR702" i="1"/>
  <c r="CQ702" i="1"/>
  <c r="CR698" i="1"/>
  <c r="AA267" i="1"/>
  <c r="AI265" i="1"/>
  <c r="AI63" i="1"/>
  <c r="C265" i="1"/>
  <c r="C63" i="1"/>
  <c r="AB267" i="1"/>
  <c r="CP208" i="1"/>
  <c r="CP63" i="1" s="1"/>
  <c r="AG265" i="1"/>
  <c r="AG63" i="1"/>
  <c r="CR17" i="1"/>
  <c r="AI737" i="1"/>
  <c r="AI763" i="1" s="1"/>
  <c r="AC63" i="1"/>
  <c r="AC265" i="1"/>
  <c r="Y267" i="1"/>
  <c r="CN64" i="1"/>
  <c r="CO64" i="1"/>
  <c r="W267" i="1"/>
  <c r="AC441" i="1"/>
  <c r="AC98" i="1"/>
  <c r="AC430" i="1"/>
  <c r="CO443" i="1"/>
  <c r="AC146" i="1"/>
  <c r="CO177" i="1"/>
  <c r="AC114" i="1"/>
  <c r="AF242" i="1"/>
  <c r="AF247" i="1"/>
  <c r="BS465" i="1"/>
  <c r="BS471" i="1"/>
  <c r="AF217" i="1"/>
  <c r="AE53" i="1"/>
  <c r="AF53" i="1"/>
  <c r="CP159" i="1"/>
  <c r="CQ217" i="1" s="1"/>
  <c r="AE217" i="1"/>
  <c r="CA78" i="1"/>
  <c r="CA369" i="1"/>
  <c r="CA74" i="1"/>
  <c r="CA359" i="1"/>
  <c r="CA316" i="1"/>
  <c r="BY379" i="1"/>
  <c r="BY319" i="1" s="1"/>
  <c r="BY321" i="1"/>
  <c r="BW76" i="1"/>
  <c r="BW364" i="1"/>
  <c r="BW379" i="1"/>
  <c r="BW319" i="1" s="1"/>
  <c r="BW321" i="1"/>
  <c r="BS359" i="1"/>
  <c r="BS74" i="1"/>
  <c r="CB322" i="1"/>
  <c r="BS64" i="1"/>
  <c r="BS208" i="1"/>
  <c r="BS266" i="1"/>
  <c r="BT266" i="1"/>
  <c r="BZ636" i="1"/>
  <c r="BZ637" i="1" s="1"/>
  <c r="BZ739" i="1" s="1"/>
  <c r="BZ765" i="1" s="1"/>
  <c r="BZ737" i="1"/>
  <c r="BZ763" i="1" s="1"/>
  <c r="D520" i="1"/>
  <c r="CC520" i="1" s="1"/>
  <c r="CC505" i="1"/>
  <c r="G443" i="1"/>
  <c r="CD443" i="1" s="1"/>
  <c r="G456" i="1"/>
  <c r="G485" i="1" s="1"/>
  <c r="CD445" i="1"/>
  <c r="CD456" i="1" s="1"/>
  <c r="CD485" i="1" s="1"/>
  <c r="H233" i="1"/>
  <c r="H237" i="1"/>
  <c r="H238" i="1" s="1"/>
  <c r="D237" i="1"/>
  <c r="D238" i="1" s="1"/>
  <c r="D233" i="1"/>
  <c r="I192" i="1"/>
  <c r="I186" i="1"/>
  <c r="I670" i="1"/>
  <c r="CE670" i="1" s="1"/>
  <c r="CE204" i="1"/>
  <c r="CE795" i="1" s="1"/>
  <c r="BZ56" i="1"/>
  <c r="BZ222" i="1"/>
  <c r="BS419" i="1"/>
  <c r="BS406" i="1"/>
  <c r="BS405" i="1" s="1"/>
  <c r="BS393" i="1"/>
  <c r="BS515" i="1"/>
  <c r="BS99" i="1"/>
  <c r="C186" i="1"/>
  <c r="C192" i="1"/>
  <c r="C58" i="1" s="1"/>
  <c r="C670" i="1"/>
  <c r="F457" i="1"/>
  <c r="F486" i="1" s="1"/>
  <c r="L99" i="1"/>
  <c r="L441" i="1"/>
  <c r="L98" i="1"/>
  <c r="L430" i="1"/>
  <c r="CG443" i="1"/>
  <c r="N98" i="1"/>
  <c r="BU495" i="1"/>
  <c r="BU498" i="1"/>
  <c r="BU131" i="1" s="1"/>
  <c r="BU266" i="1"/>
  <c r="BU64" i="1"/>
  <c r="BT64" i="1"/>
  <c r="CA63" i="1"/>
  <c r="CA265" i="1"/>
  <c r="CA88" i="1" s="1"/>
  <c r="BY165" i="1"/>
  <c r="BZ223" i="1" s="1"/>
  <c r="I507" i="1"/>
  <c r="CE509" i="1"/>
  <c r="D146" i="1"/>
  <c r="F441" i="1"/>
  <c r="F99" i="1"/>
  <c r="F98" i="1"/>
  <c r="F430" i="1"/>
  <c r="I795" i="1"/>
  <c r="G520" i="1"/>
  <c r="CD520" i="1" s="1"/>
  <c r="CD505" i="1"/>
  <c r="I426" i="1"/>
  <c r="I428" i="1" s="1"/>
  <c r="R217" i="1"/>
  <c r="R53" i="1"/>
  <c r="S53" i="1"/>
  <c r="S217" i="1"/>
  <c r="CI517" i="1"/>
  <c r="Z114" i="1"/>
  <c r="Z146" i="1"/>
  <c r="AE471" i="1"/>
  <c r="AE430" i="1"/>
  <c r="CT600" i="1"/>
  <c r="I623" i="1"/>
  <c r="AA699" i="1"/>
  <c r="AC471" i="1"/>
  <c r="CO472" i="1"/>
  <c r="AC465" i="1"/>
  <c r="AC816" i="1"/>
  <c r="AC812" i="1"/>
  <c r="CO181" i="1"/>
  <c r="AC822" i="1"/>
  <c r="AC154" i="1"/>
  <c r="AC825" i="1"/>
  <c r="AC819" i="1"/>
  <c r="AC813" i="1"/>
  <c r="BZ495" i="1"/>
  <c r="BZ498" i="1"/>
  <c r="BZ131" i="1" s="1"/>
  <c r="BZ515" i="1"/>
  <c r="CP146" i="1"/>
  <c r="BX327" i="1"/>
  <c r="BX419" i="1"/>
  <c r="BX515" i="1"/>
  <c r="BX99" i="1"/>
  <c r="CA76" i="1"/>
  <c r="CA364" i="1"/>
  <c r="CA379" i="1"/>
  <c r="CA319" i="1" s="1"/>
  <c r="CA321" i="1"/>
  <c r="BW78" i="1"/>
  <c r="BW369" i="1"/>
  <c r="BW74" i="1"/>
  <c r="BW316" i="1"/>
  <c r="BW359" i="1"/>
  <c r="BU379" i="1"/>
  <c r="BU319" i="1" s="1"/>
  <c r="BU321" i="1"/>
  <c r="BS379" i="1"/>
  <c r="BS319" i="1" s="1"/>
  <c r="BS321" i="1"/>
  <c r="D500" i="1"/>
  <c r="L152" i="1"/>
  <c r="M265" i="1"/>
  <c r="M63" i="1"/>
  <c r="G393" i="1"/>
  <c r="G406" i="1"/>
  <c r="G419" i="1"/>
  <c r="CD408" i="1"/>
  <c r="BV791" i="1"/>
  <c r="BW98" i="1"/>
  <c r="BV98" i="1"/>
  <c r="BV441" i="1"/>
  <c r="BV440" i="1" s="1"/>
  <c r="BW96" i="1" s="1"/>
  <c r="BV99" i="1"/>
  <c r="BV430" i="1"/>
  <c r="I825" i="1"/>
  <c r="I819" i="1"/>
  <c r="I812" i="1"/>
  <c r="I822" i="1"/>
  <c r="I154" i="1"/>
  <c r="I813" i="1"/>
  <c r="I816" i="1"/>
  <c r="CE181" i="1"/>
  <c r="J233" i="1"/>
  <c r="J237" i="1"/>
  <c r="J238" i="1" s="1"/>
  <c r="J426" i="1"/>
  <c r="J428" i="1" s="1"/>
  <c r="J454" i="1"/>
  <c r="J483" i="1" s="1"/>
  <c r="C795" i="1"/>
  <c r="J826" i="1"/>
  <c r="J116" i="1"/>
  <c r="J820" i="1"/>
  <c r="BS495" i="1"/>
  <c r="BS498" i="1"/>
  <c r="BS131" i="1" s="1"/>
  <c r="BU515" i="1"/>
  <c r="BU393" i="1"/>
  <c r="BU419" i="1"/>
  <c r="BU406" i="1"/>
  <c r="BU405" i="1" s="1"/>
  <c r="BU89" i="1" s="1"/>
  <c r="BU99" i="1"/>
  <c r="BY515" i="1"/>
  <c r="BY419" i="1"/>
  <c r="BY406" i="1"/>
  <c r="BY405" i="1" s="1"/>
  <c r="BY89" i="1" s="1"/>
  <c r="BY393" i="1"/>
  <c r="BT208" i="1"/>
  <c r="BY170" i="1"/>
  <c r="BY176" i="1" s="1"/>
  <c r="BY610" i="1" s="1"/>
  <c r="BY611" i="1" s="1"/>
  <c r="BX167" i="1"/>
  <c r="BY178" i="1"/>
  <c r="BY172" i="1"/>
  <c r="BZ57" i="1"/>
  <c r="K406" i="1"/>
  <c r="K393" i="1"/>
  <c r="K419" i="1"/>
  <c r="CF408" i="1"/>
  <c r="I130" i="1"/>
  <c r="CE502" i="1"/>
  <c r="CE130" i="1" s="1"/>
  <c r="G130" i="1"/>
  <c r="CD502" i="1"/>
  <c r="CD130" i="1" s="1"/>
  <c r="K99" i="1"/>
  <c r="J99" i="1"/>
  <c r="J441" i="1"/>
  <c r="J440" i="1" s="1"/>
  <c r="K96" i="1" s="1"/>
  <c r="J430" i="1"/>
  <c r="J793" i="1" s="1"/>
  <c r="CF443" i="1"/>
  <c r="K699" i="1"/>
  <c r="G500" i="1"/>
  <c r="P393" i="1"/>
  <c r="P419" i="1"/>
  <c r="P406" i="1"/>
  <c r="CI408" i="1"/>
  <c r="Q469" i="1"/>
  <c r="Q468" i="1" s="1"/>
  <c r="P468" i="1"/>
  <c r="Q393" i="1"/>
  <c r="Q419" i="1"/>
  <c r="Q406" i="1"/>
  <c r="Q405" i="1" s="1"/>
  <c r="Q99" i="1"/>
  <c r="Q515" i="1"/>
  <c r="AA764" i="1"/>
  <c r="AA114" i="1"/>
  <c r="AA146" i="1"/>
  <c r="AB114" i="1"/>
  <c r="AB146" i="1"/>
  <c r="CT565" i="1"/>
  <c r="T261" i="1"/>
  <c r="AG430" i="1"/>
  <c r="CQ443" i="1"/>
  <c r="AF63" i="1"/>
  <c r="AF152" i="1"/>
  <c r="AF265" i="1"/>
  <c r="AA55" i="1"/>
  <c r="CN186" i="1"/>
  <c r="CN55" i="1" s="1"/>
  <c r="AE465" i="1"/>
  <c r="CP472" i="1"/>
  <c r="CP465" i="1" s="1"/>
  <c r="CA344" i="1"/>
  <c r="CA77" i="1"/>
  <c r="BW344" i="1"/>
  <c r="BW77" i="1"/>
  <c r="CA339" i="1"/>
  <c r="CA75" i="1"/>
  <c r="BW339" i="1"/>
  <c r="BW75" i="1"/>
  <c r="CA334" i="1"/>
  <c r="CA71" i="1"/>
  <c r="CA291" i="1"/>
  <c r="BW334" i="1"/>
  <c r="BW71" i="1"/>
  <c r="BW291" i="1"/>
  <c r="BS334" i="1"/>
  <c r="BS71" i="1"/>
  <c r="J465" i="1"/>
  <c r="J711" i="1" s="1"/>
  <c r="J471" i="1"/>
  <c r="CF471" i="1" s="1"/>
  <c r="CF472" i="1"/>
  <c r="L462" i="1"/>
  <c r="AC635" i="1"/>
  <c r="AC738" i="1" s="1"/>
  <c r="AC764" i="1" s="1"/>
  <c r="CO633" i="1"/>
  <c r="CO635" i="1" s="1"/>
  <c r="R405" i="1"/>
  <c r="CL112" i="1"/>
  <c r="CL809" i="1"/>
  <c r="CT601" i="1"/>
  <c r="CU571" i="1"/>
  <c r="CQ262" i="1"/>
  <c r="CQ212" i="1"/>
  <c r="CR20" i="1"/>
  <c r="CO232" i="1"/>
  <c r="CN327" i="1"/>
  <c r="AD412" i="1"/>
  <c r="AB502" i="1"/>
  <c r="AB408" i="1"/>
  <c r="AB424" i="1"/>
  <c r="AB459" i="1" s="1"/>
  <c r="AB488" i="1" s="1"/>
  <c r="AH146" i="1"/>
  <c r="AH114" i="1"/>
  <c r="CQ472" i="1"/>
  <c r="CQ465" i="1" s="1"/>
  <c r="Y198" i="1"/>
  <c r="CM186" i="1"/>
  <c r="CM55" i="1" s="1"/>
  <c r="Y55" i="1"/>
  <c r="BY344" i="1"/>
  <c r="BY77" i="1"/>
  <c r="BU344" i="1"/>
  <c r="BU77" i="1"/>
  <c r="BY339" i="1"/>
  <c r="BY75" i="1"/>
  <c r="BU339" i="1"/>
  <c r="BU75" i="1"/>
  <c r="BY71" i="1"/>
  <c r="BY334" i="1"/>
  <c r="BY291" i="1"/>
  <c r="BU71" i="1"/>
  <c r="BU334" i="1"/>
  <c r="BU291" i="1"/>
  <c r="AC58" i="1"/>
  <c r="CO192" i="1"/>
  <c r="CO58" i="1" s="1"/>
  <c r="AC198" i="1"/>
  <c r="BV498" i="1"/>
  <c r="BV131" i="1" s="1"/>
  <c r="BV495" i="1"/>
  <c r="BV515" i="1"/>
  <c r="K440" i="1"/>
  <c r="N405" i="1"/>
  <c r="U699" i="1"/>
  <c r="AA198" i="1"/>
  <c r="O426" i="1"/>
  <c r="AF606" i="1"/>
  <c r="AG606" i="1" s="1"/>
  <c r="CP606" i="1"/>
  <c r="CU600" i="1"/>
  <c r="CN232" i="1"/>
  <c r="CN114" i="1"/>
  <c r="CM152" i="1"/>
  <c r="CN63" i="1"/>
  <c r="CL64" i="1"/>
  <c r="CM64" i="1"/>
  <c r="CO63" i="1"/>
  <c r="CO152" i="1"/>
  <c r="AD63" i="1"/>
  <c r="AE63" i="1"/>
  <c r="AE265" i="1"/>
  <c r="AD152" i="1"/>
  <c r="AD265" i="1"/>
  <c r="AD267" i="1" s="1"/>
  <c r="AH63" i="1"/>
  <c r="AH265" i="1"/>
  <c r="W152" i="1"/>
  <c r="CL208" i="1"/>
  <c r="CM63" i="1" s="1"/>
  <c r="X265" i="1"/>
  <c r="X267" i="1" s="1"/>
  <c r="W63" i="1"/>
  <c r="X63" i="1"/>
  <c r="AF114" i="1"/>
  <c r="AF146" i="1"/>
  <c r="AD146" i="1"/>
  <c r="AD114" i="1"/>
  <c r="AF440" i="1"/>
  <c r="CQ441" i="1"/>
  <c r="J764" i="1"/>
  <c r="AC628" i="1"/>
  <c r="AB628" i="1"/>
  <c r="CX34" i="1"/>
  <c r="CT577" i="1"/>
  <c r="CT573" i="1"/>
  <c r="CV583" i="1"/>
  <c r="CU603" i="1"/>
  <c r="CQ234" i="1"/>
  <c r="CQ216" i="1"/>
  <c r="CQ215" i="1"/>
  <c r="CQ232" i="1" s="1"/>
  <c r="CQ109" i="1" s="1"/>
  <c r="CQ218" i="1"/>
  <c r="CR18" i="1"/>
  <c r="CW706" i="1"/>
  <c r="CT678" i="1"/>
  <c r="AG696" i="1"/>
  <c r="AH696" i="1" s="1"/>
  <c r="AI696" i="1" s="1"/>
  <c r="AJ696" i="1" s="1"/>
  <c r="AK696" i="1" s="1"/>
  <c r="AL696" i="1" s="1"/>
  <c r="CT151" i="1"/>
  <c r="CU602" i="1"/>
  <c r="CX35" i="1"/>
  <c r="CU566" i="1"/>
  <c r="CS522" i="1"/>
  <c r="CU540" i="1"/>
  <c r="CU701" i="1" s="1"/>
  <c r="CR164" i="1"/>
  <c r="CR209" i="1"/>
  <c r="CR64" i="1" s="1"/>
  <c r="CR210" i="1"/>
  <c r="CR19" i="1"/>
  <c r="CU677" i="1"/>
  <c r="CU681" i="1"/>
  <c r="AB260" i="1"/>
  <c r="AB261" i="1" s="1"/>
  <c r="CU682" i="1"/>
  <c r="CU92" i="1"/>
  <c r="CR157" i="1"/>
  <c r="N82" i="7"/>
  <c r="CR166" i="1"/>
  <c r="CR159" i="1"/>
  <c r="CR179" i="1"/>
  <c r="CR158" i="1"/>
  <c r="R10" i="16"/>
  <c r="S9" i="16"/>
  <c r="AM696" i="1" l="1"/>
  <c r="AN696" i="1" s="1"/>
  <c r="AO696" i="1" s="1"/>
  <c r="AP696" i="1" s="1"/>
  <c r="AQ696" i="1" s="1"/>
  <c r="AR696" i="1" s="1"/>
  <c r="AS696" i="1" s="1"/>
  <c r="AT696" i="1" s="1"/>
  <c r="AU696" i="1" s="1"/>
  <c r="AV696" i="1" s="1"/>
  <c r="AB296" i="1"/>
  <c r="AB379" i="1" s="1"/>
  <c r="CJ827" i="1"/>
  <c r="CR623" i="1"/>
  <c r="AH440" i="1"/>
  <c r="AI96" i="1" s="1"/>
  <c r="AK1" i="1"/>
  <c r="F2" i="31" s="1"/>
  <c r="AF810" i="1"/>
  <c r="AF790" i="1"/>
  <c r="AF112" i="1"/>
  <c r="AC117" i="1"/>
  <c r="AC351" i="1"/>
  <c r="AB305" i="1"/>
  <c r="AB363" i="1" s="1"/>
  <c r="AB118" i="1"/>
  <c r="AB97" i="1"/>
  <c r="AC276" i="1"/>
  <c r="AC334" i="1" s="1"/>
  <c r="AC84" i="1"/>
  <c r="AB810" i="1"/>
  <c r="AB300" i="1"/>
  <c r="AB358" i="1" s="1"/>
  <c r="AB86" i="1"/>
  <c r="AB281" i="1"/>
  <c r="AB75" i="1" s="1"/>
  <c r="AB809" i="1"/>
  <c r="AB84" i="1"/>
  <c r="AB351" i="1"/>
  <c r="AB117" i="1"/>
  <c r="AB350" i="1"/>
  <c r="AB93" i="1"/>
  <c r="AC109" i="1"/>
  <c r="AC809" i="1"/>
  <c r="AC281" i="1"/>
  <c r="AC75" i="1" s="1"/>
  <c r="AC86" i="1"/>
  <c r="AC299" i="1"/>
  <c r="AC72" i="1" s="1"/>
  <c r="AC791" i="1"/>
  <c r="AC88" i="1"/>
  <c r="AB109" i="1"/>
  <c r="AB110" i="1"/>
  <c r="CO704" i="1"/>
  <c r="AB112" i="1"/>
  <c r="CO128" i="1"/>
  <c r="CO737" i="1" s="1"/>
  <c r="CO763" i="1" s="1"/>
  <c r="AC110" i="1"/>
  <c r="AC790" i="1"/>
  <c r="AC113" i="1"/>
  <c r="AC286" i="1"/>
  <c r="AC77" i="1" s="1"/>
  <c r="AC112" i="1"/>
  <c r="AB310" i="1"/>
  <c r="AB368" i="1" s="1"/>
  <c r="CO696" i="1"/>
  <c r="AB88" i="1"/>
  <c r="AB330" i="1"/>
  <c r="CO330" i="1" s="1"/>
  <c r="CO272" i="1" s="1"/>
  <c r="CO67" i="1" s="1"/>
  <c r="AB85" i="1"/>
  <c r="AC300" i="1"/>
  <c r="AC73" i="1" s="1"/>
  <c r="AB299" i="1"/>
  <c r="AB357" i="1" s="1"/>
  <c r="CO24" i="1"/>
  <c r="AB811" i="1"/>
  <c r="AB111" i="1"/>
  <c r="CO26" i="1"/>
  <c r="AC376" i="1"/>
  <c r="AC111" i="1"/>
  <c r="AC97" i="1"/>
  <c r="AC808" i="1"/>
  <c r="AC93" i="1"/>
  <c r="AB333" i="1"/>
  <c r="AB331" i="1"/>
  <c r="AB87" i="1"/>
  <c r="AB376" i="1"/>
  <c r="CO703" i="1"/>
  <c r="AB309" i="1"/>
  <c r="AB367" i="1" s="1"/>
  <c r="CO367" i="1" s="1"/>
  <c r="CO309" i="1" s="1"/>
  <c r="AB808" i="1"/>
  <c r="CO25" i="1"/>
  <c r="CO23" i="1"/>
  <c r="AC810" i="1"/>
  <c r="AC305" i="1"/>
  <c r="AC363" i="1" s="1"/>
  <c r="AC118" i="1"/>
  <c r="AC350" i="1"/>
  <c r="AC310" i="1"/>
  <c r="AC368" i="1" s="1"/>
  <c r="AB791" i="1"/>
  <c r="AB790" i="1"/>
  <c r="AB304" i="1"/>
  <c r="AB362" i="1" s="1"/>
  <c r="AB113" i="1"/>
  <c r="AB286" i="1"/>
  <c r="AB77" i="1" s="1"/>
  <c r="AB276" i="1"/>
  <c r="AB334" i="1" s="1"/>
  <c r="AC85" i="1"/>
  <c r="AC304" i="1"/>
  <c r="AC296" i="1"/>
  <c r="AC379" i="1" s="1"/>
  <c r="AC319" i="1" s="1"/>
  <c r="AC811" i="1"/>
  <c r="AC331" i="1"/>
  <c r="AC333" i="1"/>
  <c r="CO132" i="1"/>
  <c r="AF330" i="1"/>
  <c r="E33" i="1"/>
  <c r="E68" i="1"/>
  <c r="E273" i="1" s="1"/>
  <c r="E40" i="1"/>
  <c r="E30" i="1"/>
  <c r="E39" i="1"/>
  <c r="E70" i="1"/>
  <c r="E275" i="1" s="1"/>
  <c r="E67" i="1"/>
  <c r="E272" i="1" s="1"/>
  <c r="E38" i="1"/>
  <c r="E32" i="1"/>
  <c r="E31" i="1"/>
  <c r="E29" i="1"/>
  <c r="AI132" i="1"/>
  <c r="AI33" i="1"/>
  <c r="AI68" i="1"/>
  <c r="AI40" i="1"/>
  <c r="AI38" i="1"/>
  <c r="AI30" i="1"/>
  <c r="AI32" i="1"/>
  <c r="AI39" i="1"/>
  <c r="AI31" i="1"/>
  <c r="AI29" i="1"/>
  <c r="AI70" i="1"/>
  <c r="AI67" i="1"/>
  <c r="AI272" i="1" s="1"/>
  <c r="BU33" i="1"/>
  <c r="BU30" i="1"/>
  <c r="BU39" i="1"/>
  <c r="BU40" i="1"/>
  <c r="BU38" i="1"/>
  <c r="BU31" i="1"/>
  <c r="BU32" i="1"/>
  <c r="BU29" i="1"/>
  <c r="AF296" i="1"/>
  <c r="AF321" i="1" s="1"/>
  <c r="AF811" i="1"/>
  <c r="AD244" i="1"/>
  <c r="AF808" i="1"/>
  <c r="AF281" i="1"/>
  <c r="AF339" i="1" s="1"/>
  <c r="AF314" i="1"/>
  <c r="AF372" i="1" s="1"/>
  <c r="AG350" i="1"/>
  <c r="CQ350" i="1" s="1"/>
  <c r="AG71" i="1"/>
  <c r="CE1" i="1"/>
  <c r="CE2" i="1" s="1"/>
  <c r="CF725" i="1" s="1"/>
  <c r="AG296" i="1"/>
  <c r="AG379" i="1" s="1"/>
  <c r="AG319" i="1" s="1"/>
  <c r="AG322" i="1" s="1"/>
  <c r="AG117" i="1"/>
  <c r="CE634" i="1"/>
  <c r="CE635" i="1" s="1"/>
  <c r="CE637" i="1" s="1"/>
  <c r="CD2" i="1"/>
  <c r="CE725" i="1" s="1"/>
  <c r="AG281" i="1"/>
  <c r="AG75" i="1" s="1"/>
  <c r="M515" i="1"/>
  <c r="M620" i="1" s="1"/>
  <c r="AF97" i="1"/>
  <c r="AF85" i="1"/>
  <c r="AF111" i="1"/>
  <c r="AF286" i="1"/>
  <c r="AF344" i="1" s="1"/>
  <c r="CQ24" i="1"/>
  <c r="AF117" i="1"/>
  <c r="AF93" i="1"/>
  <c r="AF109" i="1"/>
  <c r="AF315" i="1"/>
  <c r="AF373" i="1" s="1"/>
  <c r="AF351" i="1"/>
  <c r="AF331" i="1"/>
  <c r="AF276" i="1"/>
  <c r="AF334" i="1" s="1"/>
  <c r="CQ334" i="1" s="1"/>
  <c r="CQ276" i="1" s="1"/>
  <c r="AF113" i="1"/>
  <c r="AF333" i="1"/>
  <c r="AF110" i="1"/>
  <c r="AF791" i="1"/>
  <c r="AF809" i="1"/>
  <c r="AF376" i="1"/>
  <c r="CQ26" i="1"/>
  <c r="AG791" i="1"/>
  <c r="AG809" i="1"/>
  <c r="AG111" i="1"/>
  <c r="AG808" i="1"/>
  <c r="AG811" i="1"/>
  <c r="AG86" i="1"/>
  <c r="AG109" i="1"/>
  <c r="BW261" i="1"/>
  <c r="BW376" i="1" s="1"/>
  <c r="AG112" i="1"/>
  <c r="CQ128" i="1"/>
  <c r="CQ737" i="1" s="1"/>
  <c r="CQ763" i="1" s="1"/>
  <c r="AG330" i="1"/>
  <c r="AG331" i="1"/>
  <c r="AG93" i="1"/>
  <c r="AG97" i="1"/>
  <c r="AG810" i="1"/>
  <c r="AG110" i="1"/>
  <c r="CQ23" i="1"/>
  <c r="AG790" i="1"/>
  <c r="AG314" i="1"/>
  <c r="AG372" i="1" s="1"/>
  <c r="AG351" i="1"/>
  <c r="AG333" i="1"/>
  <c r="CQ704" i="1"/>
  <c r="AG85" i="1"/>
  <c r="CQ703" i="1"/>
  <c r="CQ25" i="1"/>
  <c r="AG315" i="1"/>
  <c r="AG373" i="1" s="1"/>
  <c r="AG286" i="1"/>
  <c r="AG77" i="1" s="1"/>
  <c r="BT260" i="1"/>
  <c r="BT699" i="1" s="1"/>
  <c r="AG88" i="1"/>
  <c r="AG376" i="1"/>
  <c r="M498" i="1"/>
  <c r="CF634" i="1"/>
  <c r="CF635" i="1" s="1"/>
  <c r="CF637" i="1" s="1"/>
  <c r="CG462" i="1"/>
  <c r="CG491" i="1" s="1"/>
  <c r="CG500" i="1"/>
  <c r="CG495" i="1" s="1"/>
  <c r="BV261" i="1"/>
  <c r="BV376" i="1" s="1"/>
  <c r="AF636" i="1"/>
  <c r="L498" i="1"/>
  <c r="M131" i="1" s="1"/>
  <c r="L131" i="1" s="1"/>
  <c r="L137" i="1" s="1"/>
  <c r="L839" i="1" s="1"/>
  <c r="W58" i="1"/>
  <c r="L495" i="1"/>
  <c r="CQ236" i="1"/>
  <c r="W198" i="1"/>
  <c r="CL198" i="1" s="1"/>
  <c r="CL61" i="1" s="1"/>
  <c r="W55" i="1"/>
  <c r="CB521" i="1"/>
  <c r="R198" i="1"/>
  <c r="R61" i="1" s="1"/>
  <c r="AG84" i="1"/>
  <c r="AG113" i="1"/>
  <c r="AD791" i="1"/>
  <c r="AD809" i="1"/>
  <c r="AD109" i="1"/>
  <c r="AD84" i="1"/>
  <c r="AG118" i="1"/>
  <c r="AF118" i="1"/>
  <c r="L265" i="1"/>
  <c r="BS306" i="1"/>
  <c r="BS76" i="1" s="1"/>
  <c r="K520" i="1"/>
  <c r="CF520" i="1" s="1"/>
  <c r="L63" i="1"/>
  <c r="D192" i="1"/>
  <c r="D58" i="1" s="1"/>
  <c r="I495" i="1"/>
  <c r="I498" i="1"/>
  <c r="I131" i="1" s="1"/>
  <c r="H131" i="1" s="1"/>
  <c r="H137" i="1" s="1"/>
  <c r="H839" i="1" s="1"/>
  <c r="X498" i="1"/>
  <c r="CM498" i="1" s="1"/>
  <c r="X515" i="1"/>
  <c r="X513" i="1" s="1"/>
  <c r="CM500" i="1"/>
  <c r="CM495" i="1" s="1"/>
  <c r="BT76" i="1"/>
  <c r="BT316" i="1"/>
  <c r="BT364" i="1"/>
  <c r="E441" i="1"/>
  <c r="E99" i="1"/>
  <c r="E430" i="1"/>
  <c r="E793" i="1" s="1"/>
  <c r="CC443" i="1"/>
  <c r="CC98" i="1" s="1"/>
  <c r="E792" i="1"/>
  <c r="CK485" i="1"/>
  <c r="CJ628" i="1"/>
  <c r="G1" i="1"/>
  <c r="AD110" i="1"/>
  <c r="AD315" i="1"/>
  <c r="AD373" i="1" s="1"/>
  <c r="AD86" i="1"/>
  <c r="F3" i="1"/>
  <c r="AD376" i="1"/>
  <c r="AD790" i="1"/>
  <c r="AD286" i="1"/>
  <c r="AD77" i="1" s="1"/>
  <c r="AD112" i="1"/>
  <c r="AD811" i="1"/>
  <c r="AD111" i="1"/>
  <c r="AD350" i="1"/>
  <c r="AD281" i="1"/>
  <c r="AD75" i="1" s="1"/>
  <c r="AD118" i="1"/>
  <c r="AD93" i="1"/>
  <c r="AD276" i="1"/>
  <c r="AD71" i="1" s="1"/>
  <c r="AD810" i="1"/>
  <c r="AD85" i="1"/>
  <c r="AD351" i="1"/>
  <c r="AD314" i="1"/>
  <c r="AD372" i="1" s="1"/>
  <c r="AD87" i="1"/>
  <c r="CP24" i="1"/>
  <c r="AD97" i="1"/>
  <c r="AD296" i="1"/>
  <c r="AD321" i="1" s="1"/>
  <c r="AD117" i="1"/>
  <c r="AD113" i="1"/>
  <c r="CB741" i="1"/>
  <c r="CB767" i="1" s="1"/>
  <c r="AD331" i="1"/>
  <c r="AD333" i="1"/>
  <c r="H99" i="1"/>
  <c r="AF86" i="1"/>
  <c r="H441" i="1"/>
  <c r="H440" i="1" s="1"/>
  <c r="BW1" i="1"/>
  <c r="BW3" i="1" s="1"/>
  <c r="BV3" i="1"/>
  <c r="AD330" i="1"/>
  <c r="M55" i="1"/>
  <c r="Z637" i="1"/>
  <c r="Z739" i="1" s="1"/>
  <c r="Z765" i="1" s="1"/>
  <c r="CE64" i="1"/>
  <c r="CP704" i="1"/>
  <c r="CQ235" i="1"/>
  <c r="CP236" i="1"/>
  <c r="AE810" i="1"/>
  <c r="AE109" i="1"/>
  <c r="AE112" i="1"/>
  <c r="CP696" i="1"/>
  <c r="CP266" i="1"/>
  <c r="CP703" i="1"/>
  <c r="AE118" i="1"/>
  <c r="AE286" i="1"/>
  <c r="AE344" i="1" s="1"/>
  <c r="AE276" i="1"/>
  <c r="AE71" i="1" s="1"/>
  <c r="CP26" i="1"/>
  <c r="CP25" i="1"/>
  <c r="AD636" i="1"/>
  <c r="CQ132" i="1"/>
  <c r="CP132" i="1"/>
  <c r="CQ253" i="1"/>
  <c r="CP235" i="1"/>
  <c r="CP128" i="1"/>
  <c r="CP737" i="1" s="1"/>
  <c r="CP763" i="1" s="1"/>
  <c r="AE110" i="1"/>
  <c r="AE333" i="1"/>
  <c r="AE811" i="1"/>
  <c r="AE85" i="1"/>
  <c r="AE330" i="1"/>
  <c r="S603" i="1"/>
  <c r="CJ603" i="1" s="1"/>
  <c r="CJ604" i="1" s="1"/>
  <c r="AE331" i="1"/>
  <c r="AE111" i="1"/>
  <c r="AE376" i="1"/>
  <c r="CP23" i="1"/>
  <c r="AE791" i="1"/>
  <c r="AE808" i="1"/>
  <c r="AE117" i="1"/>
  <c r="AE809" i="1"/>
  <c r="AE296" i="1"/>
  <c r="AE379" i="1" s="1"/>
  <c r="AE319" i="1" s="1"/>
  <c r="AE322" i="1" s="1"/>
  <c r="CH465" i="1"/>
  <c r="W428" i="1"/>
  <c r="AE314" i="1"/>
  <c r="AE372" i="1" s="1"/>
  <c r="AE374" i="1" s="1"/>
  <c r="AE790" i="1"/>
  <c r="AE93" i="1"/>
  <c r="K500" i="1"/>
  <c r="K515" i="1" s="1"/>
  <c r="K732" i="1" s="1"/>
  <c r="K760" i="1" s="1"/>
  <c r="AC636" i="1"/>
  <c r="CO636" i="1" s="1"/>
  <c r="AE351" i="1"/>
  <c r="AE350" i="1"/>
  <c r="AE97" i="1"/>
  <c r="AE281" i="1"/>
  <c r="CO821" i="1"/>
  <c r="J98" i="1"/>
  <c r="CE443" i="1"/>
  <c r="CE99" i="1" s="1"/>
  <c r="H670" i="1"/>
  <c r="AF84" i="1"/>
  <c r="CL427" i="1"/>
  <c r="CL462" i="1" s="1"/>
  <c r="P515" i="1"/>
  <c r="P136" i="1" s="1"/>
  <c r="P838" i="1" s="1"/>
  <c r="H430" i="1"/>
  <c r="H793" i="1" s="1"/>
  <c r="AE61" i="1"/>
  <c r="H454" i="1"/>
  <c r="H461" i="1" s="1"/>
  <c r="H463" i="1" s="1"/>
  <c r="P430" i="1"/>
  <c r="P793" i="1" s="1"/>
  <c r="CP249" i="1"/>
  <c r="CP253" i="1"/>
  <c r="CF208" i="1"/>
  <c r="CF152" i="1" s="1"/>
  <c r="CI198" i="1"/>
  <c r="CI61" i="1" s="1"/>
  <c r="Q61" i="1"/>
  <c r="CO827" i="1"/>
  <c r="P441" i="1"/>
  <c r="CI441" i="1" s="1"/>
  <c r="CI192" i="1"/>
  <c r="CI58" i="1" s="1"/>
  <c r="Q58" i="1"/>
  <c r="H795" i="1"/>
  <c r="CO817" i="1"/>
  <c r="P98" i="1"/>
  <c r="CO824" i="1"/>
  <c r="CO823" i="1"/>
  <c r="P99" i="1"/>
  <c r="CO820" i="1"/>
  <c r="CO818" i="1"/>
  <c r="CI443" i="1"/>
  <c r="CI129" i="1" s="1"/>
  <c r="CO116" i="1"/>
  <c r="CO826" i="1"/>
  <c r="H186" i="1"/>
  <c r="H55" i="1" s="1"/>
  <c r="CJ489" i="1"/>
  <c r="CD192" i="1"/>
  <c r="CD58" i="1" s="1"/>
  <c r="L261" i="1"/>
  <c r="L699" i="1"/>
  <c r="CI63" i="1"/>
  <c r="E515" i="1"/>
  <c r="E521" i="1" s="1"/>
  <c r="CI427" i="1"/>
  <c r="CI462" i="1" s="1"/>
  <c r="CI491" i="1" s="1"/>
  <c r="D637" i="1"/>
  <c r="D739" i="1" s="1"/>
  <c r="D765" i="1" s="1"/>
  <c r="N699" i="1"/>
  <c r="F2" i="1"/>
  <c r="G725" i="1" s="1"/>
  <c r="N198" i="1"/>
  <c r="N61" i="1" s="1"/>
  <c r="CH63" i="1"/>
  <c r="V198" i="1"/>
  <c r="V61" i="1" s="1"/>
  <c r="O454" i="1"/>
  <c r="O461" i="1" s="1"/>
  <c r="O463" i="1" s="1"/>
  <c r="E498" i="1"/>
  <c r="CB788" i="1"/>
  <c r="M198" i="1"/>
  <c r="M61" i="1" s="1"/>
  <c r="O430" i="1"/>
  <c r="O793" i="1" s="1"/>
  <c r="O99" i="1"/>
  <c r="W823" i="1"/>
  <c r="CB374" i="1"/>
  <c r="BX793" i="1"/>
  <c r="CH443" i="1"/>
  <c r="CH99" i="1" s="1"/>
  <c r="CD146" i="1"/>
  <c r="CG192" i="1"/>
  <c r="CG58" i="1" s="1"/>
  <c r="CH233" i="1"/>
  <c r="CH113" i="1" s="1"/>
  <c r="J795" i="1"/>
  <c r="CH117" i="1"/>
  <c r="D5" i="1"/>
  <c r="D299" i="1" s="1"/>
  <c r="E152" i="1"/>
  <c r="E265" i="1"/>
  <c r="CI808" i="1"/>
  <c r="G198" i="1"/>
  <c r="G61" i="1" s="1"/>
  <c r="CD623" i="1"/>
  <c r="AD635" i="1"/>
  <c r="R620" i="1"/>
  <c r="C461" i="1"/>
  <c r="C463" i="1" s="1"/>
  <c r="AC502" i="1"/>
  <c r="AC130" i="1" s="1"/>
  <c r="N515" i="1"/>
  <c r="N741" i="1" s="1"/>
  <c r="N767" i="1" s="1"/>
  <c r="CI628" i="1"/>
  <c r="AB637" i="1"/>
  <c r="AB739" i="1" s="1"/>
  <c r="AB765" i="1" s="1"/>
  <c r="F192" i="1"/>
  <c r="F58" i="1" s="1"/>
  <c r="O198" i="1"/>
  <c r="CH198" i="1" s="1"/>
  <c r="CH61" i="1" s="1"/>
  <c r="D152" i="1"/>
  <c r="U198" i="1"/>
  <c r="U61" i="1" s="1"/>
  <c r="CK186" i="1"/>
  <c r="CK55" i="1" s="1"/>
  <c r="N261" i="1"/>
  <c r="D63" i="1"/>
  <c r="F670" i="1"/>
  <c r="W147" i="1"/>
  <c r="O428" i="1"/>
  <c r="I823" i="1"/>
  <c r="O441" i="1"/>
  <c r="CH441" i="1" s="1"/>
  <c r="CN637" i="1"/>
  <c r="CN739" i="1" s="1"/>
  <c r="CN765" i="1" s="1"/>
  <c r="CN613" i="1"/>
  <c r="W826" i="1"/>
  <c r="W817" i="1"/>
  <c r="CJ817" i="1"/>
  <c r="S515" i="1"/>
  <c r="S730" i="1" s="1"/>
  <c r="Q98" i="1"/>
  <c r="O98" i="1"/>
  <c r="F795" i="1"/>
  <c r="CL613" i="1"/>
  <c r="CL820" i="1" s="1"/>
  <c r="W116" i="1"/>
  <c r="S99" i="1"/>
  <c r="S406" i="1"/>
  <c r="S405" i="1" s="1"/>
  <c r="CJ405" i="1" s="1"/>
  <c r="CJ89" i="1" s="1"/>
  <c r="F515" i="1"/>
  <c r="F620" i="1" s="1"/>
  <c r="F495" i="1"/>
  <c r="S393" i="1"/>
  <c r="CH500" i="1"/>
  <c r="CH495" i="1" s="1"/>
  <c r="H515" i="1"/>
  <c r="H136" i="1" s="1"/>
  <c r="H838" i="1" s="1"/>
  <c r="N498" i="1"/>
  <c r="O131" i="1" s="1"/>
  <c r="N131" i="1" s="1"/>
  <c r="N137" i="1" s="1"/>
  <c r="N839" i="1" s="1"/>
  <c r="L198" i="1"/>
  <c r="L61" i="1" s="1"/>
  <c r="Y602" i="1"/>
  <c r="CH628" i="1"/>
  <c r="CB265" i="1"/>
  <c r="CB88" i="1" s="1"/>
  <c r="E5" i="1"/>
  <c r="E84" i="1" s="1"/>
  <c r="AE130" i="1"/>
  <c r="CU555" i="1"/>
  <c r="I515" i="1"/>
  <c r="I521" i="1" s="1"/>
  <c r="CJ186" i="1"/>
  <c r="CJ55" i="1" s="1"/>
  <c r="H495" i="1"/>
  <c r="Z628" i="1"/>
  <c r="CN628" i="1" s="1"/>
  <c r="AC408" i="1"/>
  <c r="AC393" i="1" s="1"/>
  <c r="AG412" i="1"/>
  <c r="AI412" i="1" s="1"/>
  <c r="AK412" i="1" s="1"/>
  <c r="AM412" i="1" s="1"/>
  <c r="AO412" i="1" s="1"/>
  <c r="Y628" i="1"/>
  <c r="AE408" i="1"/>
  <c r="AE99" i="1" s="1"/>
  <c r="AE424" i="1"/>
  <c r="AE459" i="1" s="1"/>
  <c r="AE488" i="1" s="1"/>
  <c r="CE500" i="1"/>
  <c r="CE495" i="1" s="1"/>
  <c r="BT740" i="1"/>
  <c r="BT766" i="1" s="1"/>
  <c r="CM109" i="1"/>
  <c r="CL109" i="1"/>
  <c r="CM393" i="1"/>
  <c r="CM792" i="1" s="1"/>
  <c r="CH192" i="1"/>
  <c r="CH58" i="1" s="1"/>
  <c r="AA440" i="1"/>
  <c r="AB96" i="1" s="1"/>
  <c r="AG252" i="1"/>
  <c r="AG254" i="1" s="1"/>
  <c r="CO412" i="1"/>
  <c r="CO424" i="1" s="1"/>
  <c r="CO459" i="1" s="1"/>
  <c r="CO488" i="1" s="1"/>
  <c r="CQ261" i="1"/>
  <c r="CE507" i="1"/>
  <c r="X198" i="1"/>
  <c r="X61" i="1" s="1"/>
  <c r="S198" i="1"/>
  <c r="CJ198" i="1" s="1"/>
  <c r="CJ61" i="1" s="1"/>
  <c r="AC424" i="1"/>
  <c r="AC459" i="1" s="1"/>
  <c r="AC488" i="1" s="1"/>
  <c r="I734" i="1"/>
  <c r="I761" i="1" s="1"/>
  <c r="W628" i="1"/>
  <c r="W602" i="1"/>
  <c r="CL602" i="1" s="1"/>
  <c r="D265" i="1"/>
  <c r="E63" i="1"/>
  <c r="CG54" i="1"/>
  <c r="CG469" i="1"/>
  <c r="CB783" i="1"/>
  <c r="CA521" i="1"/>
  <c r="CB730" i="1"/>
  <c r="CB840" i="1" s="1"/>
  <c r="CB740" i="1"/>
  <c r="CB766" i="1" s="1"/>
  <c r="CN498" i="1"/>
  <c r="CB525" i="1"/>
  <c r="CB728" i="1" s="1"/>
  <c r="CB757" i="1" s="1"/>
  <c r="CB732" i="1"/>
  <c r="CB760" i="1" s="1"/>
  <c r="CB787" i="1"/>
  <c r="CB620" i="1"/>
  <c r="CB513" i="1"/>
  <c r="K218" i="1"/>
  <c r="CJ393" i="1"/>
  <c r="CJ419" i="1"/>
  <c r="CJ426" i="1" s="1"/>
  <c r="CJ428" i="1" s="1"/>
  <c r="CI233" i="1"/>
  <c r="CI86" i="1" s="1"/>
  <c r="S419" i="1"/>
  <c r="S426" i="1" s="1"/>
  <c r="S428" i="1" s="1"/>
  <c r="P58" i="1"/>
  <c r="P198" i="1"/>
  <c r="P61" i="1" s="1"/>
  <c r="L159" i="1"/>
  <c r="M217" i="1" s="1"/>
  <c r="CC63" i="1"/>
  <c r="I160" i="1"/>
  <c r="J54" i="1" s="1"/>
  <c r="J158" i="1"/>
  <c r="K216" i="1" s="1"/>
  <c r="M216" i="1"/>
  <c r="CB323" i="1"/>
  <c r="CB325" i="1" s="1"/>
  <c r="D670" i="1"/>
  <c r="CH406" i="1"/>
  <c r="D186" i="1"/>
  <c r="D55" i="1" s="1"/>
  <c r="H64" i="1"/>
  <c r="H208" i="1"/>
  <c r="I265" i="1" s="1"/>
  <c r="V513" i="1"/>
  <c r="F265" i="1"/>
  <c r="F63" i="1"/>
  <c r="G63" i="1"/>
  <c r="CL233" i="1"/>
  <c r="CL113" i="1" s="1"/>
  <c r="S261" i="1"/>
  <c r="S699" i="1"/>
  <c r="F152" i="1"/>
  <c r="E454" i="1"/>
  <c r="E734" i="1" s="1"/>
  <c r="E761" i="1" s="1"/>
  <c r="CE406" i="1"/>
  <c r="CL110" i="1"/>
  <c r="T55" i="1"/>
  <c r="T198" i="1"/>
  <c r="T61" i="1" s="1"/>
  <c r="AE86" i="1"/>
  <c r="BS339" i="1"/>
  <c r="BW792" i="1"/>
  <c r="J63" i="1"/>
  <c r="AE84" i="1"/>
  <c r="BW483" i="1"/>
  <c r="BW129" i="1" s="1"/>
  <c r="E426" i="1"/>
  <c r="E428" i="1" s="1"/>
  <c r="CA732" i="1"/>
  <c r="I826" i="1"/>
  <c r="U792" i="1"/>
  <c r="CL810" i="1"/>
  <c r="CM430" i="1"/>
  <c r="CM793" i="1" s="1"/>
  <c r="N793" i="1"/>
  <c r="W792" i="1"/>
  <c r="CE611" i="1"/>
  <c r="CE146" i="1" s="1"/>
  <c r="X628" i="1"/>
  <c r="CA741" i="1"/>
  <c r="CA767" i="1" s="1"/>
  <c r="C136" i="1"/>
  <c r="C838" i="1" s="1"/>
  <c r="CA513" i="1"/>
  <c r="CL584" i="1"/>
  <c r="CL585" i="1" s="1"/>
  <c r="CM99" i="1"/>
  <c r="V628" i="1"/>
  <c r="CP98" i="1"/>
  <c r="CH393" i="1"/>
  <c r="CH792" i="1" s="1"/>
  <c r="AF635" i="1"/>
  <c r="AF738" i="1" s="1"/>
  <c r="AF764" i="1" s="1"/>
  <c r="AA131" i="1"/>
  <c r="AG553" i="1"/>
  <c r="AG633" i="1" s="1"/>
  <c r="CQ633" i="1" s="1"/>
  <c r="CQ635" i="1" s="1"/>
  <c r="CQ738" i="1" s="1"/>
  <c r="CK116" i="1"/>
  <c r="CJ814" i="1"/>
  <c r="N454" i="1"/>
  <c r="N734" i="1" s="1"/>
  <c r="N761" i="1" s="1"/>
  <c r="N794" i="1"/>
  <c r="U426" i="1"/>
  <c r="U428" i="1" s="1"/>
  <c r="R740" i="1"/>
  <c r="R766" i="1" s="1"/>
  <c r="CG471" i="1"/>
  <c r="CB461" i="1"/>
  <c r="CB463" i="1" s="1"/>
  <c r="R792" i="1"/>
  <c r="CJ129" i="1"/>
  <c r="R521" i="1"/>
  <c r="O513" i="1"/>
  <c r="AA740" i="1"/>
  <c r="AA766" i="1" s="1"/>
  <c r="W454" i="1"/>
  <c r="CB483" i="1"/>
  <c r="CB129" i="1" s="1"/>
  <c r="K64" i="1"/>
  <c r="K265" i="1"/>
  <c r="J64" i="1"/>
  <c r="J265" i="1"/>
  <c r="K63" i="1"/>
  <c r="N792" i="1"/>
  <c r="CN98" i="1"/>
  <c r="CQ265" i="1"/>
  <c r="CQ88" i="1" s="1"/>
  <c r="C521" i="1"/>
  <c r="J515" i="1"/>
  <c r="J521" i="1" s="1"/>
  <c r="BS234" i="1"/>
  <c r="BS237" i="1" s="1"/>
  <c r="BS238" i="1" s="1"/>
  <c r="CA454" i="1"/>
  <c r="CA461" i="1" s="1"/>
  <c r="CA463" i="1" s="1"/>
  <c r="I146" i="1"/>
  <c r="CR259" i="1"/>
  <c r="CR248" i="1"/>
  <c r="I820" i="1"/>
  <c r="J495" i="1"/>
  <c r="CN791" i="1"/>
  <c r="E186" i="1"/>
  <c r="E670" i="1"/>
  <c r="CC670" i="1" s="1"/>
  <c r="CC204" i="1"/>
  <c r="CC795" i="1" s="1"/>
  <c r="E192" i="1"/>
  <c r="E795" i="1"/>
  <c r="AF244" i="1"/>
  <c r="CQ242" i="1"/>
  <c r="CQ244" i="1" s="1"/>
  <c r="AF561" i="1"/>
  <c r="AF628" i="1" s="1"/>
  <c r="C732" i="1"/>
  <c r="C733" i="1" s="1"/>
  <c r="C741" i="1"/>
  <c r="C767" i="1" s="1"/>
  <c r="C483" i="1"/>
  <c r="C490" i="1" s="1"/>
  <c r="C493" i="1" s="1"/>
  <c r="C510" i="1" s="1"/>
  <c r="CA426" i="1"/>
  <c r="CA428" i="1" s="1"/>
  <c r="CE147" i="1"/>
  <c r="J498" i="1"/>
  <c r="CR247" i="1"/>
  <c r="CL471" i="1"/>
  <c r="CP242" i="1"/>
  <c r="CR265" i="1"/>
  <c r="CH405" i="1"/>
  <c r="CH89" i="1" s="1"/>
  <c r="C513" i="1"/>
  <c r="CB317" i="1"/>
  <c r="CB375" i="1" s="1"/>
  <c r="CQ247" i="1"/>
  <c r="I116" i="1"/>
  <c r="AH244" i="1"/>
  <c r="CR242" i="1"/>
  <c r="CB794" i="1"/>
  <c r="C792" i="1"/>
  <c r="CR266" i="1"/>
  <c r="CR260" i="1"/>
  <c r="CR243" i="1"/>
  <c r="CJ820" i="1"/>
  <c r="CJ430" i="1"/>
  <c r="CJ826" i="1"/>
  <c r="BW461" i="1"/>
  <c r="BW463" i="1" s="1"/>
  <c r="I461" i="1"/>
  <c r="I463" i="1" s="1"/>
  <c r="AA483" i="1"/>
  <c r="AA129" i="1" s="1"/>
  <c r="L454" i="1"/>
  <c r="L734" i="1" s="1"/>
  <c r="L761" i="1" s="1"/>
  <c r="CM810" i="1"/>
  <c r="AA513" i="1"/>
  <c r="BW793" i="1"/>
  <c r="CH819" i="1"/>
  <c r="J670" i="1"/>
  <c r="CP562" i="1"/>
  <c r="CJ824" i="1"/>
  <c r="CJ818" i="1"/>
  <c r="BW136" i="1"/>
  <c r="BW838" i="1" s="1"/>
  <c r="AA620" i="1"/>
  <c r="CH147" i="1"/>
  <c r="CJ233" i="1"/>
  <c r="CJ113" i="1" s="1"/>
  <c r="Y454" i="1"/>
  <c r="Y734" i="1" s="1"/>
  <c r="Y761" i="1" s="1"/>
  <c r="BU374" i="1"/>
  <c r="CJ116" i="1"/>
  <c r="CJ821" i="1"/>
  <c r="CJ823" i="1"/>
  <c r="U602" i="1"/>
  <c r="U628" i="1"/>
  <c r="CK628" i="1" s="1"/>
  <c r="CA136" i="1"/>
  <c r="CA838" i="1" s="1"/>
  <c r="CA788" i="1"/>
  <c r="AG61" i="1"/>
  <c r="CN825" i="1"/>
  <c r="CH810" i="1"/>
  <c r="CN822" i="1"/>
  <c r="CN816" i="1"/>
  <c r="CK419" i="1"/>
  <c r="CK426" i="1" s="1"/>
  <c r="CK428" i="1" s="1"/>
  <c r="R732" i="1"/>
  <c r="R760" i="1" s="1"/>
  <c r="C740" i="1"/>
  <c r="C766" i="1" s="1"/>
  <c r="C730" i="1"/>
  <c r="C759" i="1" s="1"/>
  <c r="BT783" i="1"/>
  <c r="L792" i="1"/>
  <c r="CA740" i="1"/>
  <c r="CA766" i="1" s="1"/>
  <c r="CA730" i="1"/>
  <c r="CA759" i="1" s="1"/>
  <c r="CA783" i="1"/>
  <c r="CK823" i="1"/>
  <c r="CL117" i="1"/>
  <c r="CN813" i="1"/>
  <c r="AE113" i="1"/>
  <c r="R136" i="1"/>
  <c r="R838" i="1" s="1"/>
  <c r="C620" i="1"/>
  <c r="CN819" i="1"/>
  <c r="BT788" i="1"/>
  <c r="CA525" i="1"/>
  <c r="CA782" i="1" s="1"/>
  <c r="CA620" i="1"/>
  <c r="AE252" i="1"/>
  <c r="AE254" i="1" s="1"/>
  <c r="CN812" i="1"/>
  <c r="L793" i="1"/>
  <c r="CK824" i="1"/>
  <c r="CL465" i="1"/>
  <c r="CH467" i="1"/>
  <c r="CH468" i="1" s="1"/>
  <c r="CH110" i="1" s="1"/>
  <c r="CM112" i="1"/>
  <c r="C793" i="1"/>
  <c r="CJ99" i="1"/>
  <c r="O699" i="1"/>
  <c r="BX349" i="1"/>
  <c r="BX352" i="1" s="1"/>
  <c r="BX354" i="1" s="1"/>
  <c r="CJ117" i="1"/>
  <c r="BW732" i="1"/>
  <c r="BW760" i="1" s="1"/>
  <c r="BW525" i="1"/>
  <c r="BW728" i="1" s="1"/>
  <c r="BW757" i="1" s="1"/>
  <c r="CM811" i="1"/>
  <c r="BW788" i="1"/>
  <c r="BW513" i="1"/>
  <c r="BW783" i="1"/>
  <c r="CM465" i="1"/>
  <c r="BW620" i="1"/>
  <c r="BW741" i="1"/>
  <c r="BW767" i="1" s="1"/>
  <c r="BW787" i="1"/>
  <c r="CH711" i="1"/>
  <c r="BW521" i="1"/>
  <c r="BW740" i="1"/>
  <c r="BW766" i="1" s="1"/>
  <c r="CQ257" i="1"/>
  <c r="CT584" i="1"/>
  <c r="BY792" i="1"/>
  <c r="BW426" i="1"/>
  <c r="BW428" i="1" s="1"/>
  <c r="C426" i="1"/>
  <c r="C428" i="1" s="1"/>
  <c r="CA794" i="1"/>
  <c r="CK826" i="1"/>
  <c r="CJ192" i="1"/>
  <c r="CJ58" i="1" s="1"/>
  <c r="S58" i="1"/>
  <c r="CI711" i="1"/>
  <c r="V794" i="1"/>
  <c r="CM827" i="1"/>
  <c r="CK146" i="1"/>
  <c r="CQ699" i="1"/>
  <c r="CM471" i="1"/>
  <c r="CM116" i="1"/>
  <c r="BT525" i="1"/>
  <c r="BT782" i="1" s="1"/>
  <c r="BT521" i="1"/>
  <c r="BT513" i="1"/>
  <c r="BT291" i="1"/>
  <c r="BT349" i="1" s="1"/>
  <c r="CI471" i="1"/>
  <c r="CU123" i="1"/>
  <c r="BT787" i="1"/>
  <c r="BT741" i="1"/>
  <c r="BT767" i="1" s="1"/>
  <c r="BT620" i="1"/>
  <c r="AE820" i="1"/>
  <c r="BT77" i="1"/>
  <c r="CK109" i="1"/>
  <c r="CM468" i="1"/>
  <c r="CM110" i="1" s="1"/>
  <c r="CJ146" i="1"/>
  <c r="BT730" i="1"/>
  <c r="BT759" i="1" s="1"/>
  <c r="BT136" i="1"/>
  <c r="BT838" i="1" s="1"/>
  <c r="CA793" i="1"/>
  <c r="CO471" i="1"/>
  <c r="V136" i="1"/>
  <c r="V838" i="1" s="1"/>
  <c r="R793" i="1"/>
  <c r="CJ811" i="1"/>
  <c r="CN147" i="1"/>
  <c r="V759" i="1"/>
  <c r="V840" i="1"/>
  <c r="AE628" i="1"/>
  <c r="CP628" i="1" s="1"/>
  <c r="CO791" i="1"/>
  <c r="CH822" i="1"/>
  <c r="CN419" i="1"/>
  <c r="CN793" i="1" s="1"/>
  <c r="O521" i="1"/>
  <c r="CP233" i="1"/>
  <c r="CN261" i="1"/>
  <c r="J186" i="1"/>
  <c r="J55" i="1" s="1"/>
  <c r="CG699" i="1"/>
  <c r="V732" i="1"/>
  <c r="V760" i="1" s="1"/>
  <c r="V521" i="1"/>
  <c r="G817" i="1"/>
  <c r="CH154" i="1"/>
  <c r="CN99" i="1"/>
  <c r="O136" i="1"/>
  <c r="O838" i="1" s="1"/>
  <c r="CP791" i="1"/>
  <c r="CL136" i="1"/>
  <c r="CL838" i="1" s="1"/>
  <c r="V525" i="1"/>
  <c r="V729" i="1" s="1"/>
  <c r="V758" i="1" s="1"/>
  <c r="V620" i="1"/>
  <c r="G826" i="1"/>
  <c r="CU135" i="1"/>
  <c r="CH613" i="1"/>
  <c r="CH813" i="1"/>
  <c r="CN129" i="1"/>
  <c r="O730" i="1"/>
  <c r="O840" i="1" s="1"/>
  <c r="R426" i="1"/>
  <c r="R428" i="1" s="1"/>
  <c r="BS792" i="1"/>
  <c r="CK817" i="1"/>
  <c r="CM808" i="1"/>
  <c r="BV374" i="1"/>
  <c r="CJ110" i="1"/>
  <c r="CE63" i="1"/>
  <c r="BY374" i="1"/>
  <c r="BV349" i="1"/>
  <c r="BV352" i="1" s="1"/>
  <c r="BV354" i="1" s="1"/>
  <c r="CJ810" i="1"/>
  <c r="CL399" i="1"/>
  <c r="Y792" i="1"/>
  <c r="L817" i="1"/>
  <c r="CU576" i="1"/>
  <c r="CP613" i="1"/>
  <c r="AE817" i="1"/>
  <c r="CG405" i="1"/>
  <c r="CG89" i="1" s="1"/>
  <c r="BS157" i="1"/>
  <c r="BS215" i="1" s="1"/>
  <c r="H826" i="1"/>
  <c r="CJ441" i="1"/>
  <c r="S440" i="1"/>
  <c r="AH554" i="1"/>
  <c r="AI554" i="1" s="1"/>
  <c r="CQ554" i="1"/>
  <c r="CM826" i="1"/>
  <c r="CM814" i="1"/>
  <c r="CM824" i="1"/>
  <c r="CM821" i="1"/>
  <c r="CM818" i="1"/>
  <c r="CM817" i="1"/>
  <c r="CM820" i="1"/>
  <c r="R730" i="1"/>
  <c r="R840" i="1" s="1"/>
  <c r="R513" i="1"/>
  <c r="R525" i="1"/>
  <c r="R729" i="1" s="1"/>
  <c r="R758" i="1" s="1"/>
  <c r="CJ471" i="1"/>
  <c r="CH699" i="1"/>
  <c r="AJ2" i="1"/>
  <c r="AK725" i="1" s="1"/>
  <c r="AJ3" i="1"/>
  <c r="E3" i="31" s="1"/>
  <c r="G823" i="1"/>
  <c r="G820" i="1"/>
  <c r="CK63" i="1"/>
  <c r="BZ325" i="1"/>
  <c r="AA521" i="1"/>
  <c r="AA136" i="1"/>
  <c r="AA838" i="1" s="1"/>
  <c r="F793" i="1"/>
  <c r="F426" i="1"/>
  <c r="F428" i="1" s="1"/>
  <c r="N111" i="1"/>
  <c r="CD471" i="1"/>
  <c r="CM113" i="1"/>
  <c r="BZ792" i="1"/>
  <c r="BZ269" i="1"/>
  <c r="AA525" i="1"/>
  <c r="CH471" i="1"/>
  <c r="M699" i="1"/>
  <c r="CN471" i="1"/>
  <c r="CO261" i="1"/>
  <c r="K198" i="1"/>
  <c r="K55" i="1"/>
  <c r="CF186" i="1"/>
  <c r="CF55" i="1" s="1"/>
  <c r="CN515" i="1"/>
  <c r="AI5" i="1"/>
  <c r="D4" i="31" s="1"/>
  <c r="CK699" i="1"/>
  <c r="D261" i="1"/>
  <c r="CP265" i="1"/>
  <c r="CP88" i="1" s="1"/>
  <c r="AD88" i="1"/>
  <c r="AG267" i="1"/>
  <c r="AG87" i="1" s="1"/>
  <c r="AC267" i="1"/>
  <c r="AC87" i="1" s="1"/>
  <c r="AA759" i="1"/>
  <c r="AA840" i="1"/>
  <c r="H820" i="1"/>
  <c r="CI146" i="1"/>
  <c r="P261" i="1"/>
  <c r="R794" i="1"/>
  <c r="CK99" i="1"/>
  <c r="U794" i="1"/>
  <c r="AA741" i="1"/>
  <c r="AA767" i="1" s="1"/>
  <c r="AA732" i="1"/>
  <c r="AA760" i="1" s="1"/>
  <c r="CP441" i="1"/>
  <c r="X483" i="1"/>
  <c r="X129" i="1" s="1"/>
  <c r="X734" i="1"/>
  <c r="X761" i="1" s="1"/>
  <c r="AE636" i="1"/>
  <c r="AE637" i="1" s="1"/>
  <c r="AE739" i="1" s="1"/>
  <c r="AE765" i="1" s="1"/>
  <c r="CP633" i="1"/>
  <c r="CP635" i="1" s="1"/>
  <c r="CP738" i="1" s="1"/>
  <c r="CP764" i="1" s="1"/>
  <c r="CF158" i="1"/>
  <c r="CG216" i="1" s="1"/>
  <c r="U793" i="1"/>
  <c r="CJ515" i="1"/>
  <c r="CJ620" i="1" s="1"/>
  <c r="CH816" i="1"/>
  <c r="CH825" i="1"/>
  <c r="I490" i="1"/>
  <c r="I493" i="1" s="1"/>
  <c r="O741" i="1"/>
  <c r="O767" i="1" s="1"/>
  <c r="O740" i="1"/>
  <c r="O766" i="1" s="1"/>
  <c r="O620" i="1"/>
  <c r="O525" i="1"/>
  <c r="O729" i="1" s="1"/>
  <c r="O758" i="1" s="1"/>
  <c r="AA734" i="1"/>
  <c r="AA761" i="1" s="1"/>
  <c r="M794" i="1"/>
  <c r="L794" i="1"/>
  <c r="BV793" i="1"/>
  <c r="AE116" i="1"/>
  <c r="CL261" i="1"/>
  <c r="CP471" i="1"/>
  <c r="CM118" i="1"/>
  <c r="CM129" i="1"/>
  <c r="CG406" i="1"/>
  <c r="BT323" i="1"/>
  <c r="BT325" i="1" s="1"/>
  <c r="AD254" i="1"/>
  <c r="CL419" i="1"/>
  <c r="CL454" i="1" s="1"/>
  <c r="BU215" i="1"/>
  <c r="BX374" i="1"/>
  <c r="CG611" i="1"/>
  <c r="CG146" i="1" s="1"/>
  <c r="M612" i="1"/>
  <c r="X699" i="1"/>
  <c r="Z792" i="1"/>
  <c r="D792" i="1"/>
  <c r="U465" i="1"/>
  <c r="U711" i="1" s="1"/>
  <c r="CK711" i="1" s="1"/>
  <c r="U471" i="1"/>
  <c r="CK471" i="1" s="1"/>
  <c r="CK472" i="1"/>
  <c r="CK118" i="1" s="1"/>
  <c r="U515" i="1"/>
  <c r="U468" i="1"/>
  <c r="CK468" i="1" s="1"/>
  <c r="CK110" i="1" s="1"/>
  <c r="CK470" i="1"/>
  <c r="U713" i="1"/>
  <c r="CK713" i="1" s="1"/>
  <c r="BZ349" i="1"/>
  <c r="BZ352" i="1" s="1"/>
  <c r="BZ354" i="1" s="1"/>
  <c r="W261" i="1"/>
  <c r="CA199" i="1"/>
  <c r="BZ193" i="1"/>
  <c r="BT792" i="1"/>
  <c r="BV792" i="1"/>
  <c r="BZ454" i="1"/>
  <c r="BZ426" i="1"/>
  <c r="BZ428" i="1" s="1"/>
  <c r="BV454" i="1"/>
  <c r="CK820" i="1"/>
  <c r="CK818" i="1"/>
  <c r="CK827" i="1"/>
  <c r="CK821" i="1"/>
  <c r="BT793" i="1"/>
  <c r="BT454" i="1"/>
  <c r="BT426" i="1"/>
  <c r="BT428" i="1" s="1"/>
  <c r="BZ793" i="1"/>
  <c r="CB349" i="1"/>
  <c r="CB352" i="1" s="1"/>
  <c r="CB354" i="1" s="1"/>
  <c r="CF441" i="1"/>
  <c r="K792" i="1"/>
  <c r="Z454" i="1"/>
  <c r="Z426" i="1"/>
  <c r="Z428" i="1" s="1"/>
  <c r="Z793" i="1"/>
  <c r="Z794" i="1"/>
  <c r="AA794" i="1"/>
  <c r="CN406" i="1"/>
  <c r="Z405" i="1"/>
  <c r="CN405" i="1" s="1"/>
  <c r="CN89" i="1" s="1"/>
  <c r="Y793" i="1"/>
  <c r="Y794" i="1"/>
  <c r="CE419" i="1"/>
  <c r="CE426" i="1" s="1"/>
  <c r="CE428" i="1" s="1"/>
  <c r="CE393" i="1"/>
  <c r="V792" i="1"/>
  <c r="CC611" i="1"/>
  <c r="CC146" i="1" s="1"/>
  <c r="E146" i="1"/>
  <c r="CF611" i="1"/>
  <c r="K146" i="1"/>
  <c r="K612" i="1"/>
  <c r="D793" i="1"/>
  <c r="D426" i="1"/>
  <c r="D428" i="1" s="1"/>
  <c r="D454" i="1"/>
  <c r="CL114" i="1"/>
  <c r="CL146" i="1"/>
  <c r="CD63" i="1"/>
  <c r="CC152" i="1"/>
  <c r="BV81" i="1"/>
  <c r="BV325" i="1"/>
  <c r="BV269" i="1"/>
  <c r="CN811" i="1"/>
  <c r="CN465" i="1"/>
  <c r="CN117" i="1"/>
  <c r="CH146" i="1"/>
  <c r="CI498" i="1"/>
  <c r="Q131" i="1"/>
  <c r="P131" i="1" s="1"/>
  <c r="P137" i="1" s="1"/>
  <c r="P839" i="1" s="1"/>
  <c r="CM454" i="1"/>
  <c r="CM426" i="1"/>
  <c r="CM428" i="1" s="1"/>
  <c r="T454" i="1"/>
  <c r="T426" i="1"/>
  <c r="T428" i="1" s="1"/>
  <c r="CG114" i="1"/>
  <c r="Y440" i="1"/>
  <c r="CM441" i="1"/>
  <c r="H792" i="1"/>
  <c r="H426" i="1"/>
  <c r="H428" i="1" s="1"/>
  <c r="T792" i="1"/>
  <c r="Z513" i="1"/>
  <c r="Z521" i="1"/>
  <c r="Z730" i="1"/>
  <c r="Z136" i="1"/>
  <c r="Z838" i="1" s="1"/>
  <c r="Z741" i="1"/>
  <c r="Z767" i="1" s="1"/>
  <c r="Z732" i="1"/>
  <c r="Z620" i="1"/>
  <c r="Z740" i="1"/>
  <c r="Z766" i="1" s="1"/>
  <c r="Z525" i="1"/>
  <c r="CN136" i="1"/>
  <c r="CN838" i="1" s="1"/>
  <c r="CL406" i="1"/>
  <c r="V405" i="1"/>
  <c r="CL405" i="1" s="1"/>
  <c r="CL89" i="1" s="1"/>
  <c r="V426" i="1"/>
  <c r="V428" i="1" s="1"/>
  <c r="V454" i="1"/>
  <c r="V793" i="1"/>
  <c r="CG819" i="1"/>
  <c r="CG812" i="1"/>
  <c r="CG154" i="1"/>
  <c r="CG825" i="1"/>
  <c r="CG813" i="1"/>
  <c r="CG816" i="1"/>
  <c r="CG822" i="1"/>
  <c r="CC145" i="1"/>
  <c r="CD154" i="1"/>
  <c r="CD813" i="1"/>
  <c r="CD816" i="1"/>
  <c r="CD812" i="1"/>
  <c r="CD822" i="1"/>
  <c r="CD825" i="1"/>
  <c r="CD819" i="1"/>
  <c r="CC393" i="1"/>
  <c r="CC419" i="1"/>
  <c r="CC426" i="1" s="1"/>
  <c r="CC428" i="1" s="1"/>
  <c r="D405" i="1"/>
  <c r="CC405" i="1" s="1"/>
  <c r="CC406" i="1"/>
  <c r="X485" i="1"/>
  <c r="X461" i="1"/>
  <c r="X463" i="1" s="1"/>
  <c r="CF813" i="1"/>
  <c r="CF154" i="1"/>
  <c r="CF812" i="1"/>
  <c r="CF816" i="1"/>
  <c r="CF822" i="1"/>
  <c r="CF819" i="1"/>
  <c r="CF825" i="1"/>
  <c r="CK406" i="1"/>
  <c r="U405" i="1"/>
  <c r="CK405" i="1" s="1"/>
  <c r="CK89" i="1" s="1"/>
  <c r="CM822" i="1"/>
  <c r="CM812" i="1"/>
  <c r="CM813" i="1"/>
  <c r="CM147" i="1"/>
  <c r="CM154" i="1"/>
  <c r="CM825" i="1"/>
  <c r="CM819" i="1"/>
  <c r="CM816" i="1"/>
  <c r="CK84" i="1"/>
  <c r="CK86" i="1"/>
  <c r="G738" i="1"/>
  <c r="G764" i="1" s="1"/>
  <c r="G637" i="1"/>
  <c r="G739" i="1" s="1"/>
  <c r="G765" i="1" s="1"/>
  <c r="CG393" i="1"/>
  <c r="CG419" i="1"/>
  <c r="CG426" i="1" s="1"/>
  <c r="CG428" i="1" s="1"/>
  <c r="T793" i="1"/>
  <c r="W793" i="1"/>
  <c r="W794" i="1"/>
  <c r="X794" i="1"/>
  <c r="CL441" i="1"/>
  <c r="W440" i="1"/>
  <c r="BS85" i="1"/>
  <c r="BS260" i="1"/>
  <c r="BS699" i="1" s="1"/>
  <c r="BS725" i="1" s="1"/>
  <c r="BZ374" i="1"/>
  <c r="BZ317" i="1"/>
  <c r="BZ380" i="1" s="1"/>
  <c r="Y136" i="1"/>
  <c r="Y838" i="1" s="1"/>
  <c r="Y620" i="1"/>
  <c r="Y730" i="1"/>
  <c r="Y732" i="1"/>
  <c r="Y521" i="1"/>
  <c r="Y513" i="1"/>
  <c r="Y525" i="1"/>
  <c r="CJ812" i="1"/>
  <c r="CJ822" i="1"/>
  <c r="CJ154" i="1"/>
  <c r="CJ816" i="1"/>
  <c r="CJ819" i="1"/>
  <c r="CJ825" i="1"/>
  <c r="CJ147" i="1"/>
  <c r="CJ813" i="1"/>
  <c r="CI822" i="1"/>
  <c r="CI154" i="1"/>
  <c r="CI825" i="1"/>
  <c r="CI816" i="1"/>
  <c r="CI819" i="1"/>
  <c r="CI812" i="1"/>
  <c r="CI813" i="1"/>
  <c r="CI826" i="1"/>
  <c r="CI821" i="1"/>
  <c r="CI827" i="1"/>
  <c r="CI814" i="1"/>
  <c r="CI818" i="1"/>
  <c r="CI116" i="1"/>
  <c r="CI824" i="1"/>
  <c r="CI817" i="1"/>
  <c r="CI820" i="1"/>
  <c r="CI823" i="1"/>
  <c r="CM84" i="1"/>
  <c r="CM86" i="1"/>
  <c r="CM699" i="1"/>
  <c r="CB84" i="1"/>
  <c r="CB810" i="1"/>
  <c r="CB113" i="1"/>
  <c r="CB86" i="1"/>
  <c r="CB118" i="1"/>
  <c r="CB808" i="1"/>
  <c r="CJ809" i="1"/>
  <c r="CJ112" i="1"/>
  <c r="CJ808" i="1"/>
  <c r="M454" i="1"/>
  <c r="M426" i="1"/>
  <c r="M428" i="1" s="1"/>
  <c r="M793" i="1"/>
  <c r="M792" i="1"/>
  <c r="CL154" i="1"/>
  <c r="CL813" i="1"/>
  <c r="CL819" i="1"/>
  <c r="CL825" i="1"/>
  <c r="CL816" i="1"/>
  <c r="CL822" i="1"/>
  <c r="CL812" i="1"/>
  <c r="CK819" i="1"/>
  <c r="CK822" i="1"/>
  <c r="CK812" i="1"/>
  <c r="CK154" i="1"/>
  <c r="CK825" i="1"/>
  <c r="CK813" i="1"/>
  <c r="CK816" i="1"/>
  <c r="CK147" i="1"/>
  <c r="CI147" i="1"/>
  <c r="W136" i="1"/>
  <c r="W838" i="1" s="1"/>
  <c r="W620" i="1"/>
  <c r="W525" i="1"/>
  <c r="W730" i="1"/>
  <c r="W732" i="1"/>
  <c r="W521" i="1"/>
  <c r="W513" i="1"/>
  <c r="CL498" i="1"/>
  <c r="W131" i="1"/>
  <c r="V131" i="1" s="1"/>
  <c r="V137" i="1" s="1"/>
  <c r="V839" i="1" s="1"/>
  <c r="CK791" i="1"/>
  <c r="CK98" i="1"/>
  <c r="CK430" i="1"/>
  <c r="T440" i="1"/>
  <c r="CK441" i="1"/>
  <c r="CL430" i="1"/>
  <c r="CL98" i="1"/>
  <c r="CM98" i="1"/>
  <c r="CL99" i="1"/>
  <c r="CL515" i="1"/>
  <c r="CL791" i="1"/>
  <c r="CL129" i="1"/>
  <c r="BS311" i="1"/>
  <c r="BS369" i="1" s="1"/>
  <c r="CA118" i="1"/>
  <c r="CA810" i="1"/>
  <c r="CA113" i="1"/>
  <c r="CA86" i="1"/>
  <c r="CA808" i="1"/>
  <c r="CA84" i="1"/>
  <c r="CQ146" i="1"/>
  <c r="CQ114" i="1"/>
  <c r="AH249" i="1"/>
  <c r="AH252" i="1"/>
  <c r="AH254" i="1" s="1"/>
  <c r="H817" i="1"/>
  <c r="H823" i="1"/>
  <c r="AE147" i="1"/>
  <c r="AE826" i="1"/>
  <c r="CI465" i="1"/>
  <c r="CI811" i="1"/>
  <c r="CI117" i="1"/>
  <c r="CI810" i="1"/>
  <c r="T740" i="1"/>
  <c r="T766" i="1" s="1"/>
  <c r="T521" i="1"/>
  <c r="T730" i="1"/>
  <c r="T525" i="1"/>
  <c r="T741" i="1"/>
  <c r="T767" i="1" s="1"/>
  <c r="T136" i="1"/>
  <c r="T838" i="1" s="1"/>
  <c r="T513" i="1"/>
  <c r="T620" i="1"/>
  <c r="T732" i="1"/>
  <c r="CG467" i="1"/>
  <c r="N109" i="1"/>
  <c r="S131" i="1"/>
  <c r="R131" i="1" s="1"/>
  <c r="R137" i="1" s="1"/>
  <c r="R839" i="1" s="1"/>
  <c r="CJ498" i="1"/>
  <c r="L826" i="1"/>
  <c r="L116" i="1"/>
  <c r="L820" i="1"/>
  <c r="U131" i="1"/>
  <c r="T131" i="1" s="1"/>
  <c r="T137" i="1" s="1"/>
  <c r="T839" i="1" s="1"/>
  <c r="CK498" i="1"/>
  <c r="CG86" i="1"/>
  <c r="CG84" i="1"/>
  <c r="CG113" i="1"/>
  <c r="CG118" i="1"/>
  <c r="CG238" i="1"/>
  <c r="CG811" i="1"/>
  <c r="CG808" i="1"/>
  <c r="CG112" i="1"/>
  <c r="CG809" i="1"/>
  <c r="CG117" i="1"/>
  <c r="CG810" i="1"/>
  <c r="BY171" i="1"/>
  <c r="BZ228" i="1" s="1"/>
  <c r="BU792" i="1"/>
  <c r="J794" i="1"/>
  <c r="CC114" i="1"/>
  <c r="F792" i="1"/>
  <c r="AH5" i="1"/>
  <c r="C4" i="31" s="1"/>
  <c r="CQ696" i="1"/>
  <c r="CI469" i="1"/>
  <c r="CI111" i="1" s="1"/>
  <c r="AI267" i="1"/>
  <c r="CQ63" i="1"/>
  <c r="CP152" i="1"/>
  <c r="CR57" i="1"/>
  <c r="K159" i="1"/>
  <c r="CF159" i="1" s="1"/>
  <c r="CG217" i="1" s="1"/>
  <c r="L216" i="1"/>
  <c r="CO265" i="1"/>
  <c r="CO88" i="1" s="1"/>
  <c r="CU565" i="1"/>
  <c r="Q136" i="1"/>
  <c r="Q838" i="1" s="1"/>
  <c r="Q741" i="1"/>
  <c r="Q767" i="1" s="1"/>
  <c r="Q732" i="1"/>
  <c r="Q525" i="1"/>
  <c r="Q740" i="1"/>
  <c r="Q766" i="1" s="1"/>
  <c r="Q521" i="1"/>
  <c r="Q730" i="1"/>
  <c r="Q513" i="1"/>
  <c r="Q620" i="1"/>
  <c r="CI419" i="1"/>
  <c r="CI393" i="1"/>
  <c r="P426" i="1"/>
  <c r="P428" i="1" s="1"/>
  <c r="P454" i="1"/>
  <c r="P792" i="1"/>
  <c r="K738" i="1"/>
  <c r="K637" i="1"/>
  <c r="K739" i="1" s="1"/>
  <c r="K765" i="1" s="1"/>
  <c r="G495" i="1"/>
  <c r="G498" i="1"/>
  <c r="CD500" i="1"/>
  <c r="CD495" i="1" s="1"/>
  <c r="BT238" i="1"/>
  <c r="BT112" i="1"/>
  <c r="BT811" i="1"/>
  <c r="BT89" i="1"/>
  <c r="BT117" i="1"/>
  <c r="BT809" i="1"/>
  <c r="CF99" i="1"/>
  <c r="CF791" i="1"/>
  <c r="CF430" i="1"/>
  <c r="CF393" i="1"/>
  <c r="CF419" i="1"/>
  <c r="BY795" i="1"/>
  <c r="BZ111" i="1"/>
  <c r="BY181" i="1"/>
  <c r="BZ109" i="1"/>
  <c r="BY177" i="1"/>
  <c r="BY114" i="1" s="1"/>
  <c r="BT63" i="1"/>
  <c r="BU265" i="1"/>
  <c r="BU88" i="1" s="1"/>
  <c r="BU63" i="1"/>
  <c r="BY787" i="1"/>
  <c r="BY740" i="1"/>
  <c r="BY766" i="1" s="1"/>
  <c r="BY525" i="1"/>
  <c r="BY788" i="1"/>
  <c r="BY783" i="1"/>
  <c r="BY732" i="1"/>
  <c r="BY741" i="1"/>
  <c r="BY767" i="1" s="1"/>
  <c r="BY620" i="1"/>
  <c r="BY136" i="1"/>
  <c r="BY838" i="1" s="1"/>
  <c r="BY521" i="1"/>
  <c r="BY730" i="1"/>
  <c r="BY513" i="1"/>
  <c r="G515" i="1"/>
  <c r="G405" i="1"/>
  <c r="CD405" i="1" s="1"/>
  <c r="CD406" i="1"/>
  <c r="CA322" i="1"/>
  <c r="CA323" i="1" s="1"/>
  <c r="CA317" i="1"/>
  <c r="CA380" i="1" s="1"/>
  <c r="BX426" i="1"/>
  <c r="BX428" i="1" s="1"/>
  <c r="BX794" i="1"/>
  <c r="BX454" i="1"/>
  <c r="BX792" i="1"/>
  <c r="CO117" i="1"/>
  <c r="CO465" i="1"/>
  <c r="CO811" i="1"/>
  <c r="L740" i="1"/>
  <c r="L766" i="1" s="1"/>
  <c r="L730" i="1"/>
  <c r="L732" i="1"/>
  <c r="L136" i="1"/>
  <c r="L838" i="1" s="1"/>
  <c r="L525" i="1"/>
  <c r="L741" i="1"/>
  <c r="L767" i="1" s="1"/>
  <c r="L513" i="1"/>
  <c r="L620" i="1"/>
  <c r="L521" i="1"/>
  <c r="CD99" i="1"/>
  <c r="CD430" i="1"/>
  <c r="CD791" i="1"/>
  <c r="F440" i="1"/>
  <c r="BW759" i="1"/>
  <c r="BW840" i="1"/>
  <c r="CG99" i="1"/>
  <c r="CG430" i="1"/>
  <c r="CG791" i="1"/>
  <c r="CG129" i="1"/>
  <c r="CG98" i="1"/>
  <c r="BS793" i="1"/>
  <c r="BS426" i="1"/>
  <c r="BS428" i="1" s="1"/>
  <c r="BS454" i="1"/>
  <c r="I58" i="1"/>
  <c r="CE192" i="1"/>
  <c r="CE58" i="1" s="1"/>
  <c r="BS265" i="1"/>
  <c r="BS88" i="1" s="1"/>
  <c r="BT265" i="1"/>
  <c r="BT88" i="1" s="1"/>
  <c r="BS152" i="1"/>
  <c r="BS63" i="1"/>
  <c r="BW322" i="1"/>
  <c r="BW323" i="1" s="1"/>
  <c r="BY317" i="1"/>
  <c r="BY322" i="1"/>
  <c r="BY323" i="1" s="1"/>
  <c r="CO114" i="1"/>
  <c r="CO146" i="1"/>
  <c r="CO98" i="1"/>
  <c r="CO430" i="1"/>
  <c r="CT546" i="1"/>
  <c r="Q792" i="1"/>
  <c r="Q454" i="1"/>
  <c r="Q426" i="1"/>
  <c r="Q428" i="1" s="1"/>
  <c r="Q793" i="1"/>
  <c r="CI468" i="1"/>
  <c r="CI110" i="1" s="1"/>
  <c r="P405" i="1"/>
  <c r="CI405" i="1" s="1"/>
  <c r="CI89" i="1" s="1"/>
  <c r="CI406" i="1"/>
  <c r="BS344" i="1"/>
  <c r="BS77" i="1"/>
  <c r="BT760" i="1"/>
  <c r="K454" i="1"/>
  <c r="K426" i="1"/>
  <c r="K428" i="1" s="1"/>
  <c r="K794" i="1"/>
  <c r="K405" i="1"/>
  <c r="CF405" i="1" s="1"/>
  <c r="CF406" i="1"/>
  <c r="BZ60" i="1"/>
  <c r="BZ49" i="1" s="1"/>
  <c r="BX173" i="1"/>
  <c r="BX166" i="1"/>
  <c r="BX164" i="1"/>
  <c r="BZ59" i="1"/>
  <c r="BZ48" i="1" s="1"/>
  <c r="BZ227" i="1"/>
  <c r="BZ232" i="1" s="1"/>
  <c r="BZ233" i="1" s="1"/>
  <c r="BY426" i="1"/>
  <c r="BY428" i="1" s="1"/>
  <c r="BY454" i="1"/>
  <c r="BY794" i="1"/>
  <c r="BY793" i="1"/>
  <c r="BZ794" i="1"/>
  <c r="BU793" i="1"/>
  <c r="BU426" i="1"/>
  <c r="BU428" i="1" s="1"/>
  <c r="BU454" i="1"/>
  <c r="BU794" i="1"/>
  <c r="BV794" i="1"/>
  <c r="BU732" i="1"/>
  <c r="BU136" i="1"/>
  <c r="BU838" i="1" s="1"/>
  <c r="BU740" i="1"/>
  <c r="BU766" i="1" s="1"/>
  <c r="BU521" i="1"/>
  <c r="BU513" i="1"/>
  <c r="BU525" i="1"/>
  <c r="BU741" i="1"/>
  <c r="BU767" i="1" s="1"/>
  <c r="BU620" i="1"/>
  <c r="BU788" i="1"/>
  <c r="BU730" i="1"/>
  <c r="BU787" i="1"/>
  <c r="BU783" i="1"/>
  <c r="J734" i="1"/>
  <c r="J761" i="1" s="1"/>
  <c r="J461" i="1"/>
  <c r="J463" i="1" s="1"/>
  <c r="CE822" i="1"/>
  <c r="CE819" i="1"/>
  <c r="CE813" i="1"/>
  <c r="CE816" i="1"/>
  <c r="CE825" i="1"/>
  <c r="CE812" i="1"/>
  <c r="CE154" i="1"/>
  <c r="CD393" i="1"/>
  <c r="CD129" i="1"/>
  <c r="CD419" i="1"/>
  <c r="G454" i="1"/>
  <c r="G426" i="1"/>
  <c r="G428" i="1" s="1"/>
  <c r="G792" i="1"/>
  <c r="D498" i="1"/>
  <c r="D495" i="1"/>
  <c r="D515" i="1"/>
  <c r="CC500" i="1"/>
  <c r="BX322" i="1"/>
  <c r="BX323" i="1" s="1"/>
  <c r="BX317" i="1"/>
  <c r="BS322" i="1"/>
  <c r="BS323" i="1" s="1"/>
  <c r="BU317" i="1"/>
  <c r="BU322" i="1"/>
  <c r="BU323" i="1" s="1"/>
  <c r="BW374" i="1"/>
  <c r="BX787" i="1"/>
  <c r="BX741" i="1"/>
  <c r="BX767" i="1" s="1"/>
  <c r="BX732" i="1"/>
  <c r="BX620" i="1"/>
  <c r="BX513" i="1"/>
  <c r="BX788" i="1"/>
  <c r="BX521" i="1"/>
  <c r="BX136" i="1"/>
  <c r="BX838" i="1" s="1"/>
  <c r="BX783" i="1"/>
  <c r="BX730" i="1"/>
  <c r="BX740" i="1"/>
  <c r="BX766" i="1" s="1"/>
  <c r="BX525" i="1"/>
  <c r="BZ783" i="1"/>
  <c r="BZ521" i="1"/>
  <c r="BZ788" i="1"/>
  <c r="BZ730" i="1"/>
  <c r="BZ136" i="1"/>
  <c r="BZ838" i="1" s="1"/>
  <c r="BZ787" i="1"/>
  <c r="BZ513" i="1"/>
  <c r="BZ732" i="1"/>
  <c r="BZ525" i="1"/>
  <c r="BZ740" i="1"/>
  <c r="BZ766" i="1" s="1"/>
  <c r="BZ741" i="1"/>
  <c r="BZ767" i="1" s="1"/>
  <c r="BZ620" i="1"/>
  <c r="CO822" i="1"/>
  <c r="CO154" i="1"/>
  <c r="CO816" i="1"/>
  <c r="CO819" i="1"/>
  <c r="CO812" i="1"/>
  <c r="CO147" i="1"/>
  <c r="CO825" i="1"/>
  <c r="CO813" i="1"/>
  <c r="BW794" i="1"/>
  <c r="I738" i="1"/>
  <c r="I764" i="1" s="1"/>
  <c r="I637" i="1"/>
  <c r="I739" i="1" s="1"/>
  <c r="I765" i="1" s="1"/>
  <c r="F461" i="1"/>
  <c r="F463" i="1" s="1"/>
  <c r="F734" i="1"/>
  <c r="F761" i="1" s="1"/>
  <c r="F483" i="1"/>
  <c r="K793" i="1"/>
  <c r="L440" i="1"/>
  <c r="CG441" i="1"/>
  <c r="C55" i="1"/>
  <c r="C198" i="1"/>
  <c r="C61" i="1" s="1"/>
  <c r="BS783" i="1"/>
  <c r="BS788" i="1"/>
  <c r="BS732" i="1"/>
  <c r="BS787" i="1"/>
  <c r="BS730" i="1"/>
  <c r="BS521" i="1"/>
  <c r="BS513" i="1"/>
  <c r="BS525" i="1"/>
  <c r="BS740" i="1"/>
  <c r="BS766" i="1" s="1"/>
  <c r="BS620" i="1"/>
  <c r="BS136" i="1"/>
  <c r="BS838" i="1" s="1"/>
  <c r="BS741" i="1"/>
  <c r="BS767" i="1" s="1"/>
  <c r="I55" i="1"/>
  <c r="CE186" i="1"/>
  <c r="CE55" i="1" s="1"/>
  <c r="I198" i="1"/>
  <c r="G430" i="1"/>
  <c r="G793" i="1" s="1"/>
  <c r="G99" i="1"/>
  <c r="G441" i="1"/>
  <c r="G440" i="1" s="1"/>
  <c r="H96" i="1" s="1"/>
  <c r="I98" i="1"/>
  <c r="G98" i="1"/>
  <c r="CA374" i="1"/>
  <c r="CQ53" i="1"/>
  <c r="CP217" i="1"/>
  <c r="CP53" i="1"/>
  <c r="AF249" i="1"/>
  <c r="AF252" i="1"/>
  <c r="AF254" i="1" s="1"/>
  <c r="CO441" i="1"/>
  <c r="AC440" i="1"/>
  <c r="CN810" i="1"/>
  <c r="CN233" i="1"/>
  <c r="CN110" i="1"/>
  <c r="CN808" i="1"/>
  <c r="CN109" i="1"/>
  <c r="CV600" i="1"/>
  <c r="CQ606" i="1"/>
  <c r="AH606" i="1"/>
  <c r="AI606" i="1" s="1"/>
  <c r="AJ606" i="1" s="1"/>
  <c r="AK606" i="1" s="1"/>
  <c r="AL606" i="1" s="1"/>
  <c r="AM606" i="1" s="1"/>
  <c r="AN606" i="1" s="1"/>
  <c r="AO606" i="1" s="1"/>
  <c r="AP606" i="1" s="1"/>
  <c r="AQ606" i="1" s="1"/>
  <c r="AR606" i="1" s="1"/>
  <c r="AS606" i="1" s="1"/>
  <c r="AT606" i="1" s="1"/>
  <c r="AU606" i="1" s="1"/>
  <c r="AV606" i="1" s="1"/>
  <c r="AW606" i="1" s="1"/>
  <c r="AX606" i="1" s="1"/>
  <c r="AA61" i="1"/>
  <c r="CN198" i="1"/>
  <c r="CN61" i="1" s="1"/>
  <c r="BV787" i="1"/>
  <c r="BV788" i="1"/>
  <c r="BV513" i="1"/>
  <c r="BV730" i="1"/>
  <c r="BV620" i="1"/>
  <c r="BV783" i="1"/>
  <c r="BV740" i="1"/>
  <c r="BV766" i="1" s="1"/>
  <c r="BV521" i="1"/>
  <c r="BV741" i="1"/>
  <c r="BV767" i="1" s="1"/>
  <c r="BV732" i="1"/>
  <c r="BV136" i="1"/>
  <c r="BV838" i="1" s="1"/>
  <c r="BV525" i="1"/>
  <c r="BY294" i="1"/>
  <c r="BY349" i="1"/>
  <c r="AB406" i="1"/>
  <c r="AB419" i="1"/>
  <c r="AB393" i="1"/>
  <c r="AB99" i="1"/>
  <c r="AD424" i="1"/>
  <c r="AD459" i="1" s="1"/>
  <c r="AD488" i="1" s="1"/>
  <c r="AF412" i="1"/>
  <c r="AD408" i="1"/>
  <c r="CP412" i="1"/>
  <c r="CP424" i="1" s="1"/>
  <c r="CP459" i="1" s="1"/>
  <c r="CP488" i="1" s="1"/>
  <c r="AD502" i="1"/>
  <c r="CV571" i="1"/>
  <c r="CU601" i="1"/>
  <c r="O760" i="1"/>
  <c r="R483" i="1"/>
  <c r="R734" i="1"/>
  <c r="R761" i="1" s="1"/>
  <c r="R461" i="1"/>
  <c r="R463" i="1" s="1"/>
  <c r="CO738" i="1"/>
  <c r="CO764" i="1" s="1"/>
  <c r="CF465" i="1"/>
  <c r="CF129" i="1"/>
  <c r="BW294" i="1"/>
  <c r="BW349" i="1"/>
  <c r="AF267" i="1"/>
  <c r="AF87" i="1" s="1"/>
  <c r="AF88" i="1"/>
  <c r="CQ98" i="1"/>
  <c r="CQ430" i="1"/>
  <c r="CQ791" i="1"/>
  <c r="CO628" i="1"/>
  <c r="U734" i="1"/>
  <c r="U761" i="1" s="1"/>
  <c r="U483" i="1"/>
  <c r="U461" i="1"/>
  <c r="U463" i="1" s="1"/>
  <c r="CV555" i="1"/>
  <c r="CH426" i="1"/>
  <c r="CH428" i="1" s="1"/>
  <c r="L96" i="1"/>
  <c r="CF440" i="1"/>
  <c r="CG96" i="1" s="1"/>
  <c r="AC61" i="1"/>
  <c r="CO198" i="1"/>
  <c r="CO61" i="1" s="1"/>
  <c r="BU294" i="1"/>
  <c r="BU349" i="1"/>
  <c r="CM198" i="1"/>
  <c r="CM61" i="1" s="1"/>
  <c r="Y61" i="1"/>
  <c r="AB500" i="1"/>
  <c r="AB130" i="1"/>
  <c r="CO109" i="1"/>
  <c r="CO233" i="1"/>
  <c r="CO810" i="1"/>
  <c r="CO808" i="1"/>
  <c r="CO110" i="1"/>
  <c r="C728" i="1"/>
  <c r="C757" i="1" s="1"/>
  <c r="C729" i="1"/>
  <c r="C758" i="1" s="1"/>
  <c r="C527" i="1"/>
  <c r="C622" i="1" s="1"/>
  <c r="L491" i="1"/>
  <c r="J490" i="1"/>
  <c r="J493" i="1" s="1"/>
  <c r="J129" i="1"/>
  <c r="CA294" i="1"/>
  <c r="CA349" i="1"/>
  <c r="AH267" i="1"/>
  <c r="CR176" i="1"/>
  <c r="CL63" i="1"/>
  <c r="CL152" i="1"/>
  <c r="CR208" i="1"/>
  <c r="CR63" i="1" s="1"/>
  <c r="AE267" i="1"/>
  <c r="AE87" i="1" s="1"/>
  <c r="AE88" i="1"/>
  <c r="CR103" i="1"/>
  <c r="CR434" i="1"/>
  <c r="CU584" i="1"/>
  <c r="CV540" i="1"/>
  <c r="CT499" i="1"/>
  <c r="CP440" i="1"/>
  <c r="CQ96" i="1" s="1"/>
  <c r="AF96" i="1"/>
  <c r="CR102" i="1"/>
  <c r="CU151" i="1"/>
  <c r="CR170" i="1"/>
  <c r="CW583" i="1"/>
  <c r="CU577" i="1"/>
  <c r="AG96" i="1"/>
  <c r="CQ440" i="1"/>
  <c r="CV682" i="1"/>
  <c r="AB699" i="1"/>
  <c r="CX706" i="1"/>
  <c r="CV681" i="1"/>
  <c r="CV677" i="1"/>
  <c r="CR56" i="1"/>
  <c r="CV566" i="1"/>
  <c r="CV123" i="1"/>
  <c r="CV602" i="1"/>
  <c r="AE495" i="1"/>
  <c r="AE498" i="1"/>
  <c r="CU678" i="1"/>
  <c r="CQ233" i="1"/>
  <c r="CQ111" i="1"/>
  <c r="CV603" i="1"/>
  <c r="CT539" i="1"/>
  <c r="CT588" i="1"/>
  <c r="CU573" i="1"/>
  <c r="CU138" i="1"/>
  <c r="CV92" i="1"/>
  <c r="CR161" i="1"/>
  <c r="CR217" i="1" s="1"/>
  <c r="CR578" i="1"/>
  <c r="CR52" i="1"/>
  <c r="P71" i="7"/>
  <c r="P72" i="7"/>
  <c r="CR142" i="1"/>
  <c r="CR167" i="1"/>
  <c r="CR223" i="1" s="1"/>
  <c r="CR186" i="1"/>
  <c r="T9" i="16"/>
  <c r="S10" i="16"/>
  <c r="CR53" i="1"/>
  <c r="AC321" i="1" l="1"/>
  <c r="AW696" i="1"/>
  <c r="AB321" i="1"/>
  <c r="CH820" i="1"/>
  <c r="K498" i="1"/>
  <c r="K131" i="1" s="1"/>
  <c r="J131" i="1" s="1"/>
  <c r="J137" i="1" s="1"/>
  <c r="J839" i="1" s="1"/>
  <c r="AL1" i="1"/>
  <c r="G2" i="31" s="1"/>
  <c r="CO351" i="1"/>
  <c r="CO363" i="1"/>
  <c r="CO305" i="1" s="1"/>
  <c r="AC339" i="1"/>
  <c r="G2" i="1"/>
  <c r="H725" i="1" s="1"/>
  <c r="CO368" i="1"/>
  <c r="CO310" i="1" s="1"/>
  <c r="AB72" i="1"/>
  <c r="AB291" i="1"/>
  <c r="AB294" i="1" s="1"/>
  <c r="AF379" i="1"/>
  <c r="AF319" i="1" s="1"/>
  <c r="AF322" i="1" s="1"/>
  <c r="AF323" i="1" s="1"/>
  <c r="AC358" i="1"/>
  <c r="CO358" i="1" s="1"/>
  <c r="CO300" i="1" s="1"/>
  <c r="CO73" i="1" s="1"/>
  <c r="AB306" i="1"/>
  <c r="AB71" i="1"/>
  <c r="AB73" i="1"/>
  <c r="AC306" i="1"/>
  <c r="AC76" i="1" s="1"/>
  <c r="CO350" i="1"/>
  <c r="CO333" i="1"/>
  <c r="CO275" i="1" s="1"/>
  <c r="CO70" i="1" s="1"/>
  <c r="CO331" i="1"/>
  <c r="CO273" i="1" s="1"/>
  <c r="CO68" i="1" s="1"/>
  <c r="AC71" i="1"/>
  <c r="AB339" i="1"/>
  <c r="AC291" i="1"/>
  <c r="AC294" i="1" s="1"/>
  <c r="AC295" i="1" s="1"/>
  <c r="AC353" i="1" s="1"/>
  <c r="AC315" i="1"/>
  <c r="AC362" i="1"/>
  <c r="CO362" i="1" s="1"/>
  <c r="CO304" i="1" s="1"/>
  <c r="CO376" i="1"/>
  <c r="CO318" i="1" s="1"/>
  <c r="CO80" i="1" s="1"/>
  <c r="AC332" i="1"/>
  <c r="AC274" i="1" s="1"/>
  <c r="AC69" i="1" s="1"/>
  <c r="AC314" i="1"/>
  <c r="AD304" i="1" s="1"/>
  <c r="AE304" i="1" s="1"/>
  <c r="AF304" i="1" s="1"/>
  <c r="AG304" i="1" s="1"/>
  <c r="AB311" i="1"/>
  <c r="AB78" i="1" s="1"/>
  <c r="AC357" i="1"/>
  <c r="CO357" i="1" s="1"/>
  <c r="CO299" i="1" s="1"/>
  <c r="CO72" i="1" s="1"/>
  <c r="AB314" i="1"/>
  <c r="AB372" i="1" s="1"/>
  <c r="AB344" i="1"/>
  <c r="AC301" i="1"/>
  <c r="CE3" i="1"/>
  <c r="AC344" i="1"/>
  <c r="AB315" i="1"/>
  <c r="AB373" i="1" s="1"/>
  <c r="AB301" i="1"/>
  <c r="AB359" i="1" s="1"/>
  <c r="AC311" i="1"/>
  <c r="AC78" i="1" s="1"/>
  <c r="CQ330" i="1"/>
  <c r="CQ272" i="1" s="1"/>
  <c r="CQ67" i="1" s="1"/>
  <c r="M513" i="1"/>
  <c r="M136" i="1"/>
  <c r="M838" i="1" s="1"/>
  <c r="AF75" i="1"/>
  <c r="AG321" i="1"/>
  <c r="AG323" i="1" s="1"/>
  <c r="AG269" i="1" s="1"/>
  <c r="CH86" i="1"/>
  <c r="AJ33" i="1"/>
  <c r="AJ68" i="1"/>
  <c r="AJ40" i="1"/>
  <c r="AJ38" i="1"/>
  <c r="AJ32" i="1"/>
  <c r="AJ39" i="1"/>
  <c r="AJ30" i="1"/>
  <c r="AJ31" i="1"/>
  <c r="AJ29" i="1"/>
  <c r="AJ70" i="1"/>
  <c r="AJ67" i="1"/>
  <c r="AJ132" i="1"/>
  <c r="AW502" i="1"/>
  <c r="AW424" i="1"/>
  <c r="AW459" i="1" s="1"/>
  <c r="AW488" i="1" s="1"/>
  <c r="AW408" i="1"/>
  <c r="R17" i="31" s="1"/>
  <c r="F33" i="1"/>
  <c r="F68" i="1"/>
  <c r="F273" i="1" s="1"/>
  <c r="F40" i="1"/>
  <c r="F38" i="1"/>
  <c r="F70" i="1"/>
  <c r="F275" i="1" s="1"/>
  <c r="F67" i="1"/>
  <c r="F272" i="1" s="1"/>
  <c r="F32" i="1"/>
  <c r="F31" i="1"/>
  <c r="F29" i="1"/>
  <c r="F39" i="1"/>
  <c r="F30" i="1"/>
  <c r="BV39" i="1"/>
  <c r="BV31" i="1"/>
  <c r="BV40" i="1"/>
  <c r="BV32" i="1"/>
  <c r="BV29" i="1"/>
  <c r="BV30" i="1"/>
  <c r="BV33" i="1"/>
  <c r="BV38" i="1"/>
  <c r="BW31" i="1"/>
  <c r="BW40" i="1"/>
  <c r="BW38" i="1"/>
  <c r="BW32" i="1"/>
  <c r="BW33" i="1"/>
  <c r="BW39" i="1"/>
  <c r="BW29" i="1"/>
  <c r="BW30" i="1"/>
  <c r="M521" i="1"/>
  <c r="CG521" i="1" s="1"/>
  <c r="CG136" i="1"/>
  <c r="CG838" i="1" s="1"/>
  <c r="M740" i="1"/>
  <c r="M766" i="1" s="1"/>
  <c r="M730" i="1"/>
  <c r="M840" i="1" s="1"/>
  <c r="M525" i="1"/>
  <c r="M729" i="1" s="1"/>
  <c r="M758" i="1" s="1"/>
  <c r="CF1" i="1"/>
  <c r="CF3" i="1" s="1"/>
  <c r="M732" i="1"/>
  <c r="M760" i="1" s="1"/>
  <c r="M741" i="1"/>
  <c r="M767" i="1" s="1"/>
  <c r="G3" i="1"/>
  <c r="CQ372" i="1"/>
  <c r="CQ314" i="1" s="1"/>
  <c r="AF374" i="1"/>
  <c r="AG344" i="1"/>
  <c r="CQ344" i="1" s="1"/>
  <c r="CQ286" i="1" s="1"/>
  <c r="CQ77" i="1" s="1"/>
  <c r="CE498" i="1"/>
  <c r="CQ373" i="1"/>
  <c r="CQ315" i="1" s="1"/>
  <c r="BW317" i="1"/>
  <c r="BW380" i="1" s="1"/>
  <c r="AG374" i="1"/>
  <c r="CQ351" i="1"/>
  <c r="AF77" i="1"/>
  <c r="H1" i="1"/>
  <c r="CQ333" i="1"/>
  <c r="CQ275" i="1" s="1"/>
  <c r="CQ70" i="1" s="1"/>
  <c r="AG339" i="1"/>
  <c r="CQ339" i="1" s="1"/>
  <c r="CQ281" i="1" s="1"/>
  <c r="CQ75" i="1" s="1"/>
  <c r="AG291" i="1"/>
  <c r="AG294" i="1" s="1"/>
  <c r="AG295" i="1" s="1"/>
  <c r="AG353" i="1" s="1"/>
  <c r="BT261" i="1"/>
  <c r="BT376" i="1" s="1"/>
  <c r="CG515" i="1"/>
  <c r="CG783" i="1" s="1"/>
  <c r="AF332" i="1"/>
  <c r="AF274" i="1" s="1"/>
  <c r="AF69" i="1" s="1"/>
  <c r="CQ331" i="1"/>
  <c r="CQ273" i="1" s="1"/>
  <c r="CQ68" i="1" s="1"/>
  <c r="AG332" i="1"/>
  <c r="AG274" i="1" s="1"/>
  <c r="AG69" i="1" s="1"/>
  <c r="AF291" i="1"/>
  <c r="AF294" i="1" s="1"/>
  <c r="AF295" i="1" s="1"/>
  <c r="AF353" i="1" s="1"/>
  <c r="AF71" i="1"/>
  <c r="CQ376" i="1"/>
  <c r="CQ318" i="1" s="1"/>
  <c r="CQ80" i="1" s="1"/>
  <c r="BV317" i="1"/>
  <c r="BV375" i="1" s="1"/>
  <c r="BV377" i="1" s="1"/>
  <c r="BV391" i="1" s="1"/>
  <c r="I794" i="1"/>
  <c r="CC129" i="1"/>
  <c r="BT374" i="1"/>
  <c r="O734" i="1"/>
  <c r="O761" i="1" s="1"/>
  <c r="AD379" i="1"/>
  <c r="CP379" i="1" s="1"/>
  <c r="E483" i="1"/>
  <c r="E490" i="1" s="1"/>
  <c r="E493" i="1" s="1"/>
  <c r="CG498" i="1"/>
  <c r="BS364" i="1"/>
  <c r="CQ237" i="1"/>
  <c r="CQ808" i="1" s="1"/>
  <c r="AU424" i="1"/>
  <c r="AU459" i="1" s="1"/>
  <c r="AU488" i="1" s="1"/>
  <c r="AU502" i="1"/>
  <c r="AU500" i="1" s="1"/>
  <c r="AU408" i="1"/>
  <c r="P17" i="31" s="1"/>
  <c r="CQ553" i="1"/>
  <c r="X136" i="1"/>
  <c r="X838" i="1" s="1"/>
  <c r="CP350" i="1"/>
  <c r="CF63" i="1"/>
  <c r="AC637" i="1"/>
  <c r="AC739" i="1" s="1"/>
  <c r="AC765" i="1" s="1"/>
  <c r="D309" i="1"/>
  <c r="D367" i="1" s="1"/>
  <c r="AD334" i="1"/>
  <c r="P732" i="1"/>
  <c r="P760" i="1" s="1"/>
  <c r="K730" i="1"/>
  <c r="K759" i="1" s="1"/>
  <c r="W61" i="1"/>
  <c r="CC99" i="1"/>
  <c r="CC430" i="1"/>
  <c r="CD794" i="1" s="1"/>
  <c r="D300" i="1"/>
  <c r="D358" i="1" s="1"/>
  <c r="CD98" i="1"/>
  <c r="K620" i="1"/>
  <c r="CC791" i="1"/>
  <c r="CI136" i="1"/>
  <c r="CI838" i="1" s="1"/>
  <c r="AD344" i="1"/>
  <c r="CP344" i="1" s="1"/>
  <c r="CP286" i="1" s="1"/>
  <c r="CP77" i="1" s="1"/>
  <c r="CM136" i="1"/>
  <c r="CM838" i="1" s="1"/>
  <c r="X521" i="1"/>
  <c r="CM521" i="1" s="1"/>
  <c r="CE441" i="1"/>
  <c r="X620" i="1"/>
  <c r="X525" i="1"/>
  <c r="CM525" i="1" s="1"/>
  <c r="X732" i="1"/>
  <c r="X760" i="1" s="1"/>
  <c r="X730" i="1"/>
  <c r="X731" i="1" s="1"/>
  <c r="P440" i="1"/>
  <c r="Q96" i="1" s="1"/>
  <c r="AE334" i="1"/>
  <c r="AE332" i="1" s="1"/>
  <c r="AE274" i="1" s="1"/>
  <c r="AE69" i="1" s="1"/>
  <c r="P730" i="1"/>
  <c r="P759" i="1" s="1"/>
  <c r="P513" i="1"/>
  <c r="K525" i="1"/>
  <c r="K729" i="1" s="1"/>
  <c r="K758" i="1" s="1"/>
  <c r="K740" i="1"/>
  <c r="K766" i="1" s="1"/>
  <c r="P740" i="1"/>
  <c r="P766" i="1" s="1"/>
  <c r="K513" i="1"/>
  <c r="BX1" i="1"/>
  <c r="BY1" i="1" s="1"/>
  <c r="CP86" i="1"/>
  <c r="F794" i="1"/>
  <c r="P620" i="1"/>
  <c r="K136" i="1"/>
  <c r="K838" i="1" s="1"/>
  <c r="BW2" i="1"/>
  <c r="BX725" i="1" s="1"/>
  <c r="E794" i="1"/>
  <c r="P741" i="1"/>
  <c r="P767" i="1" s="1"/>
  <c r="K521" i="1"/>
  <c r="CF521" i="1" s="1"/>
  <c r="CP237" i="1"/>
  <c r="CP110" i="1" s="1"/>
  <c r="P521" i="1"/>
  <c r="CI521" i="1" s="1"/>
  <c r="K741" i="1"/>
  <c r="K767" i="1" s="1"/>
  <c r="CM515" i="1"/>
  <c r="CM513" i="1" s="1"/>
  <c r="CJ406" i="1"/>
  <c r="K495" i="1"/>
  <c r="CF500" i="1"/>
  <c r="CF495" i="1" s="1"/>
  <c r="E440" i="1"/>
  <c r="CC441" i="1"/>
  <c r="I730" i="1"/>
  <c r="I759" i="1" s="1"/>
  <c r="CJ98" i="1"/>
  <c r="Y131" i="1"/>
  <c r="X131" i="1" s="1"/>
  <c r="X137" i="1" s="1"/>
  <c r="X839" i="1" s="1"/>
  <c r="AE77" i="1"/>
  <c r="CP376" i="1"/>
  <c r="CP318" i="1" s="1"/>
  <c r="CP80" i="1" s="1"/>
  <c r="I732" i="1"/>
  <c r="I760" i="1" s="1"/>
  <c r="CI515" i="1"/>
  <c r="CI783" i="1" s="1"/>
  <c r="CH136" i="1"/>
  <c r="CH838" i="1" s="1"/>
  <c r="AD291" i="1"/>
  <c r="AD294" i="1" s="1"/>
  <c r="I741" i="1"/>
  <c r="I767" i="1" s="1"/>
  <c r="I525" i="1"/>
  <c r="I728" i="1" s="1"/>
  <c r="I757" i="1" s="1"/>
  <c r="CI430" i="1"/>
  <c r="CJ794" i="1" s="1"/>
  <c r="CC498" i="1"/>
  <c r="CC131" i="1" s="1"/>
  <c r="CI99" i="1"/>
  <c r="CI791" i="1"/>
  <c r="CH118" i="1"/>
  <c r="CP333" i="1"/>
  <c r="CP275" i="1" s="1"/>
  <c r="CP70" i="1" s="1"/>
  <c r="CP331" i="1"/>
  <c r="CP273" i="1" s="1"/>
  <c r="CP68" i="1" s="1"/>
  <c r="AD637" i="1"/>
  <c r="AD739" i="1" s="1"/>
  <c r="AD765" i="1" s="1"/>
  <c r="D281" i="1"/>
  <c r="D75" i="1" s="1"/>
  <c r="D350" i="1"/>
  <c r="CP351" i="1"/>
  <c r="D85" i="1"/>
  <c r="D351" i="1"/>
  <c r="AD339" i="1"/>
  <c r="D117" i="1"/>
  <c r="D112" i="1"/>
  <c r="CL814" i="1"/>
  <c r="H483" i="1"/>
  <c r="H129" i="1" s="1"/>
  <c r="AE291" i="1"/>
  <c r="AE294" i="1" s="1"/>
  <c r="AE295" i="1" s="1"/>
  <c r="AE353" i="1" s="1"/>
  <c r="D330" i="1"/>
  <c r="CC244" i="1"/>
  <c r="D276" i="1"/>
  <c r="D334" i="1" s="1"/>
  <c r="D93" i="1"/>
  <c r="D305" i="1"/>
  <c r="D363" i="1" s="1"/>
  <c r="O483" i="1"/>
  <c r="O129" i="1" s="1"/>
  <c r="H734" i="1"/>
  <c r="H761" i="1" s="1"/>
  <c r="CE791" i="1"/>
  <c r="CP330" i="1"/>
  <c r="CP272" i="1" s="1"/>
  <c r="CP67" i="1" s="1"/>
  <c r="E136" i="1"/>
  <c r="E838" i="1" s="1"/>
  <c r="CE515" i="1"/>
  <c r="CE513" i="1" s="1"/>
  <c r="J732" i="1"/>
  <c r="K733" i="1" s="1"/>
  <c r="CF98" i="1"/>
  <c r="CE98" i="1"/>
  <c r="CE430" i="1"/>
  <c r="CE794" i="1" s="1"/>
  <c r="CE129" i="1"/>
  <c r="AE321" i="1"/>
  <c r="AE323" i="1" s="1"/>
  <c r="AS424" i="1"/>
  <c r="AS459" i="1" s="1"/>
  <c r="AS488" i="1" s="1"/>
  <c r="AS408" i="1"/>
  <c r="N17" i="31" s="1"/>
  <c r="AS502" i="1"/>
  <c r="AS500" i="1" s="1"/>
  <c r="CV701" i="1"/>
  <c r="CG63" i="1"/>
  <c r="I620" i="1"/>
  <c r="CH84" i="1"/>
  <c r="CB377" i="1"/>
  <c r="CB391" i="1" s="1"/>
  <c r="D84" i="1"/>
  <c r="D87" i="1"/>
  <c r="I740" i="1"/>
  <c r="I766" i="1" s="1"/>
  <c r="P525" i="1"/>
  <c r="P729" i="1" s="1"/>
  <c r="P758" i="1" s="1"/>
  <c r="N732" i="1"/>
  <c r="O733" i="1" s="1"/>
  <c r="CK792" i="1"/>
  <c r="E350" i="1"/>
  <c r="H198" i="1"/>
  <c r="H61" i="1" s="1"/>
  <c r="W603" i="1"/>
  <c r="CL603" i="1" s="1"/>
  <c r="CL604" i="1" s="1"/>
  <c r="AE75" i="1"/>
  <c r="AE339" i="1"/>
  <c r="E305" i="1"/>
  <c r="E363" i="1" s="1"/>
  <c r="Q794" i="1"/>
  <c r="E525" i="1"/>
  <c r="E782" i="1" s="1"/>
  <c r="CC234" i="1"/>
  <c r="CC111" i="1" s="1"/>
  <c r="E620" i="1"/>
  <c r="H620" i="1"/>
  <c r="E741" i="1"/>
  <c r="E767" i="1" s="1"/>
  <c r="E732" i="1"/>
  <c r="E760" i="1" s="1"/>
  <c r="P794" i="1"/>
  <c r="CH129" i="1"/>
  <c r="N740" i="1"/>
  <c r="N766" i="1" s="1"/>
  <c r="CH430" i="1"/>
  <c r="CH793" i="1" s="1"/>
  <c r="CH791" i="1"/>
  <c r="E740" i="1"/>
  <c r="E766" i="1" s="1"/>
  <c r="E513" i="1"/>
  <c r="E730" i="1"/>
  <c r="E759" i="1" s="1"/>
  <c r="O794" i="1"/>
  <c r="CC257" i="1"/>
  <c r="CC236" i="1"/>
  <c r="E809" i="1"/>
  <c r="CC703" i="1"/>
  <c r="E276" i="1"/>
  <c r="E334" i="1" s="1"/>
  <c r="CC25" i="1"/>
  <c r="CC697" i="1"/>
  <c r="CC698" i="1" s="1"/>
  <c r="CC545" i="1"/>
  <c r="E810" i="1"/>
  <c r="E281" i="1"/>
  <c r="E75" i="1" s="1"/>
  <c r="CC704" i="1"/>
  <c r="CC224" i="1"/>
  <c r="E300" i="1"/>
  <c r="CC544" i="1"/>
  <c r="CC738" i="1" s="1"/>
  <c r="CC223" i="1"/>
  <c r="E310" i="1"/>
  <c r="E368" i="1" s="1"/>
  <c r="E304" i="1"/>
  <c r="E362" i="1" s="1"/>
  <c r="CD198" i="1"/>
  <c r="CD61" i="1" s="1"/>
  <c r="BT269" i="1"/>
  <c r="AD738" i="1"/>
  <c r="AD764" i="1" s="1"/>
  <c r="CC227" i="1"/>
  <c r="D296" i="1"/>
  <c r="D379" i="1" s="1"/>
  <c r="D809" i="1"/>
  <c r="D118" i="1"/>
  <c r="D810" i="1"/>
  <c r="D808" i="1"/>
  <c r="D811" i="1"/>
  <c r="E785" i="1"/>
  <c r="C5" i="1"/>
  <c r="C86" i="1" s="1"/>
  <c r="E790" i="1"/>
  <c r="E86" i="1"/>
  <c r="E85" i="1"/>
  <c r="CH454" i="1"/>
  <c r="CH483" i="1" s="1"/>
  <c r="CH490" i="1" s="1"/>
  <c r="CH493" i="1" s="1"/>
  <c r="D788" i="1"/>
  <c r="CI98" i="1"/>
  <c r="CG198" i="1"/>
  <c r="CG61" i="1" s="1"/>
  <c r="O440" i="1"/>
  <c r="P96" i="1" s="1"/>
  <c r="CH498" i="1"/>
  <c r="AH553" i="1"/>
  <c r="AH561" i="1" s="1"/>
  <c r="CC248" i="1"/>
  <c r="CC219" i="1"/>
  <c r="CC258" i="1"/>
  <c r="CC701" i="1"/>
  <c r="CC702" i="1" s="1"/>
  <c r="D113" i="1"/>
  <c r="CC259" i="1"/>
  <c r="CC85" i="1" s="1"/>
  <c r="CC266" i="1"/>
  <c r="CC262" i="1"/>
  <c r="CC233" i="1"/>
  <c r="CC86" i="1" s="1"/>
  <c r="CC228" i="1"/>
  <c r="CC242" i="1"/>
  <c r="D86" i="1"/>
  <c r="D310" i="1"/>
  <c r="D368" i="1" s="1"/>
  <c r="D304" i="1"/>
  <c r="D362" i="1" s="1"/>
  <c r="D790" i="1"/>
  <c r="D286" i="1"/>
  <c r="D77" i="1" s="1"/>
  <c r="D97" i="1"/>
  <c r="E789" i="1"/>
  <c r="E112" i="1"/>
  <c r="E787" i="1"/>
  <c r="E808" i="1"/>
  <c r="CJ454" i="1"/>
  <c r="CJ461" i="1" s="1"/>
  <c r="CJ463" i="1" s="1"/>
  <c r="CB79" i="1"/>
  <c r="CH98" i="1"/>
  <c r="CL823" i="1"/>
  <c r="F198" i="1"/>
  <c r="F61" i="1" s="1"/>
  <c r="N730" i="1"/>
  <c r="N840" i="1" s="1"/>
  <c r="N521" i="1"/>
  <c r="CH521" i="1" s="1"/>
  <c r="N620" i="1"/>
  <c r="AC500" i="1"/>
  <c r="AC498" i="1" s="1"/>
  <c r="CO502" i="1"/>
  <c r="CO130" i="1" s="1"/>
  <c r="CL821" i="1"/>
  <c r="N513" i="1"/>
  <c r="N136" i="1"/>
  <c r="N838" i="1" s="1"/>
  <c r="N525" i="1"/>
  <c r="N729" i="1" s="1"/>
  <c r="N758" i="1" s="1"/>
  <c r="O61" i="1"/>
  <c r="AK502" i="1"/>
  <c r="AK130" i="1" s="1"/>
  <c r="AQ424" i="1"/>
  <c r="AQ459" i="1" s="1"/>
  <c r="AQ488" i="1" s="1"/>
  <c r="AQ502" i="1"/>
  <c r="AQ408" i="1"/>
  <c r="L17" i="31" s="1"/>
  <c r="CO637" i="1"/>
  <c r="CO739" i="1" s="1"/>
  <c r="CO765" i="1" s="1"/>
  <c r="AG636" i="1"/>
  <c r="CQ636" i="1" s="1"/>
  <c r="CC696" i="1"/>
  <c r="CC238" i="1"/>
  <c r="CC260" i="1"/>
  <c r="E296" i="1"/>
  <c r="E379" i="1" s="1"/>
  <c r="E319" i="1" s="1"/>
  <c r="E89" i="1"/>
  <c r="H730" i="1"/>
  <c r="AK424" i="1"/>
  <c r="AK459" i="1" s="1"/>
  <c r="AK488" i="1" s="1"/>
  <c r="AG561" i="1"/>
  <c r="AG628" i="1" s="1"/>
  <c r="CQ628" i="1" s="1"/>
  <c r="CC700" i="1"/>
  <c r="CC215" i="1"/>
  <c r="CC254" i="1"/>
  <c r="CC222" i="1"/>
  <c r="CC252" i="1"/>
  <c r="CC235" i="1"/>
  <c r="CC23" i="1"/>
  <c r="CC229" i="1"/>
  <c r="E376" i="1"/>
  <c r="E113" i="1"/>
  <c r="E87" i="1"/>
  <c r="E299" i="1"/>
  <c r="E72" i="1" s="1"/>
  <c r="E783" i="1"/>
  <c r="E93" i="1"/>
  <c r="E118" i="1"/>
  <c r="CC243" i="1"/>
  <c r="CC132" i="1"/>
  <c r="CC253" i="1"/>
  <c r="CC232" i="1"/>
  <c r="CC24" i="1"/>
  <c r="CC237" i="1"/>
  <c r="CC811" i="1" s="1"/>
  <c r="CC239" i="1"/>
  <c r="CC212" i="1" s="1"/>
  <c r="CC267" i="1"/>
  <c r="CC87" i="1" s="1"/>
  <c r="CC249" i="1"/>
  <c r="CC26" i="1"/>
  <c r="CC247" i="1"/>
  <c r="E88" i="1"/>
  <c r="E351" i="1"/>
  <c r="E97" i="1"/>
  <c r="E117" i="1"/>
  <c r="E309" i="1"/>
  <c r="E788" i="1"/>
  <c r="E811" i="1"/>
  <c r="E286" i="1"/>
  <c r="E77" i="1" s="1"/>
  <c r="E330" i="1"/>
  <c r="CC261" i="1"/>
  <c r="CC265" i="1"/>
  <c r="CC88" i="1" s="1"/>
  <c r="CJ118" i="1"/>
  <c r="CB81" i="1"/>
  <c r="CA483" i="1"/>
  <c r="CA490" i="1" s="1"/>
  <c r="CA493" i="1" s="1"/>
  <c r="CA510" i="1" s="1"/>
  <c r="CH827" i="1"/>
  <c r="CB269" i="1"/>
  <c r="CK198" i="1"/>
  <c r="CK61" i="1" s="1"/>
  <c r="AP318" i="1"/>
  <c r="D88" i="1"/>
  <c r="CN116" i="1"/>
  <c r="CN818" i="1"/>
  <c r="S513" i="1"/>
  <c r="S136" i="1"/>
  <c r="S838" i="1" s="1"/>
  <c r="S521" i="1"/>
  <c r="CJ521" i="1" s="1"/>
  <c r="CJ136" i="1"/>
  <c r="CJ838" i="1" s="1"/>
  <c r="CH826" i="1"/>
  <c r="S620" i="1"/>
  <c r="S732" i="1"/>
  <c r="S760" i="1" s="1"/>
  <c r="CI113" i="1"/>
  <c r="CN826" i="1"/>
  <c r="CN817" i="1"/>
  <c r="CN823" i="1"/>
  <c r="CN814" i="1"/>
  <c r="CL116" i="1"/>
  <c r="CB380" i="1"/>
  <c r="S741" i="1"/>
  <c r="S767" i="1" s="1"/>
  <c r="S740" i="1"/>
  <c r="S766" i="1" s="1"/>
  <c r="CN820" i="1"/>
  <c r="CN827" i="1"/>
  <c r="CN824" i="1"/>
  <c r="CL824" i="1"/>
  <c r="CL817" i="1"/>
  <c r="CN821" i="1"/>
  <c r="CH116" i="1"/>
  <c r="AG635" i="1"/>
  <c r="AG738" i="1" s="1"/>
  <c r="AG764" i="1" s="1"/>
  <c r="AF637" i="1"/>
  <c r="AF739" i="1" s="1"/>
  <c r="AF765" i="1" s="1"/>
  <c r="J740" i="1"/>
  <c r="J766" i="1" s="1"/>
  <c r="I513" i="1"/>
  <c r="I136" i="1"/>
  <c r="I838" i="1" s="1"/>
  <c r="BW782" i="1"/>
  <c r="S525" i="1"/>
  <c r="CJ525" i="1" s="1"/>
  <c r="CJ728" i="1" s="1"/>
  <c r="CJ757" i="1" s="1"/>
  <c r="CL147" i="1"/>
  <c r="BT52" i="1"/>
  <c r="CL826" i="1"/>
  <c r="CL818" i="1"/>
  <c r="CL827" i="1"/>
  <c r="AE515" i="1"/>
  <c r="AE789" i="1" s="1"/>
  <c r="CL628" i="1"/>
  <c r="F525" i="1"/>
  <c r="F728" i="1" s="1"/>
  <c r="F757" i="1" s="1"/>
  <c r="F741" i="1"/>
  <c r="F767" i="1" s="1"/>
  <c r="CB759" i="1"/>
  <c r="F732" i="1"/>
  <c r="F760" i="1" s="1"/>
  <c r="F521" i="1"/>
  <c r="H513" i="1"/>
  <c r="H521" i="1"/>
  <c r="CE521" i="1" s="1"/>
  <c r="T794" i="1"/>
  <c r="S792" i="1"/>
  <c r="AI408" i="1"/>
  <c r="D17" i="31" s="1"/>
  <c r="AK408" i="1"/>
  <c r="F17" i="31" s="1"/>
  <c r="AI502" i="1"/>
  <c r="AI424" i="1"/>
  <c r="AI459" i="1" s="1"/>
  <c r="AI488" i="1" s="1"/>
  <c r="F136" i="1"/>
  <c r="F838" i="1" s="1"/>
  <c r="F730" i="1"/>
  <c r="F840" i="1" s="1"/>
  <c r="AA490" i="1"/>
  <c r="AA493" i="1" s="1"/>
  <c r="AA510" i="1" s="1"/>
  <c r="H525" i="1"/>
  <c r="H729" i="1" s="1"/>
  <c r="H758" i="1" s="1"/>
  <c r="H732" i="1"/>
  <c r="H760" i="1" s="1"/>
  <c r="H740" i="1"/>
  <c r="H766" i="1" s="1"/>
  <c r="CD136" i="1"/>
  <c r="CD838" i="1" s="1"/>
  <c r="E461" i="1"/>
  <c r="E463" i="1" s="1"/>
  <c r="AG408" i="1"/>
  <c r="AG393" i="1" s="1"/>
  <c r="AG502" i="1"/>
  <c r="AG500" i="1" s="1"/>
  <c r="AG498" i="1" s="1"/>
  <c r="AG424" i="1"/>
  <c r="AG459" i="1" s="1"/>
  <c r="AG488" i="1" s="1"/>
  <c r="CE136" i="1"/>
  <c r="CE838" i="1" s="1"/>
  <c r="F513" i="1"/>
  <c r="F740" i="1"/>
  <c r="F766" i="1" s="1"/>
  <c r="H741" i="1"/>
  <c r="H767" i="1" s="1"/>
  <c r="CB782" i="1"/>
  <c r="CH515" i="1"/>
  <c r="CH620" i="1" s="1"/>
  <c r="S794" i="1"/>
  <c r="AE393" i="1"/>
  <c r="AO502" i="1"/>
  <c r="AO424" i="1"/>
  <c r="AO459" i="1" s="1"/>
  <c r="AO488" i="1" s="1"/>
  <c r="AO408" i="1"/>
  <c r="J17" i="31" s="1"/>
  <c r="CM628" i="1"/>
  <c r="CM602" i="1"/>
  <c r="Y603" i="1"/>
  <c r="CM603" i="1" s="1"/>
  <c r="S61" i="1"/>
  <c r="D198" i="1"/>
  <c r="D61" i="1" s="1"/>
  <c r="CH814" i="1"/>
  <c r="CH817" i="1"/>
  <c r="CH823" i="1"/>
  <c r="CI118" i="1"/>
  <c r="AE406" i="1"/>
  <c r="AE405" i="1" s="1"/>
  <c r="AE89" i="1" s="1"/>
  <c r="AE419" i="1"/>
  <c r="CH824" i="1"/>
  <c r="CO408" i="1"/>
  <c r="CO99" i="1" s="1"/>
  <c r="CB729" i="1"/>
  <c r="CB758" i="1" s="1"/>
  <c r="CL86" i="1"/>
  <c r="AC406" i="1"/>
  <c r="AC405" i="1" s="1"/>
  <c r="AC89" i="1" s="1"/>
  <c r="AC419" i="1"/>
  <c r="AC792" i="1" s="1"/>
  <c r="AC99" i="1"/>
  <c r="CH818" i="1"/>
  <c r="CH821" i="1"/>
  <c r="CI84" i="1"/>
  <c r="CN440" i="1"/>
  <c r="CO96" i="1" s="1"/>
  <c r="CU735" i="1"/>
  <c r="AQ56" i="31" s="1"/>
  <c r="CG468" i="1"/>
  <c r="CG110" i="1" s="1"/>
  <c r="C129" i="1"/>
  <c r="CJ792" i="1"/>
  <c r="BW490" i="1"/>
  <c r="BW493" i="1" s="1"/>
  <c r="BW510" i="1" s="1"/>
  <c r="L461" i="1"/>
  <c r="L463" i="1" s="1"/>
  <c r="CJ793" i="1"/>
  <c r="L483" i="1"/>
  <c r="L490" i="1" s="1"/>
  <c r="L493" i="1" s="1"/>
  <c r="L510" i="1" s="1"/>
  <c r="CB733" i="1"/>
  <c r="S731" i="1"/>
  <c r="M53" i="1"/>
  <c r="S793" i="1"/>
  <c r="S454" i="1"/>
  <c r="H160" i="1"/>
  <c r="I54" i="1" s="1"/>
  <c r="H265" i="1"/>
  <c r="I63" i="1"/>
  <c r="C624" i="1"/>
  <c r="C629" i="1" s="1"/>
  <c r="C631" i="1" s="1"/>
  <c r="C639" i="1" s="1"/>
  <c r="BS52" i="1"/>
  <c r="Y461" i="1"/>
  <c r="Y463" i="1" s="1"/>
  <c r="CL118" i="1"/>
  <c r="BT215" i="1"/>
  <c r="R759" i="1"/>
  <c r="CL84" i="1"/>
  <c r="I158" i="1"/>
  <c r="CE158" i="1" s="1"/>
  <c r="J159" i="1"/>
  <c r="K217" i="1" s="1"/>
  <c r="CE160" i="1"/>
  <c r="CF54" i="1" s="1"/>
  <c r="J218" i="1"/>
  <c r="CW575" i="1"/>
  <c r="N461" i="1"/>
  <c r="N463" i="1" s="1"/>
  <c r="CV574" i="1"/>
  <c r="BS117" i="1"/>
  <c r="BS89" i="1"/>
  <c r="Y483" i="1"/>
  <c r="Y129" i="1" s="1"/>
  <c r="CP113" i="1"/>
  <c r="H63" i="1"/>
  <c r="H152" i="1"/>
  <c r="CA734" i="1"/>
  <c r="CA761" i="1" s="1"/>
  <c r="CF498" i="1"/>
  <c r="CJ84" i="1"/>
  <c r="CA760" i="1"/>
  <c r="CJ86" i="1"/>
  <c r="AM502" i="1"/>
  <c r="AM500" i="1" s="1"/>
  <c r="AM424" i="1"/>
  <c r="AM459" i="1" s="1"/>
  <c r="AM488" i="1" s="1"/>
  <c r="AM408" i="1"/>
  <c r="H17" i="31" s="1"/>
  <c r="BT81" i="1"/>
  <c r="CF136" i="1"/>
  <c r="CF838" i="1" s="1"/>
  <c r="J620" i="1"/>
  <c r="J730" i="1"/>
  <c r="N483" i="1"/>
  <c r="N129" i="1" s="1"/>
  <c r="J136" i="1"/>
  <c r="J838" i="1" s="1"/>
  <c r="J525" i="1"/>
  <c r="J510" i="1" s="1"/>
  <c r="J741" i="1"/>
  <c r="J767" i="1" s="1"/>
  <c r="J513" i="1"/>
  <c r="CA840" i="1"/>
  <c r="CA728" i="1"/>
  <c r="CA757" i="1" s="1"/>
  <c r="BS112" i="1"/>
  <c r="CE613" i="1"/>
  <c r="BS291" i="1"/>
  <c r="BS294" i="1" s="1"/>
  <c r="BS295" i="1" s="1"/>
  <c r="BS353" i="1" s="1"/>
  <c r="CB490" i="1"/>
  <c r="CB493" i="1" s="1"/>
  <c r="CB510" i="1" s="1"/>
  <c r="W461" i="1"/>
  <c r="W463" i="1" s="1"/>
  <c r="W734" i="1"/>
  <c r="W761" i="1" s="1"/>
  <c r="W483" i="1"/>
  <c r="C760" i="1"/>
  <c r="BS811" i="1"/>
  <c r="BS809" i="1"/>
  <c r="AI88" i="1"/>
  <c r="CP252" i="1"/>
  <c r="CP254" i="1" s="1"/>
  <c r="CP244" i="1"/>
  <c r="CC192" i="1"/>
  <c r="CC58" i="1" s="1"/>
  <c r="E58" i="1"/>
  <c r="CR215" i="1"/>
  <c r="AI113" i="1"/>
  <c r="CR267" i="1"/>
  <c r="CR253" i="1"/>
  <c r="AI286" i="1"/>
  <c r="AI344" i="1" s="1"/>
  <c r="CQ249" i="1"/>
  <c r="CQ252" i="1"/>
  <c r="CQ254" i="1" s="1"/>
  <c r="E55" i="1"/>
  <c r="CC186" i="1"/>
  <c r="CC55" i="1" s="1"/>
  <c r="E198" i="1"/>
  <c r="CA729" i="1"/>
  <c r="CA758" i="1" s="1"/>
  <c r="CB731" i="1"/>
  <c r="R733" i="1"/>
  <c r="BT294" i="1"/>
  <c r="BT295" i="1" s="1"/>
  <c r="BT353" i="1" s="1"/>
  <c r="C840" i="1"/>
  <c r="CP147" i="1"/>
  <c r="AI85" i="1"/>
  <c r="CK602" i="1"/>
  <c r="U603" i="1"/>
  <c r="CK603" i="1" s="1"/>
  <c r="AH87" i="1"/>
  <c r="CK454" i="1"/>
  <c r="CK734" i="1" s="1"/>
  <c r="CK761" i="1" s="1"/>
  <c r="CN792" i="1"/>
  <c r="BT729" i="1"/>
  <c r="BT758" i="1" s="1"/>
  <c r="CK793" i="1"/>
  <c r="AI87" i="1"/>
  <c r="AI97" i="1"/>
  <c r="CC454" i="1"/>
  <c r="CC461" i="1" s="1"/>
  <c r="CC463" i="1" s="1"/>
  <c r="AI276" i="1"/>
  <c r="AI71" i="1" s="1"/>
  <c r="C731" i="1"/>
  <c r="AI86" i="1"/>
  <c r="AI111" i="1"/>
  <c r="AI315" i="1"/>
  <c r="AI373" i="1" s="1"/>
  <c r="AI112" i="1"/>
  <c r="AI281" i="1"/>
  <c r="AI75" i="1" s="1"/>
  <c r="AI84" i="1"/>
  <c r="AI117" i="1"/>
  <c r="AI93" i="1"/>
  <c r="AI808" i="1"/>
  <c r="AI118" i="1"/>
  <c r="AI110" i="1"/>
  <c r="AI109" i="1"/>
  <c r="AI790" i="1"/>
  <c r="AI376" i="1"/>
  <c r="CN426" i="1"/>
  <c r="CN428" i="1" s="1"/>
  <c r="CJ740" i="1"/>
  <c r="CJ766" i="1" s="1"/>
  <c r="BT728" i="1"/>
  <c r="BT757" i="1" s="1"/>
  <c r="CN454" i="1"/>
  <c r="CN461" i="1" s="1"/>
  <c r="CN463" i="1" s="1"/>
  <c r="CJ788" i="1"/>
  <c r="CK794" i="1"/>
  <c r="AI810" i="1"/>
  <c r="AI296" i="1"/>
  <c r="AI379" i="1" s="1"/>
  <c r="D6" i="31" s="1"/>
  <c r="D376" i="1"/>
  <c r="AI811" i="1"/>
  <c r="J198" i="1"/>
  <c r="J61" i="1" s="1"/>
  <c r="CP118" i="1"/>
  <c r="O759" i="1"/>
  <c r="CP84" i="1"/>
  <c r="BW729" i="1"/>
  <c r="BW758" i="1" s="1"/>
  <c r="CN521" i="1"/>
  <c r="CJ730" i="1"/>
  <c r="CJ759" i="1" s="1"/>
  <c r="CJ785" i="1"/>
  <c r="V728" i="1"/>
  <c r="V757" i="1" s="1"/>
  <c r="CJ513" i="1"/>
  <c r="CJ783" i="1"/>
  <c r="BT840" i="1"/>
  <c r="CJ732" i="1"/>
  <c r="CJ760" i="1" s="1"/>
  <c r="CJ789" i="1"/>
  <c r="CL521" i="1"/>
  <c r="CS536" i="1"/>
  <c r="CS623" i="1" s="1"/>
  <c r="AK623" i="1"/>
  <c r="AI350" i="1"/>
  <c r="AI791" i="1"/>
  <c r="AI809" i="1"/>
  <c r="AI314" i="1"/>
  <c r="AI372" i="1" s="1"/>
  <c r="AI351" i="1"/>
  <c r="AB792" i="1"/>
  <c r="R728" i="1"/>
  <c r="R757" i="1" s="1"/>
  <c r="CN794" i="1"/>
  <c r="O728" i="1"/>
  <c r="O757" i="1" s="1"/>
  <c r="AH333" i="1"/>
  <c r="AH88" i="1"/>
  <c r="CV576" i="1"/>
  <c r="T96" i="1"/>
  <c r="CJ440" i="1"/>
  <c r="CK96" i="1" s="1"/>
  <c r="CR554" i="1"/>
  <c r="AJ554" i="1"/>
  <c r="AK554" i="1" s="1"/>
  <c r="AL554" i="1" s="1"/>
  <c r="AM554" i="1" s="1"/>
  <c r="AN554" i="1" s="1"/>
  <c r="AO554" i="1" s="1"/>
  <c r="AP554" i="1" s="1"/>
  <c r="AQ554" i="1" s="1"/>
  <c r="AR554" i="1" s="1"/>
  <c r="AS554" i="1" s="1"/>
  <c r="AT554" i="1" s="1"/>
  <c r="AU554" i="1" s="1"/>
  <c r="AV554" i="1" s="1"/>
  <c r="AW554" i="1" s="1"/>
  <c r="AX554" i="1" s="1"/>
  <c r="AY554" i="1" s="1"/>
  <c r="CI792" i="1"/>
  <c r="CL793" i="1"/>
  <c r="R731" i="1"/>
  <c r="CD147" i="1"/>
  <c r="CD613" i="1"/>
  <c r="AK3" i="1"/>
  <c r="F3" i="31" s="1"/>
  <c r="AK2" i="1"/>
  <c r="AL725" i="1" s="1"/>
  <c r="CO267" i="1"/>
  <c r="CO87" i="1" s="1"/>
  <c r="AJ737" i="1"/>
  <c r="AJ763" i="1" s="1"/>
  <c r="AA728" i="1"/>
  <c r="AA757" i="1" s="1"/>
  <c r="AA729" i="1"/>
  <c r="AA758" i="1" s="1"/>
  <c r="K61" i="1"/>
  <c r="CF198" i="1"/>
  <c r="CF61" i="1" s="1"/>
  <c r="AI330" i="1"/>
  <c r="CN513" i="1"/>
  <c r="CN789" i="1"/>
  <c r="CN620" i="1"/>
  <c r="CN740" i="1"/>
  <c r="CN766" i="1" s="1"/>
  <c r="CN730" i="1"/>
  <c r="CN783" i="1"/>
  <c r="CN732" i="1"/>
  <c r="CN760" i="1" s="1"/>
  <c r="CN785" i="1"/>
  <c r="CN841" i="1" s="1"/>
  <c r="CN788" i="1"/>
  <c r="D783" i="1"/>
  <c r="D787" i="1"/>
  <c r="D89" i="1"/>
  <c r="CD515" i="1"/>
  <c r="CD620" i="1" s="1"/>
  <c r="CE454" i="1"/>
  <c r="CE483" i="1" s="1"/>
  <c r="CE490" i="1" s="1"/>
  <c r="CE493" i="1" s="1"/>
  <c r="CG454" i="1"/>
  <c r="CG483" i="1" s="1"/>
  <c r="CG490" i="1" s="1"/>
  <c r="CG493" i="1" s="1"/>
  <c r="CG793" i="1"/>
  <c r="CL426" i="1"/>
  <c r="CL428" i="1" s="1"/>
  <c r="X490" i="1"/>
  <c r="AI275" i="1"/>
  <c r="AI333" i="1" s="1"/>
  <c r="CL792" i="1"/>
  <c r="CC613" i="1"/>
  <c r="CL794" i="1"/>
  <c r="E131" i="1"/>
  <c r="D131" i="1" s="1"/>
  <c r="D137" i="1" s="1"/>
  <c r="D839" i="1" s="1"/>
  <c r="CP636" i="1"/>
  <c r="M820" i="1"/>
  <c r="M817" i="1"/>
  <c r="M823" i="1"/>
  <c r="M826" i="1"/>
  <c r="M116" i="1"/>
  <c r="BT734" i="1"/>
  <c r="BT761" i="1" s="1"/>
  <c r="BT461" i="1"/>
  <c r="BT463" i="1" s="1"/>
  <c r="BT483" i="1"/>
  <c r="BV483" i="1"/>
  <c r="BV461" i="1"/>
  <c r="BV463" i="1" s="1"/>
  <c r="BV734" i="1"/>
  <c r="BV761" i="1" s="1"/>
  <c r="BZ483" i="1"/>
  <c r="BZ461" i="1"/>
  <c r="BZ463" i="1" s="1"/>
  <c r="BZ734" i="1"/>
  <c r="BZ761" i="1" s="1"/>
  <c r="CK809" i="1"/>
  <c r="CK113" i="1"/>
  <c r="CK112" i="1"/>
  <c r="CK808" i="1"/>
  <c r="U620" i="1"/>
  <c r="U740" i="1"/>
  <c r="U766" i="1" s="1"/>
  <c r="U513" i="1"/>
  <c r="U730" i="1"/>
  <c r="CK136" i="1"/>
  <c r="CK838" i="1" s="1"/>
  <c r="U136" i="1"/>
  <c r="U838" i="1" s="1"/>
  <c r="U521" i="1"/>
  <c r="CK521" i="1" s="1"/>
  <c r="U741" i="1"/>
  <c r="U767" i="1" s="1"/>
  <c r="U732" i="1"/>
  <c r="U525" i="1"/>
  <c r="CC792" i="1"/>
  <c r="BZ199" i="1"/>
  <c r="BY193" i="1"/>
  <c r="CK465" i="1"/>
  <c r="CK117" i="1"/>
  <c r="CK515" i="1"/>
  <c r="CK129" i="1"/>
  <c r="CK811" i="1"/>
  <c r="CK810" i="1"/>
  <c r="CR696" i="1"/>
  <c r="AH331" i="1"/>
  <c r="BS261" i="1"/>
  <c r="BS376" i="1" s="1"/>
  <c r="Z728" i="1"/>
  <c r="Z757" i="1" s="1"/>
  <c r="CN525" i="1"/>
  <c r="Z729" i="1"/>
  <c r="Z758" i="1" s="1"/>
  <c r="AA731" i="1"/>
  <c r="Z840" i="1"/>
  <c r="Z759" i="1"/>
  <c r="D461" i="1"/>
  <c r="D463" i="1" s="1"/>
  <c r="D734" i="1"/>
  <c r="D761" i="1" s="1"/>
  <c r="D483" i="1"/>
  <c r="CE792" i="1"/>
  <c r="V734" i="1"/>
  <c r="V761" i="1" s="1"/>
  <c r="V483" i="1"/>
  <c r="V461" i="1"/>
  <c r="V463" i="1" s="1"/>
  <c r="AA733" i="1"/>
  <c r="Z760" i="1"/>
  <c r="Z96" i="1"/>
  <c r="CM440" i="1"/>
  <c r="CN96" i="1" s="1"/>
  <c r="T734" i="1"/>
  <c r="T761" i="1" s="1"/>
  <c r="T483" i="1"/>
  <c r="T461" i="1"/>
  <c r="T463" i="1" s="1"/>
  <c r="CM734" i="1"/>
  <c r="CM761" i="1" s="1"/>
  <c r="CM461" i="1"/>
  <c r="CM463" i="1" s="1"/>
  <c r="CM483" i="1"/>
  <c r="CM490" i="1" s="1"/>
  <c r="CM493" i="1" s="1"/>
  <c r="CF147" i="1"/>
  <c r="K826" i="1"/>
  <c r="K116" i="1"/>
  <c r="K817" i="1"/>
  <c r="K820" i="1"/>
  <c r="K823" i="1"/>
  <c r="CF146" i="1"/>
  <c r="Z734" i="1"/>
  <c r="Z761" i="1" s="1"/>
  <c r="Z483" i="1"/>
  <c r="Z461" i="1"/>
  <c r="Z463" i="1" s="1"/>
  <c r="BS78" i="1"/>
  <c r="BS316" i="1"/>
  <c r="CL788" i="1"/>
  <c r="CL730" i="1"/>
  <c r="CL732" i="1"/>
  <c r="CL760" i="1" s="1"/>
  <c r="CL513" i="1"/>
  <c r="CL783" i="1"/>
  <c r="CL620" i="1"/>
  <c r="U96" i="1"/>
  <c r="CK440" i="1"/>
  <c r="CL96" i="1" s="1"/>
  <c r="W733" i="1"/>
  <c r="W760" i="1"/>
  <c r="W728" i="1"/>
  <c r="W757" i="1" s="1"/>
  <c r="W729" i="1"/>
  <c r="W758" i="1" s="1"/>
  <c r="CL525" i="1"/>
  <c r="Y729" i="1"/>
  <c r="Y758" i="1" s="1"/>
  <c r="Y728" i="1"/>
  <c r="Y757" i="1" s="1"/>
  <c r="Y760" i="1"/>
  <c r="Z733" i="1"/>
  <c r="CM794" i="1"/>
  <c r="AI273" i="1"/>
  <c r="AI331" i="1" s="1"/>
  <c r="BZ79" i="1"/>
  <c r="BZ375" i="1"/>
  <c r="BZ377" i="1" s="1"/>
  <c r="BZ391" i="1" s="1"/>
  <c r="CL440" i="1"/>
  <c r="CM96" i="1" s="1"/>
  <c r="X96" i="1"/>
  <c r="CG792" i="1"/>
  <c r="CD792" i="1"/>
  <c r="W759" i="1"/>
  <c r="W840" i="1"/>
  <c r="W731" i="1"/>
  <c r="M734" i="1"/>
  <c r="M761" i="1" s="1"/>
  <c r="M461" i="1"/>
  <c r="M463" i="1" s="1"/>
  <c r="M483" i="1"/>
  <c r="Y759" i="1"/>
  <c r="Y840" i="1"/>
  <c r="Z731" i="1"/>
  <c r="CL734" i="1"/>
  <c r="CL761" i="1" s="1"/>
  <c r="CL483" i="1"/>
  <c r="CL490" i="1" s="1"/>
  <c r="CL461" i="1"/>
  <c r="CL463" i="1" s="1"/>
  <c r="T729" i="1"/>
  <c r="T758" i="1" s="1"/>
  <c r="T728" i="1"/>
  <c r="T757" i="1" s="1"/>
  <c r="S759" i="1"/>
  <c r="S840" i="1"/>
  <c r="T760" i="1"/>
  <c r="T759" i="1"/>
  <c r="T731" i="1"/>
  <c r="T840" i="1"/>
  <c r="L217" i="1"/>
  <c r="CR216" i="1"/>
  <c r="CR132" i="1"/>
  <c r="CR222" i="1"/>
  <c r="CR59" i="1"/>
  <c r="CR48" i="1" s="1"/>
  <c r="CR218" i="1"/>
  <c r="AH376" i="1"/>
  <c r="AH810" i="1"/>
  <c r="AH276" i="1"/>
  <c r="AH350" i="1"/>
  <c r="AH85" i="1"/>
  <c r="AH330" i="1"/>
  <c r="CR236" i="1"/>
  <c r="CR703" i="1"/>
  <c r="AH296" i="1"/>
  <c r="AH112" i="1"/>
  <c r="AH109" i="1"/>
  <c r="AH809" i="1"/>
  <c r="AH286" i="1"/>
  <c r="AH791" i="1"/>
  <c r="AH808" i="1"/>
  <c r="AH351" i="1"/>
  <c r="CR24" i="1"/>
  <c r="AH84" i="1"/>
  <c r="AH118" i="1"/>
  <c r="CR25" i="1"/>
  <c r="CR704" i="1"/>
  <c r="CR235" i="1"/>
  <c r="AH314" i="1"/>
  <c r="AH372" i="1" s="1"/>
  <c r="AH811" i="1"/>
  <c r="AH93" i="1"/>
  <c r="AH111" i="1"/>
  <c r="AH117" i="1"/>
  <c r="AH281" i="1"/>
  <c r="AH97" i="1"/>
  <c r="AH110" i="1"/>
  <c r="AH315" i="1"/>
  <c r="AH373" i="1" s="1"/>
  <c r="AH790" i="1"/>
  <c r="CR128" i="1"/>
  <c r="CR737" i="1" s="1"/>
  <c r="CR763" i="1" s="1"/>
  <c r="CR26" i="1"/>
  <c r="AH86" i="1"/>
  <c r="AH113" i="1"/>
  <c r="CR23" i="1"/>
  <c r="L53" i="1"/>
  <c r="CG53" i="1"/>
  <c r="BS325" i="1"/>
  <c r="BS81" i="1"/>
  <c r="BS269" i="1"/>
  <c r="BU325" i="1"/>
  <c r="BU81" i="1"/>
  <c r="BU269" i="1"/>
  <c r="BW269" i="1"/>
  <c r="BW325" i="1"/>
  <c r="BW81" i="1"/>
  <c r="CE198" i="1"/>
  <c r="CE61" i="1" s="1"/>
  <c r="I61" i="1"/>
  <c r="BS728" i="1"/>
  <c r="BS757" i="1" s="1"/>
  <c r="BS527" i="1"/>
  <c r="BS622" i="1" s="1"/>
  <c r="BS624" i="1" s="1"/>
  <c r="BS729" i="1"/>
  <c r="BS758" i="1" s="1"/>
  <c r="BS782" i="1"/>
  <c r="BZ760" i="1"/>
  <c r="BZ733" i="1"/>
  <c r="BZ731" i="1"/>
  <c r="BZ840" i="1"/>
  <c r="BZ759" i="1"/>
  <c r="BX728" i="1"/>
  <c r="BX757" i="1" s="1"/>
  <c r="BX729" i="1"/>
  <c r="BX758" i="1" s="1"/>
  <c r="BX782" i="1"/>
  <c r="BX840" i="1"/>
  <c r="BX759" i="1"/>
  <c r="BX731" i="1"/>
  <c r="CA269" i="1"/>
  <c r="CA325" i="1"/>
  <c r="CA81" i="1"/>
  <c r="BU375" i="1"/>
  <c r="BU377" i="1" s="1"/>
  <c r="BU79" i="1"/>
  <c r="BU380" i="1"/>
  <c r="BX79" i="1"/>
  <c r="BX375" i="1"/>
  <c r="BX377" i="1" s="1"/>
  <c r="BX391" i="1" s="1"/>
  <c r="BX380" i="1"/>
  <c r="CC495" i="1"/>
  <c r="CC515" i="1"/>
  <c r="H794" i="1"/>
  <c r="G461" i="1"/>
  <c r="G463" i="1" s="1"/>
  <c r="G734" i="1"/>
  <c r="G761" i="1" s="1"/>
  <c r="G483" i="1"/>
  <c r="BU733" i="1"/>
  <c r="BU760" i="1"/>
  <c r="BY222" i="1"/>
  <c r="BY56" i="1"/>
  <c r="BX165" i="1"/>
  <c r="BY223" i="1" s="1"/>
  <c r="BX172" i="1"/>
  <c r="BX170" i="1"/>
  <c r="BX176" i="1" s="1"/>
  <c r="BX610" i="1" s="1"/>
  <c r="BX611" i="1" s="1"/>
  <c r="Q734" i="1"/>
  <c r="Q761" i="1" s="1"/>
  <c r="Q483" i="1"/>
  <c r="Q461" i="1"/>
  <c r="Q463" i="1" s="1"/>
  <c r="BS483" i="1"/>
  <c r="BS734" i="1"/>
  <c r="BS761" i="1" s="1"/>
  <c r="BS461" i="1"/>
  <c r="BS463" i="1" s="1"/>
  <c r="CD441" i="1"/>
  <c r="L840" i="1"/>
  <c r="L759" i="1"/>
  <c r="CP818" i="1"/>
  <c r="CP817" i="1"/>
  <c r="CP116" i="1"/>
  <c r="CP827" i="1"/>
  <c r="CP826" i="1"/>
  <c r="CP821" i="1"/>
  <c r="CP814" i="1"/>
  <c r="CP820" i="1"/>
  <c r="CP824" i="1"/>
  <c r="CP823" i="1"/>
  <c r="G741" i="1"/>
  <c r="G767" i="1" s="1"/>
  <c r="G740" i="1"/>
  <c r="G766" i="1" s="1"/>
  <c r="G732" i="1"/>
  <c r="G620" i="1"/>
  <c r="G513" i="1"/>
  <c r="G525" i="1"/>
  <c r="G730" i="1"/>
  <c r="G136" i="1"/>
  <c r="G838" i="1" s="1"/>
  <c r="G521" i="1"/>
  <c r="BY760" i="1"/>
  <c r="BY733" i="1"/>
  <c r="BZ467" i="1"/>
  <c r="CF426" i="1"/>
  <c r="CF428" i="1" s="1"/>
  <c r="CF454" i="1"/>
  <c r="CG794" i="1"/>
  <c r="CF793" i="1"/>
  <c r="G131" i="1"/>
  <c r="F131" i="1" s="1"/>
  <c r="F137" i="1" s="1"/>
  <c r="F839" i="1" s="1"/>
  <c r="CD498" i="1"/>
  <c r="CI454" i="1"/>
  <c r="CI426" i="1"/>
  <c r="CI428" i="1" s="1"/>
  <c r="Q728" i="1"/>
  <c r="Q757" i="1" s="1"/>
  <c r="Q729" i="1"/>
  <c r="Q758" i="1" s="1"/>
  <c r="CV565" i="1"/>
  <c r="BY146" i="1"/>
  <c r="CO440" i="1"/>
  <c r="CP96" i="1" s="1"/>
  <c r="AD96" i="1"/>
  <c r="BY269" i="1"/>
  <c r="BY81" i="1"/>
  <c r="BY325" i="1"/>
  <c r="BS759" i="1"/>
  <c r="BS840" i="1"/>
  <c r="BS731" i="1"/>
  <c r="BS760" i="1"/>
  <c r="BS733" i="1"/>
  <c r="M96" i="1"/>
  <c r="CG440" i="1"/>
  <c r="CH96" i="1" s="1"/>
  <c r="F490" i="1"/>
  <c r="F493" i="1" s="1"/>
  <c r="F129" i="1"/>
  <c r="BZ782" i="1"/>
  <c r="BZ729" i="1"/>
  <c r="BZ758" i="1" s="1"/>
  <c r="BZ728" i="1"/>
  <c r="BZ757" i="1" s="1"/>
  <c r="BX733" i="1"/>
  <c r="BX760" i="1"/>
  <c r="BX325" i="1"/>
  <c r="BX269" i="1"/>
  <c r="BX81" i="1"/>
  <c r="D620" i="1"/>
  <c r="D732" i="1"/>
  <c r="D136" i="1"/>
  <c r="D838" i="1" s="1"/>
  <c r="D525" i="1"/>
  <c r="D741" i="1"/>
  <c r="D767" i="1" s="1"/>
  <c r="D521" i="1"/>
  <c r="CC521" i="1" s="1"/>
  <c r="D730" i="1"/>
  <c r="D513" i="1"/>
  <c r="D740" i="1"/>
  <c r="D766" i="1" s="1"/>
  <c r="CC136" i="1"/>
  <c r="CC838" i="1" s="1"/>
  <c r="G794" i="1"/>
  <c r="CD454" i="1"/>
  <c r="CD426" i="1"/>
  <c r="CD428" i="1" s="1"/>
  <c r="CA731" i="1"/>
  <c r="BU759" i="1"/>
  <c r="BU731" i="1"/>
  <c r="BU840" i="1"/>
  <c r="BU729" i="1"/>
  <c r="BU758" i="1" s="1"/>
  <c r="BU728" i="1"/>
  <c r="BU757" i="1" s="1"/>
  <c r="BU782" i="1"/>
  <c r="BU461" i="1"/>
  <c r="BU463" i="1" s="1"/>
  <c r="BU483" i="1"/>
  <c r="BU734" i="1"/>
  <c r="BU761" i="1" s="1"/>
  <c r="BY483" i="1"/>
  <c r="BY461" i="1"/>
  <c r="BY463" i="1" s="1"/>
  <c r="BY734" i="1"/>
  <c r="BY761" i="1" s="1"/>
  <c r="BZ118" i="1"/>
  <c r="BZ810" i="1"/>
  <c r="BZ84" i="1"/>
  <c r="BZ86" i="1"/>
  <c r="BZ113" i="1"/>
  <c r="BZ808" i="1"/>
  <c r="BW167" i="1"/>
  <c r="BX178" i="1"/>
  <c r="BY57" i="1"/>
  <c r="K461" i="1"/>
  <c r="K463" i="1" s="1"/>
  <c r="K734" i="1"/>
  <c r="K761" i="1" s="1"/>
  <c r="K483" i="1"/>
  <c r="BT733" i="1"/>
  <c r="BT731" i="1"/>
  <c r="BY79" i="1"/>
  <c r="BY375" i="1"/>
  <c r="BY377" i="1" s="1"/>
  <c r="BY380" i="1"/>
  <c r="G96" i="1"/>
  <c r="CD440" i="1"/>
  <c r="CE96" i="1" s="1"/>
  <c r="CD793" i="1"/>
  <c r="L729" i="1"/>
  <c r="L758" i="1" s="1"/>
  <c r="L728" i="1"/>
  <c r="L757" i="1" s="1"/>
  <c r="L760" i="1"/>
  <c r="L733" i="1"/>
  <c r="BX483" i="1"/>
  <c r="BX734" i="1"/>
  <c r="BX761" i="1" s="1"/>
  <c r="BX461" i="1"/>
  <c r="BX463" i="1" s="1"/>
  <c r="CA79" i="1"/>
  <c r="CA375" i="1"/>
  <c r="CA377" i="1" s="1"/>
  <c r="CA733" i="1"/>
  <c r="I96" i="1"/>
  <c r="CE440" i="1"/>
  <c r="CF96" i="1" s="1"/>
  <c r="BY759" i="1"/>
  <c r="BY731" i="1"/>
  <c r="BY840" i="1"/>
  <c r="BY782" i="1"/>
  <c r="BY728" i="1"/>
  <c r="BY757" i="1" s="1"/>
  <c r="BY729" i="1"/>
  <c r="BY758" i="1" s="1"/>
  <c r="BY813" i="1"/>
  <c r="BY825" i="1"/>
  <c r="BY822" i="1"/>
  <c r="BY812" i="1"/>
  <c r="BY816" i="1"/>
  <c r="BY154" i="1"/>
  <c r="BY819" i="1"/>
  <c r="CF792" i="1"/>
  <c r="K764" i="1"/>
  <c r="P483" i="1"/>
  <c r="P734" i="1"/>
  <c r="P761" i="1" s="1"/>
  <c r="P461" i="1"/>
  <c r="P463" i="1" s="1"/>
  <c r="Q840" i="1"/>
  <c r="Q759" i="1"/>
  <c r="Q760" i="1"/>
  <c r="CY706" i="1"/>
  <c r="C529" i="1"/>
  <c r="C534" i="1" s="1"/>
  <c r="C538" i="1" s="1"/>
  <c r="CR172" i="1"/>
  <c r="CL491" i="1"/>
  <c r="U129" i="1"/>
  <c r="U490" i="1"/>
  <c r="U493" i="1" s="1"/>
  <c r="CU546" i="1"/>
  <c r="BW352" i="1"/>
  <c r="BW295" i="1"/>
  <c r="BW353" i="1" s="1"/>
  <c r="R490" i="1"/>
  <c r="R493" i="1" s="1"/>
  <c r="R510" i="1" s="1"/>
  <c r="R129" i="1"/>
  <c r="AD500" i="1"/>
  <c r="CP502" i="1"/>
  <c r="CP130" i="1" s="1"/>
  <c r="AD130" i="1"/>
  <c r="AD99" i="1"/>
  <c r="AD406" i="1"/>
  <c r="AD419" i="1"/>
  <c r="AD393" i="1"/>
  <c r="CP408" i="1"/>
  <c r="AB405" i="1"/>
  <c r="BY295" i="1"/>
  <c r="BY353" i="1" s="1"/>
  <c r="BY352" i="1"/>
  <c r="AC322" i="1"/>
  <c r="AC323" i="1" s="1"/>
  <c r="CR606" i="1"/>
  <c r="CR55" i="1"/>
  <c r="CA295" i="1"/>
  <c r="CA353" i="1" s="1"/>
  <c r="CA352" i="1"/>
  <c r="CR171" i="1"/>
  <c r="CO84" i="1"/>
  <c r="CO86" i="1"/>
  <c r="CO113" i="1"/>
  <c r="CO118" i="1"/>
  <c r="AB495" i="1"/>
  <c r="AB498" i="1"/>
  <c r="BU295" i="1"/>
  <c r="BU353" i="1" s="1"/>
  <c r="BU352" i="1"/>
  <c r="CW555" i="1"/>
  <c r="CO379" i="1"/>
  <c r="AB319" i="1"/>
  <c r="CV601" i="1"/>
  <c r="CW571" i="1"/>
  <c r="AH412" i="1"/>
  <c r="AJ412" i="1" s="1"/>
  <c r="AL412" i="1" s="1"/>
  <c r="AN412" i="1" s="1"/>
  <c r="AP412" i="1" s="1"/>
  <c r="AF408" i="1"/>
  <c r="AF502" i="1"/>
  <c r="AF424" i="1"/>
  <c r="AF459" i="1" s="1"/>
  <c r="AF488" i="1" s="1"/>
  <c r="CQ412" i="1"/>
  <c r="CQ424" i="1" s="1"/>
  <c r="CQ459" i="1" s="1"/>
  <c r="CQ488" i="1" s="1"/>
  <c r="AB515" i="1"/>
  <c r="AB454" i="1"/>
  <c r="AB426" i="1"/>
  <c r="AB428" i="1" s="1"/>
  <c r="AB794" i="1"/>
  <c r="AB793" i="1"/>
  <c r="BV728" i="1"/>
  <c r="BV757" i="1" s="1"/>
  <c r="BV729" i="1"/>
  <c r="BV758" i="1" s="1"/>
  <c r="BV782" i="1"/>
  <c r="BV760" i="1"/>
  <c r="BW733" i="1"/>
  <c r="BV733" i="1"/>
  <c r="BV759" i="1"/>
  <c r="BW731" i="1"/>
  <c r="BV840" i="1"/>
  <c r="BV731" i="1"/>
  <c r="CO334" i="1"/>
  <c r="CO276" i="1" s="1"/>
  <c r="AB332" i="1"/>
  <c r="CW574" i="1"/>
  <c r="CW600" i="1"/>
  <c r="CN86" i="1"/>
  <c r="CN84" i="1"/>
  <c r="CN113" i="1"/>
  <c r="CN118" i="1"/>
  <c r="CP267" i="1"/>
  <c r="CP87" i="1" s="1"/>
  <c r="CY34" i="1"/>
  <c r="CW602" i="1"/>
  <c r="AD374" i="1"/>
  <c r="CP374" i="1" s="1"/>
  <c r="CP316" i="1" s="1"/>
  <c r="CP372" i="1"/>
  <c r="CP314" i="1" s="1"/>
  <c r="CW682" i="1"/>
  <c r="CV577" i="1"/>
  <c r="CV151" i="1"/>
  <c r="CR106" i="1"/>
  <c r="CS101" i="1" s="1"/>
  <c r="CY35" i="1"/>
  <c r="CW540" i="1"/>
  <c r="CP373" i="1"/>
  <c r="CP315" i="1" s="1"/>
  <c r="CV584" i="1"/>
  <c r="CV573" i="1"/>
  <c r="CW603" i="1"/>
  <c r="CQ84" i="1"/>
  <c r="CQ113" i="1"/>
  <c r="CQ86" i="1"/>
  <c r="CQ118" i="1"/>
  <c r="CV678" i="1"/>
  <c r="CW123" i="1"/>
  <c r="CX575" i="1"/>
  <c r="CW566" i="1"/>
  <c r="CW677" i="1"/>
  <c r="CW681" i="1"/>
  <c r="CX583" i="1"/>
  <c r="CQ71" i="1"/>
  <c r="CR96" i="1"/>
  <c r="D72" i="1"/>
  <c r="D357" i="1"/>
  <c r="CQ764" i="1"/>
  <c r="AZ706" i="1"/>
  <c r="CV135" i="1"/>
  <c r="CW92" i="1"/>
  <c r="CR762" i="1"/>
  <c r="U9" i="16"/>
  <c r="T10" i="16"/>
  <c r="CR187" i="1"/>
  <c r="CR192" i="1"/>
  <c r="CE827" i="1" l="1"/>
  <c r="CC824" i="1"/>
  <c r="CQ379" i="1"/>
  <c r="CO339" i="1"/>
  <c r="CO281" i="1" s="1"/>
  <c r="CO75" i="1" s="1"/>
  <c r="AM1" i="1"/>
  <c r="H2" i="31" s="1"/>
  <c r="AL3" i="1"/>
  <c r="G3" i="31" s="1"/>
  <c r="AL2" i="1"/>
  <c r="AM725" i="1" s="1"/>
  <c r="AC359" i="1"/>
  <c r="CO359" i="1" s="1"/>
  <c r="CO301" i="1" s="1"/>
  <c r="CO74" i="1" s="1"/>
  <c r="AB74" i="1"/>
  <c r="AC349" i="1"/>
  <c r="AC352" i="1" s="1"/>
  <c r="AC354" i="1" s="1"/>
  <c r="H2" i="1"/>
  <c r="I725" i="1" s="1"/>
  <c r="AB316" i="1"/>
  <c r="AB317" i="1" s="1"/>
  <c r="CG525" i="1"/>
  <c r="CG729" i="1" s="1"/>
  <c r="CG758" i="1" s="1"/>
  <c r="AD299" i="1"/>
  <c r="AE299" i="1" s="1"/>
  <c r="AF299" i="1" s="1"/>
  <c r="AG299" i="1" s="1"/>
  <c r="AH299" i="1" s="1"/>
  <c r="AI299" i="1" s="1"/>
  <c r="AC372" i="1"/>
  <c r="CO372" i="1" s="1"/>
  <c r="CO314" i="1" s="1"/>
  <c r="AC373" i="1"/>
  <c r="CO373" i="1" s="1"/>
  <c r="CO315" i="1" s="1"/>
  <c r="AB364" i="1"/>
  <c r="AD305" i="1"/>
  <c r="AE305" i="1" s="1"/>
  <c r="AF305" i="1" s="1"/>
  <c r="AG305" i="1" s="1"/>
  <c r="AH305" i="1" s="1"/>
  <c r="AI305" i="1" s="1"/>
  <c r="AB369" i="1"/>
  <c r="AC364" i="1"/>
  <c r="AB76" i="1"/>
  <c r="AD300" i="1"/>
  <c r="AE300" i="1" s="1"/>
  <c r="AF300" i="1" s="1"/>
  <c r="AG300" i="1" s="1"/>
  <c r="AH300" i="1" s="1"/>
  <c r="AI300" i="1" s="1"/>
  <c r="M733" i="1"/>
  <c r="CO344" i="1"/>
  <c r="CO286" i="1" s="1"/>
  <c r="CO77" i="1" s="1"/>
  <c r="AC316" i="1"/>
  <c r="AC317" i="1" s="1"/>
  <c r="AC375" i="1" s="1"/>
  <c r="AC74" i="1"/>
  <c r="AB349" i="1"/>
  <c r="AC369" i="1"/>
  <c r="I1" i="1"/>
  <c r="M759" i="1"/>
  <c r="BV380" i="1"/>
  <c r="M731" i="1"/>
  <c r="CQ374" i="1"/>
  <c r="CQ316" i="1" s="1"/>
  <c r="AK68" i="1"/>
  <c r="AK40" i="1"/>
  <c r="AK38" i="1"/>
  <c r="AK70" i="1"/>
  <c r="AK67" i="1"/>
  <c r="AK39" i="1"/>
  <c r="AK33" i="1"/>
  <c r="AK31" i="1"/>
  <c r="AK29" i="1"/>
  <c r="AK32" i="1"/>
  <c r="AK132" i="1"/>
  <c r="AK30" i="1"/>
  <c r="AW99" i="1"/>
  <c r="AW393" i="1"/>
  <c r="AW419" i="1"/>
  <c r="AW406" i="1"/>
  <c r="R15" i="31" s="1"/>
  <c r="G68" i="1"/>
  <c r="G273" i="1" s="1"/>
  <c r="G40" i="1"/>
  <c r="G38" i="1"/>
  <c r="G70" i="1"/>
  <c r="G275" i="1" s="1"/>
  <c r="G67" i="1"/>
  <c r="G272" i="1" s="1"/>
  <c r="G39" i="1"/>
  <c r="G32" i="1"/>
  <c r="G31" i="1"/>
  <c r="G29" i="1"/>
  <c r="G33" i="1"/>
  <c r="G30" i="1"/>
  <c r="AX502" i="1"/>
  <c r="AX424" i="1"/>
  <c r="AX459" i="1" s="1"/>
  <c r="AX488" i="1" s="1"/>
  <c r="AX408" i="1"/>
  <c r="S17" i="31" s="1"/>
  <c r="F5" i="1"/>
  <c r="F788" i="1" s="1"/>
  <c r="AW130" i="1"/>
  <c r="AW500" i="1"/>
  <c r="CG1" i="1"/>
  <c r="CH1" i="1" s="1"/>
  <c r="CF2" i="1"/>
  <c r="CG725" i="1" s="1"/>
  <c r="M728" i="1"/>
  <c r="M757" i="1" s="1"/>
  <c r="BT317" i="1"/>
  <c r="BT375" i="1" s="1"/>
  <c r="BT377" i="1" s="1"/>
  <c r="BW375" i="1"/>
  <c r="BW377" i="1" s="1"/>
  <c r="BW79" i="1"/>
  <c r="G5" i="1"/>
  <c r="G808" i="1" s="1"/>
  <c r="AG349" i="1"/>
  <c r="AG352" i="1" s="1"/>
  <c r="AG354" i="1" s="1"/>
  <c r="H3" i="1"/>
  <c r="CG785" i="1"/>
  <c r="CG841" i="1" s="1"/>
  <c r="CG732" i="1"/>
  <c r="CG760" i="1" s="1"/>
  <c r="CG620" i="1"/>
  <c r="CQ110" i="1"/>
  <c r="CG788" i="1"/>
  <c r="CG513" i="1"/>
  <c r="CG730" i="1"/>
  <c r="CG840" i="1" s="1"/>
  <c r="CG789" i="1"/>
  <c r="CQ332" i="1"/>
  <c r="CQ274" i="1" s="1"/>
  <c r="CQ69" i="1" s="1"/>
  <c r="BV79" i="1"/>
  <c r="CI440" i="1"/>
  <c r="CJ96" i="1" s="1"/>
  <c r="AF349" i="1"/>
  <c r="AF352" i="1" s="1"/>
  <c r="AD319" i="1"/>
  <c r="AD322" i="1" s="1"/>
  <c r="AD323" i="1" s="1"/>
  <c r="AV424" i="1"/>
  <c r="AV459" i="1" s="1"/>
  <c r="AV488" i="1" s="1"/>
  <c r="AV502" i="1"/>
  <c r="AV500" i="1" s="1"/>
  <c r="AV408" i="1"/>
  <c r="Q17" i="31" s="1"/>
  <c r="CE793" i="1"/>
  <c r="P733" i="1"/>
  <c r="CM789" i="1"/>
  <c r="CM788" i="1"/>
  <c r="I731" i="1"/>
  <c r="CM620" i="1"/>
  <c r="Y731" i="1"/>
  <c r="K840" i="1"/>
  <c r="CI793" i="1"/>
  <c r="BX2" i="1"/>
  <c r="BY725" i="1" s="1"/>
  <c r="CF794" i="1"/>
  <c r="D73" i="1"/>
  <c r="Q733" i="1"/>
  <c r="Y733" i="1"/>
  <c r="CQ238" i="1"/>
  <c r="X733" i="1"/>
  <c r="CQ810" i="1"/>
  <c r="D301" i="1"/>
  <c r="D74" i="1" s="1"/>
  <c r="CQ811" i="1"/>
  <c r="CQ112" i="1"/>
  <c r="E129" i="1"/>
  <c r="X729" i="1"/>
  <c r="X758" i="1" s="1"/>
  <c r="CQ809" i="1"/>
  <c r="X728" i="1"/>
  <c r="X757" i="1" s="1"/>
  <c r="CQ117" i="1"/>
  <c r="N733" i="1"/>
  <c r="CW701" i="1"/>
  <c r="E71" i="1"/>
  <c r="CC794" i="1"/>
  <c r="AU406" i="1"/>
  <c r="P15" i="31" s="1"/>
  <c r="AU419" i="1"/>
  <c r="AU393" i="1"/>
  <c r="AU515" i="1"/>
  <c r="P44" i="31" s="1"/>
  <c r="P47" i="31" s="1"/>
  <c r="AU495" i="1"/>
  <c r="AU498" i="1"/>
  <c r="P43" i="31" s="1"/>
  <c r="CI620" i="1"/>
  <c r="X840" i="1"/>
  <c r="CC793" i="1"/>
  <c r="CI525" i="1"/>
  <c r="CI728" i="1" s="1"/>
  <c r="CI757" i="1" s="1"/>
  <c r="CP117" i="1"/>
  <c r="CI788" i="1"/>
  <c r="L731" i="1"/>
  <c r="X759" i="1"/>
  <c r="CP334" i="1"/>
  <c r="CP276" i="1" s="1"/>
  <c r="CP71" i="1" s="1"/>
  <c r="CP808" i="1"/>
  <c r="AD362" i="1"/>
  <c r="I840" i="1"/>
  <c r="CI785" i="1"/>
  <c r="CI841" i="1" s="1"/>
  <c r="K728" i="1"/>
  <c r="K757" i="1" s="1"/>
  <c r="AD332" i="1"/>
  <c r="AD274" i="1" s="1"/>
  <c r="AD69" i="1" s="1"/>
  <c r="AH633" i="1"/>
  <c r="AH635" i="1" s="1"/>
  <c r="AH738" i="1" s="1"/>
  <c r="CE620" i="1"/>
  <c r="CP238" i="1"/>
  <c r="AI553" i="1"/>
  <c r="AI633" i="1" s="1"/>
  <c r="CP810" i="1"/>
  <c r="CP112" i="1"/>
  <c r="D339" i="1"/>
  <c r="AD349" i="1"/>
  <c r="AD352" i="1" s="1"/>
  <c r="CF515" i="1"/>
  <c r="CF620" i="1" s="1"/>
  <c r="CP811" i="1"/>
  <c r="J760" i="1"/>
  <c r="CP809" i="1"/>
  <c r="P728" i="1"/>
  <c r="P757" i="1" s="1"/>
  <c r="CM732" i="1"/>
  <c r="CM760" i="1" s="1"/>
  <c r="CI789" i="1"/>
  <c r="CI513" i="1"/>
  <c r="CI732" i="1"/>
  <c r="CI760" i="1" s="1"/>
  <c r="CM783" i="1"/>
  <c r="CI730" i="1"/>
  <c r="CJ731" i="1" s="1"/>
  <c r="CI740" i="1"/>
  <c r="CI766" i="1" s="1"/>
  <c r="CM785" i="1"/>
  <c r="CM841" i="1" s="1"/>
  <c r="J731" i="1"/>
  <c r="CM730" i="1"/>
  <c r="CM759" i="1" s="1"/>
  <c r="D71" i="1"/>
  <c r="BX3" i="1"/>
  <c r="I510" i="1"/>
  <c r="O731" i="1"/>
  <c r="I729" i="1"/>
  <c r="I758" i="1" s="1"/>
  <c r="J733" i="1"/>
  <c r="P731" i="1"/>
  <c r="P840" i="1"/>
  <c r="CC739" i="1"/>
  <c r="CC765" i="1" s="1"/>
  <c r="Q731" i="1"/>
  <c r="N760" i="1"/>
  <c r="AT502" i="1"/>
  <c r="AT500" i="1" s="1"/>
  <c r="AT424" i="1"/>
  <c r="AT459" i="1" s="1"/>
  <c r="AT488" i="1" s="1"/>
  <c r="AT408" i="1"/>
  <c r="O17" i="31" s="1"/>
  <c r="O490" i="1"/>
  <c r="O493" i="1" s="1"/>
  <c r="O510" i="1" s="1"/>
  <c r="H490" i="1"/>
  <c r="H493" i="1" s="1"/>
  <c r="H510" i="1" s="1"/>
  <c r="CC351" i="1"/>
  <c r="AK500" i="1"/>
  <c r="CC363" i="1"/>
  <c r="CC305" i="1" s="1"/>
  <c r="CC109" i="1"/>
  <c r="CC467" i="1" s="1"/>
  <c r="E314" i="1"/>
  <c r="CC440" i="1"/>
  <c r="CD96" i="1" s="1"/>
  <c r="F96" i="1"/>
  <c r="CJ734" i="1"/>
  <c r="CJ761" i="1" s="1"/>
  <c r="N731" i="1"/>
  <c r="CC330" i="1"/>
  <c r="CC272" i="1" s="1"/>
  <c r="CC67" i="1" s="1"/>
  <c r="CC350" i="1"/>
  <c r="E840" i="1"/>
  <c r="AE349" i="1"/>
  <c r="AE352" i="1" s="1"/>
  <c r="AE354" i="1" s="1"/>
  <c r="E306" i="1"/>
  <c r="E76" i="1" s="1"/>
  <c r="D315" i="1"/>
  <c r="D373" i="1" s="1"/>
  <c r="CP339" i="1"/>
  <c r="CP281" i="1" s="1"/>
  <c r="CP75" i="1" s="1"/>
  <c r="D321" i="1"/>
  <c r="E731" i="1"/>
  <c r="E841" i="1"/>
  <c r="AE325" i="1"/>
  <c r="AE269" i="1"/>
  <c r="AE81" i="1"/>
  <c r="CC368" i="1"/>
  <c r="CC310" i="1" s="1"/>
  <c r="E510" i="1"/>
  <c r="E728" i="1"/>
  <c r="E757" i="1" s="1"/>
  <c r="E729" i="1"/>
  <c r="E758" i="1" s="1"/>
  <c r="E357" i="1"/>
  <c r="CC357" i="1" s="1"/>
  <c r="CC299" i="1" s="1"/>
  <c r="CC72" i="1" s="1"/>
  <c r="CH461" i="1"/>
  <c r="CH463" i="1" s="1"/>
  <c r="CO393" i="1"/>
  <c r="N759" i="1"/>
  <c r="E733" i="1"/>
  <c r="F729" i="1"/>
  <c r="F758" i="1" s="1"/>
  <c r="E301" i="1"/>
  <c r="E74" i="1" s="1"/>
  <c r="E339" i="1"/>
  <c r="CQ561" i="1"/>
  <c r="CQ562" i="1" s="1"/>
  <c r="CH734" i="1"/>
  <c r="CH761" i="1" s="1"/>
  <c r="CO419" i="1"/>
  <c r="CO793" i="1" s="1"/>
  <c r="CD525" i="1"/>
  <c r="E311" i="1"/>
  <c r="E78" i="1" s="1"/>
  <c r="CC699" i="1"/>
  <c r="AS495" i="1"/>
  <c r="AS498" i="1"/>
  <c r="N43" i="31" s="1"/>
  <c r="AS419" i="1"/>
  <c r="AS393" i="1"/>
  <c r="AS515" i="1"/>
  <c r="N44" i="31" s="1"/>
  <c r="N47" i="31" s="1"/>
  <c r="AS406" i="1"/>
  <c r="N15" i="31" s="1"/>
  <c r="D314" i="1"/>
  <c r="D372" i="1" s="1"/>
  <c r="C118" i="1"/>
  <c r="D311" i="1"/>
  <c r="D369" i="1" s="1"/>
  <c r="C117" i="1"/>
  <c r="E367" i="1"/>
  <c r="C299" i="1"/>
  <c r="C357" i="1" s="1"/>
  <c r="C112" i="1"/>
  <c r="E315" i="1"/>
  <c r="CQ637" i="1"/>
  <c r="CQ739" i="1" s="1"/>
  <c r="CQ765" i="1" s="1"/>
  <c r="E291" i="1"/>
  <c r="E294" i="1" s="1"/>
  <c r="CJ483" i="1"/>
  <c r="CJ490" i="1" s="1"/>
  <c r="CJ493" i="1" s="1"/>
  <c r="CJ510" i="1" s="1"/>
  <c r="CC730" i="1"/>
  <c r="C89" i="1"/>
  <c r="D344" i="1"/>
  <c r="CC808" i="1"/>
  <c r="CI794" i="1"/>
  <c r="AG495" i="1"/>
  <c r="C810" i="1"/>
  <c r="C300" i="1"/>
  <c r="C358" i="1" s="1"/>
  <c r="CC113" i="1"/>
  <c r="J728" i="1"/>
  <c r="J757" i="1" s="1"/>
  <c r="CH440" i="1"/>
  <c r="CI96" i="1" s="1"/>
  <c r="CA129" i="1"/>
  <c r="E73" i="1"/>
  <c r="C787" i="1"/>
  <c r="C309" i="1"/>
  <c r="C367" i="1" s="1"/>
  <c r="D291" i="1"/>
  <c r="D294" i="1" s="1"/>
  <c r="CC112" i="1"/>
  <c r="CH513" i="1"/>
  <c r="E358" i="1"/>
  <c r="CC118" i="1"/>
  <c r="CC117" i="1"/>
  <c r="AC794" i="1"/>
  <c r="CH794" i="1"/>
  <c r="CC810" i="1"/>
  <c r="CC84" i="1"/>
  <c r="CC89" i="1"/>
  <c r="C305" i="1"/>
  <c r="C363" i="1" s="1"/>
  <c r="C97" i="1"/>
  <c r="E321" i="1"/>
  <c r="C87" i="1"/>
  <c r="C84" i="1"/>
  <c r="C351" i="1"/>
  <c r="C286" i="1"/>
  <c r="C77" i="1" s="1"/>
  <c r="C330" i="1"/>
  <c r="C809" i="1"/>
  <c r="AE787" i="1"/>
  <c r="C376" i="1"/>
  <c r="C93" i="1"/>
  <c r="C350" i="1"/>
  <c r="C113" i="1"/>
  <c r="C281" i="1"/>
  <c r="C339" i="1" s="1"/>
  <c r="C782" i="1"/>
  <c r="D306" i="1"/>
  <c r="D364" i="1" s="1"/>
  <c r="CH783" i="1"/>
  <c r="AE513" i="1"/>
  <c r="C85" i="1"/>
  <c r="C276" i="1"/>
  <c r="C334" i="1" s="1"/>
  <c r="C790" i="1"/>
  <c r="C783" i="1"/>
  <c r="C296" i="1"/>
  <c r="C379" i="1" s="1"/>
  <c r="C319" i="1" s="1"/>
  <c r="C808" i="1"/>
  <c r="C788" i="1"/>
  <c r="C304" i="1"/>
  <c r="C362" i="1" s="1"/>
  <c r="C811" i="1"/>
  <c r="C88" i="1"/>
  <c r="C310" i="1"/>
  <c r="C368" i="1" s="1"/>
  <c r="CO406" i="1"/>
  <c r="H759" i="1"/>
  <c r="F733" i="1"/>
  <c r="E344" i="1"/>
  <c r="CC809" i="1"/>
  <c r="F731" i="1"/>
  <c r="H840" i="1"/>
  <c r="CE820" i="1"/>
  <c r="AE788" i="1"/>
  <c r="AE741" i="1"/>
  <c r="AE767" i="1" s="1"/>
  <c r="AC515" i="1"/>
  <c r="AC732" i="1" s="1"/>
  <c r="AC760" i="1" s="1"/>
  <c r="AC495" i="1"/>
  <c r="F510" i="1"/>
  <c r="CQ291" i="1"/>
  <c r="CQ294" i="1" s="1"/>
  <c r="CO500" i="1"/>
  <c r="CO495" i="1" s="1"/>
  <c r="H731" i="1"/>
  <c r="CE826" i="1"/>
  <c r="CH785" i="1"/>
  <c r="CH841" i="1" s="1"/>
  <c r="CH525" i="1"/>
  <c r="CH728" i="1" s="1"/>
  <c r="CH757" i="1" s="1"/>
  <c r="CC376" i="1"/>
  <c r="CC318" i="1" s="1"/>
  <c r="CC80" i="1" s="1"/>
  <c r="AE136" i="1"/>
  <c r="AE838" i="1" s="1"/>
  <c r="N728" i="1"/>
  <c r="N757" i="1" s="1"/>
  <c r="I733" i="1"/>
  <c r="J759" i="1"/>
  <c r="J840" i="1"/>
  <c r="CJ841" i="1"/>
  <c r="AC426" i="1"/>
  <c r="AC428" i="1" s="1"/>
  <c r="AC793" i="1"/>
  <c r="AE525" i="1"/>
  <c r="AE729" i="1" s="1"/>
  <c r="AE758" i="1" s="1"/>
  <c r="AE732" i="1"/>
  <c r="AE760" i="1" s="1"/>
  <c r="AE730" i="1"/>
  <c r="AE759" i="1" s="1"/>
  <c r="AE785" i="1"/>
  <c r="AE620" i="1"/>
  <c r="AE783" i="1"/>
  <c r="AG637" i="1"/>
  <c r="AG739" i="1" s="1"/>
  <c r="AG765" i="1" s="1"/>
  <c r="AG130" i="1"/>
  <c r="AC454" i="1"/>
  <c r="AC734" i="1" s="1"/>
  <c r="AC761" i="1" s="1"/>
  <c r="AR502" i="1"/>
  <c r="AR424" i="1"/>
  <c r="AR459" i="1" s="1"/>
  <c r="AR488" i="1" s="1"/>
  <c r="AR408" i="1"/>
  <c r="M17" i="31" s="1"/>
  <c r="AQ393" i="1"/>
  <c r="AQ406" i="1"/>
  <c r="L15" i="31" s="1"/>
  <c r="AQ419" i="1"/>
  <c r="AQ99" i="1"/>
  <c r="AQ500" i="1"/>
  <c r="AQ130" i="1"/>
  <c r="CP637" i="1"/>
  <c r="CP739" i="1" s="1"/>
  <c r="CP765" i="1" s="1"/>
  <c r="L129" i="1"/>
  <c r="CE525" i="1"/>
  <c r="CE510" i="1" s="1"/>
  <c r="BS349" i="1"/>
  <c r="BS352" i="1" s="1"/>
  <c r="BS354" i="1" s="1"/>
  <c r="K731" i="1"/>
  <c r="CK461" i="1"/>
  <c r="CK463" i="1" s="1"/>
  <c r="CO129" i="1"/>
  <c r="CF525" i="1"/>
  <c r="H728" i="1"/>
  <c r="H757" i="1" s="1"/>
  <c r="CE823" i="1"/>
  <c r="T733" i="1"/>
  <c r="S728" i="1"/>
  <c r="S757" i="1" s="1"/>
  <c r="CD521" i="1"/>
  <c r="S733" i="1"/>
  <c r="J729" i="1"/>
  <c r="J758" i="1" s="1"/>
  <c r="CE817" i="1"/>
  <c r="CE116" i="1"/>
  <c r="S729" i="1"/>
  <c r="S758" i="1" s="1"/>
  <c r="Y490" i="1"/>
  <c r="Y493" i="1" s="1"/>
  <c r="Y510" i="1" s="1"/>
  <c r="AP57" i="1"/>
  <c r="AP56" i="1"/>
  <c r="AP59" i="1"/>
  <c r="AP48" i="1" s="1"/>
  <c r="AP60" i="1"/>
  <c r="AP49" i="1" s="1"/>
  <c r="AP408" i="1"/>
  <c r="K17" i="31" s="1"/>
  <c r="AP424" i="1"/>
  <c r="AP459" i="1" s="1"/>
  <c r="AP488" i="1" s="1"/>
  <c r="AP502" i="1"/>
  <c r="AE521" i="1"/>
  <c r="AE740" i="1"/>
  <c r="AE766" i="1" s="1"/>
  <c r="CH732" i="1"/>
  <c r="CH760" i="1" s="1"/>
  <c r="CH789" i="1"/>
  <c r="F759" i="1"/>
  <c r="CH788" i="1"/>
  <c r="CH740" i="1"/>
  <c r="CH766" i="1" s="1"/>
  <c r="AG515" i="1"/>
  <c r="CH730" i="1"/>
  <c r="CH840" i="1" s="1"/>
  <c r="AG99" i="1"/>
  <c r="AG419" i="1"/>
  <c r="AI393" i="1"/>
  <c r="AI406" i="1"/>
  <c r="D15" i="31" s="1"/>
  <c r="AG406" i="1"/>
  <c r="AG405" i="1" s="1"/>
  <c r="AG89" i="1" s="1"/>
  <c r="AI500" i="1"/>
  <c r="AI130" i="1"/>
  <c r="AO99" i="1"/>
  <c r="AO419" i="1"/>
  <c r="AO393" i="1"/>
  <c r="AO406" i="1"/>
  <c r="J15" i="31" s="1"/>
  <c r="AO500" i="1"/>
  <c r="AO130" i="1"/>
  <c r="CM604" i="1"/>
  <c r="C618" i="1"/>
  <c r="AE454" i="1"/>
  <c r="AE426" i="1"/>
  <c r="AE428" i="1" s="1"/>
  <c r="AE793" i="1"/>
  <c r="AE792" i="1"/>
  <c r="CC734" i="1"/>
  <c r="CC761" i="1" s="1"/>
  <c r="CC483" i="1"/>
  <c r="CC490" i="1" s="1"/>
  <c r="CC493" i="1" s="1"/>
  <c r="X493" i="1"/>
  <c r="X510" i="1" s="1"/>
  <c r="I218" i="1"/>
  <c r="G160" i="1"/>
  <c r="CD160" i="1" s="1"/>
  <c r="S734" i="1"/>
  <c r="S761" i="1" s="1"/>
  <c r="S483" i="1"/>
  <c r="S461" i="1"/>
  <c r="S463" i="1" s="1"/>
  <c r="H158" i="1"/>
  <c r="I216" i="1" s="1"/>
  <c r="J216" i="1"/>
  <c r="I159" i="1"/>
  <c r="CE159" i="1" s="1"/>
  <c r="CF53" i="1" s="1"/>
  <c r="K53" i="1"/>
  <c r="AN502" i="1"/>
  <c r="AN500" i="1" s="1"/>
  <c r="AN424" i="1"/>
  <c r="AN459" i="1" s="1"/>
  <c r="AN488" i="1" s="1"/>
  <c r="AN408" i="1"/>
  <c r="I17" i="31" s="1"/>
  <c r="CE821" i="1"/>
  <c r="CE824" i="1"/>
  <c r="CE814" i="1"/>
  <c r="CE818" i="1"/>
  <c r="N490" i="1"/>
  <c r="N493" i="1" s="1"/>
  <c r="N510" i="1" s="1"/>
  <c r="AM419" i="1"/>
  <c r="AM515" i="1"/>
  <c r="H44" i="31" s="1"/>
  <c r="H47" i="31" s="1"/>
  <c r="AM393" i="1"/>
  <c r="AM406" i="1"/>
  <c r="H15" i="31" s="1"/>
  <c r="AM498" i="1"/>
  <c r="H43" i="31" s="1"/>
  <c r="AM495" i="1"/>
  <c r="CR350" i="1"/>
  <c r="CC823" i="1"/>
  <c r="BT352" i="1"/>
  <c r="BT354" i="1" s="1"/>
  <c r="W129" i="1"/>
  <c r="W490" i="1"/>
  <c r="W493" i="1" s="1"/>
  <c r="W510" i="1" s="1"/>
  <c r="CS266" i="1"/>
  <c r="CS259" i="1"/>
  <c r="AI339" i="1"/>
  <c r="AI77" i="1"/>
  <c r="CS260" i="1"/>
  <c r="E61" i="1"/>
  <c r="CC198" i="1"/>
  <c r="CS265" i="1"/>
  <c r="AI334" i="1"/>
  <c r="AI332" i="1" s="1"/>
  <c r="CJ840" i="1"/>
  <c r="AG325" i="1"/>
  <c r="CK483" i="1"/>
  <c r="CK490" i="1" s="1"/>
  <c r="CK493" i="1" s="1"/>
  <c r="CG734" i="1"/>
  <c r="CG761" i="1" s="1"/>
  <c r="CR373" i="1"/>
  <c r="AI291" i="1"/>
  <c r="AI294" i="1" s="1"/>
  <c r="AI295" i="1" s="1"/>
  <c r="AI353" i="1" s="1"/>
  <c r="AI321" i="1"/>
  <c r="AI374" i="1"/>
  <c r="CK604" i="1"/>
  <c r="AL408" i="1"/>
  <c r="G17" i="31" s="1"/>
  <c r="AL424" i="1"/>
  <c r="AL459" i="1" s="1"/>
  <c r="AL488" i="1" s="1"/>
  <c r="AL502" i="1"/>
  <c r="AL500" i="1" s="1"/>
  <c r="CN734" i="1"/>
  <c r="CN761" i="1" s="1"/>
  <c r="CR351" i="1"/>
  <c r="CN483" i="1"/>
  <c r="CN490" i="1" s="1"/>
  <c r="CN493" i="1" s="1"/>
  <c r="CN510" i="1" s="1"/>
  <c r="CJ729" i="1"/>
  <c r="CJ758" i="1" s="1"/>
  <c r="AH304" i="1"/>
  <c r="AI304" i="1" s="1"/>
  <c r="CE461" i="1"/>
  <c r="CE463" i="1" s="1"/>
  <c r="CC783" i="1"/>
  <c r="CC788" i="1"/>
  <c r="CC732" i="1"/>
  <c r="CC733" i="1" s="1"/>
  <c r="CC785" i="1"/>
  <c r="CC841" i="1" s="1"/>
  <c r="CC789" i="1"/>
  <c r="CL493" i="1"/>
  <c r="CL510" i="1" s="1"/>
  <c r="AJ273" i="1"/>
  <c r="AJ272" i="1"/>
  <c r="CD513" i="1"/>
  <c r="CG461" i="1"/>
  <c r="CG463" i="1" s="1"/>
  <c r="CC740" i="1"/>
  <c r="CC766" i="1" s="1"/>
  <c r="CC741" i="1"/>
  <c r="CC767" i="1" s="1"/>
  <c r="CR699" i="1"/>
  <c r="CR261" i="1"/>
  <c r="CR257" i="1"/>
  <c r="CR252" i="1" s="1"/>
  <c r="CR254" i="1" s="1"/>
  <c r="CR333" i="1"/>
  <c r="CR275" i="1" s="1"/>
  <c r="CR70" i="1" s="1"/>
  <c r="CC826" i="1"/>
  <c r="U510" i="1"/>
  <c r="CC827" i="1"/>
  <c r="CW576" i="1"/>
  <c r="CC817" i="1"/>
  <c r="CC116" i="1"/>
  <c r="CS554" i="1"/>
  <c r="CJ782" i="1"/>
  <c r="CD826" i="1"/>
  <c r="CD824" i="1"/>
  <c r="CD823" i="1"/>
  <c r="CD116" i="1"/>
  <c r="CD818" i="1"/>
  <c r="CD827" i="1"/>
  <c r="CD821" i="1"/>
  <c r="CD820" i="1"/>
  <c r="CD817" i="1"/>
  <c r="CD814" i="1"/>
  <c r="AJ408" i="1"/>
  <c r="E17" i="31" s="1"/>
  <c r="AJ502" i="1"/>
  <c r="AJ424" i="1"/>
  <c r="AJ459" i="1" s="1"/>
  <c r="AJ488" i="1" s="1"/>
  <c r="AG81" i="1"/>
  <c r="AJ5" i="1"/>
  <c r="E4" i="31" s="1"/>
  <c r="AK5" i="1"/>
  <c r="F4" i="31" s="1"/>
  <c r="CC814" i="1"/>
  <c r="CC820" i="1"/>
  <c r="CC818" i="1"/>
  <c r="CC821" i="1"/>
  <c r="CN759" i="1"/>
  <c r="CN840" i="1"/>
  <c r="CR331" i="1"/>
  <c r="CR273" i="1" s="1"/>
  <c r="CR68" i="1" s="1"/>
  <c r="CR790" i="1"/>
  <c r="CF613" i="1"/>
  <c r="CG147" i="1"/>
  <c r="CG613" i="1"/>
  <c r="BX193" i="1"/>
  <c r="BY199" i="1"/>
  <c r="U760" i="1"/>
  <c r="V733" i="1"/>
  <c r="BV490" i="1"/>
  <c r="BV493" i="1" s="1"/>
  <c r="BV510" i="1" s="1"/>
  <c r="BV129" i="1"/>
  <c r="U733" i="1"/>
  <c r="CK788" i="1"/>
  <c r="CK740" i="1"/>
  <c r="CK766" i="1" s="1"/>
  <c r="CK620" i="1"/>
  <c r="CK513" i="1"/>
  <c r="CK732" i="1"/>
  <c r="CK730" i="1"/>
  <c r="CK783" i="1"/>
  <c r="U728" i="1"/>
  <c r="U757" i="1" s="1"/>
  <c r="U729" i="1"/>
  <c r="U758" i="1" s="1"/>
  <c r="CK525" i="1"/>
  <c r="V731" i="1"/>
  <c r="U759" i="1"/>
  <c r="U731" i="1"/>
  <c r="U840" i="1"/>
  <c r="BZ490" i="1"/>
  <c r="BZ493" i="1" s="1"/>
  <c r="BZ510" i="1" s="1"/>
  <c r="BZ129" i="1"/>
  <c r="BT129" i="1"/>
  <c r="BT490" i="1"/>
  <c r="BT493" i="1" s="1"/>
  <c r="BT510" i="1" s="1"/>
  <c r="Z129" i="1"/>
  <c r="Z490" i="1"/>
  <c r="CN782" i="1"/>
  <c r="CN729" i="1"/>
  <c r="CN758" i="1" s="1"/>
  <c r="CN728" i="1"/>
  <c r="CN757" i="1" s="1"/>
  <c r="CR97" i="1"/>
  <c r="T129" i="1"/>
  <c r="T490" i="1"/>
  <c r="T493" i="1" s="1"/>
  <c r="T510" i="1" s="1"/>
  <c r="BY2" i="1"/>
  <c r="BZ725" i="1" s="1"/>
  <c r="BY3" i="1"/>
  <c r="BZ1" i="1"/>
  <c r="V129" i="1"/>
  <c r="V490" i="1"/>
  <c r="V493" i="1" s="1"/>
  <c r="V510" i="1" s="1"/>
  <c r="D490" i="1"/>
  <c r="D493" i="1" s="1"/>
  <c r="D510" i="1" s="1"/>
  <c r="D129" i="1"/>
  <c r="CM728" i="1"/>
  <c r="CM757" i="1" s="1"/>
  <c r="CM782" i="1"/>
  <c r="CM729" i="1"/>
  <c r="CM758" i="1" s="1"/>
  <c r="CM510" i="1"/>
  <c r="CL729" i="1"/>
  <c r="CL758" i="1" s="1"/>
  <c r="CL728" i="1"/>
  <c r="CL757" i="1" s="1"/>
  <c r="CL782" i="1"/>
  <c r="CL840" i="1"/>
  <c r="CL759" i="1"/>
  <c r="BS317" i="1"/>
  <c r="BS374" i="1"/>
  <c r="M129" i="1"/>
  <c r="M490" i="1"/>
  <c r="M493" i="1" s="1"/>
  <c r="M510" i="1" s="1"/>
  <c r="BS529" i="1"/>
  <c r="BS534" i="1" s="1"/>
  <c r="BS538" i="1" s="1"/>
  <c r="BT533" i="1" s="1"/>
  <c r="BT527" i="1" s="1"/>
  <c r="BY354" i="1"/>
  <c r="BY391" i="1" s="1"/>
  <c r="AH339" i="1"/>
  <c r="AH75" i="1"/>
  <c r="CR237" i="1"/>
  <c r="AN68" i="31" s="1"/>
  <c r="BU354" i="1"/>
  <c r="BU391" i="1" s="1"/>
  <c r="AH374" i="1"/>
  <c r="CR372" i="1"/>
  <c r="AH344" i="1"/>
  <c r="AH77" i="1"/>
  <c r="AH379" i="1"/>
  <c r="C6" i="31" s="1"/>
  <c r="AH321" i="1"/>
  <c r="AH291" i="1"/>
  <c r="AH71" i="1"/>
  <c r="AH334" i="1"/>
  <c r="AH332" i="1" s="1"/>
  <c r="AH274" i="1" s="1"/>
  <c r="AH69" i="1" s="1"/>
  <c r="CR60" i="1"/>
  <c r="CR49" i="1" s="1"/>
  <c r="P129" i="1"/>
  <c r="P490" i="1"/>
  <c r="P493" i="1" s="1"/>
  <c r="P510" i="1" s="1"/>
  <c r="BX795" i="1"/>
  <c r="BY111" i="1"/>
  <c r="BY109" i="1"/>
  <c r="BX181" i="1"/>
  <c r="BX177" i="1"/>
  <c r="BX114" i="1" s="1"/>
  <c r="BY129" i="1"/>
  <c r="BY490" i="1"/>
  <c r="BY493" i="1" s="1"/>
  <c r="BY510" i="1" s="1"/>
  <c r="BU129" i="1"/>
  <c r="BU490" i="1"/>
  <c r="BU493" i="1" s="1"/>
  <c r="BU510" i="1" s="1"/>
  <c r="D729" i="1"/>
  <c r="D758" i="1" s="1"/>
  <c r="D728" i="1"/>
  <c r="D757" i="1" s="1"/>
  <c r="CC525" i="1"/>
  <c r="D782" i="1"/>
  <c r="D760" i="1"/>
  <c r="D733" i="1"/>
  <c r="CI483" i="1"/>
  <c r="CI490" i="1" s="1"/>
  <c r="CI493" i="1" s="1"/>
  <c r="CI734" i="1"/>
  <c r="CI761" i="1" s="1"/>
  <c r="CI461" i="1"/>
  <c r="CI463" i="1" s="1"/>
  <c r="CF461" i="1"/>
  <c r="CF463" i="1" s="1"/>
  <c r="CF483" i="1"/>
  <c r="CF490" i="1" s="1"/>
  <c r="CF493" i="1" s="1"/>
  <c r="G728" i="1"/>
  <c r="G757" i="1" s="1"/>
  <c r="G729" i="1"/>
  <c r="G758" i="1" s="1"/>
  <c r="BS490" i="1"/>
  <c r="BS493" i="1" s="1"/>
  <c r="BS510" i="1" s="1"/>
  <c r="BS129" i="1"/>
  <c r="Q129" i="1"/>
  <c r="Q490" i="1"/>
  <c r="Q493" i="1" s="1"/>
  <c r="Q510" i="1" s="1"/>
  <c r="BX171" i="1"/>
  <c r="BY228" i="1" s="1"/>
  <c r="BY60" i="1"/>
  <c r="BY49" i="1" s="1"/>
  <c r="CV546" i="1"/>
  <c r="CA354" i="1"/>
  <c r="CA391" i="1" s="1"/>
  <c r="BX129" i="1"/>
  <c r="BX490" i="1"/>
  <c r="BX493" i="1" s="1"/>
  <c r="BX510" i="1" s="1"/>
  <c r="K490" i="1"/>
  <c r="K493" i="1" s="1"/>
  <c r="K510" i="1" s="1"/>
  <c r="K129" i="1"/>
  <c r="BW173" i="1"/>
  <c r="BV167" i="1" s="1"/>
  <c r="BW164" i="1"/>
  <c r="BW166" i="1"/>
  <c r="CD483" i="1"/>
  <c r="CD490" i="1" s="1"/>
  <c r="CD493" i="1" s="1"/>
  <c r="CD461" i="1"/>
  <c r="CD463" i="1" s="1"/>
  <c r="D759" i="1"/>
  <c r="D840" i="1"/>
  <c r="D731" i="1"/>
  <c r="CW565" i="1"/>
  <c r="G840" i="1"/>
  <c r="G731" i="1"/>
  <c r="G759" i="1"/>
  <c r="G733" i="1"/>
  <c r="G760" i="1"/>
  <c r="BY227" i="1"/>
  <c r="BY232" i="1" s="1"/>
  <c r="BY233" i="1" s="1"/>
  <c r="BY59" i="1"/>
  <c r="BY48" i="1" s="1"/>
  <c r="H733" i="1"/>
  <c r="G490" i="1"/>
  <c r="G493" i="1" s="1"/>
  <c r="G510" i="1" s="1"/>
  <c r="G129" i="1"/>
  <c r="CC513" i="1"/>
  <c r="CC620" i="1"/>
  <c r="CC787" i="1"/>
  <c r="CO71" i="1"/>
  <c r="AB521" i="1"/>
  <c r="AB789" i="1"/>
  <c r="AB730" i="1"/>
  <c r="AB732" i="1"/>
  <c r="AB740" i="1"/>
  <c r="AB766" i="1" s="1"/>
  <c r="AB787" i="1"/>
  <c r="AB785" i="1"/>
  <c r="AB620" i="1"/>
  <c r="AB513" i="1"/>
  <c r="AB136" i="1"/>
  <c r="AB838" i="1" s="1"/>
  <c r="AB525" i="1"/>
  <c r="AB741" i="1"/>
  <c r="AB767" i="1" s="1"/>
  <c r="AB788" i="1"/>
  <c r="AB783" i="1"/>
  <c r="AF99" i="1"/>
  <c r="AF406" i="1"/>
  <c r="AF393" i="1"/>
  <c r="AF419" i="1"/>
  <c r="CQ408" i="1"/>
  <c r="CX571" i="1"/>
  <c r="CW601" i="1"/>
  <c r="AB137" i="1"/>
  <c r="AC131" i="1"/>
  <c r="CO498" i="1"/>
  <c r="CO131" i="1" s="1"/>
  <c r="CR173" i="1"/>
  <c r="CR227" i="1" s="1"/>
  <c r="CR232" i="1" s="1"/>
  <c r="CR233" i="1" s="1"/>
  <c r="CS606" i="1"/>
  <c r="AB89" i="1"/>
  <c r="CO405" i="1"/>
  <c r="CO89" i="1" s="1"/>
  <c r="AD792" i="1"/>
  <c r="AD405" i="1"/>
  <c r="CP406" i="1"/>
  <c r="CP500" i="1"/>
  <c r="AD495" i="1"/>
  <c r="AD498" i="1"/>
  <c r="AD515" i="1"/>
  <c r="BW354" i="1"/>
  <c r="C531" i="1"/>
  <c r="C541" i="1"/>
  <c r="D533" i="1"/>
  <c r="D527" i="1" s="1"/>
  <c r="C742" i="1"/>
  <c r="C768" i="1" s="1"/>
  <c r="C661" i="1"/>
  <c r="CX600" i="1"/>
  <c r="CX574" i="1"/>
  <c r="CO332" i="1"/>
  <c r="CO274" i="1" s="1"/>
  <c r="CO69" i="1" s="1"/>
  <c r="AB274" i="1"/>
  <c r="AB69" i="1" s="1"/>
  <c r="AB295" i="1"/>
  <c r="AB353" i="1" s="1"/>
  <c r="CO353" i="1" s="1"/>
  <c r="AB734" i="1"/>
  <c r="AB761" i="1" s="1"/>
  <c r="AB461" i="1"/>
  <c r="AB463" i="1" s="1"/>
  <c r="AB483" i="1"/>
  <c r="AF500" i="1"/>
  <c r="AF130" i="1"/>
  <c r="CQ502" i="1"/>
  <c r="CQ130" i="1" s="1"/>
  <c r="AH424" i="1"/>
  <c r="AH459" i="1" s="1"/>
  <c r="AH488" i="1" s="1"/>
  <c r="AH502" i="1"/>
  <c r="AH408" i="1"/>
  <c r="C17" i="31" s="1"/>
  <c r="AB322" i="1"/>
  <c r="AB323" i="1" s="1"/>
  <c r="CX555" i="1"/>
  <c r="AC81" i="1"/>
  <c r="AC325" i="1"/>
  <c r="AC269" i="1"/>
  <c r="CP99" i="1"/>
  <c r="CP419" i="1"/>
  <c r="CP393" i="1"/>
  <c r="CP129" i="1"/>
  <c r="AD454" i="1"/>
  <c r="AD793" i="1"/>
  <c r="AD426" i="1"/>
  <c r="AD428" i="1" s="1"/>
  <c r="AD794" i="1"/>
  <c r="AE794" i="1"/>
  <c r="CR399" i="1"/>
  <c r="CR88" i="1" s="1"/>
  <c r="BA706" i="1"/>
  <c r="BB706" i="1" s="1"/>
  <c r="CZ706" i="1"/>
  <c r="CU499" i="1"/>
  <c r="E322" i="1"/>
  <c r="CX566" i="1"/>
  <c r="CY575" i="1"/>
  <c r="CX123" i="1"/>
  <c r="CW584" i="1"/>
  <c r="CX540" i="1"/>
  <c r="CC362" i="1"/>
  <c r="CC304" i="1" s="1"/>
  <c r="D319" i="1"/>
  <c r="CC379" i="1"/>
  <c r="CC764" i="1"/>
  <c r="CW151" i="1"/>
  <c r="CW577" i="1"/>
  <c r="CR398" i="1"/>
  <c r="AN13" i="31" s="1"/>
  <c r="CY583" i="1"/>
  <c r="CX677" i="1"/>
  <c r="AF81" i="1"/>
  <c r="AF325" i="1"/>
  <c r="AF269" i="1"/>
  <c r="CW678" i="1"/>
  <c r="CX603" i="1"/>
  <c r="CW573" i="1"/>
  <c r="AH628" i="1"/>
  <c r="AD295" i="1"/>
  <c r="AD353" i="1" s="1"/>
  <c r="CP353" i="1" s="1"/>
  <c r="CT522" i="1"/>
  <c r="CC334" i="1"/>
  <c r="CC276" i="1" s="1"/>
  <c r="CR572" i="1"/>
  <c r="CR585" i="1" s="1"/>
  <c r="CR627" i="1"/>
  <c r="CX602" i="1"/>
  <c r="CQ353" i="1"/>
  <c r="CU539" i="1"/>
  <c r="CU588" i="1"/>
  <c r="CV735" i="1"/>
  <c r="AR56" i="31" s="1"/>
  <c r="CV138" i="1"/>
  <c r="CX92" i="1"/>
  <c r="CS142" i="1"/>
  <c r="CR193" i="1"/>
  <c r="V9" i="16"/>
  <c r="U10" i="16"/>
  <c r="CR58" i="1"/>
  <c r="CR330" i="1"/>
  <c r="CR272" i="1" s="1"/>
  <c r="CR67" i="1" s="1"/>
  <c r="AN69" i="31" l="1"/>
  <c r="CF823" i="1"/>
  <c r="AD363" i="1"/>
  <c r="CR87" i="1"/>
  <c r="CR238" i="1"/>
  <c r="AL406" i="1"/>
  <c r="G15" i="31" s="1"/>
  <c r="AM405" i="1"/>
  <c r="H14" i="31" s="1"/>
  <c r="AO515" i="1"/>
  <c r="J44" i="31" s="1"/>
  <c r="J47" i="31" s="1"/>
  <c r="AO405" i="1"/>
  <c r="J14" i="31" s="1"/>
  <c r="AI405" i="1"/>
  <c r="D14" i="31" s="1"/>
  <c r="AQ515" i="1"/>
  <c r="L44" i="31" s="1"/>
  <c r="L47" i="31" s="1"/>
  <c r="AQ405" i="1"/>
  <c r="L14" i="31" s="1"/>
  <c r="AS405" i="1"/>
  <c r="N14" i="31" s="1"/>
  <c r="AK498" i="1"/>
  <c r="F43" i="31" s="1"/>
  <c r="AU405" i="1"/>
  <c r="P14" i="31" s="1"/>
  <c r="AW405" i="1"/>
  <c r="R14" i="31" s="1"/>
  <c r="AL32" i="1"/>
  <c r="AL31" i="1"/>
  <c r="AL70" i="1"/>
  <c r="AL29" i="1"/>
  <c r="AL67" i="1"/>
  <c r="AL272" i="1" s="1"/>
  <c r="AL38" i="1"/>
  <c r="AL33" i="1"/>
  <c r="AL39" i="1"/>
  <c r="AL30" i="1"/>
  <c r="AL132" i="1"/>
  <c r="AL40" i="1"/>
  <c r="AL68" i="1"/>
  <c r="AL273" i="1" s="1"/>
  <c r="AN1" i="1"/>
  <c r="I2" i="31" s="1"/>
  <c r="AM3" i="1"/>
  <c r="H3" i="31" s="1"/>
  <c r="AM2" i="1"/>
  <c r="AN725" i="1" s="1"/>
  <c r="AH319" i="1"/>
  <c r="AH322" i="1" s="1"/>
  <c r="AH323" i="1" s="1"/>
  <c r="C70" i="31" s="1"/>
  <c r="CG728" i="1"/>
  <c r="CG757" i="1" s="1"/>
  <c r="CG782" i="1"/>
  <c r="CO349" i="1"/>
  <c r="AB352" i="1"/>
  <c r="AB354" i="1" s="1"/>
  <c r="CO354" i="1" s="1"/>
  <c r="CO296" i="1" s="1"/>
  <c r="AE357" i="1"/>
  <c r="J1" i="1"/>
  <c r="J3" i="1" s="1"/>
  <c r="CO364" i="1"/>
  <c r="CO306" i="1" s="1"/>
  <c r="CO76" i="1" s="1"/>
  <c r="AE72" i="1"/>
  <c r="CG510" i="1"/>
  <c r="AD72" i="1"/>
  <c r="CO369" i="1"/>
  <c r="CO311" i="1" s="1"/>
  <c r="CO78" i="1" s="1"/>
  <c r="AD357" i="1"/>
  <c r="G87" i="1"/>
  <c r="AC79" i="1"/>
  <c r="AD306" i="1"/>
  <c r="CO291" i="1"/>
  <c r="CO294" i="1" s="1"/>
  <c r="AD301" i="1"/>
  <c r="AD74" i="1" s="1"/>
  <c r="AE363" i="1"/>
  <c r="AC374" i="1"/>
  <c r="AC377" i="1" s="1"/>
  <c r="AC391" i="1" s="1"/>
  <c r="AB374" i="1"/>
  <c r="AE301" i="1"/>
  <c r="AE74" i="1" s="1"/>
  <c r="AD358" i="1"/>
  <c r="I3" i="1"/>
  <c r="I70" i="1" s="1"/>
  <c r="I275" i="1" s="1"/>
  <c r="AE73" i="1"/>
  <c r="AD73" i="1"/>
  <c r="AE358" i="1"/>
  <c r="AC380" i="1"/>
  <c r="BT380" i="1"/>
  <c r="I2" i="1"/>
  <c r="J725" i="1" s="1"/>
  <c r="BT79" i="1"/>
  <c r="G84" i="1"/>
  <c r="G286" i="1"/>
  <c r="G344" i="1" s="1"/>
  <c r="G112" i="1"/>
  <c r="CD215" i="1"/>
  <c r="F85" i="1"/>
  <c r="BW391" i="1"/>
  <c r="CD227" i="1"/>
  <c r="G350" i="1"/>
  <c r="CD239" i="1"/>
  <c r="CD212" i="1" s="1"/>
  <c r="F118" i="1"/>
  <c r="CG3" i="1"/>
  <c r="G85" i="1"/>
  <c r="G305" i="1"/>
  <c r="G363" i="1" s="1"/>
  <c r="F783" i="1"/>
  <c r="CD262" i="1"/>
  <c r="CD247" i="1"/>
  <c r="F286" i="1"/>
  <c r="F344" i="1" s="1"/>
  <c r="CG2" i="1"/>
  <c r="CH725" i="1" s="1"/>
  <c r="G281" i="1"/>
  <c r="G339" i="1" s="1"/>
  <c r="G376" i="1"/>
  <c r="G113" i="1"/>
  <c r="G300" i="1"/>
  <c r="G358" i="1" s="1"/>
  <c r="F276" i="1"/>
  <c r="F71" i="1" s="1"/>
  <c r="CD704" i="1"/>
  <c r="G118" i="1"/>
  <c r="CD700" i="1"/>
  <c r="CD243" i="1"/>
  <c r="F785" i="1"/>
  <c r="F841" i="1" s="1"/>
  <c r="G97" i="1"/>
  <c r="G787" i="1"/>
  <c r="G88" i="1"/>
  <c r="G789" i="1"/>
  <c r="G299" i="1"/>
  <c r="G357" i="1" s="1"/>
  <c r="G788" i="1"/>
  <c r="G351" i="1"/>
  <c r="G810" i="1"/>
  <c r="G309" i="1"/>
  <c r="G367" i="1" s="1"/>
  <c r="G310" i="1"/>
  <c r="G368" i="1" s="1"/>
  <c r="G89" i="1"/>
  <c r="G809" i="1"/>
  <c r="G811" i="1"/>
  <c r="G93" i="1"/>
  <c r="G296" i="1"/>
  <c r="G321" i="1" s="1"/>
  <c r="G782" i="1"/>
  <c r="G785" i="1"/>
  <c r="G841" i="1" s="1"/>
  <c r="G117" i="1"/>
  <c r="G86" i="1"/>
  <c r="G790" i="1"/>
  <c r="G783" i="1"/>
  <c r="G276" i="1"/>
  <c r="G334" i="1" s="1"/>
  <c r="G304" i="1"/>
  <c r="G362" i="1" s="1"/>
  <c r="F330" i="1"/>
  <c r="CD265" i="1"/>
  <c r="CD88" i="1" s="1"/>
  <c r="CD259" i="1"/>
  <c r="CD85" i="1" s="1"/>
  <c r="CD267" i="1"/>
  <c r="CD87" i="1" s="1"/>
  <c r="CD545" i="1"/>
  <c r="CD729" i="1" s="1"/>
  <c r="CD758" i="1" s="1"/>
  <c r="CD235" i="1"/>
  <c r="CD219" i="1"/>
  <c r="CD23" i="1"/>
  <c r="CD26" i="1"/>
  <c r="CD24" i="1"/>
  <c r="F117" i="1"/>
  <c r="F296" i="1"/>
  <c r="F379" i="1" s="1"/>
  <c r="F789" i="1"/>
  <c r="F809" i="1"/>
  <c r="F300" i="1"/>
  <c r="F358" i="1" s="1"/>
  <c r="CD236" i="1"/>
  <c r="F309" i="1"/>
  <c r="CD223" i="1"/>
  <c r="CD254" i="1"/>
  <c r="CD257" i="1"/>
  <c r="F84" i="1"/>
  <c r="F304" i="1"/>
  <c r="F362" i="1" s="1"/>
  <c r="F87" i="1"/>
  <c r="CD696" i="1"/>
  <c r="CD237" i="1"/>
  <c r="CD809" i="1" s="1"/>
  <c r="CD224" i="1"/>
  <c r="CD242" i="1"/>
  <c r="F93" i="1"/>
  <c r="F113" i="1"/>
  <c r="F88" i="1"/>
  <c r="F310" i="1"/>
  <c r="F368" i="1" s="1"/>
  <c r="CD232" i="1"/>
  <c r="CD228" i="1"/>
  <c r="CD253" i="1"/>
  <c r="CD544" i="1"/>
  <c r="CD730" i="1" s="1"/>
  <c r="CD249" i="1"/>
  <c r="CD703" i="1"/>
  <c r="CD787" i="1" s="1"/>
  <c r="CD233" i="1"/>
  <c r="CD118" i="1" s="1"/>
  <c r="CD260" i="1"/>
  <c r="F112" i="1"/>
  <c r="F299" i="1"/>
  <c r="F72" i="1" s="1"/>
  <c r="F350" i="1"/>
  <c r="F811" i="1"/>
  <c r="F281" i="1"/>
  <c r="F75" i="1" s="1"/>
  <c r="F790" i="1"/>
  <c r="F376" i="1"/>
  <c r="CD248" i="1"/>
  <c r="CD261" i="1"/>
  <c r="CD128" i="1"/>
  <c r="CD737" i="1" s="1"/>
  <c r="CD763" i="1" s="1"/>
  <c r="F89" i="1"/>
  <c r="F787" i="1"/>
  <c r="CD697" i="1"/>
  <c r="CD788" i="1" s="1"/>
  <c r="CD25" i="1"/>
  <c r="CD238" i="1"/>
  <c r="CD701" i="1"/>
  <c r="CD782" i="1" s="1"/>
  <c r="F808" i="1"/>
  <c r="F351" i="1"/>
  <c r="CD222" i="1"/>
  <c r="CD244" i="1"/>
  <c r="CD132" i="1"/>
  <c r="CD266" i="1"/>
  <c r="CD234" i="1"/>
  <c r="CD109" i="1" s="1"/>
  <c r="CD467" i="1" s="1"/>
  <c r="CD252" i="1"/>
  <c r="CD229" i="1"/>
  <c r="CD258" i="1"/>
  <c r="F86" i="1"/>
  <c r="F305" i="1"/>
  <c r="F363" i="1" s="1"/>
  <c r="F782" i="1"/>
  <c r="F810" i="1"/>
  <c r="F97" i="1"/>
  <c r="CQ352" i="1"/>
  <c r="G330" i="1"/>
  <c r="AW792" i="1"/>
  <c r="CX701" i="1"/>
  <c r="BY32" i="1"/>
  <c r="BY46" i="1" s="1"/>
  <c r="BY29" i="1"/>
  <c r="BY38" i="1"/>
  <c r="BY39" i="1"/>
  <c r="BY33" i="1"/>
  <c r="BY47" i="1" s="1"/>
  <c r="BY30" i="1"/>
  <c r="BY40" i="1"/>
  <c r="BY31" i="1"/>
  <c r="AW515" i="1"/>
  <c r="R44" i="31" s="1"/>
  <c r="R47" i="31" s="1"/>
  <c r="AW495" i="1"/>
  <c r="AW498" i="1"/>
  <c r="R43" i="31" s="1"/>
  <c r="AW793" i="1"/>
  <c r="R71" i="31" s="1"/>
  <c r="AW454" i="1"/>
  <c r="AW426" i="1"/>
  <c r="R19" i="31" s="1"/>
  <c r="H32" i="1"/>
  <c r="H70" i="1"/>
  <c r="H275" i="1" s="1"/>
  <c r="H67" i="1"/>
  <c r="H272" i="1" s="1"/>
  <c r="H31" i="1"/>
  <c r="H29" i="1"/>
  <c r="H33" i="1"/>
  <c r="H40" i="1"/>
  <c r="H38" i="1"/>
  <c r="H39" i="1"/>
  <c r="H30" i="1"/>
  <c r="H68" i="1"/>
  <c r="H273" i="1" s="1"/>
  <c r="AX130" i="1"/>
  <c r="AX500" i="1"/>
  <c r="AX406" i="1"/>
  <c r="S15" i="31" s="1"/>
  <c r="AX419" i="1"/>
  <c r="AX393" i="1"/>
  <c r="AX99" i="1"/>
  <c r="BX40" i="1"/>
  <c r="BX32" i="1"/>
  <c r="BX29" i="1"/>
  <c r="BX38" i="1"/>
  <c r="BX33" i="1"/>
  <c r="BX30" i="1"/>
  <c r="BX31" i="1"/>
  <c r="BX39" i="1"/>
  <c r="CG759" i="1"/>
  <c r="AF354" i="1"/>
  <c r="CQ354" i="1" s="1"/>
  <c r="CQ296" i="1" s="1"/>
  <c r="CQ321" i="1" s="1"/>
  <c r="D359" i="1"/>
  <c r="AI561" i="1"/>
  <c r="AI628" i="1" s="1"/>
  <c r="CR628" i="1" s="1"/>
  <c r="CR553" i="1"/>
  <c r="CQ349" i="1"/>
  <c r="BX146" i="1"/>
  <c r="CC339" i="1"/>
  <c r="CC281" i="1" s="1"/>
  <c r="CC75" i="1" s="1"/>
  <c r="AV406" i="1"/>
  <c r="Q15" i="31" s="1"/>
  <c r="AV419" i="1"/>
  <c r="AW794" i="1" s="1"/>
  <c r="AV393" i="1"/>
  <c r="AV515" i="1"/>
  <c r="Q44" i="31" s="1"/>
  <c r="Q47" i="31" s="1"/>
  <c r="Q48" i="31" s="1"/>
  <c r="AV495" i="1"/>
  <c r="AV498" i="1"/>
  <c r="Q43" i="31" s="1"/>
  <c r="AH636" i="1"/>
  <c r="AH637" i="1" s="1"/>
  <c r="AH739" i="1" s="1"/>
  <c r="AH765" i="1" s="1"/>
  <c r="C73" i="1"/>
  <c r="E316" i="1"/>
  <c r="E317" i="1" s="1"/>
  <c r="E79" i="1" s="1"/>
  <c r="E364" i="1"/>
  <c r="CC364" i="1" s="1"/>
  <c r="CC306" i="1" s="1"/>
  <c r="CC76" i="1" s="1"/>
  <c r="CN731" i="1"/>
  <c r="CP332" i="1"/>
  <c r="CP274" i="1" s="1"/>
  <c r="CP69" i="1" s="1"/>
  <c r="C321" i="1"/>
  <c r="CI782" i="1"/>
  <c r="CI510" i="1"/>
  <c r="AU792" i="1"/>
  <c r="AU620" i="1"/>
  <c r="AU136" i="1"/>
  <c r="AU838" i="1" s="1"/>
  <c r="AU732" i="1"/>
  <c r="P55" i="31" s="1"/>
  <c r="AU741" i="1"/>
  <c r="AU767" i="1" s="1"/>
  <c r="AU525" i="1"/>
  <c r="P51" i="31" s="1"/>
  <c r="P50" i="31" s="1"/>
  <c r="AU740" i="1"/>
  <c r="AU766" i="1" s="1"/>
  <c r="AU730" i="1"/>
  <c r="P54" i="31" s="1"/>
  <c r="AU521" i="1"/>
  <c r="AU513" i="1"/>
  <c r="AU793" i="1"/>
  <c r="P71" i="31" s="1"/>
  <c r="AU426" i="1"/>
  <c r="P19" i="31" s="1"/>
  <c r="AU454" i="1"/>
  <c r="CI729" i="1"/>
  <c r="CI758" i="1" s="1"/>
  <c r="AJ553" i="1"/>
  <c r="AJ633" i="1" s="1"/>
  <c r="AJ635" i="1" s="1"/>
  <c r="AJ738" i="1" s="1"/>
  <c r="CM733" i="1"/>
  <c r="CN733" i="1"/>
  <c r="CI840" i="1"/>
  <c r="C301" i="1"/>
  <c r="C359" i="1" s="1"/>
  <c r="CJ733" i="1"/>
  <c r="CF513" i="1"/>
  <c r="CI759" i="1"/>
  <c r="CM731" i="1"/>
  <c r="CM840" i="1"/>
  <c r="CP291" i="1"/>
  <c r="CP294" i="1" s="1"/>
  <c r="C344" i="1"/>
  <c r="AK515" i="1"/>
  <c r="F44" i="31" s="1"/>
  <c r="F47" i="31" s="1"/>
  <c r="AK495" i="1"/>
  <c r="CO794" i="1"/>
  <c r="CO426" i="1"/>
  <c r="CO428" i="1" s="1"/>
  <c r="CO454" i="1"/>
  <c r="CO734" i="1" s="1"/>
  <c r="CO761" i="1" s="1"/>
  <c r="AT419" i="1"/>
  <c r="AU794" i="1" s="1"/>
  <c r="AT393" i="1"/>
  <c r="AT406" i="1"/>
  <c r="O15" i="31" s="1"/>
  <c r="AT515" i="1"/>
  <c r="O44" i="31" s="1"/>
  <c r="O47" i="31" s="1"/>
  <c r="P48" i="31" s="1"/>
  <c r="CP349" i="1"/>
  <c r="AT495" i="1"/>
  <c r="AT498" i="1"/>
  <c r="O43" i="31" s="1"/>
  <c r="CO792" i="1"/>
  <c r="AE728" i="1"/>
  <c r="AE757" i="1" s="1"/>
  <c r="D78" i="1"/>
  <c r="CF510" i="1"/>
  <c r="CO136" i="1"/>
  <c r="CO838" i="1" s="1"/>
  <c r="E372" i="1"/>
  <c r="CC372" i="1" s="1"/>
  <c r="CC314" i="1" s="1"/>
  <c r="C311" i="1"/>
  <c r="C369" i="1" s="1"/>
  <c r="E373" i="1"/>
  <c r="CC373" i="1" s="1"/>
  <c r="CC315" i="1" s="1"/>
  <c r="C315" i="1"/>
  <c r="C373" i="1" s="1"/>
  <c r="CD510" i="1"/>
  <c r="AS792" i="1"/>
  <c r="AS468" i="1"/>
  <c r="E359" i="1"/>
  <c r="AS521" i="1"/>
  <c r="AS620" i="1"/>
  <c r="AS525" i="1"/>
  <c r="N51" i="31" s="1"/>
  <c r="N50" i="31" s="1"/>
  <c r="AS732" i="1"/>
  <c r="N55" i="31" s="1"/>
  <c r="AS741" i="1"/>
  <c r="AS767" i="1" s="1"/>
  <c r="AS730" i="1"/>
  <c r="N54" i="31" s="1"/>
  <c r="AS740" i="1"/>
  <c r="AS766" i="1" s="1"/>
  <c r="AS513" i="1"/>
  <c r="AS793" i="1"/>
  <c r="N71" i="31" s="1"/>
  <c r="AS454" i="1"/>
  <c r="AS426" i="1"/>
  <c r="N19" i="31" s="1"/>
  <c r="CC358" i="1"/>
  <c r="CC300" i="1" s="1"/>
  <c r="CC73" i="1" s="1"/>
  <c r="C72" i="1"/>
  <c r="E323" i="1"/>
  <c r="E325" i="1" s="1"/>
  <c r="CC367" i="1"/>
  <c r="CC309" i="1" s="1"/>
  <c r="CH782" i="1"/>
  <c r="C291" i="1"/>
  <c r="E369" i="1"/>
  <c r="CC369" i="1" s="1"/>
  <c r="CC311" i="1" s="1"/>
  <c r="CC78" i="1" s="1"/>
  <c r="CH729" i="1"/>
  <c r="CH758" i="1" s="1"/>
  <c r="CC344" i="1"/>
  <c r="CC286" i="1" s="1"/>
  <c r="CC77" i="1" s="1"/>
  <c r="E349" i="1"/>
  <c r="CC731" i="1"/>
  <c r="CC759" i="1"/>
  <c r="CO515" i="1"/>
  <c r="CO741" i="1" s="1"/>
  <c r="CO767" i="1" s="1"/>
  <c r="D349" i="1"/>
  <c r="D352" i="1" s="1"/>
  <c r="CH510" i="1"/>
  <c r="C71" i="1"/>
  <c r="CC840" i="1"/>
  <c r="AE782" i="1"/>
  <c r="C75" i="1"/>
  <c r="C314" i="1"/>
  <c r="C372" i="1" s="1"/>
  <c r="C306" i="1"/>
  <c r="C76" i="1" s="1"/>
  <c r="AC521" i="1"/>
  <c r="CO521" i="1" s="1"/>
  <c r="AC740" i="1"/>
  <c r="AC766" i="1" s="1"/>
  <c r="D76" i="1"/>
  <c r="AC788" i="1"/>
  <c r="AC525" i="1"/>
  <c r="AC782" i="1" s="1"/>
  <c r="AE841" i="1"/>
  <c r="D316" i="1"/>
  <c r="D317" i="1" s="1"/>
  <c r="AC136" i="1"/>
  <c r="AC838" i="1" s="1"/>
  <c r="AC785" i="1"/>
  <c r="AC513" i="1"/>
  <c r="AC620" i="1"/>
  <c r="AC787" i="1"/>
  <c r="AC741" i="1"/>
  <c r="AC767" i="1" s="1"/>
  <c r="AC783" i="1"/>
  <c r="AC789" i="1"/>
  <c r="AC730" i="1"/>
  <c r="AC731" i="1" s="1"/>
  <c r="CS267" i="1"/>
  <c r="CH731" i="1"/>
  <c r="CI733" i="1"/>
  <c r="CH759" i="1"/>
  <c r="CH733" i="1"/>
  <c r="AC461" i="1"/>
  <c r="AC463" i="1" s="1"/>
  <c r="AC483" i="1"/>
  <c r="AC490" i="1" s="1"/>
  <c r="AE840" i="1"/>
  <c r="AR406" i="1"/>
  <c r="M15" i="31" s="1"/>
  <c r="AR99" i="1"/>
  <c r="AR419" i="1"/>
  <c r="AS794" i="1" s="1"/>
  <c r="AR393" i="1"/>
  <c r="AR130" i="1"/>
  <c r="AR500" i="1"/>
  <c r="AQ792" i="1"/>
  <c r="AQ793" i="1"/>
  <c r="L71" i="31" s="1"/>
  <c r="AQ426" i="1"/>
  <c r="L19" i="31" s="1"/>
  <c r="AQ454" i="1"/>
  <c r="AQ498" i="1"/>
  <c r="L43" i="31" s="1"/>
  <c r="AQ495" i="1"/>
  <c r="AQ468" i="1"/>
  <c r="AP419" i="1"/>
  <c r="AQ794" i="1" s="1"/>
  <c r="AP393" i="1"/>
  <c r="AP406" i="1"/>
  <c r="K15" i="31" s="1"/>
  <c r="AP99" i="1"/>
  <c r="AP130" i="1"/>
  <c r="AP500" i="1"/>
  <c r="AG525" i="1"/>
  <c r="AG788" i="1"/>
  <c r="AG620" i="1"/>
  <c r="AG785" i="1"/>
  <c r="AG730" i="1"/>
  <c r="AG513" i="1"/>
  <c r="AG783" i="1"/>
  <c r="AG741" i="1"/>
  <c r="AG767" i="1" s="1"/>
  <c r="AG789" i="1"/>
  <c r="AG521" i="1"/>
  <c r="AG740" i="1"/>
  <c r="AG766" i="1" s="1"/>
  <c r="AG136" i="1"/>
  <c r="AG838" i="1" s="1"/>
  <c r="AG732" i="1"/>
  <c r="AG760" i="1" s="1"/>
  <c r="AG787" i="1"/>
  <c r="AI498" i="1"/>
  <c r="D43" i="31" s="1"/>
  <c r="AI495" i="1"/>
  <c r="CI731" i="1"/>
  <c r="AG426" i="1"/>
  <c r="AG428" i="1" s="1"/>
  <c r="AG793" i="1"/>
  <c r="AG792" i="1"/>
  <c r="AG454" i="1"/>
  <c r="AO792" i="1"/>
  <c r="AO454" i="1"/>
  <c r="AO426" i="1"/>
  <c r="J19" i="31" s="1"/>
  <c r="AO793" i="1"/>
  <c r="J71" i="31" s="1"/>
  <c r="AO498" i="1"/>
  <c r="J43" i="31" s="1"/>
  <c r="AO495" i="1"/>
  <c r="G158" i="1"/>
  <c r="H216" i="1" s="1"/>
  <c r="AE734" i="1"/>
  <c r="AE761" i="1" s="1"/>
  <c r="AE483" i="1"/>
  <c r="AE461" i="1"/>
  <c r="AE463" i="1" s="1"/>
  <c r="AI635" i="1"/>
  <c r="AI738" i="1" s="1"/>
  <c r="AI764" i="1" s="1"/>
  <c r="CR633" i="1"/>
  <c r="F160" i="1"/>
  <c r="G54" i="1" s="1"/>
  <c r="CC760" i="1"/>
  <c r="Z493" i="1"/>
  <c r="Z510" i="1" s="1"/>
  <c r="J53" i="1"/>
  <c r="H54" i="1"/>
  <c r="H218" i="1"/>
  <c r="H159" i="1"/>
  <c r="I53" i="1" s="1"/>
  <c r="J217" i="1"/>
  <c r="S129" i="1"/>
  <c r="S490" i="1"/>
  <c r="S493" i="1" s="1"/>
  <c r="S510" i="1" s="1"/>
  <c r="AN406" i="1"/>
  <c r="I15" i="31" s="1"/>
  <c r="AN419" i="1"/>
  <c r="AO794" i="1" s="1"/>
  <c r="AN515" i="1"/>
  <c r="I44" i="31" s="1"/>
  <c r="I47" i="31" s="1"/>
  <c r="AN393" i="1"/>
  <c r="AN498" i="1"/>
  <c r="I43" i="31" s="1"/>
  <c r="AN495" i="1"/>
  <c r="AM513" i="1"/>
  <c r="AM730" i="1"/>
  <c r="H54" i="31" s="1"/>
  <c r="AM732" i="1"/>
  <c r="H55" i="31" s="1"/>
  <c r="AM741" i="1"/>
  <c r="AM767" i="1" s="1"/>
  <c r="AM620" i="1"/>
  <c r="AM740" i="1"/>
  <c r="AM766" i="1" s="1"/>
  <c r="AM525" i="1"/>
  <c r="H51" i="31" s="1"/>
  <c r="H50" i="31" s="1"/>
  <c r="AM521" i="1"/>
  <c r="AM454" i="1"/>
  <c r="AM426" i="1"/>
  <c r="H19" i="31" s="1"/>
  <c r="AM793" i="1"/>
  <c r="H71" i="31" s="1"/>
  <c r="CT236" i="1"/>
  <c r="CT235" i="1"/>
  <c r="AM792" i="1"/>
  <c r="CT536" i="1"/>
  <c r="CT623" i="1" s="1"/>
  <c r="CR339" i="1"/>
  <c r="CR281" i="1" s="1"/>
  <c r="CR75" i="1" s="1"/>
  <c r="CC61" i="1"/>
  <c r="CB192" i="1"/>
  <c r="CS236" i="1"/>
  <c r="CS235" i="1"/>
  <c r="CS257" i="1"/>
  <c r="CS261" i="1"/>
  <c r="AI349" i="1"/>
  <c r="AI352" i="1" s="1"/>
  <c r="AI354" i="1" s="1"/>
  <c r="AL515" i="1"/>
  <c r="G44" i="31" s="1"/>
  <c r="G47" i="31" s="1"/>
  <c r="AL495" i="1"/>
  <c r="AL498" i="1"/>
  <c r="G43" i="31" s="1"/>
  <c r="AK109" i="1"/>
  <c r="AK111" i="1"/>
  <c r="AK86" i="1"/>
  <c r="AK84" i="1"/>
  <c r="AK87" i="1"/>
  <c r="AE362" i="1"/>
  <c r="CP362" i="1" s="1"/>
  <c r="CP304" i="1" s="1"/>
  <c r="AE306" i="1"/>
  <c r="AE76" i="1" s="1"/>
  <c r="AK273" i="1"/>
  <c r="AK331" i="1" s="1"/>
  <c r="CF820" i="1"/>
  <c r="AK88" i="1"/>
  <c r="AK93" i="1"/>
  <c r="AK85" i="1"/>
  <c r="AK112" i="1"/>
  <c r="AK117" i="1"/>
  <c r="AK113" i="1"/>
  <c r="AK118" i="1"/>
  <c r="AK737" i="1"/>
  <c r="AK763" i="1" s="1"/>
  <c r="AK808" i="1"/>
  <c r="AK810" i="1"/>
  <c r="AK811" i="1"/>
  <c r="AK809" i="1"/>
  <c r="AK351" i="1"/>
  <c r="AK350" i="1"/>
  <c r="BW165" i="1"/>
  <c r="BX223" i="1" s="1"/>
  <c r="AJ87" i="1"/>
  <c r="BW178" i="1"/>
  <c r="BW795" i="1" s="1"/>
  <c r="AI636" i="1"/>
  <c r="CR249" i="1"/>
  <c r="CR244" i="1"/>
  <c r="BT391" i="1"/>
  <c r="AB839" i="1"/>
  <c r="AJ86" i="1"/>
  <c r="AJ331" i="1"/>
  <c r="AJ88" i="1"/>
  <c r="CX576" i="1"/>
  <c r="CF817" i="1"/>
  <c r="CF821" i="1"/>
  <c r="BS531" i="1"/>
  <c r="CF116" i="1"/>
  <c r="CF824" i="1"/>
  <c r="CT554" i="1"/>
  <c r="BS541" i="1"/>
  <c r="BS550" i="1" s="1"/>
  <c r="BS564" i="1" s="1"/>
  <c r="BS568" i="1" s="1"/>
  <c r="BS661" i="1"/>
  <c r="BS743" i="1" s="1"/>
  <c r="BS769" i="1" s="1"/>
  <c r="AJ130" i="1"/>
  <c r="AJ500" i="1"/>
  <c r="CF826" i="1"/>
  <c r="CF827" i="1"/>
  <c r="CF818" i="1"/>
  <c r="CF814" i="1"/>
  <c r="AJ111" i="1"/>
  <c r="AJ109" i="1"/>
  <c r="AJ93" i="1"/>
  <c r="AJ85" i="1"/>
  <c r="AJ112" i="1"/>
  <c r="AJ97" i="1"/>
  <c r="AJ110" i="1"/>
  <c r="AJ117" i="1"/>
  <c r="AJ113" i="1"/>
  <c r="AJ84" i="1"/>
  <c r="AJ118" i="1"/>
  <c r="AJ809" i="1"/>
  <c r="AJ808" i="1"/>
  <c r="AJ811" i="1"/>
  <c r="AJ810" i="1"/>
  <c r="AJ350" i="1"/>
  <c r="AJ351" i="1"/>
  <c r="CS128" i="1"/>
  <c r="AJ330" i="1"/>
  <c r="AJ406" i="1"/>
  <c r="E15" i="31" s="1"/>
  <c r="AJ393" i="1"/>
  <c r="CS132" i="1"/>
  <c r="BS742" i="1"/>
  <c r="BS768" i="1" s="1"/>
  <c r="CG827" i="1"/>
  <c r="CG818" i="1"/>
  <c r="CG817" i="1"/>
  <c r="CG820" i="1"/>
  <c r="CG821" i="1"/>
  <c r="CG740" i="1"/>
  <c r="CG766" i="1" s="1"/>
  <c r="CG823" i="1"/>
  <c r="CG814" i="1"/>
  <c r="CG824" i="1"/>
  <c r="CG116" i="1"/>
  <c r="CG826" i="1"/>
  <c r="CK733" i="1"/>
  <c r="CK760" i="1"/>
  <c r="CL733" i="1"/>
  <c r="BW193" i="1"/>
  <c r="BX199" i="1"/>
  <c r="CK728" i="1"/>
  <c r="CK757" i="1" s="1"/>
  <c r="CK782" i="1"/>
  <c r="CK729" i="1"/>
  <c r="CK758" i="1" s="1"/>
  <c r="CK731" i="1"/>
  <c r="CK759" i="1"/>
  <c r="CL731" i="1"/>
  <c r="CK840" i="1"/>
  <c r="CK510" i="1"/>
  <c r="BZ3" i="1"/>
  <c r="BZ2" i="1"/>
  <c r="CA725" i="1" s="1"/>
  <c r="CH2" i="1"/>
  <c r="CI725" i="1" s="1"/>
  <c r="CI1" i="1"/>
  <c r="CH3" i="1"/>
  <c r="BS79" i="1"/>
  <c r="BS375" i="1"/>
  <c r="BS377" i="1" s="1"/>
  <c r="BS391" i="1" s="1"/>
  <c r="BS380" i="1"/>
  <c r="AZ59" i="1"/>
  <c r="AZ60" i="1"/>
  <c r="CR228" i="1"/>
  <c r="AH349" i="1"/>
  <c r="AH294" i="1"/>
  <c r="CW546" i="1"/>
  <c r="AB841" i="1"/>
  <c r="BY86" i="1"/>
  <c r="BY810" i="1"/>
  <c r="BY84" i="1"/>
  <c r="BY118" i="1"/>
  <c r="BY113" i="1"/>
  <c r="BY808" i="1"/>
  <c r="BX57" i="1"/>
  <c r="BW170" i="1"/>
  <c r="BW172" i="1"/>
  <c r="CC510" i="1"/>
  <c r="CC728" i="1"/>
  <c r="CC757" i="1" s="1"/>
  <c r="CC729" i="1"/>
  <c r="CC758" i="1" s="1"/>
  <c r="CC782" i="1"/>
  <c r="BX816" i="1"/>
  <c r="BX822" i="1"/>
  <c r="BX812" i="1"/>
  <c r="BX825" i="1"/>
  <c r="BX813" i="1"/>
  <c r="BX819" i="1"/>
  <c r="BX154" i="1"/>
  <c r="BC706" i="1"/>
  <c r="CX565" i="1"/>
  <c r="BV164" i="1"/>
  <c r="BW56" i="1" s="1"/>
  <c r="BW46" i="1" s="1"/>
  <c r="BV173" i="1"/>
  <c r="BV178" i="1" s="1"/>
  <c r="BV166" i="1"/>
  <c r="BW57" i="1" s="1"/>
  <c r="BW47" i="1" s="1"/>
  <c r="BX222" i="1"/>
  <c r="BX56" i="1"/>
  <c r="BT622" i="1"/>
  <c r="BT624" i="1" s="1"/>
  <c r="BT529" i="1"/>
  <c r="BT534" i="1" s="1"/>
  <c r="BT538" i="1" s="1"/>
  <c r="BY467" i="1"/>
  <c r="CP454" i="1"/>
  <c r="CP426" i="1"/>
  <c r="CP428" i="1" s="1"/>
  <c r="CP793" i="1"/>
  <c r="CP794" i="1"/>
  <c r="AB269" i="1"/>
  <c r="AB325" i="1"/>
  <c r="AB81" i="1"/>
  <c r="AH500" i="1"/>
  <c r="AH130" i="1"/>
  <c r="AF498" i="1"/>
  <c r="AF495" i="1"/>
  <c r="CQ500" i="1"/>
  <c r="CQ495" i="1" s="1"/>
  <c r="C674" i="1"/>
  <c r="C550" i="1"/>
  <c r="C564" i="1" s="1"/>
  <c r="C568" i="1" s="1"/>
  <c r="C583" i="1" s="1"/>
  <c r="CP498" i="1"/>
  <c r="CP131" i="1" s="1"/>
  <c r="AE131" i="1"/>
  <c r="CP495" i="1"/>
  <c r="CP515" i="1"/>
  <c r="AD89" i="1"/>
  <c r="CP405" i="1"/>
  <c r="CP89" i="1" s="1"/>
  <c r="CT606" i="1"/>
  <c r="CR344" i="1"/>
  <c r="CX601" i="1"/>
  <c r="CQ393" i="1"/>
  <c r="CQ419" i="1"/>
  <c r="CQ99" i="1"/>
  <c r="CQ129" i="1"/>
  <c r="AF515" i="1"/>
  <c r="AF405" i="1"/>
  <c r="CQ406" i="1"/>
  <c r="AB760" i="1"/>
  <c r="AB733" i="1"/>
  <c r="AC733" i="1"/>
  <c r="AB731" i="1"/>
  <c r="AB840" i="1"/>
  <c r="AB759" i="1"/>
  <c r="AD483" i="1"/>
  <c r="AD734" i="1"/>
  <c r="AD761" i="1" s="1"/>
  <c r="AD461" i="1"/>
  <c r="AD463" i="1" s="1"/>
  <c r="CP792" i="1"/>
  <c r="CY555" i="1"/>
  <c r="AB79" i="1"/>
  <c r="AB375" i="1"/>
  <c r="CO375" i="1" s="1"/>
  <c r="CO317" i="1" s="1"/>
  <c r="CO79" i="1" s="1"/>
  <c r="AB380" i="1"/>
  <c r="AH406" i="1"/>
  <c r="C15" i="31" s="1"/>
  <c r="AH393" i="1"/>
  <c r="AH419" i="1"/>
  <c r="AH99" i="1"/>
  <c r="AB129" i="1"/>
  <c r="AB490" i="1"/>
  <c r="CY574" i="1"/>
  <c r="CY600" i="1"/>
  <c r="C743" i="1"/>
  <c r="C769" i="1" s="1"/>
  <c r="C698" i="1"/>
  <c r="C789" i="1" s="1"/>
  <c r="D698" i="1"/>
  <c r="D789" i="1" s="1"/>
  <c r="D702" i="1"/>
  <c r="D785" i="1" s="1"/>
  <c r="D841" i="1" s="1"/>
  <c r="C667" i="1"/>
  <c r="C702" i="1"/>
  <c r="C785" i="1" s="1"/>
  <c r="C841" i="1" s="1"/>
  <c r="D529" i="1"/>
  <c r="D534" i="1" s="1"/>
  <c r="D538" i="1" s="1"/>
  <c r="D742" i="1" s="1"/>
  <c r="D768" i="1" s="1"/>
  <c r="D622" i="1"/>
  <c r="D624" i="1" s="1"/>
  <c r="AD787" i="1"/>
  <c r="AD741" i="1"/>
  <c r="AD767" i="1" s="1"/>
  <c r="AD783" i="1"/>
  <c r="AD732" i="1"/>
  <c r="AD525" i="1"/>
  <c r="AD785" i="1"/>
  <c r="AD521" i="1"/>
  <c r="CP136" i="1"/>
  <c r="CP838" i="1" s="1"/>
  <c r="AD513" i="1"/>
  <c r="AD136" i="1"/>
  <c r="AD838" i="1" s="1"/>
  <c r="AD740" i="1"/>
  <c r="AD766" i="1" s="1"/>
  <c r="AD620" i="1"/>
  <c r="AD788" i="1"/>
  <c r="AD789" i="1"/>
  <c r="AD730" i="1"/>
  <c r="CR178" i="1"/>
  <c r="AN59" i="31" s="1"/>
  <c r="CY571" i="1"/>
  <c r="AF454" i="1"/>
  <c r="AF793" i="1"/>
  <c r="AF426" i="1"/>
  <c r="AF794" i="1"/>
  <c r="AG794" i="1"/>
  <c r="AF792" i="1"/>
  <c r="AB728" i="1"/>
  <c r="AB757" i="1" s="1"/>
  <c r="AB782" i="1"/>
  <c r="AB729" i="1"/>
  <c r="AB758" i="1" s="1"/>
  <c r="CE54" i="1"/>
  <c r="CR400" i="1"/>
  <c r="CY602" i="1"/>
  <c r="CC71" i="1"/>
  <c r="CY603" i="1"/>
  <c r="CY677" i="1"/>
  <c r="C322" i="1"/>
  <c r="CR502" i="1"/>
  <c r="CR412" i="1"/>
  <c r="CR424" i="1" s="1"/>
  <c r="CR459" i="1" s="1"/>
  <c r="CR488" i="1" s="1"/>
  <c r="CY682" i="1"/>
  <c r="AY682" i="1"/>
  <c r="CX577" i="1"/>
  <c r="D295" i="1"/>
  <c r="D353" i="1" s="1"/>
  <c r="CY540" i="1"/>
  <c r="AF363" i="1"/>
  <c r="CX584" i="1"/>
  <c r="CY123" i="1"/>
  <c r="AZ575" i="1"/>
  <c r="BA575" i="1" s="1"/>
  <c r="CZ575" i="1"/>
  <c r="CU522" i="1"/>
  <c r="AF358" i="1"/>
  <c r="AF73" i="1"/>
  <c r="DA706" i="1"/>
  <c r="CZ35" i="1"/>
  <c r="CP352" i="1"/>
  <c r="AD354" i="1"/>
  <c r="CP354" i="1" s="1"/>
  <c r="CP296" i="1" s="1"/>
  <c r="CX573" i="1"/>
  <c r="CX678" i="1"/>
  <c r="AF72" i="1"/>
  <c r="AF301" i="1"/>
  <c r="AF357" i="1"/>
  <c r="CY681" i="1"/>
  <c r="AZ583" i="1"/>
  <c r="BA583" i="1" s="1"/>
  <c r="CZ583" i="1"/>
  <c r="CZ34" i="1"/>
  <c r="CR433" i="1"/>
  <c r="CX151" i="1"/>
  <c r="D322" i="1"/>
  <c r="D323" i="1" s="1"/>
  <c r="E295" i="1"/>
  <c r="E353" i="1" s="1"/>
  <c r="AH764" i="1"/>
  <c r="CY566" i="1"/>
  <c r="AF362" i="1"/>
  <c r="AF306" i="1"/>
  <c r="AD81" i="1"/>
  <c r="AD269" i="1"/>
  <c r="AD325" i="1"/>
  <c r="CY92" i="1"/>
  <c r="CS762" i="1"/>
  <c r="W9" i="16"/>
  <c r="V10" i="16"/>
  <c r="R48" i="31" l="1"/>
  <c r="AN60" i="31"/>
  <c r="G50" i="31"/>
  <c r="O48" i="31"/>
  <c r="AD364" i="1"/>
  <c r="CY701" i="1"/>
  <c r="C37" i="30" s="1"/>
  <c r="CP363" i="1"/>
  <c r="CP305" i="1" s="1"/>
  <c r="AD368" i="1"/>
  <c r="AD310" i="1" s="1"/>
  <c r="AO525" i="1"/>
  <c r="AQ136" i="1"/>
  <c r="AQ838" i="1" s="1"/>
  <c r="AO136" i="1"/>
  <c r="AO838" i="1" s="1"/>
  <c r="AQ730" i="1"/>
  <c r="AQ620" i="1"/>
  <c r="AQ513" i="1"/>
  <c r="I40" i="1"/>
  <c r="AO732" i="1"/>
  <c r="J55" i="31" s="1"/>
  <c r="AQ732" i="1"/>
  <c r="L55" i="31" s="1"/>
  <c r="AO730" i="1"/>
  <c r="AO513" i="1"/>
  <c r="AQ525" i="1"/>
  <c r="L51" i="31" s="1"/>
  <c r="L50" i="31" s="1"/>
  <c r="AO521" i="1"/>
  <c r="AO741" i="1"/>
  <c r="AO767" i="1" s="1"/>
  <c r="AQ740" i="1"/>
  <c r="AQ766" i="1" s="1"/>
  <c r="I32" i="1"/>
  <c r="CO352" i="1"/>
  <c r="AO620" i="1"/>
  <c r="AQ741" i="1"/>
  <c r="AQ767" i="1" s="1"/>
  <c r="AO740" i="1"/>
  <c r="AO766" i="1" s="1"/>
  <c r="AQ521" i="1"/>
  <c r="CP357" i="1"/>
  <c r="CP299" i="1" s="1"/>
  <c r="CP72" i="1" s="1"/>
  <c r="AJ405" i="1"/>
  <c r="E14" i="31" s="1"/>
  <c r="AM428" i="1"/>
  <c r="AN405" i="1"/>
  <c r="I14" i="31" s="1"/>
  <c r="AO428" i="1"/>
  <c r="AP405" i="1"/>
  <c r="K14" i="31" s="1"/>
  <c r="AQ428" i="1"/>
  <c r="AR515" i="1"/>
  <c r="AR405" i="1"/>
  <c r="M14" i="31" s="1"/>
  <c r="AS428" i="1"/>
  <c r="AS759" i="1"/>
  <c r="AS760" i="1"/>
  <c r="AT405" i="1"/>
  <c r="O14" i="31" s="1"/>
  <c r="AK521" i="1"/>
  <c r="AU428" i="1"/>
  <c r="AV405" i="1"/>
  <c r="Q14" i="31" s="1"/>
  <c r="AX405" i="1"/>
  <c r="S14" i="31" s="1"/>
  <c r="AX515" i="1"/>
  <c r="S44" i="31" s="1"/>
  <c r="S47" i="31" s="1"/>
  <c r="AW428" i="1"/>
  <c r="AI89" i="1"/>
  <c r="AL405" i="1"/>
  <c r="G14" i="31" s="1"/>
  <c r="AH515" i="1"/>
  <c r="AO1" i="1"/>
  <c r="J2" i="31" s="1"/>
  <c r="AN3" i="1"/>
  <c r="I3" i="31" s="1"/>
  <c r="AN2" i="1"/>
  <c r="AO725" i="1" s="1"/>
  <c r="AM32" i="1"/>
  <c r="AM31" i="1"/>
  <c r="AM70" i="1"/>
  <c r="AM275" i="1" s="1"/>
  <c r="AM29" i="1"/>
  <c r="AM67" i="1"/>
  <c r="AM272" i="1" s="1"/>
  <c r="AM30" i="1"/>
  <c r="AM39" i="1"/>
  <c r="AM40" i="1"/>
  <c r="AM33" i="1"/>
  <c r="AM132" i="1"/>
  <c r="AM38" i="1"/>
  <c r="AM68" i="1"/>
  <c r="AM273" i="1" s="1"/>
  <c r="AM5" i="1"/>
  <c r="H4" i="31" s="1"/>
  <c r="AH405" i="1"/>
  <c r="C14" i="31" s="1"/>
  <c r="J2" i="1"/>
  <c r="K725" i="1" s="1"/>
  <c r="K1" i="1"/>
  <c r="K3" i="1" s="1"/>
  <c r="AD367" i="1"/>
  <c r="AD309" i="1" s="1"/>
  <c r="H5" i="1"/>
  <c r="H305" i="1" s="1"/>
  <c r="H363" i="1" s="1"/>
  <c r="AD76" i="1"/>
  <c r="I31" i="1"/>
  <c r="I68" i="1"/>
  <c r="I273" i="1" s="1"/>
  <c r="I39" i="1"/>
  <c r="I29" i="1"/>
  <c r="I30" i="1"/>
  <c r="I67" i="1"/>
  <c r="I272" i="1" s="1"/>
  <c r="CD368" i="1"/>
  <c r="CD310" i="1" s="1"/>
  <c r="I33" i="1"/>
  <c r="CD728" i="1"/>
  <c r="CD757" i="1" s="1"/>
  <c r="CD732" i="1"/>
  <c r="CD733" i="1" s="1"/>
  <c r="I5" i="1"/>
  <c r="I276" i="1" s="1"/>
  <c r="I71" i="1" s="1"/>
  <c r="I38" i="1"/>
  <c r="CD350" i="1"/>
  <c r="F357" i="1"/>
  <c r="CD357" i="1" s="1"/>
  <c r="CD299" i="1" s="1"/>
  <c r="CD72" i="1" s="1"/>
  <c r="F321" i="1"/>
  <c r="AE368" i="1"/>
  <c r="AE310" i="1" s="1"/>
  <c r="CO374" i="1"/>
  <c r="CO316" i="1" s="1"/>
  <c r="CD741" i="1"/>
  <c r="CD767" i="1" s="1"/>
  <c r="CD811" i="1"/>
  <c r="CD131" i="1"/>
  <c r="CP358" i="1"/>
  <c r="CP300" i="1" s="1"/>
  <c r="CP73" i="1" s="1"/>
  <c r="CO380" i="1"/>
  <c r="AD359" i="1"/>
  <c r="CD783" i="1"/>
  <c r="CD112" i="1"/>
  <c r="CD702" i="1"/>
  <c r="CD785" i="1" s="1"/>
  <c r="CD841" i="1" s="1"/>
  <c r="CD117" i="1"/>
  <c r="AE359" i="1"/>
  <c r="CD113" i="1"/>
  <c r="G301" i="1"/>
  <c r="G359" i="1" s="1"/>
  <c r="CD84" i="1"/>
  <c r="CD810" i="1"/>
  <c r="CD351" i="1"/>
  <c r="CD362" i="1"/>
  <c r="CD304" i="1" s="1"/>
  <c r="CD89" i="1"/>
  <c r="CD808" i="1"/>
  <c r="CD86" i="1"/>
  <c r="CD111" i="1"/>
  <c r="F311" i="1"/>
  <c r="F78" i="1" s="1"/>
  <c r="G291" i="1"/>
  <c r="G349" i="1" s="1"/>
  <c r="CD738" i="1"/>
  <c r="CD764" i="1" s="1"/>
  <c r="G71" i="1"/>
  <c r="CD376" i="1"/>
  <c r="CD318" i="1" s="1"/>
  <c r="CD80" i="1" s="1"/>
  <c r="F367" i="1"/>
  <c r="CD367" i="1" s="1"/>
  <c r="CD309" i="1" s="1"/>
  <c r="G77" i="1"/>
  <c r="CD344" i="1"/>
  <c r="CD286" i="1" s="1"/>
  <c r="CD77" i="1" s="1"/>
  <c r="CD734" i="1"/>
  <c r="CD761" i="1" s="1"/>
  <c r="CD740" i="1"/>
  <c r="CD766" i="1" s="1"/>
  <c r="CD739" i="1"/>
  <c r="CD765" i="1" s="1"/>
  <c r="G379" i="1"/>
  <c r="G319" i="1" s="1"/>
  <c r="G322" i="1" s="1"/>
  <c r="G323" i="1" s="1"/>
  <c r="G81" i="1" s="1"/>
  <c r="F306" i="1"/>
  <c r="F364" i="1" s="1"/>
  <c r="F314" i="1"/>
  <c r="CD698" i="1"/>
  <c r="CD789" i="1" s="1"/>
  <c r="G75" i="1"/>
  <c r="G314" i="1"/>
  <c r="G372" i="1" s="1"/>
  <c r="G311" i="1"/>
  <c r="G369" i="1" s="1"/>
  <c r="CD363" i="1"/>
  <c r="CD305" i="1" s="1"/>
  <c r="AW131" i="1"/>
  <c r="F334" i="1"/>
  <c r="CD334" i="1" s="1"/>
  <c r="CD276" i="1" s="1"/>
  <c r="G315" i="1"/>
  <c r="G373" i="1" s="1"/>
  <c r="F77" i="1"/>
  <c r="F291" i="1"/>
  <c r="F294" i="1" s="1"/>
  <c r="F339" i="1"/>
  <c r="CD339" i="1" s="1"/>
  <c r="CD281" i="1" s="1"/>
  <c r="CD75" i="1" s="1"/>
  <c r="G306" i="1"/>
  <c r="G76" i="1" s="1"/>
  <c r="G73" i="1"/>
  <c r="G72" i="1"/>
  <c r="CD358" i="1"/>
  <c r="CD300" i="1" s="1"/>
  <c r="CD73" i="1" s="1"/>
  <c r="F73" i="1"/>
  <c r="F301" i="1"/>
  <c r="F74" i="1" s="1"/>
  <c r="CD330" i="1"/>
  <c r="CD272" i="1" s="1"/>
  <c r="CD67" i="1" s="1"/>
  <c r="F315" i="1"/>
  <c r="F373" i="1" s="1"/>
  <c r="CD699" i="1"/>
  <c r="CR561" i="1"/>
  <c r="AX792" i="1"/>
  <c r="J70" i="1"/>
  <c r="J275" i="1" s="1"/>
  <c r="J67" i="1"/>
  <c r="J272" i="1" s="1"/>
  <c r="J39" i="1"/>
  <c r="J68" i="1"/>
  <c r="J273" i="1" s="1"/>
  <c r="J40" i="1"/>
  <c r="J38" i="1"/>
  <c r="J33" i="1"/>
  <c r="J32" i="1"/>
  <c r="J30" i="1"/>
  <c r="J31" i="1"/>
  <c r="J29" i="1"/>
  <c r="BZ38" i="1"/>
  <c r="BZ33" i="1"/>
  <c r="BZ30" i="1"/>
  <c r="BZ39" i="1"/>
  <c r="BZ31" i="1"/>
  <c r="BZ29" i="1"/>
  <c r="BZ40" i="1"/>
  <c r="BZ32" i="1"/>
  <c r="AW136" i="1"/>
  <c r="AW838" i="1" s="1"/>
  <c r="AW730" i="1"/>
  <c r="R54" i="31" s="1"/>
  <c r="AW741" i="1"/>
  <c r="AW767" i="1" s="1"/>
  <c r="AW521" i="1"/>
  <c r="AW740" i="1"/>
  <c r="AW766" i="1" s="1"/>
  <c r="AW525" i="1"/>
  <c r="R51" i="31" s="1"/>
  <c r="R50" i="31" s="1"/>
  <c r="AW513" i="1"/>
  <c r="AW732" i="1"/>
  <c r="R55" i="31" s="1"/>
  <c r="AW620" i="1"/>
  <c r="AX495" i="1"/>
  <c r="AX498" i="1"/>
  <c r="S43" i="31" s="1"/>
  <c r="AW483" i="1"/>
  <c r="AW461" i="1"/>
  <c r="AW734" i="1"/>
  <c r="AW761" i="1" s="1"/>
  <c r="BX46" i="1"/>
  <c r="AX454" i="1"/>
  <c r="AX426" i="1"/>
  <c r="S19" i="31" s="1"/>
  <c r="AX793" i="1"/>
  <c r="S71" i="31" s="1"/>
  <c r="AX794" i="1"/>
  <c r="AV792" i="1"/>
  <c r="AV426" i="1"/>
  <c r="Q19" i="31" s="1"/>
  <c r="Q20" i="31" s="1"/>
  <c r="AV454" i="1"/>
  <c r="AV794" i="1"/>
  <c r="AV793" i="1"/>
  <c r="Q71" i="31" s="1"/>
  <c r="AV730" i="1"/>
  <c r="Q54" i="31" s="1"/>
  <c r="AV521" i="1"/>
  <c r="AV513" i="1"/>
  <c r="AV525" i="1"/>
  <c r="Q51" i="31" s="1"/>
  <c r="Q50" i="31" s="1"/>
  <c r="AV620" i="1"/>
  <c r="AV741" i="1"/>
  <c r="AV767" i="1" s="1"/>
  <c r="AV732" i="1"/>
  <c r="Q55" i="31" s="1"/>
  <c r="AV740" i="1"/>
  <c r="AV766" i="1" s="1"/>
  <c r="E375" i="1"/>
  <c r="E380" i="1"/>
  <c r="C323" i="1"/>
  <c r="C269" i="1" s="1"/>
  <c r="AK553" i="1"/>
  <c r="AK561" i="1" s="1"/>
  <c r="AJ561" i="1"/>
  <c r="AJ628" i="1" s="1"/>
  <c r="CO787" i="1"/>
  <c r="C74" i="1"/>
  <c r="AU760" i="1"/>
  <c r="AU759" i="1"/>
  <c r="AU734" i="1"/>
  <c r="AU761" i="1" s="1"/>
  <c r="AU461" i="1"/>
  <c r="AU483" i="1"/>
  <c r="AU490" i="1" s="1"/>
  <c r="P38" i="31" s="1"/>
  <c r="P41" i="31" s="1"/>
  <c r="AU729" i="1"/>
  <c r="AU758" i="1" s="1"/>
  <c r="AU728" i="1"/>
  <c r="C364" i="1"/>
  <c r="C316" i="1"/>
  <c r="C317" i="1" s="1"/>
  <c r="C380" i="1" s="1"/>
  <c r="CO483" i="1"/>
  <c r="CO490" i="1" s="1"/>
  <c r="CO493" i="1" s="1"/>
  <c r="BX47" i="1"/>
  <c r="CO461" i="1"/>
  <c r="CO463" i="1" s="1"/>
  <c r="C349" i="1"/>
  <c r="CO783" i="1"/>
  <c r="AK525" i="1"/>
  <c r="F51" i="31" s="1"/>
  <c r="F50" i="31" s="1"/>
  <c r="CO788" i="1"/>
  <c r="CO740" i="1"/>
  <c r="CO766" i="1" s="1"/>
  <c r="CO730" i="1"/>
  <c r="CO759" i="1" s="1"/>
  <c r="AT792" i="1"/>
  <c r="AT454" i="1"/>
  <c r="AT794" i="1"/>
  <c r="AT426" i="1"/>
  <c r="O19" i="31" s="1"/>
  <c r="O20" i="31" s="1"/>
  <c r="AT793" i="1"/>
  <c r="O71" i="31" s="1"/>
  <c r="AT513" i="1"/>
  <c r="AT521" i="1"/>
  <c r="AT620" i="1"/>
  <c r="AT730" i="1"/>
  <c r="O54" i="31" s="1"/>
  <c r="AT732" i="1"/>
  <c r="O55" i="31" s="1"/>
  <c r="AT741" i="1"/>
  <c r="AT767" i="1" s="1"/>
  <c r="AT525" i="1"/>
  <c r="O51" i="31" s="1"/>
  <c r="O50" i="31" s="1"/>
  <c r="AT740" i="1"/>
  <c r="AT766" i="1" s="1"/>
  <c r="C78" i="1"/>
  <c r="E374" i="1"/>
  <c r="C294" i="1"/>
  <c r="CC349" i="1"/>
  <c r="E269" i="1"/>
  <c r="CC359" i="1"/>
  <c r="CC301" i="1" s="1"/>
  <c r="CC74" i="1" s="1"/>
  <c r="E81" i="1"/>
  <c r="D374" i="1"/>
  <c r="CO525" i="1"/>
  <c r="AC728" i="1"/>
  <c r="AC757" i="1" s="1"/>
  <c r="AC129" i="1"/>
  <c r="E352" i="1"/>
  <c r="E354" i="1" s="1"/>
  <c r="AC729" i="1"/>
  <c r="AC758" i="1" s="1"/>
  <c r="AS483" i="1"/>
  <c r="AS490" i="1" s="1"/>
  <c r="N38" i="31" s="1"/>
  <c r="N41" i="31" s="1"/>
  <c r="AS734" i="1"/>
  <c r="AS761" i="1" s="1"/>
  <c r="AS461" i="1"/>
  <c r="AS729" i="1"/>
  <c r="AS758" i="1" s="1"/>
  <c r="AS728" i="1"/>
  <c r="CO789" i="1"/>
  <c r="CO513" i="1"/>
  <c r="CO785" i="1"/>
  <c r="CO841" i="1" s="1"/>
  <c r="CO620" i="1"/>
  <c r="CC291" i="1"/>
  <c r="CC294" i="1" s="1"/>
  <c r="CO732" i="1"/>
  <c r="CO733" i="1" s="1"/>
  <c r="AC840" i="1"/>
  <c r="AC759" i="1"/>
  <c r="AC841" i="1"/>
  <c r="AG841" i="1"/>
  <c r="AD841" i="1"/>
  <c r="AI637" i="1"/>
  <c r="AI739" i="1" s="1"/>
  <c r="AI765" i="1" s="1"/>
  <c r="AR793" i="1"/>
  <c r="M71" i="31" s="1"/>
  <c r="AR794" i="1"/>
  <c r="AR426" i="1"/>
  <c r="M19" i="31" s="1"/>
  <c r="AR454" i="1"/>
  <c r="AR495" i="1"/>
  <c r="AR498" i="1"/>
  <c r="M43" i="31" s="1"/>
  <c r="AR792" i="1"/>
  <c r="AQ734" i="1"/>
  <c r="AQ761" i="1" s="1"/>
  <c r="AQ461" i="1"/>
  <c r="AQ483" i="1"/>
  <c r="AP792" i="1"/>
  <c r="AP495" i="1"/>
  <c r="AP498" i="1"/>
  <c r="K43" i="31" s="1"/>
  <c r="AP515" i="1"/>
  <c r="K44" i="31" s="1"/>
  <c r="K47" i="31" s="1"/>
  <c r="AP793" i="1"/>
  <c r="K71" i="31" s="1"/>
  <c r="AP426" i="1"/>
  <c r="K19" i="31" s="1"/>
  <c r="K20" i="31" s="1"/>
  <c r="AP454" i="1"/>
  <c r="AP794" i="1"/>
  <c r="G159" i="1"/>
  <c r="CD159" i="1" s="1"/>
  <c r="AG734" i="1"/>
  <c r="AG761" i="1" s="1"/>
  <c r="AG461" i="1"/>
  <c r="AG463" i="1" s="1"/>
  <c r="AG483" i="1"/>
  <c r="AG840" i="1"/>
  <c r="AG759" i="1"/>
  <c r="AG728" i="1"/>
  <c r="AG757" i="1" s="1"/>
  <c r="AG782" i="1"/>
  <c r="AG729" i="1"/>
  <c r="AG758" i="1" s="1"/>
  <c r="AO483" i="1"/>
  <c r="AO461" i="1"/>
  <c r="AO734" i="1"/>
  <c r="AO761" i="1" s="1"/>
  <c r="AO131" i="1"/>
  <c r="CD158" i="1"/>
  <c r="E160" i="1"/>
  <c r="CC160" i="1" s="1"/>
  <c r="F158" i="1"/>
  <c r="F159" i="1" s="1"/>
  <c r="G218" i="1"/>
  <c r="G333" i="1" s="1"/>
  <c r="AE490" i="1"/>
  <c r="AE493" i="1" s="1"/>
  <c r="AE510" i="1" s="1"/>
  <c r="AE129" i="1"/>
  <c r="AF428" i="1"/>
  <c r="CP521" i="1"/>
  <c r="AC493" i="1"/>
  <c r="AC510" i="1" s="1"/>
  <c r="AB493" i="1"/>
  <c r="AB510" i="1" s="1"/>
  <c r="I217" i="1"/>
  <c r="AN792" i="1"/>
  <c r="AN513" i="1"/>
  <c r="AN740" i="1"/>
  <c r="AN766" i="1" s="1"/>
  <c r="AN730" i="1"/>
  <c r="I54" i="31" s="1"/>
  <c r="AN732" i="1"/>
  <c r="I55" i="31" s="1"/>
  <c r="AN620" i="1"/>
  <c r="AN741" i="1"/>
  <c r="AN767" i="1" s="1"/>
  <c r="AN525" i="1"/>
  <c r="I51" i="31" s="1"/>
  <c r="I50" i="31" s="1"/>
  <c r="AN521" i="1"/>
  <c r="AN454" i="1"/>
  <c r="AN794" i="1"/>
  <c r="AN426" i="1"/>
  <c r="I19" i="31" s="1"/>
  <c r="I20" i="31" s="1"/>
  <c r="AN793" i="1"/>
  <c r="I71" i="31" s="1"/>
  <c r="DB135" i="1"/>
  <c r="DB735" i="1" s="1"/>
  <c r="AX56" i="31" s="1"/>
  <c r="BB735" i="1"/>
  <c r="W56" i="31" s="1"/>
  <c r="CT237" i="1"/>
  <c r="AP68" i="31" s="1"/>
  <c r="AM760" i="1"/>
  <c r="AM729" i="1"/>
  <c r="AM758" i="1" s="1"/>
  <c r="AM728" i="1"/>
  <c r="AM759" i="1"/>
  <c r="AM483" i="1"/>
  <c r="AM490" i="1" s="1"/>
  <c r="H38" i="31" s="1"/>
  <c r="H41" i="31" s="1"/>
  <c r="AM734" i="1"/>
  <c r="AM761" i="1" s="1"/>
  <c r="AM461" i="1"/>
  <c r="BS674" i="1"/>
  <c r="AE364" i="1"/>
  <c r="CP364" i="1" s="1"/>
  <c r="CP306" i="1" s="1"/>
  <c r="CP76" i="1" s="1"/>
  <c r="CQ295" i="1"/>
  <c r="BX109" i="1"/>
  <c r="CS237" i="1"/>
  <c r="AO68" i="31" s="1"/>
  <c r="AO69" i="31" s="1"/>
  <c r="CB58" i="1"/>
  <c r="CB198" i="1"/>
  <c r="AL5" i="1"/>
  <c r="G4" i="31" s="1"/>
  <c r="AL521" i="1"/>
  <c r="AL525" i="1"/>
  <c r="G51" i="31" s="1"/>
  <c r="AL737" i="1"/>
  <c r="AL763" i="1" s="1"/>
  <c r="BW181" i="1"/>
  <c r="BW154" i="1" s="1"/>
  <c r="BX111" i="1"/>
  <c r="AE367" i="1"/>
  <c r="AE309" i="1" s="1"/>
  <c r="BS702" i="1"/>
  <c r="BS785" i="1" s="1"/>
  <c r="BS841" i="1" s="1"/>
  <c r="BA60" i="1"/>
  <c r="BA59" i="1"/>
  <c r="DB706" i="1"/>
  <c r="BD706" i="1"/>
  <c r="CR636" i="1"/>
  <c r="BS698" i="1"/>
  <c r="BS789" i="1" s="1"/>
  <c r="CW135" i="1"/>
  <c r="CS737" i="1"/>
  <c r="CS763" i="1" s="1"/>
  <c r="CY576" i="1"/>
  <c r="AJ636" i="1"/>
  <c r="AJ637" i="1" s="1"/>
  <c r="AJ739" i="1" s="1"/>
  <c r="AJ765" i="1" s="1"/>
  <c r="CU554" i="1"/>
  <c r="AJ498" i="1"/>
  <c r="E43" i="31" s="1"/>
  <c r="AJ495" i="1"/>
  <c r="AJ764" i="1"/>
  <c r="D743" i="1"/>
  <c r="D769" i="1" s="1"/>
  <c r="D531" i="1"/>
  <c r="D541" i="1"/>
  <c r="D550" i="1" s="1"/>
  <c r="D564" i="1" s="1"/>
  <c r="D568" i="1" s="1"/>
  <c r="E533" i="1"/>
  <c r="E527" i="1" s="1"/>
  <c r="BW171" i="1"/>
  <c r="BX228" i="1" s="1"/>
  <c r="BW176" i="1"/>
  <c r="BW610" i="1" s="1"/>
  <c r="BW611" i="1" s="1"/>
  <c r="BV193" i="1"/>
  <c r="BW199" i="1"/>
  <c r="CJ1" i="1"/>
  <c r="CI3" i="1"/>
  <c r="CI2" i="1"/>
  <c r="CJ725" i="1" s="1"/>
  <c r="CQ515" i="1"/>
  <c r="CQ513" i="1" s="1"/>
  <c r="BV165" i="1"/>
  <c r="BW223" i="1" s="1"/>
  <c r="DA34" i="1"/>
  <c r="DA35" i="1"/>
  <c r="AH295" i="1"/>
  <c r="AH353" i="1" s="1"/>
  <c r="AH352" i="1"/>
  <c r="AH792" i="1"/>
  <c r="AH81" i="1"/>
  <c r="AH325" i="1"/>
  <c r="AH269" i="1"/>
  <c r="CX546" i="1"/>
  <c r="BT531" i="1"/>
  <c r="BT541" i="1"/>
  <c r="BU533" i="1"/>
  <c r="BU527" i="1" s="1"/>
  <c r="BT742" i="1"/>
  <c r="BT768" i="1" s="1"/>
  <c r="BT661" i="1"/>
  <c r="BT743" i="1" s="1"/>
  <c r="BT769" i="1" s="1"/>
  <c r="BS585" i="1"/>
  <c r="BS583" i="1" s="1"/>
  <c r="BS628" i="1" s="1"/>
  <c r="BS629" i="1" s="1"/>
  <c r="BW111" i="1"/>
  <c r="BV181" i="1"/>
  <c r="BV795" i="1"/>
  <c r="BW109" i="1"/>
  <c r="BV172" i="1"/>
  <c r="BW60" i="1" s="1"/>
  <c r="BW49" i="1" s="1"/>
  <c r="BV170" i="1"/>
  <c r="BV176" i="1" s="1"/>
  <c r="BV610" i="1" s="1"/>
  <c r="BV611" i="1" s="1"/>
  <c r="BX60" i="1"/>
  <c r="BX49" i="1" s="1"/>
  <c r="BX227" i="1"/>
  <c r="BX232" i="1" s="1"/>
  <c r="BX233" i="1" s="1"/>
  <c r="BX59" i="1"/>
  <c r="BX48" i="1" s="1"/>
  <c r="BU167" i="1"/>
  <c r="BW222" i="1"/>
  <c r="CY565" i="1"/>
  <c r="AE733" i="1"/>
  <c r="AD760" i="1"/>
  <c r="AD733" i="1"/>
  <c r="CO321" i="1"/>
  <c r="CO295" i="1"/>
  <c r="AB377" i="1"/>
  <c r="AF521" i="1"/>
  <c r="AF620" i="1"/>
  <c r="AF787" i="1"/>
  <c r="AF741" i="1"/>
  <c r="AF767" i="1" s="1"/>
  <c r="AF136" i="1"/>
  <c r="AF838" i="1" s="1"/>
  <c r="AF788" i="1"/>
  <c r="AF789" i="1"/>
  <c r="AF513" i="1"/>
  <c r="AF732" i="1"/>
  <c r="AF525" i="1"/>
  <c r="AF730" i="1"/>
  <c r="AF740" i="1"/>
  <c r="AF766" i="1" s="1"/>
  <c r="AF783" i="1"/>
  <c r="AF785" i="1"/>
  <c r="CQ136" i="1"/>
  <c r="CQ838" i="1" s="1"/>
  <c r="CP787" i="1"/>
  <c r="CP740" i="1"/>
  <c r="CP766" i="1" s="1"/>
  <c r="CP513" i="1"/>
  <c r="CP783" i="1"/>
  <c r="CP730" i="1"/>
  <c r="CP620" i="1"/>
  <c r="CP788" i="1"/>
  <c r="CP789" i="1"/>
  <c r="CP732" i="1"/>
  <c r="CP741" i="1"/>
  <c r="CP767" i="1" s="1"/>
  <c r="CP785" i="1"/>
  <c r="CP841" i="1" s="1"/>
  <c r="CP734" i="1"/>
  <c r="CP761" i="1" s="1"/>
  <c r="CP461" i="1"/>
  <c r="CP463" i="1" s="1"/>
  <c r="CP483" i="1"/>
  <c r="CP490" i="1" s="1"/>
  <c r="CP493" i="1" s="1"/>
  <c r="AF483" i="1"/>
  <c r="AF461" i="1"/>
  <c r="AF463" i="1" s="1"/>
  <c r="AF734" i="1"/>
  <c r="AF761" i="1" s="1"/>
  <c r="CZ571" i="1"/>
  <c r="AZ571" i="1"/>
  <c r="BA571" i="1" s="1"/>
  <c r="CR181" i="1"/>
  <c r="CR154" i="1" s="1"/>
  <c r="CR177" i="1"/>
  <c r="AD731" i="1"/>
  <c r="AD840" i="1"/>
  <c r="AE731" i="1"/>
  <c r="AD759" i="1"/>
  <c r="AD782" i="1"/>
  <c r="CP525" i="1"/>
  <c r="AD728" i="1"/>
  <c r="AD757" i="1" s="1"/>
  <c r="AD729" i="1"/>
  <c r="AD758" i="1" s="1"/>
  <c r="AZ600" i="1"/>
  <c r="BA600" i="1" s="1"/>
  <c r="CZ600" i="1"/>
  <c r="CZ574" i="1"/>
  <c r="AZ574" i="1"/>
  <c r="BA574" i="1" s="1"/>
  <c r="AH426" i="1"/>
  <c r="C19" i="31" s="1"/>
  <c r="AH793" i="1"/>
  <c r="C71" i="31" s="1"/>
  <c r="AH454" i="1"/>
  <c r="AH794" i="1"/>
  <c r="CZ555" i="1"/>
  <c r="AZ555" i="1"/>
  <c r="BA555" i="1" s="1"/>
  <c r="AD129" i="1"/>
  <c r="AD490" i="1"/>
  <c r="AF89" i="1"/>
  <c r="CQ405" i="1"/>
  <c r="CQ89" i="1" s="1"/>
  <c r="CQ426" i="1"/>
  <c r="CQ428" i="1" s="1"/>
  <c r="CQ793" i="1"/>
  <c r="CQ454" i="1"/>
  <c r="CQ794" i="1"/>
  <c r="CQ792" i="1"/>
  <c r="CY601" i="1"/>
  <c r="CR286" i="1"/>
  <c r="CR77" i="1" s="1"/>
  <c r="CU606" i="1"/>
  <c r="C628" i="1"/>
  <c r="C585" i="1"/>
  <c r="C587" i="1" s="1"/>
  <c r="CQ498" i="1"/>
  <c r="CQ131" i="1" s="1"/>
  <c r="AG131" i="1"/>
  <c r="AH498" i="1"/>
  <c r="C43" i="31" s="1"/>
  <c r="AH495" i="1"/>
  <c r="AZ566" i="1"/>
  <c r="BA566" i="1" s="1"/>
  <c r="CZ566" i="1"/>
  <c r="D375" i="1"/>
  <c r="D79" i="1"/>
  <c r="D81" i="1"/>
  <c r="D325" i="1"/>
  <c r="D269" i="1"/>
  <c r="BB583" i="1"/>
  <c r="BC583" i="1" s="1"/>
  <c r="DA583" i="1"/>
  <c r="CZ681" i="1"/>
  <c r="AZ681" i="1"/>
  <c r="BA681" i="1" s="1"/>
  <c r="AF367" i="1"/>
  <c r="CY678" i="1"/>
  <c r="CY573" i="1"/>
  <c r="CP295" i="1"/>
  <c r="CP321" i="1"/>
  <c r="CV588" i="1"/>
  <c r="CV539" i="1"/>
  <c r="AF368" i="1"/>
  <c r="CV499" i="1"/>
  <c r="AZ123" i="1"/>
  <c r="BA123" i="1" s="1"/>
  <c r="CZ123" i="1"/>
  <c r="CC353" i="1"/>
  <c r="CZ682" i="1"/>
  <c r="AZ682" i="1"/>
  <c r="BA682" i="1" s="1"/>
  <c r="CZ603" i="1"/>
  <c r="AZ603" i="1"/>
  <c r="BA603" i="1" s="1"/>
  <c r="CD731" i="1"/>
  <c r="CD759" i="1"/>
  <c r="AF364" i="1"/>
  <c r="AF76" i="1"/>
  <c r="AG362" i="1"/>
  <c r="CQ362" i="1" s="1"/>
  <c r="CQ304" i="1" s="1"/>
  <c r="AG306" i="1"/>
  <c r="AI362" i="1"/>
  <c r="AY151" i="1"/>
  <c r="CY151" i="1"/>
  <c r="AF74" i="1"/>
  <c r="AF359" i="1"/>
  <c r="AG301" i="1"/>
  <c r="AG357" i="1"/>
  <c r="AG72" i="1"/>
  <c r="AG73" i="1"/>
  <c r="AG358" i="1"/>
  <c r="CU536" i="1"/>
  <c r="CU623" i="1" s="1"/>
  <c r="F319" i="1"/>
  <c r="BB575" i="1"/>
  <c r="BC575" i="1" s="1"/>
  <c r="DA575" i="1"/>
  <c r="AG363" i="1"/>
  <c r="CQ363" i="1" s="1"/>
  <c r="CQ305" i="1" s="1"/>
  <c r="CZ540" i="1"/>
  <c r="CZ701" i="1" s="1"/>
  <c r="AZ540" i="1"/>
  <c r="BA540" i="1" s="1"/>
  <c r="D354" i="1"/>
  <c r="CY577" i="1"/>
  <c r="D380" i="1"/>
  <c r="CZ677" i="1"/>
  <c r="AZ677" i="1"/>
  <c r="BA677" i="1" s="1"/>
  <c r="CZ602" i="1"/>
  <c r="AZ602" i="1"/>
  <c r="BA602" i="1" s="1"/>
  <c r="CW138" i="1"/>
  <c r="CZ92" i="1"/>
  <c r="CT142" i="1"/>
  <c r="X9" i="16"/>
  <c r="W10" i="16"/>
  <c r="L20" i="31" l="1"/>
  <c r="AD311" i="1"/>
  <c r="AD78" i="1" s="1"/>
  <c r="J20" i="31"/>
  <c r="S20" i="31"/>
  <c r="AO729" i="1"/>
  <c r="AO758" i="1" s="1"/>
  <c r="J51" i="31"/>
  <c r="J50" i="31" s="1"/>
  <c r="H32" i="31"/>
  <c r="J32" i="31"/>
  <c r="AR730" i="1"/>
  <c r="M54" i="31" s="1"/>
  <c r="M44" i="31"/>
  <c r="M47" i="31" s="1"/>
  <c r="AH787" i="1"/>
  <c r="C44" i="31"/>
  <c r="C47" i="31" s="1"/>
  <c r="AP69" i="31"/>
  <c r="N32" i="31"/>
  <c r="AO759" i="1"/>
  <c r="J54" i="31"/>
  <c r="AQ759" i="1"/>
  <c r="L54" i="31"/>
  <c r="R20" i="31"/>
  <c r="L32" i="31"/>
  <c r="N20" i="31"/>
  <c r="M20" i="31"/>
  <c r="P32" i="31"/>
  <c r="R32" i="31"/>
  <c r="S48" i="31"/>
  <c r="T48" i="31"/>
  <c r="P20" i="31"/>
  <c r="AQ760" i="1"/>
  <c r="CT696" i="1"/>
  <c r="CC374" i="1"/>
  <c r="CC316" i="1" s="1"/>
  <c r="AO728" i="1"/>
  <c r="AR136" i="1"/>
  <c r="AR838" i="1" s="1"/>
  <c r="AR521" i="1"/>
  <c r="AR740" i="1"/>
  <c r="AR766" i="1" s="1"/>
  <c r="AR741" i="1"/>
  <c r="AR767" i="1" s="1"/>
  <c r="AR732" i="1"/>
  <c r="AR525" i="1"/>
  <c r="M51" i="31" s="1"/>
  <c r="AH136" i="1"/>
  <c r="AH838" i="1" s="1"/>
  <c r="AP131" i="1"/>
  <c r="AH789" i="1"/>
  <c r="AR131" i="1"/>
  <c r="AX131" i="1"/>
  <c r="AO757" i="1"/>
  <c r="AH521" i="1"/>
  <c r="AH730" i="1"/>
  <c r="AM757" i="1"/>
  <c r="AS757" i="1"/>
  <c r="AU757" i="1"/>
  <c r="AH525" i="1"/>
  <c r="AH785" i="1"/>
  <c r="AR513" i="1"/>
  <c r="AI131" i="1"/>
  <c r="AD131" i="1" s="1"/>
  <c r="AH788" i="1"/>
  <c r="C72" i="31" s="1"/>
  <c r="AH732" i="1"/>
  <c r="C55" i="31" s="1"/>
  <c r="AH620" i="1"/>
  <c r="AH741" i="1"/>
  <c r="AH767" i="1" s="1"/>
  <c r="AH783" i="1"/>
  <c r="C73" i="31" s="1"/>
  <c r="AH513" i="1"/>
  <c r="AQ729" i="1"/>
  <c r="AQ758" i="1" s="1"/>
  <c r="AH740" i="1"/>
  <c r="AH766" i="1" s="1"/>
  <c r="AQ728" i="1"/>
  <c r="K2" i="1"/>
  <c r="L725" i="1" s="1"/>
  <c r="L1" i="1"/>
  <c r="M1" i="1" s="1"/>
  <c r="CU260" i="1"/>
  <c r="AO760" i="1"/>
  <c r="CU259" i="1"/>
  <c r="CU257" i="1" s="1"/>
  <c r="AR620" i="1"/>
  <c r="H331" i="1"/>
  <c r="I808" i="1"/>
  <c r="AM333" i="1"/>
  <c r="CS238" i="1"/>
  <c r="AM463" i="1"/>
  <c r="AM493" i="1"/>
  <c r="CT238" i="1"/>
  <c r="F49" i="30"/>
  <c r="N24" i="30" s="1"/>
  <c r="AN428" i="1"/>
  <c r="AO733" i="1"/>
  <c r="AO731" i="1"/>
  <c r="AO463" i="1"/>
  <c r="AP428" i="1"/>
  <c r="AQ463" i="1"/>
  <c r="AR428" i="1"/>
  <c r="AS731" i="1"/>
  <c r="AS463" i="1"/>
  <c r="AS493" i="1"/>
  <c r="AS510" i="1" s="1"/>
  <c r="AU733" i="1"/>
  <c r="AU731" i="1"/>
  <c r="AT428" i="1"/>
  <c r="AU493" i="1"/>
  <c r="AU510" i="1" s="1"/>
  <c r="AU463" i="1"/>
  <c r="AV428" i="1"/>
  <c r="AX428" i="1"/>
  <c r="AW463" i="1"/>
  <c r="AW760" i="1"/>
  <c r="AW759" i="1"/>
  <c r="AJ89" i="1"/>
  <c r="AM809" i="1"/>
  <c r="AM811" i="1"/>
  <c r="AM109" i="1"/>
  <c r="AM787" i="1"/>
  <c r="AM785" i="1"/>
  <c r="AM314" i="1"/>
  <c r="AM372" i="1" s="1"/>
  <c r="AM351" i="1"/>
  <c r="AM789" i="1"/>
  <c r="AM296" i="1"/>
  <c r="AM276" i="1"/>
  <c r="AM111" i="1"/>
  <c r="AM783" i="1"/>
  <c r="H73" i="31" s="1"/>
  <c r="AM810" i="1"/>
  <c r="AM376" i="1"/>
  <c r="AM808" i="1"/>
  <c r="AM790" i="1"/>
  <c r="AM315" i="1"/>
  <c r="AM373" i="1" s="1"/>
  <c r="AM281" i="1"/>
  <c r="AM339" i="1" s="1"/>
  <c r="AM110" i="1"/>
  <c r="AM788" i="1"/>
  <c r="H72" i="31" s="1"/>
  <c r="AM350" i="1"/>
  <c r="AM286" i="1"/>
  <c r="AM344" i="1" s="1"/>
  <c r="AM791" i="1"/>
  <c r="AM97" i="1"/>
  <c r="AM331" i="1"/>
  <c r="AP1" i="1"/>
  <c r="K2" i="31" s="1"/>
  <c r="AO2" i="1"/>
  <c r="AP725" i="1" s="1"/>
  <c r="AO3" i="1"/>
  <c r="J3" i="31" s="1"/>
  <c r="AM782" i="1"/>
  <c r="AH428" i="1"/>
  <c r="AM330" i="1"/>
  <c r="AH89" i="1"/>
  <c r="AN70" i="1"/>
  <c r="AN275" i="1" s="1"/>
  <c r="AN38" i="1"/>
  <c r="AN67" i="1"/>
  <c r="AN272" i="1" s="1"/>
  <c r="AN30" i="1"/>
  <c r="AN39" i="1"/>
  <c r="AN33" i="1"/>
  <c r="AN29" i="1"/>
  <c r="AN132" i="1"/>
  <c r="AN32" i="1"/>
  <c r="AN40" i="1"/>
  <c r="AN68" i="1"/>
  <c r="AN273" i="1" s="1"/>
  <c r="AN31" i="1"/>
  <c r="H788" i="1"/>
  <c r="H351" i="1"/>
  <c r="H376" i="1"/>
  <c r="H276" i="1"/>
  <c r="H334" i="1" s="1"/>
  <c r="H113" i="1"/>
  <c r="H117" i="1"/>
  <c r="H304" i="1"/>
  <c r="H362" i="1" s="1"/>
  <c r="H296" i="1"/>
  <c r="H321" i="1" s="1"/>
  <c r="H310" i="1"/>
  <c r="H368" i="1" s="1"/>
  <c r="CE242" i="1"/>
  <c r="H97" i="1"/>
  <c r="H85" i="1"/>
  <c r="H350" i="1"/>
  <c r="CE215" i="1"/>
  <c r="H286" i="1"/>
  <c r="H790" i="1"/>
  <c r="H811" i="1"/>
  <c r="H782" i="1"/>
  <c r="H300" i="1"/>
  <c r="H358" i="1" s="1"/>
  <c r="H84" i="1"/>
  <c r="CP368" i="1"/>
  <c r="CP310" i="1" s="1"/>
  <c r="H330" i="1"/>
  <c r="H789" i="1"/>
  <c r="H118" i="1"/>
  <c r="H88" i="1"/>
  <c r="H783" i="1"/>
  <c r="H86" i="1"/>
  <c r="H93" i="1"/>
  <c r="H89" i="1"/>
  <c r="H87" i="1"/>
  <c r="H299" i="1"/>
  <c r="H357" i="1" s="1"/>
  <c r="H333" i="1"/>
  <c r="H112" i="1"/>
  <c r="H281" i="1"/>
  <c r="H339" i="1" s="1"/>
  <c r="H809" i="1"/>
  <c r="CE232" i="1"/>
  <c r="H785" i="1"/>
  <c r="H841" i="1" s="1"/>
  <c r="H810" i="1"/>
  <c r="H309" i="1"/>
  <c r="H367" i="1" s="1"/>
  <c r="H787" i="1"/>
  <c r="H808" i="1"/>
  <c r="CD840" i="1"/>
  <c r="CE259" i="1"/>
  <c r="CE85" i="1" s="1"/>
  <c r="I304" i="1"/>
  <c r="I362" i="1" s="1"/>
  <c r="CE253" i="1"/>
  <c r="I86" i="1"/>
  <c r="I334" i="1"/>
  <c r="CE252" i="1"/>
  <c r="CE696" i="1"/>
  <c r="CE236" i="1"/>
  <c r="CD760" i="1"/>
  <c r="I299" i="1"/>
  <c r="I72" i="1" s="1"/>
  <c r="I113" i="1"/>
  <c r="CE132" i="1"/>
  <c r="CE233" i="1"/>
  <c r="CE808" i="1" s="1"/>
  <c r="CE267" i="1"/>
  <c r="CE87" i="1" s="1"/>
  <c r="CE704" i="1"/>
  <c r="I88" i="1"/>
  <c r="I310" i="1"/>
  <c r="I368" i="1" s="1"/>
  <c r="CE237" i="1"/>
  <c r="CE809" i="1" s="1"/>
  <c r="CE239" i="1"/>
  <c r="CE212" i="1" s="1"/>
  <c r="CE128" i="1"/>
  <c r="CE737" i="1" s="1"/>
  <c r="CE763" i="1" s="1"/>
  <c r="CE545" i="1"/>
  <c r="CE729" i="1" s="1"/>
  <c r="CE758" i="1" s="1"/>
  <c r="I300" i="1"/>
  <c r="I358" i="1" s="1"/>
  <c r="I790" i="1"/>
  <c r="I811" i="1"/>
  <c r="CE25" i="1"/>
  <c r="CE700" i="1"/>
  <c r="CE224" i="1"/>
  <c r="CE248" i="1"/>
  <c r="I84" i="1"/>
  <c r="I333" i="1"/>
  <c r="I810" i="1"/>
  <c r="CE254" i="1"/>
  <c r="CE235" i="1"/>
  <c r="CE244" i="1"/>
  <c r="CE703" i="1"/>
  <c r="CE787" i="1" s="1"/>
  <c r="CE266" i="1"/>
  <c r="CE243" i="1"/>
  <c r="CE260" i="1"/>
  <c r="CE218" i="1"/>
  <c r="I787" i="1"/>
  <c r="I117" i="1"/>
  <c r="I350" i="1"/>
  <c r="I330" i="1"/>
  <c r="I309" i="1"/>
  <c r="I367" i="1" s="1"/>
  <c r="I788" i="1"/>
  <c r="I789" i="1"/>
  <c r="I286" i="1"/>
  <c r="I344" i="1" s="1"/>
  <c r="I85" i="1"/>
  <c r="CD469" i="1"/>
  <c r="CD468" i="1" s="1"/>
  <c r="CD110" i="1" s="1"/>
  <c r="CE229" i="1"/>
  <c r="CE23" i="1"/>
  <c r="CE258" i="1"/>
  <c r="CE257" i="1"/>
  <c r="I351" i="1"/>
  <c r="I93" i="1"/>
  <c r="CE265" i="1"/>
  <c r="CE88" i="1" s="1"/>
  <c r="CE222" i="1"/>
  <c r="CE261" i="1"/>
  <c r="CE219" i="1"/>
  <c r="CE249" i="1"/>
  <c r="CE227" i="1"/>
  <c r="CE223" i="1"/>
  <c r="CE238" i="1"/>
  <c r="CE24" i="1"/>
  <c r="I89" i="1"/>
  <c r="I97" i="1"/>
  <c r="I785" i="1"/>
  <c r="I841" i="1" s="1"/>
  <c r="I118" i="1"/>
  <c r="I112" i="1"/>
  <c r="I281" i="1"/>
  <c r="I339" i="1" s="1"/>
  <c r="I87" i="1"/>
  <c r="I331" i="1"/>
  <c r="I783" i="1"/>
  <c r="CE216" i="1"/>
  <c r="CE262" i="1"/>
  <c r="CE234" i="1"/>
  <c r="CE109" i="1" s="1"/>
  <c r="CE247" i="1"/>
  <c r="CE701" i="1"/>
  <c r="CE702" i="1" s="1"/>
  <c r="CE785" i="1" s="1"/>
  <c r="CE841" i="1" s="1"/>
  <c r="CE26" i="1"/>
  <c r="CE228" i="1"/>
  <c r="CE544" i="1"/>
  <c r="CE730" i="1" s="1"/>
  <c r="CE697" i="1"/>
  <c r="CE698" i="1" s="1"/>
  <c r="CE789" i="1" s="1"/>
  <c r="I782" i="1"/>
  <c r="I305" i="1"/>
  <c r="I363" i="1" s="1"/>
  <c r="CE363" i="1" s="1"/>
  <c r="I809" i="1"/>
  <c r="I376" i="1"/>
  <c r="I296" i="1"/>
  <c r="I379" i="1" s="1"/>
  <c r="I319" i="1" s="1"/>
  <c r="I322" i="1" s="1"/>
  <c r="F372" i="1"/>
  <c r="CD372" i="1" s="1"/>
  <c r="CD314" i="1" s="1"/>
  <c r="CP359" i="1"/>
  <c r="CP301" i="1" s="1"/>
  <c r="CP74" i="1" s="1"/>
  <c r="G74" i="1"/>
  <c r="CD379" i="1"/>
  <c r="CD373" i="1"/>
  <c r="CD315" i="1" s="1"/>
  <c r="G294" i="1"/>
  <c r="G352" i="1" s="1"/>
  <c r="F76" i="1"/>
  <c r="F369" i="1"/>
  <c r="CD369" i="1" s="1"/>
  <c r="CD311" i="1" s="1"/>
  <c r="CD78" i="1" s="1"/>
  <c r="G78" i="1"/>
  <c r="F316" i="1"/>
  <c r="F317" i="1" s="1"/>
  <c r="F380" i="1" s="1"/>
  <c r="F349" i="1"/>
  <c r="CD349" i="1" s="1"/>
  <c r="G364" i="1"/>
  <c r="CD364" i="1" s="1"/>
  <c r="CD306" i="1" s="1"/>
  <c r="CD76" i="1" s="1"/>
  <c r="F359" i="1"/>
  <c r="CD359" i="1" s="1"/>
  <c r="CD301" i="1" s="1"/>
  <c r="CD74" i="1" s="1"/>
  <c r="G316" i="1"/>
  <c r="G317" i="1" s="1"/>
  <c r="G380" i="1" s="1"/>
  <c r="AD316" i="1"/>
  <c r="AD317" i="1" s="1"/>
  <c r="C325" i="1"/>
  <c r="AW731" i="1"/>
  <c r="AW733" i="1"/>
  <c r="K33" i="1"/>
  <c r="K68" i="1"/>
  <c r="K273" i="1" s="1"/>
  <c r="K40" i="1"/>
  <c r="K70" i="1"/>
  <c r="K275" i="1" s="1"/>
  <c r="K67" i="1"/>
  <c r="K272" i="1" s="1"/>
  <c r="K38" i="1"/>
  <c r="K30" i="1"/>
  <c r="K32" i="1"/>
  <c r="K39" i="1"/>
  <c r="K31" i="1"/>
  <c r="K29" i="1"/>
  <c r="AX734" i="1"/>
  <c r="AX761" i="1" s="1"/>
  <c r="AX461" i="1"/>
  <c r="AX483" i="1"/>
  <c r="AW490" i="1"/>
  <c r="R38" i="31" s="1"/>
  <c r="R41" i="31" s="1"/>
  <c r="AW129" i="1"/>
  <c r="AX620" i="1"/>
  <c r="AX525" i="1"/>
  <c r="S51" i="31" s="1"/>
  <c r="S50" i="31" s="1"/>
  <c r="AX741" i="1"/>
  <c r="AX767" i="1" s="1"/>
  <c r="AX136" i="1"/>
  <c r="AX838" i="1" s="1"/>
  <c r="AX513" i="1"/>
  <c r="AX732" i="1"/>
  <c r="S55" i="31" s="1"/>
  <c r="AX740" i="1"/>
  <c r="AX766" i="1" s="1"/>
  <c r="AX521" i="1"/>
  <c r="AX730" i="1"/>
  <c r="S54" i="31" s="1"/>
  <c r="AW728" i="1"/>
  <c r="AW729" i="1"/>
  <c r="AW758" i="1" s="1"/>
  <c r="CC380" i="1"/>
  <c r="AK633" i="1"/>
  <c r="AK636" i="1" s="1"/>
  <c r="AL553" i="1"/>
  <c r="AL561" i="1" s="1"/>
  <c r="AL628" i="1" s="1"/>
  <c r="CS553" i="1"/>
  <c r="E377" i="1"/>
  <c r="E391" i="1" s="1"/>
  <c r="CO760" i="1"/>
  <c r="AK628" i="1"/>
  <c r="AV483" i="1"/>
  <c r="AV490" i="1" s="1"/>
  <c r="Q38" i="31" s="1"/>
  <c r="Q41" i="31" s="1"/>
  <c r="AV734" i="1"/>
  <c r="AV761" i="1" s="1"/>
  <c r="AV461" i="1"/>
  <c r="AV729" i="1"/>
  <c r="AV758" i="1" s="1"/>
  <c r="AV728" i="1"/>
  <c r="C81" i="1"/>
  <c r="AV733" i="1"/>
  <c r="AV760" i="1"/>
  <c r="AV731" i="1"/>
  <c r="AV759" i="1"/>
  <c r="CO840" i="1"/>
  <c r="C352" i="1"/>
  <c r="C374" i="1"/>
  <c r="CC352" i="1"/>
  <c r="CO510" i="1"/>
  <c r="CO731" i="1"/>
  <c r="G269" i="1"/>
  <c r="G325" i="1"/>
  <c r="C295" i="1"/>
  <c r="C353" i="1" s="1"/>
  <c r="AT728" i="1"/>
  <c r="AT729" i="1"/>
  <c r="AT758" i="1" s="1"/>
  <c r="AT734" i="1"/>
  <c r="AT761" i="1" s="1"/>
  <c r="AT461" i="1"/>
  <c r="AT483" i="1"/>
  <c r="AT490" i="1" s="1"/>
  <c r="O38" i="31" s="1"/>
  <c r="O41" i="31" s="1"/>
  <c r="AT760" i="1"/>
  <c r="AT733" i="1"/>
  <c r="AT759" i="1"/>
  <c r="AT731" i="1"/>
  <c r="CO782" i="1"/>
  <c r="CO728" i="1"/>
  <c r="CO757" i="1" s="1"/>
  <c r="CO729" i="1"/>
  <c r="CO758" i="1" s="1"/>
  <c r="AE311" i="1"/>
  <c r="AE369" i="1" s="1"/>
  <c r="AR731" i="1"/>
  <c r="AR759" i="1"/>
  <c r="AR461" i="1"/>
  <c r="AR734" i="1"/>
  <c r="AR761" i="1" s="1"/>
  <c r="AR483" i="1"/>
  <c r="H53" i="1"/>
  <c r="AQ131" i="1"/>
  <c r="CV235" i="1"/>
  <c r="CV236" i="1"/>
  <c r="AQ129" i="1"/>
  <c r="AQ490" i="1"/>
  <c r="L38" i="31" s="1"/>
  <c r="L41" i="31" s="1"/>
  <c r="AP732" i="1"/>
  <c r="K55" i="31" s="1"/>
  <c r="AP740" i="1"/>
  <c r="AP766" i="1" s="1"/>
  <c r="AP741" i="1"/>
  <c r="AP767" i="1" s="1"/>
  <c r="AP136" i="1"/>
  <c r="AP838" i="1" s="1"/>
  <c r="AP525" i="1"/>
  <c r="K51" i="31" s="1"/>
  <c r="K50" i="31" s="1"/>
  <c r="AP620" i="1"/>
  <c r="AP521" i="1"/>
  <c r="AP513" i="1"/>
  <c r="AP730" i="1"/>
  <c r="K54" i="31" s="1"/>
  <c r="AP461" i="1"/>
  <c r="AP734" i="1"/>
  <c r="AP761" i="1" s="1"/>
  <c r="AP483" i="1"/>
  <c r="D160" i="1"/>
  <c r="E54" i="1" s="1"/>
  <c r="H217" i="1"/>
  <c r="CE217" i="1" s="1"/>
  <c r="G217" i="1"/>
  <c r="F54" i="1"/>
  <c r="AL86" i="1"/>
  <c r="CU235" i="1"/>
  <c r="CU236" i="1"/>
  <c r="AG490" i="1"/>
  <c r="AG493" i="1" s="1"/>
  <c r="AG510" i="1" s="1"/>
  <c r="AG129" i="1"/>
  <c r="AO129" i="1"/>
  <c r="AO490" i="1"/>
  <c r="J38" i="31" s="1"/>
  <c r="J41" i="31" s="1"/>
  <c r="F218" i="1"/>
  <c r="F333" i="1" s="1"/>
  <c r="CD333" i="1" s="1"/>
  <c r="E158" i="1"/>
  <c r="CC158" i="1" s="1"/>
  <c r="CB158" i="1" s="1"/>
  <c r="CE53" i="1"/>
  <c r="G216" i="1"/>
  <c r="G331" i="1" s="1"/>
  <c r="G332" i="1" s="1"/>
  <c r="G53" i="1"/>
  <c r="CW735" i="1"/>
  <c r="AS56" i="31" s="1"/>
  <c r="CQ521" i="1"/>
  <c r="AD493" i="1"/>
  <c r="AD510" i="1" s="1"/>
  <c r="AN759" i="1"/>
  <c r="AN731" i="1"/>
  <c r="AN734" i="1"/>
  <c r="AN761" i="1" s="1"/>
  <c r="AN483" i="1"/>
  <c r="AN490" i="1" s="1"/>
  <c r="I38" i="31" s="1"/>
  <c r="I41" i="31" s="1"/>
  <c r="AN461" i="1"/>
  <c r="AN729" i="1"/>
  <c r="AN758" i="1" s="1"/>
  <c r="AN728" i="1"/>
  <c r="AN733" i="1"/>
  <c r="AN760" i="1"/>
  <c r="BC735" i="1"/>
  <c r="X56" i="31" s="1"/>
  <c r="DB138" i="1"/>
  <c r="F52" i="30" s="1"/>
  <c r="AL314" i="1"/>
  <c r="AL372" i="1" s="1"/>
  <c r="AL88" i="1"/>
  <c r="AL350" i="1"/>
  <c r="AL87" i="1"/>
  <c r="CP367" i="1"/>
  <c r="CP309" i="1" s="1"/>
  <c r="AL376" i="1"/>
  <c r="AL351" i="1"/>
  <c r="AL97" i="1"/>
  <c r="AL315" i="1"/>
  <c r="AL373" i="1" s="1"/>
  <c r="CB61" i="1"/>
  <c r="CA192" i="1"/>
  <c r="AL296" i="1"/>
  <c r="AL321" i="1" s="1"/>
  <c r="AL85" i="1"/>
  <c r="AL281" i="1"/>
  <c r="AL339" i="1" s="1"/>
  <c r="AL331" i="1"/>
  <c r="AL84" i="1"/>
  <c r="AL93" i="1"/>
  <c r="AL330" i="1"/>
  <c r="AL276" i="1"/>
  <c r="AL71" i="1" s="1"/>
  <c r="AL286" i="1"/>
  <c r="AL77" i="1" s="1"/>
  <c r="AL790" i="1"/>
  <c r="BW813" i="1"/>
  <c r="CQ732" i="1"/>
  <c r="CQ733" i="1" s="1"/>
  <c r="BW825" i="1"/>
  <c r="BW819" i="1"/>
  <c r="BW822" i="1"/>
  <c r="BW812" i="1"/>
  <c r="D674" i="1"/>
  <c r="BW816" i="1"/>
  <c r="BC59" i="1"/>
  <c r="BB59" i="1"/>
  <c r="BC60" i="1"/>
  <c r="BB60" i="1"/>
  <c r="DB575" i="1"/>
  <c r="BD575" i="1"/>
  <c r="BE575" i="1" s="1"/>
  <c r="BE706" i="1"/>
  <c r="DB583" i="1"/>
  <c r="BD583" i="1"/>
  <c r="BE583" i="1" s="1"/>
  <c r="BW177" i="1"/>
  <c r="BW114" i="1" s="1"/>
  <c r="CX135" i="1"/>
  <c r="CZ576" i="1"/>
  <c r="AZ576" i="1"/>
  <c r="BA576" i="1" s="1"/>
  <c r="CV554" i="1"/>
  <c r="CQ740" i="1"/>
  <c r="CQ766" i="1" s="1"/>
  <c r="CT20" i="1"/>
  <c r="CT132" i="1"/>
  <c r="CT18" i="1"/>
  <c r="CT17" i="1"/>
  <c r="CT128" i="1"/>
  <c r="CQ620" i="1"/>
  <c r="CQ787" i="1"/>
  <c r="CQ730" i="1"/>
  <c r="CQ840" i="1" s="1"/>
  <c r="CC354" i="1"/>
  <c r="CC296" i="1" s="1"/>
  <c r="CC295" i="1" s="1"/>
  <c r="CQ785" i="1"/>
  <c r="CQ841" i="1" s="1"/>
  <c r="CQ788" i="1"/>
  <c r="CQ783" i="1"/>
  <c r="CQ789" i="1"/>
  <c r="CQ741" i="1"/>
  <c r="CQ767" i="1" s="1"/>
  <c r="CS399" i="1"/>
  <c r="BV199" i="1"/>
  <c r="BU193" i="1"/>
  <c r="CK1" i="1"/>
  <c r="CJ3" i="1"/>
  <c r="CJ2" i="1"/>
  <c r="CK725" i="1" s="1"/>
  <c r="K5" i="1"/>
  <c r="K350" i="1" s="1"/>
  <c r="BV171" i="1"/>
  <c r="BW228" i="1" s="1"/>
  <c r="AH354" i="1"/>
  <c r="AI358" i="1"/>
  <c r="AI73" i="1"/>
  <c r="BX467" i="1"/>
  <c r="BW59" i="1"/>
  <c r="BW48" i="1" s="1"/>
  <c r="AI357" i="1"/>
  <c r="AI367" i="1" s="1"/>
  <c r="AI72" i="1"/>
  <c r="AH363" i="1"/>
  <c r="CY546" i="1"/>
  <c r="CZ565" i="1"/>
  <c r="BU166" i="1"/>
  <c r="BU173" i="1"/>
  <c r="BU178" i="1" s="1"/>
  <c r="BU164" i="1"/>
  <c r="BX86" i="1"/>
  <c r="BX84" i="1"/>
  <c r="BX810" i="1"/>
  <c r="BX118" i="1"/>
  <c r="BX808" i="1"/>
  <c r="BX113" i="1"/>
  <c r="BW227" i="1"/>
  <c r="BW232" i="1" s="1"/>
  <c r="BW233" i="1" s="1"/>
  <c r="BS587" i="1"/>
  <c r="BT698" i="1"/>
  <c r="BT789" i="1" s="1"/>
  <c r="BT702" i="1"/>
  <c r="BT785" i="1" s="1"/>
  <c r="BT841" i="1" s="1"/>
  <c r="BU622" i="1"/>
  <c r="BU624" i="1" s="1"/>
  <c r="BU529" i="1"/>
  <c r="BU534" i="1" s="1"/>
  <c r="BU538" i="1" s="1"/>
  <c r="BV177" i="1"/>
  <c r="BV114" i="1" s="1"/>
  <c r="BV825" i="1"/>
  <c r="BV813" i="1"/>
  <c r="BV816" i="1"/>
  <c r="BV812" i="1"/>
  <c r="BV819" i="1"/>
  <c r="BV154" i="1"/>
  <c r="BV822" i="1"/>
  <c r="BT550" i="1"/>
  <c r="BT564" i="1" s="1"/>
  <c r="BT568" i="1" s="1"/>
  <c r="BT674" i="1"/>
  <c r="C836" i="1"/>
  <c r="C590" i="1"/>
  <c r="C607" i="1"/>
  <c r="C837" i="1" s="1"/>
  <c r="CQ461" i="1"/>
  <c r="CQ463" i="1" s="1"/>
  <c r="CQ734" i="1"/>
  <c r="CQ761" i="1" s="1"/>
  <c r="CQ483" i="1"/>
  <c r="CQ490" i="1" s="1"/>
  <c r="CQ493" i="1" s="1"/>
  <c r="AH483" i="1"/>
  <c r="AH734" i="1"/>
  <c r="AH761" i="1" s="1"/>
  <c r="AH461" i="1"/>
  <c r="C32" i="31" s="1"/>
  <c r="DA600" i="1"/>
  <c r="BB600" i="1"/>
  <c r="BC600" i="1" s="1"/>
  <c r="DA571" i="1"/>
  <c r="BB571" i="1"/>
  <c r="BC571" i="1" s="1"/>
  <c r="AF129" i="1"/>
  <c r="AF490" i="1"/>
  <c r="CP733" i="1"/>
  <c r="CP760" i="1"/>
  <c r="CP759" i="1"/>
  <c r="CP731" i="1"/>
  <c r="CP840" i="1"/>
  <c r="AF731" i="1"/>
  <c r="AF840" i="1"/>
  <c r="AF759" i="1"/>
  <c r="AG731" i="1"/>
  <c r="AF760" i="1"/>
  <c r="AF733" i="1"/>
  <c r="AG733" i="1"/>
  <c r="AF841" i="1"/>
  <c r="AG367" i="1"/>
  <c r="AG309" i="1" s="1"/>
  <c r="CT399" i="1"/>
  <c r="CV606" i="1"/>
  <c r="CZ601" i="1"/>
  <c r="DA555" i="1"/>
  <c r="BB555" i="1"/>
  <c r="BC555" i="1" s="1"/>
  <c r="DA574" i="1"/>
  <c r="BB574" i="1"/>
  <c r="BC574" i="1" s="1"/>
  <c r="CP729" i="1"/>
  <c r="CP758" i="1" s="1"/>
  <c r="CP728" i="1"/>
  <c r="CP757" i="1" s="1"/>
  <c r="CP782" i="1"/>
  <c r="CP510" i="1"/>
  <c r="AZ546" i="1"/>
  <c r="AF728" i="1"/>
  <c r="AF757" i="1" s="1"/>
  <c r="AF729" i="1"/>
  <c r="AF758" i="1" s="1"/>
  <c r="AF782" i="1"/>
  <c r="CQ525" i="1"/>
  <c r="AB391" i="1"/>
  <c r="CO377" i="1"/>
  <c r="CS400" i="1"/>
  <c r="CB160" i="1"/>
  <c r="CC54" i="1" s="1"/>
  <c r="CD54" i="1"/>
  <c r="BB602" i="1"/>
  <c r="BC602" i="1" s="1"/>
  <c r="DA602" i="1"/>
  <c r="CS561" i="1"/>
  <c r="AZ577" i="1"/>
  <c r="BA577" i="1" s="1"/>
  <c r="CZ577" i="1"/>
  <c r="AH357" i="1"/>
  <c r="AH72" i="1"/>
  <c r="AH301" i="1"/>
  <c r="AZ151" i="1"/>
  <c r="BA151" i="1" s="1"/>
  <c r="CZ151" i="1"/>
  <c r="AH362" i="1"/>
  <c r="CR362" i="1" s="1"/>
  <c r="AH306" i="1"/>
  <c r="BB603" i="1"/>
  <c r="BC603" i="1" s="1"/>
  <c r="DA603" i="1"/>
  <c r="AF310" i="1"/>
  <c r="CQ357" i="1"/>
  <c r="CQ299" i="1" s="1"/>
  <c r="CQ72" i="1" s="1"/>
  <c r="BB677" i="1"/>
  <c r="BC677" i="1" s="1"/>
  <c r="DA677" i="1"/>
  <c r="E622" i="1"/>
  <c r="E529" i="1"/>
  <c r="CC527" i="1"/>
  <c r="BB540" i="1"/>
  <c r="DA540" i="1"/>
  <c r="F322" i="1"/>
  <c r="F323" i="1" s="1"/>
  <c r="AG368" i="1"/>
  <c r="AG310" i="1" s="1"/>
  <c r="AH73" i="1"/>
  <c r="AH358" i="1"/>
  <c r="AG359" i="1"/>
  <c r="CQ359" i="1" s="1"/>
  <c r="CQ301" i="1" s="1"/>
  <c r="CQ74" i="1" s="1"/>
  <c r="AG74" i="1"/>
  <c r="AG364" i="1"/>
  <c r="CQ364" i="1" s="1"/>
  <c r="CQ306" i="1" s="1"/>
  <c r="CQ76" i="1" s="1"/>
  <c r="AG76" i="1"/>
  <c r="J5" i="1"/>
  <c r="J330" i="1" s="1"/>
  <c r="CD291" i="1"/>
  <c r="CD294" i="1" s="1"/>
  <c r="CD71" i="1"/>
  <c r="C375" i="1"/>
  <c r="C79" i="1"/>
  <c r="D583" i="1"/>
  <c r="BB682" i="1"/>
  <c r="BC682" i="1" s="1"/>
  <c r="DA682" i="1"/>
  <c r="BB123" i="1"/>
  <c r="BC123" i="1" s="1"/>
  <c r="DA123" i="1"/>
  <c r="CQ358" i="1"/>
  <c r="CQ300" i="1" s="1"/>
  <c r="CQ73" i="1" s="1"/>
  <c r="AZ573" i="1"/>
  <c r="BA573" i="1" s="1"/>
  <c r="CZ573" i="1"/>
  <c r="CZ678" i="1"/>
  <c r="AZ678" i="1"/>
  <c r="BA678" i="1" s="1"/>
  <c r="AF309" i="1"/>
  <c r="BB681" i="1"/>
  <c r="BC681" i="1" s="1"/>
  <c r="DA681" i="1"/>
  <c r="CC375" i="1"/>
  <c r="CC317" i="1" s="1"/>
  <c r="CC79" i="1" s="1"/>
  <c r="D377" i="1"/>
  <c r="BB566" i="1"/>
  <c r="DA566" i="1"/>
  <c r="F295" i="1"/>
  <c r="F353" i="1" s="1"/>
  <c r="CX138" i="1"/>
  <c r="CT762" i="1"/>
  <c r="X10" i="16"/>
  <c r="Y9" i="16"/>
  <c r="AD369" i="1" l="1"/>
  <c r="AH731" i="1"/>
  <c r="C54" i="31"/>
  <c r="AS733" i="1"/>
  <c r="M55" i="31"/>
  <c r="K32" i="31"/>
  <c r="M32" i="31"/>
  <c r="N33" i="31" s="1"/>
  <c r="O32" i="31"/>
  <c r="C74" i="31"/>
  <c r="Q32" i="31"/>
  <c r="Q33" i="31" s="1"/>
  <c r="S32" i="31"/>
  <c r="S33" i="31" s="1"/>
  <c r="M50" i="31"/>
  <c r="N48" i="31"/>
  <c r="I32" i="31"/>
  <c r="H74" i="31"/>
  <c r="AH728" i="1"/>
  <c r="AH757" i="1" s="1"/>
  <c r="C51" i="31"/>
  <c r="C50" i="31" s="1"/>
  <c r="AR733" i="1"/>
  <c r="AR760" i="1"/>
  <c r="L2" i="1"/>
  <c r="M725" i="1" s="1"/>
  <c r="L3" i="1"/>
  <c r="L68" i="1" s="1"/>
  <c r="L273" i="1" s="1"/>
  <c r="AH840" i="1"/>
  <c r="AF131" i="1"/>
  <c r="AR728" i="1"/>
  <c r="AR729" i="1"/>
  <c r="AR758" i="1" s="1"/>
  <c r="AH733" i="1"/>
  <c r="AH759" i="1"/>
  <c r="AH841" i="1"/>
  <c r="AT757" i="1"/>
  <c r="AH760" i="1"/>
  <c r="AV757" i="1"/>
  <c r="AQ757" i="1"/>
  <c r="AN757" i="1"/>
  <c r="AW757" i="1"/>
  <c r="AR757" i="1"/>
  <c r="AH729" i="1"/>
  <c r="AH758" i="1" s="1"/>
  <c r="AH782" i="1"/>
  <c r="H71" i="1"/>
  <c r="G295" i="1"/>
  <c r="G353" i="1" s="1"/>
  <c r="G354" i="1" s="1"/>
  <c r="CU261" i="1"/>
  <c r="CE810" i="1"/>
  <c r="CT372" i="1"/>
  <c r="AN463" i="1"/>
  <c r="AN493" i="1"/>
  <c r="AN510" i="1" s="1"/>
  <c r="AO493" i="1"/>
  <c r="AO510" i="1" s="1"/>
  <c r="AP463" i="1"/>
  <c r="AQ731" i="1"/>
  <c r="AQ733" i="1"/>
  <c r="AQ493" i="1"/>
  <c r="AQ510" i="1" s="1"/>
  <c r="AR463" i="1"/>
  <c r="AT493" i="1"/>
  <c r="AT510" i="1" s="1"/>
  <c r="AT463" i="1"/>
  <c r="AV463" i="1"/>
  <c r="AV493" i="1"/>
  <c r="AV510" i="1" s="1"/>
  <c r="AW493" i="1"/>
  <c r="AW510" i="1" s="1"/>
  <c r="AX463" i="1"/>
  <c r="AH463" i="1"/>
  <c r="AM379" i="1"/>
  <c r="H6" i="31" s="1"/>
  <c r="AM321" i="1"/>
  <c r="CE351" i="1"/>
  <c r="AQ1" i="1"/>
  <c r="L2" i="31" s="1"/>
  <c r="AP2" i="1"/>
  <c r="AQ725" i="1" s="1"/>
  <c r="AP3" i="1"/>
  <c r="K3" i="31" s="1"/>
  <c r="AM334" i="1"/>
  <c r="AM332" i="1" s="1"/>
  <c r="AM291" i="1"/>
  <c r="AO33" i="1"/>
  <c r="AO70" i="1"/>
  <c r="AO275" i="1" s="1"/>
  <c r="AO31" i="1"/>
  <c r="AO67" i="1"/>
  <c r="AO272" i="1" s="1"/>
  <c r="AO68" i="1"/>
  <c r="AO273" i="1" s="1"/>
  <c r="AO38" i="1"/>
  <c r="AO40" i="1"/>
  <c r="AO32" i="1"/>
  <c r="AO132" i="1"/>
  <c r="AO39" i="1"/>
  <c r="AO29" i="1"/>
  <c r="AO30" i="1"/>
  <c r="AO5" i="1"/>
  <c r="J4" i="31" s="1"/>
  <c r="AM374" i="1"/>
  <c r="CE376" i="1"/>
  <c r="CE318" i="1" s="1"/>
  <c r="CE80" i="1" s="1"/>
  <c r="CE117" i="1"/>
  <c r="I311" i="1"/>
  <c r="I78" i="1" s="1"/>
  <c r="H379" i="1"/>
  <c r="CE379" i="1" s="1"/>
  <c r="CE84" i="1"/>
  <c r="I357" i="1"/>
  <c r="CE357" i="1" s="1"/>
  <c r="CE299" i="1" s="1"/>
  <c r="CE72" i="1" s="1"/>
  <c r="H315" i="1"/>
  <c r="H373" i="1" s="1"/>
  <c r="H291" i="1"/>
  <c r="H294" i="1" s="1"/>
  <c r="H75" i="1"/>
  <c r="I301" i="1"/>
  <c r="I74" i="1" s="1"/>
  <c r="CE330" i="1"/>
  <c r="CE272" i="1" s="1"/>
  <c r="CE67" i="1" s="1"/>
  <c r="H306" i="1"/>
  <c r="H76" i="1" s="1"/>
  <c r="H73" i="1"/>
  <c r="CE368" i="1"/>
  <c r="CE310" i="1" s="1"/>
  <c r="H301" i="1"/>
  <c r="H359" i="1" s="1"/>
  <c r="H344" i="1"/>
  <c r="CE344" i="1" s="1"/>
  <c r="CE286" i="1" s="1"/>
  <c r="CE77" i="1" s="1"/>
  <c r="CE350" i="1"/>
  <c r="H72" i="1"/>
  <c r="H77" i="1"/>
  <c r="CE118" i="1"/>
  <c r="CE131" i="1"/>
  <c r="CE467" i="1"/>
  <c r="CE699" i="1"/>
  <c r="CE741" i="1"/>
  <c r="CE767" i="1" s="1"/>
  <c r="H314" i="1"/>
  <c r="H372" i="1" s="1"/>
  <c r="CE728" i="1"/>
  <c r="CE757" i="1" s="1"/>
  <c r="CE734" i="1"/>
  <c r="CE761" i="1" s="1"/>
  <c r="CE86" i="1"/>
  <c r="CE333" i="1"/>
  <c r="CE275" i="1" s="1"/>
  <c r="CE70" i="1" s="1"/>
  <c r="H311" i="1"/>
  <c r="H78" i="1" s="1"/>
  <c r="CE362" i="1"/>
  <c r="CE304" i="1" s="1"/>
  <c r="CE732" i="1"/>
  <c r="CE733" i="1" s="1"/>
  <c r="CE113" i="1"/>
  <c r="CE739" i="1"/>
  <c r="CE765" i="1" s="1"/>
  <c r="CE738" i="1"/>
  <c r="CE764" i="1" s="1"/>
  <c r="CE111" i="1"/>
  <c r="CE469" i="1" s="1"/>
  <c r="I73" i="1"/>
  <c r="CE788" i="1"/>
  <c r="CE740" i="1"/>
  <c r="CE766" i="1" s="1"/>
  <c r="CE339" i="1"/>
  <c r="CE281" i="1" s="1"/>
  <c r="CE75" i="1" s="1"/>
  <c r="I314" i="1"/>
  <c r="I321" i="1"/>
  <c r="I323" i="1" s="1"/>
  <c r="I325" i="1" s="1"/>
  <c r="CE305" i="1"/>
  <c r="I332" i="1"/>
  <c r="I274" i="1" s="1"/>
  <c r="I69" i="1" s="1"/>
  <c r="I306" i="1"/>
  <c r="I364" i="1" s="1"/>
  <c r="CE112" i="1"/>
  <c r="CE783" i="1"/>
  <c r="I75" i="1"/>
  <c r="CE358" i="1"/>
  <c r="CE300" i="1" s="1"/>
  <c r="CE73" i="1" s="1"/>
  <c r="CE89" i="1"/>
  <c r="CE811" i="1"/>
  <c r="CE782" i="1"/>
  <c r="I315" i="1"/>
  <c r="I373" i="1" s="1"/>
  <c r="CE331" i="1"/>
  <c r="CE273" i="1" s="1"/>
  <c r="CE68" i="1" s="1"/>
  <c r="I291" i="1"/>
  <c r="I294" i="1" s="1"/>
  <c r="I295" i="1" s="1"/>
  <c r="I353" i="1" s="1"/>
  <c r="I77" i="1"/>
  <c r="F352" i="1"/>
  <c r="F354" i="1" s="1"/>
  <c r="F374" i="1"/>
  <c r="G374" i="1"/>
  <c r="CP369" i="1"/>
  <c r="CP311" i="1" s="1"/>
  <c r="CP78" i="1" s="1"/>
  <c r="G375" i="1"/>
  <c r="CD380" i="1"/>
  <c r="G79" i="1"/>
  <c r="AX760" i="1"/>
  <c r="AX733" i="1"/>
  <c r="AX490" i="1"/>
  <c r="S38" i="31" s="1"/>
  <c r="S41" i="31" s="1"/>
  <c r="AX129" i="1"/>
  <c r="AZ129" i="1" s="1"/>
  <c r="AX729" i="1"/>
  <c r="AX758" i="1" s="1"/>
  <c r="AX728" i="1"/>
  <c r="AX759" i="1"/>
  <c r="AX731" i="1"/>
  <c r="AL633" i="1"/>
  <c r="AL636" i="1" s="1"/>
  <c r="AM553" i="1"/>
  <c r="AM561" i="1" s="1"/>
  <c r="AM628" i="1" s="1"/>
  <c r="C377" i="1"/>
  <c r="C354" i="1"/>
  <c r="AE78" i="1"/>
  <c r="AE316" i="1"/>
  <c r="AE317" i="1" s="1"/>
  <c r="AE380" i="1" s="1"/>
  <c r="AR129" i="1"/>
  <c r="AR490" i="1"/>
  <c r="M38" i="31" s="1"/>
  <c r="M41" i="31" s="1"/>
  <c r="CV237" i="1"/>
  <c r="AR68" i="31" s="1"/>
  <c r="E218" i="1"/>
  <c r="E333" i="1" s="1"/>
  <c r="C160" i="1"/>
  <c r="D54" i="1" s="1"/>
  <c r="AP731" i="1"/>
  <c r="AP759" i="1"/>
  <c r="AP728" i="1"/>
  <c r="AP729" i="1"/>
  <c r="AP758" i="1" s="1"/>
  <c r="AP760" i="1"/>
  <c r="AP733" i="1"/>
  <c r="AP490" i="1"/>
  <c r="K38" i="31" s="1"/>
  <c r="K41" i="31" s="1"/>
  <c r="AP129" i="1"/>
  <c r="G274" i="1"/>
  <c r="G69" i="1" s="1"/>
  <c r="F216" i="1"/>
  <c r="F331" i="1" s="1"/>
  <c r="CD331" i="1" s="1"/>
  <c r="CD218" i="1"/>
  <c r="CD275" i="1" s="1"/>
  <c r="CD70" i="1" s="1"/>
  <c r="CU237" i="1"/>
  <c r="AQ68" i="31" s="1"/>
  <c r="AQ69" i="31" s="1"/>
  <c r="E159" i="1"/>
  <c r="F217" i="1" s="1"/>
  <c r="CD217" i="1" s="1"/>
  <c r="D158" i="1"/>
  <c r="E216" i="1" s="1"/>
  <c r="E331" i="1" s="1"/>
  <c r="CX735" i="1"/>
  <c r="AT56" i="31" s="1"/>
  <c r="AF493" i="1"/>
  <c r="AF510" i="1" s="1"/>
  <c r="DC135" i="1"/>
  <c r="DC735" i="1" s="1"/>
  <c r="AY56" i="31" s="1"/>
  <c r="BD735" i="1"/>
  <c r="Y56" i="31" s="1"/>
  <c r="AN5" i="1"/>
  <c r="I4" i="31" s="1"/>
  <c r="CE367" i="1"/>
  <c r="CE309" i="1" s="1"/>
  <c r="CQ760" i="1"/>
  <c r="CQ759" i="1"/>
  <c r="AL75" i="1"/>
  <c r="DC575" i="1"/>
  <c r="BF575" i="1"/>
  <c r="BG575" i="1" s="1"/>
  <c r="DC583" i="1"/>
  <c r="BF583" i="1"/>
  <c r="BG583" i="1" s="1"/>
  <c r="AL334" i="1"/>
  <c r="DC706" i="1"/>
  <c r="BF706" i="1"/>
  <c r="AL379" i="1"/>
  <c r="G6" i="31" s="1"/>
  <c r="AL344" i="1"/>
  <c r="AL374" i="1"/>
  <c r="CT373" i="1"/>
  <c r="CA58" i="1"/>
  <c r="CA198" i="1"/>
  <c r="AL291" i="1"/>
  <c r="AL294" i="1" s="1"/>
  <c r="AL295" i="1" s="1"/>
  <c r="AL353" i="1" s="1"/>
  <c r="BW146" i="1"/>
  <c r="K118" i="1"/>
  <c r="K87" i="1"/>
  <c r="AY735" i="1"/>
  <c r="T56" i="31" s="1"/>
  <c r="CZ138" i="1"/>
  <c r="D52" i="30" s="1"/>
  <c r="CZ135" i="1"/>
  <c r="CZ735" i="1" s="1"/>
  <c r="AV56" i="31" s="1"/>
  <c r="CC321" i="1"/>
  <c r="CQ367" i="1"/>
  <c r="CQ309" i="1" s="1"/>
  <c r="DA135" i="1"/>
  <c r="DA735" i="1" s="1"/>
  <c r="AW56" i="31" s="1"/>
  <c r="AZ735" i="1"/>
  <c r="U56" i="31" s="1"/>
  <c r="DB35" i="1"/>
  <c r="DB34" i="1"/>
  <c r="BA735" i="1"/>
  <c r="V56" i="31" s="1"/>
  <c r="DA138" i="1"/>
  <c r="E52" i="30" s="1"/>
  <c r="DB574" i="1"/>
  <c r="BD574" i="1"/>
  <c r="BE574" i="1" s="1"/>
  <c r="DB555" i="1"/>
  <c r="BD555" i="1"/>
  <c r="BE555" i="1" s="1"/>
  <c r="DB682" i="1"/>
  <c r="BD682" i="1"/>
  <c r="BE682" i="1" s="1"/>
  <c r="DB123" i="1"/>
  <c r="BD123" i="1"/>
  <c r="BE123" i="1" s="1"/>
  <c r="DB603" i="1"/>
  <c r="BD603" i="1"/>
  <c r="BE603" i="1" s="1"/>
  <c r="K309" i="1"/>
  <c r="K367" i="1" s="1"/>
  <c r="DB677" i="1"/>
  <c r="BD677" i="1"/>
  <c r="BE677" i="1" s="1"/>
  <c r="DB600" i="1"/>
  <c r="BD600" i="1"/>
  <c r="BE600" i="1" s="1"/>
  <c r="DB681" i="1"/>
  <c r="BD681" i="1"/>
  <c r="BE681" i="1" s="1"/>
  <c r="DB602" i="1"/>
  <c r="BD602" i="1"/>
  <c r="BE602" i="1" s="1"/>
  <c r="DB571" i="1"/>
  <c r="BD571" i="1"/>
  <c r="K299" i="1"/>
  <c r="CQ731" i="1"/>
  <c r="CT737" i="1"/>
  <c r="CT763" i="1" s="1"/>
  <c r="DA576" i="1"/>
  <c r="BB576" i="1"/>
  <c r="BC576" i="1" s="1"/>
  <c r="AZ556" i="1"/>
  <c r="BA556" i="1" s="1"/>
  <c r="CW554" i="1"/>
  <c r="K376" i="1"/>
  <c r="K97" i="1"/>
  <c r="K787" i="1"/>
  <c r="K89" i="1"/>
  <c r="K790" i="1"/>
  <c r="AI363" i="1"/>
  <c r="AI368" i="1" s="1"/>
  <c r="K785" i="1"/>
  <c r="K841" i="1" s="1"/>
  <c r="K85" i="1"/>
  <c r="K117" i="1"/>
  <c r="K296" i="1"/>
  <c r="K321" i="1" s="1"/>
  <c r="K351" i="1"/>
  <c r="K810" i="1"/>
  <c r="K808" i="1"/>
  <c r="K276" i="1"/>
  <c r="K334" i="1" s="1"/>
  <c r="K305" i="1"/>
  <c r="K363" i="1" s="1"/>
  <c r="K333" i="1"/>
  <c r="K330" i="1"/>
  <c r="CF330" i="1" s="1"/>
  <c r="BU199" i="1"/>
  <c r="BT193" i="1"/>
  <c r="AF311" i="1"/>
  <c r="AF369" i="1" s="1"/>
  <c r="AH368" i="1"/>
  <c r="AH310" i="1" s="1"/>
  <c r="AG311" i="1"/>
  <c r="AG369" i="1" s="1"/>
  <c r="K331" i="1"/>
  <c r="K783" i="1"/>
  <c r="K789" i="1"/>
  <c r="K84" i="1"/>
  <c r="K112" i="1"/>
  <c r="K86" i="1"/>
  <c r="K88" i="1"/>
  <c r="K281" i="1"/>
  <c r="K339" i="1" s="1"/>
  <c r="K300" i="1"/>
  <c r="K358" i="1" s="1"/>
  <c r="K310" i="1"/>
  <c r="K368" i="1" s="1"/>
  <c r="K782" i="1"/>
  <c r="K788" i="1"/>
  <c r="K113" i="1"/>
  <c r="K811" i="1"/>
  <c r="K809" i="1"/>
  <c r="K93" i="1"/>
  <c r="K286" i="1"/>
  <c r="K344" i="1" s="1"/>
  <c r="K304" i="1"/>
  <c r="K362" i="1" s="1"/>
  <c r="CK2" i="1"/>
  <c r="CL725" i="1" s="1"/>
  <c r="CK3" i="1"/>
  <c r="CL1" i="1"/>
  <c r="BW467" i="1"/>
  <c r="BT167" i="1"/>
  <c r="BT166" i="1" s="1"/>
  <c r="BV146" i="1"/>
  <c r="BT585" i="1"/>
  <c r="BT583" i="1" s="1"/>
  <c r="BT628" i="1" s="1"/>
  <c r="BT629" i="1" s="1"/>
  <c r="BU661" i="1"/>
  <c r="BU743" i="1" s="1"/>
  <c r="BU769" i="1" s="1"/>
  <c r="BV533" i="1"/>
  <c r="BV527" i="1" s="1"/>
  <c r="BU742" i="1"/>
  <c r="BU768" i="1" s="1"/>
  <c r="BU531" i="1"/>
  <c r="BU541" i="1"/>
  <c r="BW118" i="1"/>
  <c r="BW113" i="1"/>
  <c r="BW808" i="1"/>
  <c r="BW86" i="1"/>
  <c r="BW810" i="1"/>
  <c r="BW84" i="1"/>
  <c r="BV222" i="1"/>
  <c r="BV56" i="1"/>
  <c r="BV46" i="1" s="1"/>
  <c r="BU172" i="1"/>
  <c r="BU170" i="1"/>
  <c r="BU165" i="1"/>
  <c r="BV223" i="1" s="1"/>
  <c r="BS836" i="1"/>
  <c r="BS606" i="1"/>
  <c r="BS607" i="1" s="1"/>
  <c r="BS837" i="1" s="1"/>
  <c r="BS590" i="1"/>
  <c r="BU181" i="1"/>
  <c r="BU795" i="1"/>
  <c r="BU177" i="1"/>
  <c r="BV111" i="1"/>
  <c r="L111" i="1" s="1"/>
  <c r="BV109" i="1"/>
  <c r="BV57" i="1"/>
  <c r="BV47" i="1" s="1"/>
  <c r="DA565" i="1"/>
  <c r="CO391" i="1"/>
  <c r="CO319" i="1"/>
  <c r="CO322" i="1" s="1"/>
  <c r="CO323" i="1" s="1"/>
  <c r="CQ729" i="1"/>
  <c r="CQ758" i="1" s="1"/>
  <c r="CQ782" i="1"/>
  <c r="CQ728" i="1"/>
  <c r="CQ757" i="1" s="1"/>
  <c r="BA546" i="1"/>
  <c r="BB546" i="1" s="1"/>
  <c r="CR669" i="1"/>
  <c r="CR662" i="1"/>
  <c r="CR663" i="1"/>
  <c r="CQ510" i="1"/>
  <c r="CZ546" i="1"/>
  <c r="CR395" i="1"/>
  <c r="CR664" i="1"/>
  <c r="CR665" i="1"/>
  <c r="CR666" i="1"/>
  <c r="CR668" i="1"/>
  <c r="DA601" i="1"/>
  <c r="CW606" i="1"/>
  <c r="CR498" i="1"/>
  <c r="AN43" i="31" s="1"/>
  <c r="AH129" i="1"/>
  <c r="AH490" i="1"/>
  <c r="C38" i="31" s="1"/>
  <c r="C41" i="31" s="1"/>
  <c r="C150" i="1"/>
  <c r="C548" i="1"/>
  <c r="C595" i="1"/>
  <c r="C834" i="1"/>
  <c r="CT400" i="1"/>
  <c r="CA160" i="1"/>
  <c r="CC469" i="1"/>
  <c r="CC468" i="1" s="1"/>
  <c r="CC110" i="1" s="1"/>
  <c r="BC566" i="1"/>
  <c r="D391" i="1"/>
  <c r="CC377" i="1"/>
  <c r="BB573" i="1"/>
  <c r="BC573" i="1" s="1"/>
  <c r="DA573" i="1"/>
  <c r="CW499" i="1"/>
  <c r="D585" i="1"/>
  <c r="D587" i="1" s="1"/>
  <c r="D628" i="1"/>
  <c r="CE334" i="1"/>
  <c r="CE276" i="1" s="1"/>
  <c r="H332" i="1"/>
  <c r="CE759" i="1"/>
  <c r="CE731" i="1"/>
  <c r="J790" i="1"/>
  <c r="J351" i="1"/>
  <c r="J304" i="1"/>
  <c r="J296" i="1"/>
  <c r="J276" i="1"/>
  <c r="J305" i="1"/>
  <c r="J363" i="1" s="1"/>
  <c r="J299" i="1"/>
  <c r="J93" i="1"/>
  <c r="J87" i="1"/>
  <c r="J809" i="1"/>
  <c r="J84" i="1"/>
  <c r="J117" i="1"/>
  <c r="J118" i="1"/>
  <c r="J808" i="1"/>
  <c r="J89" i="1"/>
  <c r="J787" i="1"/>
  <c r="J788" i="1"/>
  <c r="J785" i="1"/>
  <c r="J841" i="1" s="1"/>
  <c r="J782" i="1"/>
  <c r="J350" i="1"/>
  <c r="CF350" i="1" s="1"/>
  <c r="J310" i="1"/>
  <c r="J368" i="1" s="1"/>
  <c r="J309" i="1"/>
  <c r="J300" i="1"/>
  <c r="J286" i="1"/>
  <c r="J97" i="1"/>
  <c r="J281" i="1"/>
  <c r="J88" i="1"/>
  <c r="J112" i="1"/>
  <c r="J113" i="1"/>
  <c r="J810" i="1"/>
  <c r="J811" i="1"/>
  <c r="J86" i="1"/>
  <c r="J85" i="1"/>
  <c r="J376" i="1"/>
  <c r="J783" i="1"/>
  <c r="J789" i="1"/>
  <c r="CF215" i="1"/>
  <c r="CF239" i="1"/>
  <c r="CF212" i="1" s="1"/>
  <c r="CF244" i="1"/>
  <c r="CF262" i="1"/>
  <c r="CF257" i="1"/>
  <c r="CF703" i="1"/>
  <c r="CF787" i="1" s="1"/>
  <c r="CF233" i="1"/>
  <c r="CF243" i="1"/>
  <c r="CF258" i="1"/>
  <c r="CF224" i="1"/>
  <c r="CF701" i="1"/>
  <c r="CF222" i="1"/>
  <c r="CF254" i="1"/>
  <c r="CF545" i="1"/>
  <c r="CF26" i="1"/>
  <c r="CF247" i="1"/>
  <c r="CF229" i="1"/>
  <c r="CF128" i="1"/>
  <c r="CF248" i="1"/>
  <c r="CF265" i="1"/>
  <c r="CF88" i="1" s="1"/>
  <c r="CF700" i="1"/>
  <c r="CF238" i="1"/>
  <c r="CF236" i="1"/>
  <c r="CF219" i="1"/>
  <c r="CF259" i="1"/>
  <c r="CF85" i="1" s="1"/>
  <c r="CF704" i="1"/>
  <c r="CF23" i="1"/>
  <c r="CF232" i="1"/>
  <c r="CF252" i="1"/>
  <c r="CF223" i="1"/>
  <c r="CF267" i="1"/>
  <c r="CF87" i="1" s="1"/>
  <c r="CF696" i="1"/>
  <c r="CF24" i="1"/>
  <c r="CF234" i="1"/>
  <c r="CF249" i="1"/>
  <c r="CF260" i="1"/>
  <c r="CF25" i="1"/>
  <c r="CF242" i="1"/>
  <c r="CF228" i="1"/>
  <c r="CF237" i="1"/>
  <c r="CF227" i="1"/>
  <c r="CF266" i="1"/>
  <c r="CF544" i="1"/>
  <c r="CF235" i="1"/>
  <c r="CF218" i="1"/>
  <c r="CF261" i="1"/>
  <c r="CF132" i="1"/>
  <c r="CF253" i="1"/>
  <c r="CF697" i="1"/>
  <c r="CF216" i="1"/>
  <c r="CF217" i="1"/>
  <c r="AD375" i="1"/>
  <c r="AD79" i="1"/>
  <c r="F325" i="1"/>
  <c r="F81" i="1"/>
  <c r="F269" i="1"/>
  <c r="E534" i="1"/>
  <c r="CC529" i="1"/>
  <c r="J331" i="1"/>
  <c r="CW588" i="1"/>
  <c r="CW539" i="1"/>
  <c r="CQ368" i="1"/>
  <c r="CQ310" i="1" s="1"/>
  <c r="BB151" i="1"/>
  <c r="BC151" i="1" s="1"/>
  <c r="DA151" i="1"/>
  <c r="BB577" i="1"/>
  <c r="BC577" i="1" s="1"/>
  <c r="DA577" i="1"/>
  <c r="J333" i="1"/>
  <c r="CB159" i="1"/>
  <c r="CA158" i="1"/>
  <c r="BB678" i="1"/>
  <c r="BC678" i="1" s="1"/>
  <c r="DA678" i="1"/>
  <c r="CV536" i="1"/>
  <c r="AD380" i="1"/>
  <c r="F79" i="1"/>
  <c r="F375" i="1"/>
  <c r="BC540" i="1"/>
  <c r="E624" i="1"/>
  <c r="CC622" i="1"/>
  <c r="CC624" i="1" s="1"/>
  <c r="CV522" i="1"/>
  <c r="N1" i="1"/>
  <c r="M2" i="1"/>
  <c r="N725" i="1" s="1"/>
  <c r="M3" i="1"/>
  <c r="AH364" i="1"/>
  <c r="AH76" i="1"/>
  <c r="AH74" i="1"/>
  <c r="AH359" i="1"/>
  <c r="AH367" i="1"/>
  <c r="CY138" i="1"/>
  <c r="C52" i="30" s="1"/>
  <c r="O15" i="30" s="1"/>
  <c r="CY135" i="1"/>
  <c r="CU142" i="1"/>
  <c r="Z9" i="16"/>
  <c r="Y10" i="16"/>
  <c r="AR69" i="31" l="1"/>
  <c r="P33" i="31"/>
  <c r="O33" i="31"/>
  <c r="R33" i="31"/>
  <c r="L67" i="1"/>
  <c r="L272" i="1" s="1"/>
  <c r="L31" i="1"/>
  <c r="L30" i="1"/>
  <c r="L39" i="1"/>
  <c r="L33" i="1"/>
  <c r="L70" i="1"/>
  <c r="L275" i="1" s="1"/>
  <c r="L38" i="1"/>
  <c r="L32" i="1"/>
  <c r="L40" i="1"/>
  <c r="L29" i="1"/>
  <c r="I369" i="1"/>
  <c r="CD353" i="1"/>
  <c r="AX757" i="1"/>
  <c r="AP757" i="1"/>
  <c r="CD354" i="1"/>
  <c r="CD296" i="1" s="1"/>
  <c r="CD321" i="1" s="1"/>
  <c r="H369" i="1"/>
  <c r="AO331" i="1"/>
  <c r="E49" i="30"/>
  <c r="F50" i="30" s="1"/>
  <c r="D49" i="30"/>
  <c r="G49" i="30"/>
  <c r="O24" i="30" s="1"/>
  <c r="CU238" i="1"/>
  <c r="AP493" i="1"/>
  <c r="AP510" i="1" s="1"/>
  <c r="CV238" i="1"/>
  <c r="AR493" i="1"/>
  <c r="AR510" i="1" s="1"/>
  <c r="AX493" i="1"/>
  <c r="AX510" i="1" s="1"/>
  <c r="AO330" i="1"/>
  <c r="AP33" i="1"/>
  <c r="AP70" i="1"/>
  <c r="AP275" i="1" s="1"/>
  <c r="AP68" i="1"/>
  <c r="AP273" i="1" s="1"/>
  <c r="AP67" i="1"/>
  <c r="AP272" i="1" s="1"/>
  <c r="AP40" i="1"/>
  <c r="AP132" i="1"/>
  <c r="AP31" i="1"/>
  <c r="AP38" i="1"/>
  <c r="AP32" i="1"/>
  <c r="AP30" i="1"/>
  <c r="AP39" i="1"/>
  <c r="AP29" i="1"/>
  <c r="AR1" i="1"/>
  <c r="M2" i="31" s="1"/>
  <c r="AQ2" i="1"/>
  <c r="AR725" i="1" s="1"/>
  <c r="AQ3" i="1"/>
  <c r="AO333" i="1"/>
  <c r="AM294" i="1"/>
  <c r="AM295" i="1" s="1"/>
  <c r="AM353" i="1" s="1"/>
  <c r="AM349" i="1"/>
  <c r="AO97" i="1"/>
  <c r="AO87" i="1"/>
  <c r="AO376" i="1"/>
  <c r="AO84" i="1"/>
  <c r="AO111" i="1"/>
  <c r="AO350" i="1"/>
  <c r="AO314" i="1"/>
  <c r="AO372" i="1" s="1"/>
  <c r="AO85" i="1"/>
  <c r="AO809" i="1"/>
  <c r="AO86" i="1"/>
  <c r="AO110" i="1"/>
  <c r="AO790" i="1"/>
  <c r="AO281" i="1"/>
  <c r="AO811" i="1"/>
  <c r="AO88" i="1"/>
  <c r="AO276" i="1"/>
  <c r="AO109" i="1"/>
  <c r="AO296" i="1"/>
  <c r="AO286" i="1"/>
  <c r="AO808" i="1"/>
  <c r="AO351" i="1"/>
  <c r="AO112" i="1"/>
  <c r="AO118" i="1"/>
  <c r="AO93" i="1"/>
  <c r="AO315" i="1"/>
  <c r="AO373" i="1" s="1"/>
  <c r="AO791" i="1"/>
  <c r="AO117" i="1"/>
  <c r="AO810" i="1"/>
  <c r="AO113" i="1"/>
  <c r="AO785" i="1"/>
  <c r="AO841" i="1" s="1"/>
  <c r="AO89" i="1"/>
  <c r="AO789" i="1"/>
  <c r="AO788" i="1"/>
  <c r="J72" i="31" s="1"/>
  <c r="AO787" i="1"/>
  <c r="AO783" i="1"/>
  <c r="J73" i="31" s="1"/>
  <c r="AO782" i="1"/>
  <c r="H319" i="1"/>
  <c r="H322" i="1" s="1"/>
  <c r="H323" i="1" s="1"/>
  <c r="I372" i="1"/>
  <c r="CE372" i="1" s="1"/>
  <c r="CE314" i="1" s="1"/>
  <c r="H349" i="1"/>
  <c r="H352" i="1" s="1"/>
  <c r="H74" i="1"/>
  <c r="I359" i="1"/>
  <c r="CE359" i="1" s="1"/>
  <c r="CE301" i="1" s="1"/>
  <c r="CE74" i="1" s="1"/>
  <c r="H364" i="1"/>
  <c r="CE364" i="1" s="1"/>
  <c r="CE306" i="1" s="1"/>
  <c r="CE76" i="1" s="1"/>
  <c r="CE468" i="1"/>
  <c r="CE110" i="1" s="1"/>
  <c r="CD352" i="1"/>
  <c r="H316" i="1"/>
  <c r="CD374" i="1"/>
  <c r="CD316" i="1" s="1"/>
  <c r="CE840" i="1"/>
  <c r="CT553" i="1"/>
  <c r="CE760" i="1"/>
  <c r="I349" i="1"/>
  <c r="I352" i="1" s="1"/>
  <c r="I354" i="1" s="1"/>
  <c r="AM633" i="1"/>
  <c r="AM635" i="1" s="1"/>
  <c r="AM738" i="1" s="1"/>
  <c r="I76" i="1"/>
  <c r="I316" i="1"/>
  <c r="I317" i="1" s="1"/>
  <c r="I375" i="1" s="1"/>
  <c r="CE373" i="1"/>
  <c r="CE315" i="1" s="1"/>
  <c r="G377" i="1"/>
  <c r="G391" i="1" s="1"/>
  <c r="AN553" i="1"/>
  <c r="AN561" i="1" s="1"/>
  <c r="AN628" i="1" s="1"/>
  <c r="M68" i="1"/>
  <c r="M273" i="1" s="1"/>
  <c r="M40" i="1"/>
  <c r="M38" i="1"/>
  <c r="M70" i="1"/>
  <c r="M275" i="1" s="1"/>
  <c r="M67" i="1"/>
  <c r="M272" i="1" s="1"/>
  <c r="M39" i="1"/>
  <c r="M31" i="1"/>
  <c r="M29" i="1"/>
  <c r="M32" i="1"/>
  <c r="M30" i="1"/>
  <c r="M132" i="1"/>
  <c r="M636" i="1" s="1"/>
  <c r="M33" i="1"/>
  <c r="C391" i="1"/>
  <c r="CX235" i="1"/>
  <c r="CX236" i="1"/>
  <c r="I269" i="1"/>
  <c r="I81" i="1"/>
  <c r="CW235" i="1"/>
  <c r="CW236" i="1"/>
  <c r="E332" i="1"/>
  <c r="C54" i="1"/>
  <c r="F53" i="1"/>
  <c r="D218" i="1"/>
  <c r="CC218" i="1" s="1"/>
  <c r="C218" i="1"/>
  <c r="C333" i="1" s="1"/>
  <c r="CD216" i="1"/>
  <c r="CD273" i="1" s="1"/>
  <c r="CD68" i="1" s="1"/>
  <c r="F332" i="1"/>
  <c r="F274" i="1" s="1"/>
  <c r="F69" i="1" s="1"/>
  <c r="CC159" i="1"/>
  <c r="CD53" i="1" s="1"/>
  <c r="C158" i="1"/>
  <c r="C216" i="1" s="1"/>
  <c r="C331" i="1" s="1"/>
  <c r="D159" i="1"/>
  <c r="E217" i="1" s="1"/>
  <c r="DD583" i="1"/>
  <c r="BH583" i="1"/>
  <c r="BI583" i="1" s="1"/>
  <c r="DD575" i="1"/>
  <c r="BH575" i="1"/>
  <c r="BI575" i="1" s="1"/>
  <c r="AH493" i="1"/>
  <c r="AH510" i="1" s="1"/>
  <c r="AN790" i="1"/>
  <c r="AN809" i="1"/>
  <c r="AN810" i="1"/>
  <c r="AN791" i="1"/>
  <c r="AN811" i="1"/>
  <c r="AN808" i="1"/>
  <c r="AN330" i="1"/>
  <c r="AN787" i="1"/>
  <c r="AN789" i="1"/>
  <c r="AN788" i="1"/>
  <c r="I72" i="31" s="1"/>
  <c r="AN783" i="1"/>
  <c r="I73" i="31" s="1"/>
  <c r="AN785" i="1"/>
  <c r="AN782" i="1"/>
  <c r="AN281" i="1"/>
  <c r="AN339" i="1" s="1"/>
  <c r="AN286" i="1"/>
  <c r="AN344" i="1" s="1"/>
  <c r="AN351" i="1"/>
  <c r="AN276" i="1"/>
  <c r="AN350" i="1"/>
  <c r="AN296" i="1"/>
  <c r="AN314" i="1"/>
  <c r="AN97" i="1"/>
  <c r="AN315" i="1"/>
  <c r="AN373" i="1" s="1"/>
  <c r="AN376" i="1"/>
  <c r="AN333" i="1"/>
  <c r="AN331" i="1"/>
  <c r="DC138" i="1"/>
  <c r="G52" i="30" s="1"/>
  <c r="BE735" i="1"/>
  <c r="Z56" i="31" s="1"/>
  <c r="DC555" i="1"/>
  <c r="BF555" i="1"/>
  <c r="BG555" i="1" s="1"/>
  <c r="BG706" i="1"/>
  <c r="DC574" i="1"/>
  <c r="BF574" i="1"/>
  <c r="BG574" i="1" s="1"/>
  <c r="DC602" i="1"/>
  <c r="BF602" i="1"/>
  <c r="BG602" i="1" s="1"/>
  <c r="DC681" i="1"/>
  <c r="BF681" i="1"/>
  <c r="BG681" i="1" s="1"/>
  <c r="DC677" i="1"/>
  <c r="BF677" i="1"/>
  <c r="BG677" i="1" s="1"/>
  <c r="AL349" i="1"/>
  <c r="AL352" i="1" s="1"/>
  <c r="AL354" i="1" s="1"/>
  <c r="DC123" i="1"/>
  <c r="BF123" i="1"/>
  <c r="BG123" i="1" s="1"/>
  <c r="DC600" i="1"/>
  <c r="BF600" i="1"/>
  <c r="BG600" i="1" s="1"/>
  <c r="DC603" i="1"/>
  <c r="BF603" i="1"/>
  <c r="BG603" i="1" s="1"/>
  <c r="DC682" i="1"/>
  <c r="BF682" i="1"/>
  <c r="BG682" i="1" s="1"/>
  <c r="CA61" i="1"/>
  <c r="BZ192" i="1"/>
  <c r="K75" i="1"/>
  <c r="K71" i="1"/>
  <c r="K314" i="1"/>
  <c r="K311" i="1"/>
  <c r="K78" i="1" s="1"/>
  <c r="K357" i="1"/>
  <c r="K72" i="1"/>
  <c r="AF78" i="1"/>
  <c r="DB151" i="1"/>
  <c r="BD151" i="1"/>
  <c r="BE151" i="1" s="1"/>
  <c r="DB540" i="1"/>
  <c r="BD540" i="1"/>
  <c r="BE540" i="1" s="1"/>
  <c r="DB577" i="1"/>
  <c r="BD577" i="1"/>
  <c r="BE577" i="1" s="1"/>
  <c r="DB565" i="1"/>
  <c r="CF368" i="1"/>
  <c r="CF310" i="1" s="1"/>
  <c r="DB573" i="1"/>
  <c r="BD573" i="1"/>
  <c r="BE573" i="1" s="1"/>
  <c r="DB601" i="1"/>
  <c r="DB566" i="1"/>
  <c r="BD566" i="1"/>
  <c r="BE571" i="1"/>
  <c r="DB678" i="1"/>
  <c r="BD678" i="1"/>
  <c r="BE678" i="1" s="1"/>
  <c r="DB576" i="1"/>
  <c r="BD576" i="1"/>
  <c r="K379" i="1"/>
  <c r="K319" i="1" s="1"/>
  <c r="K322" i="1" s="1"/>
  <c r="K323" i="1" s="1"/>
  <c r="K306" i="1"/>
  <c r="K364" i="1" s="1"/>
  <c r="CF333" i="1"/>
  <c r="CF275" i="1" s="1"/>
  <c r="CF70" i="1" s="1"/>
  <c r="CF331" i="1"/>
  <c r="CF273" i="1" s="1"/>
  <c r="CF68" i="1" s="1"/>
  <c r="AF316" i="1"/>
  <c r="AF317" i="1" s="1"/>
  <c r="CF376" i="1"/>
  <c r="CF318" i="1" s="1"/>
  <c r="AG78" i="1"/>
  <c r="CR363" i="1"/>
  <c r="BB556" i="1"/>
  <c r="BC556" i="1" s="1"/>
  <c r="CX554" i="1"/>
  <c r="K73" i="1"/>
  <c r="CR368" i="1"/>
  <c r="BT164" i="1"/>
  <c r="BT165" i="1" s="1"/>
  <c r="BU223" i="1" s="1"/>
  <c r="CU132" i="1"/>
  <c r="CU128" i="1"/>
  <c r="K77" i="1"/>
  <c r="CF363" i="1"/>
  <c r="CF305" i="1" s="1"/>
  <c r="CF351" i="1"/>
  <c r="CQ369" i="1"/>
  <c r="CQ311" i="1" s="1"/>
  <c r="CQ78" i="1" s="1"/>
  <c r="AG316" i="1"/>
  <c r="AG317" i="1" s="1"/>
  <c r="K332" i="1"/>
  <c r="K274" i="1" s="1"/>
  <c r="K69" i="1" s="1"/>
  <c r="BS193" i="1"/>
  <c r="BS199" i="1" s="1"/>
  <c r="BT199" i="1"/>
  <c r="K301" i="1"/>
  <c r="K291" i="1"/>
  <c r="K349" i="1" s="1"/>
  <c r="K315" i="1"/>
  <c r="K373" i="1" s="1"/>
  <c r="BT173" i="1"/>
  <c r="BS167" i="1" s="1"/>
  <c r="BS166" i="1" s="1"/>
  <c r="BT57" i="1" s="1"/>
  <c r="BT47" i="1" s="1"/>
  <c r="CL3" i="1"/>
  <c r="CL2" i="1"/>
  <c r="CM725" i="1" s="1"/>
  <c r="CM1" i="1"/>
  <c r="CF272" i="1"/>
  <c r="CF67" i="1" s="1"/>
  <c r="BU57" i="1"/>
  <c r="BU47" i="1" s="1"/>
  <c r="DA546" i="1"/>
  <c r="BT587" i="1"/>
  <c r="BT606" i="1" s="1"/>
  <c r="BT607" i="1" s="1"/>
  <c r="BT837" i="1" s="1"/>
  <c r="CS498" i="1"/>
  <c r="AO43" i="31" s="1"/>
  <c r="CR84" i="1"/>
  <c r="BC546" i="1"/>
  <c r="BS150" i="1"/>
  <c r="BS548" i="1"/>
  <c r="BS834" i="1"/>
  <c r="BS595" i="1"/>
  <c r="BV227" i="1"/>
  <c r="BV232" i="1" s="1"/>
  <c r="BV233" i="1" s="1"/>
  <c r="BV59" i="1"/>
  <c r="BV48" i="1" s="1"/>
  <c r="BU171" i="1"/>
  <c r="BV228" i="1" s="1"/>
  <c r="BU674" i="1"/>
  <c r="BU550" i="1"/>
  <c r="BU564" i="1" s="1"/>
  <c r="BU568" i="1" s="1"/>
  <c r="BU667" i="1"/>
  <c r="BU702" i="1"/>
  <c r="BU785" i="1" s="1"/>
  <c r="BU841" i="1" s="1"/>
  <c r="BU698" i="1"/>
  <c r="BU789" i="1" s="1"/>
  <c r="L109" i="1"/>
  <c r="BU114" i="1"/>
  <c r="BU146" i="1"/>
  <c r="BU825" i="1"/>
  <c r="BU822" i="1"/>
  <c r="BU813" i="1"/>
  <c r="BU816" i="1"/>
  <c r="BU819" i="1"/>
  <c r="BU812" i="1"/>
  <c r="BU154" i="1"/>
  <c r="BV60" i="1"/>
  <c r="BV49" i="1" s="1"/>
  <c r="BV529" i="1"/>
  <c r="BV534" i="1" s="1"/>
  <c r="BV538" i="1" s="1"/>
  <c r="BV622" i="1"/>
  <c r="BV624" i="1" s="1"/>
  <c r="CX606" i="1"/>
  <c r="CR397" i="1"/>
  <c r="AN12" i="31" s="1"/>
  <c r="CR212" i="1"/>
  <c r="CO81" i="1"/>
  <c r="CO269" i="1"/>
  <c r="CO325" i="1"/>
  <c r="C630" i="1"/>
  <c r="C786" i="1"/>
  <c r="C784" i="1"/>
  <c r="C744" i="1"/>
  <c r="CR353" i="1"/>
  <c r="BZ160" i="1"/>
  <c r="CA54" i="1" s="1"/>
  <c r="CB218" i="1"/>
  <c r="CB469" i="1"/>
  <c r="CB468" i="1" s="1"/>
  <c r="CB110" i="1" s="1"/>
  <c r="CB54" i="1"/>
  <c r="L5" i="1"/>
  <c r="AD377" i="1"/>
  <c r="CF89" i="1"/>
  <c r="CF811" i="1"/>
  <c r="CF117" i="1"/>
  <c r="CF112" i="1"/>
  <c r="CF809" i="1"/>
  <c r="CF111" i="1"/>
  <c r="CF469" i="1" s="1"/>
  <c r="CF109" i="1"/>
  <c r="CF467" i="1" s="1"/>
  <c r="CF737" i="1"/>
  <c r="CF763" i="1" s="1"/>
  <c r="CF131" i="1"/>
  <c r="CF729" i="1"/>
  <c r="CF758" i="1" s="1"/>
  <c r="CF732" i="1"/>
  <c r="J75" i="1"/>
  <c r="J339" i="1"/>
  <c r="CF339" i="1" s="1"/>
  <c r="CF281" i="1" s="1"/>
  <c r="CF75" i="1" s="1"/>
  <c r="J77" i="1"/>
  <c r="J344" i="1"/>
  <c r="CF344" i="1" s="1"/>
  <c r="CF286" i="1" s="1"/>
  <c r="CF77" i="1" s="1"/>
  <c r="J367" i="1"/>
  <c r="CF367" i="1" s="1"/>
  <c r="CF309" i="1" s="1"/>
  <c r="J311" i="1"/>
  <c r="J379" i="1"/>
  <c r="J321" i="1"/>
  <c r="CE332" i="1"/>
  <c r="CE274" i="1" s="1"/>
  <c r="CE69" i="1" s="1"/>
  <c r="H274" i="1"/>
  <c r="H69" i="1" s="1"/>
  <c r="D629" i="1"/>
  <c r="CR367" i="1"/>
  <c r="AH309" i="1"/>
  <c r="AH311" i="1" s="1"/>
  <c r="M5" i="1"/>
  <c r="N2" i="1"/>
  <c r="O725" i="1" s="1"/>
  <c r="N3" i="1"/>
  <c r="O1" i="1"/>
  <c r="AE375" i="1"/>
  <c r="AE377" i="1" s="1"/>
  <c r="AE391" i="1" s="1"/>
  <c r="AE79" i="1"/>
  <c r="CV623" i="1"/>
  <c r="CD375" i="1"/>
  <c r="CD317" i="1" s="1"/>
  <c r="CD79" i="1" s="1"/>
  <c r="F377" i="1"/>
  <c r="CP380" i="1"/>
  <c r="CB216" i="1"/>
  <c r="CA159" i="1"/>
  <c r="BZ158" i="1"/>
  <c r="CT561" i="1"/>
  <c r="CC534" i="1"/>
  <c r="E538" i="1"/>
  <c r="CF698" i="1"/>
  <c r="CF789" i="1" s="1"/>
  <c r="CF788" i="1"/>
  <c r="CF738" i="1"/>
  <c r="CF728" i="1"/>
  <c r="CF757" i="1" s="1"/>
  <c r="CF734" i="1"/>
  <c r="CF761" i="1" s="1"/>
  <c r="CF741" i="1"/>
  <c r="CF767" i="1" s="1"/>
  <c r="CF740" i="1"/>
  <c r="CF766" i="1" s="1"/>
  <c r="CF730" i="1"/>
  <c r="CF739" i="1"/>
  <c r="CF765" i="1" s="1"/>
  <c r="CF699" i="1"/>
  <c r="CF782" i="1"/>
  <c r="CF702" i="1"/>
  <c r="CF785" i="1" s="1"/>
  <c r="CF841" i="1" s="1"/>
  <c r="CF783" i="1"/>
  <c r="CF808" i="1"/>
  <c r="CF84" i="1"/>
  <c r="CF118" i="1"/>
  <c r="CF113" i="1"/>
  <c r="CF810" i="1"/>
  <c r="CF86" i="1"/>
  <c r="J358" i="1"/>
  <c r="CF358" i="1" s="1"/>
  <c r="CF300" i="1" s="1"/>
  <c r="CF73" i="1" s="1"/>
  <c r="J73" i="1"/>
  <c r="J315" i="1"/>
  <c r="J314" i="1"/>
  <c r="J301" i="1"/>
  <c r="J72" i="1"/>
  <c r="J357" i="1"/>
  <c r="J71" i="1"/>
  <c r="J291" i="1"/>
  <c r="J334" i="1"/>
  <c r="J362" i="1"/>
  <c r="CF362" i="1" s="1"/>
  <c r="CF304" i="1" s="1"/>
  <c r="J306" i="1"/>
  <c r="CE71" i="1"/>
  <c r="CE291" i="1"/>
  <c r="CE294" i="1" s="1"/>
  <c r="H295" i="1"/>
  <c r="H353" i="1" s="1"/>
  <c r="CE353" i="1" s="1"/>
  <c r="D607" i="1"/>
  <c r="D837" i="1" s="1"/>
  <c r="D590" i="1"/>
  <c r="D836" i="1"/>
  <c r="CC319" i="1"/>
  <c r="CC322" i="1" s="1"/>
  <c r="CC323" i="1" s="1"/>
  <c r="CC391" i="1"/>
  <c r="CY735" i="1"/>
  <c r="AU56" i="31" s="1"/>
  <c r="CU762" i="1"/>
  <c r="Z10" i="16"/>
  <c r="AA9" i="16"/>
  <c r="AA10" i="16" s="1"/>
  <c r="AB10" i="16" s="1"/>
  <c r="AB30" i="16" s="1"/>
  <c r="I74" i="31" l="1"/>
  <c r="J74" i="31"/>
  <c r="AP5" i="1"/>
  <c r="K4" i="31" s="1"/>
  <c r="L3" i="31"/>
  <c r="CD295" i="1"/>
  <c r="L330" i="1"/>
  <c r="CE369" i="1"/>
  <c r="CE311" i="1" s="1"/>
  <c r="CE78" i="1" s="1"/>
  <c r="M24" i="30"/>
  <c r="E50" i="30"/>
  <c r="G50" i="30"/>
  <c r="I374" i="1"/>
  <c r="I377" i="1" s="1"/>
  <c r="I391" i="1" s="1"/>
  <c r="L24" i="30"/>
  <c r="AM352" i="1"/>
  <c r="AM354" i="1" s="1"/>
  <c r="C49" i="30"/>
  <c r="K24" i="30" s="1"/>
  <c r="CR86" i="1"/>
  <c r="AQ5" i="1"/>
  <c r="L4" i="31" s="1"/>
  <c r="AO321" i="1"/>
  <c r="AO379" i="1"/>
  <c r="J6" i="31" s="1"/>
  <c r="AO334" i="1"/>
  <c r="AO332" i="1" s="1"/>
  <c r="AO274" i="1" s="1"/>
  <c r="AO69" i="1" s="1"/>
  <c r="AO71" i="1"/>
  <c r="AO291" i="1"/>
  <c r="AP296" i="1"/>
  <c r="AQ39" i="1"/>
  <c r="AQ30" i="1"/>
  <c r="AQ67" i="1"/>
  <c r="AQ272" i="1" s="1"/>
  <c r="AQ68" i="1"/>
  <c r="AQ273" i="1" s="1"/>
  <c r="AQ132" i="1"/>
  <c r="AQ31" i="1"/>
  <c r="AQ40" i="1"/>
  <c r="AQ32" i="1"/>
  <c r="AQ46" i="1" s="1"/>
  <c r="AQ38" i="1"/>
  <c r="AQ29" i="1"/>
  <c r="AQ70" i="1"/>
  <c r="AQ275" i="1" s="1"/>
  <c r="AQ333" i="1" s="1"/>
  <c r="AQ33" i="1"/>
  <c r="AR2" i="1"/>
  <c r="AS725" i="1" s="1"/>
  <c r="AR3" i="1"/>
  <c r="M3" i="31" s="1"/>
  <c r="AS1" i="1"/>
  <c r="N2" i="31" s="1"/>
  <c r="AO77" i="1"/>
  <c r="AO344" i="1"/>
  <c r="AO339" i="1"/>
  <c r="AO75" i="1"/>
  <c r="AO374" i="1"/>
  <c r="H374" i="1"/>
  <c r="H317" i="1"/>
  <c r="H79" i="1" s="1"/>
  <c r="AM636" i="1"/>
  <c r="AM637" i="1" s="1"/>
  <c r="AM739" i="1" s="1"/>
  <c r="AM765" i="1" s="1"/>
  <c r="CE349" i="1"/>
  <c r="I380" i="1"/>
  <c r="I79" i="1"/>
  <c r="AN633" i="1"/>
  <c r="AN636" i="1" s="1"/>
  <c r="AO553" i="1"/>
  <c r="AO633" i="1" s="1"/>
  <c r="AO635" i="1" s="1"/>
  <c r="AO738" i="1" s="1"/>
  <c r="N32" i="1"/>
  <c r="N70" i="1"/>
  <c r="N275" i="1" s="1"/>
  <c r="N67" i="1"/>
  <c r="N272" i="1" s="1"/>
  <c r="N132" i="1"/>
  <c r="N40" i="1"/>
  <c r="N39" i="1"/>
  <c r="N31" i="1"/>
  <c r="N29" i="1"/>
  <c r="N38" i="1"/>
  <c r="N68" i="1"/>
  <c r="N273" i="1" s="1"/>
  <c r="N30" i="1"/>
  <c r="N33" i="1"/>
  <c r="E274" i="1"/>
  <c r="E69" i="1" s="1"/>
  <c r="C332" i="1"/>
  <c r="D333" i="1"/>
  <c r="CC333" i="1" s="1"/>
  <c r="CC275" i="1" s="1"/>
  <c r="CC70" i="1" s="1"/>
  <c r="D216" i="1"/>
  <c r="CC216" i="1" s="1"/>
  <c r="CD332" i="1"/>
  <c r="CD274" i="1" s="1"/>
  <c r="CD69" i="1" s="1"/>
  <c r="DE583" i="1"/>
  <c r="BJ583" i="1"/>
  <c r="BK583" i="1" s="1"/>
  <c r="DE575" i="1"/>
  <c r="BJ575" i="1"/>
  <c r="BK575" i="1" s="1"/>
  <c r="AP286" i="1"/>
  <c r="AP281" i="1"/>
  <c r="AP276" i="1"/>
  <c r="AP315" i="1"/>
  <c r="AP373" i="1" s="1"/>
  <c r="AP314" i="1"/>
  <c r="AP372" i="1" s="1"/>
  <c r="CC53" i="1"/>
  <c r="C159" i="1"/>
  <c r="D217" i="1" s="1"/>
  <c r="CC217" i="1" s="1"/>
  <c r="AP93" i="1"/>
  <c r="AP350" i="1"/>
  <c r="AP88" i="1"/>
  <c r="AP97" i="1"/>
  <c r="AP351" i="1"/>
  <c r="AP790" i="1"/>
  <c r="AP109" i="1"/>
  <c r="AP85" i="1"/>
  <c r="AP791" i="1"/>
  <c r="AP376" i="1"/>
  <c r="AP808" i="1"/>
  <c r="AP333" i="1"/>
  <c r="AP86" i="1"/>
  <c r="AP113" i="1"/>
  <c r="AP117" i="1"/>
  <c r="AP810" i="1"/>
  <c r="AP118" i="1"/>
  <c r="AP809" i="1"/>
  <c r="AP111" i="1"/>
  <c r="AP84" i="1"/>
  <c r="AP112" i="1"/>
  <c r="AP811" i="1"/>
  <c r="AP331" i="1"/>
  <c r="AP330" i="1"/>
  <c r="AP110" i="1"/>
  <c r="AP89" i="1"/>
  <c r="AP785" i="1"/>
  <c r="AP841" i="1" s="1"/>
  <c r="AP87" i="1"/>
  <c r="AP789" i="1"/>
  <c r="AP787" i="1"/>
  <c r="AP788" i="1"/>
  <c r="K72" i="31" s="1"/>
  <c r="AP783" i="1"/>
  <c r="K73" i="31" s="1"/>
  <c r="K74" i="31" s="1"/>
  <c r="AP782" i="1"/>
  <c r="E53" i="1"/>
  <c r="DD681" i="1"/>
  <c r="BH681" i="1"/>
  <c r="BI681" i="1" s="1"/>
  <c r="DD574" i="1"/>
  <c r="BH574" i="1"/>
  <c r="BI574" i="1" s="1"/>
  <c r="DD603" i="1"/>
  <c r="BH603" i="1"/>
  <c r="BI603" i="1" s="1"/>
  <c r="DD123" i="1"/>
  <c r="BH123" i="1"/>
  <c r="BI123" i="1" s="1"/>
  <c r="DE135" i="1"/>
  <c r="BH735" i="1"/>
  <c r="AC56" i="31" s="1"/>
  <c r="DD677" i="1"/>
  <c r="BH677" i="1"/>
  <c r="BI677" i="1" s="1"/>
  <c r="DD602" i="1"/>
  <c r="BH602" i="1"/>
  <c r="BI602" i="1" s="1"/>
  <c r="DD706" i="1"/>
  <c r="BH706" i="1"/>
  <c r="DD682" i="1"/>
  <c r="BH682" i="1"/>
  <c r="BI682" i="1" s="1"/>
  <c r="DD600" i="1"/>
  <c r="BH600" i="1"/>
  <c r="BI600" i="1" s="1"/>
  <c r="DD555" i="1"/>
  <c r="BH555" i="1"/>
  <c r="BI555" i="1" s="1"/>
  <c r="K359" i="1"/>
  <c r="AN334" i="1"/>
  <c r="AN332" i="1" s="1"/>
  <c r="AN291" i="1"/>
  <c r="AN372" i="1"/>
  <c r="DD135" i="1"/>
  <c r="DD735" i="1" s="1"/>
  <c r="AZ56" i="31" s="1"/>
  <c r="BF735" i="1"/>
  <c r="AA56" i="31" s="1"/>
  <c r="AN321" i="1"/>
  <c r="AN379" i="1"/>
  <c r="I6" i="31" s="1"/>
  <c r="CU373" i="1"/>
  <c r="AM840" i="1"/>
  <c r="AM764" i="1"/>
  <c r="DC573" i="1"/>
  <c r="BF573" i="1"/>
  <c r="BG573" i="1" s="1"/>
  <c r="DC565" i="1"/>
  <c r="DC540" i="1"/>
  <c r="BF540" i="1"/>
  <c r="BG540" i="1" s="1"/>
  <c r="DC601" i="1"/>
  <c r="DC577" i="1"/>
  <c r="BF577" i="1"/>
  <c r="BG577" i="1" s="1"/>
  <c r="DC151" i="1"/>
  <c r="BF151" i="1"/>
  <c r="BG151" i="1" s="1"/>
  <c r="DC678" i="1"/>
  <c r="BF678" i="1"/>
  <c r="BG678" i="1" s="1"/>
  <c r="DC571" i="1"/>
  <c r="BF571" i="1"/>
  <c r="BZ198" i="1"/>
  <c r="BZ58" i="1"/>
  <c r="K76" i="1"/>
  <c r="K369" i="1"/>
  <c r="BU56" i="1"/>
  <c r="BU46" i="1" s="1"/>
  <c r="CF357" i="1"/>
  <c r="CF299" i="1" s="1"/>
  <c r="CF72" i="1" s="1"/>
  <c r="K294" i="1"/>
  <c r="K352" i="1" s="1"/>
  <c r="BD556" i="1"/>
  <c r="BD626" i="1" s="1"/>
  <c r="K372" i="1"/>
  <c r="K316" i="1"/>
  <c r="K317" i="1" s="1"/>
  <c r="K79" i="1" s="1"/>
  <c r="DB546" i="1"/>
  <c r="BD546" i="1"/>
  <c r="BE576" i="1"/>
  <c r="BE566" i="1"/>
  <c r="J373" i="1"/>
  <c r="CF373" i="1" s="1"/>
  <c r="CF315" i="1" s="1"/>
  <c r="BS173" i="1"/>
  <c r="BS178" i="1" s="1"/>
  <c r="BS111" i="1" s="1"/>
  <c r="CU737" i="1"/>
  <c r="CU763" i="1" s="1"/>
  <c r="BT836" i="1"/>
  <c r="BU222" i="1"/>
  <c r="BT590" i="1"/>
  <c r="BT595" i="1" s="1"/>
  <c r="BT630" i="1" s="1"/>
  <c r="BT631" i="1" s="1"/>
  <c r="BT172" i="1"/>
  <c r="BU60" i="1" s="1"/>
  <c r="BU49" i="1" s="1"/>
  <c r="CY554" i="1"/>
  <c r="BS164" i="1"/>
  <c r="BT56" i="1" s="1"/>
  <c r="BT46" i="1" s="1"/>
  <c r="K74" i="1"/>
  <c r="BT170" i="1"/>
  <c r="BT178" i="1"/>
  <c r="BU109" i="1" s="1"/>
  <c r="CM2" i="1"/>
  <c r="CN725" i="1" s="1"/>
  <c r="CN1" i="1"/>
  <c r="CM3" i="1"/>
  <c r="L333" i="1"/>
  <c r="J372" i="1"/>
  <c r="BV467" i="1"/>
  <c r="BU585" i="1"/>
  <c r="BU583" i="1" s="1"/>
  <c r="BU628" i="1" s="1"/>
  <c r="BU629" i="1" s="1"/>
  <c r="BV118" i="1"/>
  <c r="BV808" i="1"/>
  <c r="BV810" i="1"/>
  <c r="BV86" i="1"/>
  <c r="BV113" i="1"/>
  <c r="BV84" i="1"/>
  <c r="BS57" i="1"/>
  <c r="BS47" i="1" s="1"/>
  <c r="BW533" i="1"/>
  <c r="BW527" i="1" s="1"/>
  <c r="BW622" i="1" s="1"/>
  <c r="BW624" i="1" s="1"/>
  <c r="BV742" i="1"/>
  <c r="BV768" i="1" s="1"/>
  <c r="BV661" i="1"/>
  <c r="BV531" i="1"/>
  <c r="BV541" i="1"/>
  <c r="BS630" i="1"/>
  <c r="BS631" i="1" s="1"/>
  <c r="BS784" i="1"/>
  <c r="BS786" i="1"/>
  <c r="BS744" i="1"/>
  <c r="CT498" i="1"/>
  <c r="AP43" i="31" s="1"/>
  <c r="AY606" i="1"/>
  <c r="CY606" i="1"/>
  <c r="CA218" i="1"/>
  <c r="BY160" i="1"/>
  <c r="CA469" i="1"/>
  <c r="CA468" i="1" s="1"/>
  <c r="CA110" i="1" s="1"/>
  <c r="K325" i="1"/>
  <c r="K81" i="1"/>
  <c r="K269" i="1"/>
  <c r="CF731" i="1"/>
  <c r="CF759" i="1"/>
  <c r="CG731" i="1"/>
  <c r="F533" i="1"/>
  <c r="E743" i="1"/>
  <c r="E769" i="1" s="1"/>
  <c r="E742" i="1"/>
  <c r="E768" i="1" s="1"/>
  <c r="E541" i="1"/>
  <c r="E531" i="1"/>
  <c r="CX588" i="1"/>
  <c r="CX539" i="1"/>
  <c r="M97" i="1"/>
  <c r="M296" i="1"/>
  <c r="M309" i="1"/>
  <c r="M299" i="1"/>
  <c r="M276" i="1"/>
  <c r="M117" i="1"/>
  <c r="M85" i="1"/>
  <c r="M811" i="1"/>
  <c r="M84" i="1"/>
  <c r="M783" i="1"/>
  <c r="M782" i="1"/>
  <c r="M350" i="1"/>
  <c r="M113" i="1"/>
  <c r="M351" i="1"/>
  <c r="M87" i="1"/>
  <c r="M376" i="1"/>
  <c r="M89" i="1"/>
  <c r="M310" i="1"/>
  <c r="M368" i="1" s="1"/>
  <c r="M305" i="1"/>
  <c r="M363" i="1" s="1"/>
  <c r="M300" i="1"/>
  <c r="M281" i="1"/>
  <c r="M304" i="1"/>
  <c r="M286" i="1"/>
  <c r="M810" i="1"/>
  <c r="M86" i="1"/>
  <c r="M808" i="1"/>
  <c r="M118" i="1"/>
  <c r="M112" i="1"/>
  <c r="M785" i="1"/>
  <c r="M841" i="1" s="1"/>
  <c r="M788" i="1"/>
  <c r="M93" i="1"/>
  <c r="M809" i="1"/>
  <c r="M88" i="1"/>
  <c r="M790" i="1"/>
  <c r="M789" i="1"/>
  <c r="M787" i="1"/>
  <c r="AH369" i="1"/>
  <c r="AH78" i="1"/>
  <c r="AH316" i="1"/>
  <c r="CF760" i="1"/>
  <c r="CF733" i="1"/>
  <c r="CG733" i="1"/>
  <c r="CF468" i="1"/>
  <c r="CF110" i="1" s="1"/>
  <c r="CP375" i="1"/>
  <c r="CP317" i="1" s="1"/>
  <c r="CP79" i="1" s="1"/>
  <c r="L790" i="1"/>
  <c r="L305" i="1"/>
  <c r="L363" i="1" s="1"/>
  <c r="L281" i="1"/>
  <c r="L88" i="1"/>
  <c r="L300" i="1"/>
  <c r="L286" i="1"/>
  <c r="L97" i="1"/>
  <c r="L87" i="1"/>
  <c r="L467" i="1"/>
  <c r="L112" i="1"/>
  <c r="L86" i="1"/>
  <c r="L809" i="1"/>
  <c r="L113" i="1"/>
  <c r="L808" i="1"/>
  <c r="L783" i="1"/>
  <c r="L788" i="1"/>
  <c r="L376" i="1"/>
  <c r="L782" i="1"/>
  <c r="CG23" i="1"/>
  <c r="CG703" i="1"/>
  <c r="CG787" i="1" s="1"/>
  <c r="CG24" i="1"/>
  <c r="CG25" i="1"/>
  <c r="CG128" i="1"/>
  <c r="CG265" i="1"/>
  <c r="CG88" i="1" s="1"/>
  <c r="CG704" i="1"/>
  <c r="L351" i="1"/>
  <c r="L350" i="1"/>
  <c r="L310" i="1"/>
  <c r="L368" i="1" s="1"/>
  <c r="L309" i="1"/>
  <c r="L299" i="1"/>
  <c r="L93" i="1"/>
  <c r="L304" i="1"/>
  <c r="L296" i="1"/>
  <c r="L276" i="1"/>
  <c r="L89" i="1"/>
  <c r="L469" i="1"/>
  <c r="M469" i="1" s="1"/>
  <c r="M111" i="1" s="1"/>
  <c r="L810" i="1"/>
  <c r="L811" i="1"/>
  <c r="L118" i="1"/>
  <c r="L84" i="1"/>
  <c r="L117" i="1"/>
  <c r="L785" i="1"/>
  <c r="L841" i="1" s="1"/>
  <c r="L787" i="1"/>
  <c r="L85" i="1"/>
  <c r="L789" i="1"/>
  <c r="CG696" i="1"/>
  <c r="CG266" i="1"/>
  <c r="CG132" i="1"/>
  <c r="CG267" i="1"/>
  <c r="CG87" i="1" s="1"/>
  <c r="CG26" i="1"/>
  <c r="M330" i="1"/>
  <c r="M333" i="1"/>
  <c r="L331" i="1"/>
  <c r="AG375" i="1"/>
  <c r="AG377" i="1" s="1"/>
  <c r="AG391" i="1" s="1"/>
  <c r="AG79" i="1"/>
  <c r="CC81" i="1"/>
  <c r="CC325" i="1"/>
  <c r="CC269" i="1"/>
  <c r="D834" i="1"/>
  <c r="D548" i="1"/>
  <c r="D595" i="1"/>
  <c r="D150" i="1"/>
  <c r="J76" i="1"/>
  <c r="J364" i="1"/>
  <c r="CF364" i="1" s="1"/>
  <c r="CF306" i="1" s="1"/>
  <c r="CF76" i="1" s="1"/>
  <c r="CF334" i="1"/>
  <c r="CF276" i="1" s="1"/>
  <c r="J332" i="1"/>
  <c r="CA216" i="1"/>
  <c r="BY158" i="1"/>
  <c r="BZ159" i="1"/>
  <c r="CA217" i="1" s="1"/>
  <c r="AF375" i="1"/>
  <c r="AF79" i="1"/>
  <c r="AG380" i="1"/>
  <c r="CE352" i="1"/>
  <c r="H354" i="1"/>
  <c r="CE354" i="1" s="1"/>
  <c r="CE296" i="1" s="1"/>
  <c r="J349" i="1"/>
  <c r="CF349" i="1" s="1"/>
  <c r="J294" i="1"/>
  <c r="J316" i="1"/>
  <c r="J74" i="1"/>
  <c r="J359" i="1"/>
  <c r="CF764" i="1"/>
  <c r="CF840" i="1"/>
  <c r="H269" i="1"/>
  <c r="H81" i="1"/>
  <c r="H325" i="1"/>
  <c r="CB217" i="1"/>
  <c r="CB53" i="1"/>
  <c r="AF380" i="1"/>
  <c r="F391" i="1"/>
  <c r="CD377" i="1"/>
  <c r="O3" i="1"/>
  <c r="O2" i="1"/>
  <c r="P725" i="1" s="1"/>
  <c r="P1" i="1"/>
  <c r="CW522" i="1"/>
  <c r="J319" i="1"/>
  <c r="CF379" i="1"/>
  <c r="J78" i="1"/>
  <c r="J369" i="1"/>
  <c r="CF80" i="1"/>
  <c r="AD391" i="1"/>
  <c r="CP377" i="1"/>
  <c r="M331" i="1"/>
  <c r="M637" i="1"/>
  <c r="M739" i="1" s="1"/>
  <c r="M765" i="1" s="1"/>
  <c r="CG636" i="1"/>
  <c r="CV142" i="1"/>
  <c r="CG330" i="1" l="1"/>
  <c r="CG272" i="1" s="1"/>
  <c r="CG67" i="1" s="1"/>
  <c r="AQ331" i="1"/>
  <c r="AQ330" i="1"/>
  <c r="AQ118" i="1"/>
  <c r="AQ789" i="1"/>
  <c r="AQ85" i="1"/>
  <c r="AQ350" i="1"/>
  <c r="AQ110" i="1"/>
  <c r="AQ111" i="1"/>
  <c r="AQ782" i="1"/>
  <c r="D50" i="30"/>
  <c r="CE374" i="1"/>
  <c r="CE316" i="1" s="1"/>
  <c r="AQ785" i="1"/>
  <c r="AQ841" i="1" s="1"/>
  <c r="AQ790" i="1"/>
  <c r="AQ788" i="1"/>
  <c r="L72" i="31" s="1"/>
  <c r="AQ286" i="1"/>
  <c r="AQ77" i="1" s="1"/>
  <c r="AQ376" i="1"/>
  <c r="AQ84" i="1"/>
  <c r="AQ783" i="1"/>
  <c r="L73" i="31" s="1"/>
  <c r="AQ87" i="1"/>
  <c r="AQ93" i="1"/>
  <c r="AQ787" i="1"/>
  <c r="AQ791" i="1"/>
  <c r="AQ281" i="1"/>
  <c r="AQ339" i="1" s="1"/>
  <c r="AQ811" i="1"/>
  <c r="AQ109" i="1"/>
  <c r="AQ89" i="1"/>
  <c r="AQ351" i="1"/>
  <c r="AQ86" i="1"/>
  <c r="AQ112" i="1"/>
  <c r="AQ296" i="1"/>
  <c r="AQ379" i="1" s="1"/>
  <c r="L6" i="31" s="1"/>
  <c r="AQ117" i="1"/>
  <c r="AQ113" i="1"/>
  <c r="AQ88" i="1"/>
  <c r="AQ810" i="1"/>
  <c r="H380" i="1"/>
  <c r="CE380" i="1" s="1"/>
  <c r="H375" i="1"/>
  <c r="H377" i="1" s="1"/>
  <c r="AQ315" i="1"/>
  <c r="AQ373" i="1" s="1"/>
  <c r="AQ314" i="1"/>
  <c r="AQ372" i="1" s="1"/>
  <c r="CV372" i="1" s="1"/>
  <c r="AQ97" i="1"/>
  <c r="AQ276" i="1"/>
  <c r="AQ71" i="1" s="1"/>
  <c r="AQ808" i="1"/>
  <c r="AQ809" i="1"/>
  <c r="AO319" i="1"/>
  <c r="AO322" i="1" s="1"/>
  <c r="AO323" i="1" s="1"/>
  <c r="J70" i="31" s="1"/>
  <c r="AT1" i="1"/>
  <c r="O2" i="31" s="1"/>
  <c r="AS2" i="1"/>
  <c r="AT725" i="1" s="1"/>
  <c r="AS3" i="1"/>
  <c r="N3" i="31" s="1"/>
  <c r="AR29" i="1"/>
  <c r="AR68" i="1"/>
  <c r="AR273" i="1" s="1"/>
  <c r="AR132" i="1"/>
  <c r="AR32" i="1"/>
  <c r="AR33" i="1"/>
  <c r="AR70" i="1"/>
  <c r="AR275" i="1" s="1"/>
  <c r="AR31" i="1"/>
  <c r="AR67" i="1"/>
  <c r="AR272" i="1" s="1"/>
  <c r="AR40" i="1"/>
  <c r="AR30" i="1"/>
  <c r="AR39" i="1"/>
  <c r="AR38" i="1"/>
  <c r="AO294" i="1"/>
  <c r="AO295" i="1" s="1"/>
  <c r="AO353" i="1" s="1"/>
  <c r="AO349" i="1"/>
  <c r="AN635" i="1"/>
  <c r="AN738" i="1" s="1"/>
  <c r="AN764" i="1" s="1"/>
  <c r="AO636" i="1"/>
  <c r="AO637" i="1" s="1"/>
  <c r="AO739" i="1" s="1"/>
  <c r="AO765" i="1" s="1"/>
  <c r="AP553" i="1"/>
  <c r="AP561" i="1" s="1"/>
  <c r="CU553" i="1"/>
  <c r="AO561" i="1"/>
  <c r="AO628" i="1" s="1"/>
  <c r="O32" i="1"/>
  <c r="O70" i="1"/>
  <c r="O275" i="1" s="1"/>
  <c r="O67" i="1"/>
  <c r="O272" i="1" s="1"/>
  <c r="O39" i="1"/>
  <c r="O132" i="1"/>
  <c r="O636" i="1" s="1"/>
  <c r="O637" i="1" s="1"/>
  <c r="O739" i="1" s="1"/>
  <c r="O765" i="1" s="1"/>
  <c r="O33" i="1"/>
  <c r="O68" i="1"/>
  <c r="O273" i="1" s="1"/>
  <c r="O31" i="1"/>
  <c r="O30" i="1"/>
  <c r="O38" i="1"/>
  <c r="O40" i="1"/>
  <c r="O29" i="1"/>
  <c r="DF575" i="1"/>
  <c r="BL575" i="1"/>
  <c r="BM575" i="1" s="1"/>
  <c r="DF583" i="1"/>
  <c r="BL583" i="1"/>
  <c r="BM583" i="1" s="1"/>
  <c r="CF359" i="1"/>
  <c r="CF301" i="1" s="1"/>
  <c r="CF74" i="1" s="1"/>
  <c r="D331" i="1"/>
  <c r="CC331" i="1" s="1"/>
  <c r="CC273" i="1" s="1"/>
  <c r="CC68" i="1" s="1"/>
  <c r="DE682" i="1"/>
  <c r="BJ682" i="1"/>
  <c r="BK682" i="1" s="1"/>
  <c r="DE602" i="1"/>
  <c r="BJ602" i="1"/>
  <c r="BK602" i="1" s="1"/>
  <c r="DE603" i="1"/>
  <c r="BJ603" i="1"/>
  <c r="BK603" i="1" s="1"/>
  <c r="DE681" i="1"/>
  <c r="BJ681" i="1"/>
  <c r="BK681" i="1" s="1"/>
  <c r="DE555" i="1"/>
  <c r="BJ555" i="1"/>
  <c r="BK555" i="1" s="1"/>
  <c r="DE600" i="1"/>
  <c r="BJ600" i="1"/>
  <c r="BK600" i="1" s="1"/>
  <c r="DE677" i="1"/>
  <c r="BJ677" i="1"/>
  <c r="BK677" i="1" s="1"/>
  <c r="DE123" i="1"/>
  <c r="BJ123" i="1"/>
  <c r="BK123" i="1" s="1"/>
  <c r="DE574" i="1"/>
  <c r="BJ574" i="1"/>
  <c r="CG637" i="1"/>
  <c r="CG739" i="1" s="1"/>
  <c r="CG765" i="1" s="1"/>
  <c r="CF369" i="1"/>
  <c r="CF311" i="1" s="1"/>
  <c r="CF78" i="1" s="1"/>
  <c r="D53" i="1"/>
  <c r="C217" i="1"/>
  <c r="C274" i="1" s="1"/>
  <c r="C69" i="1" s="1"/>
  <c r="C53" i="1"/>
  <c r="AP374" i="1"/>
  <c r="AP77" i="1"/>
  <c r="AP344" i="1"/>
  <c r="AP379" i="1"/>
  <c r="K6" i="31" s="1"/>
  <c r="AP321" i="1"/>
  <c r="AP75" i="1"/>
  <c r="AP339" i="1"/>
  <c r="AP71" i="1"/>
  <c r="AP291" i="1"/>
  <c r="AP334" i="1"/>
  <c r="AP332" i="1" s="1"/>
  <c r="AP274" i="1" s="1"/>
  <c r="AP69" i="1" s="1"/>
  <c r="AO764" i="1"/>
  <c r="AO840" i="1"/>
  <c r="BI706" i="1"/>
  <c r="DD151" i="1"/>
  <c r="BH151" i="1"/>
  <c r="BI151" i="1" s="1"/>
  <c r="DD540" i="1"/>
  <c r="BH540" i="1"/>
  <c r="BI540" i="1" s="1"/>
  <c r="DD573" i="1"/>
  <c r="BH573" i="1"/>
  <c r="BI573" i="1" s="1"/>
  <c r="DE138" i="1"/>
  <c r="BI735" i="1"/>
  <c r="AD56" i="31" s="1"/>
  <c r="DE735" i="1"/>
  <c r="BA56" i="31" s="1"/>
  <c r="DD678" i="1"/>
  <c r="BH678" i="1"/>
  <c r="BI678" i="1" s="1"/>
  <c r="DD577" i="1"/>
  <c r="BH577" i="1"/>
  <c r="BI577" i="1" s="1"/>
  <c r="DD601" i="1"/>
  <c r="DE601" i="1"/>
  <c r="DD565" i="1"/>
  <c r="AN374" i="1"/>
  <c r="CU372" i="1"/>
  <c r="AN294" i="1"/>
  <c r="AN349" i="1"/>
  <c r="DD138" i="1"/>
  <c r="BG735" i="1"/>
  <c r="AB56" i="31" s="1"/>
  <c r="BG571" i="1"/>
  <c r="DC576" i="1"/>
  <c r="BF576" i="1"/>
  <c r="DC566" i="1"/>
  <c r="BF566" i="1"/>
  <c r="K375" i="1"/>
  <c r="K380" i="1"/>
  <c r="CG351" i="1"/>
  <c r="K374" i="1"/>
  <c r="BT222" i="1"/>
  <c r="K295" i="1"/>
  <c r="K353" i="1" s="1"/>
  <c r="K354" i="1" s="1"/>
  <c r="BZ61" i="1"/>
  <c r="BY192" i="1"/>
  <c r="CF372" i="1"/>
  <c r="CF314" i="1" s="1"/>
  <c r="BS667" i="1"/>
  <c r="CG368" i="1"/>
  <c r="CG310" i="1" s="1"/>
  <c r="BT171" i="1"/>
  <c r="BU228" i="1" s="1"/>
  <c r="BE556" i="1"/>
  <c r="BS795" i="1"/>
  <c r="BS177" i="1"/>
  <c r="BS146" i="1" s="1"/>
  <c r="BT795" i="1"/>
  <c r="BS109" i="1"/>
  <c r="BT109" i="1"/>
  <c r="H109" i="1" s="1"/>
  <c r="H467" i="1" s="1"/>
  <c r="BU111" i="1"/>
  <c r="J111" i="1" s="1"/>
  <c r="J469" i="1" s="1"/>
  <c r="BE546" i="1"/>
  <c r="BS181" i="1"/>
  <c r="BS825" i="1" s="1"/>
  <c r="BT181" i="1"/>
  <c r="BT813" i="1" s="1"/>
  <c r="BT150" i="1"/>
  <c r="BS172" i="1"/>
  <c r="BT60" i="1" s="1"/>
  <c r="BT49" i="1" s="1"/>
  <c r="BT548" i="1"/>
  <c r="BT834" i="1"/>
  <c r="BS222" i="1"/>
  <c r="CZ554" i="1"/>
  <c r="AZ554" i="1"/>
  <c r="BA554" i="1" s="1"/>
  <c r="CV132" i="1"/>
  <c r="CV128" i="1"/>
  <c r="BT111" i="1"/>
  <c r="BT667" i="1"/>
  <c r="BT177" i="1"/>
  <c r="BT114" i="1" s="1"/>
  <c r="BW529" i="1"/>
  <c r="BW534" i="1" s="1"/>
  <c r="BW538" i="1" s="1"/>
  <c r="BX533" i="1" s="1"/>
  <c r="BS56" i="1"/>
  <c r="BS46" i="1" s="1"/>
  <c r="BS170" i="1"/>
  <c r="BS59" i="1" s="1"/>
  <c r="BS48" i="1" s="1"/>
  <c r="BS165" i="1"/>
  <c r="BU227" i="1"/>
  <c r="BU232" i="1" s="1"/>
  <c r="BU233" i="1" s="1"/>
  <c r="BU810" i="1" s="1"/>
  <c r="BU59" i="1"/>
  <c r="BU48" i="1" s="1"/>
  <c r="CG333" i="1"/>
  <c r="CG275" i="1" s="1"/>
  <c r="CG70" i="1" s="1"/>
  <c r="CO1" i="1"/>
  <c r="CN2" i="1"/>
  <c r="CO725" i="1" s="1"/>
  <c r="CN3" i="1"/>
  <c r="O5" i="1"/>
  <c r="O97" i="1" s="1"/>
  <c r="CU498" i="1"/>
  <c r="AQ43" i="31" s="1"/>
  <c r="CW536" i="1"/>
  <c r="CW623" i="1" s="1"/>
  <c r="BT618" i="1"/>
  <c r="BT639" i="1"/>
  <c r="BT4" i="1" s="1"/>
  <c r="BS618" i="1"/>
  <c r="BV667" i="1"/>
  <c r="BV698" i="1"/>
  <c r="BV789" i="1" s="1"/>
  <c r="BV702" i="1"/>
  <c r="BV785" i="1" s="1"/>
  <c r="BV841" i="1" s="1"/>
  <c r="BV743" i="1"/>
  <c r="BV769" i="1" s="1"/>
  <c r="BT784" i="1"/>
  <c r="BT786" i="1"/>
  <c r="BT744" i="1"/>
  <c r="D111" i="1"/>
  <c r="D469" i="1" s="1"/>
  <c r="BV674" i="1"/>
  <c r="BV550" i="1"/>
  <c r="BV564" i="1" s="1"/>
  <c r="BV568" i="1" s="1"/>
  <c r="BV585" i="1" s="1"/>
  <c r="BV583" i="1" s="1"/>
  <c r="BV628" i="1" s="1"/>
  <c r="BV629" i="1" s="1"/>
  <c r="CQ380" i="1"/>
  <c r="J109" i="1"/>
  <c r="J467" i="1" s="1"/>
  <c r="BU587" i="1"/>
  <c r="AZ606" i="1"/>
  <c r="BA606" i="1" s="1"/>
  <c r="CZ606" i="1"/>
  <c r="CG363" i="1"/>
  <c r="CG305" i="1" s="1"/>
  <c r="BZ218" i="1"/>
  <c r="BX160" i="1"/>
  <c r="BY54" i="1" s="1"/>
  <c r="BZ469" i="1"/>
  <c r="BZ468" i="1" s="1"/>
  <c r="BZ110" i="1" s="1"/>
  <c r="BZ54" i="1"/>
  <c r="J322" i="1"/>
  <c r="J323" i="1" s="1"/>
  <c r="J317" i="1"/>
  <c r="J380" i="1" s="1"/>
  <c r="J374" i="1"/>
  <c r="CX522" i="1"/>
  <c r="CF291" i="1"/>
  <c r="CF294" i="1" s="1"/>
  <c r="CF71" i="1"/>
  <c r="D784" i="1"/>
  <c r="D786" i="1"/>
  <c r="D744" i="1"/>
  <c r="D630" i="1"/>
  <c r="L291" i="1"/>
  <c r="L334" i="1"/>
  <c r="L71" i="1"/>
  <c r="L306" i="1"/>
  <c r="L362" i="1"/>
  <c r="L301" i="1"/>
  <c r="L357" i="1"/>
  <c r="L314" i="1"/>
  <c r="L72" i="1"/>
  <c r="L344" i="1"/>
  <c r="L77" i="1"/>
  <c r="AH317" i="1"/>
  <c r="AH380" i="1" s="1"/>
  <c r="C7" i="31" s="1"/>
  <c r="M306" i="1"/>
  <c r="M362" i="1"/>
  <c r="M358" i="1"/>
  <c r="M73" i="1"/>
  <c r="M315" i="1"/>
  <c r="M357" i="1"/>
  <c r="M301" i="1"/>
  <c r="M72" i="1"/>
  <c r="M314" i="1"/>
  <c r="M379" i="1"/>
  <c r="M319" i="1" s="1"/>
  <c r="M321" i="1"/>
  <c r="N636" i="1"/>
  <c r="E674" i="1"/>
  <c r="CC674" i="1" s="1"/>
  <c r="E550" i="1"/>
  <c r="E564" i="1" s="1"/>
  <c r="E568" i="1" s="1"/>
  <c r="F527" i="1"/>
  <c r="CA53" i="1"/>
  <c r="CP319" i="1"/>
  <c r="CP322" i="1" s="1"/>
  <c r="CP323" i="1" s="1"/>
  <c r="CP391" i="1"/>
  <c r="P3" i="1"/>
  <c r="P2" i="1"/>
  <c r="Q725" i="1" s="1"/>
  <c r="Q1" i="1"/>
  <c r="N5" i="1"/>
  <c r="N333" i="1" s="1"/>
  <c r="CD319" i="1"/>
  <c r="CD322" i="1" s="1"/>
  <c r="CD323" i="1" s="1"/>
  <c r="CD391" i="1"/>
  <c r="J352" i="1"/>
  <c r="J295" i="1"/>
  <c r="J353" i="1" s="1"/>
  <c r="CE321" i="1"/>
  <c r="CE295" i="1"/>
  <c r="CX499" i="1"/>
  <c r="CQ375" i="1"/>
  <c r="CQ317" i="1" s="1"/>
  <c r="CQ79" i="1" s="1"/>
  <c r="AF377" i="1"/>
  <c r="BX158" i="1"/>
  <c r="BZ216" i="1"/>
  <c r="BY159" i="1"/>
  <c r="BZ217" i="1" s="1"/>
  <c r="CF332" i="1"/>
  <c r="CF274" i="1" s="1"/>
  <c r="CF69" i="1" s="1"/>
  <c r="J274" i="1"/>
  <c r="J69" i="1" s="1"/>
  <c r="CG331" i="1"/>
  <c r="CG273" i="1" s="1"/>
  <c r="CG68" i="1" s="1"/>
  <c r="L379" i="1"/>
  <c r="L321" i="1"/>
  <c r="L311" i="1"/>
  <c r="L367" i="1"/>
  <c r="CG350" i="1"/>
  <c r="CG737" i="1"/>
  <c r="CG763" i="1" s="1"/>
  <c r="CG741" i="1"/>
  <c r="CG767" i="1" s="1"/>
  <c r="CG131" i="1"/>
  <c r="CG376" i="1"/>
  <c r="CG318" i="1" s="1"/>
  <c r="M467" i="1"/>
  <c r="L468" i="1"/>
  <c r="L110" i="1" s="1"/>
  <c r="L358" i="1"/>
  <c r="L315" i="1"/>
  <c r="L73" i="1"/>
  <c r="L75" i="1"/>
  <c r="L339" i="1"/>
  <c r="M344" i="1"/>
  <c r="M77" i="1"/>
  <c r="M75" i="1"/>
  <c r="M339" i="1"/>
  <c r="M334" i="1"/>
  <c r="M332" i="1" s="1"/>
  <c r="M274" i="1" s="1"/>
  <c r="M69" i="1" s="1"/>
  <c r="M291" i="1"/>
  <c r="M71" i="1"/>
  <c r="M311" i="1"/>
  <c r="M367" i="1"/>
  <c r="CV762" i="1"/>
  <c r="L74" i="31" l="1"/>
  <c r="AQ344" i="1"/>
  <c r="AQ75" i="1"/>
  <c r="CE375" i="1"/>
  <c r="CE317" i="1" s="1"/>
  <c r="CE79" i="1" s="1"/>
  <c r="AQ374" i="1"/>
  <c r="CV373" i="1"/>
  <c r="AO269" i="1"/>
  <c r="AO81" i="1"/>
  <c r="AQ321" i="1"/>
  <c r="AO325" i="1"/>
  <c r="AN840" i="1"/>
  <c r="AQ291" i="1"/>
  <c r="AQ294" i="1" s="1"/>
  <c r="AQ334" i="1"/>
  <c r="AQ332" i="1" s="1"/>
  <c r="AQ274" i="1" s="1"/>
  <c r="AQ69" i="1" s="1"/>
  <c r="AN637" i="1"/>
  <c r="AN739" i="1" s="1"/>
  <c r="AN765" i="1" s="1"/>
  <c r="AO352" i="1"/>
  <c r="AO354" i="1" s="1"/>
  <c r="AP319" i="1"/>
  <c r="AP322" i="1" s="1"/>
  <c r="AP323" i="1" s="1"/>
  <c r="K70" i="31" s="1"/>
  <c r="AQ319" i="1"/>
  <c r="AQ322" i="1" s="1"/>
  <c r="AS67" i="1"/>
  <c r="AS272" i="1" s="1"/>
  <c r="AS40" i="1"/>
  <c r="AS29" i="1"/>
  <c r="AS39" i="1"/>
  <c r="AS38" i="1"/>
  <c r="AS70" i="1"/>
  <c r="AS275" i="1" s="1"/>
  <c r="AS132" i="1"/>
  <c r="AS30" i="1"/>
  <c r="AS33" i="1"/>
  <c r="AS68" i="1"/>
  <c r="AS273" i="1" s="1"/>
  <c r="AS32" i="1"/>
  <c r="AS31" i="1"/>
  <c r="AU1" i="1"/>
  <c r="P2" i="31" s="1"/>
  <c r="AT2" i="1"/>
  <c r="AU725" i="1" s="1"/>
  <c r="AT3" i="1"/>
  <c r="O3" i="31" s="1"/>
  <c r="AS5" i="1"/>
  <c r="N4" i="31" s="1"/>
  <c r="AP633" i="1"/>
  <c r="AP636" i="1" s="1"/>
  <c r="AQ553" i="1"/>
  <c r="AR553" i="1" s="1"/>
  <c r="CU561" i="1"/>
  <c r="AP628" i="1"/>
  <c r="P70" i="1"/>
  <c r="P275" i="1" s="1"/>
  <c r="P67" i="1"/>
  <c r="P272" i="1" s="1"/>
  <c r="P39" i="1"/>
  <c r="P132" i="1"/>
  <c r="P68" i="1"/>
  <c r="P273" i="1" s="1"/>
  <c r="P40" i="1"/>
  <c r="P38" i="1"/>
  <c r="P30" i="1"/>
  <c r="P32" i="1"/>
  <c r="P33" i="1"/>
  <c r="P31" i="1"/>
  <c r="P29" i="1"/>
  <c r="DG583" i="1"/>
  <c r="BN583" i="1"/>
  <c r="BO583" i="1" s="1"/>
  <c r="DG575" i="1"/>
  <c r="BN575" i="1"/>
  <c r="BO575" i="1" s="1"/>
  <c r="DF600" i="1"/>
  <c r="BL600" i="1"/>
  <c r="BM600" i="1" s="1"/>
  <c r="DF603" i="1"/>
  <c r="BL603" i="1"/>
  <c r="BM603" i="1" s="1"/>
  <c r="DF123" i="1"/>
  <c r="BL123" i="1"/>
  <c r="BM123" i="1" s="1"/>
  <c r="DF555" i="1"/>
  <c r="BL555" i="1"/>
  <c r="BM555" i="1" s="1"/>
  <c r="DF602" i="1"/>
  <c r="BL602" i="1"/>
  <c r="BM602" i="1" s="1"/>
  <c r="DF677" i="1"/>
  <c r="BL677" i="1"/>
  <c r="BM677" i="1" s="1"/>
  <c r="DF681" i="1"/>
  <c r="BL681" i="1"/>
  <c r="BM681" i="1" s="1"/>
  <c r="DF682" i="1"/>
  <c r="BL682" i="1"/>
  <c r="BM682" i="1" s="1"/>
  <c r="D332" i="1"/>
  <c r="CC332" i="1" s="1"/>
  <c r="CC274" i="1" s="1"/>
  <c r="CC69" i="1" s="1"/>
  <c r="AR5" i="1"/>
  <c r="M4" i="31" s="1"/>
  <c r="DE678" i="1"/>
  <c r="BJ678" i="1"/>
  <c r="BK678" i="1" s="1"/>
  <c r="DE540" i="1"/>
  <c r="BJ540" i="1"/>
  <c r="BK540" i="1" s="1"/>
  <c r="DE151" i="1"/>
  <c r="BJ151" i="1"/>
  <c r="BK151" i="1" s="1"/>
  <c r="BK574" i="1"/>
  <c r="DE577" i="1"/>
  <c r="BJ577" i="1"/>
  <c r="BK577" i="1" s="1"/>
  <c r="DE573" i="1"/>
  <c r="BJ573" i="1"/>
  <c r="BK573" i="1" s="1"/>
  <c r="DE706" i="1"/>
  <c r="BJ706" i="1"/>
  <c r="CF353" i="1"/>
  <c r="AP294" i="1"/>
  <c r="AP349" i="1"/>
  <c r="DD571" i="1"/>
  <c r="BH571" i="1"/>
  <c r="AN295" i="1"/>
  <c r="CF374" i="1"/>
  <c r="CF316" i="1" s="1"/>
  <c r="AN352" i="1"/>
  <c r="CF380" i="1"/>
  <c r="K377" i="1"/>
  <c r="K391" i="1" s="1"/>
  <c r="BT819" i="1"/>
  <c r="DC546" i="1"/>
  <c r="BF546" i="1"/>
  <c r="DC556" i="1"/>
  <c r="BF556" i="1"/>
  <c r="BG566" i="1"/>
  <c r="BG576" i="1"/>
  <c r="BY198" i="1"/>
  <c r="BY61" i="1" s="1"/>
  <c r="BY58" i="1"/>
  <c r="BT825" i="1"/>
  <c r="BT812" i="1"/>
  <c r="BT816" i="1"/>
  <c r="BS114" i="1"/>
  <c r="BT822" i="1"/>
  <c r="BT154" i="1"/>
  <c r="F109" i="1"/>
  <c r="F467" i="1" s="1"/>
  <c r="BS816" i="1"/>
  <c r="D109" i="1"/>
  <c r="D467" i="1" s="1"/>
  <c r="D468" i="1" s="1"/>
  <c r="D110" i="1" s="1"/>
  <c r="BS822" i="1"/>
  <c r="BS154" i="1"/>
  <c r="H111" i="1"/>
  <c r="H469" i="1" s="1"/>
  <c r="H468" i="1" s="1"/>
  <c r="H110" i="1" s="1"/>
  <c r="BS819" i="1"/>
  <c r="BS813" i="1"/>
  <c r="BS812" i="1"/>
  <c r="CV737" i="1"/>
  <c r="CV763" i="1" s="1"/>
  <c r="BU467" i="1"/>
  <c r="I467" i="1" s="1"/>
  <c r="I109" i="1" s="1"/>
  <c r="BW541" i="1"/>
  <c r="BW550" i="1" s="1"/>
  <c r="BW564" i="1" s="1"/>
  <c r="BW568" i="1" s="1"/>
  <c r="BE626" i="1"/>
  <c r="DC626" i="1" s="1"/>
  <c r="BW531" i="1"/>
  <c r="BU86" i="1"/>
  <c r="O276" i="1"/>
  <c r="O71" i="1" s="1"/>
  <c r="O86" i="1"/>
  <c r="BS60" i="1"/>
  <c r="BS49" i="1" s="1"/>
  <c r="O117" i="1"/>
  <c r="O304" i="1"/>
  <c r="O362" i="1" s="1"/>
  <c r="O89" i="1"/>
  <c r="O310" i="1"/>
  <c r="O368" i="1" s="1"/>
  <c r="O305" i="1"/>
  <c r="O363" i="1" s="1"/>
  <c r="O112" i="1"/>
  <c r="O118" i="1"/>
  <c r="BU84" i="1"/>
  <c r="M373" i="1"/>
  <c r="BT59" i="1"/>
  <c r="BT48" i="1" s="1"/>
  <c r="BS227" i="1"/>
  <c r="BS232" i="1" s="1"/>
  <c r="BS233" i="1" s="1"/>
  <c r="BT146" i="1"/>
  <c r="O84" i="1"/>
  <c r="O783" i="1"/>
  <c r="O788" i="1"/>
  <c r="O785" i="1"/>
  <c r="O841" i="1" s="1"/>
  <c r="O309" i="1"/>
  <c r="O367" i="1" s="1"/>
  <c r="O789" i="1"/>
  <c r="O809" i="1"/>
  <c r="O808" i="1"/>
  <c r="O281" i="1"/>
  <c r="O339" i="1" s="1"/>
  <c r="BW742" i="1"/>
  <c r="BW768" i="1" s="1"/>
  <c r="BB554" i="1"/>
  <c r="BC554" i="1" s="1"/>
  <c r="DA554" i="1"/>
  <c r="O330" i="1"/>
  <c r="F111" i="1"/>
  <c r="F469" i="1" s="1"/>
  <c r="BT227" i="1"/>
  <c r="BT232" i="1" s="1"/>
  <c r="BT467" i="1" s="1"/>
  <c r="BU113" i="1"/>
  <c r="BW661" i="1"/>
  <c r="BW743" i="1" s="1"/>
  <c r="BW769" i="1" s="1"/>
  <c r="O331" i="1"/>
  <c r="O113" i="1"/>
  <c r="O88" i="1"/>
  <c r="O376" i="1"/>
  <c r="O300" i="1"/>
  <c r="O73" i="1" s="1"/>
  <c r="O810" i="1"/>
  <c r="O351" i="1"/>
  <c r="O85" i="1"/>
  <c r="O787" i="1"/>
  <c r="O296" i="1"/>
  <c r="O379" i="1" s="1"/>
  <c r="O319" i="1" s="1"/>
  <c r="O299" i="1"/>
  <c r="O72" i="1" s="1"/>
  <c r="O93" i="1"/>
  <c r="O811" i="1"/>
  <c r="O87" i="1"/>
  <c r="O790" i="1"/>
  <c r="O286" i="1"/>
  <c r="O344" i="1" s="1"/>
  <c r="O350" i="1"/>
  <c r="O782" i="1"/>
  <c r="BS171" i="1"/>
  <c r="BS228" i="1" s="1"/>
  <c r="BU808" i="1"/>
  <c r="BU118" i="1"/>
  <c r="BS223" i="1"/>
  <c r="BT223" i="1"/>
  <c r="O333" i="1"/>
  <c r="CH333" i="1" s="1"/>
  <c r="CH275" i="1" s="1"/>
  <c r="CH70" i="1" s="1"/>
  <c r="CO2" i="1"/>
  <c r="CP725" i="1" s="1"/>
  <c r="CP1" i="1"/>
  <c r="CO3" i="1"/>
  <c r="BV587" i="1"/>
  <c r="BV606" i="1" s="1"/>
  <c r="BV607" i="1" s="1"/>
  <c r="BV837" i="1" s="1"/>
  <c r="CV498" i="1"/>
  <c r="AR43" i="31" s="1"/>
  <c r="K467" i="1"/>
  <c r="K109" i="1" s="1"/>
  <c r="J468" i="1"/>
  <c r="J110" i="1" s="1"/>
  <c r="BU606" i="1"/>
  <c r="BU607" i="1" s="1"/>
  <c r="BU837" i="1" s="1"/>
  <c r="BU590" i="1"/>
  <c r="BU836" i="1"/>
  <c r="L373" i="1"/>
  <c r="L372" i="1"/>
  <c r="BX527" i="1"/>
  <c r="DA606" i="1"/>
  <c r="BB606" i="1"/>
  <c r="BC606" i="1" s="1"/>
  <c r="BZ53" i="1"/>
  <c r="BY218" i="1"/>
  <c r="BW160" i="1"/>
  <c r="BX54" i="1" s="1"/>
  <c r="BY469" i="1"/>
  <c r="BY468" i="1" s="1"/>
  <c r="BY110" i="1" s="1"/>
  <c r="CG80" i="1"/>
  <c r="L369" i="1"/>
  <c r="L78" i="1"/>
  <c r="L319" i="1"/>
  <c r="CG379" i="1"/>
  <c r="AF391" i="1"/>
  <c r="CQ377" i="1"/>
  <c r="CF352" i="1"/>
  <c r="J354" i="1"/>
  <c r="CF354" i="1" s="1"/>
  <c r="CF296" i="1" s="1"/>
  <c r="CH703" i="1"/>
  <c r="CH787" i="1" s="1"/>
  <c r="CH704" i="1"/>
  <c r="N310" i="1"/>
  <c r="N368" i="1" s="1"/>
  <c r="N305" i="1"/>
  <c r="N363" i="1" s="1"/>
  <c r="N300" i="1"/>
  <c r="N281" i="1"/>
  <c r="N304" i="1"/>
  <c r="N286" i="1"/>
  <c r="CH128" i="1"/>
  <c r="N85" i="1"/>
  <c r="N117" i="1"/>
  <c r="CH23" i="1"/>
  <c r="N113" i="1"/>
  <c r="CH24" i="1"/>
  <c r="N790" i="1"/>
  <c r="N112" i="1"/>
  <c r="N809" i="1"/>
  <c r="N89" i="1"/>
  <c r="CH25" i="1"/>
  <c r="N93" i="1"/>
  <c r="N376" i="1"/>
  <c r="N785" i="1"/>
  <c r="N841" i="1" s="1"/>
  <c r="N789" i="1"/>
  <c r="N467" i="1"/>
  <c r="N97" i="1"/>
  <c r="N296" i="1"/>
  <c r="N309" i="1"/>
  <c r="N299" i="1"/>
  <c r="N276" i="1"/>
  <c r="CH696" i="1"/>
  <c r="N810" i="1"/>
  <c r="N787" i="1"/>
  <c r="N88" i="1"/>
  <c r="CH267" i="1"/>
  <c r="CH87" i="1" s="1"/>
  <c r="N84" i="1"/>
  <c r="N87" i="1"/>
  <c r="CH266" i="1"/>
  <c r="N118" i="1"/>
  <c r="CH26" i="1"/>
  <c r="N86" i="1"/>
  <c r="N788" i="1"/>
  <c r="N783" i="1"/>
  <c r="CH265" i="1"/>
  <c r="CH88" i="1" s="1"/>
  <c r="N350" i="1"/>
  <c r="N808" i="1"/>
  <c r="N351" i="1"/>
  <c r="N811" i="1"/>
  <c r="N782" i="1"/>
  <c r="N469" i="1"/>
  <c r="O469" i="1" s="1"/>
  <c r="O111" i="1" s="1"/>
  <c r="CP269" i="1"/>
  <c r="CP81" i="1"/>
  <c r="CP325" i="1"/>
  <c r="F622" i="1"/>
  <c r="F529" i="1"/>
  <c r="CY539" i="1"/>
  <c r="CY588" i="1"/>
  <c r="N637" i="1"/>
  <c r="N739" i="1" s="1"/>
  <c r="N765" i="1" s="1"/>
  <c r="CH636" i="1"/>
  <c r="M372" i="1"/>
  <c r="M359" i="1"/>
  <c r="M316" i="1"/>
  <c r="M74" i="1"/>
  <c r="M364" i="1"/>
  <c r="M76" i="1"/>
  <c r="CG344" i="1"/>
  <c r="CG286" i="1" s="1"/>
  <c r="CG77" i="1" s="1"/>
  <c r="L316" i="1"/>
  <c r="L74" i="1"/>
  <c r="L359" i="1"/>
  <c r="L364" i="1"/>
  <c r="L76" i="1"/>
  <c r="CG334" i="1"/>
  <c r="CG276" i="1" s="1"/>
  <c r="L332" i="1"/>
  <c r="D631" i="1"/>
  <c r="J81" i="1"/>
  <c r="J325" i="1"/>
  <c r="J269" i="1"/>
  <c r="N330" i="1"/>
  <c r="N331" i="1"/>
  <c r="M78" i="1"/>
  <c r="M369" i="1"/>
  <c r="M349" i="1"/>
  <c r="M294" i="1"/>
  <c r="CG339" i="1"/>
  <c r="CG281" i="1" s="1"/>
  <c r="CG75" i="1" s="1"/>
  <c r="CG358" i="1"/>
  <c r="CG300" i="1" s="1"/>
  <c r="CG73" i="1" s="1"/>
  <c r="M468" i="1"/>
  <c r="M110" i="1" s="1"/>
  <c r="M109" i="1"/>
  <c r="CG367" i="1"/>
  <c r="CG309" i="1" s="1"/>
  <c r="BW158" i="1"/>
  <c r="BX159" i="1"/>
  <c r="BY216" i="1"/>
  <c r="CD81" i="1"/>
  <c r="CD269" i="1"/>
  <c r="CD325" i="1"/>
  <c r="Q3" i="1"/>
  <c r="Q2" i="1"/>
  <c r="R725" i="1" s="1"/>
  <c r="R1" i="1"/>
  <c r="E583" i="1"/>
  <c r="H391" i="1"/>
  <c r="CE377" i="1"/>
  <c r="CH132" i="1"/>
  <c r="M322" i="1"/>
  <c r="M323" i="1" s="1"/>
  <c r="AH79" i="1"/>
  <c r="AH375" i="1"/>
  <c r="CG357" i="1"/>
  <c r="CG299" i="1" s="1"/>
  <c r="CG72" i="1" s="1"/>
  <c r="CG362" i="1"/>
  <c r="CG304" i="1" s="1"/>
  <c r="L294" i="1"/>
  <c r="L349" i="1"/>
  <c r="CX536" i="1"/>
  <c r="CX623" i="1" s="1"/>
  <c r="J375" i="1"/>
  <c r="CF375" i="1" s="1"/>
  <c r="CF317" i="1" s="1"/>
  <c r="CF79" i="1" s="1"/>
  <c r="J79" i="1"/>
  <c r="CW142" i="1"/>
  <c r="AQ561" i="1" l="1"/>
  <c r="AQ628" i="1" s="1"/>
  <c r="AQ349" i="1"/>
  <c r="AQ352" i="1" s="1"/>
  <c r="AP635" i="1"/>
  <c r="AP637" i="1" s="1"/>
  <c r="AP739" i="1" s="1"/>
  <c r="AP765" i="1" s="1"/>
  <c r="AQ323" i="1"/>
  <c r="AQ633" i="1"/>
  <c r="AQ635" i="1" s="1"/>
  <c r="AQ738" i="1" s="1"/>
  <c r="CV553" i="1"/>
  <c r="AS111" i="1"/>
  <c r="AS315" i="1"/>
  <c r="AS373" i="1" s="1"/>
  <c r="AS351" i="1"/>
  <c r="AS810" i="1"/>
  <c r="AS109" i="1"/>
  <c r="AS286" i="1"/>
  <c r="AS344" i="1" s="1"/>
  <c r="AS788" i="1"/>
  <c r="N72" i="31" s="1"/>
  <c r="AS276" i="1"/>
  <c r="AS88" i="1"/>
  <c r="AS809" i="1"/>
  <c r="AS281" i="1"/>
  <c r="AS339" i="1" s="1"/>
  <c r="AS791" i="1"/>
  <c r="AS787" i="1"/>
  <c r="AS350" i="1"/>
  <c r="AS97" i="1"/>
  <c r="AS314" i="1"/>
  <c r="AS372" i="1" s="1"/>
  <c r="AS790" i="1"/>
  <c r="AS785" i="1"/>
  <c r="AS296" i="1"/>
  <c r="AS376" i="1"/>
  <c r="AS811" i="1"/>
  <c r="AS808" i="1"/>
  <c r="AS789" i="1"/>
  <c r="AS783" i="1"/>
  <c r="N73" i="31" s="1"/>
  <c r="AS110" i="1"/>
  <c r="AS782" i="1"/>
  <c r="AS331" i="1"/>
  <c r="AT39" i="1"/>
  <c r="AT32" i="1"/>
  <c r="AT67" i="1"/>
  <c r="AT272" i="1" s="1"/>
  <c r="AT132" i="1"/>
  <c r="AT30" i="1"/>
  <c r="AT68" i="1"/>
  <c r="AT273" i="1" s="1"/>
  <c r="AT29" i="1"/>
  <c r="AT33" i="1"/>
  <c r="AT40" i="1"/>
  <c r="AT31" i="1"/>
  <c r="AT70" i="1"/>
  <c r="AT275" i="1" s="1"/>
  <c r="AT38" i="1"/>
  <c r="AS330" i="1"/>
  <c r="AV1" i="1"/>
  <c r="Q2" i="31" s="1"/>
  <c r="AU2" i="1"/>
  <c r="AV725" i="1" s="1"/>
  <c r="AU3" i="1"/>
  <c r="P3" i="31" s="1"/>
  <c r="AR296" i="1"/>
  <c r="AQ295" i="1"/>
  <c r="AQ353" i="1" s="1"/>
  <c r="AS333" i="1"/>
  <c r="Q132" i="1"/>
  <c r="Q636" i="1" s="1"/>
  <c r="Q637" i="1" s="1"/>
  <c r="Q739" i="1" s="1"/>
  <c r="Q765" i="1" s="1"/>
  <c r="Q33" i="1"/>
  <c r="Q68" i="1"/>
  <c r="Q273" i="1" s="1"/>
  <c r="Q40" i="1"/>
  <c r="Q30" i="1"/>
  <c r="Q32" i="1"/>
  <c r="Q38" i="1"/>
  <c r="Q31" i="1"/>
  <c r="Q29" i="1"/>
  <c r="Q70" i="1"/>
  <c r="Q275" i="1" s="1"/>
  <c r="Q67" i="1"/>
  <c r="Q272" i="1" s="1"/>
  <c r="Q39" i="1"/>
  <c r="DH575" i="1"/>
  <c r="BP575" i="1"/>
  <c r="DH583" i="1"/>
  <c r="BP583" i="1"/>
  <c r="DG681" i="1"/>
  <c r="BN681" i="1"/>
  <c r="BO681" i="1" s="1"/>
  <c r="DG555" i="1"/>
  <c r="BN555" i="1"/>
  <c r="BO555" i="1" s="1"/>
  <c r="DG600" i="1"/>
  <c r="BN600" i="1"/>
  <c r="BO600" i="1" s="1"/>
  <c r="DG677" i="1"/>
  <c r="BN677" i="1"/>
  <c r="BO677" i="1" s="1"/>
  <c r="DG123" i="1"/>
  <c r="BN123" i="1"/>
  <c r="BO123" i="1" s="1"/>
  <c r="DG682" i="1"/>
  <c r="BN682" i="1"/>
  <c r="BO682" i="1" s="1"/>
  <c r="DG602" i="1"/>
  <c r="BN602" i="1"/>
  <c r="BO602" i="1" s="1"/>
  <c r="DG603" i="1"/>
  <c r="BN603" i="1"/>
  <c r="BO603" i="1" s="1"/>
  <c r="AR561" i="1"/>
  <c r="AR628" i="1" s="1"/>
  <c r="AS553" i="1"/>
  <c r="DF678" i="1"/>
  <c r="BL678" i="1"/>
  <c r="BM678" i="1" s="1"/>
  <c r="DF574" i="1"/>
  <c r="BL574" i="1"/>
  <c r="BM574" i="1" s="1"/>
  <c r="DF151" i="1"/>
  <c r="BL151" i="1"/>
  <c r="BM151" i="1" s="1"/>
  <c r="DF573" i="1"/>
  <c r="BL573" i="1"/>
  <c r="BM573" i="1" s="1"/>
  <c r="DF540" i="1"/>
  <c r="BL540" i="1"/>
  <c r="BM540" i="1" s="1"/>
  <c r="DF577" i="1"/>
  <c r="BL577" i="1"/>
  <c r="BM577" i="1" s="1"/>
  <c r="D274" i="1"/>
  <c r="D69" i="1" s="1"/>
  <c r="AR633" i="1"/>
  <c r="AR635" i="1" s="1"/>
  <c r="AR738" i="1" s="1"/>
  <c r="AR318" i="1"/>
  <c r="AR276" i="1" s="1"/>
  <c r="CG359" i="1"/>
  <c r="CG301" i="1" s="1"/>
  <c r="CG74" i="1" s="1"/>
  <c r="AR809" i="1"/>
  <c r="AR88" i="1"/>
  <c r="AR97" i="1"/>
  <c r="AR790" i="1"/>
  <c r="AR350" i="1"/>
  <c r="AR93" i="1"/>
  <c r="AR351" i="1"/>
  <c r="AR87" i="1"/>
  <c r="AR85" i="1"/>
  <c r="AR111" i="1"/>
  <c r="AR112" i="1"/>
  <c r="AR791" i="1"/>
  <c r="AR117" i="1"/>
  <c r="AR109" i="1"/>
  <c r="AR811" i="1"/>
  <c r="AR110" i="1"/>
  <c r="AR810" i="1"/>
  <c r="AR808" i="1"/>
  <c r="AR333" i="1"/>
  <c r="AR84" i="1"/>
  <c r="AR331" i="1"/>
  <c r="AR785" i="1"/>
  <c r="AR841" i="1" s="1"/>
  <c r="AR113" i="1"/>
  <c r="AR788" i="1"/>
  <c r="M72" i="31" s="1"/>
  <c r="AR89" i="1"/>
  <c r="AR86" i="1"/>
  <c r="AR789" i="1"/>
  <c r="AR783" i="1"/>
  <c r="M73" i="31" s="1"/>
  <c r="AR330" i="1"/>
  <c r="AR118" i="1"/>
  <c r="AR787" i="1"/>
  <c r="AR782" i="1"/>
  <c r="AQ636" i="1"/>
  <c r="BK706" i="1"/>
  <c r="CH637" i="1"/>
  <c r="CH739" i="1" s="1"/>
  <c r="CH765" i="1" s="1"/>
  <c r="AP269" i="1"/>
  <c r="AP81" i="1"/>
  <c r="AP325" i="1"/>
  <c r="AP352" i="1"/>
  <c r="AP295" i="1"/>
  <c r="DD576" i="1"/>
  <c r="BH576" i="1"/>
  <c r="AN353" i="1"/>
  <c r="AN354" i="1" s="1"/>
  <c r="DE565" i="1"/>
  <c r="DD566" i="1"/>
  <c r="BH566" i="1"/>
  <c r="BI571" i="1"/>
  <c r="BJ571" i="1" s="1"/>
  <c r="BK571" i="1" s="1"/>
  <c r="BW698" i="1"/>
  <c r="BW789" i="1" s="1"/>
  <c r="O75" i="1"/>
  <c r="O311" i="1"/>
  <c r="O78" i="1" s="1"/>
  <c r="BG546" i="1"/>
  <c r="BG556" i="1"/>
  <c r="DD556" i="1" s="1"/>
  <c r="F468" i="1"/>
  <c r="F110" i="1" s="1"/>
  <c r="BF626" i="1"/>
  <c r="O357" i="1"/>
  <c r="BX192" i="1"/>
  <c r="BX58" i="1" s="1"/>
  <c r="O77" i="1"/>
  <c r="BW674" i="1"/>
  <c r="G467" i="1"/>
  <c r="G109" i="1" s="1"/>
  <c r="O291" i="1"/>
  <c r="O294" i="1" s="1"/>
  <c r="CH363" i="1"/>
  <c r="CH305" i="1" s="1"/>
  <c r="O334" i="1"/>
  <c r="BS467" i="1"/>
  <c r="E467" i="1" s="1"/>
  <c r="E109" i="1" s="1"/>
  <c r="BT233" i="1"/>
  <c r="BT113" i="1" s="1"/>
  <c r="BW702" i="1"/>
  <c r="BW785" i="1" s="1"/>
  <c r="BW841" i="1" s="1"/>
  <c r="O315" i="1"/>
  <c r="O306" i="1"/>
  <c r="O76" i="1" s="1"/>
  <c r="O314" i="1"/>
  <c r="O358" i="1"/>
  <c r="CH368" i="1"/>
  <c r="CH310" i="1" s="1"/>
  <c r="CG373" i="1"/>
  <c r="CG315" i="1" s="1"/>
  <c r="CH376" i="1"/>
  <c r="CH318" i="1" s="1"/>
  <c r="CH80" i="1" s="1"/>
  <c r="BW667" i="1"/>
  <c r="O301" i="1"/>
  <c r="DB606" i="1"/>
  <c r="BD606" i="1"/>
  <c r="BE606" i="1" s="1"/>
  <c r="DB554" i="1"/>
  <c r="BD554" i="1"/>
  <c r="BE554" i="1" s="1"/>
  <c r="BV590" i="1"/>
  <c r="BV595" i="1" s="1"/>
  <c r="BT228" i="1"/>
  <c r="CH351" i="1"/>
  <c r="O321" i="1"/>
  <c r="CG372" i="1"/>
  <c r="CG314" i="1" s="1"/>
  <c r="CH350" i="1"/>
  <c r="CH331" i="1"/>
  <c r="CH273" i="1" s="1"/>
  <c r="CH68" i="1" s="1"/>
  <c r="CH330" i="1"/>
  <c r="CH272" i="1" s="1"/>
  <c r="CH67" i="1" s="1"/>
  <c r="BV836" i="1"/>
  <c r="CW132" i="1"/>
  <c r="CW128" i="1"/>
  <c r="CV399" i="1"/>
  <c r="CU399" i="1"/>
  <c r="CQ1" i="1"/>
  <c r="CP3" i="1"/>
  <c r="CP2" i="1"/>
  <c r="CQ725" i="1" s="1"/>
  <c r="BU595" i="1"/>
  <c r="BU834" i="1"/>
  <c r="BU150" i="1"/>
  <c r="BU548" i="1"/>
  <c r="BS113" i="1"/>
  <c r="BS86" i="1"/>
  <c r="BS810" i="1"/>
  <c r="BS84" i="1"/>
  <c r="BS808" i="1"/>
  <c r="BS118" i="1"/>
  <c r="BW585" i="1"/>
  <c r="BW583" i="1" s="1"/>
  <c r="BW628" i="1" s="1"/>
  <c r="BW629" i="1" s="1"/>
  <c r="CG369" i="1"/>
  <c r="CG311" i="1" s="1"/>
  <c r="CG78" i="1" s="1"/>
  <c r="BX622" i="1"/>
  <c r="BX624" i="1" s="1"/>
  <c r="BX529" i="1"/>
  <c r="BX534" i="1" s="1"/>
  <c r="BX538" i="1" s="1"/>
  <c r="BX469" i="1"/>
  <c r="BX468" i="1" s="1"/>
  <c r="BX110" i="1" s="1"/>
  <c r="BX218" i="1"/>
  <c r="BV160" i="1"/>
  <c r="M81" i="1"/>
  <c r="M269" i="1"/>
  <c r="M325" i="1"/>
  <c r="O322" i="1"/>
  <c r="L352" i="1"/>
  <c r="L295" i="1"/>
  <c r="L353" i="1" s="1"/>
  <c r="AH377" i="1"/>
  <c r="P5" i="1"/>
  <c r="P333" i="1" s="1"/>
  <c r="BW159" i="1"/>
  <c r="BX216" i="1"/>
  <c r="BV158" i="1"/>
  <c r="J377" i="1"/>
  <c r="D639" i="1"/>
  <c r="D4" i="1" s="1"/>
  <c r="D618" i="1"/>
  <c r="L274" i="1"/>
  <c r="L69" i="1" s="1"/>
  <c r="CG332" i="1"/>
  <c r="CG274" i="1" s="1"/>
  <c r="CG69" i="1" s="1"/>
  <c r="L374" i="1"/>
  <c r="M374" i="1"/>
  <c r="F624" i="1"/>
  <c r="N357" i="1"/>
  <c r="N314" i="1"/>
  <c r="N72" i="1"/>
  <c r="N301" i="1"/>
  <c r="N321" i="1"/>
  <c r="N379" i="1"/>
  <c r="O467" i="1"/>
  <c r="N468" i="1"/>
  <c r="N110" i="1" s="1"/>
  <c r="N344" i="1"/>
  <c r="CH344" i="1" s="1"/>
  <c r="CH286" i="1" s="1"/>
  <c r="CH77" i="1" s="1"/>
  <c r="N77" i="1"/>
  <c r="N339" i="1"/>
  <c r="CH339" i="1" s="1"/>
  <c r="CH281" i="1" s="1"/>
  <c r="CH75" i="1" s="1"/>
  <c r="N75" i="1"/>
  <c r="L322" i="1"/>
  <c r="L323" i="1" s="1"/>
  <c r="L317" i="1"/>
  <c r="L380" i="1" s="1"/>
  <c r="CV561" i="1"/>
  <c r="CG349" i="1"/>
  <c r="M317" i="1"/>
  <c r="M380" i="1" s="1"/>
  <c r="CE319" i="1"/>
  <c r="CE322" i="1" s="1"/>
  <c r="CE323" i="1" s="1"/>
  <c r="CE391" i="1"/>
  <c r="CC583" i="1"/>
  <c r="CC585" i="1" s="1"/>
  <c r="E585" i="1"/>
  <c r="E587" i="1" s="1"/>
  <c r="E628" i="1"/>
  <c r="P636" i="1"/>
  <c r="S1" i="1"/>
  <c r="R2" i="1"/>
  <c r="S725" i="1" s="1"/>
  <c r="R3" i="1"/>
  <c r="Q5" i="1"/>
  <c r="BY217" i="1"/>
  <c r="BY53" i="1"/>
  <c r="M352" i="1"/>
  <c r="M295" i="1"/>
  <c r="M353" i="1" s="1"/>
  <c r="CY499" i="1"/>
  <c r="C16" i="30" s="1"/>
  <c r="CG291" i="1"/>
  <c r="CG294" i="1" s="1"/>
  <c r="CG71" i="1"/>
  <c r="CG364" i="1"/>
  <c r="CG306" i="1" s="1"/>
  <c r="CG76" i="1" s="1"/>
  <c r="F534" i="1"/>
  <c r="N334" i="1"/>
  <c r="N71" i="1"/>
  <c r="N291" i="1"/>
  <c r="N367" i="1"/>
  <c r="CH367" i="1" s="1"/>
  <c r="CH309" i="1" s="1"/>
  <c r="N311" i="1"/>
  <c r="CH737" i="1"/>
  <c r="CH763" i="1" s="1"/>
  <c r="CH131" i="1"/>
  <c r="CH741" i="1"/>
  <c r="CH767" i="1" s="1"/>
  <c r="N362" i="1"/>
  <c r="CH362" i="1" s="1"/>
  <c r="CH304" i="1" s="1"/>
  <c r="N306" i="1"/>
  <c r="N358" i="1"/>
  <c r="N73" i="1"/>
  <c r="N315" i="1"/>
  <c r="CF321" i="1"/>
  <c r="CF295" i="1"/>
  <c r="CQ319" i="1"/>
  <c r="CQ322" i="1" s="1"/>
  <c r="CQ323" i="1" s="1"/>
  <c r="CQ391" i="1"/>
  <c r="CW762" i="1"/>
  <c r="N74" i="31" l="1"/>
  <c r="AP738" i="1"/>
  <c r="M74" i="31"/>
  <c r="AQ269" i="1"/>
  <c r="L70" i="31"/>
  <c r="AQ325" i="1"/>
  <c r="AQ81" i="1"/>
  <c r="AU5" i="1"/>
  <c r="P4" i="31" s="1"/>
  <c r="AT5" i="1"/>
  <c r="O4" i="31" s="1"/>
  <c r="AS374" i="1"/>
  <c r="AU31" i="1"/>
  <c r="AU30" i="1"/>
  <c r="AU68" i="1"/>
  <c r="AU273" i="1" s="1"/>
  <c r="AU32" i="1"/>
  <c r="AU33" i="1"/>
  <c r="AU40" i="1"/>
  <c r="AU29" i="1"/>
  <c r="AU38" i="1"/>
  <c r="AU70" i="1"/>
  <c r="AU39" i="1"/>
  <c r="AU132" i="1"/>
  <c r="AU67" i="1"/>
  <c r="AU272" i="1" s="1"/>
  <c r="AS334" i="1"/>
  <c r="AS332" i="1" s="1"/>
  <c r="AS274" i="1" s="1"/>
  <c r="AS69" i="1" s="1"/>
  <c r="AS291" i="1"/>
  <c r="AQ354" i="1"/>
  <c r="AS379" i="1"/>
  <c r="N6" i="31" s="1"/>
  <c r="AS321" i="1"/>
  <c r="AW1" i="1"/>
  <c r="R2" i="31" s="1"/>
  <c r="AV3" i="1"/>
  <c r="Q3" i="31" s="1"/>
  <c r="AV2" i="1"/>
  <c r="AW725" i="1" s="1"/>
  <c r="R33" i="1"/>
  <c r="R68" i="1"/>
  <c r="R273" i="1" s="1"/>
  <c r="R40" i="1"/>
  <c r="R38" i="1"/>
  <c r="R32" i="1"/>
  <c r="R30" i="1"/>
  <c r="R31" i="1"/>
  <c r="R29" i="1"/>
  <c r="R70" i="1"/>
  <c r="R275" i="1" s="1"/>
  <c r="R67" i="1"/>
  <c r="R272" i="1" s="1"/>
  <c r="R132" i="1"/>
  <c r="R39" i="1"/>
  <c r="BQ583" i="1"/>
  <c r="DI583" i="1" s="1"/>
  <c r="BQ575" i="1"/>
  <c r="DI575" i="1" s="1"/>
  <c r="DH603" i="1"/>
  <c r="BP603" i="1"/>
  <c r="DH602" i="1"/>
  <c r="BP602" i="1"/>
  <c r="DH677" i="1"/>
  <c r="BP677" i="1"/>
  <c r="DH681" i="1"/>
  <c r="BP681" i="1"/>
  <c r="DH555" i="1"/>
  <c r="BP555" i="1"/>
  <c r="DH123" i="1"/>
  <c r="BP123" i="1"/>
  <c r="DH682" i="1"/>
  <c r="BP682" i="1"/>
  <c r="DH600" i="1"/>
  <c r="BP600" i="1"/>
  <c r="DG573" i="1"/>
  <c r="BN573" i="1"/>
  <c r="BO573" i="1" s="1"/>
  <c r="DG577" i="1"/>
  <c r="BN577" i="1"/>
  <c r="BO577" i="1" s="1"/>
  <c r="DG151" i="1"/>
  <c r="BN151" i="1"/>
  <c r="BO151" i="1" s="1"/>
  <c r="DG678" i="1"/>
  <c r="BN678" i="1"/>
  <c r="BO678" i="1" s="1"/>
  <c r="DG540" i="1"/>
  <c r="BN540" i="1"/>
  <c r="DG574" i="1"/>
  <c r="BN574" i="1"/>
  <c r="BO574" i="1" s="1"/>
  <c r="AS561" i="1"/>
  <c r="AS628" i="1" s="1"/>
  <c r="AT553" i="1"/>
  <c r="AU553" i="1" s="1"/>
  <c r="AS633" i="1"/>
  <c r="DF706" i="1"/>
  <c r="BL706" i="1"/>
  <c r="DF571" i="1"/>
  <c r="BL571" i="1"/>
  <c r="BM571" i="1" s="1"/>
  <c r="AR315" i="1"/>
  <c r="AR373" i="1" s="1"/>
  <c r="CW373" i="1" s="1"/>
  <c r="AR286" i="1"/>
  <c r="AR344" i="1" s="1"/>
  <c r="AR376" i="1"/>
  <c r="AR321" i="1"/>
  <c r="AR314" i="1"/>
  <c r="AR372" i="1" s="1"/>
  <c r="AR636" i="1"/>
  <c r="AR637" i="1" s="1"/>
  <c r="AR739" i="1" s="1"/>
  <c r="AR765" i="1" s="1"/>
  <c r="AR281" i="1"/>
  <c r="AQ637" i="1"/>
  <c r="AQ739" i="1" s="1"/>
  <c r="AQ765" i="1" s="1"/>
  <c r="AR764" i="1"/>
  <c r="AR840" i="1"/>
  <c r="AR71" i="1"/>
  <c r="AR334" i="1"/>
  <c r="AR332" i="1" s="1"/>
  <c r="AR274" i="1" s="1"/>
  <c r="AQ764" i="1"/>
  <c r="AQ840" i="1"/>
  <c r="AP353" i="1"/>
  <c r="AP354" i="1" s="1"/>
  <c r="AP764" i="1"/>
  <c r="AP840" i="1"/>
  <c r="CW498" i="1"/>
  <c r="AS43" i="31" s="1"/>
  <c r="DE571" i="1"/>
  <c r="BH556" i="1"/>
  <c r="BI576" i="1"/>
  <c r="BJ576" i="1" s="1"/>
  <c r="BK576" i="1" s="1"/>
  <c r="BL576" i="1" s="1"/>
  <c r="DD546" i="1"/>
  <c r="BH546" i="1"/>
  <c r="BI566" i="1"/>
  <c r="BJ566" i="1" s="1"/>
  <c r="BK566" i="1" s="1"/>
  <c r="O369" i="1"/>
  <c r="BG626" i="1"/>
  <c r="DD626" i="1" s="1"/>
  <c r="O373" i="1"/>
  <c r="CH357" i="1"/>
  <c r="CH299" i="1" s="1"/>
  <c r="CH72" i="1" s="1"/>
  <c r="DC554" i="1"/>
  <c r="BF554" i="1"/>
  <c r="BG554" i="1" s="1"/>
  <c r="O372" i="1"/>
  <c r="DC606" i="1"/>
  <c r="BF606" i="1"/>
  <c r="BG606" i="1" s="1"/>
  <c r="BX198" i="1"/>
  <c r="BW192" i="1" s="1"/>
  <c r="CH358" i="1"/>
  <c r="CH300" i="1" s="1"/>
  <c r="CH73" i="1" s="1"/>
  <c r="BT810" i="1"/>
  <c r="BT808" i="1"/>
  <c r="CW737" i="1"/>
  <c r="CW763" i="1" s="1"/>
  <c r="BT118" i="1"/>
  <c r="BT84" i="1"/>
  <c r="BT86" i="1"/>
  <c r="O349" i="1"/>
  <c r="O352" i="1" s="1"/>
  <c r="O332" i="1"/>
  <c r="O274" i="1" s="1"/>
  <c r="O69" i="1" s="1"/>
  <c r="O364" i="1"/>
  <c r="O323" i="1"/>
  <c r="O81" i="1" s="1"/>
  <c r="O316" i="1"/>
  <c r="O317" i="1" s="1"/>
  <c r="O359" i="1"/>
  <c r="BV150" i="1"/>
  <c r="O74" i="1"/>
  <c r="BV834" i="1"/>
  <c r="BV548" i="1"/>
  <c r="N373" i="1"/>
  <c r="CU400" i="1"/>
  <c r="CQ3" i="1"/>
  <c r="CR1" i="1"/>
  <c r="AN2" i="31" s="1"/>
  <c r="CQ2" i="1"/>
  <c r="CR725" i="1" s="1"/>
  <c r="BU784" i="1"/>
  <c r="BU744" i="1"/>
  <c r="BU786" i="1"/>
  <c r="BU630" i="1"/>
  <c r="BU631" i="1" s="1"/>
  <c r="M354" i="1"/>
  <c r="CG353" i="1"/>
  <c r="BW587" i="1"/>
  <c r="BX661" i="1"/>
  <c r="BY533" i="1"/>
  <c r="BX541" i="1"/>
  <c r="BX742" i="1"/>
  <c r="BX768" i="1" s="1"/>
  <c r="BX531" i="1"/>
  <c r="BV786" i="1"/>
  <c r="BV784" i="1"/>
  <c r="BV744" i="1"/>
  <c r="BV630" i="1"/>
  <c r="BV631" i="1" s="1"/>
  <c r="BW469" i="1"/>
  <c r="BW468" i="1" s="1"/>
  <c r="BW110" i="1" s="1"/>
  <c r="BW218" i="1"/>
  <c r="BU160" i="1"/>
  <c r="BW54" i="1"/>
  <c r="CQ81" i="1"/>
  <c r="CQ269" i="1"/>
  <c r="CQ325" i="1"/>
  <c r="N78" i="1"/>
  <c r="N369" i="1"/>
  <c r="N349" i="1"/>
  <c r="N294" i="1"/>
  <c r="CH334" i="1"/>
  <c r="CH276" i="1" s="1"/>
  <c r="N332" i="1"/>
  <c r="F538" i="1"/>
  <c r="Q310" i="1"/>
  <c r="Q368" i="1" s="1"/>
  <c r="Q305" i="1"/>
  <c r="Q363" i="1" s="1"/>
  <c r="Q300" i="1"/>
  <c r="Q281" i="1"/>
  <c r="Q304" i="1"/>
  <c r="Q286" i="1"/>
  <c r="Q93" i="1"/>
  <c r="Q810" i="1"/>
  <c r="Q113" i="1"/>
  <c r="Q112" i="1"/>
  <c r="Q86" i="1"/>
  <c r="Q97" i="1"/>
  <c r="Q809" i="1"/>
  <c r="Q85" i="1"/>
  <c r="Q84" i="1"/>
  <c r="Q811" i="1"/>
  <c r="Q89" i="1"/>
  <c r="Q296" i="1"/>
  <c r="Q309" i="1"/>
  <c r="Q299" i="1"/>
  <c r="Q276" i="1"/>
  <c r="Q351" i="1"/>
  <c r="Q117" i="1"/>
  <c r="Q88" i="1"/>
  <c r="Q808" i="1"/>
  <c r="Q87" i="1"/>
  <c r="Q791" i="1"/>
  <c r="Q118" i="1"/>
  <c r="Q790" i="1"/>
  <c r="Q350" i="1"/>
  <c r="Q785" i="1"/>
  <c r="Q841" i="1" s="1"/>
  <c r="Q788" i="1"/>
  <c r="Q783" i="1"/>
  <c r="Q782" i="1"/>
  <c r="Q111" i="1"/>
  <c r="Q787" i="1"/>
  <c r="Q789" i="1"/>
  <c r="Q109" i="1"/>
  <c r="Q110" i="1"/>
  <c r="Q376" i="1"/>
  <c r="CI636" i="1"/>
  <c r="P637" i="1"/>
  <c r="P739" i="1" s="1"/>
  <c r="P765" i="1" s="1"/>
  <c r="CC628" i="1"/>
  <c r="CC629" i="1" s="1"/>
  <c r="E629" i="1"/>
  <c r="CE269" i="1"/>
  <c r="CE81" i="1"/>
  <c r="CE325" i="1"/>
  <c r="L269" i="1"/>
  <c r="L81" i="1"/>
  <c r="L325" i="1"/>
  <c r="CH379" i="1"/>
  <c r="N319" i="1"/>
  <c r="N316" i="1"/>
  <c r="N359" i="1"/>
  <c r="N74" i="1"/>
  <c r="N372" i="1"/>
  <c r="CG380" i="1"/>
  <c r="CY536" i="1"/>
  <c r="J391" i="1"/>
  <c r="CF377" i="1"/>
  <c r="BW216" i="1"/>
  <c r="BV159" i="1"/>
  <c r="BW217" i="1" s="1"/>
  <c r="BU158" i="1"/>
  <c r="CI704" i="1"/>
  <c r="P111" i="1"/>
  <c r="P310" i="1"/>
  <c r="P368" i="1" s="1"/>
  <c r="P305" i="1"/>
  <c r="P363" i="1" s="1"/>
  <c r="P300" i="1"/>
  <c r="P281" i="1"/>
  <c r="P304" i="1"/>
  <c r="P286" i="1"/>
  <c r="CI23" i="1"/>
  <c r="P811" i="1"/>
  <c r="P810" i="1"/>
  <c r="P785" i="1"/>
  <c r="P841" i="1" s="1"/>
  <c r="CI25" i="1"/>
  <c r="P351" i="1"/>
  <c r="P117" i="1"/>
  <c r="P93" i="1"/>
  <c r="P790" i="1"/>
  <c r="CI26" i="1"/>
  <c r="P350" i="1"/>
  <c r="P84" i="1"/>
  <c r="P788" i="1"/>
  <c r="P789" i="1"/>
  <c r="P118" i="1"/>
  <c r="P808" i="1"/>
  <c r="CI128" i="1"/>
  <c r="P85" i="1"/>
  <c r="P783" i="1"/>
  <c r="P109" i="1"/>
  <c r="P296" i="1"/>
  <c r="P309" i="1"/>
  <c r="P299" i="1"/>
  <c r="P276" i="1"/>
  <c r="P97" i="1"/>
  <c r="CI24" i="1"/>
  <c r="P112" i="1"/>
  <c r="CI265" i="1"/>
  <c r="CI88" i="1" s="1"/>
  <c r="CI266" i="1"/>
  <c r="CI696" i="1"/>
  <c r="P113" i="1"/>
  <c r="P791" i="1"/>
  <c r="P87" i="1"/>
  <c r="CI703" i="1"/>
  <c r="CI787" i="1" s="1"/>
  <c r="P809" i="1"/>
  <c r="P787" i="1"/>
  <c r="CI267" i="1"/>
  <c r="CI87" i="1" s="1"/>
  <c r="P376" i="1"/>
  <c r="P86" i="1"/>
  <c r="P88" i="1"/>
  <c r="P89" i="1"/>
  <c r="P782" i="1"/>
  <c r="P110" i="1"/>
  <c r="Q331" i="1"/>
  <c r="Q330" i="1"/>
  <c r="N364" i="1"/>
  <c r="N76" i="1"/>
  <c r="CY522" i="1"/>
  <c r="O295" i="1"/>
  <c r="O353" i="1" s="1"/>
  <c r="T1" i="1"/>
  <c r="S2" i="1"/>
  <c r="T725" i="1" s="1"/>
  <c r="S3" i="1"/>
  <c r="CI132" i="1"/>
  <c r="P330" i="1"/>
  <c r="E607" i="1"/>
  <c r="E837" i="1" s="1"/>
  <c r="E590" i="1"/>
  <c r="E836" i="1"/>
  <c r="M79" i="1"/>
  <c r="M375" i="1"/>
  <c r="M377" i="1" s="1"/>
  <c r="L375" i="1"/>
  <c r="L79" i="1"/>
  <c r="CW553" i="1"/>
  <c r="O468" i="1"/>
  <c r="O110" i="1" s="1"/>
  <c r="O109" i="1"/>
  <c r="AZ539" i="1"/>
  <c r="CZ588" i="1"/>
  <c r="CZ539" i="1"/>
  <c r="CG374" i="1"/>
  <c r="CG316" i="1" s="1"/>
  <c r="CZ499" i="1"/>
  <c r="D16" i="30" s="1"/>
  <c r="BX217" i="1"/>
  <c r="BX53" i="1"/>
  <c r="Q333" i="1"/>
  <c r="CI333" i="1" s="1"/>
  <c r="CI275" i="1" s="1"/>
  <c r="CI70" i="1" s="1"/>
  <c r="P331" i="1"/>
  <c r="AH391" i="1"/>
  <c r="CG352" i="1"/>
  <c r="L354" i="1"/>
  <c r="CX142" i="1"/>
  <c r="AT785" i="1" l="1"/>
  <c r="AT811" i="1"/>
  <c r="AU118" i="1"/>
  <c r="AT788" i="1"/>
  <c r="O72" i="31" s="1"/>
  <c r="AT97" i="1"/>
  <c r="AU811" i="1"/>
  <c r="AT376" i="1"/>
  <c r="AT286" i="1"/>
  <c r="AT77" i="1" s="1"/>
  <c r="AU791" i="1"/>
  <c r="AU112" i="1"/>
  <c r="AT88" i="1"/>
  <c r="AT790" i="1"/>
  <c r="AU330" i="1"/>
  <c r="AU790" i="1"/>
  <c r="AT808" i="1"/>
  <c r="AT315" i="1"/>
  <c r="AT373" i="1" s="1"/>
  <c r="AU113" i="1"/>
  <c r="AU109" i="1"/>
  <c r="AU789" i="1"/>
  <c r="AT782" i="1"/>
  <c r="AT809" i="1"/>
  <c r="AT281" i="1"/>
  <c r="AT75" i="1" s="1"/>
  <c r="AU331" i="1"/>
  <c r="AU111" i="1"/>
  <c r="AU314" i="1"/>
  <c r="AU372" i="1" s="1"/>
  <c r="AU350" i="1"/>
  <c r="AU281" i="1"/>
  <c r="AU75" i="1" s="1"/>
  <c r="AT783" i="1"/>
  <c r="O73" i="31" s="1"/>
  <c r="O74" i="31" s="1"/>
  <c r="AT791" i="1"/>
  <c r="AT331" i="1"/>
  <c r="AT351" i="1"/>
  <c r="AT787" i="1"/>
  <c r="AT810" i="1"/>
  <c r="AT350" i="1"/>
  <c r="AT314" i="1"/>
  <c r="AT372" i="1" s="1"/>
  <c r="AU782" i="1"/>
  <c r="AU286" i="1"/>
  <c r="AU77" i="1" s="1"/>
  <c r="AU110" i="1"/>
  <c r="AU808" i="1"/>
  <c r="AT789" i="1"/>
  <c r="AT333" i="1"/>
  <c r="AT330" i="1"/>
  <c r="AT276" i="1"/>
  <c r="AU783" i="1"/>
  <c r="P73" i="31" s="1"/>
  <c r="P74" i="31" s="1"/>
  <c r="AU276" i="1"/>
  <c r="AU334" i="1" s="1"/>
  <c r="AU351" i="1"/>
  <c r="AU296" i="1"/>
  <c r="AU321" i="1" s="1"/>
  <c r="AU315" i="1"/>
  <c r="AU373" i="1" s="1"/>
  <c r="AU788" i="1"/>
  <c r="P72" i="31" s="1"/>
  <c r="AU785" i="1"/>
  <c r="AU841" i="1" s="1"/>
  <c r="AU810" i="1"/>
  <c r="AU787" i="1"/>
  <c r="AU809" i="1"/>
  <c r="AU376" i="1"/>
  <c r="AU88" i="1"/>
  <c r="AU117" i="1"/>
  <c r="AT296" i="1"/>
  <c r="AT321" i="1" s="1"/>
  <c r="AS319" i="1"/>
  <c r="AS322" i="1" s="1"/>
  <c r="AS323" i="1" s="1"/>
  <c r="N70" i="31" s="1"/>
  <c r="AV33" i="1"/>
  <c r="AV29" i="1"/>
  <c r="AV67" i="1"/>
  <c r="AV272" i="1" s="1"/>
  <c r="AV32" i="1"/>
  <c r="AV70" i="1"/>
  <c r="AV275" i="1" s="1"/>
  <c r="AV68" i="1"/>
  <c r="AV273" i="1" s="1"/>
  <c r="AV40" i="1"/>
  <c r="AV31" i="1"/>
  <c r="AV30" i="1"/>
  <c r="AV132" i="1"/>
  <c r="AV38" i="1"/>
  <c r="AV39" i="1"/>
  <c r="AS294" i="1"/>
  <c r="AS295" i="1" s="1"/>
  <c r="AS353" i="1" s="1"/>
  <c r="AS349" i="1"/>
  <c r="AW2" i="1"/>
  <c r="AX725" i="1" s="1"/>
  <c r="AW3" i="1"/>
  <c r="R3" i="31" s="1"/>
  <c r="AX1" i="1"/>
  <c r="AU379" i="1"/>
  <c r="P6" i="31" s="1"/>
  <c r="S68" i="1"/>
  <c r="S273" i="1" s="1"/>
  <c r="S40" i="1"/>
  <c r="S38" i="1"/>
  <c r="S70" i="1"/>
  <c r="S275" i="1" s="1"/>
  <c r="S67" i="1"/>
  <c r="S272" i="1" s="1"/>
  <c r="S39" i="1"/>
  <c r="S32" i="1"/>
  <c r="S31" i="1"/>
  <c r="S29" i="1"/>
  <c r="S33" i="1"/>
  <c r="S132" i="1"/>
  <c r="S636" i="1" s="1"/>
  <c r="S637" i="1" s="1"/>
  <c r="S739" i="1" s="1"/>
  <c r="S765" i="1" s="1"/>
  <c r="S30" i="1"/>
  <c r="BQ682" i="1"/>
  <c r="DI682" i="1" s="1"/>
  <c r="BQ681" i="1"/>
  <c r="DI681" i="1" s="1"/>
  <c r="BQ603" i="1"/>
  <c r="DI603" i="1" s="1"/>
  <c r="BQ123" i="1"/>
  <c r="DI123" i="1" s="1"/>
  <c r="BQ677" i="1"/>
  <c r="DI677" i="1" s="1"/>
  <c r="BQ600" i="1"/>
  <c r="DI600" i="1" s="1"/>
  <c r="BQ555" i="1"/>
  <c r="DI555" i="1" s="1"/>
  <c r="BQ602" i="1"/>
  <c r="DI602" i="1" s="1"/>
  <c r="DH573" i="1"/>
  <c r="BP573" i="1"/>
  <c r="DH678" i="1"/>
  <c r="BP678" i="1"/>
  <c r="DH574" i="1"/>
  <c r="BP574" i="1"/>
  <c r="DH151" i="1"/>
  <c r="BP151" i="1"/>
  <c r="DH577" i="1"/>
  <c r="BP577" i="1"/>
  <c r="AU633" i="1"/>
  <c r="AU635" i="1" s="1"/>
  <c r="AV553" i="1"/>
  <c r="DG571" i="1"/>
  <c r="BN571" i="1"/>
  <c r="BO540" i="1"/>
  <c r="AT344" i="1"/>
  <c r="AT633" i="1"/>
  <c r="AR77" i="1"/>
  <c r="AR291" i="1"/>
  <c r="AS635" i="1"/>
  <c r="AS738" i="1" s="1"/>
  <c r="AS636" i="1"/>
  <c r="BM706" i="1"/>
  <c r="CS1" i="1"/>
  <c r="AO2" i="31" s="1"/>
  <c r="AR339" i="1"/>
  <c r="AR379" i="1"/>
  <c r="M6" i="31" s="1"/>
  <c r="AR374" i="1"/>
  <c r="BM576" i="1"/>
  <c r="DF566" i="1"/>
  <c r="BL566" i="1"/>
  <c r="BM566" i="1" s="1"/>
  <c r="CW372" i="1"/>
  <c r="AR75" i="1"/>
  <c r="AR69" i="1"/>
  <c r="CX498" i="1"/>
  <c r="AT43" i="31" s="1"/>
  <c r="DF576" i="1"/>
  <c r="CI637" i="1"/>
  <c r="CI739" i="1" s="1"/>
  <c r="CI765" i="1" s="1"/>
  <c r="CH369" i="1"/>
  <c r="CH311" i="1" s="1"/>
  <c r="CH78" i="1" s="1"/>
  <c r="BI556" i="1"/>
  <c r="DD554" i="1"/>
  <c r="BH554" i="1"/>
  <c r="BI554" i="1" s="1"/>
  <c r="BI546" i="1"/>
  <c r="DD606" i="1"/>
  <c r="BH606" i="1"/>
  <c r="BI606" i="1" s="1"/>
  <c r="BH626" i="1"/>
  <c r="DE566" i="1"/>
  <c r="DE576" i="1"/>
  <c r="CH373" i="1"/>
  <c r="CH315" i="1" s="1"/>
  <c r="CH372" i="1"/>
  <c r="CH314" i="1" s="1"/>
  <c r="O269" i="1"/>
  <c r="CH349" i="1"/>
  <c r="BX61" i="1"/>
  <c r="CG354" i="1"/>
  <c r="CG296" i="1" s="1"/>
  <c r="CG321" i="1" s="1"/>
  <c r="O325" i="1"/>
  <c r="CH364" i="1"/>
  <c r="CH306" i="1" s="1"/>
  <c r="CH76" i="1" s="1"/>
  <c r="BW198" i="1"/>
  <c r="BW61" i="1" s="1"/>
  <c r="BW58" i="1"/>
  <c r="O374" i="1"/>
  <c r="CH359" i="1"/>
  <c r="CH301" i="1" s="1"/>
  <c r="CH74" i="1" s="1"/>
  <c r="CI351" i="1"/>
  <c r="CI363" i="1"/>
  <c r="CI305" i="1" s="1"/>
  <c r="CI376" i="1"/>
  <c r="CI318" i="1" s="1"/>
  <c r="CI80" i="1" s="1"/>
  <c r="CX33" i="1"/>
  <c r="CX38" i="1"/>
  <c r="CX30" i="1"/>
  <c r="CX132" i="1"/>
  <c r="CX128" i="1"/>
  <c r="CX31" i="1"/>
  <c r="CX32" i="1"/>
  <c r="CX29" i="1"/>
  <c r="CI368" i="1"/>
  <c r="CI310" i="1" s="1"/>
  <c r="CR3" i="1"/>
  <c r="AN3" i="31" s="1"/>
  <c r="CR2" i="1"/>
  <c r="CI330" i="1"/>
  <c r="CI272" i="1" s="1"/>
  <c r="CI67" i="1" s="1"/>
  <c r="BW53" i="1"/>
  <c r="M391" i="1"/>
  <c r="CI350" i="1"/>
  <c r="BU639" i="1"/>
  <c r="BU618" i="1"/>
  <c r="BV618" i="1"/>
  <c r="BV639" i="1"/>
  <c r="BX550" i="1"/>
  <c r="BX564" i="1" s="1"/>
  <c r="BX568" i="1" s="1"/>
  <c r="BX674" i="1"/>
  <c r="BX667" i="1"/>
  <c r="BX698" i="1"/>
  <c r="BX789" i="1" s="1"/>
  <c r="BX702" i="1"/>
  <c r="BX785" i="1" s="1"/>
  <c r="BX841" i="1" s="1"/>
  <c r="CY498" i="1"/>
  <c r="AU43" i="31" s="1"/>
  <c r="CI331" i="1"/>
  <c r="CI273" i="1" s="1"/>
  <c r="CI68" i="1" s="1"/>
  <c r="BX743" i="1"/>
  <c r="BX769" i="1" s="1"/>
  <c r="BY527" i="1"/>
  <c r="BW590" i="1"/>
  <c r="BW606" i="1"/>
  <c r="BW607" i="1" s="1"/>
  <c r="BW837" i="1" s="1"/>
  <c r="BW836" i="1"/>
  <c r="BT160" i="1"/>
  <c r="BU54" i="1" s="1"/>
  <c r="BV218" i="1"/>
  <c r="BV469" i="1"/>
  <c r="BV54" i="1"/>
  <c r="AZ588" i="1"/>
  <c r="BA539" i="1"/>
  <c r="CW561" i="1"/>
  <c r="E834" i="1"/>
  <c r="E595" i="1"/>
  <c r="E548" i="1"/>
  <c r="E150" i="1"/>
  <c r="R5" i="1"/>
  <c r="R333" i="1" s="1"/>
  <c r="T2" i="1"/>
  <c r="U725" i="1" s="1"/>
  <c r="T3" i="1"/>
  <c r="U1" i="1"/>
  <c r="O79" i="1"/>
  <c r="O375" i="1"/>
  <c r="P357" i="1"/>
  <c r="P301" i="1"/>
  <c r="P72" i="1"/>
  <c r="P314" i="1"/>
  <c r="P379" i="1"/>
  <c r="P321" i="1"/>
  <c r="CI737" i="1"/>
  <c r="CI763" i="1" s="1"/>
  <c r="CI131" i="1"/>
  <c r="CI741" i="1"/>
  <c r="CI767" i="1" s="1"/>
  <c r="P362" i="1"/>
  <c r="P306" i="1"/>
  <c r="P315" i="1"/>
  <c r="P358" i="1"/>
  <c r="P73" i="1"/>
  <c r="BT158" i="1"/>
  <c r="BV216" i="1"/>
  <c r="BU159" i="1"/>
  <c r="BV217" i="1" s="1"/>
  <c r="N374" i="1"/>
  <c r="O380" i="1"/>
  <c r="Q71" i="1"/>
  <c r="Q291" i="1"/>
  <c r="Q334" i="1"/>
  <c r="Q332" i="1" s="1"/>
  <c r="Q274" i="1" s="1"/>
  <c r="Q69" i="1" s="1"/>
  <c r="Q367" i="1"/>
  <c r="Q311" i="1"/>
  <c r="Q306" i="1"/>
  <c r="Q362" i="1"/>
  <c r="Q315" i="1"/>
  <c r="Q358" i="1"/>
  <c r="Q73" i="1"/>
  <c r="CH291" i="1"/>
  <c r="CH294" i="1" s="1"/>
  <c r="CH71" i="1"/>
  <c r="AZ499" i="1"/>
  <c r="CZ522" i="1"/>
  <c r="CG375" i="1"/>
  <c r="CG317" i="1" s="1"/>
  <c r="CG79" i="1" s="1"/>
  <c r="L377" i="1"/>
  <c r="S5" i="1"/>
  <c r="O354" i="1"/>
  <c r="CY623" i="1"/>
  <c r="P334" i="1"/>
  <c r="P291" i="1"/>
  <c r="P71" i="1"/>
  <c r="P367" i="1"/>
  <c r="P311" i="1"/>
  <c r="P344" i="1"/>
  <c r="P77" i="1"/>
  <c r="P339" i="1"/>
  <c r="P75" i="1"/>
  <c r="CF391" i="1"/>
  <c r="CF319" i="1"/>
  <c r="CF322" i="1" s="1"/>
  <c r="CF323" i="1" s="1"/>
  <c r="N317" i="1"/>
  <c r="N380" i="1" s="1"/>
  <c r="N322" i="1"/>
  <c r="N323" i="1" s="1"/>
  <c r="R636" i="1"/>
  <c r="Q357" i="1"/>
  <c r="Q301" i="1"/>
  <c r="Q72" i="1"/>
  <c r="Q314" i="1"/>
  <c r="Q379" i="1"/>
  <c r="Q319" i="1" s="1"/>
  <c r="Q321" i="1"/>
  <c r="Q344" i="1"/>
  <c r="Q77" i="1"/>
  <c r="Q75" i="1"/>
  <c r="Q339" i="1"/>
  <c r="F541" i="1"/>
  <c r="F742" i="1"/>
  <c r="F768" i="1" s="1"/>
  <c r="F743" i="1"/>
  <c r="F769" i="1" s="1"/>
  <c r="F531" i="1"/>
  <c r="G533" i="1"/>
  <c r="CH332" i="1"/>
  <c r="CH274" i="1" s="1"/>
  <c r="CH69" i="1" s="1"/>
  <c r="N274" i="1"/>
  <c r="N69" i="1" s="1"/>
  <c r="N352" i="1"/>
  <c r="N295" i="1"/>
  <c r="N353" i="1" s="1"/>
  <c r="CH353" i="1" s="1"/>
  <c r="CX762" i="1"/>
  <c r="AY1" i="1" l="1"/>
  <c r="T2" i="31" s="1"/>
  <c r="S2" i="31"/>
  <c r="AT339" i="1"/>
  <c r="AU374" i="1"/>
  <c r="AU339" i="1"/>
  <c r="AT291" i="1"/>
  <c r="AT294" i="1" s="1"/>
  <c r="CX373" i="1"/>
  <c r="AT334" i="1"/>
  <c r="AT332" i="1" s="1"/>
  <c r="AT274" i="1" s="1"/>
  <c r="AT69" i="1" s="1"/>
  <c r="AU344" i="1"/>
  <c r="AZ498" i="1"/>
  <c r="U43" i="31" s="1"/>
  <c r="AU71" i="1"/>
  <c r="AT379" i="1"/>
  <c r="O6" i="31" s="1"/>
  <c r="AW5" i="1"/>
  <c r="R4" i="31" s="1"/>
  <c r="AU291" i="1"/>
  <c r="AV5" i="1"/>
  <c r="Q4" i="31" s="1"/>
  <c r="AS269" i="1"/>
  <c r="AS325" i="1"/>
  <c r="AR319" i="1"/>
  <c r="AR322" i="1" s="1"/>
  <c r="AR323" i="1" s="1"/>
  <c r="M70" i="31" s="1"/>
  <c r="AU319" i="1"/>
  <c r="AU322" i="1" s="1"/>
  <c r="AU323" i="1" s="1"/>
  <c r="P70" i="31" s="1"/>
  <c r="AX2" i="1"/>
  <c r="AY725" i="1" s="1"/>
  <c r="AX3" i="1"/>
  <c r="S3" i="31" s="1"/>
  <c r="AW32" i="1"/>
  <c r="AW46" i="1" s="1"/>
  <c r="AW31" i="1"/>
  <c r="AW45" i="1" s="1"/>
  <c r="AW132" i="1"/>
  <c r="AW40" i="1"/>
  <c r="AW38" i="1"/>
  <c r="AW70" i="1"/>
  <c r="AW30" i="1"/>
  <c r="AW44" i="1" s="1"/>
  <c r="AW67" i="1"/>
  <c r="AW39" i="1"/>
  <c r="AW29" i="1"/>
  <c r="AW43" i="1" s="1"/>
  <c r="AW33" i="1"/>
  <c r="AW47" i="1" s="1"/>
  <c r="AW68" i="1"/>
  <c r="CY235" i="1"/>
  <c r="AS352" i="1"/>
  <c r="AS354" i="1" s="1"/>
  <c r="T32" i="1"/>
  <c r="T70" i="1"/>
  <c r="T275" i="1" s="1"/>
  <c r="T67" i="1"/>
  <c r="T272" i="1" s="1"/>
  <c r="T132" i="1"/>
  <c r="T68" i="1"/>
  <c r="T273" i="1" s="1"/>
  <c r="T31" i="1"/>
  <c r="T29" i="1"/>
  <c r="T33" i="1"/>
  <c r="T38" i="1"/>
  <c r="T39" i="1"/>
  <c r="T30" i="1"/>
  <c r="T40" i="1"/>
  <c r="AV633" i="1"/>
  <c r="AV635" i="1" s="1"/>
  <c r="AW553" i="1"/>
  <c r="BQ151" i="1"/>
  <c r="DI151" i="1" s="1"/>
  <c r="BQ573" i="1"/>
  <c r="DI573" i="1" s="1"/>
  <c r="BQ574" i="1"/>
  <c r="DI574" i="1" s="1"/>
  <c r="BQ577" i="1"/>
  <c r="DI577" i="1" s="1"/>
  <c r="BQ678" i="1"/>
  <c r="DI678" i="1" s="1"/>
  <c r="AU636" i="1"/>
  <c r="AU637" i="1" s="1"/>
  <c r="AU739" i="1" s="1"/>
  <c r="AU765" i="1" s="1"/>
  <c r="DH540" i="1"/>
  <c r="BP540" i="1"/>
  <c r="AU738" i="1"/>
  <c r="DG706" i="1"/>
  <c r="BN706" i="1"/>
  <c r="BO571" i="1"/>
  <c r="DG566" i="1"/>
  <c r="BN566" i="1"/>
  <c r="DG576" i="1"/>
  <c r="BN576" i="1"/>
  <c r="AR349" i="1"/>
  <c r="AR294" i="1"/>
  <c r="AR295" i="1" s="1"/>
  <c r="AT374" i="1"/>
  <c r="CX372" i="1"/>
  <c r="AT636" i="1"/>
  <c r="AT635" i="1"/>
  <c r="AS637" i="1"/>
  <c r="AS739" i="1" s="1"/>
  <c r="AS765" i="1" s="1"/>
  <c r="AS764" i="1"/>
  <c r="AS840" i="1"/>
  <c r="CT1" i="1"/>
  <c r="AP2" i="31" s="1"/>
  <c r="DE546" i="1"/>
  <c r="BJ546" i="1"/>
  <c r="DE554" i="1"/>
  <c r="BJ554" i="1"/>
  <c r="BK554" i="1" s="1"/>
  <c r="DE606" i="1"/>
  <c r="BJ606" i="1"/>
  <c r="BK606" i="1" s="1"/>
  <c r="DE556" i="1"/>
  <c r="BJ556" i="1"/>
  <c r="BI626" i="1"/>
  <c r="DE626" i="1" s="1"/>
  <c r="CX737" i="1"/>
  <c r="CX763" i="1" s="1"/>
  <c r="CH374" i="1"/>
  <c r="CH316" i="1" s="1"/>
  <c r="CG295" i="1"/>
  <c r="O377" i="1"/>
  <c r="O391" i="1" s="1"/>
  <c r="BV192" i="1"/>
  <c r="BV58" i="1" s="1"/>
  <c r="CY236" i="1"/>
  <c r="CI367" i="1"/>
  <c r="CI309" i="1" s="1"/>
  <c r="CW399" i="1"/>
  <c r="CV400" i="1"/>
  <c r="CS2" i="1"/>
  <c r="CS3" i="1"/>
  <c r="AO3" i="31" s="1"/>
  <c r="CH380" i="1"/>
  <c r="CJ132" i="1"/>
  <c r="CZ498" i="1"/>
  <c r="AV43" i="31" s="1"/>
  <c r="P373" i="1"/>
  <c r="S331" i="1"/>
  <c r="S333" i="1"/>
  <c r="CJ333" i="1" s="1"/>
  <c r="CJ275" i="1" s="1"/>
  <c r="CJ70" i="1" s="1"/>
  <c r="BW834" i="1"/>
  <c r="BW548" i="1"/>
  <c r="BW595" i="1"/>
  <c r="BW150" i="1"/>
  <c r="BY622" i="1"/>
  <c r="BY624" i="1" s="1"/>
  <c r="BY529" i="1"/>
  <c r="BY534" i="1" s="1"/>
  <c r="BY538" i="1" s="1"/>
  <c r="CI339" i="1"/>
  <c r="CI281" i="1" s="1"/>
  <c r="CI75" i="1" s="1"/>
  <c r="BX585" i="1"/>
  <c r="BX583" i="1" s="1"/>
  <c r="BX628" i="1" s="1"/>
  <c r="BX629" i="1" s="1"/>
  <c r="BV53" i="1"/>
  <c r="BV468" i="1"/>
  <c r="BV110" i="1" s="1"/>
  <c r="K469" i="1"/>
  <c r="BU469" i="1"/>
  <c r="BS160" i="1"/>
  <c r="BU218" i="1"/>
  <c r="CH352" i="1"/>
  <c r="N354" i="1"/>
  <c r="CH354" i="1" s="1"/>
  <c r="CH296" i="1" s="1"/>
  <c r="G527" i="1"/>
  <c r="F674" i="1"/>
  <c r="F550" i="1"/>
  <c r="F564" i="1" s="1"/>
  <c r="F568" i="1" s="1"/>
  <c r="Q322" i="1"/>
  <c r="Q323" i="1" s="1"/>
  <c r="N269" i="1"/>
  <c r="N81" i="1"/>
  <c r="N325" i="1"/>
  <c r="CF325" i="1"/>
  <c r="CF269" i="1"/>
  <c r="CF81" i="1"/>
  <c r="CI344" i="1"/>
  <c r="CI286" i="1" s="1"/>
  <c r="CI77" i="1" s="1"/>
  <c r="P349" i="1"/>
  <c r="P294" i="1"/>
  <c r="AZ522" i="1"/>
  <c r="BA499" i="1"/>
  <c r="Q369" i="1"/>
  <c r="Q78" i="1"/>
  <c r="CI362" i="1"/>
  <c r="CI304" i="1" s="1"/>
  <c r="P372" i="1"/>
  <c r="P74" i="1"/>
  <c r="P316" i="1"/>
  <c r="P359" i="1"/>
  <c r="U3" i="1"/>
  <c r="U2" i="1"/>
  <c r="V725" i="1" s="1"/>
  <c r="V1" i="1"/>
  <c r="R281" i="1"/>
  <c r="R286" i="1"/>
  <c r="CJ23" i="1"/>
  <c r="R783" i="1"/>
  <c r="R304" i="1"/>
  <c r="R93" i="1"/>
  <c r="CJ265" i="1"/>
  <c r="CJ88" i="1" s="1"/>
  <c r="R350" i="1"/>
  <c r="R790" i="1"/>
  <c r="R113" i="1"/>
  <c r="R809" i="1"/>
  <c r="R109" i="1"/>
  <c r="R87" i="1"/>
  <c r="CJ696" i="1"/>
  <c r="R84" i="1"/>
  <c r="R787" i="1"/>
  <c r="R296" i="1"/>
  <c r="R299" i="1"/>
  <c r="R88" i="1"/>
  <c r="CJ267" i="1"/>
  <c r="CJ87" i="1" s="1"/>
  <c r="R376" i="1"/>
  <c r="R117" i="1"/>
  <c r="R808" i="1"/>
  <c r="CJ266" i="1"/>
  <c r="CJ704" i="1"/>
  <c r="R276" i="1"/>
  <c r="R86" i="1"/>
  <c r="R810" i="1"/>
  <c r="R310" i="1"/>
  <c r="R368" i="1" s="1"/>
  <c r="R300" i="1"/>
  <c r="CJ26" i="1"/>
  <c r="R351" i="1"/>
  <c r="CJ703" i="1"/>
  <c r="CJ787" i="1" s="1"/>
  <c r="R110" i="1"/>
  <c r="R811" i="1"/>
  <c r="R89" i="1"/>
  <c r="R85" i="1"/>
  <c r="R97" i="1"/>
  <c r="R118" i="1"/>
  <c r="R789" i="1"/>
  <c r="R782" i="1"/>
  <c r="R305" i="1"/>
  <c r="R363" i="1" s="1"/>
  <c r="R309" i="1"/>
  <c r="CJ24" i="1"/>
  <c r="CJ128" i="1"/>
  <c r="R791" i="1"/>
  <c r="R112" i="1"/>
  <c r="CJ25" i="1"/>
  <c r="R111" i="1"/>
  <c r="R785" i="1"/>
  <c r="R841" i="1" s="1"/>
  <c r="R788" i="1"/>
  <c r="BB539" i="1"/>
  <c r="BA588" i="1"/>
  <c r="DA588" i="1" s="1"/>
  <c r="DA539" i="1"/>
  <c r="Q372" i="1"/>
  <c r="Q359" i="1"/>
  <c r="Q74" i="1"/>
  <c r="Q316" i="1"/>
  <c r="R637" i="1"/>
  <c r="R739" i="1" s="1"/>
  <c r="R765" i="1" s="1"/>
  <c r="CJ636" i="1"/>
  <c r="N375" i="1"/>
  <c r="N79" i="1"/>
  <c r="P78" i="1"/>
  <c r="P369" i="1"/>
  <c r="CI334" i="1"/>
  <c r="CI276" i="1" s="1"/>
  <c r="P332" i="1"/>
  <c r="S286" i="1"/>
  <c r="S296" i="1"/>
  <c r="S117" i="1"/>
  <c r="S783" i="1"/>
  <c r="S109" i="1"/>
  <c r="S110" i="1"/>
  <c r="S97" i="1"/>
  <c r="S281" i="1"/>
  <c r="S84" i="1"/>
  <c r="S350" i="1"/>
  <c r="S791" i="1"/>
  <c r="S787" i="1"/>
  <c r="S808" i="1"/>
  <c r="S810" i="1"/>
  <c r="S789" i="1"/>
  <c r="S790" i="1"/>
  <c r="S811" i="1"/>
  <c r="S809" i="1"/>
  <c r="S304" i="1"/>
  <c r="S112" i="1"/>
  <c r="S113" i="1"/>
  <c r="S309" i="1"/>
  <c r="S782" i="1"/>
  <c r="S300" i="1"/>
  <c r="S86" i="1"/>
  <c r="S111" i="1"/>
  <c r="S788" i="1"/>
  <c r="S351" i="1"/>
  <c r="S310" i="1"/>
  <c r="S368" i="1" s="1"/>
  <c r="S376" i="1"/>
  <c r="S85" i="1"/>
  <c r="S299" i="1"/>
  <c r="S305" i="1"/>
  <c r="S363" i="1" s="1"/>
  <c r="S276" i="1"/>
  <c r="S785" i="1"/>
  <c r="S841" i="1" s="1"/>
  <c r="S87" i="1"/>
  <c r="S89" i="1"/>
  <c r="S88" i="1"/>
  <c r="S118" i="1"/>
  <c r="S93" i="1"/>
  <c r="L391" i="1"/>
  <c r="CG377" i="1"/>
  <c r="Q373" i="1"/>
  <c r="Q364" i="1"/>
  <c r="Q76" i="1"/>
  <c r="Q294" i="1"/>
  <c r="Q349" i="1"/>
  <c r="R330" i="1"/>
  <c r="R331" i="1"/>
  <c r="BS158" i="1"/>
  <c r="BU216" i="1"/>
  <c r="BT159" i="1"/>
  <c r="BU217" i="1" s="1"/>
  <c r="CI358" i="1"/>
  <c r="CI300" i="1" s="1"/>
  <c r="CI73" i="1" s="1"/>
  <c r="P364" i="1"/>
  <c r="P76" i="1"/>
  <c r="P319" i="1"/>
  <c r="CI379" i="1"/>
  <c r="CI357" i="1"/>
  <c r="CI299" i="1" s="1"/>
  <c r="CI72" i="1" s="1"/>
  <c r="S330" i="1"/>
  <c r="E786" i="1"/>
  <c r="E784" i="1"/>
  <c r="E744" i="1"/>
  <c r="CC744" i="1" s="1"/>
  <c r="E630" i="1"/>
  <c r="CX553" i="1"/>
  <c r="CY142" i="1"/>
  <c r="AV808" i="1" l="1"/>
  <c r="AV88" i="1"/>
  <c r="AT319" i="1"/>
  <c r="AT322" i="1" s="1"/>
  <c r="AT323" i="1" s="1"/>
  <c r="O70" i="31" s="1"/>
  <c r="CY696" i="1"/>
  <c r="AY623" i="1"/>
  <c r="AU349" i="1"/>
  <c r="AT349" i="1"/>
  <c r="AT352" i="1" s="1"/>
  <c r="AV351" i="1"/>
  <c r="AV811" i="1"/>
  <c r="AV783" i="1"/>
  <c r="Q73" i="31" s="1"/>
  <c r="AV286" i="1"/>
  <c r="AV77" i="1" s="1"/>
  <c r="AV789" i="1"/>
  <c r="AV276" i="1"/>
  <c r="AV334" i="1" s="1"/>
  <c r="AV281" i="1"/>
  <c r="AV75" i="1" s="1"/>
  <c r="AR325" i="1"/>
  <c r="AV782" i="1"/>
  <c r="AV788" i="1"/>
  <c r="Q72" i="31" s="1"/>
  <c r="AV809" i="1"/>
  <c r="AV350" i="1"/>
  <c r="AV89" i="1"/>
  <c r="AV86" i="1"/>
  <c r="AV785" i="1"/>
  <c r="AV791" i="1"/>
  <c r="AV296" i="1"/>
  <c r="AV379" i="1" s="1"/>
  <c r="Q6" i="31" s="1"/>
  <c r="AR81" i="1"/>
  <c r="AV330" i="1"/>
  <c r="AV331" i="1"/>
  <c r="AV376" i="1"/>
  <c r="AV314" i="1"/>
  <c r="AV372" i="1" s="1"/>
  <c r="AV333" i="1"/>
  <c r="AV790" i="1"/>
  <c r="BA498" i="1"/>
  <c r="V43" i="31" s="1"/>
  <c r="AV787" i="1"/>
  <c r="AV810" i="1"/>
  <c r="AV97" i="1"/>
  <c r="AV315" i="1"/>
  <c r="AV373" i="1" s="1"/>
  <c r="AW97" i="1"/>
  <c r="AW783" i="1"/>
  <c r="R73" i="31" s="1"/>
  <c r="AW117" i="1"/>
  <c r="AW110" i="1"/>
  <c r="AW84" i="1"/>
  <c r="AW111" i="1"/>
  <c r="AW85" i="1"/>
  <c r="AW112" i="1"/>
  <c r="AW118" i="1"/>
  <c r="AW276" i="1"/>
  <c r="AW334" i="1" s="1"/>
  <c r="AW788" i="1"/>
  <c r="R72" i="31" s="1"/>
  <c r="AW86" i="1"/>
  <c r="AW785" i="1"/>
  <c r="AW841" i="1" s="1"/>
  <c r="AW89" i="1"/>
  <c r="AW88" i="1"/>
  <c r="AW809" i="1"/>
  <c r="AW790" i="1"/>
  <c r="AW296" i="1"/>
  <c r="AW321" i="1" s="1"/>
  <c r="AW782" i="1"/>
  <c r="AW376" i="1"/>
  <c r="AU294" i="1"/>
  <c r="AU295" i="1" s="1"/>
  <c r="AU353" i="1" s="1"/>
  <c r="AW789" i="1"/>
  <c r="AW808" i="1"/>
  <c r="AW351" i="1"/>
  <c r="AW93" i="1"/>
  <c r="AW315" i="1"/>
  <c r="AW373" i="1" s="1"/>
  <c r="AW810" i="1"/>
  <c r="AW113" i="1"/>
  <c r="AW791" i="1"/>
  <c r="AW350" i="1"/>
  <c r="AW281" i="1"/>
  <c r="AW339" i="1" s="1"/>
  <c r="AW787" i="1"/>
  <c r="AW811" i="1"/>
  <c r="AW286" i="1"/>
  <c r="AW77" i="1" s="1"/>
  <c r="AW314" i="1"/>
  <c r="AW372" i="1" s="1"/>
  <c r="AW87" i="1"/>
  <c r="AW109" i="1"/>
  <c r="AV636" i="1"/>
  <c r="AV637" i="1" s="1"/>
  <c r="AV739" i="1" s="1"/>
  <c r="AV765" i="1" s="1"/>
  <c r="AR269" i="1"/>
  <c r="AU269" i="1"/>
  <c r="AU325" i="1"/>
  <c r="AT325" i="1"/>
  <c r="AW273" i="1"/>
  <c r="AW331" i="1" s="1"/>
  <c r="AX68" i="1"/>
  <c r="AY68" i="1" s="1"/>
  <c r="AX70" i="1"/>
  <c r="AW275" i="1"/>
  <c r="AW333" i="1" s="1"/>
  <c r="AX33" i="1"/>
  <c r="AX47" i="1" s="1"/>
  <c r="AX29" i="1"/>
  <c r="AX43" i="1" s="1"/>
  <c r="AX40" i="1"/>
  <c r="AX32" i="1"/>
  <c r="AX46" i="1" s="1"/>
  <c r="AX31" i="1"/>
  <c r="AX45" i="1" s="1"/>
  <c r="AX38" i="1"/>
  <c r="AX39" i="1"/>
  <c r="AX132" i="1"/>
  <c r="AX30" i="1"/>
  <c r="AX44" i="1" s="1"/>
  <c r="AX67" i="1"/>
  <c r="AY67" i="1" s="1"/>
  <c r="AW272" i="1"/>
  <c r="AW330" i="1" s="1"/>
  <c r="U32" i="1"/>
  <c r="U70" i="1"/>
  <c r="U275" i="1" s="1"/>
  <c r="U67" i="1"/>
  <c r="U272" i="1" s="1"/>
  <c r="U39" i="1"/>
  <c r="U132" i="1"/>
  <c r="U636" i="1" s="1"/>
  <c r="U637" i="1" s="1"/>
  <c r="U739" i="1" s="1"/>
  <c r="U765" i="1" s="1"/>
  <c r="U33" i="1"/>
  <c r="U31" i="1"/>
  <c r="U38" i="1"/>
  <c r="U29" i="1"/>
  <c r="U30" i="1"/>
  <c r="U40" i="1"/>
  <c r="U68" i="1"/>
  <c r="U273" i="1" s="1"/>
  <c r="AW633" i="1"/>
  <c r="AX553" i="1"/>
  <c r="DH571" i="1"/>
  <c r="BP571" i="1"/>
  <c r="BQ540" i="1"/>
  <c r="DI540" i="1" s="1"/>
  <c r="AV339" i="1"/>
  <c r="AV738" i="1"/>
  <c r="AR352" i="1"/>
  <c r="AU840" i="1"/>
  <c r="AU764" i="1"/>
  <c r="AT269" i="1"/>
  <c r="BO706" i="1"/>
  <c r="BO566" i="1"/>
  <c r="BO576" i="1"/>
  <c r="AT295" i="1"/>
  <c r="AT738" i="1"/>
  <c r="AT637" i="1"/>
  <c r="AT739" i="1" s="1"/>
  <c r="AT765" i="1" s="1"/>
  <c r="CU1" i="1"/>
  <c r="AQ2" i="31" s="1"/>
  <c r="CT2" i="1"/>
  <c r="CT3" i="1"/>
  <c r="AP3" i="31" s="1"/>
  <c r="DF554" i="1"/>
  <c r="BL554" i="1"/>
  <c r="BM554" i="1" s="1"/>
  <c r="DF606" i="1"/>
  <c r="BL606" i="1"/>
  <c r="BM606" i="1" s="1"/>
  <c r="AR353" i="1"/>
  <c r="BJ626" i="1"/>
  <c r="BK556" i="1"/>
  <c r="BL556" i="1" s="1"/>
  <c r="BK546" i="1"/>
  <c r="CJ637" i="1"/>
  <c r="CJ739" i="1" s="1"/>
  <c r="CJ765" i="1" s="1"/>
  <c r="CY132" i="1"/>
  <c r="BV198" i="1"/>
  <c r="BV61" i="1" s="1"/>
  <c r="CI373" i="1"/>
  <c r="CI315" i="1" s="1"/>
  <c r="CX399" i="1"/>
  <c r="AY3" i="1"/>
  <c r="T3" i="31" s="1"/>
  <c r="AY2" i="1"/>
  <c r="AZ1" i="1"/>
  <c r="U2" i="31" s="1"/>
  <c r="CW400" i="1"/>
  <c r="CY33" i="1"/>
  <c r="CY32" i="1"/>
  <c r="CY38" i="1"/>
  <c r="CY128" i="1"/>
  <c r="CY29" i="1"/>
  <c r="CY30" i="1"/>
  <c r="CY31" i="1"/>
  <c r="CI369" i="1"/>
  <c r="CI311" i="1" s="1"/>
  <c r="CI78" i="1" s="1"/>
  <c r="U5" i="1"/>
  <c r="U89" i="1" s="1"/>
  <c r="CJ331" i="1"/>
  <c r="CJ273" i="1" s="1"/>
  <c r="CJ68" i="1" s="1"/>
  <c r="BX587" i="1"/>
  <c r="BX836" i="1" s="1"/>
  <c r="CZ536" i="1"/>
  <c r="CZ623" i="1" s="1"/>
  <c r="CI349" i="1"/>
  <c r="BY742" i="1"/>
  <c r="BY768" i="1" s="1"/>
  <c r="BY661" i="1"/>
  <c r="BZ533" i="1"/>
  <c r="BY531" i="1"/>
  <c r="BY541" i="1"/>
  <c r="CJ368" i="1"/>
  <c r="CJ310" i="1" s="1"/>
  <c r="CI372" i="1"/>
  <c r="CI314" i="1" s="1"/>
  <c r="BW784" i="1"/>
  <c r="BW786" i="1"/>
  <c r="BW744" i="1"/>
  <c r="BW630" i="1"/>
  <c r="BW631" i="1" s="1"/>
  <c r="CJ330" i="1"/>
  <c r="CJ272" i="1" s="1"/>
  <c r="CJ67" i="1" s="1"/>
  <c r="BU53" i="1"/>
  <c r="BS218" i="1"/>
  <c r="BS469" i="1"/>
  <c r="BT469" i="1"/>
  <c r="BT218" i="1"/>
  <c r="BS54" i="1"/>
  <c r="BT54" i="1"/>
  <c r="BU468" i="1"/>
  <c r="BU110" i="1" s="1"/>
  <c r="I469" i="1"/>
  <c r="K111" i="1"/>
  <c r="K468" i="1"/>
  <c r="K110" i="1" s="1"/>
  <c r="CC630" i="1"/>
  <c r="CC631" i="1" s="1"/>
  <c r="E631" i="1"/>
  <c r="BS159" i="1"/>
  <c r="BS216" i="1"/>
  <c r="BT216" i="1"/>
  <c r="Q352" i="1"/>
  <c r="Q295" i="1"/>
  <c r="Q353" i="1" s="1"/>
  <c r="S334" i="1"/>
  <c r="S332" i="1" s="1"/>
  <c r="S274" i="1" s="1"/>
  <c r="S69" i="1" s="1"/>
  <c r="S291" i="1"/>
  <c r="S71" i="1"/>
  <c r="S72" i="1"/>
  <c r="S357" i="1"/>
  <c r="S314" i="1"/>
  <c r="S301" i="1"/>
  <c r="S358" i="1"/>
  <c r="S73" i="1"/>
  <c r="S315" i="1"/>
  <c r="S367" i="1"/>
  <c r="S311" i="1"/>
  <c r="S339" i="1"/>
  <c r="S75" i="1"/>
  <c r="S379" i="1"/>
  <c r="S319" i="1" s="1"/>
  <c r="S321" i="1"/>
  <c r="CI71" i="1"/>
  <c r="CI291" i="1"/>
  <c r="CI294" i="1" s="1"/>
  <c r="CH375" i="1"/>
  <c r="CH317" i="1" s="1"/>
  <c r="CH79" i="1" s="1"/>
  <c r="N377" i="1"/>
  <c r="Q374" i="1"/>
  <c r="Q81" i="1"/>
  <c r="Q325" i="1"/>
  <c r="Q269" i="1"/>
  <c r="CJ741" i="1"/>
  <c r="CJ767" i="1" s="1"/>
  <c r="CJ737" i="1"/>
  <c r="CJ763" i="1" s="1"/>
  <c r="CJ131" i="1"/>
  <c r="R311" i="1"/>
  <c r="R367" i="1"/>
  <c r="CJ376" i="1"/>
  <c r="CJ318" i="1" s="1"/>
  <c r="R321" i="1"/>
  <c r="R379" i="1"/>
  <c r="R306" i="1"/>
  <c r="R362" i="1"/>
  <c r="R339" i="1"/>
  <c r="R75" i="1"/>
  <c r="T636" i="1"/>
  <c r="P374" i="1"/>
  <c r="BB499" i="1"/>
  <c r="BA522" i="1"/>
  <c r="DA522" i="1" s="1"/>
  <c r="AZ536" i="1"/>
  <c r="Q317" i="1"/>
  <c r="G622" i="1"/>
  <c r="G529" i="1"/>
  <c r="CD527" i="1"/>
  <c r="P317" i="1"/>
  <c r="P322" i="1"/>
  <c r="P323" i="1" s="1"/>
  <c r="CI364" i="1"/>
  <c r="CI306" i="1" s="1"/>
  <c r="CI76" i="1" s="1"/>
  <c r="CG391" i="1"/>
  <c r="CG319" i="1"/>
  <c r="CG322" i="1" s="1"/>
  <c r="CG323" i="1" s="1"/>
  <c r="S306" i="1"/>
  <c r="S362" i="1"/>
  <c r="S344" i="1"/>
  <c r="S77" i="1"/>
  <c r="P274" i="1"/>
  <c r="P69" i="1" s="1"/>
  <c r="CI332" i="1"/>
  <c r="CI274" i="1" s="1"/>
  <c r="CI69" i="1" s="1"/>
  <c r="BB588" i="1"/>
  <c r="BC539" i="1"/>
  <c r="BD539" i="1" s="1"/>
  <c r="CJ363" i="1"/>
  <c r="CJ305" i="1" s="1"/>
  <c r="CJ351" i="1"/>
  <c r="R358" i="1"/>
  <c r="R73" i="1"/>
  <c r="R315" i="1"/>
  <c r="R334" i="1"/>
  <c r="R291" i="1"/>
  <c r="R71" i="1"/>
  <c r="R357" i="1"/>
  <c r="R72" i="1"/>
  <c r="R301" i="1"/>
  <c r="R314" i="1"/>
  <c r="CJ350" i="1"/>
  <c r="R344" i="1"/>
  <c r="R77" i="1"/>
  <c r="W1" i="1"/>
  <c r="V2" i="1"/>
  <c r="W725" i="1" s="1"/>
  <c r="V3" i="1"/>
  <c r="T5" i="1"/>
  <c r="T333" i="1" s="1"/>
  <c r="CI359" i="1"/>
  <c r="CI301" i="1" s="1"/>
  <c r="CI74" i="1" s="1"/>
  <c r="DA499" i="1"/>
  <c r="E16" i="30" s="1"/>
  <c r="P352" i="1"/>
  <c r="P295" i="1"/>
  <c r="P353" i="1" s="1"/>
  <c r="F583" i="1"/>
  <c r="CH321" i="1"/>
  <c r="CH295" i="1"/>
  <c r="CY762" i="1"/>
  <c r="Q74" i="31" l="1"/>
  <c r="R74" i="31"/>
  <c r="AY40" i="1"/>
  <c r="AY30" i="1"/>
  <c r="CZ30" i="1" s="1"/>
  <c r="AY31" i="1"/>
  <c r="AY132" i="1"/>
  <c r="AY39" i="1"/>
  <c r="AY29" i="1"/>
  <c r="AY38" i="1"/>
  <c r="AY80" i="1"/>
  <c r="AY33" i="1"/>
  <c r="CZ33" i="1" s="1"/>
  <c r="AY32" i="1"/>
  <c r="BB498" i="1"/>
  <c r="W43" i="31" s="1"/>
  <c r="AX633" i="1"/>
  <c r="AX635" i="1" s="1"/>
  <c r="AX738" i="1" s="1"/>
  <c r="AY553" i="1"/>
  <c r="DA498" i="1"/>
  <c r="AW43" i="31" s="1"/>
  <c r="AX275" i="1"/>
  <c r="AY70" i="1"/>
  <c r="AV344" i="1"/>
  <c r="CY372" i="1"/>
  <c r="AV321" i="1"/>
  <c r="AV374" i="1"/>
  <c r="AV291" i="1"/>
  <c r="AV332" i="1"/>
  <c r="AV274" i="1" s="1"/>
  <c r="AV69" i="1" s="1"/>
  <c r="AW71" i="1"/>
  <c r="AW379" i="1"/>
  <c r="R6" i="31" s="1"/>
  <c r="AU352" i="1"/>
  <c r="AU354" i="1" s="1"/>
  <c r="AW75" i="1"/>
  <c r="AW374" i="1"/>
  <c r="AW344" i="1"/>
  <c r="CY373" i="1"/>
  <c r="AW291" i="1"/>
  <c r="AW294" i="1" s="1"/>
  <c r="AV319" i="1"/>
  <c r="AV322" i="1" s="1"/>
  <c r="AZ67" i="1"/>
  <c r="BA67" i="1" s="1"/>
  <c r="BB67" i="1" s="1"/>
  <c r="BC67" i="1" s="1"/>
  <c r="BD67" i="1" s="1"/>
  <c r="BE67" i="1" s="1"/>
  <c r="BF67" i="1" s="1"/>
  <c r="BG67" i="1" s="1"/>
  <c r="BH67" i="1" s="1"/>
  <c r="BI67" i="1" s="1"/>
  <c r="BJ67" i="1" s="1"/>
  <c r="BK67" i="1" s="1"/>
  <c r="BL67" i="1" s="1"/>
  <c r="BM67" i="1" s="1"/>
  <c r="BN67" i="1" s="1"/>
  <c r="BO67" i="1" s="1"/>
  <c r="BP67" i="1" s="1"/>
  <c r="BQ67" i="1" s="1"/>
  <c r="AX272" i="1"/>
  <c r="AX5" i="1"/>
  <c r="S4" i="31" s="1"/>
  <c r="AZ68" i="1"/>
  <c r="BA68" i="1" s="1"/>
  <c r="BB68" i="1" s="1"/>
  <c r="BC68" i="1" s="1"/>
  <c r="BD68" i="1" s="1"/>
  <c r="BE68" i="1" s="1"/>
  <c r="AX273" i="1"/>
  <c r="AW332" i="1"/>
  <c r="AW274" i="1" s="1"/>
  <c r="AW69" i="1" s="1"/>
  <c r="V70" i="1"/>
  <c r="V275" i="1" s="1"/>
  <c r="V67" i="1"/>
  <c r="V272" i="1" s="1"/>
  <c r="V39" i="1"/>
  <c r="V132" i="1"/>
  <c r="V68" i="1"/>
  <c r="V273" i="1" s="1"/>
  <c r="V40" i="1"/>
  <c r="V38" i="1"/>
  <c r="V33" i="1"/>
  <c r="V30" i="1"/>
  <c r="V32" i="1"/>
  <c r="V31" i="1"/>
  <c r="V29" i="1"/>
  <c r="AW635" i="1"/>
  <c r="AW738" i="1" s="1"/>
  <c r="AW636" i="1"/>
  <c r="AX809" i="1"/>
  <c r="AY128" i="1"/>
  <c r="DH566" i="1"/>
  <c r="BP566" i="1"/>
  <c r="DH706" i="1"/>
  <c r="BP706" i="1"/>
  <c r="BQ571" i="1"/>
  <c r="DI571" i="1" s="1"/>
  <c r="DH576" i="1"/>
  <c r="BP576" i="1"/>
  <c r="AV840" i="1"/>
  <c r="AV764" i="1"/>
  <c r="AR354" i="1"/>
  <c r="AT353" i="1"/>
  <c r="AT354" i="1" s="1"/>
  <c r="DG606" i="1"/>
  <c r="BN606" i="1"/>
  <c r="BO606" i="1" s="1"/>
  <c r="DG554" i="1"/>
  <c r="BN554" i="1"/>
  <c r="BO554" i="1" s="1"/>
  <c r="AT840" i="1"/>
  <c r="AT764" i="1"/>
  <c r="CV1" i="1"/>
  <c r="AR2" i="31" s="1"/>
  <c r="DF546" i="1"/>
  <c r="BL546" i="1"/>
  <c r="BM556" i="1"/>
  <c r="BN556" i="1" s="1"/>
  <c r="BL626" i="1"/>
  <c r="DF556" i="1"/>
  <c r="BK626" i="1"/>
  <c r="DF626" i="1" s="1"/>
  <c r="BT53" i="1"/>
  <c r="CY737" i="1"/>
  <c r="CY763" i="1" s="1"/>
  <c r="BU192" i="1"/>
  <c r="BU58" i="1" s="1"/>
  <c r="U309" i="1"/>
  <c r="U367" i="1" s="1"/>
  <c r="CZ236" i="1"/>
  <c r="U331" i="1"/>
  <c r="BD588" i="1"/>
  <c r="BE539" i="1"/>
  <c r="BF539" i="1" s="1"/>
  <c r="CJ367" i="1"/>
  <c r="CJ309" i="1" s="1"/>
  <c r="U783" i="1"/>
  <c r="U299" i="1"/>
  <c r="U310" i="1"/>
  <c r="U368" i="1" s="1"/>
  <c r="U84" i="1"/>
  <c r="U113" i="1"/>
  <c r="U97" i="1"/>
  <c r="S373" i="1"/>
  <c r="CJ357" i="1"/>
  <c r="CJ299" i="1" s="1"/>
  <c r="CJ72" i="1" s="1"/>
  <c r="R373" i="1"/>
  <c r="U109" i="1"/>
  <c r="U86" i="1"/>
  <c r="U85" i="1"/>
  <c r="CJ339" i="1"/>
  <c r="CJ281" i="1" s="1"/>
  <c r="CJ75" i="1" s="1"/>
  <c r="CX400" i="1"/>
  <c r="U333" i="1"/>
  <c r="CK333" i="1" s="1"/>
  <c r="CK275" i="1" s="1"/>
  <c r="CK70" i="1" s="1"/>
  <c r="U791" i="1"/>
  <c r="U304" i="1"/>
  <c r="U362" i="1" s="1"/>
  <c r="U811" i="1"/>
  <c r="U112" i="1"/>
  <c r="U351" i="1"/>
  <c r="U276" i="1"/>
  <c r="U71" i="1" s="1"/>
  <c r="U376" i="1"/>
  <c r="U809" i="1"/>
  <c r="U286" i="1"/>
  <c r="U77" i="1" s="1"/>
  <c r="AZ2" i="1"/>
  <c r="C9" i="2" s="1"/>
  <c r="BA1" i="1"/>
  <c r="V2" i="31" s="1"/>
  <c r="AZ3" i="1"/>
  <c r="AY5" i="1"/>
  <c r="T4" i="31" s="1"/>
  <c r="U330" i="1"/>
  <c r="U110" i="1"/>
  <c r="U281" i="1"/>
  <c r="U75" i="1" s="1"/>
  <c r="U350" i="1"/>
  <c r="U87" i="1"/>
  <c r="U117" i="1"/>
  <c r="U296" i="1"/>
  <c r="U379" i="1" s="1"/>
  <c r="U319" i="1" s="1"/>
  <c r="U788" i="1"/>
  <c r="U782" i="1"/>
  <c r="U808" i="1"/>
  <c r="U111" i="1"/>
  <c r="U810" i="1"/>
  <c r="U88" i="1"/>
  <c r="U305" i="1"/>
  <c r="U363" i="1" s="1"/>
  <c r="U118" i="1"/>
  <c r="U787" i="1"/>
  <c r="U790" i="1"/>
  <c r="U300" i="1"/>
  <c r="U358" i="1" s="1"/>
  <c r="U93" i="1"/>
  <c r="BS53" i="1"/>
  <c r="CI353" i="1"/>
  <c r="CU2" i="1"/>
  <c r="CU3" i="1"/>
  <c r="AQ3" i="31" s="1"/>
  <c r="CJ358" i="1"/>
  <c r="CJ300" i="1" s="1"/>
  <c r="CJ73" i="1" s="1"/>
  <c r="BX606" i="1"/>
  <c r="BX607" i="1" s="1"/>
  <c r="BX837" i="1" s="1"/>
  <c r="BX590" i="1"/>
  <c r="BX834" i="1" s="1"/>
  <c r="BC588" i="1"/>
  <c r="DB588" i="1" s="1"/>
  <c r="DB539" i="1"/>
  <c r="BW639" i="1"/>
  <c r="BW618" i="1"/>
  <c r="BY674" i="1"/>
  <c r="BY550" i="1"/>
  <c r="BY564" i="1" s="1"/>
  <c r="BY568" i="1" s="1"/>
  <c r="BY667" i="1"/>
  <c r="BY702" i="1"/>
  <c r="BY785" i="1" s="1"/>
  <c r="BY841" i="1" s="1"/>
  <c r="BY698" i="1"/>
  <c r="BY789" i="1" s="1"/>
  <c r="CI374" i="1"/>
  <c r="CI316" i="1" s="1"/>
  <c r="BY743" i="1"/>
  <c r="BY769" i="1" s="1"/>
  <c r="BZ527" i="1"/>
  <c r="I111" i="1"/>
  <c r="I468" i="1"/>
  <c r="I110" i="1" s="1"/>
  <c r="BT468" i="1"/>
  <c r="BT110" i="1" s="1"/>
  <c r="G469" i="1"/>
  <c r="BS468" i="1"/>
  <c r="BS110" i="1" s="1"/>
  <c r="E469" i="1"/>
  <c r="R316" i="1"/>
  <c r="R359" i="1"/>
  <c r="R74" i="1"/>
  <c r="R349" i="1"/>
  <c r="R294" i="1"/>
  <c r="S364" i="1"/>
  <c r="S76" i="1"/>
  <c r="P375" i="1"/>
  <c r="P79" i="1"/>
  <c r="G534" i="1"/>
  <c r="CD529" i="1"/>
  <c r="Q79" i="1"/>
  <c r="Q375" i="1"/>
  <c r="Q377" i="1" s="1"/>
  <c r="BC499" i="1"/>
  <c r="BB522" i="1"/>
  <c r="T637" i="1"/>
  <c r="T739" i="1" s="1"/>
  <c r="T765" i="1" s="1"/>
  <c r="CK636" i="1"/>
  <c r="R364" i="1"/>
  <c r="R76" i="1"/>
  <c r="R319" i="1"/>
  <c r="CJ379" i="1"/>
  <c r="N391" i="1"/>
  <c r="CH377" i="1"/>
  <c r="S322" i="1"/>
  <c r="S323" i="1" s="1"/>
  <c r="S316" i="1"/>
  <c r="S317" i="1" s="1"/>
  <c r="S359" i="1"/>
  <c r="S74" i="1"/>
  <c r="E639" i="1"/>
  <c r="E4" i="1" s="1"/>
  <c r="E618" i="1"/>
  <c r="F585" i="1"/>
  <c r="F587" i="1" s="1"/>
  <c r="F628" i="1"/>
  <c r="CI352" i="1"/>
  <c r="P354" i="1"/>
  <c r="CK704" i="1"/>
  <c r="CK266" i="1"/>
  <c r="T790" i="1"/>
  <c r="T808" i="1"/>
  <c r="T113" i="1"/>
  <c r="T809" i="1"/>
  <c r="T281" i="1"/>
  <c r="T84" i="1"/>
  <c r="CK265" i="1"/>
  <c r="CK88" i="1" s="1"/>
  <c r="T787" i="1"/>
  <c r="T782" i="1"/>
  <c r="T93" i="1"/>
  <c r="T351" i="1"/>
  <c r="CK696" i="1"/>
  <c r="T300" i="1"/>
  <c r="T88" i="1"/>
  <c r="T791" i="1"/>
  <c r="T87" i="1"/>
  <c r="T304" i="1"/>
  <c r="T89" i="1"/>
  <c r="T299" i="1"/>
  <c r="T112" i="1"/>
  <c r="T788" i="1"/>
  <c r="CK26" i="1"/>
  <c r="T350" i="1"/>
  <c r="T310" i="1"/>
  <c r="T368" i="1" s="1"/>
  <c r="T118" i="1"/>
  <c r="T309" i="1"/>
  <c r="CK23" i="1"/>
  <c r="CK25" i="1"/>
  <c r="T276" i="1"/>
  <c r="T85" i="1"/>
  <c r="T789" i="1"/>
  <c r="CK24" i="1"/>
  <c r="T286" i="1"/>
  <c r="CK703" i="1"/>
  <c r="CK787" i="1" s="1"/>
  <c r="T86" i="1"/>
  <c r="T109" i="1"/>
  <c r="T811" i="1"/>
  <c r="T117" i="1"/>
  <c r="T97" i="1"/>
  <c r="T296" i="1"/>
  <c r="T305" i="1"/>
  <c r="T363" i="1" s="1"/>
  <c r="T810" i="1"/>
  <c r="CK267" i="1"/>
  <c r="CK87" i="1" s="1"/>
  <c r="CK128" i="1"/>
  <c r="T111" i="1"/>
  <c r="T110" i="1"/>
  <c r="T785" i="1"/>
  <c r="T841" i="1" s="1"/>
  <c r="T783" i="1"/>
  <c r="T376" i="1"/>
  <c r="W2" i="1"/>
  <c r="X725" i="1" s="1"/>
  <c r="W3" i="1"/>
  <c r="X1" i="1"/>
  <c r="T331" i="1"/>
  <c r="CJ344" i="1"/>
  <c r="CJ286" i="1" s="1"/>
  <c r="CJ77" i="1" s="1"/>
  <c r="R372" i="1"/>
  <c r="CJ334" i="1"/>
  <c r="CJ276" i="1" s="1"/>
  <c r="R332" i="1"/>
  <c r="CG81" i="1"/>
  <c r="CG325" i="1"/>
  <c r="CG269" i="1"/>
  <c r="P269" i="1"/>
  <c r="P81" i="1"/>
  <c r="P325" i="1"/>
  <c r="G624" i="1"/>
  <c r="CD622" i="1"/>
  <c r="CD624" i="1" s="1"/>
  <c r="AZ623" i="1"/>
  <c r="BA536" i="1"/>
  <c r="DA536" i="1" s="1"/>
  <c r="DA623" i="1" s="1"/>
  <c r="P380" i="1"/>
  <c r="T330" i="1"/>
  <c r="CK132" i="1"/>
  <c r="CJ362" i="1"/>
  <c r="CJ304" i="1" s="1"/>
  <c r="CJ80" i="1"/>
  <c r="R78" i="1"/>
  <c r="R369" i="1"/>
  <c r="Q380" i="1"/>
  <c r="S78" i="1"/>
  <c r="S369" i="1"/>
  <c r="S372" i="1"/>
  <c r="S349" i="1"/>
  <c r="S294" i="1"/>
  <c r="Q354" i="1"/>
  <c r="BT217" i="1"/>
  <c r="BS217" i="1"/>
  <c r="CC639" i="1"/>
  <c r="CC618" i="1"/>
  <c r="CY553" i="1"/>
  <c r="AZ142" i="1"/>
  <c r="CZ142" i="1"/>
  <c r="AY762" i="1"/>
  <c r="AV323" i="1" l="1"/>
  <c r="Q70" i="31" s="1"/>
  <c r="AZ19" i="1"/>
  <c r="AZ21" i="1" s="1"/>
  <c r="U3" i="31"/>
  <c r="AV349" i="1"/>
  <c r="AX791" i="1"/>
  <c r="BC498" i="1"/>
  <c r="X43" i="31" s="1"/>
  <c r="AY111" i="1"/>
  <c r="AY88" i="1"/>
  <c r="AY375" i="1"/>
  <c r="AY373" i="1"/>
  <c r="AY97" i="1"/>
  <c r="AY296" i="1"/>
  <c r="AY85" i="1"/>
  <c r="AY363" i="1"/>
  <c r="AY89" i="1"/>
  <c r="AY372" i="1"/>
  <c r="AY358" i="1"/>
  <c r="AY109" i="1"/>
  <c r="AY117" i="1"/>
  <c r="AY110" i="1"/>
  <c r="AZ110" i="1" s="1"/>
  <c r="BA110" i="1" s="1"/>
  <c r="AY362" i="1"/>
  <c r="AY112" i="1"/>
  <c r="AY376" i="1"/>
  <c r="AY357" i="1"/>
  <c r="AY118" i="1"/>
  <c r="AY84" i="1"/>
  <c r="AY113" i="1"/>
  <c r="AY86" i="1"/>
  <c r="AY87" i="1"/>
  <c r="AX636" i="1"/>
  <c r="AX637" i="1" s="1"/>
  <c r="AX739" i="1" s="1"/>
  <c r="AX765" i="1" s="1"/>
  <c r="AX89" i="1"/>
  <c r="AW319" i="1"/>
  <c r="AW322" i="1" s="1"/>
  <c r="AW323" i="1" s="1"/>
  <c r="R70" i="31" s="1"/>
  <c r="AV294" i="1"/>
  <c r="AX117" i="1"/>
  <c r="AX810" i="1"/>
  <c r="AX113" i="1"/>
  <c r="AW349" i="1"/>
  <c r="AW352" i="1" s="1"/>
  <c r="AX787" i="1"/>
  <c r="AX112" i="1"/>
  <c r="AX350" i="1"/>
  <c r="AX785" i="1"/>
  <c r="AX841" i="1" s="1"/>
  <c r="AX118" i="1"/>
  <c r="AX97" i="1"/>
  <c r="AX788" i="1"/>
  <c r="S72" i="31" s="1"/>
  <c r="AX86" i="1"/>
  <c r="AX109" i="1"/>
  <c r="AX782" i="1"/>
  <c r="AX789" i="1"/>
  <c r="AX85" i="1"/>
  <c r="AX811" i="1"/>
  <c r="AX351" i="1"/>
  <c r="AX93" i="1"/>
  <c r="AX276" i="1"/>
  <c r="AX71" i="1" s="1"/>
  <c r="AX783" i="1"/>
  <c r="S73" i="31" s="1"/>
  <c r="AX333" i="1"/>
  <c r="AX87" i="1"/>
  <c r="AX110" i="1"/>
  <c r="AX111" i="1"/>
  <c r="AX88" i="1"/>
  <c r="AX331" i="1"/>
  <c r="AX376" i="1"/>
  <c r="AX808" i="1"/>
  <c r="AX84" i="1"/>
  <c r="AX790" i="1"/>
  <c r="AX314" i="1"/>
  <c r="AX372" i="1" s="1"/>
  <c r="AX315" i="1"/>
  <c r="AX373" i="1" s="1"/>
  <c r="AX330" i="1"/>
  <c r="CW1" i="1"/>
  <c r="AS2" i="31" s="1"/>
  <c r="AX296" i="1"/>
  <c r="AX286" i="1"/>
  <c r="AX344" i="1" s="1"/>
  <c r="AW295" i="1"/>
  <c r="AW353" i="1" s="1"/>
  <c r="AX281" i="1"/>
  <c r="AW637" i="1"/>
  <c r="AW739" i="1" s="1"/>
  <c r="AW765" i="1" s="1"/>
  <c r="AW764" i="1"/>
  <c r="AW840" i="1"/>
  <c r="W132" i="1"/>
  <c r="W636" i="1" s="1"/>
  <c r="W637" i="1" s="1"/>
  <c r="W739" i="1" s="1"/>
  <c r="W765" i="1" s="1"/>
  <c r="W33" i="1"/>
  <c r="W68" i="1"/>
  <c r="W273" i="1" s="1"/>
  <c r="W40" i="1"/>
  <c r="W38" i="1"/>
  <c r="W30" i="1"/>
  <c r="W70" i="1"/>
  <c r="W275" i="1" s="1"/>
  <c r="W67" i="1"/>
  <c r="W272" i="1" s="1"/>
  <c r="W39" i="1"/>
  <c r="W32" i="1"/>
  <c r="W31" i="1"/>
  <c r="W29" i="1"/>
  <c r="AX764" i="1"/>
  <c r="AX840" i="1"/>
  <c r="AZ128" i="1"/>
  <c r="AZ29" i="1"/>
  <c r="AZ17" i="1"/>
  <c r="AZ39" i="1"/>
  <c r="AZ32" i="1"/>
  <c r="AZ18" i="1"/>
  <c r="AZ171" i="1" s="1"/>
  <c r="AZ132" i="1"/>
  <c r="AZ40" i="1"/>
  <c r="AZ31" i="1"/>
  <c r="AZ80" i="1"/>
  <c r="AZ33" i="1"/>
  <c r="AZ20" i="1"/>
  <c r="AZ38" i="1"/>
  <c r="AZ30" i="1"/>
  <c r="AZ53" i="1" s="1"/>
  <c r="AZ159" i="1" s="1"/>
  <c r="BQ706" i="1"/>
  <c r="DI706" i="1" s="1"/>
  <c r="DH554" i="1"/>
  <c r="BP554" i="1"/>
  <c r="BQ576" i="1"/>
  <c r="DI576" i="1" s="1"/>
  <c r="DH606" i="1"/>
  <c r="BP606" i="1"/>
  <c r="BQ566" i="1"/>
  <c r="DI566" i="1" s="1"/>
  <c r="AV269" i="1"/>
  <c r="AV325" i="1"/>
  <c r="BF68" i="1"/>
  <c r="BG68" i="1" s="1"/>
  <c r="BH68" i="1" s="1"/>
  <c r="BI68" i="1" s="1"/>
  <c r="BJ68" i="1" s="1"/>
  <c r="BK68" i="1" s="1"/>
  <c r="BL68" i="1" s="1"/>
  <c r="BO556" i="1"/>
  <c r="BP556" i="1" s="1"/>
  <c r="BN626" i="1"/>
  <c r="BM626" i="1"/>
  <c r="DG626" i="1" s="1"/>
  <c r="DG556" i="1"/>
  <c r="BM546" i="1"/>
  <c r="CV3" i="1"/>
  <c r="AR3" i="31" s="1"/>
  <c r="CV2" i="1"/>
  <c r="CK637" i="1"/>
  <c r="CK739" i="1" s="1"/>
  <c r="CK765" i="1" s="1"/>
  <c r="CK351" i="1"/>
  <c r="CZ38" i="1"/>
  <c r="BU198" i="1"/>
  <c r="BU61" i="1" s="1"/>
  <c r="BG539" i="1"/>
  <c r="BH539" i="1" s="1"/>
  <c r="BF588" i="1"/>
  <c r="CK376" i="1"/>
  <c r="CK318" i="1" s="1"/>
  <c r="CK80" i="1" s="1"/>
  <c r="U73" i="1"/>
  <c r="U314" i="1"/>
  <c r="U321" i="1"/>
  <c r="CK368" i="1"/>
  <c r="CK310" i="1" s="1"/>
  <c r="U311" i="1"/>
  <c r="U369" i="1" s="1"/>
  <c r="U315" i="1"/>
  <c r="U373" i="1" s="1"/>
  <c r="U72" i="1"/>
  <c r="U357" i="1"/>
  <c r="CK331" i="1"/>
  <c r="CK273" i="1" s="1"/>
  <c r="CK68" i="1" s="1"/>
  <c r="U339" i="1"/>
  <c r="U334" i="1"/>
  <c r="U332" i="1" s="1"/>
  <c r="U274" i="1" s="1"/>
  <c r="U69" i="1" s="1"/>
  <c r="U306" i="1"/>
  <c r="U364" i="1" s="1"/>
  <c r="U291" i="1"/>
  <c r="U294" i="1" s="1"/>
  <c r="U301" i="1"/>
  <c r="U74" i="1" s="1"/>
  <c r="BE588" i="1"/>
  <c r="DC588" i="1" s="1"/>
  <c r="DC539" i="1"/>
  <c r="BC522" i="1"/>
  <c r="DB522" i="1" s="1"/>
  <c r="BD499" i="1"/>
  <c r="CJ373" i="1"/>
  <c r="CJ315" i="1" s="1"/>
  <c r="CK330" i="1"/>
  <c r="CK272" i="1" s="1"/>
  <c r="CK67" i="1" s="1"/>
  <c r="U344" i="1"/>
  <c r="BX150" i="1"/>
  <c r="CY399" i="1"/>
  <c r="BX595" i="1"/>
  <c r="BX744" i="1" s="1"/>
  <c r="BX548" i="1"/>
  <c r="AY737" i="1"/>
  <c r="AY763" i="1" s="1"/>
  <c r="CZ128" i="1"/>
  <c r="CZ29" i="1"/>
  <c r="CZ132" i="1"/>
  <c r="BB1" i="1"/>
  <c r="W2" i="31" s="1"/>
  <c r="BA2" i="1"/>
  <c r="BA3" i="1"/>
  <c r="CZ32" i="1"/>
  <c r="CZ31" i="1"/>
  <c r="CK363" i="1"/>
  <c r="CK305" i="1" s="1"/>
  <c r="CK350" i="1"/>
  <c r="W5" i="1"/>
  <c r="W97" i="1" s="1"/>
  <c r="CJ364" i="1"/>
  <c r="CJ306" i="1" s="1"/>
  <c r="CJ76" i="1" s="1"/>
  <c r="DB499" i="1"/>
  <c r="F16" i="30" s="1"/>
  <c r="CI354" i="1"/>
  <c r="CI296" i="1" s="1"/>
  <c r="CI295" i="1" s="1"/>
  <c r="Q391" i="1"/>
  <c r="BZ622" i="1"/>
  <c r="BZ624" i="1" s="1"/>
  <c r="BZ529" i="1"/>
  <c r="BZ534" i="1" s="1"/>
  <c r="BZ538" i="1" s="1"/>
  <c r="BY585" i="1"/>
  <c r="BY583" i="1" s="1"/>
  <c r="BY628" i="1" s="1"/>
  <c r="BY629" i="1" s="1"/>
  <c r="CY400" i="1"/>
  <c r="E111" i="1"/>
  <c r="E468" i="1"/>
  <c r="E110" i="1" s="1"/>
  <c r="G111" i="1"/>
  <c r="G468" i="1"/>
  <c r="G110" i="1" s="1"/>
  <c r="S81" i="1"/>
  <c r="S325" i="1"/>
  <c r="S269" i="1"/>
  <c r="S352" i="1"/>
  <c r="S295" i="1"/>
  <c r="S353" i="1" s="1"/>
  <c r="U322" i="1"/>
  <c r="CI380" i="1"/>
  <c r="CJ291" i="1"/>
  <c r="CJ294" i="1" s="1"/>
  <c r="CJ71" i="1"/>
  <c r="X3" i="1"/>
  <c r="X2" i="1"/>
  <c r="Y725" i="1" s="1"/>
  <c r="Y1" i="1"/>
  <c r="CK741" i="1"/>
  <c r="CK767" i="1" s="1"/>
  <c r="CK737" i="1"/>
  <c r="CK763" i="1" s="1"/>
  <c r="CK131" i="1"/>
  <c r="T379" i="1"/>
  <c r="T321" i="1"/>
  <c r="T311" i="1"/>
  <c r="T367" i="1"/>
  <c r="CK367" i="1" s="1"/>
  <c r="CK309" i="1" s="1"/>
  <c r="F629" i="1"/>
  <c r="S79" i="1"/>
  <c r="S375" i="1"/>
  <c r="CH391" i="1"/>
  <c r="CH319" i="1"/>
  <c r="CH322" i="1" s="1"/>
  <c r="CH323" i="1" s="1"/>
  <c r="R322" i="1"/>
  <c r="R323" i="1" s="1"/>
  <c r="R317" i="1"/>
  <c r="BB536" i="1"/>
  <c r="R352" i="1"/>
  <c r="R295" i="1"/>
  <c r="R353" i="1" s="1"/>
  <c r="R374" i="1"/>
  <c r="CJ369" i="1"/>
  <c r="CJ311" i="1" s="1"/>
  <c r="CJ78" i="1" s="1"/>
  <c r="BA623" i="1"/>
  <c r="R274" i="1"/>
  <c r="R69" i="1" s="1"/>
  <c r="CJ332" i="1"/>
  <c r="CJ274" i="1" s="1"/>
  <c r="CJ69" i="1" s="1"/>
  <c r="CJ372" i="1"/>
  <c r="CJ314" i="1" s="1"/>
  <c r="V5" i="1"/>
  <c r="V330" i="1" s="1"/>
  <c r="T77" i="1"/>
  <c r="T344" i="1"/>
  <c r="T71" i="1"/>
  <c r="T334" i="1"/>
  <c r="T291" i="1"/>
  <c r="T301" i="1"/>
  <c r="T357" i="1"/>
  <c r="T314" i="1"/>
  <c r="T72" i="1"/>
  <c r="T362" i="1"/>
  <c r="CK362" i="1" s="1"/>
  <c r="CK304" i="1" s="1"/>
  <c r="T306" i="1"/>
  <c r="T315" i="1"/>
  <c r="T358" i="1"/>
  <c r="CK358" i="1" s="1"/>
  <c r="CK300" i="1" s="1"/>
  <c r="CK73" i="1" s="1"/>
  <c r="T73" i="1"/>
  <c r="T339" i="1"/>
  <c r="T75" i="1"/>
  <c r="F607" i="1"/>
  <c r="F837" i="1" s="1"/>
  <c r="F590" i="1"/>
  <c r="F836" i="1"/>
  <c r="S374" i="1"/>
  <c r="S380" i="1"/>
  <c r="CD534" i="1"/>
  <c r="G538" i="1"/>
  <c r="CI375" i="1"/>
  <c r="CI317" i="1" s="1"/>
  <c r="CI79" i="1" s="1"/>
  <c r="P377" i="1"/>
  <c r="CJ349" i="1"/>
  <c r="CJ359" i="1"/>
  <c r="CJ301" i="1" s="1"/>
  <c r="CJ74" i="1" s="1"/>
  <c r="V636" i="1"/>
  <c r="CZ762" i="1"/>
  <c r="BA142" i="1"/>
  <c r="BB142" i="1" s="1"/>
  <c r="AZ762" i="1"/>
  <c r="AV352" i="1" l="1"/>
  <c r="BB110" i="1"/>
  <c r="BC110" i="1" s="1"/>
  <c r="BD110" i="1" s="1"/>
  <c r="BE110" i="1" s="1"/>
  <c r="BF110" i="1" s="1"/>
  <c r="BG110" i="1" s="1"/>
  <c r="BH110" i="1" s="1"/>
  <c r="BI110" i="1" s="1"/>
  <c r="BJ110" i="1" s="1"/>
  <c r="BK110" i="1" s="1"/>
  <c r="BL110" i="1" s="1"/>
  <c r="BM110" i="1" s="1"/>
  <c r="BN110" i="1" s="1"/>
  <c r="BO110" i="1" s="1"/>
  <c r="BP110" i="1" s="1"/>
  <c r="BQ110" i="1" s="1"/>
  <c r="S74" i="31"/>
  <c r="BA19" i="1"/>
  <c r="V3" i="31"/>
  <c r="AY364" i="1"/>
  <c r="BD498" i="1"/>
  <c r="Y43" i="31" s="1"/>
  <c r="AZ111" i="1"/>
  <c r="BA111" i="1" s="1"/>
  <c r="BB111" i="1" s="1"/>
  <c r="BC111" i="1" s="1"/>
  <c r="BD111" i="1" s="1"/>
  <c r="BE111" i="1" s="1"/>
  <c r="BF111" i="1" s="1"/>
  <c r="BG111" i="1" s="1"/>
  <c r="BH111" i="1" s="1"/>
  <c r="BI111" i="1" s="1"/>
  <c r="BJ111" i="1" s="1"/>
  <c r="BK111" i="1" s="1"/>
  <c r="BL111" i="1" s="1"/>
  <c r="BM111" i="1" s="1"/>
  <c r="BN111" i="1" s="1"/>
  <c r="BO111" i="1" s="1"/>
  <c r="BP111" i="1" s="1"/>
  <c r="BQ111" i="1" s="1"/>
  <c r="DB498" i="1"/>
  <c r="AX43" i="31" s="1"/>
  <c r="AY374" i="1"/>
  <c r="AY367" i="1"/>
  <c r="AY368" i="1"/>
  <c r="AZ109" i="1"/>
  <c r="BA109" i="1" s="1"/>
  <c r="BB109" i="1" s="1"/>
  <c r="BC109" i="1" s="1"/>
  <c r="BD109" i="1" s="1"/>
  <c r="BE109" i="1" s="1"/>
  <c r="BF109" i="1" s="1"/>
  <c r="BG109" i="1" s="1"/>
  <c r="BH109" i="1" s="1"/>
  <c r="BI109" i="1" s="1"/>
  <c r="BJ109" i="1" s="1"/>
  <c r="BK109" i="1" s="1"/>
  <c r="BL109" i="1" s="1"/>
  <c r="BM109" i="1" s="1"/>
  <c r="BN109" i="1" s="1"/>
  <c r="BO109" i="1" s="1"/>
  <c r="BP109" i="1" s="1"/>
  <c r="BQ109" i="1" s="1"/>
  <c r="AY379" i="1"/>
  <c r="AY354" i="1"/>
  <c r="AY377" i="1" s="1"/>
  <c r="AW325" i="1"/>
  <c r="AV295" i="1"/>
  <c r="AV353" i="1" s="1"/>
  <c r="AV354" i="1" s="1"/>
  <c r="AW81" i="1"/>
  <c r="AW269" i="1"/>
  <c r="AX374" i="1"/>
  <c r="AX321" i="1"/>
  <c r="CW3" i="1"/>
  <c r="AS3" i="31" s="1"/>
  <c r="CW2" i="1"/>
  <c r="AX77" i="1"/>
  <c r="AY77" i="1" s="1"/>
  <c r="AX334" i="1"/>
  <c r="AX332" i="1" s="1"/>
  <c r="AX274" i="1" s="1"/>
  <c r="AX69" i="1" s="1"/>
  <c r="AY69" i="1" s="1"/>
  <c r="AX291" i="1"/>
  <c r="AX294" i="1" s="1"/>
  <c r="AX75" i="1"/>
  <c r="AY75" i="1" s="1"/>
  <c r="AX379" i="1"/>
  <c r="AX339" i="1"/>
  <c r="AW354" i="1"/>
  <c r="CX1" i="1"/>
  <c r="AT2" i="31" s="1"/>
  <c r="X33" i="1"/>
  <c r="X68" i="1"/>
  <c r="X273" i="1" s="1"/>
  <c r="X40" i="1"/>
  <c r="X38" i="1"/>
  <c r="X70" i="1"/>
  <c r="X275" i="1" s="1"/>
  <c r="X67" i="1"/>
  <c r="X272" i="1" s="1"/>
  <c r="X39" i="1"/>
  <c r="X132" i="1"/>
  <c r="X32" i="1"/>
  <c r="X31" i="1"/>
  <c r="X29" i="1"/>
  <c r="X30" i="1"/>
  <c r="BA30" i="1"/>
  <c r="BA20" i="1"/>
  <c r="BA17" i="1"/>
  <c r="BA80" i="1"/>
  <c r="BA39" i="1"/>
  <c r="BA29" i="1"/>
  <c r="BA32" i="1"/>
  <c r="BA18" i="1"/>
  <c r="BA132" i="1"/>
  <c r="BA40" i="1"/>
  <c r="BA31" i="1"/>
  <c r="BA38" i="1"/>
  <c r="BA64" i="1" s="1"/>
  <c r="BA33" i="1"/>
  <c r="BA128" i="1"/>
  <c r="BQ606" i="1"/>
  <c r="DI606" i="1" s="1"/>
  <c r="BP626" i="1"/>
  <c r="BQ554" i="1"/>
  <c r="DI554" i="1" s="1"/>
  <c r="BQ556" i="1"/>
  <c r="BM68" i="1"/>
  <c r="BO626" i="1"/>
  <c r="DH556" i="1"/>
  <c r="DG546" i="1"/>
  <c r="BN546" i="1"/>
  <c r="CZ737" i="1"/>
  <c r="CZ763" i="1" s="1"/>
  <c r="W93" i="1"/>
  <c r="BI539" i="1"/>
  <c r="BJ539" i="1" s="1"/>
  <c r="BH588" i="1"/>
  <c r="U372" i="1"/>
  <c r="BT192" i="1"/>
  <c r="DA236" i="1"/>
  <c r="AZ64" i="1"/>
  <c r="BG588" i="1"/>
  <c r="DD588" i="1" s="1"/>
  <c r="DD539" i="1"/>
  <c r="U323" i="1"/>
  <c r="U325" i="1" s="1"/>
  <c r="W85" i="1"/>
  <c r="CK357" i="1"/>
  <c r="CK299" i="1" s="1"/>
  <c r="CK72" i="1" s="1"/>
  <c r="CK344" i="1"/>
  <c r="CK286" i="1" s="1"/>
  <c r="CK77" i="1" s="1"/>
  <c r="U78" i="1"/>
  <c r="U359" i="1"/>
  <c r="W111" i="1"/>
  <c r="W110" i="1"/>
  <c r="W787" i="1"/>
  <c r="CK339" i="1"/>
  <c r="CK281" i="1" s="1"/>
  <c r="CK75" i="1" s="1"/>
  <c r="W281" i="1"/>
  <c r="W339" i="1" s="1"/>
  <c r="W788" i="1"/>
  <c r="W112" i="1"/>
  <c r="W286" i="1"/>
  <c r="W344" i="1" s="1"/>
  <c r="BX784" i="1"/>
  <c r="U316" i="1"/>
  <c r="U317" i="1" s="1"/>
  <c r="U76" i="1"/>
  <c r="W331" i="1"/>
  <c r="U349" i="1"/>
  <c r="U352" i="1" s="1"/>
  <c r="BC536" i="1"/>
  <c r="BC623" i="1" s="1"/>
  <c r="W87" i="1"/>
  <c r="W376" i="1"/>
  <c r="W118" i="1"/>
  <c r="W296" i="1"/>
  <c r="W379" i="1" s="1"/>
  <c r="W319" i="1" s="1"/>
  <c r="W84" i="1"/>
  <c r="W782" i="1"/>
  <c r="W790" i="1"/>
  <c r="W299" i="1"/>
  <c r="W89" i="1"/>
  <c r="BX786" i="1"/>
  <c r="W810" i="1"/>
  <c r="W276" i="1"/>
  <c r="W71" i="1" s="1"/>
  <c r="W113" i="1"/>
  <c r="BX630" i="1"/>
  <c r="BX631" i="1" s="1"/>
  <c r="BX639" i="1" s="1"/>
  <c r="W88" i="1"/>
  <c r="W791" i="1"/>
  <c r="W351" i="1"/>
  <c r="W109" i="1"/>
  <c r="W305" i="1"/>
  <c r="W363" i="1" s="1"/>
  <c r="W783" i="1"/>
  <c r="W310" i="1"/>
  <c r="W368" i="1" s="1"/>
  <c r="W300" i="1"/>
  <c r="W73" i="1" s="1"/>
  <c r="W350" i="1"/>
  <c r="W86" i="1"/>
  <c r="W304" i="1"/>
  <c r="W362" i="1" s="1"/>
  <c r="W808" i="1"/>
  <c r="W117" i="1"/>
  <c r="W811" i="1"/>
  <c r="W309" i="1"/>
  <c r="W809" i="1"/>
  <c r="BE499" i="1"/>
  <c r="BD522" i="1"/>
  <c r="S377" i="1"/>
  <c r="W330" i="1"/>
  <c r="CL330" i="1" s="1"/>
  <c r="CL272" i="1" s="1"/>
  <c r="CL67" i="1" s="1"/>
  <c r="W333" i="1"/>
  <c r="CI321" i="1"/>
  <c r="CJ353" i="1"/>
  <c r="AZ54" i="1"/>
  <c r="AZ56" i="1"/>
  <c r="AZ164" i="1" s="1"/>
  <c r="AZ5" i="1"/>
  <c r="BA5" i="1"/>
  <c r="BB2" i="1"/>
  <c r="BC1" i="1"/>
  <c r="X2" i="31" s="1"/>
  <c r="BB3" i="1"/>
  <c r="AZ57" i="1"/>
  <c r="AZ52" i="1"/>
  <c r="AZ157" i="1" s="1"/>
  <c r="AZ737" i="1"/>
  <c r="AZ763" i="1" s="1"/>
  <c r="BB623" i="1"/>
  <c r="S354" i="1"/>
  <c r="V333" i="1"/>
  <c r="CA533" i="1"/>
  <c r="BZ661" i="1"/>
  <c r="BZ743" i="1" s="1"/>
  <c r="BZ769" i="1" s="1"/>
  <c r="BZ742" i="1"/>
  <c r="BZ768" i="1" s="1"/>
  <c r="BZ541" i="1"/>
  <c r="BZ531" i="1"/>
  <c r="CL132" i="1"/>
  <c r="BY587" i="1"/>
  <c r="CJ374" i="1"/>
  <c r="CJ316" i="1" s="1"/>
  <c r="V637" i="1"/>
  <c r="V739" i="1" s="1"/>
  <c r="V765" i="1" s="1"/>
  <c r="CL636" i="1"/>
  <c r="T364" i="1"/>
  <c r="CK364" i="1" s="1"/>
  <c r="CK306" i="1" s="1"/>
  <c r="CK76" i="1" s="1"/>
  <c r="T76" i="1"/>
  <c r="T349" i="1"/>
  <c r="T294" i="1"/>
  <c r="CJ352" i="1"/>
  <c r="R354" i="1"/>
  <c r="U295" i="1"/>
  <c r="U353" i="1" s="1"/>
  <c r="R375" i="1"/>
  <c r="CJ375" i="1" s="1"/>
  <c r="CJ317" i="1" s="1"/>
  <c r="CJ79" i="1" s="1"/>
  <c r="R79" i="1"/>
  <c r="CH81" i="1"/>
  <c r="CH325" i="1"/>
  <c r="CH269" i="1"/>
  <c r="T369" i="1"/>
  <c r="CK369" i="1" s="1"/>
  <c r="CK311" i="1" s="1"/>
  <c r="CK78" i="1" s="1"/>
  <c r="T78" i="1"/>
  <c r="CK379" i="1"/>
  <c r="T319" i="1"/>
  <c r="CZ553" i="1"/>
  <c r="AZ553" i="1"/>
  <c r="BC142" i="1"/>
  <c r="BB762" i="1"/>
  <c r="CI377" i="1"/>
  <c r="P391" i="1"/>
  <c r="H533" i="1"/>
  <c r="G743" i="1"/>
  <c r="G769" i="1" s="1"/>
  <c r="G742" i="1"/>
  <c r="G768" i="1" s="1"/>
  <c r="G541" i="1"/>
  <c r="G531" i="1"/>
  <c r="F595" i="1"/>
  <c r="F150" i="1"/>
  <c r="F834" i="1"/>
  <c r="F548" i="1"/>
  <c r="T373" i="1"/>
  <c r="CK373" i="1" s="1"/>
  <c r="CK315" i="1" s="1"/>
  <c r="T372" i="1"/>
  <c r="T359" i="1"/>
  <c r="T74" i="1"/>
  <c r="T316" i="1"/>
  <c r="CK334" i="1"/>
  <c r="CK276" i="1" s="1"/>
  <c r="T332" i="1"/>
  <c r="CL128" i="1"/>
  <c r="V351" i="1"/>
  <c r="V88" i="1"/>
  <c r="V84" i="1"/>
  <c r="V117" i="1"/>
  <c r="CL26" i="1"/>
  <c r="V791" i="1"/>
  <c r="V808" i="1"/>
  <c r="V93" i="1"/>
  <c r="CL696" i="1"/>
  <c r="V111" i="1"/>
  <c r="V87" i="1"/>
  <c r="V782" i="1"/>
  <c r="V97" i="1"/>
  <c r="V350" i="1"/>
  <c r="V109" i="1"/>
  <c r="V809" i="1"/>
  <c r="CL265" i="1"/>
  <c r="CL88" i="1" s="1"/>
  <c r="CL267" i="1"/>
  <c r="CL87" i="1" s="1"/>
  <c r="V276" i="1"/>
  <c r="V300" i="1"/>
  <c r="CL24" i="1"/>
  <c r="V296" i="1"/>
  <c r="V310" i="1"/>
  <c r="V368" i="1" s="1"/>
  <c r="V811" i="1"/>
  <c r="V787" i="1"/>
  <c r="CL704" i="1"/>
  <c r="CL25" i="1"/>
  <c r="V286" i="1"/>
  <c r="V790" i="1"/>
  <c r="V305" i="1"/>
  <c r="V363" i="1" s="1"/>
  <c r="V113" i="1"/>
  <c r="V112" i="1"/>
  <c r="V89" i="1"/>
  <c r="V118" i="1"/>
  <c r="V85" i="1"/>
  <c r="V304" i="1"/>
  <c r="V110" i="1"/>
  <c r="V783" i="1"/>
  <c r="CL23" i="1"/>
  <c r="CL266" i="1"/>
  <c r="V86" i="1"/>
  <c r="V810" i="1"/>
  <c r="V281" i="1"/>
  <c r="V299" i="1"/>
  <c r="CL703" i="1"/>
  <c r="CL787" i="1" s="1"/>
  <c r="V309" i="1"/>
  <c r="V788" i="1"/>
  <c r="V376" i="1"/>
  <c r="V331" i="1"/>
  <c r="R380" i="1"/>
  <c r="CJ380" i="1" s="1"/>
  <c r="R81" i="1"/>
  <c r="R269" i="1"/>
  <c r="R325" i="1"/>
  <c r="Y3" i="1"/>
  <c r="Y2" i="1"/>
  <c r="Z725" i="1" s="1"/>
  <c r="DA142" i="1"/>
  <c r="BA762" i="1"/>
  <c r="BA93" i="1" l="1"/>
  <c r="AZ93" i="1"/>
  <c r="BE498" i="1"/>
  <c r="Z43" i="31" s="1"/>
  <c r="U4" i="31"/>
  <c r="AX319" i="1"/>
  <c r="AX322" i="1" s="1"/>
  <c r="AX323" i="1" s="1"/>
  <c r="S70" i="31" s="1"/>
  <c r="S6" i="31"/>
  <c r="BB19" i="1"/>
  <c r="W3" i="31"/>
  <c r="V4" i="31"/>
  <c r="AY380" i="1"/>
  <c r="T7" i="31" s="1"/>
  <c r="T6" i="31"/>
  <c r="DC498" i="1"/>
  <c r="AY43" i="31" s="1"/>
  <c r="BF498" i="1"/>
  <c r="AA43" i="31" s="1"/>
  <c r="AX349" i="1"/>
  <c r="AX352" i="1" s="1"/>
  <c r="CX3" i="1"/>
  <c r="AT3" i="31" s="1"/>
  <c r="CX2" i="1"/>
  <c r="CY1" i="1"/>
  <c r="BD1" i="1"/>
  <c r="Y2" i="31" s="1"/>
  <c r="Y68" i="1"/>
  <c r="Y273" i="1" s="1"/>
  <c r="Y40" i="1"/>
  <c r="Y38" i="1"/>
  <c r="Y70" i="1"/>
  <c r="Y275" i="1" s="1"/>
  <c r="Y67" i="1"/>
  <c r="Y272" i="1" s="1"/>
  <c r="Y39" i="1"/>
  <c r="Y132" i="1"/>
  <c r="Y636" i="1" s="1"/>
  <c r="Y637" i="1" s="1"/>
  <c r="Y739" i="1" s="1"/>
  <c r="Y765" i="1" s="1"/>
  <c r="Y32" i="1"/>
  <c r="Y31" i="1"/>
  <c r="Y29" i="1"/>
  <c r="Y33" i="1"/>
  <c r="Y30" i="1"/>
  <c r="AX295" i="1"/>
  <c r="AX353" i="1" s="1"/>
  <c r="BB80" i="1"/>
  <c r="BB31" i="1"/>
  <c r="BB132" i="1"/>
  <c r="BB38" i="1"/>
  <c r="BB64" i="1" s="1"/>
  <c r="BB32" i="1"/>
  <c r="BB18" i="1"/>
  <c r="BB40" i="1"/>
  <c r="BB33" i="1"/>
  <c r="BB128" i="1"/>
  <c r="BB30" i="1"/>
  <c r="BB20" i="1"/>
  <c r="BB29" i="1"/>
  <c r="BB17" i="1"/>
  <c r="BB39" i="1"/>
  <c r="DH626" i="1"/>
  <c r="BQ626" i="1"/>
  <c r="DI626" i="1" s="1"/>
  <c r="DI556" i="1"/>
  <c r="BN68" i="1"/>
  <c r="BO546" i="1"/>
  <c r="W75" i="1"/>
  <c r="W311" i="1"/>
  <c r="W78" i="1" s="1"/>
  <c r="BJ588" i="1"/>
  <c r="BK539" i="1"/>
  <c r="BL539" i="1" s="1"/>
  <c r="CL637" i="1"/>
  <c r="CL739" i="1" s="1"/>
  <c r="CL765" i="1" s="1"/>
  <c r="CK372" i="1"/>
  <c r="CK314" i="1" s="1"/>
  <c r="DE539" i="1"/>
  <c r="BI588" i="1"/>
  <c r="DE588" i="1" s="1"/>
  <c r="DA38" i="1"/>
  <c r="BT198" i="1"/>
  <c r="BT58" i="1"/>
  <c r="U269" i="1"/>
  <c r="U81" i="1"/>
  <c r="BE522" i="1"/>
  <c r="BE536" i="1" s="1"/>
  <c r="BE623" i="1" s="1"/>
  <c r="BF499" i="1"/>
  <c r="CL368" i="1"/>
  <c r="CL310" i="1" s="1"/>
  <c r="CL376" i="1"/>
  <c r="CL318" i="1" s="1"/>
  <c r="CL80" i="1" s="1"/>
  <c r="W358" i="1"/>
  <c r="W77" i="1"/>
  <c r="CK359" i="1"/>
  <c r="CK301" i="1" s="1"/>
  <c r="CK74" i="1" s="1"/>
  <c r="W301" i="1"/>
  <c r="W74" i="1" s="1"/>
  <c r="W367" i="1"/>
  <c r="U374" i="1"/>
  <c r="S391" i="1"/>
  <c r="W72" i="1"/>
  <c r="W314" i="1"/>
  <c r="W321" i="1"/>
  <c r="CK349" i="1"/>
  <c r="W291" i="1"/>
  <c r="CL351" i="1"/>
  <c r="W357" i="1"/>
  <c r="W334" i="1"/>
  <c r="W332" i="1" s="1"/>
  <c r="W274" i="1" s="1"/>
  <c r="W69" i="1" s="1"/>
  <c r="DB536" i="1"/>
  <c r="DB623" i="1" s="1"/>
  <c r="CL331" i="1"/>
  <c r="CL273" i="1" s="1"/>
  <c r="CL68" i="1" s="1"/>
  <c r="Y5" i="1"/>
  <c r="Y286" i="1" s="1"/>
  <c r="BX618" i="1"/>
  <c r="W306" i="1"/>
  <c r="W76" i="1" s="1"/>
  <c r="W315" i="1"/>
  <c r="CL363" i="1"/>
  <c r="CL305" i="1" s="1"/>
  <c r="CL350" i="1"/>
  <c r="DC499" i="1"/>
  <c r="G16" i="30" s="1"/>
  <c r="BA52" i="1"/>
  <c r="BA56" i="1"/>
  <c r="BA57" i="1"/>
  <c r="BA53" i="1"/>
  <c r="BA159" i="1" s="1"/>
  <c r="BA54" i="1"/>
  <c r="BD536" i="1"/>
  <c r="DB142" i="1"/>
  <c r="DB762" i="1" s="1"/>
  <c r="BD142" i="1"/>
  <c r="CL333" i="1"/>
  <c r="CL275" i="1" s="1"/>
  <c r="CL70" i="1" s="1"/>
  <c r="DA33" i="1"/>
  <c r="DA132" i="1"/>
  <c r="DA32" i="1"/>
  <c r="DA30" i="1"/>
  <c r="DA31" i="1"/>
  <c r="CZ399" i="1"/>
  <c r="DA29" i="1"/>
  <c r="DA128" i="1"/>
  <c r="BA737" i="1"/>
  <c r="BA763" i="1" s="1"/>
  <c r="BC2" i="1"/>
  <c r="BC3" i="1"/>
  <c r="CJ354" i="1"/>
  <c r="CJ296" i="1" s="1"/>
  <c r="CJ295" i="1" s="1"/>
  <c r="R377" i="1"/>
  <c r="CJ377" i="1" s="1"/>
  <c r="U354" i="1"/>
  <c r="BY590" i="1"/>
  <c r="BY836" i="1"/>
  <c r="BY606" i="1"/>
  <c r="BY607" i="1" s="1"/>
  <c r="BY837" i="1" s="1"/>
  <c r="BZ674" i="1"/>
  <c r="BZ550" i="1"/>
  <c r="BZ564" i="1" s="1"/>
  <c r="BZ568" i="1" s="1"/>
  <c r="CA527" i="1"/>
  <c r="BZ667" i="1"/>
  <c r="BZ702" i="1"/>
  <c r="BZ785" i="1" s="1"/>
  <c r="BZ841" i="1" s="1"/>
  <c r="BZ698" i="1"/>
  <c r="BZ789" i="1" s="1"/>
  <c r="V311" i="1"/>
  <c r="V367" i="1"/>
  <c r="V357" i="1"/>
  <c r="V314" i="1"/>
  <c r="V72" i="1"/>
  <c r="V301" i="1"/>
  <c r="V306" i="1"/>
  <c r="V362" i="1"/>
  <c r="CL362" i="1" s="1"/>
  <c r="CL304" i="1" s="1"/>
  <c r="V344" i="1"/>
  <c r="CL344" i="1" s="1"/>
  <c r="CL286" i="1" s="1"/>
  <c r="CL77" i="1" s="1"/>
  <c r="V77" i="1"/>
  <c r="V321" i="1"/>
  <c r="V379" i="1"/>
  <c r="V315" i="1"/>
  <c r="V358" i="1"/>
  <c r="V73" i="1"/>
  <c r="CL737" i="1"/>
  <c r="CL763" i="1" s="1"/>
  <c r="CL131" i="1"/>
  <c r="CK291" i="1"/>
  <c r="CK294" i="1" s="1"/>
  <c r="CK71" i="1"/>
  <c r="G674" i="1"/>
  <c r="CD674" i="1" s="1"/>
  <c r="G550" i="1"/>
  <c r="G564" i="1" s="1"/>
  <c r="G568" i="1" s="1"/>
  <c r="BC762" i="1"/>
  <c r="U79" i="1"/>
  <c r="U375" i="1"/>
  <c r="X636" i="1"/>
  <c r="AA5" i="1"/>
  <c r="Z5" i="1"/>
  <c r="L14" i="2"/>
  <c r="X5" i="1"/>
  <c r="V339" i="1"/>
  <c r="CL339" i="1" s="1"/>
  <c r="CL281" i="1" s="1"/>
  <c r="CL75" i="1" s="1"/>
  <c r="V75" i="1"/>
  <c r="V71" i="1"/>
  <c r="V291" i="1"/>
  <c r="V334" i="1"/>
  <c r="T274" i="1"/>
  <c r="T69" i="1" s="1"/>
  <c r="CK332" i="1"/>
  <c r="CK274" i="1" s="1"/>
  <c r="CK69" i="1" s="1"/>
  <c r="T374" i="1"/>
  <c r="F786" i="1"/>
  <c r="F784" i="1"/>
  <c r="F744" i="1"/>
  <c r="F630" i="1"/>
  <c r="H527" i="1"/>
  <c r="CI319" i="1"/>
  <c r="CI322" i="1" s="1"/>
  <c r="CI323" i="1" s="1"/>
  <c r="CI391" i="1"/>
  <c r="BA553" i="1"/>
  <c r="T322" i="1"/>
  <c r="T323" i="1" s="1"/>
  <c r="T317" i="1"/>
  <c r="U380" i="1"/>
  <c r="T352" i="1"/>
  <c r="T295" i="1"/>
  <c r="T353" i="1" s="1"/>
  <c r="CK353" i="1" s="1"/>
  <c r="W322" i="1"/>
  <c r="DA762" i="1"/>
  <c r="CZ1" i="1" l="1"/>
  <c r="AV2" i="31" s="1"/>
  <c r="AU2" i="31"/>
  <c r="BC19" i="1"/>
  <c r="X3" i="31"/>
  <c r="BG498" i="1"/>
  <c r="AB43" i="31" s="1"/>
  <c r="AX325" i="1"/>
  <c r="AX81" i="1"/>
  <c r="AX269" i="1"/>
  <c r="BD3" i="1"/>
  <c r="Y3" i="31" s="1"/>
  <c r="BD2" i="1"/>
  <c r="BE1" i="1"/>
  <c r="CY3" i="1"/>
  <c r="AU3" i="31" s="1"/>
  <c r="CY2" i="1"/>
  <c r="AX354" i="1"/>
  <c r="BC132" i="1"/>
  <c r="BC38" i="1"/>
  <c r="BC64" i="1" s="1"/>
  <c r="BC32" i="1"/>
  <c r="BC39" i="1"/>
  <c r="BC33" i="1"/>
  <c r="BC40" i="1"/>
  <c r="BC31" i="1"/>
  <c r="BC128" i="1"/>
  <c r="BC30" i="1"/>
  <c r="BC20" i="1"/>
  <c r="BC29" i="1"/>
  <c r="BC17" i="1"/>
  <c r="BC18" i="1"/>
  <c r="BC80" i="1"/>
  <c r="DH546" i="1"/>
  <c r="BP546" i="1"/>
  <c r="BO68" i="1"/>
  <c r="W369" i="1"/>
  <c r="DA737" i="1"/>
  <c r="DA763" i="1" s="1"/>
  <c r="BL588" i="1"/>
  <c r="BM539" i="1"/>
  <c r="BN539" i="1" s="1"/>
  <c r="CL357" i="1"/>
  <c r="CL299" i="1" s="1"/>
  <c r="CL72" i="1" s="1"/>
  <c r="CK374" i="1"/>
  <c r="CK316" i="1" s="1"/>
  <c r="Y89" i="1"/>
  <c r="DF539" i="1"/>
  <c r="BK588" i="1"/>
  <c r="DF588" i="1" s="1"/>
  <c r="Y809" i="1"/>
  <c r="U377" i="1"/>
  <c r="U391" i="1" s="1"/>
  <c r="DC522" i="1"/>
  <c r="DD498" i="1"/>
  <c r="AZ43" i="31" s="1"/>
  <c r="W359" i="1"/>
  <c r="BT61" i="1"/>
  <c r="BS192" i="1"/>
  <c r="DB236" i="1"/>
  <c r="W372" i="1"/>
  <c r="BF522" i="1"/>
  <c r="BG499" i="1"/>
  <c r="W323" i="1"/>
  <c r="W269" i="1" s="1"/>
  <c r="CL358" i="1"/>
  <c r="CL300" i="1" s="1"/>
  <c r="CL73" i="1" s="1"/>
  <c r="CL367" i="1"/>
  <c r="CL309" i="1" s="1"/>
  <c r="W373" i="1"/>
  <c r="W364" i="1"/>
  <c r="Y789" i="1"/>
  <c r="Y85" i="1"/>
  <c r="Y376" i="1"/>
  <c r="Y109" i="1"/>
  <c r="Y351" i="1"/>
  <c r="Y110" i="1"/>
  <c r="Y276" i="1"/>
  <c r="Y71" i="1" s="1"/>
  <c r="Y304" i="1"/>
  <c r="Y362" i="1" s="1"/>
  <c r="Y97" i="1"/>
  <c r="Y93" i="1"/>
  <c r="Y281" i="1"/>
  <c r="Y339" i="1" s="1"/>
  <c r="Y111" i="1"/>
  <c r="Y350" i="1"/>
  <c r="Y310" i="1"/>
  <c r="Y368" i="1" s="1"/>
  <c r="Y788" i="1"/>
  <c r="Y787" i="1"/>
  <c r="Y88" i="1"/>
  <c r="Y112" i="1"/>
  <c r="Y811" i="1"/>
  <c r="Y84" i="1"/>
  <c r="Y300" i="1"/>
  <c r="Y358" i="1" s="1"/>
  <c r="Y783" i="1"/>
  <c r="Y782" i="1"/>
  <c r="Y309" i="1"/>
  <c r="Y367" i="1" s="1"/>
  <c r="Y790" i="1"/>
  <c r="Y299" i="1"/>
  <c r="Y808" i="1"/>
  <c r="Y296" i="1"/>
  <c r="Y321" i="1" s="1"/>
  <c r="Y810" i="1"/>
  <c r="Y118" i="1"/>
  <c r="Y86" i="1"/>
  <c r="Y305" i="1"/>
  <c r="Y363" i="1" s="1"/>
  <c r="Y785" i="1"/>
  <c r="Y841" i="1" s="1"/>
  <c r="Y113" i="1"/>
  <c r="Y791" i="1"/>
  <c r="Y87" i="1"/>
  <c r="Y117" i="1"/>
  <c r="Y330" i="1"/>
  <c r="Y333" i="1"/>
  <c r="W349" i="1"/>
  <c r="R391" i="1"/>
  <c r="W294" i="1"/>
  <c r="W316" i="1"/>
  <c r="W317" i="1" s="1"/>
  <c r="W79" i="1" s="1"/>
  <c r="CJ321" i="1"/>
  <c r="Y331" i="1"/>
  <c r="BB53" i="1"/>
  <c r="BB159" i="1" s="1"/>
  <c r="BB56" i="1"/>
  <c r="BB54" i="1"/>
  <c r="BB57" i="1"/>
  <c r="BB52" i="1"/>
  <c r="BD623" i="1"/>
  <c r="DC536" i="1"/>
  <c r="BE142" i="1"/>
  <c r="BF142" i="1" s="1"/>
  <c r="BD762" i="1"/>
  <c r="CZ400" i="1"/>
  <c r="BB5" i="1"/>
  <c r="BC5" i="1"/>
  <c r="BB737" i="1"/>
  <c r="BB763" i="1" s="1"/>
  <c r="CA622" i="1"/>
  <c r="CA624" i="1" s="1"/>
  <c r="CA529" i="1"/>
  <c r="CA534" i="1" s="1"/>
  <c r="CA538" i="1" s="1"/>
  <c r="BZ585" i="1"/>
  <c r="BZ583" i="1" s="1"/>
  <c r="BZ628" i="1" s="1"/>
  <c r="BZ629" i="1" s="1"/>
  <c r="BY834" i="1"/>
  <c r="BY548" i="1"/>
  <c r="BY595" i="1"/>
  <c r="BY150" i="1"/>
  <c r="CK352" i="1"/>
  <c r="T354" i="1"/>
  <c r="CK354" i="1" s="1"/>
  <c r="CK296" i="1" s="1"/>
  <c r="T81" i="1"/>
  <c r="T325" i="1"/>
  <c r="T269" i="1"/>
  <c r="BB553" i="1"/>
  <c r="DA553" i="1"/>
  <c r="CL334" i="1"/>
  <c r="CL276" i="1" s="1"/>
  <c r="V332" i="1"/>
  <c r="CM23" i="1"/>
  <c r="X296" i="1"/>
  <c r="X113" i="1"/>
  <c r="X84" i="1"/>
  <c r="X791" i="1"/>
  <c r="X350" i="1"/>
  <c r="X300" i="1"/>
  <c r="X286" i="1"/>
  <c r="X304" i="1"/>
  <c r="CM267" i="1"/>
  <c r="CM87" i="1" s="1"/>
  <c r="CM25" i="1"/>
  <c r="X281" i="1"/>
  <c r="X276" i="1"/>
  <c r="X299" i="1"/>
  <c r="X811" i="1"/>
  <c r="X112" i="1"/>
  <c r="CM266" i="1"/>
  <c r="X109" i="1"/>
  <c r="X110" i="1"/>
  <c r="X351" i="1"/>
  <c r="X376" i="1"/>
  <c r="X808" i="1"/>
  <c r="X787" i="1"/>
  <c r="X782" i="1"/>
  <c r="X810" i="1"/>
  <c r="X785" i="1"/>
  <c r="X841" i="1" s="1"/>
  <c r="X789" i="1"/>
  <c r="CM704" i="1"/>
  <c r="X97" i="1"/>
  <c r="X118" i="1"/>
  <c r="X85" i="1"/>
  <c r="X117" i="1"/>
  <c r="X93" i="1"/>
  <c r="X310" i="1"/>
  <c r="X368" i="1" s="1"/>
  <c r="X88" i="1"/>
  <c r="X111" i="1"/>
  <c r="X89" i="1"/>
  <c r="CM128" i="1"/>
  <c r="X86" i="1"/>
  <c r="X309" i="1"/>
  <c r="X809" i="1"/>
  <c r="CM24" i="1"/>
  <c r="X790" i="1"/>
  <c r="X305" i="1"/>
  <c r="X363" i="1" s="1"/>
  <c r="CM26" i="1"/>
  <c r="CM703" i="1"/>
  <c r="CM787" i="1" s="1"/>
  <c r="CM265" i="1"/>
  <c r="CM88" i="1" s="1"/>
  <c r="X87" i="1"/>
  <c r="X788" i="1"/>
  <c r="CM696" i="1"/>
  <c r="X783" i="1"/>
  <c r="AA276" i="1"/>
  <c r="AA299" i="1"/>
  <c r="AA304" i="1"/>
  <c r="AA93" i="1"/>
  <c r="AA310" i="1"/>
  <c r="AA368" i="1" s="1"/>
  <c r="AA351" i="1"/>
  <c r="AA296" i="1"/>
  <c r="AA286" i="1"/>
  <c r="AA281" i="1"/>
  <c r="AA300" i="1"/>
  <c r="AA305" i="1"/>
  <c r="AA363" i="1" s="1"/>
  <c r="AA309" i="1"/>
  <c r="AA97" i="1"/>
  <c r="AA350" i="1"/>
  <c r="AA109" i="1"/>
  <c r="AA110" i="1"/>
  <c r="AA112" i="1"/>
  <c r="AA117" i="1"/>
  <c r="AA113" i="1"/>
  <c r="AA84" i="1"/>
  <c r="AA809" i="1"/>
  <c r="AA808" i="1"/>
  <c r="AA790" i="1"/>
  <c r="AA85" i="1"/>
  <c r="AA791" i="1"/>
  <c r="AA783" i="1"/>
  <c r="AA788" i="1"/>
  <c r="AA787" i="1"/>
  <c r="AA111" i="1"/>
  <c r="AA811" i="1"/>
  <c r="AA86" i="1"/>
  <c r="AA118" i="1"/>
  <c r="AA810" i="1"/>
  <c r="AA88" i="1"/>
  <c r="AA789" i="1"/>
  <c r="AA782" i="1"/>
  <c r="AA785" i="1"/>
  <c r="AA841" i="1" s="1"/>
  <c r="AA376" i="1"/>
  <c r="AA330" i="1"/>
  <c r="AA89" i="1"/>
  <c r="AA87" i="1"/>
  <c r="AA331" i="1"/>
  <c r="AA333" i="1"/>
  <c r="Y77" i="1"/>
  <c r="Y344" i="1"/>
  <c r="X333" i="1"/>
  <c r="X637" i="1"/>
  <c r="X739" i="1" s="1"/>
  <c r="X765" i="1" s="1"/>
  <c r="CM636" i="1"/>
  <c r="G583" i="1"/>
  <c r="V316" i="1"/>
  <c r="V359" i="1"/>
  <c r="V74" i="1"/>
  <c r="V372" i="1"/>
  <c r="CJ319" i="1"/>
  <c r="CJ322" i="1" s="1"/>
  <c r="CJ391" i="1"/>
  <c r="T79" i="1"/>
  <c r="T375" i="1"/>
  <c r="CI81" i="1"/>
  <c r="CI325" i="1"/>
  <c r="CI269" i="1"/>
  <c r="H622" i="1"/>
  <c r="H529" i="1"/>
  <c r="F631" i="1"/>
  <c r="T380" i="1"/>
  <c r="CK380" i="1" s="1"/>
  <c r="V349" i="1"/>
  <c r="V294" i="1"/>
  <c r="K14" i="2"/>
  <c r="L30" i="2"/>
  <c r="L22" i="2"/>
  <c r="L54" i="2"/>
  <c r="L47" i="2"/>
  <c r="L48" i="2"/>
  <c r="L20" i="2"/>
  <c r="L21" i="2" s="1"/>
  <c r="L38" i="2"/>
  <c r="L79" i="2"/>
  <c r="L59" i="2"/>
  <c r="L39" i="2"/>
  <c r="Z281" i="1"/>
  <c r="Z304" i="1"/>
  <c r="Z305" i="1"/>
  <c r="Z363" i="1" s="1"/>
  <c r="Z300" i="1"/>
  <c r="Z93" i="1"/>
  <c r="Z351" i="1"/>
  <c r="CN24" i="1"/>
  <c r="CN23" i="1"/>
  <c r="CN128" i="1"/>
  <c r="Z296" i="1"/>
  <c r="Z286" i="1"/>
  <c r="Z276" i="1"/>
  <c r="Z299" i="1"/>
  <c r="Z310" i="1"/>
  <c r="Z368" i="1" s="1"/>
  <c r="Z309" i="1"/>
  <c r="Z350" i="1"/>
  <c r="Z97" i="1"/>
  <c r="CN26" i="1"/>
  <c r="CN25" i="1"/>
  <c r="Z790" i="1"/>
  <c r="Z331" i="1"/>
  <c r="Z112" i="1"/>
  <c r="Z84" i="1"/>
  <c r="Z113" i="1"/>
  <c r="Z809" i="1"/>
  <c r="CN703" i="1"/>
  <c r="CN787" i="1" s="1"/>
  <c r="CN696" i="1"/>
  <c r="Z85" i="1"/>
  <c r="Z811" i="1"/>
  <c r="Z88" i="1"/>
  <c r="Z789" i="1"/>
  <c r="Z788" i="1"/>
  <c r="Z783" i="1"/>
  <c r="Z787" i="1"/>
  <c r="CN265" i="1"/>
  <c r="CN88" i="1" s="1"/>
  <c r="CN704" i="1"/>
  <c r="Z111" i="1"/>
  <c r="Z109" i="1"/>
  <c r="Z117" i="1"/>
  <c r="Z86" i="1"/>
  <c r="Z118" i="1"/>
  <c r="Z808" i="1"/>
  <c r="Z791" i="1"/>
  <c r="Z810" i="1"/>
  <c r="Z785" i="1"/>
  <c r="Z841" i="1" s="1"/>
  <c r="Z782" i="1"/>
  <c r="Z89" i="1"/>
  <c r="CN266" i="1"/>
  <c r="Z110" i="1"/>
  <c r="CN267" i="1"/>
  <c r="CN87" i="1" s="1"/>
  <c r="Z330" i="1"/>
  <c r="CN132" i="1"/>
  <c r="Z87" i="1"/>
  <c r="Z333" i="1"/>
  <c r="Z376" i="1"/>
  <c r="CM132" i="1"/>
  <c r="X330" i="1"/>
  <c r="V373" i="1"/>
  <c r="CL379" i="1"/>
  <c r="V319" i="1"/>
  <c r="V76" i="1"/>
  <c r="V364" i="1"/>
  <c r="V78" i="1"/>
  <c r="V369" i="1"/>
  <c r="X331" i="1"/>
  <c r="BH498" i="1" l="1"/>
  <c r="AC43" i="31" s="1"/>
  <c r="BC93" i="1"/>
  <c r="BB93" i="1"/>
  <c r="X4" i="31"/>
  <c r="W4" i="31"/>
  <c r="BE3" i="1"/>
  <c r="BE132" i="1" s="1"/>
  <c r="Z2" i="31"/>
  <c r="BD39" i="1"/>
  <c r="BD19" i="1"/>
  <c r="BD29" i="1"/>
  <c r="BD132" i="1"/>
  <c r="BD80" i="1"/>
  <c r="BD32" i="1"/>
  <c r="BD20" i="1"/>
  <c r="BD40" i="1"/>
  <c r="BD31" i="1"/>
  <c r="BD18" i="1"/>
  <c r="BD30" i="1"/>
  <c r="BD33" i="1"/>
  <c r="BD38" i="1"/>
  <c r="BD64" i="1" s="1"/>
  <c r="BD17" i="1"/>
  <c r="BD128" i="1"/>
  <c r="BE2" i="1"/>
  <c r="BF1" i="1"/>
  <c r="AA2" i="31" s="1"/>
  <c r="CL369" i="1"/>
  <c r="CL311" i="1" s="1"/>
  <c r="CL78" i="1" s="1"/>
  <c r="BQ546" i="1"/>
  <c r="DI546" i="1" s="1"/>
  <c r="BP68" i="1"/>
  <c r="BO539" i="1"/>
  <c r="BP539" i="1" s="1"/>
  <c r="BN588" i="1"/>
  <c r="BM588" i="1"/>
  <c r="DG588" i="1" s="1"/>
  <c r="DG539" i="1"/>
  <c r="CL372" i="1"/>
  <c r="CL314" i="1" s="1"/>
  <c r="DA1" i="1"/>
  <c r="AW2" i="31" s="1"/>
  <c r="Y311" i="1"/>
  <c r="Y78" i="1" s="1"/>
  <c r="CL349" i="1"/>
  <c r="CM637" i="1"/>
  <c r="CM739" i="1" s="1"/>
  <c r="CM765" i="1" s="1"/>
  <c r="CM368" i="1"/>
  <c r="CM310" i="1" s="1"/>
  <c r="DC623" i="1"/>
  <c r="CM350" i="1"/>
  <c r="Y73" i="1"/>
  <c r="W81" i="1"/>
  <c r="W352" i="1"/>
  <c r="W325" i="1"/>
  <c r="CM351" i="1"/>
  <c r="Y334" i="1"/>
  <c r="Y332" i="1" s="1"/>
  <c r="Y274" i="1" s="1"/>
  <c r="Y69" i="1" s="1"/>
  <c r="CL359" i="1"/>
  <c r="CL301" i="1" s="1"/>
  <c r="CL74" i="1" s="1"/>
  <c r="BG522" i="1"/>
  <c r="BG536" i="1" s="1"/>
  <c r="BG623" i="1" s="1"/>
  <c r="BH499" i="1"/>
  <c r="BI498" i="1"/>
  <c r="AD43" i="31" s="1"/>
  <c r="W295" i="1"/>
  <c r="W353" i="1" s="1"/>
  <c r="DB38" i="1"/>
  <c r="BS58" i="1"/>
  <c r="BS198" i="1"/>
  <c r="Y75" i="1"/>
  <c r="W375" i="1"/>
  <c r="CL373" i="1"/>
  <c r="CL315" i="1" s="1"/>
  <c r="CM376" i="1"/>
  <c r="CM318" i="1" s="1"/>
  <c r="CM80" i="1" s="1"/>
  <c r="W374" i="1"/>
  <c r="CM333" i="1"/>
  <c r="CM275" i="1" s="1"/>
  <c r="CM70" i="1" s="1"/>
  <c r="Y315" i="1"/>
  <c r="Y373" i="1" s="1"/>
  <c r="Y301" i="1"/>
  <c r="CL364" i="1"/>
  <c r="CL306" i="1" s="1"/>
  <c r="CL76" i="1" s="1"/>
  <c r="Y379" i="1"/>
  <c r="Y319" i="1" s="1"/>
  <c r="Y322" i="1" s="1"/>
  <c r="Y323" i="1" s="1"/>
  <c r="CM363" i="1"/>
  <c r="CM305" i="1" s="1"/>
  <c r="DD499" i="1"/>
  <c r="BF536" i="1"/>
  <c r="BC57" i="1"/>
  <c r="BC56" i="1"/>
  <c r="BC52" i="1"/>
  <c r="BC54" i="1"/>
  <c r="BC53" i="1"/>
  <c r="BC159" i="1" s="1"/>
  <c r="W380" i="1"/>
  <c r="Y357" i="1"/>
  <c r="Y72" i="1"/>
  <c r="BG142" i="1"/>
  <c r="BF762" i="1"/>
  <c r="CM330" i="1"/>
  <c r="CM272" i="1" s="1"/>
  <c r="CM67" i="1" s="1"/>
  <c r="Y314" i="1"/>
  <c r="Y306" i="1"/>
  <c r="Y76" i="1" s="1"/>
  <c r="Y291" i="1"/>
  <c r="Y294" i="1" s="1"/>
  <c r="CM331" i="1"/>
  <c r="CM273" i="1" s="1"/>
  <c r="CM68" i="1" s="1"/>
  <c r="CJ323" i="1"/>
  <c r="CJ325" i="1" s="1"/>
  <c r="DB29" i="1"/>
  <c r="DB32" i="1"/>
  <c r="CN351" i="1"/>
  <c r="DB30" i="1"/>
  <c r="DB33" i="1"/>
  <c r="DB31" i="1"/>
  <c r="CN363" i="1"/>
  <c r="CN305" i="1" s="1"/>
  <c r="DC142" i="1"/>
  <c r="BC737" i="1"/>
  <c r="BC763" i="1" s="1"/>
  <c r="CN350" i="1"/>
  <c r="BE762" i="1"/>
  <c r="DB132" i="1"/>
  <c r="DB128" i="1"/>
  <c r="CN376" i="1"/>
  <c r="CN318" i="1" s="1"/>
  <c r="CN80" i="1" s="1"/>
  <c r="CZ2" i="1"/>
  <c r="CZ3" i="1"/>
  <c r="AV3" i="31" s="1"/>
  <c r="CN331" i="1"/>
  <c r="CN273" i="1" s="1"/>
  <c r="CN68" i="1" s="1"/>
  <c r="CN333" i="1"/>
  <c r="CN275" i="1" s="1"/>
  <c r="CN70" i="1" s="1"/>
  <c r="CN368" i="1"/>
  <c r="CN310" i="1" s="1"/>
  <c r="BZ587" i="1"/>
  <c r="CA531" i="1"/>
  <c r="CB533" i="1"/>
  <c r="CA742" i="1"/>
  <c r="CA768" i="1" s="1"/>
  <c r="CA661" i="1"/>
  <c r="CA743" i="1" s="1"/>
  <c r="CA769" i="1" s="1"/>
  <c r="CA541" i="1"/>
  <c r="BY786" i="1"/>
  <c r="BY784" i="1"/>
  <c r="BY744" i="1"/>
  <c r="BY630" i="1"/>
  <c r="BY631" i="1" s="1"/>
  <c r="CN330" i="1"/>
  <c r="CN272" i="1" s="1"/>
  <c r="CN67" i="1" s="1"/>
  <c r="Z311" i="1"/>
  <c r="Z367" i="1"/>
  <c r="Z301" i="1"/>
  <c r="Z72" i="1"/>
  <c r="Z357" i="1"/>
  <c r="Z314" i="1"/>
  <c r="Z344" i="1"/>
  <c r="Z77" i="1"/>
  <c r="CN737" i="1"/>
  <c r="CN763" i="1" s="1"/>
  <c r="CN131" i="1"/>
  <c r="CN741" i="1"/>
  <c r="CN767" i="1" s="1"/>
  <c r="Z75" i="1"/>
  <c r="Z339" i="1"/>
  <c r="V352" i="1"/>
  <c r="V295" i="1"/>
  <c r="V353" i="1" s="1"/>
  <c r="H534" i="1"/>
  <c r="CK375" i="1"/>
  <c r="CK317" i="1" s="1"/>
  <c r="CK79" i="1" s="1"/>
  <c r="T377" i="1"/>
  <c r="V374" i="1"/>
  <c r="G585" i="1"/>
  <c r="G587" i="1" s="1"/>
  <c r="G628" i="1"/>
  <c r="CD583" i="1"/>
  <c r="CD585" i="1" s="1"/>
  <c r="AA75" i="1"/>
  <c r="AA339" i="1"/>
  <c r="AA379" i="1"/>
  <c r="AA319" i="1" s="1"/>
  <c r="AA321" i="1"/>
  <c r="AA362" i="1"/>
  <c r="AA306" i="1"/>
  <c r="AA71" i="1"/>
  <c r="AA334" i="1"/>
  <c r="AA332" i="1" s="1"/>
  <c r="AA274" i="1" s="1"/>
  <c r="AA69" i="1" s="1"/>
  <c r="AA291" i="1"/>
  <c r="X367" i="1"/>
  <c r="CM367" i="1" s="1"/>
  <c r="CM309" i="1" s="1"/>
  <c r="X311" i="1"/>
  <c r="CM737" i="1"/>
  <c r="CM763" i="1" s="1"/>
  <c r="CM131" i="1"/>
  <c r="X357" i="1"/>
  <c r="X314" i="1"/>
  <c r="X72" i="1"/>
  <c r="X301" i="1"/>
  <c r="X339" i="1"/>
  <c r="CM339" i="1" s="1"/>
  <c r="CM281" i="1" s="1"/>
  <c r="CM75" i="1" s="1"/>
  <c r="X75" i="1"/>
  <c r="X344" i="1"/>
  <c r="CM344" i="1" s="1"/>
  <c r="CM286" i="1" s="1"/>
  <c r="CM77" i="1" s="1"/>
  <c r="X77" i="1"/>
  <c r="X321" i="1"/>
  <c r="X379" i="1"/>
  <c r="V274" i="1"/>
  <c r="V69" i="1" s="1"/>
  <c r="CL332" i="1"/>
  <c r="CL274" i="1" s="1"/>
  <c r="CL69" i="1" s="1"/>
  <c r="BC553" i="1"/>
  <c r="CK321" i="1"/>
  <c r="CK295" i="1"/>
  <c r="V322" i="1"/>
  <c r="V323" i="1" s="1"/>
  <c r="V317" i="1"/>
  <c r="Z71" i="1"/>
  <c r="Z334" i="1"/>
  <c r="Z291" i="1"/>
  <c r="Z321" i="1"/>
  <c r="Z379" i="1"/>
  <c r="Z358" i="1"/>
  <c r="Z73" i="1"/>
  <c r="Z315" i="1"/>
  <c r="Z306" i="1"/>
  <c r="Z362" i="1"/>
  <c r="K22" i="2"/>
  <c r="K20" i="2"/>
  <c r="K21" i="2" s="1"/>
  <c r="K38" i="2"/>
  <c r="K39" i="2"/>
  <c r="K47" i="2"/>
  <c r="K54" i="2"/>
  <c r="K59" i="2"/>
  <c r="K48" i="2"/>
  <c r="K79" i="2"/>
  <c r="K30" i="2"/>
  <c r="J14" i="2"/>
  <c r="F639" i="1"/>
  <c r="F4" i="1" s="1"/>
  <c r="F618" i="1"/>
  <c r="H624" i="1"/>
  <c r="AA367" i="1"/>
  <c r="AA311" i="1"/>
  <c r="AA73" i="1"/>
  <c r="AA315" i="1"/>
  <c r="AA358" i="1"/>
  <c r="AA77" i="1"/>
  <c r="AA344" i="1"/>
  <c r="AA72" i="1"/>
  <c r="AA301" i="1"/>
  <c r="AA357" i="1"/>
  <c r="AA314" i="1"/>
  <c r="X291" i="1"/>
  <c r="X71" i="1"/>
  <c r="X334" i="1"/>
  <c r="X362" i="1"/>
  <c r="CM362" i="1" s="1"/>
  <c r="CM304" i="1" s="1"/>
  <c r="X306" i="1"/>
  <c r="X73" i="1"/>
  <c r="X315" i="1"/>
  <c r="X358" i="1"/>
  <c r="CM358" i="1" s="1"/>
  <c r="CM300" i="1" s="1"/>
  <c r="CM73" i="1" s="1"/>
  <c r="CL291" i="1"/>
  <c r="CL294" i="1" s="1"/>
  <c r="CL71" i="1"/>
  <c r="DC236" i="1" l="1"/>
  <c r="BE17" i="1"/>
  <c r="BE5" i="1"/>
  <c r="BE93" i="1" s="1"/>
  <c r="BE29" i="1"/>
  <c r="BE30" i="1"/>
  <c r="BD5" i="1"/>
  <c r="Y4" i="31" s="1"/>
  <c r="BE19" i="1"/>
  <c r="Z3" i="31"/>
  <c r="BE80" i="1"/>
  <c r="BE128" i="1"/>
  <c r="BE39" i="1"/>
  <c r="BE33" i="1"/>
  <c r="BE18" i="1"/>
  <c r="BE32" i="1"/>
  <c r="BE38" i="1"/>
  <c r="BE40" i="1"/>
  <c r="Z4" i="31"/>
  <c r="BE31" i="1"/>
  <c r="BE20" i="1"/>
  <c r="BG1" i="1"/>
  <c r="AB2" i="31" s="1"/>
  <c r="BF3" i="1"/>
  <c r="BF2" i="1"/>
  <c r="DB1" i="1"/>
  <c r="Y369" i="1"/>
  <c r="BQ539" i="1"/>
  <c r="BP588" i="1"/>
  <c r="BQ68" i="1"/>
  <c r="BO588" i="1"/>
  <c r="DH588" i="1" s="1"/>
  <c r="DH539" i="1"/>
  <c r="W354" i="1"/>
  <c r="DB737" i="1"/>
  <c r="DB763" i="1" s="1"/>
  <c r="DA3" i="1"/>
  <c r="AW3" i="31" s="1"/>
  <c r="DA2" i="1"/>
  <c r="DD522" i="1"/>
  <c r="W377" i="1"/>
  <c r="CL353" i="1"/>
  <c r="DE498" i="1"/>
  <c r="BA43" i="31" s="1"/>
  <c r="BJ498" i="1"/>
  <c r="AE43" i="31" s="1"/>
  <c r="BS61" i="1"/>
  <c r="Y359" i="1"/>
  <c r="Y364" i="1"/>
  <c r="Y74" i="1"/>
  <c r="CM357" i="1"/>
  <c r="CM299" i="1" s="1"/>
  <c r="CM72" i="1" s="1"/>
  <c r="DD142" i="1"/>
  <c r="DD762" i="1" s="1"/>
  <c r="BH142" i="1"/>
  <c r="BI499" i="1"/>
  <c r="BH522" i="1"/>
  <c r="CL374" i="1"/>
  <c r="CL316" i="1" s="1"/>
  <c r="CJ269" i="1"/>
  <c r="Y372" i="1"/>
  <c r="BE64" i="1"/>
  <c r="CJ81" i="1"/>
  <c r="BF623" i="1"/>
  <c r="DD536" i="1"/>
  <c r="BD54" i="1"/>
  <c r="BD56" i="1"/>
  <c r="BD53" i="1"/>
  <c r="BD159" i="1" s="1"/>
  <c r="BD52" i="1"/>
  <c r="BD57" i="1"/>
  <c r="BG762" i="1"/>
  <c r="Y349" i="1"/>
  <c r="Y352" i="1" s="1"/>
  <c r="Y316" i="1"/>
  <c r="DC762" i="1"/>
  <c r="DB553" i="1"/>
  <c r="BD553" i="1"/>
  <c r="BD737" i="1"/>
  <c r="BD763" i="1" s="1"/>
  <c r="Z373" i="1"/>
  <c r="CN362" i="1"/>
  <c r="CN304" i="1" s="1"/>
  <c r="X373" i="1"/>
  <c r="CM373" i="1" s="1"/>
  <c r="CM315" i="1" s="1"/>
  <c r="CA674" i="1"/>
  <c r="CA550" i="1"/>
  <c r="CA564" i="1" s="1"/>
  <c r="CA568" i="1" s="1"/>
  <c r="AA373" i="1"/>
  <c r="BY618" i="1"/>
  <c r="BY639" i="1"/>
  <c r="CA667" i="1"/>
  <c r="CB698" i="1"/>
  <c r="CB789" i="1" s="1"/>
  <c r="CB702" i="1"/>
  <c r="CB785" i="1" s="1"/>
  <c r="CB841" i="1" s="1"/>
  <c r="CA702" i="1"/>
  <c r="CA785" i="1" s="1"/>
  <c r="CA841" i="1" s="1"/>
  <c r="CA698" i="1"/>
  <c r="CA789" i="1" s="1"/>
  <c r="CB527" i="1"/>
  <c r="BZ836" i="1"/>
  <c r="BZ590" i="1"/>
  <c r="BZ606" i="1"/>
  <c r="BZ607" i="1" s="1"/>
  <c r="BZ837" i="1" s="1"/>
  <c r="AA372" i="1"/>
  <c r="AA74" i="1"/>
  <c r="AA359" i="1"/>
  <c r="AA316" i="1"/>
  <c r="CN358" i="1"/>
  <c r="CN300" i="1" s="1"/>
  <c r="CN73" i="1" s="1"/>
  <c r="CN334" i="1"/>
  <c r="CN276" i="1" s="1"/>
  <c r="Z332" i="1"/>
  <c r="Y81" i="1"/>
  <c r="Y325" i="1"/>
  <c r="Y269" i="1"/>
  <c r="V79" i="1"/>
  <c r="V375" i="1"/>
  <c r="X369" i="1"/>
  <c r="X78" i="1"/>
  <c r="AA294" i="1"/>
  <c r="AA349" i="1"/>
  <c r="AA322" i="1"/>
  <c r="AA323" i="1" s="1"/>
  <c r="G836" i="1"/>
  <c r="G607" i="1"/>
  <c r="G837" i="1" s="1"/>
  <c r="G590" i="1"/>
  <c r="T391" i="1"/>
  <c r="CK377" i="1"/>
  <c r="CN344" i="1"/>
  <c r="CN286" i="1" s="1"/>
  <c r="CN77" i="1" s="1"/>
  <c r="CN357" i="1"/>
  <c r="CN299" i="1" s="1"/>
  <c r="CN72" i="1" s="1"/>
  <c r="Z359" i="1"/>
  <c r="Z74" i="1"/>
  <c r="Z316" i="1"/>
  <c r="Z369" i="1"/>
  <c r="Z78" i="1"/>
  <c r="X76" i="1"/>
  <c r="X364" i="1"/>
  <c r="CM334" i="1"/>
  <c r="CM276" i="1" s="1"/>
  <c r="X332" i="1"/>
  <c r="X349" i="1"/>
  <c r="X294" i="1"/>
  <c r="AA78" i="1"/>
  <c r="AA369" i="1"/>
  <c r="J59" i="2"/>
  <c r="J48" i="2"/>
  <c r="J30" i="2"/>
  <c r="J20" i="2"/>
  <c r="J21" i="2" s="1"/>
  <c r="J47" i="2"/>
  <c r="I14" i="2"/>
  <c r="J22" i="2"/>
  <c r="J79" i="2"/>
  <c r="J39" i="2"/>
  <c r="J38" i="2"/>
  <c r="J54" i="2"/>
  <c r="Z76" i="1"/>
  <c r="Z364" i="1"/>
  <c r="Z319" i="1"/>
  <c r="CN379" i="1"/>
  <c r="Z294" i="1"/>
  <c r="Z349" i="1"/>
  <c r="V81" i="1"/>
  <c r="V269" i="1"/>
  <c r="V325" i="1"/>
  <c r="CM379" i="1"/>
  <c r="X319" i="1"/>
  <c r="X359" i="1"/>
  <c r="X74" i="1"/>
  <c r="X316" i="1"/>
  <c r="X372" i="1"/>
  <c r="AA364" i="1"/>
  <c r="AA76" i="1"/>
  <c r="G629" i="1"/>
  <c r="CD628" i="1"/>
  <c r="CD629" i="1" s="1"/>
  <c r="V380" i="1"/>
  <c r="CL380" i="1" s="1"/>
  <c r="H538" i="1"/>
  <c r="CL352" i="1"/>
  <c r="V354" i="1"/>
  <c r="CN339" i="1"/>
  <c r="CN281" i="1" s="1"/>
  <c r="CN75" i="1" s="1"/>
  <c r="Z372" i="1"/>
  <c r="CN367" i="1"/>
  <c r="CN309" i="1" s="1"/>
  <c r="Y295" i="1"/>
  <c r="Y353" i="1" s="1"/>
  <c r="DC132" i="1" l="1"/>
  <c r="BD93" i="1"/>
  <c r="BF19" i="1"/>
  <c r="AA3" i="31"/>
  <c r="DB2" i="1"/>
  <c r="AX2" i="31"/>
  <c r="BH1" i="1"/>
  <c r="DC1" i="1"/>
  <c r="DB3" i="1"/>
  <c r="BG3" i="1"/>
  <c r="BG2" i="1"/>
  <c r="BF80" i="1"/>
  <c r="BF40" i="1"/>
  <c r="BF17" i="1"/>
  <c r="BF128" i="1"/>
  <c r="BF39" i="1"/>
  <c r="BF20" i="1"/>
  <c r="BF29" i="1"/>
  <c r="BF32" i="1"/>
  <c r="BF132" i="1"/>
  <c r="BF38" i="1"/>
  <c r="BF18" i="1"/>
  <c r="BF30" i="1"/>
  <c r="BF33" i="1"/>
  <c r="BF31" i="1"/>
  <c r="BH3" i="1"/>
  <c r="CM369" i="1"/>
  <c r="CM311" i="1" s="1"/>
  <c r="CM78" i="1" s="1"/>
  <c r="BQ588" i="1"/>
  <c r="DI588" i="1" s="1"/>
  <c r="DI539" i="1"/>
  <c r="CL354" i="1"/>
  <c r="CL296" i="1" s="1"/>
  <c r="CL321" i="1" s="1"/>
  <c r="W391" i="1"/>
  <c r="DD623" i="1"/>
  <c r="BI522" i="1"/>
  <c r="DE522" i="1" s="1"/>
  <c r="BJ499" i="1"/>
  <c r="BK498" i="1"/>
  <c r="AF43" i="31" s="1"/>
  <c r="CM359" i="1"/>
  <c r="CM301" i="1" s="1"/>
  <c r="CM74" i="1" s="1"/>
  <c r="Y374" i="1"/>
  <c r="CM372" i="1"/>
  <c r="CM314" i="1" s="1"/>
  <c r="CM364" i="1"/>
  <c r="CM306" i="1" s="1"/>
  <c r="CM76" i="1" s="1"/>
  <c r="DE499" i="1"/>
  <c r="CM349" i="1"/>
  <c r="BE57" i="1"/>
  <c r="BE53" i="1"/>
  <c r="BE159" i="1" s="1"/>
  <c r="BE54" i="1"/>
  <c r="BE52" i="1"/>
  <c r="BE56" i="1"/>
  <c r="BH536" i="1"/>
  <c r="BI142" i="1"/>
  <c r="BJ142" i="1" s="1"/>
  <c r="BH762" i="1"/>
  <c r="DC38" i="1"/>
  <c r="DC29" i="1"/>
  <c r="DC31" i="1"/>
  <c r="DC33" i="1"/>
  <c r="DC30" i="1"/>
  <c r="DC32" i="1"/>
  <c r="BE737" i="1"/>
  <c r="BE763" i="1" s="1"/>
  <c r="Y317" i="1"/>
  <c r="Y79" i="1" s="1"/>
  <c r="CN372" i="1"/>
  <c r="CN314" i="1" s="1"/>
  <c r="CN373" i="1"/>
  <c r="CN315" i="1" s="1"/>
  <c r="CN349" i="1"/>
  <c r="DC128" i="1"/>
  <c r="BE553" i="1"/>
  <c r="DA399" i="1"/>
  <c r="CN359" i="1"/>
  <c r="CN301" i="1" s="1"/>
  <c r="CN74" i="1" s="1"/>
  <c r="Y354" i="1"/>
  <c r="BZ595" i="1"/>
  <c r="BZ548" i="1"/>
  <c r="BZ834" i="1"/>
  <c r="BZ150" i="1"/>
  <c r="CB622" i="1"/>
  <c r="CB624" i="1" s="1"/>
  <c r="CB529" i="1"/>
  <c r="CB534" i="1" s="1"/>
  <c r="CB538" i="1" s="1"/>
  <c r="CA585" i="1"/>
  <c r="CA583" i="1" s="1"/>
  <c r="CA628" i="1" s="1"/>
  <c r="CA629" i="1" s="1"/>
  <c r="AA269" i="1"/>
  <c r="AA81" i="1"/>
  <c r="AA325" i="1"/>
  <c r="X374" i="1"/>
  <c r="Z352" i="1"/>
  <c r="Z295" i="1"/>
  <c r="Z353" i="1" s="1"/>
  <c r="Z322" i="1"/>
  <c r="Z323" i="1" s="1"/>
  <c r="Z317" i="1"/>
  <c r="Z380" i="1" s="1"/>
  <c r="X352" i="1"/>
  <c r="X295" i="1"/>
  <c r="X353" i="1" s="1"/>
  <c r="CM353" i="1" s="1"/>
  <c r="X274" i="1"/>
  <c r="X69" i="1" s="1"/>
  <c r="CM332" i="1"/>
  <c r="CM274" i="1" s="1"/>
  <c r="CM69" i="1" s="1"/>
  <c r="Z374" i="1"/>
  <c r="CK319" i="1"/>
  <c r="CK322" i="1" s="1"/>
  <c r="CK323" i="1" s="1"/>
  <c r="CK391" i="1"/>
  <c r="CN291" i="1"/>
  <c r="CN294" i="1" s="1"/>
  <c r="CN71" i="1"/>
  <c r="AA374" i="1"/>
  <c r="H742" i="1"/>
  <c r="H768" i="1" s="1"/>
  <c r="H531" i="1"/>
  <c r="I533" i="1"/>
  <c r="H743" i="1"/>
  <c r="H769" i="1" s="1"/>
  <c r="H541" i="1"/>
  <c r="X317" i="1"/>
  <c r="X322" i="1"/>
  <c r="X323" i="1" s="1"/>
  <c r="CN364" i="1"/>
  <c r="CN306" i="1" s="1"/>
  <c r="CN76" i="1" s="1"/>
  <c r="I59" i="2"/>
  <c r="I51" i="2"/>
  <c r="I62" i="2"/>
  <c r="I24" i="2"/>
  <c r="I69" i="2"/>
  <c r="H14" i="2"/>
  <c r="I46" i="2"/>
  <c r="I72" i="2"/>
  <c r="I65" i="2"/>
  <c r="I47" i="2"/>
  <c r="I74" i="2"/>
  <c r="I36" i="2"/>
  <c r="I20" i="2"/>
  <c r="I21" i="2" s="1"/>
  <c r="I68" i="2"/>
  <c r="I92" i="2"/>
  <c r="I79" i="2"/>
  <c r="I60" i="2"/>
  <c r="I22" i="2"/>
  <c r="I35" i="2"/>
  <c r="I30" i="2"/>
  <c r="I39" i="2"/>
  <c r="I34" i="2"/>
  <c r="I54" i="2"/>
  <c r="I38" i="2"/>
  <c r="I48" i="2"/>
  <c r="I66" i="2"/>
  <c r="I37" i="2"/>
  <c r="CM291" i="1"/>
  <c r="CM294" i="1" s="1"/>
  <c r="CM71" i="1"/>
  <c r="CN369" i="1"/>
  <c r="CN311" i="1" s="1"/>
  <c r="CN78" i="1" s="1"/>
  <c r="G834" i="1"/>
  <c r="G548" i="1"/>
  <c r="G595" i="1"/>
  <c r="G150" i="1"/>
  <c r="AA317" i="1"/>
  <c r="AA352" i="1"/>
  <c r="AA295" i="1"/>
  <c r="AA353" i="1" s="1"/>
  <c r="CL375" i="1"/>
  <c r="CL317" i="1" s="1"/>
  <c r="CL79" i="1" s="1"/>
  <c r="V377" i="1"/>
  <c r="Z274" i="1"/>
  <c r="Z69" i="1" s="1"/>
  <c r="CN332" i="1"/>
  <c r="CN274" i="1" s="1"/>
  <c r="CN69" i="1" s="1"/>
  <c r="BH19" i="1" l="1"/>
  <c r="AC3" i="31"/>
  <c r="BG19" i="1"/>
  <c r="AB3" i="31"/>
  <c r="AC2" i="31"/>
  <c r="C10" i="2"/>
  <c r="C121" i="2" s="1"/>
  <c r="AX3" i="31"/>
  <c r="DC3" i="1"/>
  <c r="AY3" i="31" s="1"/>
  <c r="AY2" i="31"/>
  <c r="BI1" i="1"/>
  <c r="BH2" i="1"/>
  <c r="DC2" i="1"/>
  <c r="DD1" i="1"/>
  <c r="BG29" i="1"/>
  <c r="BG52" i="1" s="1"/>
  <c r="BG132" i="1"/>
  <c r="BG128" i="1"/>
  <c r="BG30" i="1"/>
  <c r="BG53" i="1" s="1"/>
  <c r="BG39" i="1"/>
  <c r="BG40" i="1"/>
  <c r="BG17" i="1"/>
  <c r="BG18" i="1"/>
  <c r="BG38" i="1"/>
  <c r="BG80" i="1"/>
  <c r="BG5" i="1"/>
  <c r="BG20" i="1"/>
  <c r="BG32" i="1"/>
  <c r="BG56" i="1" s="1"/>
  <c r="BG33" i="1"/>
  <c r="BG57" i="1" s="1"/>
  <c r="DD236" i="1"/>
  <c r="BG31" i="1"/>
  <c r="BG54" i="1" s="1"/>
  <c r="BF5" i="1"/>
  <c r="CL295" i="1"/>
  <c r="BH80" i="1"/>
  <c r="BH17" i="1"/>
  <c r="BH33" i="1"/>
  <c r="BH57" i="1" s="1"/>
  <c r="BH31" i="1"/>
  <c r="BH54" i="1" s="1"/>
  <c r="BH39" i="1"/>
  <c r="BH20" i="1"/>
  <c r="BH132" i="1"/>
  <c r="BH18" i="1"/>
  <c r="BH30" i="1"/>
  <c r="BH53" i="1" s="1"/>
  <c r="BH38" i="1"/>
  <c r="BH32" i="1"/>
  <c r="BH56" i="1" s="1"/>
  <c r="BH40" i="1"/>
  <c r="BH29" i="1"/>
  <c r="BH52" i="1" s="1"/>
  <c r="BH128" i="1"/>
  <c r="DC737" i="1"/>
  <c r="DC763" i="1" s="1"/>
  <c r="Y375" i="1"/>
  <c r="Y377" i="1" s="1"/>
  <c r="Y391" i="1" s="1"/>
  <c r="DF498" i="1"/>
  <c r="BB43" i="31" s="1"/>
  <c r="BL498" i="1"/>
  <c r="AG43" i="31" s="1"/>
  <c r="BI536" i="1"/>
  <c r="BI623" i="1" s="1"/>
  <c r="CM374" i="1"/>
  <c r="CM316" i="1" s="1"/>
  <c r="BJ522" i="1"/>
  <c r="BK499" i="1"/>
  <c r="BK142" i="1"/>
  <c r="BL142" i="1" s="1"/>
  <c r="BJ762" i="1"/>
  <c r="Y380" i="1"/>
  <c r="BF52" i="1"/>
  <c r="BF53" i="1"/>
  <c r="BF159" i="1" s="1"/>
  <c r="BF56" i="1"/>
  <c r="BF54" i="1"/>
  <c r="BF57" i="1"/>
  <c r="BH623" i="1"/>
  <c r="DE142" i="1"/>
  <c r="BI762" i="1"/>
  <c r="BF64" i="1"/>
  <c r="DC553" i="1"/>
  <c r="BF553" i="1"/>
  <c r="BF737" i="1"/>
  <c r="BF763" i="1" s="1"/>
  <c r="DA400" i="1"/>
  <c r="DB400" i="1"/>
  <c r="CA587" i="1"/>
  <c r="CA590" i="1" s="1"/>
  <c r="AA354" i="1"/>
  <c r="BZ786" i="1"/>
  <c r="BZ784" i="1"/>
  <c r="BZ744" i="1"/>
  <c r="BZ630" i="1"/>
  <c r="BZ631" i="1" s="1"/>
  <c r="CB742" i="1"/>
  <c r="CB768" i="1" s="1"/>
  <c r="CB531" i="1"/>
  <c r="CB743" i="1"/>
  <c r="CB769" i="1" s="1"/>
  <c r="CB541" i="1"/>
  <c r="CC533" i="1"/>
  <c r="CC538" i="1" s="1"/>
  <c r="I67" i="2"/>
  <c r="I70" i="2"/>
  <c r="X269" i="1"/>
  <c r="X81" i="1"/>
  <c r="X325" i="1"/>
  <c r="X79" i="1"/>
  <c r="X375" i="1"/>
  <c r="H674" i="1"/>
  <c r="H550" i="1"/>
  <c r="H564" i="1" s="1"/>
  <c r="H568" i="1" s="1"/>
  <c r="I527" i="1"/>
  <c r="CK325" i="1"/>
  <c r="CK269" i="1"/>
  <c r="CK81" i="1"/>
  <c r="Z81" i="1"/>
  <c r="Z325" i="1"/>
  <c r="Z269" i="1"/>
  <c r="CN352" i="1"/>
  <c r="Z354" i="1"/>
  <c r="CL377" i="1"/>
  <c r="V391" i="1"/>
  <c r="AA375" i="1"/>
  <c r="AA377" i="1" s="1"/>
  <c r="AA79" i="1"/>
  <c r="G784" i="1"/>
  <c r="G786" i="1"/>
  <c r="G744" i="1"/>
  <c r="CD744" i="1" s="1"/>
  <c r="G630" i="1"/>
  <c r="I63" i="2"/>
  <c r="I73" i="2"/>
  <c r="AA380" i="1"/>
  <c r="CN380" i="1" s="1"/>
  <c r="CN374" i="1"/>
  <c r="CN316" i="1" s="1"/>
  <c r="CM352" i="1"/>
  <c r="X354" i="1"/>
  <c r="CM354" i="1" s="1"/>
  <c r="CM296" i="1" s="1"/>
  <c r="Z79" i="1"/>
  <c r="Z375" i="1"/>
  <c r="CN353" i="1"/>
  <c r="X380" i="1"/>
  <c r="BG93" i="1" l="1"/>
  <c r="BF93" i="1"/>
  <c r="D121" i="2"/>
  <c r="C120" i="2"/>
  <c r="D120" i="2" s="1"/>
  <c r="S2" i="16"/>
  <c r="BG159" i="1"/>
  <c r="BH159" i="1" s="1"/>
  <c r="AA4" i="31"/>
  <c r="AB4" i="31"/>
  <c r="BI2" i="1"/>
  <c r="AD2" i="31"/>
  <c r="E14" i="2"/>
  <c r="D14" i="2" s="1"/>
  <c r="C14" i="2" s="1"/>
  <c r="DD2" i="1"/>
  <c r="AZ2" i="31"/>
  <c r="BJ1" i="1"/>
  <c r="BI3" i="1"/>
  <c r="AD3" i="31" s="1"/>
  <c r="DE1" i="1"/>
  <c r="DD3" i="1"/>
  <c r="AZ3" i="31" s="1"/>
  <c r="DD132" i="1"/>
  <c r="CM375" i="1"/>
  <c r="CM317" i="1" s="1"/>
  <c r="CM79" i="1" s="1"/>
  <c r="DE536" i="1"/>
  <c r="DE623" i="1" s="1"/>
  <c r="BM498" i="1"/>
  <c r="AH43" i="31" s="1"/>
  <c r="BK522" i="1"/>
  <c r="DF522" i="1" s="1"/>
  <c r="BL499" i="1"/>
  <c r="BM142" i="1"/>
  <c r="BN142" i="1" s="1"/>
  <c r="BL762" i="1"/>
  <c r="CM380" i="1"/>
  <c r="DF499" i="1"/>
  <c r="BJ536" i="1"/>
  <c r="DF142" i="1"/>
  <c r="BK762" i="1"/>
  <c r="DD33" i="1"/>
  <c r="DD29" i="1"/>
  <c r="DD31" i="1"/>
  <c r="DD32" i="1"/>
  <c r="DD30" i="1"/>
  <c r="BH64" i="1"/>
  <c r="BG737" i="1"/>
  <c r="BG763" i="1" s="1"/>
  <c r="DE762" i="1"/>
  <c r="BG64" i="1"/>
  <c r="DD38" i="1"/>
  <c r="DD128" i="1"/>
  <c r="BG553" i="1"/>
  <c r="AA391" i="1"/>
  <c r="CA836" i="1"/>
  <c r="CN354" i="1"/>
  <c r="CN296" i="1" s="1"/>
  <c r="CN295" i="1" s="1"/>
  <c r="CA606" i="1"/>
  <c r="CA607" i="1" s="1"/>
  <c r="CA837" i="1" s="1"/>
  <c r="CB550" i="1"/>
  <c r="CB564" i="1" s="1"/>
  <c r="CB568" i="1" s="1"/>
  <c r="CB674" i="1"/>
  <c r="CA548" i="1"/>
  <c r="CA595" i="1"/>
  <c r="CA834" i="1"/>
  <c r="CA150" i="1"/>
  <c r="CC541" i="1"/>
  <c r="CC550" i="1" s="1"/>
  <c r="CC564" i="1" s="1"/>
  <c r="CC568" i="1" s="1"/>
  <c r="CC587" i="1" s="1"/>
  <c r="CC742" i="1"/>
  <c r="CC768" i="1" s="1"/>
  <c r="CC531" i="1"/>
  <c r="CD533" i="1"/>
  <c r="CD538" i="1" s="1"/>
  <c r="CC743" i="1"/>
  <c r="CC769" i="1" s="1"/>
  <c r="BZ618" i="1"/>
  <c r="BZ639" i="1"/>
  <c r="CM295" i="1"/>
  <c r="CM321" i="1"/>
  <c r="CD630" i="1"/>
  <c r="CD631" i="1" s="1"/>
  <c r="G631" i="1"/>
  <c r="CL319" i="1"/>
  <c r="CL322" i="1" s="1"/>
  <c r="CL323" i="1" s="1"/>
  <c r="CL391" i="1"/>
  <c r="H583" i="1"/>
  <c r="CN375" i="1"/>
  <c r="CN317" i="1" s="1"/>
  <c r="CN79" i="1" s="1"/>
  <c r="Z377" i="1"/>
  <c r="X377" i="1"/>
  <c r="I64" i="2"/>
  <c r="I61" i="2"/>
  <c r="I622" i="1"/>
  <c r="I529" i="1"/>
  <c r="CE527" i="1"/>
  <c r="BK1" i="1" l="1"/>
  <c r="AF2" i="31" s="1"/>
  <c r="AE2" i="31"/>
  <c r="DF1" i="1"/>
  <c r="BB2" i="31" s="1"/>
  <c r="BA2" i="31"/>
  <c r="BI19" i="1"/>
  <c r="BJ3" i="1"/>
  <c r="BI29" i="1"/>
  <c r="BI52" i="1" s="1"/>
  <c r="BI33" i="1"/>
  <c r="BI57" i="1" s="1"/>
  <c r="BI17" i="1"/>
  <c r="BI20" i="1"/>
  <c r="BI38" i="1"/>
  <c r="BI64" i="1" s="1"/>
  <c r="BI30" i="1"/>
  <c r="DE30" i="1" s="1"/>
  <c r="BI132" i="1"/>
  <c r="BI128" i="1"/>
  <c r="BI31" i="1"/>
  <c r="BI54" i="1" s="1"/>
  <c r="BJ2" i="1"/>
  <c r="BI32" i="1"/>
  <c r="BI56" i="1" s="1"/>
  <c r="BI39" i="1"/>
  <c r="DE236" i="1"/>
  <c r="BI5" i="1"/>
  <c r="BH5" i="1"/>
  <c r="BI80" i="1"/>
  <c r="BI40" i="1"/>
  <c r="BI18" i="1"/>
  <c r="DE3" i="1"/>
  <c r="DE2" i="1"/>
  <c r="BK3" i="1"/>
  <c r="AF3" i="31" s="1"/>
  <c r="BL1" i="1"/>
  <c r="AG2" i="31" s="1"/>
  <c r="BK2" i="1"/>
  <c r="BJ31" i="1"/>
  <c r="BJ54" i="1" s="1"/>
  <c r="BJ17" i="1"/>
  <c r="BJ40" i="1"/>
  <c r="BJ29" i="1"/>
  <c r="BJ52" i="1" s="1"/>
  <c r="BJ32" i="1"/>
  <c r="BJ56" i="1" s="1"/>
  <c r="BJ128" i="1"/>
  <c r="BJ19" i="1"/>
  <c r="BJ18" i="1"/>
  <c r="BJ30" i="1"/>
  <c r="BJ53" i="1" s="1"/>
  <c r="BJ38" i="1"/>
  <c r="BJ64" i="1" s="1"/>
  <c r="BJ33" i="1"/>
  <c r="BJ57" i="1" s="1"/>
  <c r="BJ20" i="1"/>
  <c r="BJ80" i="1"/>
  <c r="DG498" i="1"/>
  <c r="BC43" i="31" s="1"/>
  <c r="BN498" i="1"/>
  <c r="AI43" i="31" s="1"/>
  <c r="BO142" i="1"/>
  <c r="BN762" i="1"/>
  <c r="BK536" i="1"/>
  <c r="BK623" i="1" s="1"/>
  <c r="DF2" i="1"/>
  <c r="DF3" i="1"/>
  <c r="BB3" i="31" s="1"/>
  <c r="BM762" i="1"/>
  <c r="DG142" i="1"/>
  <c r="BM499" i="1"/>
  <c r="BL522" i="1"/>
  <c r="BJ623" i="1"/>
  <c r="DF762" i="1"/>
  <c r="BH737" i="1"/>
  <c r="BH763" i="1" s="1"/>
  <c r="DD553" i="1"/>
  <c r="BH553" i="1"/>
  <c r="DD737" i="1"/>
  <c r="DD763" i="1" s="1"/>
  <c r="CN321" i="1"/>
  <c r="CC590" i="1"/>
  <c r="CC607" i="1"/>
  <c r="CC837" i="1" s="1"/>
  <c r="CC836" i="1"/>
  <c r="CD541" i="1"/>
  <c r="CD550" i="1" s="1"/>
  <c r="CD564" i="1" s="1"/>
  <c r="CD568" i="1" s="1"/>
  <c r="CD587" i="1" s="1"/>
  <c r="CD531" i="1"/>
  <c r="CD743" i="1"/>
  <c r="CD769" i="1" s="1"/>
  <c r="CE533" i="1"/>
  <c r="CD742" i="1"/>
  <c r="CD768" i="1" s="1"/>
  <c r="CA786" i="1"/>
  <c r="CA784" i="1"/>
  <c r="CA744" i="1"/>
  <c r="CA630" i="1"/>
  <c r="CA631" i="1" s="1"/>
  <c r="CB585" i="1"/>
  <c r="CB583" i="1" s="1"/>
  <c r="CB628" i="1" s="1"/>
  <c r="CB629" i="1" s="1"/>
  <c r="I534" i="1"/>
  <c r="CE529" i="1"/>
  <c r="X391" i="1"/>
  <c r="CM377" i="1"/>
  <c r="H585" i="1"/>
  <c r="H587" i="1" s="1"/>
  <c r="H628" i="1"/>
  <c r="CL269" i="1"/>
  <c r="CL81" i="1"/>
  <c r="CL325" i="1"/>
  <c r="CD639" i="1"/>
  <c r="CD618" i="1"/>
  <c r="I624" i="1"/>
  <c r="CE622" i="1"/>
  <c r="CE624" i="1" s="1"/>
  <c r="CN377" i="1"/>
  <c r="Z391" i="1"/>
  <c r="G639" i="1"/>
  <c r="G4" i="1" s="1"/>
  <c r="G618" i="1"/>
  <c r="BI93" i="1" l="1"/>
  <c r="BH93" i="1"/>
  <c r="AD4" i="31"/>
  <c r="AC4" i="31"/>
  <c r="BJ132" i="1"/>
  <c r="AE3" i="31"/>
  <c r="BA3" i="31"/>
  <c r="DG1" i="1"/>
  <c r="BC2" i="31" s="1"/>
  <c r="BJ39" i="1"/>
  <c r="DE33" i="1"/>
  <c r="DE31" i="1"/>
  <c r="DE29" i="1"/>
  <c r="DE132" i="1"/>
  <c r="DE38" i="1"/>
  <c r="BI53" i="1"/>
  <c r="BI159" i="1" s="1"/>
  <c r="BJ159" i="1" s="1"/>
  <c r="BI737" i="1"/>
  <c r="BI763" i="1" s="1"/>
  <c r="DE32" i="1"/>
  <c r="DH1" i="1"/>
  <c r="BD2" i="31" s="1"/>
  <c r="BK31" i="1"/>
  <c r="BK33" i="1"/>
  <c r="BK39" i="1"/>
  <c r="BK132" i="1"/>
  <c r="DF236" i="1"/>
  <c r="BJ5" i="1"/>
  <c r="AE4" i="31" s="1"/>
  <c r="BK40" i="1"/>
  <c r="BK19" i="1"/>
  <c r="BK29" i="1"/>
  <c r="BK128" i="1"/>
  <c r="BK20" i="1"/>
  <c r="BK80" i="1"/>
  <c r="BK18" i="1"/>
  <c r="BK30" i="1"/>
  <c r="BK17" i="1"/>
  <c r="BK32" i="1"/>
  <c r="BK38" i="1"/>
  <c r="BK5" i="1"/>
  <c r="AF4" i="31" s="1"/>
  <c r="BJ737" i="1"/>
  <c r="BJ763" i="1" s="1"/>
  <c r="BL3" i="1"/>
  <c r="AG3" i="31" s="1"/>
  <c r="BM1" i="1"/>
  <c r="AH2" i="31" s="1"/>
  <c r="BL2" i="1"/>
  <c r="DH142" i="1"/>
  <c r="DH762" i="1" s="1"/>
  <c r="BP142" i="1"/>
  <c r="BO498" i="1"/>
  <c r="AJ43" i="31" s="1"/>
  <c r="BO762" i="1"/>
  <c r="BM522" i="1"/>
  <c r="BM536" i="1" s="1"/>
  <c r="BM623" i="1" s="1"/>
  <c r="BN499" i="1"/>
  <c r="DF536" i="1"/>
  <c r="DF623" i="1" s="1"/>
  <c r="DG2" i="1"/>
  <c r="DG3" i="1"/>
  <c r="BC3" i="31" s="1"/>
  <c r="DG499" i="1"/>
  <c r="BL536" i="1"/>
  <c r="DG762" i="1"/>
  <c r="BI553" i="1"/>
  <c r="BJ553" i="1" s="1"/>
  <c r="DE128" i="1"/>
  <c r="CB587" i="1"/>
  <c r="CA618" i="1"/>
  <c r="CA639" i="1"/>
  <c r="CC150" i="1"/>
  <c r="CC548" i="1"/>
  <c r="CC595" i="1"/>
  <c r="CC834" i="1"/>
  <c r="CD590" i="1"/>
  <c r="CD607" i="1"/>
  <c r="CD837" i="1" s="1"/>
  <c r="CD836" i="1"/>
  <c r="H836" i="1"/>
  <c r="H607" i="1"/>
  <c r="H837" i="1" s="1"/>
  <c r="H590" i="1"/>
  <c r="CE534" i="1"/>
  <c r="CE538" i="1" s="1"/>
  <c r="I538" i="1"/>
  <c r="CN391" i="1"/>
  <c r="CN319" i="1"/>
  <c r="CN322" i="1" s="1"/>
  <c r="CN323" i="1" s="1"/>
  <c r="H629" i="1"/>
  <c r="CM319" i="1"/>
  <c r="CM322" i="1" s="1"/>
  <c r="CM323" i="1" s="1"/>
  <c r="CM391" i="1"/>
  <c r="DH2" i="1" l="1"/>
  <c r="DH3" i="1"/>
  <c r="BD3" i="31" s="1"/>
  <c r="DI1" i="1"/>
  <c r="BE2" i="31" s="1"/>
  <c r="BK56" i="1"/>
  <c r="DF32" i="1"/>
  <c r="BK53" i="1"/>
  <c r="BK159" i="1" s="1"/>
  <c r="DF30" i="1"/>
  <c r="BK57" i="1"/>
  <c r="DF33" i="1"/>
  <c r="BK64" i="1"/>
  <c r="DF38" i="1"/>
  <c r="BK737" i="1"/>
  <c r="BK763" i="1" s="1"/>
  <c r="DF128" i="1"/>
  <c r="DF737" i="1" s="1"/>
  <c r="DF763" i="1" s="1"/>
  <c r="BK54" i="1"/>
  <c r="DF31" i="1"/>
  <c r="BL40" i="1"/>
  <c r="BL19" i="1"/>
  <c r="BL30" i="1"/>
  <c r="BL53" i="1" s="1"/>
  <c r="BL17" i="1"/>
  <c r="BL31" i="1"/>
  <c r="BL54" i="1" s="1"/>
  <c r="BL20" i="1"/>
  <c r="BL128" i="1"/>
  <c r="BL38" i="1"/>
  <c r="BL64" i="1" s="1"/>
  <c r="BL32" i="1"/>
  <c r="BL56" i="1" s="1"/>
  <c r="BL80" i="1"/>
  <c r="BL132" i="1"/>
  <c r="BL29" i="1"/>
  <c r="BL52" i="1" s="1"/>
  <c r="BL33" i="1"/>
  <c r="BL57" i="1" s="1"/>
  <c r="BL39" i="1"/>
  <c r="BL18" i="1"/>
  <c r="BK52" i="1"/>
  <c r="DF29" i="1"/>
  <c r="BM3" i="1"/>
  <c r="AH3" i="31" s="1"/>
  <c r="BN1" i="1"/>
  <c r="BM2" i="1"/>
  <c r="DF132" i="1"/>
  <c r="DH498" i="1"/>
  <c r="BD43" i="31" s="1"/>
  <c r="BP498" i="1"/>
  <c r="AK43" i="31" s="1"/>
  <c r="BQ142" i="1"/>
  <c r="DI142" i="1" s="1"/>
  <c r="BP762" i="1"/>
  <c r="DG522" i="1"/>
  <c r="BN522" i="1"/>
  <c r="BO499" i="1"/>
  <c r="BL623" i="1"/>
  <c r="DG536" i="1"/>
  <c r="BK553" i="1"/>
  <c r="DE737" i="1"/>
  <c r="DE763" i="1" s="1"/>
  <c r="DE553" i="1"/>
  <c r="CD595" i="1"/>
  <c r="CD548" i="1"/>
  <c r="CD150" i="1"/>
  <c r="CD834" i="1"/>
  <c r="CC786" i="1"/>
  <c r="CC784" i="1"/>
  <c r="CB836" i="1"/>
  <c r="CB590" i="1"/>
  <c r="CB606" i="1"/>
  <c r="CB607" i="1" s="1"/>
  <c r="CB837" i="1" s="1"/>
  <c r="I743" i="1"/>
  <c r="I769" i="1" s="1"/>
  <c r="I742" i="1"/>
  <c r="I768" i="1" s="1"/>
  <c r="I541" i="1"/>
  <c r="I531" i="1"/>
  <c r="J533" i="1"/>
  <c r="CM325" i="1"/>
  <c r="CM269" i="1"/>
  <c r="CM81" i="1"/>
  <c r="CN81" i="1"/>
  <c r="CN269" i="1"/>
  <c r="CN325" i="1"/>
  <c r="CE541" i="1"/>
  <c r="CE550" i="1" s="1"/>
  <c r="CE564" i="1" s="1"/>
  <c r="CE568" i="1" s="1"/>
  <c r="CF533" i="1"/>
  <c r="CE743" i="1"/>
  <c r="CE769" i="1" s="1"/>
  <c r="CE531" i="1"/>
  <c r="CE742" i="1"/>
  <c r="CE768" i="1" s="1"/>
  <c r="H595" i="1"/>
  <c r="H150" i="1"/>
  <c r="H834" i="1"/>
  <c r="H548" i="1"/>
  <c r="AI2" i="31" l="1"/>
  <c r="DI3" i="1"/>
  <c r="BE3" i="31" s="1"/>
  <c r="BL159" i="1"/>
  <c r="DI2" i="1"/>
  <c r="G3" i="2"/>
  <c r="DI647" i="1" s="1"/>
  <c r="BM80" i="1"/>
  <c r="BM29" i="1"/>
  <c r="BM20" i="1"/>
  <c r="BM33" i="1"/>
  <c r="BM39" i="1"/>
  <c r="DG39" i="1" s="1"/>
  <c r="BM17" i="1"/>
  <c r="BM128" i="1"/>
  <c r="BM31" i="1"/>
  <c r="BM132" i="1"/>
  <c r="BM18" i="1"/>
  <c r="BM5" i="1"/>
  <c r="AH4" i="31" s="1"/>
  <c r="BM32" i="1"/>
  <c r="BL5" i="1"/>
  <c r="AG4" i="31" s="1"/>
  <c r="BM40" i="1"/>
  <c r="DG40" i="1" s="1"/>
  <c r="BM19" i="1"/>
  <c r="BM30" i="1"/>
  <c r="BM38" i="1"/>
  <c r="BM64" i="1" s="1"/>
  <c r="BL737" i="1"/>
  <c r="BL763" i="1" s="1"/>
  <c r="BN2" i="1"/>
  <c r="BO1" i="1"/>
  <c r="BN3" i="1"/>
  <c r="AI3" i="31" s="1"/>
  <c r="DG236" i="1"/>
  <c r="BQ498" i="1"/>
  <c r="AL43" i="31" s="1"/>
  <c r="DI762" i="1"/>
  <c r="BQ762" i="1"/>
  <c r="BO522" i="1"/>
  <c r="DH522" i="1" s="1"/>
  <c r="BP499" i="1"/>
  <c r="DG623" i="1"/>
  <c r="DH499" i="1"/>
  <c r="BN536" i="1"/>
  <c r="BL553" i="1"/>
  <c r="DF553" i="1"/>
  <c r="CB150" i="1"/>
  <c r="CB595" i="1"/>
  <c r="CB834" i="1"/>
  <c r="CB548" i="1"/>
  <c r="CD784" i="1"/>
  <c r="CD786" i="1"/>
  <c r="H786" i="1"/>
  <c r="H784" i="1"/>
  <c r="H744" i="1"/>
  <c r="H630" i="1"/>
  <c r="I550" i="1"/>
  <c r="I564" i="1" s="1"/>
  <c r="I568" i="1" s="1"/>
  <c r="I674" i="1"/>
  <c r="CE674" i="1" s="1"/>
  <c r="J527" i="1"/>
  <c r="AJ2" i="31" l="1"/>
  <c r="DI498" i="1"/>
  <c r="BE43" i="31" s="1"/>
  <c r="J7" i="7"/>
  <c r="DG38" i="1"/>
  <c r="DI643" i="1"/>
  <c r="U4" i="16"/>
  <c r="U6" i="16" s="1"/>
  <c r="BM53" i="1"/>
  <c r="BM159" i="1" s="1"/>
  <c r="DG30" i="1"/>
  <c r="DG18" i="1"/>
  <c r="BM24" i="1"/>
  <c r="BM57" i="1"/>
  <c r="DG33" i="1"/>
  <c r="BM25" i="1"/>
  <c r="DG19" i="1"/>
  <c r="BM26" i="1"/>
  <c r="DG20" i="1"/>
  <c r="BP1" i="1"/>
  <c r="BO2" i="1"/>
  <c r="BO3" i="1"/>
  <c r="AJ3" i="31" s="1"/>
  <c r="BM54" i="1"/>
  <c r="DG31" i="1"/>
  <c r="BM52" i="1"/>
  <c r="DG29" i="1"/>
  <c r="DG132" i="1"/>
  <c r="DG128" i="1"/>
  <c r="DG737" i="1" s="1"/>
  <c r="DG763" i="1" s="1"/>
  <c r="BM737" i="1"/>
  <c r="BM763" i="1" s="1"/>
  <c r="BM56" i="1"/>
  <c r="DG32" i="1"/>
  <c r="BM23" i="1"/>
  <c r="DG17" i="1"/>
  <c r="BN132" i="1"/>
  <c r="BN17" i="1"/>
  <c r="BN23" i="1" s="1"/>
  <c r="BN30" i="1"/>
  <c r="BN53" i="1" s="1"/>
  <c r="BN19" i="1"/>
  <c r="BN25" i="1" s="1"/>
  <c r="BN38" i="1"/>
  <c r="BN64" i="1" s="1"/>
  <c r="BN18" i="1"/>
  <c r="BN24" i="1" s="1"/>
  <c r="BN29" i="1"/>
  <c r="BN52" i="1" s="1"/>
  <c r="BN32" i="1"/>
  <c r="BN56" i="1" s="1"/>
  <c r="BN39" i="1"/>
  <c r="BN33" i="1"/>
  <c r="BN57" i="1" s="1"/>
  <c r="BN80" i="1"/>
  <c r="BN128" i="1"/>
  <c r="BN40" i="1"/>
  <c r="BN31" i="1"/>
  <c r="BN54" i="1" s="1"/>
  <c r="BN20" i="1"/>
  <c r="BN26" i="1" s="1"/>
  <c r="BO536" i="1"/>
  <c r="DH536" i="1" s="1"/>
  <c r="DH623" i="1" s="1"/>
  <c r="BP522" i="1"/>
  <c r="BQ499" i="1"/>
  <c r="BN623" i="1"/>
  <c r="BM553" i="1"/>
  <c r="CB786" i="1"/>
  <c r="CB784" i="1"/>
  <c r="CB744" i="1"/>
  <c r="CB630" i="1"/>
  <c r="CB631" i="1" s="1"/>
  <c r="J622" i="1"/>
  <c r="J529" i="1"/>
  <c r="I583" i="1"/>
  <c r="H631" i="1"/>
  <c r="AK2" i="31" l="1"/>
  <c r="BN159" i="1"/>
  <c r="T4" i="16"/>
  <c r="S4" i="16" s="1"/>
  <c r="R4" i="16" s="1"/>
  <c r="V4" i="16"/>
  <c r="W4" i="16" s="1"/>
  <c r="X4" i="16" s="1"/>
  <c r="U57" i="16"/>
  <c r="BO5" i="1"/>
  <c r="AJ4" i="31" s="1"/>
  <c r="BO32" i="1"/>
  <c r="BO56" i="1" s="1"/>
  <c r="BO17" i="1"/>
  <c r="BO40" i="1"/>
  <c r="DH40" i="1" s="1"/>
  <c r="BO19" i="1"/>
  <c r="BO18" i="1"/>
  <c r="DH236" i="1"/>
  <c r="BO39" i="1"/>
  <c r="DH39" i="1" s="1"/>
  <c r="BO80" i="1"/>
  <c r="BN5" i="1"/>
  <c r="AI4" i="31" s="1"/>
  <c r="BO33" i="1"/>
  <c r="BO31" i="1"/>
  <c r="BO20" i="1"/>
  <c r="BO26" i="1" s="1"/>
  <c r="BO30" i="1"/>
  <c r="BO53" i="1" s="1"/>
  <c r="BO132" i="1"/>
  <c r="BO38" i="1"/>
  <c r="BO128" i="1"/>
  <c r="BO29" i="1"/>
  <c r="BN737" i="1"/>
  <c r="BN763" i="1" s="1"/>
  <c r="BP3" i="1"/>
  <c r="AK3" i="31" s="1"/>
  <c r="BP2" i="1"/>
  <c r="BQ1" i="1"/>
  <c r="BQ522" i="1"/>
  <c r="BQ536" i="1" s="1"/>
  <c r="BQ623" i="1" s="1"/>
  <c r="BO623" i="1"/>
  <c r="DI499" i="1"/>
  <c r="BP536" i="1"/>
  <c r="BN553" i="1"/>
  <c r="DG553" i="1"/>
  <c r="CB639" i="1"/>
  <c r="CB618" i="1"/>
  <c r="H639" i="1"/>
  <c r="H4" i="1" s="1"/>
  <c r="H618" i="1"/>
  <c r="J624" i="1"/>
  <c r="CE583" i="1"/>
  <c r="CE585" i="1" s="1"/>
  <c r="CE587" i="1" s="1"/>
  <c r="I585" i="1"/>
  <c r="I587" i="1" s="1"/>
  <c r="I628" i="1"/>
  <c r="J534" i="1"/>
  <c r="W57" i="16" l="1"/>
  <c r="AL2" i="31"/>
  <c r="BO159" i="1"/>
  <c r="V6" i="16"/>
  <c r="S6" i="16"/>
  <c r="T6" i="16"/>
  <c r="W6" i="16"/>
  <c r="V57" i="16"/>
  <c r="T53" i="16"/>
  <c r="S53" i="16"/>
  <c r="DH30" i="1"/>
  <c r="DH32" i="1"/>
  <c r="DH128" i="1"/>
  <c r="DH132" i="1"/>
  <c r="BQ3" i="1"/>
  <c r="AL3" i="31" s="1"/>
  <c r="BQ2" i="1"/>
  <c r="U53" i="16"/>
  <c r="V53" i="16" s="1"/>
  <c r="W53" i="16" s="1"/>
  <c r="X53" i="16" s="1"/>
  <c r="Y53" i="16" s="1"/>
  <c r="Z53" i="16" s="1"/>
  <c r="AA53" i="16" s="1"/>
  <c r="AB53" i="16" s="1"/>
  <c r="DH17" i="1"/>
  <c r="BO23" i="1"/>
  <c r="DH23" i="1" s="1"/>
  <c r="DH38" i="1"/>
  <c r="BO64" i="1"/>
  <c r="DH26" i="1"/>
  <c r="DI522" i="1"/>
  <c r="BP38" i="1"/>
  <c r="BP64" i="1" s="1"/>
  <c r="BP33" i="1"/>
  <c r="BP29" i="1"/>
  <c r="BP39" i="1"/>
  <c r="BP30" i="1"/>
  <c r="BP80" i="1"/>
  <c r="BP19" i="1"/>
  <c r="BP25" i="1" s="1"/>
  <c r="BP20" i="1"/>
  <c r="BP32" i="1"/>
  <c r="BP17" i="1"/>
  <c r="BP31" i="1"/>
  <c r="BP18" i="1"/>
  <c r="BP24" i="1" s="1"/>
  <c r="BP132" i="1"/>
  <c r="BP128" i="1"/>
  <c r="BP40" i="1"/>
  <c r="DH20" i="1"/>
  <c r="BO52" i="1"/>
  <c r="DH29" i="1"/>
  <c r="BO54" i="1"/>
  <c r="DH31" i="1"/>
  <c r="BO24" i="1"/>
  <c r="DH24" i="1" s="1"/>
  <c r="DH18" i="1"/>
  <c r="BO737" i="1"/>
  <c r="BO763" i="1" s="1"/>
  <c r="DH33" i="1"/>
  <c r="BO57" i="1"/>
  <c r="BO25" i="1"/>
  <c r="DH25" i="1" s="1"/>
  <c r="DH19" i="1"/>
  <c r="BP623" i="1"/>
  <c r="DI536" i="1"/>
  <c r="BO553" i="1"/>
  <c r="Y4" i="16"/>
  <c r="X6" i="16"/>
  <c r="X57" i="16"/>
  <c r="Q4" i="16"/>
  <c r="R6" i="16"/>
  <c r="R53" i="16"/>
  <c r="J538" i="1"/>
  <c r="I607" i="1"/>
  <c r="I837" i="1" s="1"/>
  <c r="I590" i="1"/>
  <c r="I836" i="1"/>
  <c r="CE628" i="1"/>
  <c r="CE629" i="1" s="1"/>
  <c r="I629" i="1"/>
  <c r="CE607" i="1"/>
  <c r="CE837" i="1" s="1"/>
  <c r="CE590" i="1"/>
  <c r="CE836" i="1"/>
  <c r="W58" i="16" l="1"/>
  <c r="Q53" i="16"/>
  <c r="Q20" i="16"/>
  <c r="X58" i="16"/>
  <c r="DI236" i="1"/>
  <c r="BQ5" i="1"/>
  <c r="AL4" i="31" s="1"/>
  <c r="BP56" i="1"/>
  <c r="BQ31" i="1"/>
  <c r="BQ54" i="1" s="1"/>
  <c r="BQ30" i="1"/>
  <c r="BQ53" i="1" s="1"/>
  <c r="BQ128" i="1"/>
  <c r="BQ38" i="1"/>
  <c r="BQ64" i="1" s="1"/>
  <c r="BQ80" i="1"/>
  <c r="BQ32" i="1"/>
  <c r="BQ56" i="1" s="1"/>
  <c r="BQ33" i="1"/>
  <c r="BQ57" i="1" s="1"/>
  <c r="BQ132" i="1"/>
  <c r="BP5" i="1"/>
  <c r="AK4" i="31" s="1"/>
  <c r="BQ29" i="1"/>
  <c r="BQ52" i="1" s="1"/>
  <c r="BQ19" i="1"/>
  <c r="DI19" i="1" s="1"/>
  <c r="BQ20" i="1"/>
  <c r="DI20" i="1" s="1"/>
  <c r="BQ40" i="1"/>
  <c r="DI40" i="1" s="1"/>
  <c r="BQ39" i="1"/>
  <c r="DI39" i="1" s="1"/>
  <c r="BQ18" i="1"/>
  <c r="DI18" i="1" s="1"/>
  <c r="BQ17" i="1"/>
  <c r="DI17" i="1" s="1"/>
  <c r="BP737" i="1"/>
  <c r="BP763" i="1" s="1"/>
  <c r="BP52" i="1"/>
  <c r="DI623" i="1"/>
  <c r="BP57" i="1"/>
  <c r="BP26" i="1"/>
  <c r="BP23" i="1"/>
  <c r="DH737" i="1"/>
  <c r="DH763" i="1" s="1"/>
  <c r="BP54" i="1"/>
  <c r="BP53" i="1"/>
  <c r="BP159" i="1" s="1"/>
  <c r="DH553" i="1"/>
  <c r="BP553" i="1"/>
  <c r="P4" i="16"/>
  <c r="Q6" i="16"/>
  <c r="Z4" i="16"/>
  <c r="Y57" i="16"/>
  <c r="Y58" i="16" s="1"/>
  <c r="Y6" i="16"/>
  <c r="I834" i="1"/>
  <c r="I548" i="1"/>
  <c r="I595" i="1"/>
  <c r="I150" i="1"/>
  <c r="J743" i="1"/>
  <c r="J769" i="1" s="1"/>
  <c r="J531" i="1"/>
  <c r="K533" i="1"/>
  <c r="J742" i="1"/>
  <c r="J768" i="1" s="1"/>
  <c r="J541" i="1"/>
  <c r="CE595" i="1"/>
  <c r="CE150" i="1"/>
  <c r="CE834" i="1"/>
  <c r="CE548" i="1"/>
  <c r="BQ159" i="1" l="1"/>
  <c r="DI128" i="1"/>
  <c r="DI31" i="1"/>
  <c r="DI30" i="1"/>
  <c r="DI132" i="1"/>
  <c r="DI38" i="1"/>
  <c r="BQ24" i="1"/>
  <c r="DI24" i="1" s="1"/>
  <c r="DI33" i="1"/>
  <c r="BQ23" i="1"/>
  <c r="DI23" i="1" s="1"/>
  <c r="BQ737" i="1"/>
  <c r="BQ763" i="1" s="1"/>
  <c r="DI32" i="1"/>
  <c r="BQ26" i="1"/>
  <c r="DI26" i="1" s="1"/>
  <c r="BQ25" i="1"/>
  <c r="DI25" i="1" s="1"/>
  <c r="DI29" i="1"/>
  <c r="DI737" i="1"/>
  <c r="DI763" i="1" s="1"/>
  <c r="BQ553" i="1"/>
  <c r="DI553" i="1" s="1"/>
  <c r="AA4" i="16"/>
  <c r="Z6" i="16"/>
  <c r="Z57" i="16"/>
  <c r="Z58" i="16" s="1"/>
  <c r="T57" i="16"/>
  <c r="V58" i="16" s="1"/>
  <c r="P6" i="16"/>
  <c r="P53" i="16"/>
  <c r="O4" i="16"/>
  <c r="P57" i="16"/>
  <c r="Q57" i="16" s="1"/>
  <c r="R57" i="16" s="1"/>
  <c r="S57" i="16" s="1"/>
  <c r="CE786" i="1"/>
  <c r="CE784" i="1"/>
  <c r="J674" i="1"/>
  <c r="J550" i="1"/>
  <c r="J564" i="1" s="1"/>
  <c r="J568" i="1" s="1"/>
  <c r="K527" i="1"/>
  <c r="I786" i="1"/>
  <c r="I784" i="1"/>
  <c r="I744" i="1"/>
  <c r="CE744" i="1" s="1"/>
  <c r="I630" i="1"/>
  <c r="U58" i="16" l="1"/>
  <c r="P58" i="16"/>
  <c r="Q58" i="16"/>
  <c r="R58" i="16" s="1"/>
  <c r="S58" i="16" s="1"/>
  <c r="T58" i="16" s="1"/>
  <c r="O20" i="16"/>
  <c r="O22" i="16" s="1"/>
  <c r="N4" i="16"/>
  <c r="AA6" i="16"/>
  <c r="AB6" i="16" s="1"/>
  <c r="AA57" i="16"/>
  <c r="AA58" i="16" s="1"/>
  <c r="AD4" i="16"/>
  <c r="J583" i="1"/>
  <c r="CE630" i="1"/>
  <c r="CE631" i="1" s="1"/>
  <c r="I631" i="1"/>
  <c r="K622" i="1"/>
  <c r="K529" i="1"/>
  <c r="CF527" i="1"/>
  <c r="M4" i="16" l="1"/>
  <c r="N20" i="16"/>
  <c r="N22" i="16" s="1"/>
  <c r="K534" i="1"/>
  <c r="CF529" i="1"/>
  <c r="I639" i="1"/>
  <c r="I4" i="1" s="1"/>
  <c r="I618" i="1"/>
  <c r="J585" i="1"/>
  <c r="J587" i="1" s="1"/>
  <c r="J628" i="1"/>
  <c r="K624" i="1"/>
  <c r="CF622" i="1"/>
  <c r="CF624" i="1" s="1"/>
  <c r="CE639" i="1"/>
  <c r="CE618" i="1"/>
  <c r="L4" i="16" l="1"/>
  <c r="M20" i="16"/>
  <c r="M22" i="16" s="1"/>
  <c r="J629" i="1"/>
  <c r="J607" i="1"/>
  <c r="J837" i="1" s="1"/>
  <c r="J590" i="1"/>
  <c r="J836" i="1"/>
  <c r="CF534" i="1"/>
  <c r="K538" i="1"/>
  <c r="L13" i="16" l="1"/>
  <c r="K4" i="16"/>
  <c r="L20" i="16"/>
  <c r="L22" i="16" s="1"/>
  <c r="J834" i="1"/>
  <c r="J548" i="1"/>
  <c r="J595" i="1"/>
  <c r="J150" i="1"/>
  <c r="L533" i="1"/>
  <c r="CF538" i="1"/>
  <c r="K743" i="1"/>
  <c r="K769" i="1" s="1"/>
  <c r="K742" i="1"/>
  <c r="K768" i="1" s="1"/>
  <c r="K541" i="1"/>
  <c r="K531" i="1"/>
  <c r="J4" i="16" l="1"/>
  <c r="K20" i="16"/>
  <c r="K13" i="16"/>
  <c r="L14" i="16" s="1"/>
  <c r="CG533" i="1"/>
  <c r="CF531" i="1"/>
  <c r="CF743" i="1"/>
  <c r="CF769" i="1" s="1"/>
  <c r="CF742" i="1"/>
  <c r="CF768" i="1" s="1"/>
  <c r="CF541" i="1"/>
  <c r="CF550" i="1" s="1"/>
  <c r="CF564" i="1" s="1"/>
  <c r="CF568" i="1" s="1"/>
  <c r="K550" i="1"/>
  <c r="K564" i="1" s="1"/>
  <c r="K568" i="1" s="1"/>
  <c r="K674" i="1"/>
  <c r="CF674" i="1" s="1"/>
  <c r="L527" i="1"/>
  <c r="J784" i="1"/>
  <c r="J786" i="1"/>
  <c r="J744" i="1"/>
  <c r="J630" i="1"/>
  <c r="K22" i="16" l="1"/>
  <c r="I4" i="16"/>
  <c r="J20" i="16"/>
  <c r="J13" i="16"/>
  <c r="K14" i="16" s="1"/>
  <c r="J631" i="1"/>
  <c r="L622" i="1"/>
  <c r="L529" i="1"/>
  <c r="K583" i="1"/>
  <c r="J22" i="16" l="1"/>
  <c r="I13" i="16"/>
  <c r="J14" i="16" s="1"/>
  <c r="I20" i="16"/>
  <c r="H4" i="16"/>
  <c r="L534" i="1"/>
  <c r="J639" i="1"/>
  <c r="J4" i="1" s="1"/>
  <c r="J618" i="1"/>
  <c r="K585" i="1"/>
  <c r="K587" i="1" s="1"/>
  <c r="K628" i="1"/>
  <c r="L628" i="1"/>
  <c r="CG628" i="1" s="1"/>
  <c r="CF583" i="1"/>
  <c r="CF585" i="1" s="1"/>
  <c r="CF587" i="1" s="1"/>
  <c r="L624" i="1"/>
  <c r="I22" i="16" l="1"/>
  <c r="H13" i="16"/>
  <c r="I14" i="16" s="1"/>
  <c r="H59" i="16"/>
  <c r="H18" i="16"/>
  <c r="G4" i="16"/>
  <c r="H32" i="16"/>
  <c r="H20" i="16"/>
  <c r="H16" i="16"/>
  <c r="L629" i="1"/>
  <c r="CF590" i="1"/>
  <c r="CF607" i="1"/>
  <c r="CF837" i="1" s="1"/>
  <c r="CF836" i="1"/>
  <c r="CF628" i="1"/>
  <c r="CF629" i="1" s="1"/>
  <c r="K629" i="1"/>
  <c r="K836" i="1"/>
  <c r="K590" i="1"/>
  <c r="K607" i="1"/>
  <c r="K837" i="1" s="1"/>
  <c r="L538" i="1"/>
  <c r="F4" i="16" l="1"/>
  <c r="G18" i="16"/>
  <c r="H19" i="16" s="1"/>
  <c r="G59" i="16"/>
  <c r="G20" i="16"/>
  <c r="G13" i="16"/>
  <c r="H14" i="16" s="1"/>
  <c r="G16" i="16"/>
  <c r="G32" i="16"/>
  <c r="H22" i="16"/>
  <c r="H21" i="16"/>
  <c r="H33" i="16"/>
  <c r="K595" i="1"/>
  <c r="K150" i="1"/>
  <c r="K834" i="1"/>
  <c r="K548" i="1"/>
  <c r="L743" i="1"/>
  <c r="L769" i="1" s="1"/>
  <c r="L541" i="1"/>
  <c r="L742" i="1"/>
  <c r="L768" i="1" s="1"/>
  <c r="L531" i="1"/>
  <c r="M533" i="1"/>
  <c r="CF548" i="1"/>
  <c r="CF595" i="1"/>
  <c r="CF834" i="1"/>
  <c r="CF150" i="1"/>
  <c r="G22" i="16" l="1"/>
  <c r="G21" i="16"/>
  <c r="G33" i="16"/>
  <c r="F16" i="16"/>
  <c r="F20" i="16"/>
  <c r="F32" i="16"/>
  <c r="E4" i="16"/>
  <c r="F13" i="16"/>
  <c r="G14" i="16" s="1"/>
  <c r="F18" i="16"/>
  <c r="G19" i="16" s="1"/>
  <c r="F59" i="16"/>
  <c r="CF786" i="1"/>
  <c r="CF784" i="1"/>
  <c r="M527" i="1"/>
  <c r="L550" i="1"/>
  <c r="L564" i="1" s="1"/>
  <c r="L568" i="1" s="1"/>
  <c r="L587" i="1" s="1"/>
  <c r="L674" i="1"/>
  <c r="K784" i="1"/>
  <c r="K786" i="1"/>
  <c r="K744" i="1"/>
  <c r="CF744" i="1" s="1"/>
  <c r="K630" i="1"/>
  <c r="F33" i="16" l="1"/>
  <c r="F22" i="16"/>
  <c r="F21" i="16"/>
  <c r="E18" i="16"/>
  <c r="F19" i="16" s="1"/>
  <c r="D4" i="16"/>
  <c r="E59" i="16"/>
  <c r="E16" i="16"/>
  <c r="E20" i="16"/>
  <c r="E13" i="16"/>
  <c r="E32" i="16"/>
  <c r="CF630" i="1"/>
  <c r="CF631" i="1" s="1"/>
  <c r="K631" i="1"/>
  <c r="L607" i="1"/>
  <c r="L837" i="1" s="1"/>
  <c r="L590" i="1"/>
  <c r="L836" i="1"/>
  <c r="M529" i="1"/>
  <c r="M622" i="1"/>
  <c r="CG527" i="1"/>
  <c r="E33" i="16" l="1"/>
  <c r="D59" i="16"/>
  <c r="D13" i="16"/>
  <c r="E14" i="16" s="1"/>
  <c r="AC4" i="16"/>
  <c r="D20" i="16"/>
  <c r="D16" i="16"/>
  <c r="D18" i="16"/>
  <c r="E19" i="16" s="1"/>
  <c r="D32" i="16"/>
  <c r="F14" i="16"/>
  <c r="E22" i="16"/>
  <c r="E21" i="16"/>
  <c r="M534" i="1"/>
  <c r="CG529" i="1"/>
  <c r="L595" i="1"/>
  <c r="L150" i="1"/>
  <c r="L834" i="1"/>
  <c r="L548" i="1"/>
  <c r="K639" i="1"/>
  <c r="K4" i="1" s="1"/>
  <c r="K618" i="1"/>
  <c r="M624" i="1"/>
  <c r="M629" i="1" s="1"/>
  <c r="CG622" i="1"/>
  <c r="CG624" i="1" s="1"/>
  <c r="CG629" i="1" s="1"/>
  <c r="CF639" i="1"/>
  <c r="CF618" i="1"/>
  <c r="D33" i="16" l="1"/>
  <c r="D22" i="16"/>
  <c r="D21" i="16"/>
  <c r="L786" i="1"/>
  <c r="L784" i="1"/>
  <c r="L744" i="1"/>
  <c r="L630" i="1"/>
  <c r="CG534" i="1"/>
  <c r="CG538" i="1" s="1"/>
  <c r="M538" i="1"/>
  <c r="CG742" i="1" l="1"/>
  <c r="CH533" i="1"/>
  <c r="CG531" i="1"/>
  <c r="CG743" i="1"/>
  <c r="CG541" i="1"/>
  <c r="M531" i="1"/>
  <c r="M742" i="1"/>
  <c r="M768" i="1" s="1"/>
  <c r="M743" i="1"/>
  <c r="M769" i="1" s="1"/>
  <c r="M541" i="1"/>
  <c r="N533" i="1"/>
  <c r="L631" i="1"/>
  <c r="L618" i="1" l="1"/>
  <c r="L639" i="1"/>
  <c r="L4" i="1" s="1"/>
  <c r="M674" i="1"/>
  <c r="CG674" i="1" s="1"/>
  <c r="M550" i="1"/>
  <c r="M564" i="1" s="1"/>
  <c r="M568" i="1" s="1"/>
  <c r="M587" i="1" s="1"/>
  <c r="CG769" i="1"/>
  <c r="N527" i="1"/>
  <c r="CG550" i="1"/>
  <c r="CG564" i="1" s="1"/>
  <c r="CG568" i="1" s="1"/>
  <c r="CG587" i="1" s="1"/>
  <c r="CG768" i="1"/>
  <c r="CG836" i="1" l="1"/>
  <c r="CG590" i="1"/>
  <c r="CG607" i="1"/>
  <c r="N622" i="1"/>
  <c r="N529" i="1"/>
  <c r="M590" i="1"/>
  <c r="M607" i="1"/>
  <c r="M837" i="1" s="1"/>
  <c r="M836" i="1"/>
  <c r="M834" i="1" l="1"/>
  <c r="M595" i="1"/>
  <c r="M150" i="1"/>
  <c r="M548" i="1"/>
  <c r="N534" i="1"/>
  <c r="CG150" i="1"/>
  <c r="CG595" i="1"/>
  <c r="CG834" i="1"/>
  <c r="CG548" i="1"/>
  <c r="N624" i="1"/>
  <c r="N629" i="1" s="1"/>
  <c r="CG837" i="1"/>
  <c r="CG784" i="1" l="1"/>
  <c r="CG786" i="1"/>
  <c r="M784" i="1"/>
  <c r="M786" i="1"/>
  <c r="M630" i="1"/>
  <c r="M744" i="1"/>
  <c r="CG744" i="1" s="1"/>
  <c r="N538" i="1"/>
  <c r="M631" i="1" l="1"/>
  <c r="CG630" i="1"/>
  <c r="CG631" i="1" s="1"/>
  <c r="N531" i="1"/>
  <c r="N742" i="1"/>
  <c r="N768" i="1" s="1"/>
  <c r="O533" i="1"/>
  <c r="N743" i="1"/>
  <c r="N769" i="1" s="1"/>
  <c r="N541" i="1"/>
  <c r="CG618" i="1" l="1"/>
  <c r="CG639" i="1"/>
  <c r="N550" i="1"/>
  <c r="N564" i="1" s="1"/>
  <c r="N568" i="1" s="1"/>
  <c r="N587" i="1" s="1"/>
  <c r="N674" i="1"/>
  <c r="O527" i="1"/>
  <c r="M618" i="1"/>
  <c r="M639" i="1"/>
  <c r="M4" i="1" s="1"/>
  <c r="O529" i="1" l="1"/>
  <c r="O622" i="1"/>
  <c r="CH527" i="1"/>
  <c r="N836" i="1"/>
  <c r="N607" i="1"/>
  <c r="N837" i="1" s="1"/>
  <c r="N590" i="1"/>
  <c r="N595" i="1" l="1"/>
  <c r="N834" i="1"/>
  <c r="N548" i="1"/>
  <c r="N150" i="1"/>
  <c r="O624" i="1"/>
  <c r="O629" i="1" s="1"/>
  <c r="CH622" i="1"/>
  <c r="CH624" i="1" s="1"/>
  <c r="CH629" i="1" s="1"/>
  <c r="O534" i="1"/>
  <c r="CH529" i="1"/>
  <c r="CH534" i="1" l="1"/>
  <c r="CH538" i="1" s="1"/>
  <c r="O538" i="1"/>
  <c r="N784" i="1"/>
  <c r="N786" i="1"/>
  <c r="N630" i="1"/>
  <c r="N744" i="1"/>
  <c r="N631" i="1" l="1"/>
  <c r="CI533" i="1"/>
  <c r="CH541" i="1"/>
  <c r="CH531" i="1"/>
  <c r="CH742" i="1"/>
  <c r="CH743" i="1"/>
  <c r="P533" i="1"/>
  <c r="O742" i="1"/>
  <c r="O768" i="1" s="1"/>
  <c r="O743" i="1"/>
  <c r="O769" i="1" s="1"/>
  <c r="O531" i="1"/>
  <c r="O541" i="1"/>
  <c r="O550" i="1" l="1"/>
  <c r="O564" i="1" s="1"/>
  <c r="O568" i="1" s="1"/>
  <c r="O587" i="1" s="1"/>
  <c r="O674" i="1"/>
  <c r="CH674" i="1" s="1"/>
  <c r="P527" i="1"/>
  <c r="CH768" i="1"/>
  <c r="CH550" i="1"/>
  <c r="CH564" i="1" s="1"/>
  <c r="CH568" i="1" s="1"/>
  <c r="CH587" i="1" s="1"/>
  <c r="N618" i="1"/>
  <c r="N639" i="1"/>
  <c r="N4" i="1" s="1"/>
  <c r="CH769" i="1"/>
  <c r="CH607" i="1" l="1"/>
  <c r="CH590" i="1"/>
  <c r="CH836" i="1"/>
  <c r="P622" i="1"/>
  <c r="P529" i="1"/>
  <c r="O607" i="1"/>
  <c r="O837" i="1" s="1"/>
  <c r="O590" i="1"/>
  <c r="O836" i="1"/>
  <c r="O595" i="1" l="1"/>
  <c r="O834" i="1"/>
  <c r="O150" i="1"/>
  <c r="O548" i="1"/>
  <c r="P624" i="1"/>
  <c r="P629" i="1" s="1"/>
  <c r="CH595" i="1"/>
  <c r="CH834" i="1"/>
  <c r="CH548" i="1"/>
  <c r="CH150" i="1"/>
  <c r="P534" i="1"/>
  <c r="CH837" i="1"/>
  <c r="P538" i="1" l="1"/>
  <c r="CH786" i="1"/>
  <c r="CH784" i="1"/>
  <c r="O786" i="1"/>
  <c r="O784" i="1"/>
  <c r="O630" i="1"/>
  <c r="O744" i="1"/>
  <c r="CH744" i="1" s="1"/>
  <c r="O631" i="1" l="1"/>
  <c r="CH630" i="1"/>
  <c r="CH631" i="1" s="1"/>
  <c r="P742" i="1"/>
  <c r="P768" i="1" s="1"/>
  <c r="P541" i="1"/>
  <c r="Q533" i="1"/>
  <c r="P743" i="1"/>
  <c r="P769" i="1" s="1"/>
  <c r="P531" i="1"/>
  <c r="P550" i="1" l="1"/>
  <c r="P564" i="1" s="1"/>
  <c r="P568" i="1" s="1"/>
  <c r="P587" i="1" s="1"/>
  <c r="P674" i="1"/>
  <c r="CH618" i="1"/>
  <c r="CH639" i="1"/>
  <c r="Q527" i="1"/>
  <c r="O639" i="1"/>
  <c r="O4" i="1" s="1"/>
  <c r="O618" i="1"/>
  <c r="Q529" i="1" l="1"/>
  <c r="Q622" i="1"/>
  <c r="CI527" i="1"/>
  <c r="P836" i="1"/>
  <c r="P607" i="1"/>
  <c r="P837" i="1" s="1"/>
  <c r="P590" i="1"/>
  <c r="P595" i="1" l="1"/>
  <c r="P834" i="1"/>
  <c r="P548" i="1"/>
  <c r="P150" i="1"/>
  <c r="Q624" i="1"/>
  <c r="Q629" i="1" s="1"/>
  <c r="CI622" i="1"/>
  <c r="CI624" i="1" s="1"/>
  <c r="CI629" i="1" s="1"/>
  <c r="Q534" i="1"/>
  <c r="CI529" i="1"/>
  <c r="CI534" i="1" l="1"/>
  <c r="CI538" i="1" s="1"/>
  <c r="Q538" i="1"/>
  <c r="P786" i="1"/>
  <c r="P784" i="1"/>
  <c r="P630" i="1"/>
  <c r="P744" i="1"/>
  <c r="P631" i="1" l="1"/>
  <c r="CJ533" i="1"/>
  <c r="CI743" i="1"/>
  <c r="CI541" i="1"/>
  <c r="CI531" i="1"/>
  <c r="CI742" i="1"/>
  <c r="R533" i="1"/>
  <c r="Q531" i="1"/>
  <c r="Q742" i="1"/>
  <c r="Q768" i="1" s="1"/>
  <c r="Q541" i="1"/>
  <c r="Q743" i="1"/>
  <c r="Q769" i="1" s="1"/>
  <c r="Q674" i="1" l="1"/>
  <c r="CI674" i="1" s="1"/>
  <c r="Q550" i="1"/>
  <c r="Q564" i="1" s="1"/>
  <c r="Q568" i="1" s="1"/>
  <c r="Q587" i="1" s="1"/>
  <c r="CI769" i="1"/>
  <c r="P639" i="1"/>
  <c r="P4" i="1" s="1"/>
  <c r="P618" i="1"/>
  <c r="R527" i="1"/>
  <c r="CI768" i="1"/>
  <c r="CI550" i="1"/>
  <c r="CI564" i="1" s="1"/>
  <c r="CI568" i="1" s="1"/>
  <c r="CI587" i="1" s="1"/>
  <c r="CI607" i="1" l="1"/>
  <c r="CI590" i="1"/>
  <c r="CI836" i="1"/>
  <c r="R529" i="1"/>
  <c r="R622" i="1"/>
  <c r="Q836" i="1"/>
  <c r="Q607" i="1"/>
  <c r="Q837" i="1" s="1"/>
  <c r="Q590" i="1"/>
  <c r="Q150" i="1" l="1"/>
  <c r="Q595" i="1"/>
  <c r="Q548" i="1"/>
  <c r="Q834" i="1"/>
  <c r="CI834" i="1"/>
  <c r="CI150" i="1"/>
  <c r="CI548" i="1"/>
  <c r="CI595" i="1"/>
  <c r="R624" i="1"/>
  <c r="R629" i="1" s="1"/>
  <c r="R534" i="1"/>
  <c r="CI837" i="1"/>
  <c r="CI784" i="1" l="1"/>
  <c r="CI786" i="1"/>
  <c r="Q784" i="1"/>
  <c r="Q786" i="1"/>
  <c r="Q630" i="1"/>
  <c r="Q744" i="1"/>
  <c r="CI744" i="1" s="1"/>
  <c r="R538" i="1"/>
  <c r="S533" i="1" l="1"/>
  <c r="R742" i="1"/>
  <c r="R768" i="1" s="1"/>
  <c r="R743" i="1"/>
  <c r="R769" i="1" s="1"/>
  <c r="R541" i="1"/>
  <c r="R531" i="1"/>
  <c r="Q631" i="1"/>
  <c r="CI630" i="1"/>
  <c r="CI631" i="1" s="1"/>
  <c r="CI639" i="1" l="1"/>
  <c r="CI618" i="1"/>
  <c r="R550" i="1"/>
  <c r="R564" i="1" s="1"/>
  <c r="R568" i="1" s="1"/>
  <c r="R587" i="1" s="1"/>
  <c r="R674" i="1"/>
  <c r="Q639" i="1"/>
  <c r="Q4" i="1" s="1"/>
  <c r="Q618" i="1"/>
  <c r="S527" i="1"/>
  <c r="S529" i="1" l="1"/>
  <c r="S622" i="1"/>
  <c r="CJ527" i="1"/>
  <c r="R836" i="1"/>
  <c r="R607" i="1"/>
  <c r="R837" i="1" s="1"/>
  <c r="R590" i="1"/>
  <c r="R834" i="1" l="1"/>
  <c r="R595" i="1"/>
  <c r="R150" i="1"/>
  <c r="R548" i="1"/>
  <c r="S624" i="1"/>
  <c r="S629" i="1" s="1"/>
  <c r="CJ622" i="1"/>
  <c r="CJ624" i="1" s="1"/>
  <c r="CJ629" i="1" s="1"/>
  <c r="S534" i="1"/>
  <c r="CJ529" i="1"/>
  <c r="R786" i="1" l="1"/>
  <c r="R784" i="1"/>
  <c r="R630" i="1"/>
  <c r="R744" i="1"/>
  <c r="CJ534" i="1"/>
  <c r="CJ538" i="1" s="1"/>
  <c r="S538" i="1"/>
  <c r="S531" i="1" l="1"/>
  <c r="S742" i="1"/>
  <c r="S768" i="1" s="1"/>
  <c r="T533" i="1"/>
  <c r="S743" i="1"/>
  <c r="S769" i="1" s="1"/>
  <c r="S541" i="1"/>
  <c r="CK533" i="1"/>
  <c r="CJ531" i="1"/>
  <c r="CJ743" i="1"/>
  <c r="CJ541" i="1"/>
  <c r="CJ742" i="1"/>
  <c r="R631" i="1"/>
  <c r="R639" i="1" l="1"/>
  <c r="R4" i="1" s="1"/>
  <c r="R618" i="1"/>
  <c r="CJ550" i="1"/>
  <c r="CJ564" i="1" s="1"/>
  <c r="CJ568" i="1" s="1"/>
  <c r="CJ587" i="1" s="1"/>
  <c r="S674" i="1"/>
  <c r="CJ674" i="1" s="1"/>
  <c r="S550" i="1"/>
  <c r="S564" i="1" s="1"/>
  <c r="S568" i="1" s="1"/>
  <c r="S587" i="1" s="1"/>
  <c r="T527" i="1"/>
  <c r="CJ768" i="1"/>
  <c r="CJ769" i="1"/>
  <c r="S607" i="1" l="1"/>
  <c r="S837" i="1" s="1"/>
  <c r="S590" i="1"/>
  <c r="S836" i="1"/>
  <c r="T622" i="1"/>
  <c r="T529" i="1"/>
  <c r="CJ590" i="1"/>
  <c r="CJ836" i="1"/>
  <c r="CJ607" i="1"/>
  <c r="CJ837" i="1" l="1"/>
  <c r="CJ595" i="1"/>
  <c r="CJ150" i="1"/>
  <c r="CJ834" i="1"/>
  <c r="CJ548" i="1"/>
  <c r="T534" i="1"/>
  <c r="T624" i="1"/>
  <c r="T629" i="1" s="1"/>
  <c r="S548" i="1"/>
  <c r="S150" i="1"/>
  <c r="S595" i="1"/>
  <c r="S834" i="1"/>
  <c r="S784" i="1" l="1"/>
  <c r="S786" i="1"/>
  <c r="S630" i="1"/>
  <c r="S744" i="1"/>
  <c r="CJ744" i="1" s="1"/>
  <c r="T538" i="1"/>
  <c r="CJ784" i="1"/>
  <c r="CJ786" i="1"/>
  <c r="T541" i="1" l="1"/>
  <c r="T742" i="1"/>
  <c r="T768" i="1" s="1"/>
  <c r="T531" i="1"/>
  <c r="T743" i="1"/>
  <c r="T769" i="1" s="1"/>
  <c r="U533" i="1"/>
  <c r="S631" i="1"/>
  <c r="CJ630" i="1"/>
  <c r="CJ631" i="1" s="1"/>
  <c r="CJ639" i="1" l="1"/>
  <c r="CJ618" i="1"/>
  <c r="S639" i="1"/>
  <c r="S4" i="1" s="1"/>
  <c r="S618" i="1"/>
  <c r="U527" i="1"/>
  <c r="T550" i="1"/>
  <c r="T564" i="1" s="1"/>
  <c r="T568" i="1" s="1"/>
  <c r="T587" i="1" s="1"/>
  <c r="T674" i="1"/>
  <c r="U622" i="1" l="1"/>
  <c r="U529" i="1"/>
  <c r="CK527" i="1"/>
  <c r="T607" i="1"/>
  <c r="T837" i="1" s="1"/>
  <c r="T590" i="1"/>
  <c r="T836" i="1"/>
  <c r="U534" i="1" l="1"/>
  <c r="CK529" i="1"/>
  <c r="T595" i="1"/>
  <c r="T548" i="1"/>
  <c r="T834" i="1"/>
  <c r="T150" i="1"/>
  <c r="U624" i="1"/>
  <c r="U629" i="1" s="1"/>
  <c r="CK622" i="1"/>
  <c r="CK624" i="1" s="1"/>
  <c r="CK629" i="1" s="1"/>
  <c r="T786" i="1" l="1"/>
  <c r="T784" i="1"/>
  <c r="T630" i="1"/>
  <c r="T744" i="1"/>
  <c r="CK534" i="1"/>
  <c r="CK538" i="1" s="1"/>
  <c r="U538" i="1"/>
  <c r="CK541" i="1" l="1"/>
  <c r="CL533" i="1"/>
  <c r="CK531" i="1"/>
  <c r="CK742" i="1"/>
  <c r="T631" i="1"/>
  <c r="U661" i="1"/>
  <c r="U742" i="1"/>
  <c r="U768" i="1" s="1"/>
  <c r="U531" i="1"/>
  <c r="V533" i="1"/>
  <c r="U541" i="1"/>
  <c r="U550" i="1" l="1"/>
  <c r="U564" i="1" s="1"/>
  <c r="U568" i="1" s="1"/>
  <c r="U587" i="1" s="1"/>
  <c r="U674" i="1"/>
  <c r="CK674" i="1" s="1"/>
  <c r="U702" i="1"/>
  <c r="U785" i="1" s="1"/>
  <c r="U841" i="1" s="1"/>
  <c r="U698" i="1"/>
  <c r="U789" i="1" s="1"/>
  <c r="U667" i="1"/>
  <c r="CK667" i="1" s="1"/>
  <c r="CK661" i="1"/>
  <c r="CK768" i="1"/>
  <c r="U743" i="1"/>
  <c r="U769" i="1" s="1"/>
  <c r="V527" i="1"/>
  <c r="T639" i="1"/>
  <c r="T4" i="1" s="1"/>
  <c r="T618" i="1"/>
  <c r="CK550" i="1"/>
  <c r="CK564" i="1" s="1"/>
  <c r="CK568" i="1" s="1"/>
  <c r="CK587" i="1" s="1"/>
  <c r="CK607" i="1" l="1"/>
  <c r="CK590" i="1"/>
  <c r="CK836" i="1"/>
  <c r="V622" i="1"/>
  <c r="V529" i="1"/>
  <c r="CK702" i="1"/>
  <c r="CK785" i="1" s="1"/>
  <c r="CK841" i="1" s="1"/>
  <c r="CK698" i="1"/>
  <c r="CK789" i="1" s="1"/>
  <c r="CL698" i="1"/>
  <c r="CL789" i="1" s="1"/>
  <c r="CL702" i="1"/>
  <c r="CL785" i="1" s="1"/>
  <c r="CL841" i="1" s="1"/>
  <c r="CK743" i="1"/>
  <c r="U836" i="1"/>
  <c r="U590" i="1"/>
  <c r="U607" i="1"/>
  <c r="U837" i="1" s="1"/>
  <c r="U150" i="1" l="1"/>
  <c r="U595" i="1"/>
  <c r="U548" i="1"/>
  <c r="U834" i="1"/>
  <c r="CK769" i="1"/>
  <c r="V534" i="1"/>
  <c r="CK548" i="1"/>
  <c r="CK834" i="1"/>
  <c r="CK150" i="1"/>
  <c r="CK595" i="1"/>
  <c r="V624" i="1"/>
  <c r="CK837" i="1"/>
  <c r="V538" i="1" l="1"/>
  <c r="U784" i="1"/>
  <c r="U786" i="1"/>
  <c r="U630" i="1"/>
  <c r="U744" i="1"/>
  <c r="CK744" i="1" s="1"/>
  <c r="CK786" i="1"/>
  <c r="CK784" i="1"/>
  <c r="U631" i="1" l="1"/>
  <c r="CK630" i="1"/>
  <c r="CK631" i="1" s="1"/>
  <c r="V661" i="1"/>
  <c r="V743" i="1" s="1"/>
  <c r="V769" i="1" s="1"/>
  <c r="V742" i="1"/>
  <c r="V768" i="1" s="1"/>
  <c r="W533" i="1"/>
  <c r="V531" i="1"/>
  <c r="V541" i="1"/>
  <c r="CK618" i="1" l="1"/>
  <c r="CK639" i="1"/>
  <c r="V550" i="1"/>
  <c r="V564" i="1" s="1"/>
  <c r="V568" i="1" s="1"/>
  <c r="V587" i="1" s="1"/>
  <c r="V674" i="1"/>
  <c r="W527" i="1"/>
  <c r="W698" i="1"/>
  <c r="W789" i="1" s="1"/>
  <c r="V667" i="1"/>
  <c r="W702" i="1"/>
  <c r="W785" i="1" s="1"/>
  <c r="W841" i="1" s="1"/>
  <c r="V698" i="1"/>
  <c r="V789" i="1" s="1"/>
  <c r="V702" i="1"/>
  <c r="V785" i="1" s="1"/>
  <c r="V841" i="1" s="1"/>
  <c r="U639" i="1"/>
  <c r="U4" i="1" s="1"/>
  <c r="U618" i="1"/>
  <c r="W622" i="1" l="1"/>
  <c r="W529" i="1"/>
  <c r="CL527" i="1"/>
  <c r="V607" i="1"/>
  <c r="V837" i="1" s="1"/>
  <c r="V590" i="1"/>
  <c r="V836" i="1"/>
  <c r="W534" i="1" l="1"/>
  <c r="CL529" i="1"/>
  <c r="V834" i="1"/>
  <c r="V151" i="1" s="1"/>
  <c r="V595" i="1" s="1"/>
  <c r="V548" i="1"/>
  <c r="V150" i="1"/>
  <c r="W624" i="1"/>
  <c r="CL622" i="1"/>
  <c r="CL624" i="1" s="1"/>
  <c r="V784" i="1" l="1"/>
  <c r="V786" i="1"/>
  <c r="V630" i="1"/>
  <c r="V744" i="1"/>
  <c r="V625" i="1"/>
  <c r="V740" i="1"/>
  <c r="V766" i="1" s="1"/>
  <c r="V741" i="1"/>
  <c r="V767" i="1" s="1"/>
  <c r="CL534" i="1"/>
  <c r="CL538" i="1" s="1"/>
  <c r="W538" i="1"/>
  <c r="CL531" i="1" l="1"/>
  <c r="CL743" i="1"/>
  <c r="CM533" i="1"/>
  <c r="CL742" i="1"/>
  <c r="CL541" i="1"/>
  <c r="V629" i="1"/>
  <c r="V631" i="1" s="1"/>
  <c r="W742" i="1"/>
  <c r="W768" i="1" s="1"/>
  <c r="X533" i="1"/>
  <c r="W531" i="1"/>
  <c r="W743" i="1"/>
  <c r="W769" i="1" s="1"/>
  <c r="W541" i="1"/>
  <c r="X527" i="1" l="1"/>
  <c r="V639" i="1"/>
  <c r="V4" i="1" s="1"/>
  <c r="V618" i="1"/>
  <c r="CL768" i="1"/>
  <c r="CL769" i="1"/>
  <c r="W550" i="1"/>
  <c r="W564" i="1" s="1"/>
  <c r="W568" i="1" s="1"/>
  <c r="W587" i="1" s="1"/>
  <c r="W674" i="1"/>
  <c r="CL674" i="1" s="1"/>
  <c r="CL550" i="1"/>
  <c r="CL564" i="1" s="1"/>
  <c r="CL568" i="1" s="1"/>
  <c r="CL587" i="1" s="1"/>
  <c r="CL607" i="1" l="1"/>
  <c r="CL590" i="1"/>
  <c r="CL836" i="1"/>
  <c r="W590" i="1"/>
  <c r="W607" i="1"/>
  <c r="W837" i="1" s="1"/>
  <c r="W836" i="1"/>
  <c r="X622" i="1"/>
  <c r="X529" i="1"/>
  <c r="W150" i="1" l="1"/>
  <c r="W548" i="1"/>
  <c r="W834" i="1"/>
  <c r="W151" i="1" s="1"/>
  <c r="CL837" i="1"/>
  <c r="X534" i="1"/>
  <c r="X624" i="1"/>
  <c r="CL548" i="1"/>
  <c r="CL150" i="1"/>
  <c r="CL834" i="1"/>
  <c r="W740" i="1" l="1"/>
  <c r="W766" i="1" s="1"/>
  <c r="W741" i="1"/>
  <c r="W767" i="1" s="1"/>
  <c r="CL151" i="1"/>
  <c r="W625" i="1"/>
  <c r="W595" i="1"/>
  <c r="X538" i="1"/>
  <c r="W786" i="1" l="1"/>
  <c r="W784" i="1"/>
  <c r="W630" i="1"/>
  <c r="CL630" i="1" s="1"/>
  <c r="W744" i="1"/>
  <c r="CL744" i="1" s="1"/>
  <c r="CL740" i="1"/>
  <c r="CL766" i="1" s="1"/>
  <c r="CL741" i="1"/>
  <c r="CL767" i="1" s="1"/>
  <c r="CL595" i="1"/>
  <c r="X531" i="1"/>
  <c r="Y533" i="1"/>
  <c r="X541" i="1"/>
  <c r="X743" i="1"/>
  <c r="X769" i="1" s="1"/>
  <c r="X742" i="1"/>
  <c r="X768" i="1" s="1"/>
  <c r="W629" i="1"/>
  <c r="CL625" i="1"/>
  <c r="CL629" i="1" s="1"/>
  <c r="CL631" i="1" l="1"/>
  <c r="Y527" i="1"/>
  <c r="CL784" i="1"/>
  <c r="CL786" i="1"/>
  <c r="W631" i="1"/>
  <c r="X674" i="1"/>
  <c r="X550" i="1"/>
  <c r="X564" i="1" s="1"/>
  <c r="X568" i="1" s="1"/>
  <c r="X587" i="1" s="1"/>
  <c r="CL639" i="1" l="1"/>
  <c r="CL618" i="1"/>
  <c r="X607" i="1"/>
  <c r="X837" i="1" s="1"/>
  <c r="X836" i="1"/>
  <c r="X590" i="1"/>
  <c r="W618" i="1"/>
  <c r="W639" i="1"/>
  <c r="W4" i="1" s="1"/>
  <c r="Y529" i="1"/>
  <c r="Y622" i="1"/>
  <c r="CM527" i="1"/>
  <c r="Y534" i="1" l="1"/>
  <c r="CM529" i="1"/>
  <c r="Y624" i="1"/>
  <c r="CM622" i="1"/>
  <c r="CM624" i="1" s="1"/>
  <c r="X548" i="1"/>
  <c r="X150" i="1"/>
  <c r="X834" i="1"/>
  <c r="X151" i="1" s="1"/>
  <c r="X740" i="1" l="1"/>
  <c r="X766" i="1" s="1"/>
  <c r="X741" i="1"/>
  <c r="X767" i="1" s="1"/>
  <c r="X625" i="1"/>
  <c r="X595" i="1"/>
  <c r="CM534" i="1"/>
  <c r="CM538" i="1" s="1"/>
  <c r="D23" i="16" s="1"/>
  <c r="Y538" i="1"/>
  <c r="D37" i="16" l="1"/>
  <c r="D34" i="16"/>
  <c r="CM531" i="1"/>
  <c r="CN533" i="1"/>
  <c r="CM541" i="1"/>
  <c r="CM742" i="1"/>
  <c r="CM743" i="1"/>
  <c r="X629" i="1"/>
  <c r="Y531" i="1"/>
  <c r="Y541" i="1"/>
  <c r="Y743" i="1"/>
  <c r="Y769" i="1" s="1"/>
  <c r="Z533" i="1"/>
  <c r="Y742" i="1"/>
  <c r="Y768" i="1" s="1"/>
  <c r="X786" i="1"/>
  <c r="X784" i="1"/>
  <c r="X630" i="1"/>
  <c r="X744" i="1"/>
  <c r="Z527" i="1" l="1"/>
  <c r="Y550" i="1"/>
  <c r="Y564" i="1" s="1"/>
  <c r="Y568" i="1" s="1"/>
  <c r="Y587" i="1" s="1"/>
  <c r="Y674" i="1"/>
  <c r="CM674" i="1" s="1"/>
  <c r="X631" i="1"/>
  <c r="CM768" i="1"/>
  <c r="CM769" i="1"/>
  <c r="CM550" i="1"/>
  <c r="CM564" i="1" s="1"/>
  <c r="CM568" i="1" s="1"/>
  <c r="CM587" i="1" s="1"/>
  <c r="X639" i="1" l="1"/>
  <c r="X4" i="1" s="1"/>
  <c r="X618" i="1"/>
  <c r="Y836" i="1"/>
  <c r="Y607" i="1"/>
  <c r="Y837" i="1" s="1"/>
  <c r="Y590" i="1"/>
  <c r="Z622" i="1"/>
  <c r="Z529" i="1"/>
  <c r="CM607" i="1"/>
  <c r="CM836" i="1"/>
  <c r="CM590" i="1"/>
  <c r="D36" i="16" l="1"/>
  <c r="D38" i="16" s="1"/>
  <c r="CM834" i="1"/>
  <c r="CM150" i="1"/>
  <c r="CM548" i="1"/>
  <c r="CM837" i="1"/>
  <c r="Y548" i="1"/>
  <c r="Y150" i="1"/>
  <c r="Y834" i="1"/>
  <c r="Y151" i="1" s="1"/>
  <c r="Z534" i="1"/>
  <c r="Z624" i="1"/>
  <c r="Y740" i="1" l="1"/>
  <c r="Y766" i="1" s="1"/>
  <c r="Z625" i="1"/>
  <c r="CN625" i="1" s="1"/>
  <c r="Y741" i="1"/>
  <c r="Y767" i="1" s="1"/>
  <c r="CM151" i="1"/>
  <c r="Y625" i="1"/>
  <c r="Y595" i="1"/>
  <c r="Z538" i="1"/>
  <c r="Y786" i="1" l="1"/>
  <c r="Y784" i="1"/>
  <c r="Y630" i="1"/>
  <c r="CM630" i="1" s="1"/>
  <c r="Y744" i="1"/>
  <c r="CM744" i="1" s="1"/>
  <c r="CM741" i="1"/>
  <c r="CM767" i="1" s="1"/>
  <c r="CM740" i="1"/>
  <c r="CM766" i="1" s="1"/>
  <c r="CM595" i="1"/>
  <c r="Z743" i="1"/>
  <c r="Z769" i="1" s="1"/>
  <c r="Z531" i="1"/>
  <c r="Z742" i="1"/>
  <c r="Z768" i="1" s="1"/>
  <c r="Z541" i="1"/>
  <c r="AA533" i="1"/>
  <c r="Z629" i="1"/>
  <c r="Y629" i="1"/>
  <c r="CM625" i="1"/>
  <c r="CM629" i="1" s="1"/>
  <c r="Y631" i="1" l="1"/>
  <c r="Y618" i="1" s="1"/>
  <c r="AA527" i="1"/>
  <c r="CM784" i="1"/>
  <c r="CM786" i="1"/>
  <c r="CM631" i="1"/>
  <c r="Z674" i="1"/>
  <c r="Z550" i="1"/>
  <c r="Z564" i="1" s="1"/>
  <c r="Z568" i="1" s="1"/>
  <c r="Z587" i="1" s="1"/>
  <c r="Y639" i="1" l="1"/>
  <c r="Y4" i="1" s="1"/>
  <c r="Z607" i="1"/>
  <c r="Z837" i="1" s="1"/>
  <c r="Z836" i="1"/>
  <c r="Z590" i="1"/>
  <c r="AA622" i="1"/>
  <c r="AA529" i="1"/>
  <c r="CN527" i="1"/>
  <c r="CM639" i="1"/>
  <c r="CM618" i="1"/>
  <c r="AA624" i="1" l="1"/>
  <c r="AA629" i="1" s="1"/>
  <c r="CN622" i="1"/>
  <c r="CN624" i="1" s="1"/>
  <c r="CN629" i="1" s="1"/>
  <c r="AA534" i="1"/>
  <c r="CN529" i="1"/>
  <c r="Z593" i="1"/>
  <c r="Z150" i="1"/>
  <c r="Z548" i="1"/>
  <c r="Z834" i="1"/>
  <c r="Z595" i="1"/>
  <c r="Z784" i="1" l="1"/>
  <c r="Z786" i="1"/>
  <c r="Z744" i="1"/>
  <c r="Z630" i="1"/>
  <c r="Z591" i="1"/>
  <c r="Z592" i="1" s="1"/>
  <c r="Z616" i="1"/>
  <c r="Z615" i="1" s="1"/>
  <c r="CN534" i="1"/>
  <c r="CN538" i="1" s="1"/>
  <c r="E23" i="16" s="1"/>
  <c r="AA538" i="1"/>
  <c r="E37" i="16" l="1"/>
  <c r="E34" i="16"/>
  <c r="E25" i="16"/>
  <c r="E26" i="16" s="1"/>
  <c r="E30" i="16"/>
  <c r="Z835" i="1"/>
  <c r="AA743" i="1"/>
  <c r="AA769" i="1" s="1"/>
  <c r="AA531" i="1"/>
  <c r="AA541" i="1"/>
  <c r="AB533" i="1"/>
  <c r="AA742" i="1"/>
  <c r="AA768" i="1" s="1"/>
  <c r="Z631" i="1"/>
  <c r="CN743" i="1"/>
  <c r="CN541" i="1"/>
  <c r="CN531" i="1"/>
  <c r="CN742" i="1"/>
  <c r="CO533" i="1"/>
  <c r="CN768" i="1" l="1"/>
  <c r="CN550" i="1"/>
  <c r="CN564" i="1" s="1"/>
  <c r="CN568" i="1" s="1"/>
  <c r="CN587" i="1" s="1"/>
  <c r="Z618" i="1"/>
  <c r="Z639" i="1"/>
  <c r="Z4" i="1" s="1"/>
  <c r="AB527" i="1"/>
  <c r="CN769" i="1"/>
  <c r="AA674" i="1"/>
  <c r="CN674" i="1" s="1"/>
  <c r="AA550" i="1"/>
  <c r="AA564" i="1" s="1"/>
  <c r="AA568" i="1" s="1"/>
  <c r="AA587" i="1" s="1"/>
  <c r="CN590" i="1" l="1"/>
  <c r="CN607" i="1"/>
  <c r="CN836" i="1"/>
  <c r="AA607" i="1"/>
  <c r="AA837" i="1" s="1"/>
  <c r="AA590" i="1"/>
  <c r="AA836" i="1"/>
  <c r="AB622" i="1"/>
  <c r="AB529" i="1"/>
  <c r="E36" i="16" l="1"/>
  <c r="E38" i="16" s="1"/>
  <c r="AB624" i="1"/>
  <c r="AB629" i="1" s="1"/>
  <c r="CN548" i="1"/>
  <c r="CN150" i="1"/>
  <c r="CN595" i="1"/>
  <c r="CN834" i="1"/>
  <c r="AB534" i="1"/>
  <c r="AA593" i="1"/>
  <c r="AA548" i="1"/>
  <c r="AA150" i="1"/>
  <c r="AA834" i="1"/>
  <c r="AA595" i="1"/>
  <c r="CN837" i="1"/>
  <c r="AA784" i="1" l="1"/>
  <c r="AA786" i="1"/>
  <c r="AA630" i="1"/>
  <c r="AA744" i="1"/>
  <c r="CN744" i="1" s="1"/>
  <c r="AA616" i="1"/>
  <c r="AA615" i="1" s="1"/>
  <c r="CN615" i="1" s="1"/>
  <c r="CN616" i="1" s="1"/>
  <c r="AA591" i="1"/>
  <c r="CN591" i="1" s="1"/>
  <c r="AB538" i="1"/>
  <c r="CN786" i="1"/>
  <c r="CN784" i="1"/>
  <c r="AA835" i="1" l="1"/>
  <c r="AA592" i="1"/>
  <c r="CN592" i="1" s="1"/>
  <c r="CN593" i="1" s="1"/>
  <c r="CN835" i="1" s="1"/>
  <c r="AA631" i="1"/>
  <c r="CN630" i="1"/>
  <c r="CN631" i="1" s="1"/>
  <c r="AB541" i="1"/>
  <c r="AB742" i="1"/>
  <c r="AB743" i="1"/>
  <c r="AC533" i="1"/>
  <c r="AB531" i="1"/>
  <c r="AB768" i="1" l="1"/>
  <c r="CN639" i="1"/>
  <c r="CN618" i="1"/>
  <c r="AC527" i="1"/>
  <c r="AB769" i="1"/>
  <c r="AB674" i="1"/>
  <c r="AB550" i="1"/>
  <c r="AB564" i="1" s="1"/>
  <c r="AB568" i="1" s="1"/>
  <c r="AB587" i="1" s="1"/>
  <c r="AA639" i="1"/>
  <c r="AA4" i="1" s="1"/>
  <c r="AA618" i="1"/>
  <c r="AB607" i="1" l="1"/>
  <c r="AB590" i="1"/>
  <c r="AB836" i="1"/>
  <c r="AC622" i="1"/>
  <c r="AC529" i="1"/>
  <c r="CO527" i="1"/>
  <c r="AC534" i="1" l="1"/>
  <c r="CO529" i="1"/>
  <c r="AB548" i="1"/>
  <c r="AB834" i="1"/>
  <c r="AB593" i="1"/>
  <c r="AB150" i="1"/>
  <c r="AB595" i="1"/>
  <c r="AC624" i="1"/>
  <c r="AC629" i="1" s="1"/>
  <c r="CO622" i="1"/>
  <c r="CO624" i="1" s="1"/>
  <c r="CO629" i="1" s="1"/>
  <c r="AB837" i="1"/>
  <c r="AB784" i="1" l="1"/>
  <c r="AB786" i="1"/>
  <c r="AB630" i="1"/>
  <c r="AB744" i="1"/>
  <c r="AB616" i="1"/>
  <c r="AB615" i="1" s="1"/>
  <c r="AB591" i="1"/>
  <c r="AB592" i="1" s="1"/>
  <c r="CO534" i="1"/>
  <c r="CO538" i="1" s="1"/>
  <c r="AC538" i="1"/>
  <c r="F23" i="16" l="1"/>
  <c r="CO531" i="1"/>
  <c r="CO743" i="1"/>
  <c r="CO742" i="1"/>
  <c r="CP533" i="1"/>
  <c r="CO541" i="1"/>
  <c r="AB631" i="1"/>
  <c r="AC743" i="1"/>
  <c r="AC541" i="1"/>
  <c r="AD533" i="1"/>
  <c r="AC742" i="1"/>
  <c r="AC531" i="1"/>
  <c r="AB835" i="1"/>
  <c r="F34" i="16" l="1"/>
  <c r="F25" i="16"/>
  <c r="F26" i="16" s="1"/>
  <c r="F27" i="16" s="1"/>
  <c r="F30" i="16"/>
  <c r="F37" i="16"/>
  <c r="AC768" i="1"/>
  <c r="AC674" i="1"/>
  <c r="AC550" i="1"/>
  <c r="AC564" i="1" s="1"/>
  <c r="AC568" i="1" s="1"/>
  <c r="AC587" i="1" s="1"/>
  <c r="AB618" i="1"/>
  <c r="AB639" i="1"/>
  <c r="AB4" i="1" s="1"/>
  <c r="CO769" i="1"/>
  <c r="AD527" i="1"/>
  <c r="AC769" i="1"/>
  <c r="CO550" i="1"/>
  <c r="CO564" i="1" s="1"/>
  <c r="CO568" i="1" s="1"/>
  <c r="CO587" i="1" s="1"/>
  <c r="CO768" i="1"/>
  <c r="CO836" i="1" l="1"/>
  <c r="F36" i="16" s="1"/>
  <c r="F38" i="16" s="1"/>
  <c r="CO590" i="1"/>
  <c r="CO607" i="1"/>
  <c r="AD622" i="1"/>
  <c r="AD529" i="1"/>
  <c r="CO674" i="1"/>
  <c r="AC590" i="1"/>
  <c r="AC836" i="1"/>
  <c r="AC607" i="1"/>
  <c r="AC837" i="1" l="1"/>
  <c r="AC548" i="1"/>
  <c r="AC150" i="1"/>
  <c r="AC834" i="1"/>
  <c r="AC593" i="1"/>
  <c r="AC595" i="1"/>
  <c r="AD534" i="1"/>
  <c r="AD624" i="1"/>
  <c r="AD629" i="1" s="1"/>
  <c r="CO834" i="1"/>
  <c r="CO548" i="1"/>
  <c r="CO595" i="1"/>
  <c r="CO150" i="1"/>
  <c r="CO837" i="1"/>
  <c r="CO786" i="1" l="1"/>
  <c r="CO784" i="1"/>
  <c r="AD538" i="1"/>
  <c r="AC591" i="1"/>
  <c r="CO591" i="1" s="1"/>
  <c r="AC616" i="1"/>
  <c r="AC615" i="1" s="1"/>
  <c r="CO615" i="1" s="1"/>
  <c r="CO616" i="1" s="1"/>
  <c r="AC786" i="1"/>
  <c r="AC784" i="1"/>
  <c r="AC630" i="1"/>
  <c r="AC744" i="1"/>
  <c r="CO744" i="1" s="1"/>
  <c r="AC835" i="1" l="1"/>
  <c r="AC592" i="1"/>
  <c r="CO592" i="1" s="1"/>
  <c r="CO593" i="1" s="1"/>
  <c r="CO835" i="1" s="1"/>
  <c r="AC631" i="1"/>
  <c r="CO630" i="1"/>
  <c r="CO631" i="1" s="1"/>
  <c r="AE533" i="1"/>
  <c r="AD742" i="1"/>
  <c r="AD743" i="1"/>
  <c r="AD531" i="1"/>
  <c r="AD541" i="1"/>
  <c r="AD768" i="1" l="1"/>
  <c r="CO618" i="1"/>
  <c r="CO639" i="1"/>
  <c r="AD674" i="1"/>
  <c r="AD550" i="1"/>
  <c r="AD564" i="1" s="1"/>
  <c r="AD568" i="1" s="1"/>
  <c r="AD587" i="1" s="1"/>
  <c r="AD769" i="1"/>
  <c r="AE527" i="1"/>
  <c r="AC618" i="1"/>
  <c r="AC639" i="1"/>
  <c r="AC4" i="1" s="1"/>
  <c r="AE622" i="1" l="1"/>
  <c r="AE529" i="1"/>
  <c r="CP527" i="1"/>
  <c r="AD590" i="1"/>
  <c r="AD836" i="1"/>
  <c r="AD607" i="1"/>
  <c r="AE534" i="1" l="1"/>
  <c r="CP529" i="1"/>
  <c r="AD837" i="1"/>
  <c r="AD548" i="1"/>
  <c r="AD834" i="1"/>
  <c r="AD593" i="1"/>
  <c r="AD150" i="1"/>
  <c r="AD595" i="1"/>
  <c r="AE624" i="1"/>
  <c r="AE629" i="1" s="1"/>
  <c r="CP622" i="1"/>
  <c r="CP624" i="1" s="1"/>
  <c r="CP629" i="1" s="1"/>
  <c r="AD784" i="1" l="1"/>
  <c r="AD786" i="1"/>
  <c r="AD630" i="1"/>
  <c r="AD744" i="1"/>
  <c r="AD591" i="1"/>
  <c r="AD592" i="1" s="1"/>
  <c r="AD616" i="1"/>
  <c r="AD615" i="1" s="1"/>
  <c r="CP534" i="1"/>
  <c r="CP538" i="1" s="1"/>
  <c r="G23" i="16" s="1"/>
  <c r="AE538" i="1"/>
  <c r="G30" i="16" l="1"/>
  <c r="G25" i="16"/>
  <c r="G26" i="16" s="1"/>
  <c r="G27" i="16" s="1"/>
  <c r="G34" i="16"/>
  <c r="G37" i="16"/>
  <c r="AD835" i="1"/>
  <c r="CP531" i="1"/>
  <c r="CP743" i="1"/>
  <c r="CQ533" i="1"/>
  <c r="CP742" i="1"/>
  <c r="CP541" i="1"/>
  <c r="AD631" i="1"/>
  <c r="AF533" i="1"/>
  <c r="AE742" i="1"/>
  <c r="AE541" i="1"/>
  <c r="AE743" i="1"/>
  <c r="AE531" i="1"/>
  <c r="AE550" i="1" l="1"/>
  <c r="AE564" i="1" s="1"/>
  <c r="AE568" i="1" s="1"/>
  <c r="AE587" i="1" s="1"/>
  <c r="AE674" i="1"/>
  <c r="AF527" i="1"/>
  <c r="CP768" i="1"/>
  <c r="CP769" i="1"/>
  <c r="AE769" i="1"/>
  <c r="AE768" i="1"/>
  <c r="AD639" i="1"/>
  <c r="AD4" i="1" s="1"/>
  <c r="AD618" i="1"/>
  <c r="CP550" i="1"/>
  <c r="CP564" i="1" s="1"/>
  <c r="CP568" i="1" s="1"/>
  <c r="CP587" i="1" s="1"/>
  <c r="CP590" i="1" l="1"/>
  <c r="CP607" i="1"/>
  <c r="CP836" i="1"/>
  <c r="CP674" i="1"/>
  <c r="AF622" i="1"/>
  <c r="AF529" i="1"/>
  <c r="AE607" i="1"/>
  <c r="AE590" i="1"/>
  <c r="AE836" i="1"/>
  <c r="G36" i="16" l="1"/>
  <c r="G38" i="16" s="1"/>
  <c r="AE837" i="1"/>
  <c r="AF534" i="1"/>
  <c r="AF624" i="1"/>
  <c r="AF629" i="1" s="1"/>
  <c r="CP837" i="1"/>
  <c r="AE150" i="1"/>
  <c r="AE834" i="1"/>
  <c r="AE593" i="1"/>
  <c r="AE595" i="1"/>
  <c r="AE548" i="1"/>
  <c r="CP548" i="1"/>
  <c r="CP834" i="1"/>
  <c r="CP150" i="1"/>
  <c r="CP595" i="1"/>
  <c r="AE784" i="1" l="1"/>
  <c r="AE786" i="1"/>
  <c r="AE630" i="1"/>
  <c r="AE744" i="1"/>
  <c r="CP744" i="1" s="1"/>
  <c r="CP784" i="1"/>
  <c r="CP786" i="1"/>
  <c r="AE591" i="1"/>
  <c r="CP591" i="1" s="1"/>
  <c r="AE616" i="1"/>
  <c r="AE615" i="1" s="1"/>
  <c r="CP615" i="1" s="1"/>
  <c r="CP616" i="1" s="1"/>
  <c r="AF538" i="1"/>
  <c r="AE835" i="1" l="1"/>
  <c r="AG533" i="1"/>
  <c r="AF541" i="1"/>
  <c r="AF742" i="1"/>
  <c r="AF743" i="1"/>
  <c r="AF531" i="1"/>
  <c r="AE631" i="1"/>
  <c r="CP630" i="1"/>
  <c r="CP631" i="1" s="1"/>
  <c r="AE592" i="1"/>
  <c r="CP592" i="1" s="1"/>
  <c r="CP593" i="1" s="1"/>
  <c r="CP835" i="1" s="1"/>
  <c r="AE639" i="1" l="1"/>
  <c r="AE4" i="1" s="1"/>
  <c r="AE618" i="1"/>
  <c r="AF769" i="1"/>
  <c r="AF674" i="1"/>
  <c r="AF550" i="1"/>
  <c r="AF564" i="1" s="1"/>
  <c r="AF568" i="1" s="1"/>
  <c r="AF587" i="1" s="1"/>
  <c r="CP618" i="1"/>
  <c r="CP639" i="1"/>
  <c r="AF768" i="1"/>
  <c r="AG527" i="1"/>
  <c r="AG622" i="1" l="1"/>
  <c r="AG529" i="1"/>
  <c r="CQ527" i="1"/>
  <c r="AF590" i="1"/>
  <c r="AF836" i="1"/>
  <c r="AF607" i="1"/>
  <c r="AG534" i="1" l="1"/>
  <c r="CQ529" i="1"/>
  <c r="AF837" i="1"/>
  <c r="AF150" i="1"/>
  <c r="AF595" i="1"/>
  <c r="AF834" i="1"/>
  <c r="AF593" i="1"/>
  <c r="AF548" i="1"/>
  <c r="AG624" i="1"/>
  <c r="AG629" i="1" s="1"/>
  <c r="CQ622" i="1"/>
  <c r="CQ624" i="1" s="1"/>
  <c r="CQ629" i="1" s="1"/>
  <c r="AF616" i="1" l="1"/>
  <c r="AF615" i="1" s="1"/>
  <c r="AF591" i="1"/>
  <c r="AF592" i="1" s="1"/>
  <c r="AF786" i="1"/>
  <c r="AF784" i="1"/>
  <c r="AF630" i="1"/>
  <c r="AF744" i="1"/>
  <c r="CQ534" i="1"/>
  <c r="CQ538" i="1" s="1"/>
  <c r="AG538" i="1"/>
  <c r="H23" i="16" l="1"/>
  <c r="AF835" i="1"/>
  <c r="CQ531" i="1"/>
  <c r="CQ742" i="1"/>
  <c r="CQ541" i="1"/>
  <c r="CR533" i="1"/>
  <c r="CQ743" i="1"/>
  <c r="AH533" i="1"/>
  <c r="AG541" i="1"/>
  <c r="AG742" i="1"/>
  <c r="AG531" i="1"/>
  <c r="AG743" i="1"/>
  <c r="AF631" i="1"/>
  <c r="H37" i="16" l="1"/>
  <c r="H30" i="16"/>
  <c r="H25" i="16"/>
  <c r="H26" i="16" s="1"/>
  <c r="H27" i="16" s="1"/>
  <c r="H34" i="16"/>
  <c r="AG768" i="1"/>
  <c r="AH527" i="1"/>
  <c r="CQ768" i="1"/>
  <c r="AF618" i="1"/>
  <c r="AF639" i="1"/>
  <c r="AF4" i="1" s="1"/>
  <c r="AG769" i="1"/>
  <c r="AG674" i="1"/>
  <c r="AG550" i="1"/>
  <c r="AG564" i="1" s="1"/>
  <c r="AG568" i="1" s="1"/>
  <c r="AG587" i="1" s="1"/>
  <c r="CQ769" i="1"/>
  <c r="CQ550" i="1"/>
  <c r="CQ564" i="1" s="1"/>
  <c r="CQ568" i="1" s="1"/>
  <c r="CQ587" i="1" s="1"/>
  <c r="CQ836" i="1" l="1"/>
  <c r="H36" i="16" s="1"/>
  <c r="H38" i="16" s="1"/>
  <c r="CQ607" i="1"/>
  <c r="CQ590" i="1"/>
  <c r="AG590" i="1"/>
  <c r="AG607" i="1"/>
  <c r="AG836" i="1"/>
  <c r="AH622" i="1"/>
  <c r="AH529" i="1"/>
  <c r="CQ674" i="1"/>
  <c r="AH624" i="1" l="1"/>
  <c r="AH629" i="1" s="1"/>
  <c r="AG837" i="1"/>
  <c r="CQ837" i="1"/>
  <c r="AH534" i="1"/>
  <c r="AG595" i="1"/>
  <c r="AG593" i="1"/>
  <c r="AG150" i="1"/>
  <c r="AG834" i="1"/>
  <c r="AG548" i="1"/>
  <c r="CQ150" i="1"/>
  <c r="CQ548" i="1"/>
  <c r="CQ595" i="1"/>
  <c r="CQ834" i="1"/>
  <c r="AG591" i="1" l="1"/>
  <c r="CQ591" i="1" s="1"/>
  <c r="AG616" i="1"/>
  <c r="AG615" i="1" s="1"/>
  <c r="CQ615" i="1" s="1"/>
  <c r="CQ616" i="1" s="1"/>
  <c r="CQ784" i="1"/>
  <c r="CQ786" i="1"/>
  <c r="AG786" i="1"/>
  <c r="AG784" i="1"/>
  <c r="AG630" i="1"/>
  <c r="AG744" i="1"/>
  <c r="CQ744" i="1" s="1"/>
  <c r="AH538" i="1"/>
  <c r="C63" i="31" s="1"/>
  <c r="AG592" i="1" l="1"/>
  <c r="CQ592" i="1" s="1"/>
  <c r="CQ593" i="1" s="1"/>
  <c r="CQ835" i="1" s="1"/>
  <c r="AI533" i="1"/>
  <c r="AG835" i="1"/>
  <c r="AH531" i="1"/>
  <c r="AH743" i="1"/>
  <c r="AH742" i="1"/>
  <c r="AH541" i="1"/>
  <c r="AG631" i="1"/>
  <c r="CQ630" i="1"/>
  <c r="CQ631" i="1" s="1"/>
  <c r="CQ618" i="1" l="1"/>
  <c r="CQ639" i="1"/>
  <c r="AH768" i="1"/>
  <c r="AG618" i="1"/>
  <c r="AG639" i="1"/>
  <c r="AG4" i="1" s="1"/>
  <c r="CR526" i="1"/>
  <c r="AH550" i="1"/>
  <c r="AH564" i="1" s="1"/>
  <c r="AH568" i="1" s="1"/>
  <c r="AH587" i="1" s="1"/>
  <c r="AH674" i="1"/>
  <c r="AH769" i="1"/>
  <c r="AH607" i="1" l="1"/>
  <c r="AH590" i="1"/>
  <c r="AH834" i="1" s="1"/>
  <c r="C77" i="31" s="1"/>
  <c r="AH836" i="1"/>
  <c r="CR621" i="1"/>
  <c r="AH150" i="1" l="1"/>
  <c r="AH548" i="1"/>
  <c r="AH593" i="1"/>
  <c r="AH595" i="1"/>
  <c r="AH837" i="1"/>
  <c r="C78" i="31" s="1"/>
  <c r="AH786" i="1" l="1"/>
  <c r="AH784" i="1"/>
  <c r="AH630" i="1"/>
  <c r="AH744" i="1"/>
  <c r="AH616" i="1"/>
  <c r="AH591" i="1"/>
  <c r="AH592" i="1" s="1"/>
  <c r="AH615" i="1" l="1"/>
  <c r="AH835" i="1"/>
  <c r="AH631" i="1"/>
  <c r="AH639" i="1" l="1"/>
  <c r="AH4" i="1" s="1"/>
  <c r="AH618" i="1"/>
  <c r="CR125" i="1" l="1"/>
  <c r="CR124" i="1"/>
  <c r="CR471" i="1"/>
  <c r="CR679" i="1"/>
  <c r="CR120" i="1"/>
  <c r="CR121" i="1"/>
  <c r="CR816" i="1" l="1"/>
  <c r="CR122" i="1"/>
  <c r="CR822" i="1"/>
  <c r="CR114" i="1"/>
  <c r="CR813" i="1"/>
  <c r="CR812" i="1"/>
  <c r="CR667" i="1"/>
  <c r="CR825" i="1"/>
  <c r="CR819" i="1"/>
  <c r="CR815" i="1"/>
  <c r="CR115" i="1"/>
  <c r="CR598" i="1" l="1"/>
  <c r="CR137" i="1" l="1"/>
  <c r="CR839" i="1" l="1"/>
  <c r="AI196" i="1"/>
  <c r="CR196" i="1" s="1"/>
  <c r="CR205" i="1"/>
  <c r="AI197" i="1"/>
  <c r="CR197" i="1" s="1"/>
  <c r="CR203" i="1"/>
  <c r="CR204" i="1"/>
  <c r="AN61" i="31" s="1"/>
  <c r="CR202" i="1"/>
  <c r="CR670" i="1"/>
  <c r="AI199" i="1"/>
  <c r="CR199" i="1" s="1"/>
  <c r="AI198" i="1"/>
  <c r="I71" i="2" s="1"/>
  <c r="CR795" i="1" l="1"/>
  <c r="AI61" i="1"/>
  <c r="CR198" i="1"/>
  <c r="CR61" i="1" l="1"/>
  <c r="CR314" i="1" l="1"/>
  <c r="CR315" i="1"/>
  <c r="CR305" i="1"/>
  <c r="CR304" i="1"/>
  <c r="AI249" i="1" l="1"/>
  <c r="CR358" i="1"/>
  <c r="CR300" i="1" s="1"/>
  <c r="CR73" i="1" s="1"/>
  <c r="AI253" i="1"/>
  <c r="AI310" i="1" s="1"/>
  <c r="AI306" i="1" l="1"/>
  <c r="CR405" i="1"/>
  <c r="AN14" i="31" s="1"/>
  <c r="CR310" i="1"/>
  <c r="AI364" i="1" l="1"/>
  <c r="CR364" i="1" s="1"/>
  <c r="CR306" i="1" s="1"/>
  <c r="CR76" i="1" s="1"/>
  <c r="AI76" i="1"/>
  <c r="CR89" i="1"/>
  <c r="CR406" i="1"/>
  <c r="AN15" i="31" s="1"/>
  <c r="CR396" i="1" l="1"/>
  <c r="AN11" i="31" s="1"/>
  <c r="CR85" i="1" l="1"/>
  <c r="CR408" i="1"/>
  <c r="AN17" i="31" s="1"/>
  <c r="CR376" i="1"/>
  <c r="CR318" i="1" s="1"/>
  <c r="AI252" i="1" l="1"/>
  <c r="AI309" i="1" s="1"/>
  <c r="AI244" i="1"/>
  <c r="CR80" i="1"/>
  <c r="CR393" i="1"/>
  <c r="CR414" i="1"/>
  <c r="CR416" i="1" l="1"/>
  <c r="AI301" i="1"/>
  <c r="CR357" i="1"/>
  <c r="CR299" i="1" s="1"/>
  <c r="CR72" i="1" s="1"/>
  <c r="CR309" i="1"/>
  <c r="AI254" i="1"/>
  <c r="AI311" i="1" l="1"/>
  <c r="AI369" i="1" s="1"/>
  <c r="CR369" i="1" s="1"/>
  <c r="AI359" i="1"/>
  <c r="CR359" i="1" s="1"/>
  <c r="CR301" i="1" s="1"/>
  <c r="CR74" i="1" s="1"/>
  <c r="AI74" i="1"/>
  <c r="AI316" i="1" l="1"/>
  <c r="AI78" i="1"/>
  <c r="CR311" i="1"/>
  <c r="CR78" i="1" s="1"/>
  <c r="CR374" i="1"/>
  <c r="CR316" i="1" s="1"/>
  <c r="CR379" i="1" l="1"/>
  <c r="AN6" i="31" s="1"/>
  <c r="CR332" i="1" l="1"/>
  <c r="CR274" i="1" s="1"/>
  <c r="CR69" i="1" s="1"/>
  <c r="CR334" i="1"/>
  <c r="CR276" i="1" s="1"/>
  <c r="CR71" i="1" l="1"/>
  <c r="CR291" i="1"/>
  <c r="CR294" i="1" s="1"/>
  <c r="CR349" i="1"/>
  <c r="AI274" i="1"/>
  <c r="AI69" i="1" l="1"/>
  <c r="CR352" i="1"/>
  <c r="CR354" i="1"/>
  <c r="CR296" i="1" s="1"/>
  <c r="CR295" i="1" l="1"/>
  <c r="CR321" i="1"/>
  <c r="CR387" i="1"/>
  <c r="CR389" i="1" s="1"/>
  <c r="AI381" i="1"/>
  <c r="D8" i="31" s="1"/>
  <c r="D9" i="31" s="1"/>
  <c r="AI327" i="1" l="1"/>
  <c r="AI515" i="1"/>
  <c r="D44" i="31" s="1"/>
  <c r="D47" i="31" s="1"/>
  <c r="AI99" i="1"/>
  <c r="AI419" i="1"/>
  <c r="AI319" i="1"/>
  <c r="CR381" i="1"/>
  <c r="AN8" i="31" s="1"/>
  <c r="AN9" i="31" s="1"/>
  <c r="AI454" i="1" l="1"/>
  <c r="AI794" i="1"/>
  <c r="AI426" i="1"/>
  <c r="D19" i="31" s="1"/>
  <c r="D20" i="31" s="1"/>
  <c r="AI793" i="1"/>
  <c r="D71" i="31" s="1"/>
  <c r="AI792" i="1"/>
  <c r="AI513" i="1"/>
  <c r="AI732" i="1"/>
  <c r="D55" i="31" s="1"/>
  <c r="AI740" i="1"/>
  <c r="AI766" i="1" s="1"/>
  <c r="AI525" i="1"/>
  <c r="D51" i="31" s="1"/>
  <c r="D50" i="31" s="1"/>
  <c r="AI521" i="1"/>
  <c r="AI730" i="1"/>
  <c r="D54" i="31" s="1"/>
  <c r="AI620" i="1"/>
  <c r="AI789" i="1"/>
  <c r="AI783" i="1"/>
  <c r="D73" i="31" s="1"/>
  <c r="AI785" i="1"/>
  <c r="AI787" i="1"/>
  <c r="AI788" i="1"/>
  <c r="D72" i="31" s="1"/>
  <c r="AI741" i="1"/>
  <c r="AI767" i="1" s="1"/>
  <c r="AI317" i="1"/>
  <c r="AI79" i="1" s="1"/>
  <c r="AI322" i="1"/>
  <c r="AI323" i="1" s="1"/>
  <c r="D70" i="31" s="1"/>
  <c r="CR327" i="1"/>
  <c r="CR419" i="1"/>
  <c r="D74" i="31" l="1"/>
  <c r="AI428" i="1"/>
  <c r="AI731" i="1"/>
  <c r="AI759" i="1"/>
  <c r="AI840" i="1"/>
  <c r="AI728" i="1"/>
  <c r="AI729" i="1"/>
  <c r="AI782" i="1"/>
  <c r="AI760" i="1"/>
  <c r="AI733" i="1"/>
  <c r="AI325" i="1"/>
  <c r="AI269" i="1"/>
  <c r="AI81" i="1"/>
  <c r="AI483" i="1"/>
  <c r="AI461" i="1"/>
  <c r="AI734" i="1"/>
  <c r="AI761" i="1" s="1"/>
  <c r="CR440" i="1"/>
  <c r="CR426" i="1"/>
  <c r="AN19" i="31" s="1"/>
  <c r="AN20" i="31" s="1"/>
  <c r="CR792" i="1"/>
  <c r="AI380" i="1"/>
  <c r="D7" i="31" s="1"/>
  <c r="AI375" i="1"/>
  <c r="D32" i="31" l="1"/>
  <c r="CR428" i="1"/>
  <c r="AI463" i="1"/>
  <c r="AI758" i="1"/>
  <c r="AI757" i="1"/>
  <c r="CR380" i="1"/>
  <c r="AN7" i="31" s="1"/>
  <c r="CR375" i="1"/>
  <c r="CR317" i="1" s="1"/>
  <c r="CR79" i="1" s="1"/>
  <c r="AI377" i="1"/>
  <c r="AI391" i="1" s="1"/>
  <c r="CR377" i="1" l="1"/>
  <c r="CR319" i="1" l="1"/>
  <c r="CR322" i="1" s="1"/>
  <c r="CR323" i="1" s="1"/>
  <c r="AN70" i="31" s="1"/>
  <c r="CR391" i="1"/>
  <c r="CR81" i="1" l="1"/>
  <c r="CR269" i="1"/>
  <c r="CR325" i="1"/>
  <c r="CR441" i="1" l="1"/>
  <c r="AN26" i="31" s="1"/>
  <c r="CR432" i="1"/>
  <c r="CR449" i="1"/>
  <c r="CR451" i="1" l="1"/>
  <c r="CR93" i="1"/>
  <c r="CR443" i="1" l="1"/>
  <c r="AN28" i="31" s="1"/>
  <c r="AN30" i="31" s="1"/>
  <c r="CR98" i="1" l="1"/>
  <c r="CR99" i="1"/>
  <c r="CR430" i="1"/>
  <c r="CR791" i="1"/>
  <c r="CR454" i="1"/>
  <c r="AJ434" i="1"/>
  <c r="AJ440" i="1" l="1"/>
  <c r="CR461" i="1"/>
  <c r="CR793" i="1"/>
  <c r="AN71" i="31" s="1"/>
  <c r="CR794" i="1"/>
  <c r="AN32" i="31" l="1"/>
  <c r="AN33" i="31" s="1"/>
  <c r="CR463" i="1"/>
  <c r="AJ791" i="1"/>
  <c r="AJ790" i="1"/>
  <c r="AJ661" i="1"/>
  <c r="CS432" i="1"/>
  <c r="CS708" i="1" l="1"/>
  <c r="AJ698" i="1"/>
  <c r="AJ702" i="1"/>
  <c r="CS93" i="1"/>
  <c r="CR478" i="1" l="1"/>
  <c r="CR480" i="1" s="1"/>
  <c r="CR470" i="1"/>
  <c r="CR809" i="1" l="1"/>
  <c r="CR112" i="1"/>
  <c r="CR113" i="1"/>
  <c r="CR808" i="1"/>
  <c r="CR469" i="1"/>
  <c r="CR111" i="1" s="1"/>
  <c r="CR467" i="1"/>
  <c r="CR109" i="1" s="1"/>
  <c r="CR468" i="1" l="1"/>
  <c r="CR110" i="1" s="1"/>
  <c r="AI490" i="1" l="1"/>
  <c r="D38" i="31" s="1"/>
  <c r="D41" i="31" s="1"/>
  <c r="AI129" i="1"/>
  <c r="CR472" i="1"/>
  <c r="AN35" i="31" s="1"/>
  <c r="AN36" i="31" s="1"/>
  <c r="AI493" i="1" l="1"/>
  <c r="AI510" i="1" s="1"/>
  <c r="CR118" i="1"/>
  <c r="CR465" i="1"/>
  <c r="CR117" i="1"/>
  <c r="CR810" i="1"/>
  <c r="CR811" i="1"/>
  <c r="CR483" i="1"/>
  <c r="CR497" i="1"/>
  <c r="AN40" i="31" s="1"/>
  <c r="CR500" i="1" l="1"/>
  <c r="CR490" i="1"/>
  <c r="AN38" i="31" s="1"/>
  <c r="AN41" i="31" s="1"/>
  <c r="CR130" i="1"/>
  <c r="CR129" i="1"/>
  <c r="CR493" i="1" l="1"/>
  <c r="CR506" i="1"/>
  <c r="CR509" i="1" s="1"/>
  <c r="CR495" i="1"/>
  <c r="CR515" i="1"/>
  <c r="AN44" i="31" s="1"/>
  <c r="AN47" i="31" s="1"/>
  <c r="AN48" i="31" l="1"/>
  <c r="CR525" i="1"/>
  <c r="AN51" i="31" s="1"/>
  <c r="AN50" i="31" s="1"/>
  <c r="CR521" i="1"/>
  <c r="CR788" i="1"/>
  <c r="AN72" i="31" s="1"/>
  <c r="CR789" i="1"/>
  <c r="CR513" i="1"/>
  <c r="I18" i="16" s="1"/>
  <c r="CR620" i="1"/>
  <c r="I21" i="16" l="1"/>
  <c r="I19" i="16"/>
  <c r="I16" i="16"/>
  <c r="CR676" i="1"/>
  <c r="CR510" i="1"/>
  <c r="AI136" i="1" l="1"/>
  <c r="AI838" i="1" s="1"/>
  <c r="CR131" i="1"/>
  <c r="CR537" i="1"/>
  <c r="AI841" i="1" l="1"/>
  <c r="CR734" i="1" l="1"/>
  <c r="CR543" i="1"/>
  <c r="CR652" i="1" s="1"/>
  <c r="CR136" i="1"/>
  <c r="I59" i="16" l="1"/>
  <c r="CR761" i="1"/>
  <c r="CR838" i="1"/>
  <c r="CR634" i="1"/>
  <c r="CR635" i="1" s="1"/>
  <c r="CR680" i="1"/>
  <c r="CR141" i="1"/>
  <c r="CR143" i="1" s="1"/>
  <c r="CR732" i="1"/>
  <c r="AN55" i="31" s="1"/>
  <c r="CR728" i="1"/>
  <c r="CR730" i="1"/>
  <c r="AN54" i="31" s="1"/>
  <c r="CR729" i="1"/>
  <c r="AI527" i="1"/>
  <c r="AI141" i="1"/>
  <c r="AI143" i="1" s="1"/>
  <c r="CR757" i="1" l="1"/>
  <c r="CR527" i="1"/>
  <c r="AI622" i="1"/>
  <c r="AI624" i="1" s="1"/>
  <c r="AI629" i="1" s="1"/>
  <c r="CR758" i="1"/>
  <c r="CR731" i="1"/>
  <c r="CR759" i="1"/>
  <c r="CR637" i="1"/>
  <c r="CR739" i="1" s="1"/>
  <c r="CR765" i="1" s="1"/>
  <c r="CR738" i="1"/>
  <c r="AI529" i="1"/>
  <c r="CR760" i="1"/>
  <c r="CR733" i="1"/>
  <c r="AI534" i="1" l="1"/>
  <c r="CR529" i="1"/>
  <c r="CR764" i="1"/>
  <c r="CR840" i="1"/>
  <c r="CR622" i="1"/>
  <c r="CR624" i="1" s="1"/>
  <c r="CR675" i="1"/>
  <c r="AI538" i="1" l="1"/>
  <c r="D63" i="31" s="1"/>
  <c r="CR534" i="1"/>
  <c r="CR538" i="1" s="1"/>
  <c r="AN63" i="31" s="1"/>
  <c r="I23" i="16" l="1"/>
  <c r="I34" i="16" s="1"/>
  <c r="AI531" i="1"/>
  <c r="AJ533" i="1"/>
  <c r="AI743" i="1"/>
  <c r="AI742" i="1"/>
  <c r="CR531" i="1"/>
  <c r="CR743" i="1"/>
  <c r="CR742" i="1"/>
  <c r="CR541" i="1"/>
  <c r="CS533" i="1"/>
  <c r="CS535" i="1"/>
  <c r="CS139" i="1"/>
  <c r="AI541" i="1"/>
  <c r="I25" i="16" l="1"/>
  <c r="I26" i="16" s="1"/>
  <c r="I27" i="16" s="1"/>
  <c r="I30" i="16"/>
  <c r="AI550" i="1"/>
  <c r="AI564" i="1" s="1"/>
  <c r="AI568" i="1" s="1"/>
  <c r="AI587" i="1" s="1"/>
  <c r="AI768" i="1"/>
  <c r="AI769" i="1"/>
  <c r="AI674" i="1"/>
  <c r="CR550" i="1"/>
  <c r="CS636" i="1"/>
  <c r="CS633" i="1"/>
  <c r="CR768" i="1"/>
  <c r="CR769" i="1"/>
  <c r="AI590" i="1" l="1"/>
  <c r="AI836" i="1"/>
  <c r="AI607" i="1"/>
  <c r="CR673" i="1"/>
  <c r="CR783" i="1"/>
  <c r="AN73" i="31" s="1"/>
  <c r="AN74" i="31" s="1"/>
  <c r="CR782" i="1"/>
  <c r="CR785" i="1"/>
  <c r="CR671" i="1"/>
  <c r="CR674" i="1"/>
  <c r="AI837" i="1" l="1"/>
  <c r="D78" i="31" s="1"/>
  <c r="AI834" i="1"/>
  <c r="D77" i="31" s="1"/>
  <c r="AI548" i="1"/>
  <c r="AI593" i="1"/>
  <c r="AI616" i="1" s="1"/>
  <c r="CR672" i="1"/>
  <c r="CS680" i="1"/>
  <c r="CR841" i="1"/>
  <c r="CR626" i="1" l="1"/>
  <c r="CR556" i="1"/>
  <c r="CR152" i="1" s="1"/>
  <c r="CR562" i="1" l="1"/>
  <c r="CR564" i="1" s="1"/>
  <c r="CR567" i="1" l="1"/>
  <c r="CR568" i="1" s="1"/>
  <c r="CR587" i="1" s="1"/>
  <c r="CR589" i="1"/>
  <c r="CR590" i="1" l="1"/>
  <c r="CR599" i="1"/>
  <c r="CR604" i="1" s="1"/>
  <c r="CR607" i="1" l="1"/>
  <c r="CR548" i="1"/>
  <c r="AI150" i="1" l="1"/>
  <c r="AI595" i="1" l="1"/>
  <c r="AI630" i="1" l="1"/>
  <c r="AI631" i="1" s="1"/>
  <c r="AI786" i="1"/>
  <c r="AI784" i="1"/>
  <c r="AI744" i="1"/>
  <c r="CR744" i="1" s="1"/>
  <c r="CR614" i="1"/>
  <c r="CR611" i="1"/>
  <c r="CR146" i="1" s="1"/>
  <c r="CR147" i="1"/>
  <c r="CR787" i="1"/>
  <c r="AI146" i="1"/>
  <c r="CR610" i="1"/>
  <c r="CR145" i="1" s="1"/>
  <c r="AI147" i="1"/>
  <c r="AI145" i="1"/>
  <c r="CR630" i="1" l="1"/>
  <c r="AI639" i="1"/>
  <c r="AI4" i="1" s="1"/>
  <c r="AI618" i="1"/>
  <c r="CR625" i="1"/>
  <c r="CR629" i="1" s="1"/>
  <c r="CR631" i="1" s="1"/>
  <c r="AI615" i="1"/>
  <c r="AI591" i="1"/>
  <c r="CR591" i="1" s="1"/>
  <c r="CR613" i="1"/>
  <c r="I32" i="16" l="1"/>
  <c r="I33" i="16" s="1"/>
  <c r="AN62" i="31"/>
  <c r="CR639" i="1"/>
  <c r="CR618" i="1"/>
  <c r="AI835" i="1"/>
  <c r="AI592" i="1"/>
  <c r="CR615" i="1"/>
  <c r="CR616" i="1" s="1"/>
  <c r="CR834" i="1"/>
  <c r="AN77" i="31" s="1"/>
  <c r="CR821" i="1"/>
  <c r="CR740" i="1"/>
  <c r="CR766" i="1" s="1"/>
  <c r="CR150" i="1"/>
  <c r="CR826" i="1"/>
  <c r="CR116" i="1"/>
  <c r="CR741" i="1"/>
  <c r="CR767" i="1" s="1"/>
  <c r="CR837" i="1"/>
  <c r="AN78" i="31" s="1"/>
  <c r="CR820" i="1"/>
  <c r="CR827" i="1"/>
  <c r="CR836" i="1"/>
  <c r="I36" i="16" s="1"/>
  <c r="CR814" i="1"/>
  <c r="CR818" i="1"/>
  <c r="CR824" i="1"/>
  <c r="CR817" i="1"/>
  <c r="CR823" i="1"/>
  <c r="CR595" i="1"/>
  <c r="I37" i="16" l="1"/>
  <c r="I38" i="16" s="1"/>
  <c r="CR784" i="1"/>
  <c r="CR786" i="1"/>
  <c r="CR592" i="1"/>
  <c r="CR593" i="1" s="1"/>
  <c r="CR835" i="1" s="1"/>
  <c r="CS725" i="1" l="1"/>
  <c r="AJ318" i="1" l="1"/>
  <c r="AJ275" i="1"/>
  <c r="AJ333" i="1" s="1"/>
  <c r="AJ376" i="1" l="1"/>
  <c r="AJ315" i="1"/>
  <c r="AJ314" i="1"/>
  <c r="AJ296" i="1"/>
  <c r="AJ286" i="1"/>
  <c r="AJ281" i="1"/>
  <c r="AJ276" i="1"/>
  <c r="AJ71" i="1" s="1"/>
  <c r="AJ299" i="1" l="1"/>
  <c r="AJ304" i="1"/>
  <c r="AJ300" i="1"/>
  <c r="AJ305" i="1"/>
  <c r="AJ339" i="1"/>
  <c r="AJ75" i="1"/>
  <c r="AJ344" i="1"/>
  <c r="AJ77" i="1"/>
  <c r="AJ321" i="1"/>
  <c r="AJ379" i="1"/>
  <c r="E6" i="31" s="1"/>
  <c r="AJ373" i="1"/>
  <c r="AJ291" i="1"/>
  <c r="AJ334" i="1"/>
  <c r="AJ332" i="1" s="1"/>
  <c r="AJ372" i="1"/>
  <c r="AJ73" i="1" l="1"/>
  <c r="AJ72" i="1"/>
  <c r="AJ374" i="1"/>
  <c r="AJ294" i="1"/>
  <c r="AJ349" i="1"/>
  <c r="AJ295" i="1" l="1"/>
  <c r="AJ353" i="1" s="1"/>
  <c r="AJ352" i="1"/>
  <c r="AJ354" i="1" l="1"/>
  <c r="AJ248" i="1" l="1"/>
  <c r="AJ247" i="1"/>
  <c r="AJ243" i="1"/>
  <c r="AJ358" i="1" l="1"/>
  <c r="AJ363" i="1"/>
  <c r="AJ249" i="1"/>
  <c r="AJ306" i="1" s="1"/>
  <c r="AJ76" i="1" s="1"/>
  <c r="AJ362" i="1"/>
  <c r="AJ253" i="1"/>
  <c r="AJ368" i="1" l="1"/>
  <c r="AJ310" i="1" s="1"/>
  <c r="AJ364" i="1"/>
  <c r="AJ242" i="1" l="1"/>
  <c r="AJ357" i="1" l="1"/>
  <c r="AJ367" i="1" s="1"/>
  <c r="AJ244" i="1"/>
  <c r="AJ252" i="1"/>
  <c r="AJ309" i="1" l="1"/>
  <c r="AJ301" i="1"/>
  <c r="AJ254" i="1"/>
  <c r="AJ311" i="1" l="1"/>
  <c r="AJ78" i="1" s="1"/>
  <c r="AJ74" i="1"/>
  <c r="AJ359" i="1"/>
  <c r="AJ316" i="1" l="1"/>
  <c r="AJ369" i="1"/>
  <c r="AJ274" i="1" l="1"/>
  <c r="AJ69" i="1" s="1"/>
  <c r="AJ381" i="1"/>
  <c r="E8" i="31" s="1"/>
  <c r="E9" i="31" l="1"/>
  <c r="F9" i="31"/>
  <c r="AJ515" i="1"/>
  <c r="E44" i="31" s="1"/>
  <c r="E47" i="31" s="1"/>
  <c r="AJ419" i="1"/>
  <c r="AJ99" i="1"/>
  <c r="AJ319" i="1"/>
  <c r="AJ327" i="1"/>
  <c r="AJ426" i="1" l="1"/>
  <c r="E19" i="31" s="1"/>
  <c r="E20" i="31" s="1"/>
  <c r="AJ794" i="1"/>
  <c r="AJ454" i="1"/>
  <c r="AJ793" i="1"/>
  <c r="E71" i="31" s="1"/>
  <c r="AJ792" i="1"/>
  <c r="AJ513" i="1"/>
  <c r="AJ620" i="1"/>
  <c r="AJ136" i="1"/>
  <c r="AJ838" i="1" s="1"/>
  <c r="AJ740" i="1"/>
  <c r="AJ766" i="1" s="1"/>
  <c r="AJ730" i="1"/>
  <c r="E54" i="31" s="1"/>
  <c r="AJ521" i="1"/>
  <c r="AJ525" i="1"/>
  <c r="E51" i="31" s="1"/>
  <c r="E50" i="31" s="1"/>
  <c r="AJ732" i="1"/>
  <c r="E55" i="31" s="1"/>
  <c r="AJ783" i="1"/>
  <c r="E73" i="31" s="1"/>
  <c r="AJ787" i="1"/>
  <c r="AJ788" i="1"/>
  <c r="E72" i="31" s="1"/>
  <c r="AJ741" i="1"/>
  <c r="AJ767" i="1" s="1"/>
  <c r="AJ785" i="1"/>
  <c r="AJ789" i="1"/>
  <c r="AJ322" i="1"/>
  <c r="AJ323" i="1" s="1"/>
  <c r="E70" i="31" s="1"/>
  <c r="AJ317" i="1"/>
  <c r="AJ79" i="1" s="1"/>
  <c r="E74" i="31" l="1"/>
  <c r="AJ81" i="1"/>
  <c r="AJ428" i="1"/>
  <c r="AJ733" i="1"/>
  <c r="AJ760" i="1"/>
  <c r="AJ729" i="1"/>
  <c r="AJ527" i="1"/>
  <c r="AJ529" i="1" s="1"/>
  <c r="AJ534" i="1" s="1"/>
  <c r="AJ538" i="1" s="1"/>
  <c r="E63" i="31" s="1"/>
  <c r="AJ728" i="1"/>
  <c r="AJ782" i="1"/>
  <c r="AJ731" i="1"/>
  <c r="AJ759" i="1"/>
  <c r="AJ840" i="1"/>
  <c r="AJ841" i="1"/>
  <c r="AJ483" i="1"/>
  <c r="AJ734" i="1"/>
  <c r="AJ761" i="1" s="1"/>
  <c r="AJ461" i="1"/>
  <c r="AJ380" i="1"/>
  <c r="E7" i="31" s="1"/>
  <c r="AJ375" i="1"/>
  <c r="AJ269" i="1"/>
  <c r="AJ325" i="1"/>
  <c r="E32" i="31" l="1"/>
  <c r="AJ463" i="1"/>
  <c r="AK533" i="1"/>
  <c r="AK527" i="1" s="1"/>
  <c r="AJ757" i="1"/>
  <c r="AJ758" i="1"/>
  <c r="AJ490" i="1"/>
  <c r="E38" i="31" s="1"/>
  <c r="E41" i="31" s="1"/>
  <c r="AJ129" i="1"/>
  <c r="AJ742" i="1"/>
  <c r="AJ531" i="1"/>
  <c r="AJ541" i="1"/>
  <c r="AJ743" i="1"/>
  <c r="AJ622" i="1"/>
  <c r="AJ377" i="1"/>
  <c r="AJ493" i="1" l="1"/>
  <c r="AJ510" i="1" s="1"/>
  <c r="AJ769" i="1"/>
  <c r="AJ674" i="1"/>
  <c r="AJ550" i="1"/>
  <c r="AJ564" i="1" s="1"/>
  <c r="AJ568" i="1" s="1"/>
  <c r="AJ587" i="1" s="1"/>
  <c r="AJ768" i="1"/>
  <c r="AJ624" i="1"/>
  <c r="AJ629" i="1" s="1"/>
  <c r="AJ391" i="1"/>
  <c r="AJ590" i="1" l="1"/>
  <c r="AJ607" i="1"/>
  <c r="AJ836" i="1"/>
  <c r="AJ837" i="1" l="1"/>
  <c r="E78" i="31" s="1"/>
  <c r="AJ834" i="1"/>
  <c r="E77" i="31" s="1"/>
  <c r="AJ593" i="1"/>
  <c r="AJ150" i="1"/>
  <c r="AJ595" i="1"/>
  <c r="CS627" i="1"/>
  <c r="CS572" i="1"/>
  <c r="AJ630" i="1" l="1"/>
  <c r="AJ631" i="1" s="1"/>
  <c r="AJ786" i="1"/>
  <c r="AJ784" i="1"/>
  <c r="AJ744" i="1"/>
  <c r="AJ616" i="1"/>
  <c r="AJ591" i="1"/>
  <c r="AJ592" i="1" s="1"/>
  <c r="AJ615" i="1" l="1"/>
  <c r="AJ835" i="1"/>
  <c r="AJ618" i="1"/>
  <c r="AJ639" i="1"/>
  <c r="AJ4" i="1" s="1"/>
  <c r="AJ548" i="1" l="1"/>
  <c r="AJ48" i="1" l="1"/>
  <c r="AJ49" i="1"/>
  <c r="AJ667" i="1"/>
  <c r="AJ820" i="1"/>
  <c r="AJ822" i="1"/>
  <c r="AJ824" i="1"/>
  <c r="AJ819" i="1"/>
  <c r="AJ826" i="1"/>
  <c r="AJ825" i="1"/>
  <c r="AJ821" i="1"/>
  <c r="AJ827" i="1"/>
  <c r="AJ815" i="1"/>
  <c r="AJ816" i="1"/>
  <c r="AJ818" i="1"/>
  <c r="AJ814" i="1"/>
  <c r="AJ813" i="1"/>
  <c r="AJ817" i="1"/>
  <c r="AJ812" i="1"/>
  <c r="AJ823" i="1"/>
  <c r="AJ116" i="1"/>
  <c r="AJ115" i="1"/>
  <c r="AJ114" i="1"/>
  <c r="AJ839" i="1" l="1"/>
  <c r="AJ131" i="1"/>
  <c r="CT556" i="1" l="1"/>
  <c r="CU556" i="1"/>
  <c r="CU562" i="1" l="1"/>
  <c r="CU626" i="1"/>
  <c r="CT562" i="1"/>
  <c r="CV626" i="1" l="1"/>
  <c r="CV556" i="1"/>
  <c r="CS626" i="1" l="1"/>
  <c r="CS556" i="1"/>
  <c r="CT626" i="1"/>
  <c r="CV562" i="1"/>
  <c r="CS562" i="1" l="1"/>
  <c r="CW626" i="1"/>
  <c r="CW556" i="1"/>
  <c r="CW562" i="1" l="1"/>
  <c r="CX556" i="1" l="1"/>
  <c r="CX626" i="1"/>
  <c r="CY626" i="1" l="1"/>
  <c r="CY556" i="1"/>
  <c r="AY626" i="1" l="1"/>
  <c r="CZ626" i="1" s="1"/>
  <c r="CZ556" i="1"/>
  <c r="AZ626" i="1" l="1"/>
  <c r="BA626" i="1" l="1"/>
  <c r="DA626" i="1" s="1"/>
  <c r="DA556" i="1"/>
  <c r="BB626" i="1" l="1"/>
  <c r="DB556" i="1"/>
  <c r="BC626" i="1"/>
  <c r="DB626" i="1" l="1"/>
  <c r="AK318" i="1" l="1"/>
  <c r="AK315" i="1" l="1"/>
  <c r="AK314" i="1"/>
  <c r="AK376" i="1"/>
  <c r="AK296" i="1"/>
  <c r="AK281" i="1"/>
  <c r="AK276" i="1"/>
  <c r="AK286" i="1"/>
  <c r="AK77" i="1" s="1"/>
  <c r="CS20" i="1"/>
  <c r="CT26" i="1"/>
  <c r="CS26" i="1"/>
  <c r="CS25" i="1"/>
  <c r="CS19" i="1"/>
  <c r="AK621" i="1"/>
  <c r="CS18" i="1"/>
  <c r="CT24" i="1"/>
  <c r="CS24" i="1"/>
  <c r="AK275" i="1"/>
  <c r="AK333" i="1" s="1"/>
  <c r="CS17" i="1"/>
  <c r="CT23" i="1"/>
  <c r="CS23" i="1"/>
  <c r="AK299" i="1" l="1"/>
  <c r="AK304" i="1"/>
  <c r="AL304" i="1" s="1"/>
  <c r="AM304" i="1" s="1"/>
  <c r="AN304" i="1" s="1"/>
  <c r="AK305" i="1"/>
  <c r="AL305" i="1" s="1"/>
  <c r="AM305" i="1" s="1"/>
  <c r="AN305" i="1" s="1"/>
  <c r="AO305" i="1" s="1"/>
  <c r="AK300" i="1"/>
  <c r="AK334" i="1"/>
  <c r="AK71" i="1"/>
  <c r="AK339" i="1"/>
  <c r="AK75" i="1"/>
  <c r="AK321" i="1"/>
  <c r="AK379" i="1"/>
  <c r="F6" i="31" s="1"/>
  <c r="AK291" i="1"/>
  <c r="AK344" i="1"/>
  <c r="AK372" i="1"/>
  <c r="AK373" i="1"/>
  <c r="CS164" i="1"/>
  <c r="CS166" i="1"/>
  <c r="CS170" i="1"/>
  <c r="CS160" i="1"/>
  <c r="CS172" i="1"/>
  <c r="AL275" i="1"/>
  <c r="AL333" i="1" s="1"/>
  <c r="AL332" i="1" s="1"/>
  <c r="CS171" i="1"/>
  <c r="CS526" i="1"/>
  <c r="AP305" i="1" l="1"/>
  <c r="AO363" i="1"/>
  <c r="AN362" i="1"/>
  <c r="AO304" i="1"/>
  <c r="AP304" i="1" s="1"/>
  <c r="AQ304" i="1" s="1"/>
  <c r="AR304" i="1" s="1"/>
  <c r="AS304" i="1" s="1"/>
  <c r="AT304" i="1" s="1"/>
  <c r="AU304" i="1" s="1"/>
  <c r="AV304" i="1" s="1"/>
  <c r="AW304" i="1" s="1"/>
  <c r="AX304" i="1" s="1"/>
  <c r="AN306" i="1"/>
  <c r="AN363" i="1"/>
  <c r="CS60" i="1"/>
  <c r="CS49" i="1" s="1"/>
  <c r="CS56" i="1"/>
  <c r="CS59" i="1"/>
  <c r="CS48" i="1" s="1"/>
  <c r="CS57" i="1"/>
  <c r="AK73" i="1"/>
  <c r="AL300" i="1"/>
  <c r="AK72" i="1"/>
  <c r="AL299" i="1"/>
  <c r="CS372" i="1"/>
  <c r="AK294" i="1"/>
  <c r="AK349" i="1"/>
  <c r="AK374" i="1"/>
  <c r="CS373" i="1"/>
  <c r="CT25" i="1"/>
  <c r="CS675" i="1"/>
  <c r="CS159" i="1"/>
  <c r="CS167" i="1"/>
  <c r="CS158" i="1"/>
  <c r="CS621" i="1"/>
  <c r="CS173" i="1"/>
  <c r="CS208" i="1"/>
  <c r="CS210" i="1"/>
  <c r="CS180" i="1"/>
  <c r="CS209" i="1"/>
  <c r="CS64" i="1" s="1"/>
  <c r="CS179" i="1"/>
  <c r="CS157" i="1"/>
  <c r="CT19" i="1"/>
  <c r="CS54" i="1"/>
  <c r="CS165" i="1"/>
  <c r="AX362" i="1" l="1"/>
  <c r="AW362" i="1"/>
  <c r="AV362" i="1"/>
  <c r="AU362" i="1"/>
  <c r="AT362" i="1"/>
  <c r="AS362" i="1"/>
  <c r="AR362" i="1"/>
  <c r="AQ362" i="1"/>
  <c r="AP363" i="1"/>
  <c r="AQ305" i="1"/>
  <c r="CU363" i="1"/>
  <c r="AP306" i="1"/>
  <c r="AP362" i="1"/>
  <c r="AO306" i="1"/>
  <c r="AO362" i="1"/>
  <c r="CU362" i="1" s="1"/>
  <c r="AN364" i="1"/>
  <c r="CS223" i="1"/>
  <c r="AL72" i="1"/>
  <c r="AM299" i="1"/>
  <c r="AL73" i="1"/>
  <c r="AM300" i="1"/>
  <c r="AN300" i="1" s="1"/>
  <c r="AO300" i="1" s="1"/>
  <c r="AP300" i="1" s="1"/>
  <c r="AQ300" i="1" s="1"/>
  <c r="AR300" i="1" s="1"/>
  <c r="AS300" i="1" s="1"/>
  <c r="CS228" i="1"/>
  <c r="CS222" i="1"/>
  <c r="CS227" i="1"/>
  <c r="AK295" i="1"/>
  <c r="AK353" i="1" s="1"/>
  <c r="AK352" i="1"/>
  <c r="CS53" i="1"/>
  <c r="CS161" i="1"/>
  <c r="CS218" i="1" s="1"/>
  <c r="CS344" i="1"/>
  <c r="CS339" i="1"/>
  <c r="CS88" i="1"/>
  <c r="CS63" i="1"/>
  <c r="CS152" i="1"/>
  <c r="CS198" i="1"/>
  <c r="CS192" i="1"/>
  <c r="CS52" i="1"/>
  <c r="CS176" i="1"/>
  <c r="CS350" i="1"/>
  <c r="CY362" i="1" l="1"/>
  <c r="CW362" i="1"/>
  <c r="CX362" i="1"/>
  <c r="AS358" i="1"/>
  <c r="AT300" i="1"/>
  <c r="AU300" i="1" s="1"/>
  <c r="AV300" i="1" s="1"/>
  <c r="AW300" i="1" s="1"/>
  <c r="AX300" i="1" s="1"/>
  <c r="AR73" i="1"/>
  <c r="AR358" i="1"/>
  <c r="AQ363" i="1"/>
  <c r="CV363" i="1" s="1"/>
  <c r="AR305" i="1"/>
  <c r="AS305" i="1" s="1"/>
  <c r="AT305" i="1" s="1"/>
  <c r="AU305" i="1" s="1"/>
  <c r="AV305" i="1" s="1"/>
  <c r="AW305" i="1" s="1"/>
  <c r="AX305" i="1" s="1"/>
  <c r="CV362" i="1"/>
  <c r="AQ306" i="1"/>
  <c r="AQ76" i="1" s="1"/>
  <c r="AQ358" i="1"/>
  <c r="AQ73" i="1"/>
  <c r="AP73" i="1"/>
  <c r="AP358" i="1"/>
  <c r="AP368" i="1" s="1"/>
  <c r="AP310" i="1" s="1"/>
  <c r="AP76" i="1"/>
  <c r="AP364" i="1"/>
  <c r="AO73" i="1"/>
  <c r="AO358" i="1"/>
  <c r="AO368" i="1" s="1"/>
  <c r="AO310" i="1" s="1"/>
  <c r="AO76" i="1"/>
  <c r="AO364" i="1"/>
  <c r="AM357" i="1"/>
  <c r="AN299" i="1"/>
  <c r="AN358" i="1"/>
  <c r="AN368" i="1" s="1"/>
  <c r="CS216" i="1"/>
  <c r="CS217" i="1"/>
  <c r="CS215" i="1"/>
  <c r="CS232" i="1" s="1"/>
  <c r="CS233" i="1" s="1"/>
  <c r="AK354" i="1"/>
  <c r="CS61" i="1"/>
  <c r="CS186" i="1"/>
  <c r="CS193" i="1"/>
  <c r="CS58" i="1"/>
  <c r="CS286" i="1"/>
  <c r="CS77" i="1" s="1"/>
  <c r="CS178" i="1"/>
  <c r="AO59" i="31" s="1"/>
  <c r="AO60" i="31" s="1"/>
  <c r="AK272" i="1"/>
  <c r="AK330" i="1" s="1"/>
  <c r="AK332" i="1" s="1"/>
  <c r="CS610" i="1"/>
  <c r="CS281" i="1"/>
  <c r="CS75" i="1" s="1"/>
  <c r="CS578" i="1"/>
  <c r="CS585" i="1" s="1"/>
  <c r="AX363" i="1" l="1"/>
  <c r="AX306" i="1"/>
  <c r="AX73" i="1"/>
  <c r="AX358" i="1"/>
  <c r="AX368" i="1" s="1"/>
  <c r="AW363" i="1"/>
  <c r="AW306" i="1"/>
  <c r="AW73" i="1"/>
  <c r="AW358" i="1"/>
  <c r="AV358" i="1"/>
  <c r="AV73" i="1"/>
  <c r="AV363" i="1"/>
  <c r="AV306" i="1"/>
  <c r="AU358" i="1"/>
  <c r="AU73" i="1"/>
  <c r="AU363" i="1"/>
  <c r="AU306" i="1"/>
  <c r="AU76" i="1" s="1"/>
  <c r="AT358" i="1"/>
  <c r="AT73" i="1"/>
  <c r="AT363" i="1"/>
  <c r="AT306" i="1"/>
  <c r="AS363" i="1"/>
  <c r="AS368" i="1" s="1"/>
  <c r="AS310" i="1" s="1"/>
  <c r="AS306" i="1"/>
  <c r="AR363" i="1"/>
  <c r="AR306" i="1"/>
  <c r="AQ368" i="1"/>
  <c r="AQ310" i="1" s="1"/>
  <c r="AQ364" i="1"/>
  <c r="AN357" i="1"/>
  <c r="AN367" i="1" s="1"/>
  <c r="AN309" i="1" s="1"/>
  <c r="AO299" i="1"/>
  <c r="AP299" i="1" s="1"/>
  <c r="AQ299" i="1" s="1"/>
  <c r="AR299" i="1" s="1"/>
  <c r="AS299" i="1" s="1"/>
  <c r="AT299" i="1" s="1"/>
  <c r="AN301" i="1"/>
  <c r="AN310" i="1"/>
  <c r="CU368" i="1"/>
  <c r="CS55" i="1"/>
  <c r="CS351" i="1"/>
  <c r="CS333" i="1"/>
  <c r="CS628" i="1"/>
  <c r="CS145" i="1"/>
  <c r="CS177" i="1"/>
  <c r="CS398" i="1"/>
  <c r="AO13" i="31" s="1"/>
  <c r="CS187" i="1"/>
  <c r="CS204" i="1"/>
  <c r="AO61" i="31" s="1"/>
  <c r="CS331" i="1"/>
  <c r="CS181" i="1"/>
  <c r="AK154" i="1"/>
  <c r="AY73" i="1" l="1"/>
  <c r="AZ73" i="1" s="1"/>
  <c r="CY363" i="1"/>
  <c r="AW368" i="1"/>
  <c r="AW310" i="1" s="1"/>
  <c r="AX76" i="1"/>
  <c r="AY76" i="1" s="1"/>
  <c r="AX364" i="1"/>
  <c r="AX310" i="1"/>
  <c r="AW76" i="1"/>
  <c r="AW364" i="1"/>
  <c r="AV364" i="1"/>
  <c r="AV76" i="1"/>
  <c r="AU368" i="1"/>
  <c r="AU310" i="1" s="1"/>
  <c r="AV368" i="1"/>
  <c r="CX363" i="1"/>
  <c r="AT72" i="1"/>
  <c r="AU299" i="1"/>
  <c r="AU364" i="1"/>
  <c r="AT368" i="1"/>
  <c r="AT364" i="1"/>
  <c r="AT76" i="1"/>
  <c r="CW363" i="1"/>
  <c r="AS364" i="1"/>
  <c r="AT357" i="1"/>
  <c r="AT367" i="1" s="1"/>
  <c r="AT301" i="1"/>
  <c r="AT74" i="1" s="1"/>
  <c r="AS301" i="1"/>
  <c r="AS357" i="1"/>
  <c r="AS367" i="1" s="1"/>
  <c r="AS309" i="1" s="1"/>
  <c r="AS311" i="1" s="1"/>
  <c r="AS369" i="1" s="1"/>
  <c r="AR368" i="1"/>
  <c r="CW368" i="1" s="1"/>
  <c r="CV368" i="1"/>
  <c r="AR76" i="1"/>
  <c r="AR364" i="1"/>
  <c r="AR72" i="1"/>
  <c r="AR301" i="1"/>
  <c r="AR357" i="1"/>
  <c r="AR367" i="1" s="1"/>
  <c r="AQ72" i="1"/>
  <c r="AQ301" i="1"/>
  <c r="AQ357" i="1"/>
  <c r="AQ367" i="1" s="1"/>
  <c r="AQ309" i="1" s="1"/>
  <c r="AQ311" i="1" s="1"/>
  <c r="AN359" i="1"/>
  <c r="AP72" i="1"/>
  <c r="AP301" i="1"/>
  <c r="AP357" i="1"/>
  <c r="AP367" i="1" s="1"/>
  <c r="AP309" i="1" s="1"/>
  <c r="AP311" i="1" s="1"/>
  <c r="AO72" i="1"/>
  <c r="AO301" i="1"/>
  <c r="AO357" i="1"/>
  <c r="AO367" i="1" s="1"/>
  <c r="AN311" i="1"/>
  <c r="AN369" i="1" s="1"/>
  <c r="CS275" i="1"/>
  <c r="CS70" i="1" s="1"/>
  <c r="CS273" i="1"/>
  <c r="CS68" i="1" s="1"/>
  <c r="CS154" i="1"/>
  <c r="CS202" i="1"/>
  <c r="CS203" i="1"/>
  <c r="CS433" i="1"/>
  <c r="CS376" i="1"/>
  <c r="CS502" i="1"/>
  <c r="CS412" i="1"/>
  <c r="CS424" i="1" s="1"/>
  <c r="CS459" i="1" s="1"/>
  <c r="CS488" i="1" s="1"/>
  <c r="CS670" i="1"/>
  <c r="CS87" i="1"/>
  <c r="CS415" i="1"/>
  <c r="CS427" i="1" s="1"/>
  <c r="CS330" i="1"/>
  <c r="CS272" i="1" s="1"/>
  <c r="CS67" i="1" s="1"/>
  <c r="CS611" i="1"/>
  <c r="CX368" i="1" l="1"/>
  <c r="AU72" i="1"/>
  <c r="AV299" i="1"/>
  <c r="AV310" i="1"/>
  <c r="CY368" i="1"/>
  <c r="AT310" i="1"/>
  <c r="AU301" i="1"/>
  <c r="AU74" i="1" s="1"/>
  <c r="AU357" i="1"/>
  <c r="AU367" i="1" s="1"/>
  <c r="AU309" i="1" s="1"/>
  <c r="AU311" i="1" s="1"/>
  <c r="AU78" i="1" s="1"/>
  <c r="AT359" i="1"/>
  <c r="AT309" i="1"/>
  <c r="AS316" i="1"/>
  <c r="AS359" i="1"/>
  <c r="AR310" i="1"/>
  <c r="AR74" i="1"/>
  <c r="AR359" i="1"/>
  <c r="AR309" i="1"/>
  <c r="CW367" i="1"/>
  <c r="M13" i="16"/>
  <c r="AQ78" i="1"/>
  <c r="AQ369" i="1"/>
  <c r="AQ316" i="1"/>
  <c r="AQ74" i="1"/>
  <c r="AQ359" i="1"/>
  <c r="AP78" i="1"/>
  <c r="AP369" i="1"/>
  <c r="AP74" i="1"/>
  <c r="AP316" i="1"/>
  <c r="AP359" i="1"/>
  <c r="CV367" i="1"/>
  <c r="AO309" i="1"/>
  <c r="AO311" i="1" s="1"/>
  <c r="AO316" i="1" s="1"/>
  <c r="CU367" i="1"/>
  <c r="AO74" i="1"/>
  <c r="AO359" i="1"/>
  <c r="AN316" i="1"/>
  <c r="CT388" i="1"/>
  <c r="CT351" i="1"/>
  <c r="CS668" i="1"/>
  <c r="CS318" i="1"/>
  <c r="CS80" i="1" s="1"/>
  <c r="CS625" i="1"/>
  <c r="CS703" i="1"/>
  <c r="CS147" i="1"/>
  <c r="CS669" i="1"/>
  <c r="CS663" i="1"/>
  <c r="CS395" i="1"/>
  <c r="CS662" i="1"/>
  <c r="CS709" i="1"/>
  <c r="CS146" i="1"/>
  <c r="CS353" i="1"/>
  <c r="CS679" i="1"/>
  <c r="CS507" i="1"/>
  <c r="CS665" i="1"/>
  <c r="CS666" i="1"/>
  <c r="CS664" i="1"/>
  <c r="CS397" i="1"/>
  <c r="AO12" i="31" s="1"/>
  <c r="CS199" i="1"/>
  <c r="CS205" i="1"/>
  <c r="CS795" i="1" s="1"/>
  <c r="AV72" i="1" l="1"/>
  <c r="AW299" i="1"/>
  <c r="AX299" i="1" s="1"/>
  <c r="AT311" i="1"/>
  <c r="AT78" i="1" s="1"/>
  <c r="AV357" i="1"/>
  <c r="AV367" i="1" s="1"/>
  <c r="AV301" i="1"/>
  <c r="AV74" i="1" s="1"/>
  <c r="CX367" i="1"/>
  <c r="AU359" i="1"/>
  <c r="AU316" i="1"/>
  <c r="AU369" i="1"/>
  <c r="AS317" i="1"/>
  <c r="AS375" i="1" s="1"/>
  <c r="AS377" i="1" s="1"/>
  <c r="AS391" i="1" s="1"/>
  <c r="AR311" i="1"/>
  <c r="AR78" i="1" s="1"/>
  <c r="M14" i="16"/>
  <c r="AQ317" i="1"/>
  <c r="AQ380" i="1" s="1"/>
  <c r="L7" i="31" s="1"/>
  <c r="AP317" i="1"/>
  <c r="AO317" i="1"/>
  <c r="AO78" i="1"/>
  <c r="AO369" i="1"/>
  <c r="CS613" i="1"/>
  <c r="CS471" i="1"/>
  <c r="CS84" i="1"/>
  <c r="CS614" i="1"/>
  <c r="CS470" i="1"/>
  <c r="CS86" i="1"/>
  <c r="AK212" i="1"/>
  <c r="I31" i="2" s="1"/>
  <c r="CT415" i="1"/>
  <c r="CT427" i="1" s="1"/>
  <c r="CS705" i="1"/>
  <c r="CS450" i="1"/>
  <c r="CS462" i="1" s="1"/>
  <c r="CS491" i="1" s="1"/>
  <c r="J32" i="16" l="1"/>
  <c r="J33" i="16" s="1"/>
  <c r="AO62" i="31"/>
  <c r="AX72" i="1"/>
  <c r="AY72" i="1" s="1"/>
  <c r="AX301" i="1"/>
  <c r="AX357" i="1"/>
  <c r="AX367" i="1" s="1"/>
  <c r="AW72" i="1"/>
  <c r="AW301" i="1"/>
  <c r="AW357" i="1"/>
  <c r="AW367" i="1" s="1"/>
  <c r="AW309" i="1" s="1"/>
  <c r="AW311" i="1" s="1"/>
  <c r="AT316" i="1"/>
  <c r="AT317" i="1" s="1"/>
  <c r="AT369" i="1"/>
  <c r="AV359" i="1"/>
  <c r="AV309" i="1"/>
  <c r="AV311" i="1" s="1"/>
  <c r="AU317" i="1"/>
  <c r="AS380" i="1"/>
  <c r="N7" i="31" s="1"/>
  <c r="AR316" i="1"/>
  <c r="AR317" i="1" s="1"/>
  <c r="AR369" i="1"/>
  <c r="AQ79" i="1"/>
  <c r="AQ375" i="1"/>
  <c r="AQ377" i="1" s="1"/>
  <c r="AQ391" i="1" s="1"/>
  <c r="AP79" i="1"/>
  <c r="AP375" i="1"/>
  <c r="AP377" i="1" s="1"/>
  <c r="AP391" i="1" s="1"/>
  <c r="AP380" i="1"/>
  <c r="K7" i="31" s="1"/>
  <c r="AO79" i="1"/>
  <c r="AO375" i="1"/>
  <c r="AO377" i="1" s="1"/>
  <c r="AO391" i="1" s="1"/>
  <c r="AO380" i="1"/>
  <c r="J7" i="31" s="1"/>
  <c r="CU388" i="1"/>
  <c r="CU351" i="1"/>
  <c r="CT507" i="1"/>
  <c r="CS809" i="1"/>
  <c r="CS808" i="1"/>
  <c r="CS113" i="1"/>
  <c r="CS112" i="1"/>
  <c r="CS212" i="1"/>
  <c r="CS713" i="1"/>
  <c r="CS712" i="1"/>
  <c r="CS598" i="1"/>
  <c r="CS696" i="1"/>
  <c r="AX309" i="1" l="1"/>
  <c r="AX311" i="1" s="1"/>
  <c r="AX316" i="1" s="1"/>
  <c r="AX74" i="1"/>
  <c r="AX359" i="1"/>
  <c r="AW78" i="1"/>
  <c r="AW369" i="1"/>
  <c r="CY367" i="1"/>
  <c r="AW316" i="1"/>
  <c r="AW74" i="1"/>
  <c r="AW359" i="1"/>
  <c r="AV369" i="1"/>
  <c r="AV78" i="1"/>
  <c r="AV316" i="1"/>
  <c r="AU375" i="1"/>
  <c r="AU377" i="1" s="1"/>
  <c r="AU391" i="1" s="1"/>
  <c r="AU79" i="1"/>
  <c r="AU380" i="1"/>
  <c r="P7" i="31" s="1"/>
  <c r="AT375" i="1"/>
  <c r="AT377" i="1" s="1"/>
  <c r="AT391" i="1" s="1"/>
  <c r="AT79" i="1"/>
  <c r="AT380" i="1"/>
  <c r="O7" i="31" s="1"/>
  <c r="AR79" i="1"/>
  <c r="AR375" i="1"/>
  <c r="AR377" i="1" s="1"/>
  <c r="AR391" i="1" s="1"/>
  <c r="AR380" i="1"/>
  <c r="M7" i="31" s="1"/>
  <c r="CT450" i="1"/>
  <c r="CT462" i="1" s="1"/>
  <c r="CT491" i="1" s="1"/>
  <c r="AK465" i="1"/>
  <c r="CS472" i="1"/>
  <c r="AO35" i="31" s="1"/>
  <c r="AO36" i="31" s="1"/>
  <c r="CS118" i="1" l="1"/>
  <c r="AX317" i="1"/>
  <c r="AX380" i="1" s="1"/>
  <c r="S7" i="31" s="1"/>
  <c r="AX78" i="1"/>
  <c r="AY78" i="1" s="1"/>
  <c r="AX369" i="1"/>
  <c r="AW317" i="1"/>
  <c r="AV317" i="1"/>
  <c r="CV351" i="1"/>
  <c r="CS810" i="1"/>
  <c r="CS711" i="1"/>
  <c r="CS465" i="1"/>
  <c r="CS478" i="1"/>
  <c r="CS480" i="1" s="1"/>
  <c r="CS811" i="1"/>
  <c r="CS117" i="1"/>
  <c r="AX79" i="1" l="1"/>
  <c r="AY79" i="1" s="1"/>
  <c r="AX375" i="1"/>
  <c r="AX377" i="1" s="1"/>
  <c r="AX391" i="1" s="1"/>
  <c r="AW79" i="1"/>
  <c r="AW375" i="1"/>
  <c r="AW377" i="1" s="1"/>
  <c r="AW391" i="1" s="1"/>
  <c r="AW380" i="1"/>
  <c r="R7" i="31" s="1"/>
  <c r="AV375" i="1"/>
  <c r="AV377" i="1" s="1"/>
  <c r="AV391" i="1" s="1"/>
  <c r="AV79" i="1"/>
  <c r="AV380" i="1"/>
  <c r="Q7" i="31" s="1"/>
  <c r="CV388" i="1"/>
  <c r="CW388" i="1"/>
  <c r="CU450" i="1"/>
  <c r="CV415" i="1"/>
  <c r="CV427" i="1" l="1"/>
  <c r="CW351" i="1"/>
  <c r="CV507" i="1"/>
  <c r="CW415" i="1"/>
  <c r="CW427" i="1" s="1"/>
  <c r="CX388" i="1" l="1"/>
  <c r="CV450" i="1"/>
  <c r="CV462" i="1" s="1"/>
  <c r="CV491" i="1" s="1"/>
  <c r="CX351" i="1" l="1"/>
  <c r="CW450" i="1" l="1"/>
  <c r="CW462" i="1" s="1"/>
  <c r="CW491" i="1" s="1"/>
  <c r="CW507" i="1"/>
  <c r="CX415" i="1"/>
  <c r="CX427" i="1" s="1"/>
  <c r="CY351" i="1" l="1"/>
  <c r="CY388" i="1" l="1"/>
  <c r="CZ388" i="1"/>
  <c r="CX507" i="1"/>
  <c r="CX450" i="1"/>
  <c r="CX462" i="1" s="1"/>
  <c r="CX491" i="1" s="1"/>
  <c r="CY415" i="1"/>
  <c r="CY427" i="1" l="1"/>
  <c r="CY450" i="1"/>
  <c r="CY462" i="1" l="1"/>
  <c r="CY491" i="1" s="1"/>
  <c r="CZ415" i="1"/>
  <c r="CZ427" i="1" s="1"/>
  <c r="CY507" i="1"/>
  <c r="DB399" i="1"/>
  <c r="DA388" i="1" l="1"/>
  <c r="CZ450" i="1"/>
  <c r="AZ427" i="1"/>
  <c r="CZ462" i="1" l="1"/>
  <c r="CZ491" i="1" s="1"/>
  <c r="DB388" i="1"/>
  <c r="DA415" i="1"/>
  <c r="DA427" i="1" s="1"/>
  <c r="BA427" i="1"/>
  <c r="CZ507" i="1"/>
  <c r="AZ462" i="1" l="1"/>
  <c r="AZ491" i="1" s="1"/>
  <c r="AZ507" i="1" s="1"/>
  <c r="BA462" i="1"/>
  <c r="BA491" i="1" s="1"/>
  <c r="BA507" i="1" s="1"/>
  <c r="BB427" i="1"/>
  <c r="BC427" i="1" l="1"/>
  <c r="DB415" i="1"/>
  <c r="DB427" i="1" s="1"/>
  <c r="DA507" i="1"/>
  <c r="DA450" i="1"/>
  <c r="DA462" i="1" s="1"/>
  <c r="DA491" i="1" s="1"/>
  <c r="BB462" i="1"/>
  <c r="BB491" i="1" s="1"/>
  <c r="BB507" i="1" s="1"/>
  <c r="BE427" i="1" l="1"/>
  <c r="BD427" i="1"/>
  <c r="DC415" i="1" l="1"/>
  <c r="BC462" i="1"/>
  <c r="BC491" i="1" s="1"/>
  <c r="BC507" i="1" s="1"/>
  <c r="DB507" i="1" s="1"/>
  <c r="BD462" i="1"/>
  <c r="BD491" i="1" s="1"/>
  <c r="BD507" i="1" s="1"/>
  <c r="DB450" i="1"/>
  <c r="DB462" i="1" s="1"/>
  <c r="DB491" i="1" s="1"/>
  <c r="BE462" i="1" l="1"/>
  <c r="BE491" i="1" s="1"/>
  <c r="BE507" i="1" s="1"/>
  <c r="DC507" i="1" s="1"/>
  <c r="DC450" i="1" l="1"/>
  <c r="CS315" i="1" l="1"/>
  <c r="AK248" i="1"/>
  <c r="AK363" i="1" l="1"/>
  <c r="CS363" i="1" s="1"/>
  <c r="CS248" i="1"/>
  <c r="CS314" i="1"/>
  <c r="AK247" i="1"/>
  <c r="CS247" i="1" s="1"/>
  <c r="AK243" i="1"/>
  <c r="CS305" i="1" l="1"/>
  <c r="AK358" i="1"/>
  <c r="AK368" i="1" s="1"/>
  <c r="CS368" i="1" s="1"/>
  <c r="CS243" i="1"/>
  <c r="CS253" i="1" s="1"/>
  <c r="CS249" i="1"/>
  <c r="AK362" i="1"/>
  <c r="AK253" i="1"/>
  <c r="AK249" i="1"/>
  <c r="AK306" i="1" s="1"/>
  <c r="AK76" i="1" s="1"/>
  <c r="AK310" i="1" l="1"/>
  <c r="CS358" i="1"/>
  <c r="CS300" i="1" s="1"/>
  <c r="CS73" i="1" s="1"/>
  <c r="AK364" i="1"/>
  <c r="CS364" i="1" s="1"/>
  <c r="CS362" i="1"/>
  <c r="CS304" i="1" s="1"/>
  <c r="CS310" i="1"/>
  <c r="CS306" i="1" l="1"/>
  <c r="CS76" i="1" s="1"/>
  <c r="AK242" i="1"/>
  <c r="CS242" i="1" s="1"/>
  <c r="CS244" i="1" l="1"/>
  <c r="CS252" i="1"/>
  <c r="CS254" i="1" s="1"/>
  <c r="AK357" i="1"/>
  <c r="AK367" i="1" s="1"/>
  <c r="AK244" i="1"/>
  <c r="AK252" i="1"/>
  <c r="CS396" i="1"/>
  <c r="AO11" i="31" s="1"/>
  <c r="AK301" i="1" l="1"/>
  <c r="AK74" i="1" s="1"/>
  <c r="AK309" i="1"/>
  <c r="CS367" i="1"/>
  <c r="CS85" i="1"/>
  <c r="AK254" i="1"/>
  <c r="CS357" i="1"/>
  <c r="CS299" i="1" s="1"/>
  <c r="CS72" i="1" s="1"/>
  <c r="CS309" i="1" l="1"/>
  <c r="AK311" i="1"/>
  <c r="AK359" i="1"/>
  <c r="CS359" i="1" s="1"/>
  <c r="CS301" i="1" s="1"/>
  <c r="CS74" i="1" s="1"/>
  <c r="CS414" i="1"/>
  <c r="CS416" i="1" l="1"/>
  <c r="AK369" i="1"/>
  <c r="CS369" i="1" s="1"/>
  <c r="CS311" i="1" s="1"/>
  <c r="CS78" i="1" s="1"/>
  <c r="AK78" i="1"/>
  <c r="AK316" i="1"/>
  <c r="CS374" i="1" l="1"/>
  <c r="CS316" i="1" s="1"/>
  <c r="CS379" i="1" l="1"/>
  <c r="AO6" i="31" s="1"/>
  <c r="CS349" i="1" l="1"/>
  <c r="CS332" i="1"/>
  <c r="CS274" i="1" s="1"/>
  <c r="CS69" i="1" s="1"/>
  <c r="CS334" i="1"/>
  <c r="CS276" i="1" s="1"/>
  <c r="AK274" i="1"/>
  <c r="AK69" i="1" s="1"/>
  <c r="CS352" i="1"/>
  <c r="CS354" i="1"/>
  <c r="CS296" i="1" s="1"/>
  <c r="CS291" i="1" l="1"/>
  <c r="CS294" i="1" s="1"/>
  <c r="CS71" i="1"/>
  <c r="CS321" i="1"/>
  <c r="CS387" i="1"/>
  <c r="CS389" i="1" s="1"/>
  <c r="CS381" i="1"/>
  <c r="AO8" i="31" s="1"/>
  <c r="AO9" i="31" s="1"/>
  <c r="AK327" i="1"/>
  <c r="CS295" i="1" l="1"/>
  <c r="CS327" i="1"/>
  <c r="AK319" i="1"/>
  <c r="AK317" i="1" s="1"/>
  <c r="AK79" i="1" s="1"/>
  <c r="AK322" i="1" l="1"/>
  <c r="AK323" i="1" s="1"/>
  <c r="F70" i="31" s="1"/>
  <c r="AK375" i="1"/>
  <c r="CS375" i="1" s="1"/>
  <c r="CS317" i="1" s="1"/>
  <c r="CS79" i="1" s="1"/>
  <c r="AK380" i="1"/>
  <c r="F7" i="31" s="1"/>
  <c r="AK81" i="1" l="1"/>
  <c r="CS380" i="1"/>
  <c r="AO7" i="31" s="1"/>
  <c r="CS710" i="1"/>
  <c r="CS441" i="1"/>
  <c r="AO26" i="31" s="1"/>
  <c r="AK430" i="1"/>
  <c r="AK269" i="1"/>
  <c r="AK325" i="1"/>
  <c r="AK377" i="1"/>
  <c r="AK391" i="1" l="1"/>
  <c r="CS377" i="1"/>
  <c r="CS443" i="1"/>
  <c r="AO28" i="31" l="1"/>
  <c r="AO30" i="31" s="1"/>
  <c r="CS449" i="1"/>
  <c r="CS319" i="1"/>
  <c r="CS322" i="1" s="1"/>
  <c r="CS323" i="1" s="1"/>
  <c r="AO70" i="31" s="1"/>
  <c r="CS391" i="1"/>
  <c r="CS430" i="1"/>
  <c r="CS98" i="1"/>
  <c r="CS451" i="1" l="1"/>
  <c r="CS81" i="1"/>
  <c r="CS325" i="1"/>
  <c r="CS269" i="1"/>
  <c r="CS497" i="1" l="1"/>
  <c r="AO40" i="31" s="1"/>
  <c r="CS500" i="1" l="1"/>
  <c r="CS130" i="1"/>
  <c r="CS495" i="1" l="1"/>
  <c r="CS506" i="1"/>
  <c r="CS509" i="1" s="1"/>
  <c r="CS676" i="1" l="1"/>
  <c r="CS671" i="1" l="1"/>
  <c r="CS673" i="1"/>
  <c r="CS567" i="1" l="1"/>
  <c r="CS589" i="1"/>
  <c r="CS672" i="1"/>
  <c r="CS699" i="1"/>
  <c r="CS599" i="1" l="1"/>
  <c r="CS604" i="1" s="1"/>
  <c r="CS704" i="1"/>
  <c r="AK790" i="1" l="1"/>
  <c r="I87" i="2" s="1"/>
  <c r="CS102" i="1"/>
  <c r="CS96" i="1" s="1"/>
  <c r="CS103" i="1"/>
  <c r="AK661" i="1"/>
  <c r="AL698" i="1" l="1"/>
  <c r="AL702" i="1"/>
  <c r="AK698" i="1"/>
  <c r="CS661" i="1"/>
  <c r="AK702" i="1"/>
  <c r="CT661" i="1"/>
  <c r="CS698" i="1" l="1"/>
  <c r="CS702" i="1"/>
  <c r="CU661" i="1" l="1"/>
  <c r="CS106" i="1" l="1"/>
  <c r="CT101" i="1" s="1"/>
  <c r="AK97" i="1"/>
  <c r="AK434" i="1"/>
  <c r="AK96" i="1"/>
  <c r="AK440" i="1" l="1"/>
  <c r="AL96" i="1" s="1"/>
  <c r="CV661" i="1"/>
  <c r="CS434" i="1"/>
  <c r="AK791" i="1"/>
  <c r="CS97" i="1"/>
  <c r="CS790" i="1"/>
  <c r="CS440" i="1" l="1"/>
  <c r="CS791" i="1"/>
  <c r="CW661" i="1" l="1"/>
  <c r="CX661" i="1" l="1"/>
  <c r="CY661" i="1" l="1"/>
  <c r="AZ661" i="1" l="1"/>
  <c r="BA661" i="1" l="1"/>
  <c r="BB661" i="1" s="1"/>
  <c r="CZ661" i="1"/>
  <c r="DA661" i="1" l="1"/>
  <c r="BC661" i="1"/>
  <c r="DB661" i="1" l="1"/>
  <c r="BD661" i="1"/>
  <c r="BE661" i="1" l="1"/>
  <c r="DC661" i="1" l="1"/>
  <c r="BF661" i="1"/>
  <c r="BG661" i="1" l="1"/>
  <c r="DD661" i="1" l="1"/>
  <c r="BH661" i="1"/>
  <c r="BI661" i="1" l="1"/>
  <c r="DE661" i="1" s="1"/>
  <c r="BJ661" i="1" l="1"/>
  <c r="BK661" i="1"/>
  <c r="DF661" i="1" s="1"/>
  <c r="BL661" i="1" l="1"/>
  <c r="BM661" i="1" s="1"/>
  <c r="DG661" i="1" l="1"/>
  <c r="BN661" i="1"/>
  <c r="BO661" i="1" s="1"/>
  <c r="AK819" i="1"/>
  <c r="AK820" i="1"/>
  <c r="AK821" i="1"/>
  <c r="AK826" i="1"/>
  <c r="AK827" i="1"/>
  <c r="AK825" i="1"/>
  <c r="AK823" i="1"/>
  <c r="I106" i="2" s="1"/>
  <c r="CS121" i="1"/>
  <c r="CS124" i="1"/>
  <c r="CS120" i="1"/>
  <c r="AK816" i="1"/>
  <c r="I102" i="2" s="1"/>
  <c r="AK818" i="1"/>
  <c r="I104" i="2" s="1"/>
  <c r="CS125" i="1"/>
  <c r="AK824" i="1"/>
  <c r="I107" i="2" s="1"/>
  <c r="AK814" i="1"/>
  <c r="I100" i="2" s="1"/>
  <c r="AK667" i="1"/>
  <c r="AK815" i="1"/>
  <c r="I101" i="2" s="1"/>
  <c r="AK822" i="1"/>
  <c r="I105" i="2" s="1"/>
  <c r="AK813" i="1"/>
  <c r="I99" i="2" s="1"/>
  <c r="AK812" i="1"/>
  <c r="I98" i="2" s="1"/>
  <c r="AK817" i="1"/>
  <c r="I103" i="2" s="1"/>
  <c r="AK115" i="1"/>
  <c r="AK116" i="1"/>
  <c r="AK114" i="1"/>
  <c r="BP661" i="1" l="1"/>
  <c r="DH661" i="1"/>
  <c r="CS819" i="1"/>
  <c r="CS667" i="1"/>
  <c r="CS814" i="1"/>
  <c r="CS115" i="1"/>
  <c r="CS818" i="1"/>
  <c r="CS114" i="1"/>
  <c r="CS823" i="1"/>
  <c r="CS816" i="1"/>
  <c r="CS122" i="1"/>
  <c r="CS825" i="1"/>
  <c r="CS116" i="1"/>
  <c r="CS824" i="1"/>
  <c r="CS812" i="1"/>
  <c r="CS813" i="1"/>
  <c r="CS826" i="1"/>
  <c r="CS815" i="1"/>
  <c r="CS821" i="1"/>
  <c r="CS822" i="1"/>
  <c r="CS817" i="1"/>
  <c r="CS827" i="1"/>
  <c r="CS820" i="1"/>
  <c r="BQ661" i="1" l="1"/>
  <c r="DI661" i="1" l="1"/>
  <c r="AK839" i="1"/>
  <c r="CS137" i="1"/>
  <c r="CT725" i="1"/>
  <c r="CS839" i="1" l="1"/>
  <c r="AK99" i="1" l="1"/>
  <c r="AK393" i="1"/>
  <c r="AK419" i="1"/>
  <c r="CS408" i="1"/>
  <c r="AO17" i="31" s="1"/>
  <c r="AK782" i="1"/>
  <c r="AK406" i="1"/>
  <c r="F15" i="31" s="1"/>
  <c r="CS515" i="1" l="1"/>
  <c r="AK794" i="1"/>
  <c r="AK426" i="1"/>
  <c r="F19" i="31" s="1"/>
  <c r="F20" i="31" s="1"/>
  <c r="AK793" i="1"/>
  <c r="F71" i="31" s="1"/>
  <c r="CS393" i="1"/>
  <c r="AK454" i="1"/>
  <c r="AK792" i="1"/>
  <c r="CS406" i="1"/>
  <c r="AO15" i="31" s="1"/>
  <c r="AK405" i="1"/>
  <c r="F14" i="31" s="1"/>
  <c r="CS525" i="1"/>
  <c r="AO51" i="31" s="1"/>
  <c r="CS99" i="1"/>
  <c r="CS419" i="1"/>
  <c r="CS129" i="1"/>
  <c r="CS788" i="1"/>
  <c r="AO72" i="31" s="1"/>
  <c r="CS513" i="1"/>
  <c r="J18" i="16" s="1"/>
  <c r="AK620" i="1"/>
  <c r="CS521" i="1"/>
  <c r="AK788" i="1"/>
  <c r="F72" i="31" s="1"/>
  <c r="AK789" i="1"/>
  <c r="AK785" i="1"/>
  <c r="AK783" i="1"/>
  <c r="F73" i="31" s="1"/>
  <c r="AK787" i="1"/>
  <c r="AK513" i="1"/>
  <c r="CS741" i="1" l="1"/>
  <c r="CS767" i="1" s="1"/>
  <c r="AO44" i="31"/>
  <c r="AO47" i="31" s="1"/>
  <c r="F74" i="31"/>
  <c r="CS730" i="1"/>
  <c r="AO54" i="31" s="1"/>
  <c r="CS783" i="1"/>
  <c r="AO73" i="31" s="1"/>
  <c r="AO74" i="31" s="1"/>
  <c r="CS620" i="1"/>
  <c r="CS740" i="1"/>
  <c r="CS766" i="1" s="1"/>
  <c r="CS785" i="1"/>
  <c r="CS787" i="1"/>
  <c r="CS789" i="1"/>
  <c r="CS732" i="1"/>
  <c r="AO55" i="31" s="1"/>
  <c r="J16" i="16"/>
  <c r="AK428" i="1"/>
  <c r="J21" i="16"/>
  <c r="J19" i="16"/>
  <c r="AK89" i="1"/>
  <c r="CS792" i="1"/>
  <c r="AK461" i="1"/>
  <c r="AK483" i="1"/>
  <c r="CS759" i="1"/>
  <c r="CS405" i="1"/>
  <c r="AO14" i="31" s="1"/>
  <c r="CS793" i="1"/>
  <c r="AO71" i="31" s="1"/>
  <c r="CS794" i="1"/>
  <c r="CS426" i="1"/>
  <c r="AO19" i="31" s="1"/>
  <c r="AO20" i="31" s="1"/>
  <c r="CS454" i="1"/>
  <c r="CS729" i="1"/>
  <c r="CS782" i="1"/>
  <c r="CS728" i="1"/>
  <c r="CS731" i="1" l="1"/>
  <c r="AO50" i="31"/>
  <c r="AO48" i="31"/>
  <c r="F32" i="31"/>
  <c r="CS733" i="1"/>
  <c r="CS760" i="1"/>
  <c r="CS428" i="1"/>
  <c r="AK463" i="1"/>
  <c r="AK129" i="1"/>
  <c r="AK490" i="1"/>
  <c r="F38" i="31" s="1"/>
  <c r="F41" i="31" s="1"/>
  <c r="CS758" i="1"/>
  <c r="CS757" i="1"/>
  <c r="CS89" i="1"/>
  <c r="CS483" i="1"/>
  <c r="CS734" i="1"/>
  <c r="CS461" i="1"/>
  <c r="AO32" i="31" l="1"/>
  <c r="AO33" i="31" s="1"/>
  <c r="CS463" i="1"/>
  <c r="AK493" i="1"/>
  <c r="AK510" i="1" s="1"/>
  <c r="CS761" i="1"/>
  <c r="CS490" i="1"/>
  <c r="AO38" i="31" s="1"/>
  <c r="AO41" i="31" s="1"/>
  <c r="CS493" i="1" l="1"/>
  <c r="CS510" i="1" s="1"/>
  <c r="CS131" i="1"/>
  <c r="AK131" i="1"/>
  <c r="CS543" i="1"/>
  <c r="CS652" i="1" s="1"/>
  <c r="CS537" i="1"/>
  <c r="CS136" i="1"/>
  <c r="J59" i="16" l="1"/>
  <c r="CS838" i="1"/>
  <c r="CS141" i="1"/>
  <c r="CS143" i="1" s="1"/>
  <c r="AK634" i="1"/>
  <c r="CS634" i="1" s="1"/>
  <c r="CS635" i="1" s="1"/>
  <c r="AK635" i="1" l="1"/>
  <c r="AK637" i="1" s="1"/>
  <c r="CS841" i="1"/>
  <c r="CS738" i="1"/>
  <c r="CS637" i="1"/>
  <c r="CS739" i="1" s="1"/>
  <c r="CS765" i="1" s="1"/>
  <c r="CS840" i="1" l="1"/>
  <c r="CS764" i="1"/>
  <c r="AK136" i="1"/>
  <c r="AK838" i="1" s="1"/>
  <c r="CS527" i="1"/>
  <c r="AK143" i="1"/>
  <c r="AK730" i="1" l="1"/>
  <c r="F54" i="31" s="1"/>
  <c r="AK734" i="1"/>
  <c r="AK761" i="1" s="1"/>
  <c r="AK740" i="1"/>
  <c r="AK766" i="1" s="1"/>
  <c r="AK728" i="1"/>
  <c r="AK741" i="1"/>
  <c r="AK767" i="1" s="1"/>
  <c r="AK738" i="1"/>
  <c r="AK739" i="1"/>
  <c r="AK765" i="1" s="1"/>
  <c r="AK622" i="1"/>
  <c r="AK841" i="1"/>
  <c r="AK529" i="1"/>
  <c r="AK757" i="1" l="1"/>
  <c r="AK729" i="1"/>
  <c r="AK732" i="1"/>
  <c r="F55" i="31" s="1"/>
  <c r="AK764" i="1"/>
  <c r="AK840" i="1"/>
  <c r="AK534" i="1"/>
  <c r="CS529" i="1"/>
  <c r="CS622" i="1"/>
  <c r="CS624" i="1" s="1"/>
  <c r="CS629" i="1" s="1"/>
  <c r="AK624" i="1"/>
  <c r="AK629" i="1" s="1"/>
  <c r="AK731" i="1"/>
  <c r="AK759" i="1"/>
  <c r="AK758" i="1" l="1"/>
  <c r="AK538" i="1"/>
  <c r="F63" i="31" s="1"/>
  <c r="CS534" i="1"/>
  <c r="CS538" i="1" s="1"/>
  <c r="AO63" i="31" s="1"/>
  <c r="AK760" i="1"/>
  <c r="AK733" i="1"/>
  <c r="J23" i="16" l="1"/>
  <c r="J25" i="16" s="1"/>
  <c r="J26" i="16" s="1"/>
  <c r="J27" i="16" s="1"/>
  <c r="AL533" i="1"/>
  <c r="AL527" i="1" s="1"/>
  <c r="AL622" i="1" s="1"/>
  <c r="CS531" i="1"/>
  <c r="CS742" i="1"/>
  <c r="CS743" i="1"/>
  <c r="CS541" i="1"/>
  <c r="CT533" i="1"/>
  <c r="AK541" i="1"/>
  <c r="AK531" i="1"/>
  <c r="AK743" i="1"/>
  <c r="AK742" i="1"/>
  <c r="AL621" i="1"/>
  <c r="J30" i="16" l="1"/>
  <c r="J34" i="16"/>
  <c r="J37" i="16"/>
  <c r="AL529" i="1"/>
  <c r="CS550" i="1"/>
  <c r="CS564" i="1" s="1"/>
  <c r="CS568" i="1" s="1"/>
  <c r="CS587" i="1" s="1"/>
  <c r="CS769" i="1"/>
  <c r="AK768" i="1"/>
  <c r="AK550" i="1"/>
  <c r="AK564" i="1" s="1"/>
  <c r="AK568" i="1" s="1"/>
  <c r="AK587" i="1" s="1"/>
  <c r="AK674" i="1"/>
  <c r="AK769" i="1"/>
  <c r="CS768" i="1"/>
  <c r="CS590" i="1" l="1"/>
  <c r="CS548" i="1" s="1"/>
  <c r="CS607" i="1"/>
  <c r="CS836" i="1"/>
  <c r="J36" i="16" s="1"/>
  <c r="J38" i="16" s="1"/>
  <c r="CS674" i="1"/>
  <c r="AK836" i="1"/>
  <c r="AK607" i="1"/>
  <c r="AK590" i="1"/>
  <c r="CS150" i="1" l="1"/>
  <c r="CS595" i="1"/>
  <c r="CS784" i="1" s="1"/>
  <c r="CS834" i="1"/>
  <c r="AO77" i="31" s="1"/>
  <c r="CS837" i="1"/>
  <c r="AO78" i="31" s="1"/>
  <c r="AK837" i="1"/>
  <c r="F78" i="31" s="1"/>
  <c r="AK548" i="1"/>
  <c r="AK150" i="1"/>
  <c r="AK834" i="1"/>
  <c r="F77" i="31" s="1"/>
  <c r="AK593" i="1"/>
  <c r="AK595" i="1"/>
  <c r="CS786" i="1" l="1"/>
  <c r="AK591" i="1"/>
  <c r="CS591" i="1" s="1"/>
  <c r="AK616" i="1"/>
  <c r="AK786" i="1"/>
  <c r="AK784" i="1"/>
  <c r="AK630" i="1"/>
  <c r="AK744" i="1"/>
  <c r="CS744" i="1" s="1"/>
  <c r="AK615" i="1" l="1"/>
  <c r="CS615" i="1" s="1"/>
  <c r="CS616" i="1" s="1"/>
  <c r="AK592" i="1"/>
  <c r="AK835" i="1"/>
  <c r="CS630" i="1"/>
  <c r="CS631" i="1" s="1"/>
  <c r="AK631" i="1"/>
  <c r="CS592" i="1" l="1"/>
  <c r="CS593" i="1" s="1"/>
  <c r="CS835" i="1" s="1"/>
  <c r="AK639" i="1"/>
  <c r="AK4" i="1" s="1"/>
  <c r="AK618" i="1"/>
  <c r="CS618" i="1"/>
  <c r="CS639" i="1"/>
  <c r="CS467" i="1" l="1"/>
  <c r="CS109" i="1" s="1"/>
  <c r="AK468" i="1" l="1"/>
  <c r="AK110" i="1" s="1"/>
  <c r="CS468" i="1" l="1"/>
  <c r="CS110" i="1" s="1"/>
  <c r="CS469" i="1"/>
  <c r="CS111" i="1" s="1"/>
  <c r="AL358" i="1" l="1"/>
  <c r="AL363" i="1"/>
  <c r="AL368" i="1" l="1"/>
  <c r="AL253" i="1"/>
  <c r="AL244" i="1"/>
  <c r="AL357" i="1"/>
  <c r="AL249" i="1"/>
  <c r="AL306" i="1" s="1"/>
  <c r="AL76" i="1" s="1"/>
  <c r="AL362" i="1"/>
  <c r="AL252" i="1"/>
  <c r="AL254" i="1" l="1"/>
  <c r="AL301" i="1"/>
  <c r="AL74" i="1" s="1"/>
  <c r="AL367" i="1"/>
  <c r="AL364" i="1"/>
  <c r="AL310" i="1"/>
  <c r="AL359" i="1" l="1"/>
  <c r="AL309" i="1"/>
  <c r="AL311" i="1" s="1"/>
  <c r="AL78" i="1" s="1"/>
  <c r="AL369" i="1" l="1"/>
  <c r="AL316" i="1"/>
  <c r="AL274" i="1" l="1"/>
  <c r="AL69" i="1" s="1"/>
  <c r="AL327" i="1" l="1"/>
  <c r="AL319" i="1" l="1"/>
  <c r="AL317" i="1" s="1"/>
  <c r="AL79" i="1" s="1"/>
  <c r="AL375" i="1" l="1"/>
  <c r="AL377" i="1" s="1"/>
  <c r="AL380" i="1"/>
  <c r="G7" i="31" s="1"/>
  <c r="AL322" i="1"/>
  <c r="AL323" i="1" s="1"/>
  <c r="G70" i="31" s="1"/>
  <c r="AL81" i="1" l="1"/>
  <c r="AL391" i="1"/>
  <c r="AL269" i="1"/>
  <c r="AL325" i="1"/>
  <c r="AL48" i="1" l="1"/>
  <c r="AL49" i="1"/>
  <c r="AL839" i="1"/>
  <c r="AL634" i="1"/>
  <c r="CT633" i="1"/>
  <c r="AL131" i="1"/>
  <c r="CT636" i="1" l="1"/>
  <c r="CT535" i="1"/>
  <c r="CT139" i="1"/>
  <c r="AL635" i="1"/>
  <c r="AL738" i="1" l="1"/>
  <c r="AL637" i="1"/>
  <c r="AL739" i="1" s="1"/>
  <c r="AL765" i="1" s="1"/>
  <c r="AL764" i="1" l="1"/>
  <c r="AL141" i="1"/>
  <c r="AL143" i="1" s="1"/>
  <c r="AL393" i="1" l="1"/>
  <c r="AL419" i="1"/>
  <c r="I41" i="2" l="1"/>
  <c r="AL426" i="1"/>
  <c r="G19" i="31" s="1"/>
  <c r="AL792" i="1"/>
  <c r="I89" i="2" s="1"/>
  <c r="AL89" i="1"/>
  <c r="G20" i="31" l="1"/>
  <c r="H20" i="31"/>
  <c r="AL428" i="1"/>
  <c r="CT102" i="1"/>
  <c r="CT96" i="1" s="1"/>
  <c r="CT106" i="1" l="1"/>
  <c r="CT103" i="1"/>
  <c r="CT572" i="1" l="1"/>
  <c r="CT627" i="1"/>
  <c r="CT434" i="1"/>
  <c r="CT97" i="1"/>
  <c r="CT790" i="1"/>
  <c r="CU101" i="1"/>
  <c r="AL98" i="1"/>
  <c r="AL791" i="1"/>
  <c r="AL99" i="1"/>
  <c r="AL430" i="1"/>
  <c r="AL454" i="1"/>
  <c r="I43" i="2" l="1"/>
  <c r="I42" i="2" s="1"/>
  <c r="AM794" i="1"/>
  <c r="I88" i="2"/>
  <c r="AL734" i="1"/>
  <c r="AL761" i="1" s="1"/>
  <c r="AL461" i="1"/>
  <c r="AL793" i="1"/>
  <c r="G71" i="31" s="1"/>
  <c r="AL794" i="1"/>
  <c r="I91" i="2" s="1"/>
  <c r="G32" i="31" l="1"/>
  <c r="I90" i="2"/>
  <c r="AL463" i="1"/>
  <c r="AL118" i="1"/>
  <c r="AL117" i="1"/>
  <c r="AL113" i="1"/>
  <c r="AL112" i="1"/>
  <c r="AL811" i="1"/>
  <c r="I97" i="2" s="1"/>
  <c r="AL130" i="1"/>
  <c r="AL809" i="1"/>
  <c r="I95" i="2" s="1"/>
  <c r="AL810" i="1"/>
  <c r="I96" i="2" s="1"/>
  <c r="AL808" i="1"/>
  <c r="I94" i="2" s="1"/>
  <c r="AL711" i="1"/>
  <c r="AL110" i="1"/>
  <c r="AL111" i="1"/>
  <c r="AL713" i="1"/>
  <c r="AL483" i="1"/>
  <c r="I45" i="2" l="1"/>
  <c r="I44" i="2" s="1"/>
  <c r="AL490" i="1"/>
  <c r="G38" i="31" s="1"/>
  <c r="G41" i="31" s="1"/>
  <c r="AL129" i="1"/>
  <c r="AL493" i="1" l="1"/>
  <c r="AL510" i="1" s="1"/>
  <c r="I49" i="2"/>
  <c r="AL109" i="1"/>
  <c r="AL741" i="1" l="1"/>
  <c r="AL767" i="1" s="1"/>
  <c r="AL732" i="1"/>
  <c r="G55" i="31" s="1"/>
  <c r="AL783" i="1"/>
  <c r="G73" i="31" s="1"/>
  <c r="G74" i="31" s="1"/>
  <c r="AL785" i="1"/>
  <c r="AL513" i="1"/>
  <c r="AL740" i="1"/>
  <c r="AL766" i="1" s="1"/>
  <c r="AL788" i="1"/>
  <c r="G72" i="31" s="1"/>
  <c r="AL136" i="1"/>
  <c r="AL838" i="1" s="1"/>
  <c r="AL789" i="1"/>
  <c r="AL787" i="1"/>
  <c r="AL730" i="1"/>
  <c r="G54" i="31" s="1"/>
  <c r="AL620" i="1"/>
  <c r="AL624" i="1" s="1"/>
  <c r="AL629" i="1" s="1"/>
  <c r="AM733" i="1" l="1"/>
  <c r="I15" i="2"/>
  <c r="AM731" i="1"/>
  <c r="I52" i="2"/>
  <c r="I50" i="2" s="1"/>
  <c r="I16" i="2"/>
  <c r="I17" i="2" s="1"/>
  <c r="I85" i="2"/>
  <c r="I82" i="2"/>
  <c r="I84" i="2"/>
  <c r="I83" i="2"/>
  <c r="I86" i="2"/>
  <c r="AL733" i="1"/>
  <c r="AL760" i="1"/>
  <c r="AL759" i="1"/>
  <c r="AL731" i="1"/>
  <c r="AL840" i="1"/>
  <c r="I114" i="2" s="1"/>
  <c r="AL841" i="1"/>
  <c r="AL782" i="1"/>
  <c r="AL729" i="1"/>
  <c r="AL728" i="1"/>
  <c r="I18" i="2" l="1"/>
  <c r="I53" i="2"/>
  <c r="I19" i="2"/>
  <c r="I81" i="2"/>
  <c r="AL757" i="1"/>
  <c r="AL758" i="1"/>
  <c r="AL534" i="1"/>
  <c r="AL538" i="1" l="1"/>
  <c r="G63" i="31" s="1"/>
  <c r="AM533" i="1" l="1"/>
  <c r="AL742" i="1"/>
  <c r="AL743" i="1"/>
  <c r="AL531" i="1"/>
  <c r="AL541" i="1"/>
  <c r="CT526" i="1" l="1"/>
  <c r="AL769" i="1"/>
  <c r="AL550" i="1"/>
  <c r="AL564" i="1" s="1"/>
  <c r="AL568" i="1" s="1"/>
  <c r="AL587" i="1" s="1"/>
  <c r="AL674" i="1"/>
  <c r="AL768" i="1"/>
  <c r="CT621" i="1" l="1"/>
  <c r="AL836" i="1"/>
  <c r="AL607" i="1"/>
  <c r="AL590" i="1"/>
  <c r="AL834" i="1" s="1"/>
  <c r="G77" i="31" s="1"/>
  <c r="AL837" i="1" l="1"/>
  <c r="G78" i="31" s="1"/>
  <c r="AL548" i="1"/>
  <c r="AL150" i="1"/>
  <c r="AL595" i="1"/>
  <c r="AL593" i="1"/>
  <c r="AL630" i="1" l="1"/>
  <c r="AL786" i="1"/>
  <c r="AL784" i="1"/>
  <c r="AL744" i="1"/>
  <c r="AL591" i="1"/>
  <c r="AL592" i="1" s="1"/>
  <c r="AL616" i="1"/>
  <c r="AL615" i="1" l="1"/>
  <c r="AL631" i="1"/>
  <c r="AL835" i="1"/>
  <c r="AL618" i="1" l="1"/>
  <c r="AL639" i="1"/>
  <c r="AL4" i="1" s="1"/>
  <c r="CQ267" i="1" l="1"/>
  <c r="CQ87" i="1" s="1"/>
  <c r="DC388" i="1" l="1"/>
  <c r="DC427" i="1" s="1"/>
  <c r="DC462" i="1" s="1"/>
  <c r="DC491" i="1" s="1"/>
  <c r="CT120" i="1"/>
  <c r="CT121" i="1"/>
  <c r="CT124" i="1"/>
  <c r="CT125" i="1"/>
  <c r="CT471" i="1"/>
  <c r="CT712" i="1"/>
  <c r="CT679" i="1" l="1"/>
  <c r="CT598" i="1"/>
  <c r="CT815" i="1"/>
  <c r="CT122" i="1"/>
  <c r="CT115" i="1"/>
  <c r="CT137" i="1" l="1"/>
  <c r="CT839" i="1" l="1"/>
  <c r="CT166" i="1"/>
  <c r="CT170" i="1"/>
  <c r="CT179" i="1"/>
  <c r="CT177" i="1"/>
  <c r="AM114" i="1"/>
  <c r="CT59" i="1" l="1"/>
  <c r="CT48" i="1" s="1"/>
  <c r="CT57" i="1"/>
  <c r="CT628" i="1"/>
  <c r="CT578" i="1"/>
  <c r="CT585" i="1" s="1"/>
  <c r="CT114" i="1"/>
  <c r="CT350" i="1"/>
  <c r="CT161" i="1"/>
  <c r="CT159" i="1"/>
  <c r="CT172" i="1"/>
  <c r="CT157" i="1"/>
  <c r="CT160" i="1"/>
  <c r="CT167" i="1"/>
  <c r="CT158" i="1"/>
  <c r="CT216" i="1" l="1"/>
  <c r="CT215" i="1"/>
  <c r="CT52" i="1"/>
  <c r="CT217" i="1"/>
  <c r="CT60" i="1"/>
  <c r="CT49" i="1" s="1"/>
  <c r="CT218" i="1"/>
  <c r="CT54" i="1"/>
  <c r="CT53" i="1"/>
  <c r="CT178" i="1"/>
  <c r="AP59" i="31" s="1"/>
  <c r="AP60" i="31" s="1"/>
  <c r="CT176" i="1"/>
  <c r="CT165" i="1"/>
  <c r="CT223" i="1" s="1"/>
  <c r="CT181" i="1"/>
  <c r="CT180" i="1"/>
  <c r="CT173" i="1"/>
  <c r="CT171" i="1"/>
  <c r="CT164" i="1"/>
  <c r="AM54" i="1"/>
  <c r="AM59" i="1"/>
  <c r="AM48" i="1" s="1"/>
  <c r="AM56" i="1"/>
  <c r="AM57" i="1"/>
  <c r="AM53" i="1"/>
  <c r="CT666" i="1"/>
  <c r="AM60" i="1"/>
  <c r="AM49" i="1" s="1"/>
  <c r="AM52" i="1"/>
  <c r="CT812" i="1" l="1"/>
  <c r="CT228" i="1"/>
  <c r="CT56" i="1"/>
  <c r="CT222" i="1"/>
  <c r="CT227" i="1"/>
  <c r="CT819" i="1"/>
  <c r="CT154" i="1"/>
  <c r="CT825" i="1"/>
  <c r="CT816" i="1"/>
  <c r="CT822" i="1"/>
  <c r="CT813" i="1"/>
  <c r="CT232" i="1" l="1"/>
  <c r="CT233" i="1" s="1"/>
  <c r="CT662" i="1"/>
  <c r="CT665" i="1"/>
  <c r="CT333" i="1"/>
  <c r="CT668" i="1"/>
  <c r="CT664" i="1"/>
  <c r="CT331" i="1"/>
  <c r="CT667" i="1"/>
  <c r="CT669" i="1"/>
  <c r="CT663" i="1"/>
  <c r="CT273" i="1" l="1"/>
  <c r="CT68" i="1" s="1"/>
  <c r="CT275" i="1"/>
  <c r="CT70" i="1" s="1"/>
  <c r="CT330" i="1"/>
  <c r="CT272" i="1" s="1"/>
  <c r="CT67" i="1" s="1"/>
  <c r="CT353" i="1" l="1"/>
  <c r="CT262" i="1" l="1"/>
  <c r="CT212" i="1"/>
  <c r="CT698" i="1" l="1"/>
  <c r="CT266" i="1" l="1"/>
  <c r="CT198" i="1"/>
  <c r="CT210" i="1"/>
  <c r="CT202" i="1"/>
  <c r="CT209" i="1"/>
  <c r="CT64" i="1" s="1"/>
  <c r="CT61" i="1" l="1"/>
  <c r="CT193" i="1"/>
  <c r="CT186" i="1"/>
  <c r="AM64" i="1"/>
  <c r="CT203" i="1"/>
  <c r="CT55" i="1" l="1"/>
  <c r="CT204" i="1"/>
  <c r="AP61" i="31" s="1"/>
  <c r="CT187" i="1"/>
  <c r="CT205" i="1"/>
  <c r="CT795" i="1" l="1"/>
  <c r="CT192" i="1"/>
  <c r="CT265" i="1"/>
  <c r="CT199" i="1"/>
  <c r="CT208" i="1"/>
  <c r="CT63" i="1" s="1"/>
  <c r="AM61" i="1"/>
  <c r="AM58" i="1"/>
  <c r="AM55" i="1"/>
  <c r="AM63" i="1"/>
  <c r="AM152" i="1"/>
  <c r="CT267" i="1" l="1"/>
  <c r="CT88" i="1"/>
  <c r="CT152" i="1"/>
  <c r="CT58" i="1"/>
  <c r="CT670" i="1"/>
  <c r="AM88" i="1"/>
  <c r="CT242" i="1" l="1"/>
  <c r="CT315" i="1"/>
  <c r="CT260" i="1"/>
  <c r="CT376" i="1"/>
  <c r="CT259" i="1"/>
  <c r="AM363" i="1"/>
  <c r="CT363" i="1" s="1"/>
  <c r="AM244" i="1"/>
  <c r="CT257" i="1" l="1"/>
  <c r="CT314" i="1" s="1"/>
  <c r="AM362" i="1"/>
  <c r="AM358" i="1"/>
  <c r="AM368" i="1" s="1"/>
  <c r="AM301" i="1"/>
  <c r="CT261" i="1"/>
  <c r="CT243" i="1"/>
  <c r="AM253" i="1"/>
  <c r="CT248" i="1"/>
  <c r="AM252" i="1"/>
  <c r="CT247" i="1"/>
  <c r="CT244" i="1"/>
  <c r="AM249" i="1"/>
  <c r="AM306" i="1" s="1"/>
  <c r="CT252" i="1" l="1"/>
  <c r="CT318" i="1"/>
  <c r="CT80" i="1" s="1"/>
  <c r="CT305" i="1"/>
  <c r="CT253" i="1"/>
  <c r="AM310" i="1"/>
  <c r="CT368" i="1"/>
  <c r="AM364" i="1"/>
  <c r="AM367" i="1"/>
  <c r="CT362" i="1"/>
  <c r="CT304" i="1" s="1"/>
  <c r="AM359" i="1"/>
  <c r="CT249" i="1"/>
  <c r="AM254" i="1"/>
  <c r="CT254" i="1" l="1"/>
  <c r="AM309" i="1"/>
  <c r="AM311" i="1" s="1"/>
  <c r="CT367" i="1"/>
  <c r="CT309" i="1" s="1"/>
  <c r="CT310" i="1"/>
  <c r="AM369" i="1" l="1"/>
  <c r="AM316" i="1"/>
  <c r="AM71" i="1" l="1"/>
  <c r="CT344" i="1"/>
  <c r="CT286" i="1" s="1"/>
  <c r="CT77" i="1" s="1"/>
  <c r="CT339" i="1"/>
  <c r="CT281" i="1" s="1"/>
  <c r="CT75" i="1" s="1"/>
  <c r="AM75" i="1"/>
  <c r="AM77" i="1"/>
  <c r="CT379" i="1" l="1"/>
  <c r="AP6" i="31" s="1"/>
  <c r="AM74" i="1" l="1"/>
  <c r="CT358" i="1"/>
  <c r="CT300" i="1" s="1"/>
  <c r="CT73" i="1" s="1"/>
  <c r="CT369" i="1"/>
  <c r="CT311" i="1" s="1"/>
  <c r="CT78" i="1" s="1"/>
  <c r="CT364" i="1"/>
  <c r="CT306" i="1" s="1"/>
  <c r="CT76" i="1" s="1"/>
  <c r="AM76" i="1"/>
  <c r="AM73" i="1"/>
  <c r="AM78" i="1"/>
  <c r="AM72" i="1"/>
  <c r="CT357" i="1"/>
  <c r="CT299" i="1" s="1"/>
  <c r="CT72" i="1" s="1"/>
  <c r="CT359" i="1" l="1"/>
  <c r="CT301" i="1" s="1"/>
  <c r="CT74" i="1" s="1"/>
  <c r="CT374" i="1" l="1"/>
  <c r="CT316" i="1" s="1"/>
  <c r="CT332" i="1" l="1"/>
  <c r="CT274" i="1" s="1"/>
  <c r="CT69" i="1" s="1"/>
  <c r="CT352" i="1"/>
  <c r="CT349" i="1"/>
  <c r="CT334" i="1"/>
  <c r="CT276" i="1" s="1"/>
  <c r="CT71" i="1" l="1"/>
  <c r="CT291" i="1"/>
  <c r="CT294" i="1" s="1"/>
  <c r="CT354" i="1"/>
  <c r="CT296" i="1" s="1"/>
  <c r="AM274" i="1"/>
  <c r="AM69" i="1" l="1"/>
  <c r="CT295" i="1"/>
  <c r="CT321" i="1"/>
  <c r="CT387" i="1" l="1"/>
  <c r="CT389" i="1" s="1"/>
  <c r="AM327" i="1"/>
  <c r="CT381" i="1"/>
  <c r="AP8" i="31" s="1"/>
  <c r="AP9" i="31" s="1"/>
  <c r="AM319" i="1"/>
  <c r="AM317" i="1" s="1"/>
  <c r="AM79" i="1" s="1"/>
  <c r="CT327" i="1" l="1"/>
  <c r="AM322" i="1"/>
  <c r="AM323" i="1" s="1"/>
  <c r="H70" i="31" s="1"/>
  <c r="AM375" i="1"/>
  <c r="CT375" i="1" s="1"/>
  <c r="CT317" i="1" s="1"/>
  <c r="CT79" i="1" s="1"/>
  <c r="AM380" i="1"/>
  <c r="H7" i="31" s="1"/>
  <c r="CT380" i="1" l="1"/>
  <c r="AP7" i="31" s="1"/>
  <c r="AM81" i="1"/>
  <c r="AM269" i="1"/>
  <c r="AM325" i="1"/>
  <c r="AM377" i="1"/>
  <c r="AM391" i="1" l="1"/>
  <c r="CT377" i="1"/>
  <c r="CT319" i="1" l="1"/>
  <c r="CT322" i="1" s="1"/>
  <c r="CT323" i="1" s="1"/>
  <c r="AP70" i="31" s="1"/>
  <c r="CT391" i="1"/>
  <c r="CT269" i="1" l="1"/>
  <c r="CT81" i="1"/>
  <c r="CT325" i="1"/>
  <c r="CT414" i="1" l="1"/>
  <c r="CT406" i="1"/>
  <c r="AP15" i="31" s="1"/>
  <c r="CT396" i="1"/>
  <c r="CT395" i="1"/>
  <c r="AP11" i="31" s="1"/>
  <c r="CT405" i="1"/>
  <c r="AP14" i="31" s="1"/>
  <c r="CT502" i="1"/>
  <c r="CT412" i="1"/>
  <c r="CT424" i="1" s="1"/>
  <c r="CT459" i="1" s="1"/>
  <c r="CT488" i="1" s="1"/>
  <c r="AM89" i="1"/>
  <c r="CT709" i="1"/>
  <c r="CT705" i="1"/>
  <c r="CT433" i="1"/>
  <c r="CT416" i="1" l="1"/>
  <c r="CT84" i="1"/>
  <c r="CT89" i="1"/>
  <c r="CT85" i="1"/>
  <c r="CT397" i="1" l="1"/>
  <c r="AP12" i="31" s="1"/>
  <c r="CT398" i="1"/>
  <c r="AP13" i="31" s="1"/>
  <c r="AM87" i="1"/>
  <c r="AM85" i="1"/>
  <c r="AM86" i="1"/>
  <c r="CT440" i="1"/>
  <c r="CT408" i="1"/>
  <c r="AP17" i="31" s="1"/>
  <c r="AM84" i="1"/>
  <c r="CT87" i="1" l="1"/>
  <c r="CT710" i="1"/>
  <c r="CT86" i="1"/>
  <c r="CT393" i="1"/>
  <c r="CT419" i="1"/>
  <c r="CT426" i="1" l="1"/>
  <c r="AP19" i="31" s="1"/>
  <c r="AP20" i="31" s="1"/>
  <c r="CT792" i="1"/>
  <c r="CT428" i="1" l="1"/>
  <c r="AM99" i="1"/>
  <c r="AM98" i="1"/>
  <c r="CT441" i="1"/>
  <c r="AP26" i="31" s="1"/>
  <c r="CT449" i="1"/>
  <c r="CT432" i="1"/>
  <c r="CT451" i="1" l="1"/>
  <c r="CT708" i="1"/>
  <c r="CT93" i="1"/>
  <c r="CT443" i="1"/>
  <c r="AP28" i="31" s="1"/>
  <c r="AP30" i="31" s="1"/>
  <c r="AM93" i="1"/>
  <c r="CT99" i="1" l="1"/>
  <c r="CT98" i="1"/>
  <c r="CT791" i="1"/>
  <c r="CT454" i="1"/>
  <c r="CT430" i="1"/>
  <c r="CT793" i="1" l="1"/>
  <c r="AP71" i="31" s="1"/>
  <c r="CT794" i="1"/>
  <c r="CT461" i="1"/>
  <c r="AP32" i="31" l="1"/>
  <c r="AP33" i="31" s="1"/>
  <c r="CT463" i="1"/>
  <c r="AM112" i="1"/>
  <c r="AM113" i="1"/>
  <c r="CT468" i="1"/>
  <c r="CT110" i="1" s="1"/>
  <c r="CT469" i="1"/>
  <c r="CT111" i="1" s="1"/>
  <c r="AM117" i="1"/>
  <c r="AM118" i="1"/>
  <c r="CT467" i="1"/>
  <c r="CT109" i="1" s="1"/>
  <c r="CT478" i="1"/>
  <c r="CT480" i="1" s="1"/>
  <c r="CT711" i="1"/>
  <c r="CT713" i="1"/>
  <c r="CT470" i="1" l="1"/>
  <c r="CT472" i="1"/>
  <c r="AP35" i="31" s="1"/>
  <c r="AP36" i="31" s="1"/>
  <c r="CT483" i="1" l="1"/>
  <c r="CT117" i="1"/>
  <c r="CT811" i="1"/>
  <c r="CT810" i="1"/>
  <c r="CT118" i="1"/>
  <c r="CT465" i="1"/>
  <c r="CT113" i="1"/>
  <c r="CT112" i="1"/>
  <c r="CT809" i="1"/>
  <c r="CT808" i="1"/>
  <c r="CT490" i="1" l="1"/>
  <c r="AP38" i="31" s="1"/>
  <c r="CT493" i="1" l="1"/>
  <c r="AM130" i="1"/>
  <c r="CT506" i="1"/>
  <c r="CT509" i="1" s="1"/>
  <c r="CT497" i="1"/>
  <c r="AP40" i="31" s="1"/>
  <c r="AP41" i="31" s="1"/>
  <c r="CT500" i="1"/>
  <c r="AM129" i="1"/>
  <c r="CT495" i="1" l="1"/>
  <c r="CT521" i="1"/>
  <c r="CT130" i="1"/>
  <c r="CT129" i="1"/>
  <c r="AM510" i="1"/>
  <c r="CT525" i="1"/>
  <c r="AP51" i="31" s="1"/>
  <c r="CT515" i="1"/>
  <c r="AP44" i="31" s="1"/>
  <c r="AP47" i="31" s="1"/>
  <c r="AP48" i="31" s="1"/>
  <c r="AP50" i="31" l="1"/>
  <c r="CT510" i="1"/>
  <c r="CT676" i="1"/>
  <c r="CT513" i="1"/>
  <c r="CT788" i="1"/>
  <c r="AP72" i="31" s="1"/>
  <c r="CT789" i="1"/>
  <c r="CT620" i="1"/>
  <c r="K18" i="16" l="1"/>
  <c r="K16" i="16"/>
  <c r="K21" i="16" l="1"/>
  <c r="K19" i="16"/>
  <c r="CT131" i="1"/>
  <c r="CT136" i="1"/>
  <c r="AM136" i="1"/>
  <c r="AM838" i="1" s="1"/>
  <c r="AM841" i="1" l="1"/>
  <c r="CT838" i="1"/>
  <c r="CT728" i="1" l="1"/>
  <c r="CT537" i="1"/>
  <c r="CT732" i="1"/>
  <c r="AP55" i="31" s="1"/>
  <c r="CT543" i="1"/>
  <c r="CT652" i="1" s="1"/>
  <c r="AM131" i="1"/>
  <c r="CT680" i="1"/>
  <c r="AM141" i="1"/>
  <c r="AM143" i="1" s="1"/>
  <c r="AM527" i="1"/>
  <c r="K59" i="16" l="1"/>
  <c r="CT527" i="1"/>
  <c r="AM622" i="1"/>
  <c r="AM624" i="1" s="1"/>
  <c r="AM629" i="1" s="1"/>
  <c r="CT730" i="1"/>
  <c r="AP54" i="31" s="1"/>
  <c r="CT734" i="1"/>
  <c r="CT757" i="1"/>
  <c r="AM529" i="1"/>
  <c r="CT634" i="1"/>
  <c r="CT635" i="1" s="1"/>
  <c r="CT760" i="1"/>
  <c r="CT733" i="1"/>
  <c r="CT141" i="1"/>
  <c r="CT143" i="1" s="1"/>
  <c r="CT729" i="1"/>
  <c r="CT759" i="1" l="1"/>
  <c r="CT761" i="1"/>
  <c r="CT731" i="1"/>
  <c r="CT622" i="1"/>
  <c r="CT624" i="1" s="1"/>
  <c r="CT738" i="1"/>
  <c r="CT637" i="1"/>
  <c r="CT739" i="1" s="1"/>
  <c r="CT765" i="1" s="1"/>
  <c r="AM534" i="1"/>
  <c r="CT529" i="1"/>
  <c r="CT675" i="1"/>
  <c r="CT758" i="1"/>
  <c r="CT764" i="1" l="1"/>
  <c r="CT840" i="1"/>
  <c r="AM538" i="1"/>
  <c r="H63" i="31" s="1"/>
  <c r="CT534" i="1"/>
  <c r="CT538" i="1" s="1"/>
  <c r="AP63" i="31" s="1"/>
  <c r="K23" i="16" l="1"/>
  <c r="AN533" i="1"/>
  <c r="AM743" i="1"/>
  <c r="AM742" i="1"/>
  <c r="CT743" i="1"/>
  <c r="CT742" i="1"/>
  <c r="CT531" i="1"/>
  <c r="CT541" i="1"/>
  <c r="CU533" i="1"/>
  <c r="AM541" i="1"/>
  <c r="AM531" i="1"/>
  <c r="K34" i="16" l="1"/>
  <c r="K25" i="16"/>
  <c r="K26" i="16" s="1"/>
  <c r="K27" i="16" s="1"/>
  <c r="K30" i="16"/>
  <c r="AM768" i="1"/>
  <c r="AM769" i="1"/>
  <c r="AM674" i="1"/>
  <c r="AM550" i="1"/>
  <c r="AM564" i="1" s="1"/>
  <c r="AM568" i="1" s="1"/>
  <c r="AM587" i="1" s="1"/>
  <c r="CT550" i="1"/>
  <c r="CT564" i="1" s="1"/>
  <c r="CT768" i="1"/>
  <c r="CT769" i="1"/>
  <c r="AM590" i="1" l="1"/>
  <c r="AM834" i="1" s="1"/>
  <c r="H77" i="31" s="1"/>
  <c r="AM607" i="1"/>
  <c r="AM836" i="1"/>
  <c r="CT672" i="1"/>
  <c r="CT673" i="1"/>
  <c r="CT783" i="1"/>
  <c r="AP73" i="31" s="1"/>
  <c r="AP74" i="31" s="1"/>
  <c r="CT782" i="1"/>
  <c r="CT702" i="1"/>
  <c r="CT785" i="1" s="1"/>
  <c r="CT671" i="1"/>
  <c r="CT674" i="1"/>
  <c r="AM837" i="1" l="1"/>
  <c r="H78" i="31" s="1"/>
  <c r="CT567" i="1"/>
  <c r="CT568" i="1" s="1"/>
  <c r="CT587" i="1" s="1"/>
  <c r="CT589" i="1"/>
  <c r="CT841" i="1"/>
  <c r="CT704" i="1"/>
  <c r="CT699" i="1"/>
  <c r="CT599" i="1" l="1"/>
  <c r="CT604" i="1" s="1"/>
  <c r="AM548" i="1"/>
  <c r="CT590" i="1"/>
  <c r="CT607" i="1" l="1"/>
  <c r="CT548" i="1"/>
  <c r="AM150" i="1" l="1"/>
  <c r="CT611" i="1"/>
  <c r="CT146" i="1" s="1"/>
  <c r="CT614" i="1"/>
  <c r="CT612" i="1"/>
  <c r="CT147" i="1" s="1"/>
  <c r="AM595" i="1"/>
  <c r="AM784" i="1" l="1"/>
  <c r="AM786" i="1"/>
  <c r="AM630" i="1"/>
  <c r="AM631" i="1" s="1"/>
  <c r="AM744" i="1"/>
  <c r="CT744" i="1" s="1"/>
  <c r="CT610" i="1"/>
  <c r="CT145" i="1" s="1"/>
  <c r="AM147" i="1"/>
  <c r="AM146" i="1"/>
  <c r="AM593" i="1"/>
  <c r="AM145" i="1"/>
  <c r="AM116" i="1"/>
  <c r="CT630" i="1" l="1"/>
  <c r="AM591" i="1"/>
  <c r="CT591" i="1" s="1"/>
  <c r="AM616" i="1"/>
  <c r="AM618" i="1"/>
  <c r="AM639" i="1"/>
  <c r="AM4" i="1" s="1"/>
  <c r="CT625" i="1"/>
  <c r="CT629" i="1" s="1"/>
  <c r="CT703" i="1"/>
  <c r="CT787" i="1" s="1"/>
  <c r="CT613" i="1"/>
  <c r="AP62" i="31" s="1"/>
  <c r="AM835" i="1" l="1"/>
  <c r="K32" i="16"/>
  <c r="CT631" i="1"/>
  <c r="AM615" i="1"/>
  <c r="CT615" i="1" s="1"/>
  <c r="CT616" i="1" s="1"/>
  <c r="AM592" i="1"/>
  <c r="CT592" i="1" s="1"/>
  <c r="CT593" i="1" s="1"/>
  <c r="CT821" i="1"/>
  <c r="CT826" i="1"/>
  <c r="CT150" i="1"/>
  <c r="CT827" i="1"/>
  <c r="CT116" i="1"/>
  <c r="CT820" i="1"/>
  <c r="CT823" i="1"/>
  <c r="CT824" i="1"/>
  <c r="CT836" i="1"/>
  <c r="CT814" i="1"/>
  <c r="CT834" i="1"/>
  <c r="AP77" i="31" s="1"/>
  <c r="CT817" i="1"/>
  <c r="CT741" i="1"/>
  <c r="CT767" i="1" s="1"/>
  <c r="CT818" i="1"/>
  <c r="CT740" i="1"/>
  <c r="CT766" i="1" s="1"/>
  <c r="CT837" i="1"/>
  <c r="AP78" i="31" s="1"/>
  <c r="CT595" i="1"/>
  <c r="K36" i="16" l="1"/>
  <c r="K33" i="16"/>
  <c r="K37" i="16"/>
  <c r="CT639" i="1"/>
  <c r="CT618" i="1"/>
  <c r="CT835" i="1"/>
  <c r="CT784" i="1"/>
  <c r="CT786" i="1"/>
  <c r="K38" i="16" l="1"/>
  <c r="CU725" i="1"/>
  <c r="AN49" i="1" l="1"/>
  <c r="AN48" i="1"/>
  <c r="AN152" i="1" l="1"/>
  <c r="AY152" i="1" s="1"/>
  <c r="AZ152" i="1" s="1"/>
  <c r="BA152" i="1" s="1"/>
  <c r="BB152" i="1" s="1"/>
  <c r="BC152" i="1" s="1"/>
  <c r="BD152" i="1" s="1"/>
  <c r="BE152" i="1" s="1"/>
  <c r="BF152" i="1" s="1"/>
  <c r="BG152" i="1" s="1"/>
  <c r="BH152" i="1" s="1"/>
  <c r="BI152" i="1" s="1"/>
  <c r="BJ152" i="1" s="1"/>
  <c r="BK152" i="1" s="1"/>
  <c r="BL152" i="1" s="1"/>
  <c r="BM152" i="1" s="1"/>
  <c r="BN152" i="1" s="1"/>
  <c r="BO152" i="1" s="1"/>
  <c r="BP152" i="1" s="1"/>
  <c r="BQ152" i="1" s="1"/>
  <c r="AN64" i="1"/>
  <c r="AN58" i="1"/>
  <c r="AN63" i="1"/>
  <c r="AN61" i="1"/>
  <c r="AN88" i="1" l="1"/>
  <c r="AZ88" i="1" s="1"/>
  <c r="BA88" i="1" s="1"/>
  <c r="BB88" i="1" s="1"/>
  <c r="BC88" i="1" s="1"/>
  <c r="BD88" i="1" s="1"/>
  <c r="BE88" i="1" s="1"/>
  <c r="BF88" i="1" s="1"/>
  <c r="BG88" i="1" s="1"/>
  <c r="BH88" i="1" s="1"/>
  <c r="BI88" i="1" s="1"/>
  <c r="BJ88" i="1" s="1"/>
  <c r="BK88" i="1" s="1"/>
  <c r="BL88" i="1" s="1"/>
  <c r="BM88" i="1" s="1"/>
  <c r="BN88" i="1" s="1"/>
  <c r="BO88" i="1" s="1"/>
  <c r="BP88" i="1" s="1"/>
  <c r="BQ88" i="1" s="1"/>
  <c r="AN71" i="1" l="1"/>
  <c r="AN75" i="1"/>
  <c r="AN77" i="1"/>
  <c r="AN74" i="1" l="1"/>
  <c r="AN73" i="1"/>
  <c r="AN76" i="1"/>
  <c r="AN78" i="1"/>
  <c r="AN72" i="1"/>
  <c r="AN274" i="1" l="1"/>
  <c r="AN69" i="1" s="1"/>
  <c r="AN327" i="1" l="1"/>
  <c r="AN319" i="1"/>
  <c r="AN317" i="1" s="1"/>
  <c r="I33" i="2" l="1"/>
  <c r="I40" i="2" s="1"/>
  <c r="AN375" i="1"/>
  <c r="AN377" i="1" s="1"/>
  <c r="AN380" i="1"/>
  <c r="I7" i="31" s="1"/>
  <c r="AN79" i="1"/>
  <c r="AN322" i="1"/>
  <c r="AN323" i="1" s="1"/>
  <c r="I70" i="31" s="1"/>
  <c r="AN81" i="1" l="1"/>
  <c r="AN269" i="1"/>
  <c r="AN325" i="1"/>
  <c r="AN391" i="1"/>
  <c r="I32" i="2" l="1"/>
  <c r="AN85" i="1" l="1"/>
  <c r="AN86" i="1"/>
  <c r="AN89" i="1"/>
  <c r="AN87" i="1"/>
  <c r="AN84" i="1"/>
  <c r="AN98" i="1" l="1"/>
  <c r="AN99" i="1"/>
  <c r="AN93" i="1"/>
  <c r="CU102" i="1" l="1"/>
  <c r="CU96" i="1" s="1"/>
  <c r="CU708" i="1" l="1"/>
  <c r="CU432" i="1"/>
  <c r="CU103" i="1"/>
  <c r="CU434" i="1" l="1"/>
  <c r="CU709" i="1"/>
  <c r="CU93" i="1"/>
  <c r="CU106" i="1"/>
  <c r="CV432" i="1" l="1"/>
  <c r="CU97" i="1"/>
  <c r="CU790" i="1"/>
  <c r="CV101" i="1"/>
  <c r="CU627" i="1"/>
  <c r="CU572" i="1"/>
  <c r="CV93" i="1" l="1"/>
  <c r="CV709" i="1"/>
  <c r="CV708" i="1"/>
  <c r="AN118" i="1" l="1"/>
  <c r="AN117" i="1"/>
  <c r="AN110" i="1"/>
  <c r="AN112" i="1"/>
  <c r="AN113" i="1"/>
  <c r="AN111" i="1"/>
  <c r="AN109" i="1"/>
  <c r="AN130" i="1" l="1"/>
  <c r="AN129" i="1"/>
  <c r="AN136" i="1" l="1"/>
  <c r="AN131" i="1"/>
  <c r="AN527" i="1"/>
  <c r="AN622" i="1" s="1"/>
  <c r="AN624" i="1" s="1"/>
  <c r="AN629" i="1" s="1"/>
  <c r="AN141" i="1"/>
  <c r="AN143" i="1" s="1"/>
  <c r="AN529" i="1" l="1"/>
  <c r="AN534" i="1" s="1"/>
  <c r="AN838" i="1"/>
  <c r="CU535" i="1"/>
  <c r="AN841" i="1" l="1"/>
  <c r="CU633" i="1"/>
  <c r="CU636" i="1"/>
  <c r="AN538" i="1"/>
  <c r="I63" i="31" s="1"/>
  <c r="AO533" i="1" l="1"/>
  <c r="AO527" i="1" s="1"/>
  <c r="AO622" i="1" s="1"/>
  <c r="AO529" i="1"/>
  <c r="AO534" i="1" s="1"/>
  <c r="AO538" i="1" s="1"/>
  <c r="J63" i="31" s="1"/>
  <c r="AN743" i="1"/>
  <c r="AN742" i="1"/>
  <c r="AN531" i="1"/>
  <c r="AN541" i="1"/>
  <c r="CU543" i="1"/>
  <c r="CU652" i="1" s="1"/>
  <c r="CU537" i="1"/>
  <c r="CU527" i="1" l="1"/>
  <c r="AP533" i="1"/>
  <c r="AP527" i="1" s="1"/>
  <c r="L59" i="16"/>
  <c r="AP622" i="1"/>
  <c r="AP529" i="1"/>
  <c r="AP534" i="1" s="1"/>
  <c r="AP538" i="1" s="1"/>
  <c r="K63" i="31" s="1"/>
  <c r="AO531" i="1"/>
  <c r="AO541" i="1"/>
  <c r="AO742" i="1"/>
  <c r="AO768" i="1" s="1"/>
  <c r="AO743" i="1"/>
  <c r="AO769" i="1" s="1"/>
  <c r="CU139" i="1"/>
  <c r="AO624" i="1"/>
  <c r="AO629" i="1" s="1"/>
  <c r="CU622" i="1"/>
  <c r="AN768" i="1"/>
  <c r="AN769" i="1"/>
  <c r="AN674" i="1"/>
  <c r="AN550" i="1"/>
  <c r="AN564" i="1" s="1"/>
  <c r="AN568" i="1" s="1"/>
  <c r="AN587" i="1" s="1"/>
  <c r="CU634" i="1"/>
  <c r="CU635" i="1" s="1"/>
  <c r="CU141" i="1"/>
  <c r="CU143" i="1" s="1"/>
  <c r="CU680" i="1"/>
  <c r="AQ533" i="1" l="1"/>
  <c r="AQ527" i="1" s="1"/>
  <c r="CV527" i="1" s="1"/>
  <c r="AP531" i="1"/>
  <c r="AP743" i="1"/>
  <c r="AP769" i="1" s="1"/>
  <c r="AP541" i="1"/>
  <c r="AP742" i="1"/>
  <c r="AP624" i="1"/>
  <c r="AP629" i="1" s="1"/>
  <c r="AO550" i="1"/>
  <c r="AO564" i="1" s="1"/>
  <c r="AO568" i="1" s="1"/>
  <c r="AO587" i="1" s="1"/>
  <c r="AO674" i="1"/>
  <c r="AN607" i="1"/>
  <c r="AN836" i="1"/>
  <c r="AN590" i="1"/>
  <c r="AN593" i="1" s="1"/>
  <c r="AN616" i="1" s="1"/>
  <c r="CU637" i="1"/>
  <c r="CU739" i="1" s="1"/>
  <c r="CU765" i="1" s="1"/>
  <c r="CU738" i="1"/>
  <c r="AQ529" i="1" l="1"/>
  <c r="AQ534" i="1" s="1"/>
  <c r="AQ538" i="1" s="1"/>
  <c r="L63" i="31" s="1"/>
  <c r="AQ622" i="1"/>
  <c r="AQ624" i="1" s="1"/>
  <c r="AQ629" i="1" s="1"/>
  <c r="AR533" i="1"/>
  <c r="AR527" i="1" s="1"/>
  <c r="AR622" i="1" s="1"/>
  <c r="CV622" i="1"/>
  <c r="AQ531" i="1"/>
  <c r="AQ541" i="1"/>
  <c r="AQ742" i="1"/>
  <c r="AQ768" i="1" s="1"/>
  <c r="AQ743" i="1"/>
  <c r="AQ769" i="1" s="1"/>
  <c r="AP768" i="1"/>
  <c r="AP674" i="1"/>
  <c r="AP550" i="1"/>
  <c r="AP564" i="1" s="1"/>
  <c r="AP568" i="1" s="1"/>
  <c r="AP587" i="1" s="1"/>
  <c r="AO607" i="1"/>
  <c r="AO837" i="1" s="1"/>
  <c r="J78" i="31" s="1"/>
  <c r="AO590" i="1"/>
  <c r="AO593" i="1" s="1"/>
  <c r="AO616" i="1" s="1"/>
  <c r="AO836" i="1"/>
  <c r="AN834" i="1"/>
  <c r="I77" i="31" s="1"/>
  <c r="AN837" i="1"/>
  <c r="I78" i="31" s="1"/>
  <c r="CU764" i="1"/>
  <c r="AN548" i="1"/>
  <c r="AR529" i="1" l="1"/>
  <c r="AR534" i="1" s="1"/>
  <c r="AR538" i="1" s="1"/>
  <c r="AR624" i="1"/>
  <c r="AR629" i="1" s="1"/>
  <c r="AQ550" i="1"/>
  <c r="AQ564" i="1" s="1"/>
  <c r="AQ568" i="1" s="1"/>
  <c r="AQ587" i="1" s="1"/>
  <c r="AQ674" i="1"/>
  <c r="AP836" i="1"/>
  <c r="AP607" i="1"/>
  <c r="AP837" i="1" s="1"/>
  <c r="K78" i="31" s="1"/>
  <c r="AP590" i="1"/>
  <c r="AP593" i="1" s="1"/>
  <c r="AP616" i="1" s="1"/>
  <c r="AO834" i="1"/>
  <c r="J77" i="31" s="1"/>
  <c r="AO595" i="1"/>
  <c r="AO548" i="1"/>
  <c r="AO150" i="1"/>
  <c r="AR743" i="1" l="1"/>
  <c r="AR769" i="1" s="1"/>
  <c r="M63" i="31"/>
  <c r="AR742" i="1"/>
  <c r="AR768" i="1" s="1"/>
  <c r="AS533" i="1"/>
  <c r="AS527" i="1" s="1"/>
  <c r="AS622" i="1" s="1"/>
  <c r="AS624" i="1" s="1"/>
  <c r="AS629" i="1" s="1"/>
  <c r="AR541" i="1"/>
  <c r="AR550" i="1" s="1"/>
  <c r="AR564" i="1" s="1"/>
  <c r="AR568" i="1" s="1"/>
  <c r="AR587" i="1" s="1"/>
  <c r="AR531" i="1"/>
  <c r="AQ590" i="1"/>
  <c r="AQ593" i="1" s="1"/>
  <c r="AQ607" i="1"/>
  <c r="AQ837" i="1" s="1"/>
  <c r="L78" i="31" s="1"/>
  <c r="AQ836" i="1"/>
  <c r="AP150" i="1"/>
  <c r="AP548" i="1"/>
  <c r="AP595" i="1"/>
  <c r="AP834" i="1"/>
  <c r="K77" i="31" s="1"/>
  <c r="AO786" i="1"/>
  <c r="AO784" i="1"/>
  <c r="AO744" i="1"/>
  <c r="AO615" i="1"/>
  <c r="AO591" i="1"/>
  <c r="AO592" i="1" s="1"/>
  <c r="CW622" i="1" l="1"/>
  <c r="AS529" i="1"/>
  <c r="AS534" i="1" s="1"/>
  <c r="AS538" i="1" s="1"/>
  <c r="CW527" i="1"/>
  <c r="AR674" i="1"/>
  <c r="AT533" i="1"/>
  <c r="AT527" i="1" s="1"/>
  <c r="AT622" i="1" s="1"/>
  <c r="AT624" i="1" s="1"/>
  <c r="AR607" i="1"/>
  <c r="AR837" i="1" s="1"/>
  <c r="M78" i="31" s="1"/>
  <c r="AR836" i="1"/>
  <c r="AR590" i="1"/>
  <c r="AR593" i="1" s="1"/>
  <c r="AR616" i="1" s="1"/>
  <c r="AQ595" i="1"/>
  <c r="AQ150" i="1"/>
  <c r="AQ834" i="1"/>
  <c r="L77" i="31" s="1"/>
  <c r="AQ548" i="1"/>
  <c r="AP786" i="1"/>
  <c r="AP784" i="1"/>
  <c r="AP744" i="1"/>
  <c r="AP591" i="1"/>
  <c r="AP592" i="1" s="1"/>
  <c r="AP615" i="1"/>
  <c r="AP630" i="1"/>
  <c r="AP631" i="1" s="1"/>
  <c r="AO835" i="1"/>
  <c r="AN116" i="1"/>
  <c r="AN150" i="1"/>
  <c r="AS743" i="1" l="1"/>
  <c r="AS769" i="1" s="1"/>
  <c r="N63" i="31"/>
  <c r="AS541" i="1"/>
  <c r="AS674" i="1" s="1"/>
  <c r="AS742" i="1"/>
  <c r="AS768" i="1" s="1"/>
  <c r="AS531" i="1"/>
  <c r="AT529" i="1"/>
  <c r="AT534" i="1" s="1"/>
  <c r="AT538" i="1" s="1"/>
  <c r="AR834" i="1"/>
  <c r="M77" i="31" s="1"/>
  <c r="AR150" i="1"/>
  <c r="AR548" i="1"/>
  <c r="AR595" i="1"/>
  <c r="AQ616" i="1"/>
  <c r="AQ591" i="1"/>
  <c r="AQ592" i="1" s="1"/>
  <c r="AQ784" i="1"/>
  <c r="AQ786" i="1"/>
  <c r="AQ744" i="1"/>
  <c r="AQ630" i="1"/>
  <c r="AQ631" i="1" s="1"/>
  <c r="AP835" i="1"/>
  <c r="AP618" i="1"/>
  <c r="AP639" i="1"/>
  <c r="AP4" i="1" s="1"/>
  <c r="AN615" i="1"/>
  <c r="AN591" i="1"/>
  <c r="AN592" i="1" s="1"/>
  <c r="AT742" i="1" l="1"/>
  <c r="AT768" i="1" s="1"/>
  <c r="O63" i="31"/>
  <c r="AU533" i="1"/>
  <c r="AU527" i="1" s="1"/>
  <c r="CX527" i="1" s="1"/>
  <c r="AS550" i="1"/>
  <c r="AS564" i="1" s="1"/>
  <c r="AS568" i="1" s="1"/>
  <c r="AS587" i="1" s="1"/>
  <c r="AS590" i="1" s="1"/>
  <c r="AS548" i="1" s="1"/>
  <c r="AT541" i="1"/>
  <c r="AT674" i="1" s="1"/>
  <c r="AT743" i="1"/>
  <c r="AT769" i="1" s="1"/>
  <c r="AT531" i="1"/>
  <c r="AQ615" i="1"/>
  <c r="AR615" i="1"/>
  <c r="AR591" i="1"/>
  <c r="AR592" i="1" s="1"/>
  <c r="AR786" i="1"/>
  <c r="AR784" i="1"/>
  <c r="AR744" i="1"/>
  <c r="AQ835" i="1"/>
  <c r="AR630" i="1"/>
  <c r="AR631" i="1" s="1"/>
  <c r="AQ639" i="1"/>
  <c r="AQ4" i="1" s="1"/>
  <c r="AQ618" i="1"/>
  <c r="AN835" i="1"/>
  <c r="CU592" i="1"/>
  <c r="AS150" i="1" l="1"/>
  <c r="AS593" i="1"/>
  <c r="AU529" i="1"/>
  <c r="AU534" i="1" s="1"/>
  <c r="AU538" i="1" s="1"/>
  <c r="P63" i="31" s="1"/>
  <c r="AS836" i="1"/>
  <c r="AS834" i="1"/>
  <c r="N77" i="31" s="1"/>
  <c r="AS607" i="1"/>
  <c r="AS837" i="1" s="1"/>
  <c r="N78" i="31" s="1"/>
  <c r="AS595" i="1"/>
  <c r="AS630" i="1" s="1"/>
  <c r="AS631" i="1" s="1"/>
  <c r="AS618" i="1" s="1"/>
  <c r="AT550" i="1"/>
  <c r="AT562" i="1" s="1"/>
  <c r="AU622" i="1"/>
  <c r="AV533" i="1"/>
  <c r="AV527" i="1" s="1"/>
  <c r="AV622" i="1" s="1"/>
  <c r="AU531" i="1"/>
  <c r="AT557" i="1"/>
  <c r="AT561" i="1" s="1"/>
  <c r="AT564" i="1"/>
  <c r="AT568" i="1" s="1"/>
  <c r="AT587" i="1" s="1"/>
  <c r="AS616" i="1"/>
  <c r="AS591" i="1"/>
  <c r="AS592" i="1" s="1"/>
  <c r="AR835" i="1"/>
  <c r="AR639" i="1"/>
  <c r="AR4" i="1" s="1"/>
  <c r="AR618" i="1"/>
  <c r="CV592" i="1"/>
  <c r="AU742" i="1" l="1"/>
  <c r="AU768" i="1" s="1"/>
  <c r="AU743" i="1"/>
  <c r="AU769" i="1" s="1"/>
  <c r="AU541" i="1"/>
  <c r="AU550" i="1" s="1"/>
  <c r="AU562" i="1" s="1"/>
  <c r="AU564" i="1" s="1"/>
  <c r="AU568" i="1" s="1"/>
  <c r="AU587" i="1" s="1"/>
  <c r="AU590" i="1" s="1"/>
  <c r="AU593" i="1" s="1"/>
  <c r="AU616" i="1" s="1"/>
  <c r="AU624" i="1"/>
  <c r="CX622" i="1"/>
  <c r="AV529" i="1"/>
  <c r="AV534" i="1" s="1"/>
  <c r="AV538" i="1" s="1"/>
  <c r="Q63" i="31" s="1"/>
  <c r="AS615" i="1"/>
  <c r="AV624" i="1"/>
  <c r="AS639" i="1"/>
  <c r="AT590" i="1"/>
  <c r="AT607" i="1"/>
  <c r="AT837" i="1" s="1"/>
  <c r="O78" i="31" s="1"/>
  <c r="AT836" i="1"/>
  <c r="AT628" i="1"/>
  <c r="AT629" i="1" s="1"/>
  <c r="AS835" i="1"/>
  <c r="CW592" i="1"/>
  <c r="AN595" i="1"/>
  <c r="AO630" i="1" s="1"/>
  <c r="AO631" i="1" s="1"/>
  <c r="AU607" i="1" l="1"/>
  <c r="AU837" i="1" s="1"/>
  <c r="P78" i="31" s="1"/>
  <c r="AU836" i="1"/>
  <c r="AU557" i="1"/>
  <c r="AU628" i="1" s="1"/>
  <c r="AU629" i="1" s="1"/>
  <c r="AU561" i="1"/>
  <c r="AU674" i="1"/>
  <c r="AW533" i="1"/>
  <c r="AW527" i="1" s="1"/>
  <c r="CY527" i="1" s="1"/>
  <c r="AV742" i="1"/>
  <c r="AV768" i="1" s="1"/>
  <c r="AV541" i="1"/>
  <c r="AV550" i="1" s="1"/>
  <c r="AV531" i="1"/>
  <c r="AV743" i="1"/>
  <c r="AV769" i="1" s="1"/>
  <c r="AV674" i="1"/>
  <c r="CX561" i="1"/>
  <c r="AU150" i="1"/>
  <c r="AU834" i="1"/>
  <c r="P77" i="31" s="1"/>
  <c r="AU548" i="1"/>
  <c r="AU595" i="1"/>
  <c r="AT593" i="1"/>
  <c r="AT616" i="1" s="1"/>
  <c r="AT548" i="1"/>
  <c r="AT150" i="1"/>
  <c r="AT595" i="1"/>
  <c r="AT834" i="1"/>
  <c r="O77" i="31" s="1"/>
  <c r="AO618" i="1"/>
  <c r="AO639" i="1"/>
  <c r="AO4" i="1" s="1"/>
  <c r="AN630" i="1"/>
  <c r="AN631" i="1" s="1"/>
  <c r="AN784" i="1"/>
  <c r="AN786" i="1"/>
  <c r="AN744" i="1"/>
  <c r="AN146" i="1"/>
  <c r="AN147" i="1"/>
  <c r="AN145" i="1"/>
  <c r="AW529" i="1" l="1"/>
  <c r="AW534" i="1" s="1"/>
  <c r="AW538" i="1" s="1"/>
  <c r="AX533" i="1" s="1"/>
  <c r="AX527" i="1" s="1"/>
  <c r="AW622" i="1"/>
  <c r="AW624" i="1" s="1"/>
  <c r="R63" i="31"/>
  <c r="AW743" i="1"/>
  <c r="AW769" i="1" s="1"/>
  <c r="CY622" i="1"/>
  <c r="AW531" i="1"/>
  <c r="AW541" i="1"/>
  <c r="AW674" i="1" s="1"/>
  <c r="AV562" i="1"/>
  <c r="AV557" i="1"/>
  <c r="AU744" i="1"/>
  <c r="AT630" i="1"/>
  <c r="AT631" i="1" s="1"/>
  <c r="AT639" i="1" s="1"/>
  <c r="AU630" i="1"/>
  <c r="AU631" i="1" s="1"/>
  <c r="AU591" i="1"/>
  <c r="AU592" i="1" s="1"/>
  <c r="AU615" i="1"/>
  <c r="AT591" i="1"/>
  <c r="AT592" i="1" s="1"/>
  <c r="AN639" i="1"/>
  <c r="AN4" i="1" s="1"/>
  <c r="AN618" i="1"/>
  <c r="AX529" i="1" l="1"/>
  <c r="AX534" i="1" s="1"/>
  <c r="AX538" i="1" s="1"/>
  <c r="AX622" i="1"/>
  <c r="AX624" i="1" s="1"/>
  <c r="AW742" i="1"/>
  <c r="AW768" i="1" s="1"/>
  <c r="AX742" i="1"/>
  <c r="AX768" i="1" s="1"/>
  <c r="S63" i="31"/>
  <c r="AW550" i="1"/>
  <c r="AW557" i="1" s="1"/>
  <c r="I23" i="2"/>
  <c r="AY533" i="1"/>
  <c r="AY527" i="1" s="1"/>
  <c r="AX531" i="1"/>
  <c r="AX541" i="1"/>
  <c r="AX674" i="1" s="1"/>
  <c r="AX743" i="1"/>
  <c r="AX769" i="1" s="1"/>
  <c r="AV561" i="1"/>
  <c r="AV564" i="1"/>
  <c r="AV568" i="1" s="1"/>
  <c r="AV587" i="1" s="1"/>
  <c r="AT618" i="1"/>
  <c r="AU835" i="1"/>
  <c r="AU618" i="1"/>
  <c r="AU639" i="1"/>
  <c r="CX592" i="1"/>
  <c r="AT615" i="1"/>
  <c r="AT835" i="1"/>
  <c r="AW562" i="1" l="1"/>
  <c r="AW564" i="1" s="1"/>
  <c r="AW568" i="1" s="1"/>
  <c r="AW587" i="1" s="1"/>
  <c r="AW836" i="1" s="1"/>
  <c r="AY622" i="1"/>
  <c r="CZ622" i="1" s="1"/>
  <c r="AY529" i="1"/>
  <c r="AY534" i="1" s="1"/>
  <c r="AY538" i="1" s="1"/>
  <c r="CZ527" i="1"/>
  <c r="AX550" i="1"/>
  <c r="AX562" i="1" s="1"/>
  <c r="AX564" i="1" s="1"/>
  <c r="AX568" i="1" s="1"/>
  <c r="AX587" i="1" s="1"/>
  <c r="AX557" i="1"/>
  <c r="AW607" i="1"/>
  <c r="AW837" i="1" s="1"/>
  <c r="R78" i="31" s="1"/>
  <c r="AW561" i="1"/>
  <c r="AW628" i="1" s="1"/>
  <c r="AW629" i="1" s="1"/>
  <c r="AV628" i="1"/>
  <c r="AV629" i="1" s="1"/>
  <c r="AV607" i="1"/>
  <c r="AV837" i="1" s="1"/>
  <c r="Q78" i="31" s="1"/>
  <c r="AV590" i="1"/>
  <c r="AV593" i="1" s="1"/>
  <c r="AV616" i="1" s="1"/>
  <c r="AV836" i="1"/>
  <c r="AW590" i="1" l="1"/>
  <c r="AY541" i="1"/>
  <c r="T63" i="31"/>
  <c r="I110" i="2"/>
  <c r="AY550" i="1"/>
  <c r="AY674" i="1"/>
  <c r="I111" i="2"/>
  <c r="AX561" i="1"/>
  <c r="AX628" i="1" s="1"/>
  <c r="AX629" i="1" s="1"/>
  <c r="AX607" i="1"/>
  <c r="AX837" i="1" s="1"/>
  <c r="S78" i="31" s="1"/>
  <c r="AX590" i="1"/>
  <c r="AX593" i="1" s="1"/>
  <c r="AX616" i="1" s="1"/>
  <c r="AX836" i="1"/>
  <c r="AW593" i="1"/>
  <c r="AW548" i="1"/>
  <c r="AW150" i="1"/>
  <c r="AW834" i="1"/>
  <c r="R77" i="31" s="1"/>
  <c r="AW595" i="1"/>
  <c r="CY561" i="1"/>
  <c r="AV834" i="1"/>
  <c r="Q77" i="31" s="1"/>
  <c r="AV595" i="1"/>
  <c r="AV150" i="1"/>
  <c r="AV548" i="1"/>
  <c r="AY562" i="1" l="1"/>
  <c r="AY557" i="1"/>
  <c r="I109" i="2"/>
  <c r="AX548" i="1"/>
  <c r="AX595" i="1"/>
  <c r="AX630" i="1" s="1"/>
  <c r="AX631" i="1" s="1"/>
  <c r="AX150" i="1"/>
  <c r="AX834" i="1"/>
  <c r="S77" i="31" s="1"/>
  <c r="AW786" i="1"/>
  <c r="AW784" i="1"/>
  <c r="AW744" i="1"/>
  <c r="AW630" i="1"/>
  <c r="AW631" i="1" s="1"/>
  <c r="AW616" i="1"/>
  <c r="AW591" i="1"/>
  <c r="AW592" i="1" s="1"/>
  <c r="AV744" i="1"/>
  <c r="AV630" i="1"/>
  <c r="AV631" i="1" s="1"/>
  <c r="AV591" i="1"/>
  <c r="AV592" i="1" s="1"/>
  <c r="AV615" i="1"/>
  <c r="AY561" i="1" l="1"/>
  <c r="AZ561" i="1" s="1"/>
  <c r="BA561" i="1" s="1"/>
  <c r="DA561" i="1" s="1"/>
  <c r="AY564" i="1"/>
  <c r="AY568" i="1" s="1"/>
  <c r="AY587" i="1" s="1"/>
  <c r="AY590" i="1" s="1"/>
  <c r="AY593" i="1" s="1"/>
  <c r="AY591" i="1" s="1"/>
  <c r="AY592" i="1" s="1"/>
  <c r="AW615" i="1"/>
  <c r="BB561" i="1"/>
  <c r="BC561" i="1" s="1"/>
  <c r="DB561" i="1" s="1"/>
  <c r="AW835" i="1"/>
  <c r="CZ561" i="1"/>
  <c r="AX615" i="1"/>
  <c r="AX591" i="1"/>
  <c r="AX592" i="1" s="1"/>
  <c r="AX835" i="1"/>
  <c r="AX786" i="1"/>
  <c r="AX784" i="1"/>
  <c r="AX744" i="1"/>
  <c r="AX639" i="1"/>
  <c r="AX4" i="1" s="1"/>
  <c r="AX618" i="1"/>
  <c r="AW639" i="1"/>
  <c r="AW4" i="1" s="1"/>
  <c r="AW618" i="1"/>
  <c r="CY592" i="1"/>
  <c r="AV835" i="1"/>
  <c r="AV618" i="1"/>
  <c r="AV639" i="1"/>
  <c r="BD561" i="1" l="1"/>
  <c r="BE561" i="1" s="1"/>
  <c r="BF561" i="1" s="1"/>
  <c r="BG561" i="1" s="1"/>
  <c r="BH561" i="1" s="1"/>
  <c r="BI561" i="1" s="1"/>
  <c r="AZ592" i="1"/>
  <c r="BA592" i="1" s="1"/>
  <c r="CZ592" i="1"/>
  <c r="DD561" i="1" l="1"/>
  <c r="DC561" i="1"/>
  <c r="BB592" i="1"/>
  <c r="BC592" i="1" s="1"/>
  <c r="DA592" i="1"/>
  <c r="BJ561" i="1"/>
  <c r="BK561" i="1" s="1"/>
  <c r="DE561" i="1"/>
  <c r="DF561" i="1" l="1"/>
  <c r="BL561" i="1"/>
  <c r="BM561" i="1" s="1"/>
  <c r="DB592" i="1"/>
  <c r="BD592" i="1"/>
  <c r="BE592" i="1" s="1"/>
  <c r="DC592" i="1" l="1"/>
  <c r="BF592" i="1"/>
  <c r="BG592" i="1" s="1"/>
  <c r="DG561" i="1"/>
  <c r="BN561" i="1"/>
  <c r="BO561" i="1" s="1"/>
  <c r="DH561" i="1" l="1"/>
  <c r="BP561" i="1"/>
  <c r="DD592" i="1"/>
  <c r="BH592" i="1"/>
  <c r="BI592" i="1" s="1"/>
  <c r="BQ561" i="1" l="1"/>
  <c r="DI561" i="1" s="1"/>
  <c r="DE592" i="1"/>
  <c r="BJ592" i="1"/>
  <c r="BK592" i="1" s="1"/>
  <c r="CU24" i="1"/>
  <c r="CU18" i="1"/>
  <c r="CU26" i="1"/>
  <c r="CU20" i="1"/>
  <c r="DF592" i="1" l="1"/>
  <c r="BL592" i="1"/>
  <c r="BM592" i="1" s="1"/>
  <c r="CU17" i="1"/>
  <c r="CU23" i="1"/>
  <c r="CU171" i="1"/>
  <c r="CU25" i="1"/>
  <c r="CU19" i="1"/>
  <c r="CU170" i="1"/>
  <c r="CU172" i="1"/>
  <c r="DG592" i="1" l="1"/>
  <c r="BN592" i="1"/>
  <c r="BO592" i="1" s="1"/>
  <c r="CU60" i="1"/>
  <c r="CU49" i="1" s="1"/>
  <c r="CU59" i="1"/>
  <c r="CU48" i="1" s="1"/>
  <c r="CU173" i="1"/>
  <c r="CU228" i="1" s="1"/>
  <c r="CU526" i="1"/>
  <c r="CU266" i="1"/>
  <c r="CU209" i="1"/>
  <c r="CU64" i="1" s="1"/>
  <c r="DH592" i="1" l="1"/>
  <c r="BP592" i="1"/>
  <c r="CU227" i="1"/>
  <c r="CU675" i="1"/>
  <c r="CU208" i="1"/>
  <c r="CU210" i="1"/>
  <c r="CU621" i="1"/>
  <c r="CU198" i="1"/>
  <c r="CU344" i="1"/>
  <c r="BQ592" i="1" l="1"/>
  <c r="DI592" i="1" s="1"/>
  <c r="AZ63" i="1"/>
  <c r="BA63" i="1" s="1"/>
  <c r="BB63" i="1" s="1"/>
  <c r="BC63" i="1" s="1"/>
  <c r="BD63" i="1" s="1"/>
  <c r="BE63" i="1" s="1"/>
  <c r="BF63" i="1" s="1"/>
  <c r="BG63" i="1" s="1"/>
  <c r="BH63" i="1" s="1"/>
  <c r="BI63" i="1" s="1"/>
  <c r="BJ63" i="1" s="1"/>
  <c r="BK63" i="1" s="1"/>
  <c r="BL63" i="1" s="1"/>
  <c r="CU286" i="1"/>
  <c r="CU77" i="1" s="1"/>
  <c r="CV266" i="1"/>
  <c r="CV210" i="1"/>
  <c r="CU265" i="1"/>
  <c r="CV209" i="1"/>
  <c r="CV64" i="1" s="1"/>
  <c r="CU369" i="1"/>
  <c r="CU152" i="1"/>
  <c r="CU63" i="1"/>
  <c r="CU61" i="1"/>
  <c r="BM63" i="1" l="1"/>
  <c r="BN63" i="1" s="1"/>
  <c r="BO63" i="1" s="1"/>
  <c r="BP63" i="1" s="1"/>
  <c r="BQ63" i="1" s="1"/>
  <c r="CU88" i="1"/>
  <c r="CU267" i="1"/>
  <c r="CV208" i="1"/>
  <c r="CU398" i="1"/>
  <c r="AQ13" i="31" s="1"/>
  <c r="CU433" i="1" l="1"/>
  <c r="CV63" i="1"/>
  <c r="CV152" i="1"/>
  <c r="CU87" i="1"/>
  <c r="CV265" i="1"/>
  <c r="CU412" i="1"/>
  <c r="CU424" i="1" s="1"/>
  <c r="CU459" i="1" s="1"/>
  <c r="CU488" i="1" s="1"/>
  <c r="CU502" i="1"/>
  <c r="CV433" i="1" l="1"/>
  <c r="CV267" i="1"/>
  <c r="CV88" i="1"/>
  <c r="CW208" i="1"/>
  <c r="CV398" i="1"/>
  <c r="AR13" i="31" s="1"/>
  <c r="CV412" i="1" l="1"/>
  <c r="CV424" i="1" s="1"/>
  <c r="CV459" i="1" s="1"/>
  <c r="CV488" i="1" s="1"/>
  <c r="CV502" i="1"/>
  <c r="CW265" i="1"/>
  <c r="CW152" i="1"/>
  <c r="CW63" i="1"/>
  <c r="CV87" i="1"/>
  <c r="CX208" i="1" l="1"/>
  <c r="CW88" i="1"/>
  <c r="CX265" i="1" l="1"/>
  <c r="CX152" i="1"/>
  <c r="CX63" i="1"/>
  <c r="CX88" i="1" l="1"/>
  <c r="CY208" i="1"/>
  <c r="CY63" i="1" l="1"/>
  <c r="CY152" i="1"/>
  <c r="CY265" i="1"/>
  <c r="CY88" i="1" l="1"/>
  <c r="CZ208" i="1"/>
  <c r="AZ208" i="1"/>
  <c r="CZ265" i="1" l="1"/>
  <c r="CZ88" i="1" s="1"/>
  <c r="AZ265" i="1"/>
  <c r="BA208" i="1"/>
  <c r="CZ63" i="1"/>
  <c r="CZ152" i="1"/>
  <c r="BA265" i="1" l="1"/>
  <c r="DA208" i="1"/>
  <c r="BB208" i="1"/>
  <c r="DA265" i="1" l="1"/>
  <c r="DA88" i="1" s="1"/>
  <c r="BB265" i="1"/>
  <c r="BC208" i="1"/>
  <c r="BC265" i="1" s="1"/>
  <c r="DA152" i="1"/>
  <c r="DA63" i="1"/>
  <c r="DB265" i="1" l="1"/>
  <c r="DB208" i="1"/>
  <c r="BD208" i="1"/>
  <c r="DB88" i="1" l="1"/>
  <c r="BD265" i="1"/>
  <c r="BE208" i="1"/>
  <c r="BE265" i="1" s="1"/>
  <c r="DB63" i="1"/>
  <c r="DB152" i="1"/>
  <c r="DC208" i="1" l="1"/>
  <c r="BF208" i="1"/>
  <c r="DC265" i="1"/>
  <c r="BF265" i="1" l="1"/>
  <c r="BG208" i="1"/>
  <c r="DC88" i="1"/>
  <c r="DC152" i="1"/>
  <c r="DC63" i="1"/>
  <c r="BG265" i="1" l="1"/>
  <c r="BH208" i="1"/>
  <c r="DD208" i="1"/>
  <c r="DD265" i="1" l="1"/>
  <c r="DD88" i="1" s="1"/>
  <c r="BH265" i="1"/>
  <c r="BI208" i="1"/>
  <c r="BJ208" i="1" s="1"/>
  <c r="DD63" i="1"/>
  <c r="DD152" i="1"/>
  <c r="BK208" i="1" l="1"/>
  <c r="BI265" i="1"/>
  <c r="DE265" i="1" s="1"/>
  <c r="DE88" i="1" s="1"/>
  <c r="BJ265" i="1"/>
  <c r="DE208" i="1"/>
  <c r="DE63" i="1" s="1"/>
  <c r="DF208" i="1" l="1"/>
  <c r="DF63" i="1" s="1"/>
  <c r="BL208" i="1"/>
  <c r="BK265" i="1"/>
  <c r="DF265" i="1" s="1"/>
  <c r="DF88" i="1" s="1"/>
  <c r="DE152" i="1"/>
  <c r="CU160" i="1"/>
  <c r="CU164" i="1"/>
  <c r="DF152" i="1" l="1"/>
  <c r="BM208" i="1"/>
  <c r="BL265" i="1"/>
  <c r="CU56" i="1"/>
  <c r="CU159" i="1"/>
  <c r="CU165" i="1"/>
  <c r="CU157" i="1"/>
  <c r="CU158" i="1"/>
  <c r="CU180" i="1"/>
  <c r="CU54" i="1"/>
  <c r="CU166" i="1"/>
  <c r="CU179" i="1"/>
  <c r="DG208" i="1" l="1"/>
  <c r="DG63" i="1" s="1"/>
  <c r="BN208" i="1"/>
  <c r="BN265" i="1" s="1"/>
  <c r="BM265" i="1"/>
  <c r="DG265" i="1" s="1"/>
  <c r="DG88" i="1" s="1"/>
  <c r="CU57" i="1"/>
  <c r="CU350" i="1"/>
  <c r="CU176" i="1"/>
  <c r="CU167" i="1"/>
  <c r="CU222" i="1" s="1"/>
  <c r="CV180" i="1"/>
  <c r="CU53" i="1"/>
  <c r="CU161" i="1"/>
  <c r="CU218" i="1" s="1"/>
  <c r="CV159" i="1"/>
  <c r="CV160" i="1"/>
  <c r="CU52" i="1"/>
  <c r="DG152" i="1" l="1"/>
  <c r="BO208" i="1"/>
  <c r="CU217" i="1"/>
  <c r="CU216" i="1"/>
  <c r="CU215" i="1"/>
  <c r="CU232" i="1" s="1"/>
  <c r="CU233" i="1" s="1"/>
  <c r="CU223" i="1"/>
  <c r="CV179" i="1"/>
  <c r="CU178" i="1"/>
  <c r="AQ59" i="31" s="1"/>
  <c r="AQ60" i="31" s="1"/>
  <c r="CV54" i="1"/>
  <c r="CV157" i="1"/>
  <c r="CU192" i="1"/>
  <c r="CU339" i="1"/>
  <c r="CV158" i="1"/>
  <c r="CU186" i="1"/>
  <c r="CU578" i="1"/>
  <c r="CU585" i="1" s="1"/>
  <c r="CU610" i="1"/>
  <c r="BP208" i="1" l="1"/>
  <c r="BO265" i="1"/>
  <c r="DH208" i="1"/>
  <c r="DH63" i="1" s="1"/>
  <c r="CU281" i="1"/>
  <c r="CU75" i="1" s="1"/>
  <c r="CU55" i="1"/>
  <c r="CU58" i="1"/>
  <c r="CV350" i="1"/>
  <c r="CU244" i="1"/>
  <c r="CU469" i="1"/>
  <c r="CU177" i="1"/>
  <c r="CU628" i="1"/>
  <c r="CU193" i="1"/>
  <c r="CU333" i="1"/>
  <c r="CU145" i="1"/>
  <c r="CU204" i="1"/>
  <c r="AQ61" i="31" s="1"/>
  <c r="CU187" i="1"/>
  <c r="CV53" i="1"/>
  <c r="CU249" i="1"/>
  <c r="CU364" i="1"/>
  <c r="CV161" i="1"/>
  <c r="CU181" i="1"/>
  <c r="CU615" i="1"/>
  <c r="CV52" i="1"/>
  <c r="CU331" i="1"/>
  <c r="CU332" i="1"/>
  <c r="DH265" i="1" l="1"/>
  <c r="DH88" i="1" s="1"/>
  <c r="BQ208" i="1"/>
  <c r="DI208" i="1" s="1"/>
  <c r="DI63" i="1" s="1"/>
  <c r="BP265" i="1"/>
  <c r="DH152" i="1"/>
  <c r="CV217" i="1"/>
  <c r="CV218" i="1"/>
  <c r="CV216" i="1"/>
  <c r="CV215" i="1"/>
  <c r="CU306" i="1"/>
  <c r="CU76" i="1" s="1"/>
  <c r="CU111" i="1"/>
  <c r="CV187" i="1"/>
  <c r="CV186" i="1"/>
  <c r="CU248" i="1"/>
  <c r="CU202" i="1"/>
  <c r="CU275" i="1"/>
  <c r="CU70" i="1" s="1"/>
  <c r="CU611" i="1"/>
  <c r="CU243" i="1"/>
  <c r="CU315" i="1"/>
  <c r="CU358" i="1"/>
  <c r="CU273" i="1"/>
  <c r="CU68" i="1" s="1"/>
  <c r="CV628" i="1"/>
  <c r="CV578" i="1"/>
  <c r="CU203" i="1"/>
  <c r="CU124" i="1"/>
  <c r="CU242" i="1"/>
  <c r="CU274" i="1"/>
  <c r="CU69" i="1" s="1"/>
  <c r="CU154" i="1"/>
  <c r="CU330" i="1"/>
  <c r="CU272" i="1" s="1"/>
  <c r="CU67" i="1" s="1"/>
  <c r="CU247" i="1"/>
  <c r="CU670" i="1"/>
  <c r="CU376" i="1"/>
  <c r="CU468" i="1"/>
  <c r="CV244" i="1"/>
  <c r="BQ265" i="1" l="1"/>
  <c r="DI265" i="1" s="1"/>
  <c r="DI88" i="1" s="1"/>
  <c r="DI152" i="1"/>
  <c r="CU305" i="1"/>
  <c r="CU253" i="1"/>
  <c r="CU310" i="1" s="1"/>
  <c r="CU304" i="1"/>
  <c r="CU252" i="1"/>
  <c r="CU467" i="1"/>
  <c r="CU109" i="1" s="1"/>
  <c r="CU353" i="1"/>
  <c r="CU612" i="1"/>
  <c r="CU147" i="1" s="1"/>
  <c r="CU664" i="1"/>
  <c r="CU663" i="1"/>
  <c r="CU314" i="1"/>
  <c r="CU125" i="1"/>
  <c r="CU146" i="1"/>
  <c r="CU334" i="1"/>
  <c r="CU276" i="1" s="1"/>
  <c r="CU669" i="1"/>
  <c r="CU666" i="1"/>
  <c r="CU114" i="1"/>
  <c r="CU812" i="1"/>
  <c r="CV332" i="1"/>
  <c r="CU205" i="1"/>
  <c r="CU199" i="1"/>
  <c r="CV55" i="1"/>
  <c r="CU668" i="1"/>
  <c r="CU662" i="1"/>
  <c r="CU120" i="1"/>
  <c r="CV331" i="1"/>
  <c r="CU110" i="1"/>
  <c r="CU665" i="1"/>
  <c r="CU357" i="1"/>
  <c r="CU299" i="1" s="1"/>
  <c r="CU72" i="1" s="1"/>
  <c r="CU679" i="1"/>
  <c r="CV330" i="1"/>
  <c r="CV272" i="1" s="1"/>
  <c r="CV67" i="1" s="1"/>
  <c r="CV333" i="1"/>
  <c r="CV275" i="1" s="1"/>
  <c r="CV70" i="1" s="1"/>
  <c r="CU300" i="1"/>
  <c r="CU73" i="1" s="1"/>
  <c r="CU254" i="1" l="1"/>
  <c r="CU311" i="1" s="1"/>
  <c r="CU78" i="1" s="1"/>
  <c r="CU309" i="1"/>
  <c r="CV273" i="1"/>
  <c r="CV68" i="1" s="1"/>
  <c r="CV274" i="1"/>
  <c r="CV69" i="1" s="1"/>
  <c r="CU795" i="1"/>
  <c r="CU613" i="1"/>
  <c r="AQ62" i="31" s="1"/>
  <c r="CU359" i="1"/>
  <c r="CU301" i="1" s="1"/>
  <c r="CU74" i="1" s="1"/>
  <c r="CV243" i="1"/>
  <c r="CV358" i="1"/>
  <c r="CU813" i="1"/>
  <c r="CV242" i="1"/>
  <c r="CU397" i="1"/>
  <c r="AQ12" i="31" s="1"/>
  <c r="CU614" i="1"/>
  <c r="CV334" i="1"/>
  <c r="CV276" i="1" s="1"/>
  <c r="CU291" i="1"/>
  <c r="CU294" i="1" s="1"/>
  <c r="CU71" i="1"/>
  <c r="CU395" i="1"/>
  <c r="CU470" i="1"/>
  <c r="CU115" i="1"/>
  <c r="CU815" i="1"/>
  <c r="CU349" i="1"/>
  <c r="CU625" i="1"/>
  <c r="CU703" i="1"/>
  <c r="L32" i="16" l="1"/>
  <c r="L33" i="16" s="1"/>
  <c r="CU814" i="1"/>
  <c r="CU616" i="1"/>
  <c r="CU374" i="1"/>
  <c r="CU316" i="1" s="1"/>
  <c r="CV71" i="1"/>
  <c r="CU808" i="1"/>
  <c r="CU113" i="1"/>
  <c r="CU809" i="1"/>
  <c r="CU112" i="1"/>
  <c r="CU405" i="1"/>
  <c r="AQ14" i="31" s="1"/>
  <c r="CU705" i="1"/>
  <c r="CU212" i="1"/>
  <c r="CU696" i="1"/>
  <c r="CU375" i="1"/>
  <c r="CU121" i="1"/>
  <c r="CU352" i="1"/>
  <c r="CV300" i="1"/>
  <c r="CV73" i="1" s="1"/>
  <c r="CU713" i="1"/>
  <c r="CU84" i="1"/>
  <c r="CU86" i="1"/>
  <c r="CU317" i="1" l="1"/>
  <c r="CU79" i="1" s="1"/>
  <c r="CU471" i="1"/>
  <c r="CU354" i="1"/>
  <c r="CU296" i="1" s="1"/>
  <c r="CU295" i="1" s="1"/>
  <c r="CU667" i="1"/>
  <c r="CU396" i="1"/>
  <c r="AQ11" i="31" s="1"/>
  <c r="CU598" i="1"/>
  <c r="CU712" i="1"/>
  <c r="CU825" i="1"/>
  <c r="CU822" i="1"/>
  <c r="CU816" i="1"/>
  <c r="CU818" i="1"/>
  <c r="CU827" i="1"/>
  <c r="CU817" i="1"/>
  <c r="CU824" i="1"/>
  <c r="CU116" i="1"/>
  <c r="CU823" i="1"/>
  <c r="CU826" i="1"/>
  <c r="CU819" i="1"/>
  <c r="CU820" i="1"/>
  <c r="CU821" i="1"/>
  <c r="CU122" i="1"/>
  <c r="CU89" i="1"/>
  <c r="CU380" i="1"/>
  <c r="AQ7" i="31" s="1"/>
  <c r="CU406" i="1" l="1"/>
  <c r="AQ15" i="31" s="1"/>
  <c r="CU472" i="1"/>
  <c r="AQ35" i="31" s="1"/>
  <c r="AQ36" i="31" s="1"/>
  <c r="CU318" i="1"/>
  <c r="CU85" i="1"/>
  <c r="CU377" i="1"/>
  <c r="CU319" i="1" s="1"/>
  <c r="CU698" i="1"/>
  <c r="CU322" i="1" l="1"/>
  <c r="CU321" i="1"/>
  <c r="CU80" i="1"/>
  <c r="CU118" i="1"/>
  <c r="CU117" i="1"/>
  <c r="CU465" i="1"/>
  <c r="CU810" i="1"/>
  <c r="CU811" i="1"/>
  <c r="CU478" i="1"/>
  <c r="CU480" i="1" s="1"/>
  <c r="CU379" i="1"/>
  <c r="AQ6" i="31" s="1"/>
  <c r="CU408" i="1"/>
  <c r="AQ17" i="31" s="1"/>
  <c r="CU323" i="1" l="1"/>
  <c r="AQ70" i="31" s="1"/>
  <c r="CU711" i="1"/>
  <c r="CU393" i="1"/>
  <c r="CU381" i="1"/>
  <c r="AQ8" i="31" s="1"/>
  <c r="AQ9" i="31" s="1"/>
  <c r="CU414" i="1"/>
  <c r="CU419" i="1" l="1"/>
  <c r="CU426" i="1" s="1"/>
  <c r="AQ19" i="31" s="1"/>
  <c r="AQ20" i="31" s="1"/>
  <c r="CU81" i="1"/>
  <c r="CU325" i="1"/>
  <c r="CU269" i="1"/>
  <c r="CU387" i="1"/>
  <c r="CU389" i="1" s="1"/>
  <c r="CU792" i="1"/>
  <c r="CU391" i="1"/>
  <c r="CU327" i="1"/>
  <c r="CU440" i="1" l="1"/>
  <c r="CU710" i="1" l="1"/>
  <c r="CU441" i="1"/>
  <c r="AQ26" i="31" s="1"/>
  <c r="CU443" i="1" l="1"/>
  <c r="AQ28" i="31" s="1"/>
  <c r="AQ30" i="31" s="1"/>
  <c r="CU99" i="1" l="1"/>
  <c r="CU430" i="1"/>
  <c r="CU98" i="1"/>
  <c r="CU791" i="1"/>
  <c r="CU454" i="1"/>
  <c r="CU449" i="1"/>
  <c r="CU451" i="1" l="1"/>
  <c r="CU461" i="1"/>
  <c r="CU734" i="1"/>
  <c r="CU483" i="1"/>
  <c r="CU793" i="1"/>
  <c r="AQ71" i="31" s="1"/>
  <c r="CU794" i="1"/>
  <c r="AQ32" i="31" l="1"/>
  <c r="AQ33" i="31" s="1"/>
  <c r="CU415" i="1"/>
  <c r="CU490" i="1"/>
  <c r="AQ38" i="31" s="1"/>
  <c r="CU761" i="1"/>
  <c r="CU497" i="1"/>
  <c r="AQ40" i="31" s="1"/>
  <c r="AQ41" i="31" l="1"/>
  <c r="CU427" i="1"/>
  <c r="CU416" i="1"/>
  <c r="CU500" i="1"/>
  <c r="CU129" i="1"/>
  <c r="CU130" i="1"/>
  <c r="CU462" i="1" l="1"/>
  <c r="CU428" i="1"/>
  <c r="CU506" i="1"/>
  <c r="CU495" i="1"/>
  <c r="CU515" i="1"/>
  <c r="AQ44" i="31" s="1"/>
  <c r="AQ47" i="31" s="1"/>
  <c r="AQ48" i="31" s="1"/>
  <c r="CU136" i="1"/>
  <c r="CU491" i="1" l="1"/>
  <c r="CU493" i="1" s="1"/>
  <c r="CU463" i="1"/>
  <c r="CU525" i="1"/>
  <c r="AQ51" i="31" s="1"/>
  <c r="AQ50" i="31" s="1"/>
  <c r="CU521" i="1"/>
  <c r="CU513" i="1"/>
  <c r="L18" i="16" s="1"/>
  <c r="CU788" i="1"/>
  <c r="AQ72" i="31" s="1"/>
  <c r="CU730" i="1"/>
  <c r="AQ54" i="31" s="1"/>
  <c r="CU620" i="1"/>
  <c r="CU624" i="1" s="1"/>
  <c r="CU629" i="1" s="1"/>
  <c r="CU741" i="1"/>
  <c r="CU767" i="1" s="1"/>
  <c r="CU787" i="1"/>
  <c r="CU789" i="1"/>
  <c r="CU732" i="1"/>
  <c r="AQ55" i="31" s="1"/>
  <c r="CU740" i="1"/>
  <c r="CU766" i="1" s="1"/>
  <c r="CU838" i="1"/>
  <c r="L16" i="16" l="1"/>
  <c r="L21" i="16"/>
  <c r="L19" i="16"/>
  <c r="CU507" i="1"/>
  <c r="CU509" i="1" s="1"/>
  <c r="CU510" i="1" s="1"/>
  <c r="CU759" i="1"/>
  <c r="CU731" i="1"/>
  <c r="CU840" i="1"/>
  <c r="CU676" i="1"/>
  <c r="CU529" i="1"/>
  <c r="CU729" i="1"/>
  <c r="CU728" i="1"/>
  <c r="CU733" i="1"/>
  <c r="CU760" i="1"/>
  <c r="CU757" i="1" l="1"/>
  <c r="CU758" i="1"/>
  <c r="CU534" i="1"/>
  <c r="CU538" i="1" s="1"/>
  <c r="AQ63" i="31" s="1"/>
  <c r="L23" i="16" l="1"/>
  <c r="L34" i="16" s="1"/>
  <c r="CU137" i="1"/>
  <c r="CU531" i="1"/>
  <c r="CU743" i="1"/>
  <c r="CV533" i="1"/>
  <c r="CU541" i="1"/>
  <c r="CU742" i="1"/>
  <c r="L30" i="16" l="1"/>
  <c r="L37" i="16"/>
  <c r="L25" i="16"/>
  <c r="L26" i="16" s="1"/>
  <c r="L27" i="16" s="1"/>
  <c r="CU839" i="1"/>
  <c r="CU131" i="1"/>
  <c r="CU768" i="1"/>
  <c r="CU769" i="1"/>
  <c r="CU550" i="1"/>
  <c r="CU564" i="1" s="1"/>
  <c r="CU674" i="1" l="1"/>
  <c r="CU567" i="1"/>
  <c r="CU568" i="1" s="1"/>
  <c r="CU587" i="1" s="1"/>
  <c r="CU589" i="1"/>
  <c r="CU671" i="1"/>
  <c r="CU673" i="1"/>
  <c r="CU702" i="1"/>
  <c r="CU783" i="1"/>
  <c r="AQ73" i="31" s="1"/>
  <c r="AQ74" i="31" s="1"/>
  <c r="CU782" i="1"/>
  <c r="CU785" i="1" l="1"/>
  <c r="CU841" i="1" s="1"/>
  <c r="CU699" i="1"/>
  <c r="CU599" i="1"/>
  <c r="CU604" i="1" s="1"/>
  <c r="CU672" i="1"/>
  <c r="CU836" i="1"/>
  <c r="L36" i="16" s="1"/>
  <c r="L38" i="16" s="1"/>
  <c r="CU590" i="1"/>
  <c r="CU607" i="1" l="1"/>
  <c r="CU591" i="1"/>
  <c r="CU593" i="1" s="1"/>
  <c r="CU835" i="1" s="1"/>
  <c r="CU548" i="1"/>
  <c r="CU834" i="1"/>
  <c r="AQ77" i="31" s="1"/>
  <c r="CU595" i="1"/>
  <c r="CU150" i="1"/>
  <c r="CU704" i="1"/>
  <c r="CU837" i="1" l="1"/>
  <c r="AQ78" i="31" s="1"/>
  <c r="CU744" i="1"/>
  <c r="CU784" i="1"/>
  <c r="CU786" i="1"/>
  <c r="CU630" i="1" l="1"/>
  <c r="CU631" i="1" s="1"/>
  <c r="CU639" i="1" l="1"/>
  <c r="CU618" i="1"/>
  <c r="CV359" i="1" l="1"/>
  <c r="CV301" i="1" s="1"/>
  <c r="CV74" i="1" s="1"/>
  <c r="CV357" i="1"/>
  <c r="CV299" i="1" s="1"/>
  <c r="CV72" i="1" s="1"/>
  <c r="CV17" i="1" l="1"/>
  <c r="CV19" i="1"/>
  <c r="CV20" i="1"/>
  <c r="CV18" i="1"/>
  <c r="CV23" i="1" l="1"/>
  <c r="CV25" i="1"/>
  <c r="CV24" i="1"/>
  <c r="CV172" i="1"/>
  <c r="CV26" i="1"/>
  <c r="CV171" i="1"/>
  <c r="CV165" i="1"/>
  <c r="CV60" i="1" l="1"/>
  <c r="CV49" i="1" s="1"/>
  <c r="CV166" i="1"/>
  <c r="CV170" i="1"/>
  <c r="CV164" i="1"/>
  <c r="CV56" i="1" l="1"/>
  <c r="CV59" i="1"/>
  <c r="CV48" i="1" s="1"/>
  <c r="CV57" i="1"/>
  <c r="CV167" i="1"/>
  <c r="CV222" i="1" s="1"/>
  <c r="CV173" i="1"/>
  <c r="CV228" i="1" s="1"/>
  <c r="CV176" i="1"/>
  <c r="CV227" i="1" l="1"/>
  <c r="CV232" i="1" s="1"/>
  <c r="CV233" i="1" s="1"/>
  <c r="CV223" i="1"/>
  <c r="CV198" i="1"/>
  <c r="CV61" i="1" s="1"/>
  <c r="CV193" i="1"/>
  <c r="CV178" i="1"/>
  <c r="AR59" i="31" s="1"/>
  <c r="AR60" i="31" s="1"/>
  <c r="CV610" i="1"/>
  <c r="CV192" i="1"/>
  <c r="CV344" i="1"/>
  <c r="CV286" i="1" l="1"/>
  <c r="CV77" i="1" s="1"/>
  <c r="CV58" i="1"/>
  <c r="CV248" i="1"/>
  <c r="CV247" i="1"/>
  <c r="CV304" i="1" s="1"/>
  <c r="CV249" i="1"/>
  <c r="CV204" i="1"/>
  <c r="AR61" i="31" s="1"/>
  <c r="CV339" i="1"/>
  <c r="CV281" i="1" s="1"/>
  <c r="CV145" i="1"/>
  <c r="CV181" i="1"/>
  <c r="CV369" i="1"/>
  <c r="CV615" i="1"/>
  <c r="CV177" i="1"/>
  <c r="CV305" i="1" l="1"/>
  <c r="CV253" i="1"/>
  <c r="CV310" i="1" s="1"/>
  <c r="CV469" i="1"/>
  <c r="CV111" i="1" s="1"/>
  <c r="CV664" i="1"/>
  <c r="CV665" i="1"/>
  <c r="CV669" i="1"/>
  <c r="CV315" i="1"/>
  <c r="CV75" i="1"/>
  <c r="CV291" i="1"/>
  <c r="CV202" i="1"/>
  <c r="CV670" i="1"/>
  <c r="CV203" i="1"/>
  <c r="CV467" i="1"/>
  <c r="CV124" i="1"/>
  <c r="CV154" i="1"/>
  <c r="CV364" i="1"/>
  <c r="CV306" i="1" s="1"/>
  <c r="CV76" i="1" s="1"/>
  <c r="CV611" i="1"/>
  <c r="CV349" i="1"/>
  <c r="CV294" i="1" l="1"/>
  <c r="CV612" i="1"/>
  <c r="CV613" i="1" s="1"/>
  <c r="CV614" i="1"/>
  <c r="CV109" i="1"/>
  <c r="CV352" i="1"/>
  <c r="CV125" i="1"/>
  <c r="CV666" i="1"/>
  <c r="CV662" i="1"/>
  <c r="CV353" i="1"/>
  <c r="CV679" i="1"/>
  <c r="CV146" i="1"/>
  <c r="CV374" i="1"/>
  <c r="CV120" i="1"/>
  <c r="CV663" i="1"/>
  <c r="CV812" i="1"/>
  <c r="CV114" i="1"/>
  <c r="CV668" i="1"/>
  <c r="CV199" i="1"/>
  <c r="CV205" i="1"/>
  <c r="M32" i="16" l="1"/>
  <c r="M33" i="16" s="1"/>
  <c r="AR62" i="31"/>
  <c r="CV147" i="1"/>
  <c r="CV625" i="1"/>
  <c r="CV795" i="1"/>
  <c r="CV813" i="1"/>
  <c r="CV395" i="1"/>
  <c r="CV703" i="1"/>
  <c r="CV470" i="1"/>
  <c r="CV696" i="1"/>
  <c r="CV814" i="1"/>
  <c r="CV259" i="1"/>
  <c r="CV396" i="1"/>
  <c r="CV397" i="1"/>
  <c r="AR12" i="31" s="1"/>
  <c r="CV815" i="1"/>
  <c r="CV115" i="1"/>
  <c r="CV616" i="1"/>
  <c r="AR11" i="31" l="1"/>
  <c r="CV112" i="1"/>
  <c r="CV316" i="1"/>
  <c r="CV257" i="1"/>
  <c r="CV808" i="1"/>
  <c r="CV84" i="1"/>
  <c r="CV113" i="1"/>
  <c r="CV809" i="1"/>
  <c r="CV121" i="1"/>
  <c r="CV698" i="1"/>
  <c r="CV471" i="1"/>
  <c r="CV705" i="1"/>
  <c r="CV405" i="1"/>
  <c r="AR14" i="31" s="1"/>
  <c r="CV713" i="1"/>
  <c r="CV85" i="1"/>
  <c r="CV86" i="1"/>
  <c r="CV354" i="1"/>
  <c r="CV296" i="1" s="1"/>
  <c r="CV295" i="1" s="1"/>
  <c r="CV262" i="1"/>
  <c r="CV212" i="1"/>
  <c r="CV252" i="1" l="1"/>
  <c r="CV314" i="1"/>
  <c r="CV823" i="1"/>
  <c r="CV122" i="1"/>
  <c r="CV817" i="1"/>
  <c r="CV825" i="1"/>
  <c r="CV824" i="1"/>
  <c r="CV818" i="1"/>
  <c r="CV408" i="1"/>
  <c r="AR17" i="31" s="1"/>
  <c r="CV406" i="1"/>
  <c r="AR15" i="31" s="1"/>
  <c r="CV827" i="1"/>
  <c r="CV820" i="1"/>
  <c r="CV826" i="1"/>
  <c r="CV821" i="1"/>
  <c r="CV819" i="1"/>
  <c r="CV116" i="1"/>
  <c r="CV816" i="1"/>
  <c r="CV822" i="1"/>
  <c r="CV89" i="1"/>
  <c r="CV712" i="1"/>
  <c r="CV667" i="1"/>
  <c r="CV598" i="1"/>
  <c r="CV414" i="1"/>
  <c r="CV416" i="1" l="1"/>
  <c r="CV393" i="1"/>
  <c r="CV254" i="1"/>
  <c r="CV311" i="1" s="1"/>
  <c r="CV78" i="1" s="1"/>
  <c r="CV309" i="1"/>
  <c r="CV478" i="1"/>
  <c r="CV480" i="1" s="1"/>
  <c r="CV472" i="1"/>
  <c r="AR35" i="31" s="1"/>
  <c r="AR36" i="31" s="1"/>
  <c r="CV379" i="1"/>
  <c r="AR6" i="31" s="1"/>
  <c r="CV810" i="1" l="1"/>
  <c r="CV118" i="1"/>
  <c r="CV811" i="1"/>
  <c r="CV117" i="1"/>
  <c r="CV465" i="1"/>
  <c r="CV711" i="1" l="1"/>
  <c r="E79" i="2" l="1"/>
  <c r="E54" i="2"/>
  <c r="E47" i="2"/>
  <c r="E22" i="2"/>
  <c r="E38" i="2"/>
  <c r="E48" i="2"/>
  <c r="E30" i="2"/>
  <c r="E59" i="2"/>
  <c r="E39" i="2"/>
  <c r="E20" i="2"/>
  <c r="E21" i="2" s="1"/>
  <c r="H2" i="7" l="1"/>
  <c r="E127" i="2"/>
  <c r="E143" i="2" s="1"/>
  <c r="D127" i="2" l="1"/>
  <c r="D143" i="2" s="1"/>
  <c r="F14" i="2"/>
  <c r="C127" i="2"/>
  <c r="C143" i="2" s="1"/>
  <c r="F30" i="2" l="1"/>
  <c r="F22" i="2"/>
  <c r="F59" i="2"/>
  <c r="F48" i="2"/>
  <c r="F47" i="2"/>
  <c r="F54" i="2"/>
  <c r="F79" i="2"/>
  <c r="F39" i="2"/>
  <c r="F38" i="2"/>
  <c r="F20" i="2"/>
  <c r="F21" i="2" s="1"/>
  <c r="F127" i="2"/>
  <c r="F143" i="2" s="1"/>
  <c r="G14" i="2"/>
  <c r="C54" i="2"/>
  <c r="C39" i="2"/>
  <c r="C48" i="2"/>
  <c r="C24" i="2"/>
  <c r="C47" i="2"/>
  <c r="C79" i="2"/>
  <c r="C22" i="2"/>
  <c r="C38" i="2"/>
  <c r="C30" i="2"/>
  <c r="C59" i="2"/>
  <c r="C51" i="2"/>
  <c r="A14" i="2"/>
  <c r="C20" i="2"/>
  <c r="C21" i="2" s="1"/>
  <c r="D79" i="2"/>
  <c r="D54" i="2"/>
  <c r="D39" i="2"/>
  <c r="D22" i="2"/>
  <c r="D59" i="2"/>
  <c r="D47" i="2"/>
  <c r="D48" i="2"/>
  <c r="D30" i="2"/>
  <c r="D38" i="2"/>
  <c r="D20" i="2"/>
  <c r="D21" i="2" s="1"/>
  <c r="O25" i="7" l="1"/>
  <c r="O27" i="7"/>
  <c r="O22" i="7"/>
  <c r="O23" i="7"/>
  <c r="O26" i="7"/>
  <c r="O13" i="7"/>
  <c r="H30" i="7"/>
  <c r="H28" i="7"/>
  <c r="G2" i="7"/>
  <c r="I2" i="7"/>
  <c r="G39" i="2"/>
  <c r="G22" i="2"/>
  <c r="G48" i="2"/>
  <c r="G59" i="2"/>
  <c r="G30" i="2"/>
  <c r="G47" i="2"/>
  <c r="G79" i="2"/>
  <c r="G38" i="2"/>
  <c r="G54" i="2"/>
  <c r="G20" i="2"/>
  <c r="G21" i="2" s="1"/>
  <c r="G127" i="2"/>
  <c r="G143" i="2" s="1"/>
  <c r="P26" i="7" l="1"/>
  <c r="P22" i="7"/>
  <c r="P25" i="7"/>
  <c r="P23" i="7"/>
  <c r="I30" i="7"/>
  <c r="P27" i="7"/>
  <c r="P13" i="7"/>
  <c r="I28" i="7"/>
  <c r="J2" i="7"/>
  <c r="H43" i="7"/>
  <c r="N27" i="7"/>
  <c r="N13" i="7"/>
  <c r="G30" i="7"/>
  <c r="N22" i="7"/>
  <c r="G36" i="7"/>
  <c r="N23" i="7"/>
  <c r="N26" i="7"/>
  <c r="N25" i="7"/>
  <c r="N59" i="7"/>
  <c r="G28" i="7"/>
  <c r="H29" i="7" s="1"/>
  <c r="N57" i="7"/>
  <c r="F2" i="7"/>
  <c r="Q23" i="7" l="1"/>
  <c r="Q13" i="7"/>
  <c r="J30" i="7"/>
  <c r="Q25" i="7"/>
  <c r="Q26" i="7"/>
  <c r="Q27" i="7"/>
  <c r="Q22" i="7"/>
  <c r="J28" i="7"/>
  <c r="I29" i="7"/>
  <c r="I43" i="7"/>
  <c r="F30" i="7"/>
  <c r="M26" i="7"/>
  <c r="M27" i="7"/>
  <c r="M23" i="7"/>
  <c r="M57" i="7"/>
  <c r="N58" i="7" s="1"/>
  <c r="M59" i="7"/>
  <c r="N60" i="7" s="1"/>
  <c r="F36" i="7"/>
  <c r="M13" i="7"/>
  <c r="M22" i="7"/>
  <c r="M25" i="7"/>
  <c r="F28" i="7"/>
  <c r="F43" i="7" s="1"/>
  <c r="F1" i="7"/>
  <c r="G43" i="7"/>
  <c r="G29" i="7" l="1"/>
  <c r="F38" i="7"/>
  <c r="G1" i="7"/>
  <c r="F47" i="7"/>
  <c r="F14" i="7"/>
  <c r="M5" i="7"/>
  <c r="M32" i="7" s="1"/>
  <c r="J29" i="7"/>
  <c r="J43" i="7"/>
  <c r="G14" i="7" l="1"/>
  <c r="G47" i="7"/>
  <c r="N5" i="7"/>
  <c r="N32" i="7" s="1"/>
  <c r="G38" i="7"/>
  <c r="H1" i="7"/>
  <c r="H38" i="7" l="1"/>
  <c r="I1" i="7"/>
  <c r="O5" i="7"/>
  <c r="O32" i="7" s="1"/>
  <c r="H47" i="7"/>
  <c r="H14" i="7"/>
  <c r="I47" i="7" l="1"/>
  <c r="I38" i="7"/>
  <c r="J1" i="7"/>
  <c r="I14" i="7"/>
  <c r="P5" i="7"/>
  <c r="P32" i="7" s="1"/>
  <c r="J47" i="7" l="1"/>
  <c r="Q5" i="7"/>
  <c r="Q32" i="7" s="1"/>
  <c r="J14" i="7"/>
  <c r="J38" i="7"/>
  <c r="CV139" i="1" l="1"/>
  <c r="CV636" i="1"/>
  <c r="CV535" i="1"/>
  <c r="CV537" i="1" l="1"/>
  <c r="CV633" i="1"/>
  <c r="CV543" i="1"/>
  <c r="CV652" i="1" l="1"/>
  <c r="CV634" i="1"/>
  <c r="CV635" i="1" s="1"/>
  <c r="CV141" i="1"/>
  <c r="CV143" i="1" s="1"/>
  <c r="CV680" i="1"/>
  <c r="M59" i="16" l="1"/>
  <c r="AZ143" i="1"/>
  <c r="BA143" i="1" s="1"/>
  <c r="BB143" i="1" s="1"/>
  <c r="BC143" i="1" s="1"/>
  <c r="BD143" i="1" s="1"/>
  <c r="BE143" i="1" s="1"/>
  <c r="BF143" i="1" s="1"/>
  <c r="BG143" i="1" s="1"/>
  <c r="BH143" i="1" s="1"/>
  <c r="CV637" i="1"/>
  <c r="CV739" i="1" s="1"/>
  <c r="CV765" i="1" s="1"/>
  <c r="CV738" i="1"/>
  <c r="CV764" i="1" s="1"/>
  <c r="BI143" i="1" l="1"/>
  <c r="BJ143" i="1" l="1"/>
  <c r="BK143" i="1" s="1"/>
  <c r="BL143" i="1" s="1"/>
  <c r="BM143" i="1" s="1"/>
  <c r="BN143" i="1" s="1"/>
  <c r="BO143" i="1" s="1"/>
  <c r="BP143" i="1" s="1"/>
  <c r="BQ143" i="1" s="1"/>
  <c r="CW535" i="1"/>
  <c r="CW633" i="1"/>
  <c r="CW636" i="1" l="1"/>
  <c r="CV102" i="1" l="1"/>
  <c r="CV96" i="1" s="1"/>
  <c r="CV103" i="1" l="1"/>
  <c r="CV106" i="1"/>
  <c r="CV572" i="1" l="1"/>
  <c r="CV585" i="1" s="1"/>
  <c r="CV627" i="1"/>
  <c r="CV790" i="1"/>
  <c r="CW101" i="1"/>
  <c r="CV97" i="1"/>
  <c r="CV434" i="1"/>
  <c r="CV526" i="1" l="1"/>
  <c r="CV675" i="1" l="1"/>
  <c r="CV621" i="1"/>
  <c r="CV376" i="1" l="1"/>
  <c r="CV380" i="1" l="1"/>
  <c r="AR7" i="31" s="1"/>
  <c r="CV260" i="1"/>
  <c r="CV699" i="1" s="1"/>
  <c r="CV375" i="1" l="1"/>
  <c r="CV317" i="1" s="1"/>
  <c r="CV79" i="1" s="1"/>
  <c r="CV261" i="1"/>
  <c r="CV381" i="1"/>
  <c r="AR8" i="31" s="1"/>
  <c r="AR9" i="31" s="1"/>
  <c r="CV377" i="1" l="1"/>
  <c r="CV319" i="1" s="1"/>
  <c r="CV419" i="1"/>
  <c r="CV327" i="1"/>
  <c r="CV318" i="1"/>
  <c r="CV391" i="1" l="1"/>
  <c r="CV387" i="1"/>
  <c r="CV389" i="1" s="1"/>
  <c r="CV426" i="1"/>
  <c r="AR19" i="31" s="1"/>
  <c r="AR20" i="31" s="1"/>
  <c r="CV792" i="1"/>
  <c r="CV80" i="1"/>
  <c r="CV322" i="1"/>
  <c r="CV321" i="1"/>
  <c r="CV428" i="1" l="1"/>
  <c r="CV440" i="1"/>
  <c r="CV323" i="1"/>
  <c r="AR70" i="31" s="1"/>
  <c r="CV710" i="1" l="1"/>
  <c r="CV441" i="1"/>
  <c r="AR26" i="31" s="1"/>
  <c r="CV269" i="1"/>
  <c r="CV81" i="1"/>
  <c r="CV325" i="1"/>
  <c r="CV443" i="1" l="1"/>
  <c r="AR28" i="31" l="1"/>
  <c r="AR30" i="31" s="1"/>
  <c r="CV98" i="1"/>
  <c r="CV99" i="1"/>
  <c r="CV430" i="1"/>
  <c r="CV791" i="1"/>
  <c r="CV454" i="1"/>
  <c r="CV449" i="1"/>
  <c r="CV451" i="1" l="1"/>
  <c r="CV461" i="1"/>
  <c r="CV483" i="1"/>
  <c r="CV734" i="1"/>
  <c r="CV793" i="1"/>
  <c r="AR71" i="31" s="1"/>
  <c r="CV794" i="1"/>
  <c r="AR32" i="31" l="1"/>
  <c r="AR33" i="31" s="1"/>
  <c r="CV463" i="1"/>
  <c r="CV761" i="1"/>
  <c r="CV490" i="1"/>
  <c r="AR38" i="31" s="1"/>
  <c r="CV497" i="1"/>
  <c r="AR40" i="31" s="1"/>
  <c r="AR41" i="31" s="1"/>
  <c r="CV493" i="1" l="1"/>
  <c r="CV500" i="1"/>
  <c r="CV129" i="1"/>
  <c r="CV130" i="1"/>
  <c r="CV495" i="1" l="1"/>
  <c r="CV515" i="1"/>
  <c r="AR44" i="31" s="1"/>
  <c r="AR47" i="31" s="1"/>
  <c r="AR48" i="31" s="1"/>
  <c r="CV136" i="1"/>
  <c r="CV506" i="1"/>
  <c r="CV509" i="1" s="1"/>
  <c r="CV521" i="1" l="1"/>
  <c r="CV838" i="1"/>
  <c r="CV741" i="1"/>
  <c r="CV767" i="1" s="1"/>
  <c r="CV789" i="1"/>
  <c r="CV513" i="1"/>
  <c r="CV787" i="1"/>
  <c r="CV740" i="1"/>
  <c r="CV766" i="1" s="1"/>
  <c r="CV620" i="1"/>
  <c r="CV624" i="1" s="1"/>
  <c r="CV629" i="1" s="1"/>
  <c r="CV732" i="1"/>
  <c r="AR55" i="31" s="1"/>
  <c r="CV788" i="1"/>
  <c r="AR72" i="31" s="1"/>
  <c r="CV730" i="1"/>
  <c r="AR54" i="31" s="1"/>
  <c r="CV525" i="1"/>
  <c r="AR51" i="31" s="1"/>
  <c r="AR50" i="31" s="1"/>
  <c r="M16" i="16" l="1"/>
  <c r="M18" i="16"/>
  <c r="CV676" i="1"/>
  <c r="CV529" i="1"/>
  <c r="CV733" i="1"/>
  <c r="CV760" i="1"/>
  <c r="CV728" i="1"/>
  <c r="CV729" i="1"/>
  <c r="CV137" i="1"/>
  <c r="CV731" i="1"/>
  <c r="CV840" i="1"/>
  <c r="CV759" i="1"/>
  <c r="CV510" i="1"/>
  <c r="M19" i="16" l="1"/>
  <c r="M21" i="16"/>
  <c r="CV758" i="1"/>
  <c r="CV839" i="1"/>
  <c r="CV131" i="1"/>
  <c r="CV534" i="1"/>
  <c r="CV538" i="1" s="1"/>
  <c r="AR63" i="31" s="1"/>
  <c r="CV757" i="1"/>
  <c r="M23" i="16" l="1"/>
  <c r="CV531" i="1"/>
  <c r="CW533" i="1"/>
  <c r="CV541" i="1"/>
  <c r="CV742" i="1"/>
  <c r="CV743" i="1"/>
  <c r="M25" i="16" l="1"/>
  <c r="M26" i="16" s="1"/>
  <c r="M27" i="16" s="1"/>
  <c r="M34" i="16"/>
  <c r="M37" i="16"/>
  <c r="M30" i="16"/>
  <c r="CV769" i="1"/>
  <c r="CV768" i="1"/>
  <c r="CV550" i="1"/>
  <c r="CV564" i="1" s="1"/>
  <c r="CV672" i="1" l="1"/>
  <c r="CV673" i="1"/>
  <c r="CV702" i="1"/>
  <c r="CV783" i="1"/>
  <c r="AR73" i="31" s="1"/>
  <c r="AR74" i="31" s="1"/>
  <c r="CV782" i="1"/>
  <c r="CV671" i="1"/>
  <c r="CV674" i="1"/>
  <c r="CV785" i="1" l="1"/>
  <c r="CV567" i="1"/>
  <c r="CV568" i="1" s="1"/>
  <c r="CV587" i="1" s="1"/>
  <c r="CV589" i="1"/>
  <c r="CV841" i="1" l="1"/>
  <c r="CV599" i="1"/>
  <c r="CV604" i="1" s="1"/>
  <c r="CV704" i="1"/>
  <c r="CV590" i="1"/>
  <c r="CV836" i="1"/>
  <c r="CV725" i="1"/>
  <c r="M36" i="16" l="1"/>
  <c r="M38" i="16" s="1"/>
  <c r="CV607" i="1"/>
  <c r="CV837" i="1" s="1"/>
  <c r="AR78" i="31" s="1"/>
  <c r="CV595" i="1"/>
  <c r="CV548" i="1"/>
  <c r="CV150" i="1"/>
  <c r="CV834" i="1"/>
  <c r="AR77" i="31" s="1"/>
  <c r="CV591" i="1"/>
  <c r="CV593" i="1" s="1"/>
  <c r="CV835" i="1" s="1"/>
  <c r="CV784" i="1" l="1"/>
  <c r="CV786" i="1"/>
  <c r="CV744" i="1"/>
  <c r="CV630" i="1" l="1"/>
  <c r="CV631" i="1" s="1"/>
  <c r="CV639" i="1" l="1"/>
  <c r="CV618" i="1"/>
  <c r="CW725" i="1" l="1"/>
  <c r="CV468" i="1" l="1"/>
  <c r="CV110" i="1" s="1"/>
  <c r="CY40" i="1" l="1"/>
  <c r="CX40" i="1"/>
  <c r="CY39" i="1" l="1"/>
  <c r="CZ40" i="1"/>
  <c r="CZ39" i="1" l="1"/>
  <c r="DA40" i="1" l="1"/>
  <c r="DA39" i="1" l="1"/>
  <c r="DB40" i="1" l="1"/>
  <c r="DB39" i="1" l="1"/>
  <c r="DC40" i="1" l="1"/>
  <c r="DC39" i="1" l="1"/>
  <c r="DD40" i="1" l="1"/>
  <c r="DD39" i="1" l="1"/>
  <c r="DE40" i="1" l="1"/>
  <c r="DE39" i="1" l="1"/>
  <c r="DF40" i="1" l="1"/>
  <c r="DF39" i="1" l="1"/>
  <c r="CW102" i="1" l="1"/>
  <c r="CW96" i="1" s="1"/>
  <c r="CW106" i="1" l="1"/>
  <c r="CW103" i="1"/>
  <c r="CW434" i="1" l="1"/>
  <c r="CW627" i="1"/>
  <c r="CW572" i="1"/>
  <c r="CW97" i="1"/>
  <c r="CX101" i="1"/>
  <c r="CW790" i="1"/>
  <c r="AQ45" i="1" l="1"/>
  <c r="AQ47" i="1"/>
  <c r="AQ44" i="1"/>
  <c r="AQ43" i="1"/>
  <c r="AR47" i="1" l="1"/>
  <c r="CW33" i="1"/>
  <c r="AR44" i="1"/>
  <c r="CW30" i="1"/>
  <c r="AR46" i="1"/>
  <c r="CW32" i="1"/>
  <c r="AR45" i="1"/>
  <c r="CW31" i="1"/>
  <c r="AR43" i="1"/>
  <c r="CW29" i="1"/>
  <c r="CW40" i="1" l="1"/>
  <c r="CW38" i="1" l="1"/>
  <c r="CW39" i="1" l="1"/>
  <c r="CX39" i="1"/>
  <c r="AU275" i="1" l="1"/>
  <c r="AU333" i="1" s="1"/>
  <c r="AU332" i="1" s="1"/>
  <c r="AU274" i="1" s="1"/>
  <c r="AU69" i="1" l="1"/>
  <c r="AZ70" i="1" l="1"/>
  <c r="BA70" i="1" l="1"/>
  <c r="BB70" i="1" l="1"/>
  <c r="BC70" i="1" l="1"/>
  <c r="BD70" i="1" l="1"/>
  <c r="BE70" i="1" s="1"/>
  <c r="BF70" i="1" l="1"/>
  <c r="BG70" i="1" s="1"/>
  <c r="BH70" i="1" s="1"/>
  <c r="BI70" i="1" s="1"/>
  <c r="BJ70" i="1" s="1"/>
  <c r="BK70" i="1" s="1"/>
  <c r="BL70" i="1" s="1"/>
  <c r="BM70" i="1" s="1"/>
  <c r="BN70" i="1" s="1"/>
  <c r="BO70" i="1" l="1"/>
  <c r="BP70" i="1" l="1"/>
  <c r="BQ70" i="1" l="1"/>
  <c r="CH38" i="1" l="1"/>
  <c r="CK39" i="1"/>
  <c r="CO40" i="1"/>
  <c r="CI40" i="1"/>
  <c r="CT39" i="1"/>
  <c r="CN39" i="1"/>
  <c r="CJ38" i="1"/>
  <c r="CE40" i="1"/>
  <c r="CK40" i="1"/>
  <c r="CL40" i="1"/>
  <c r="CF40" i="1"/>
  <c r="CP38" i="1"/>
  <c r="CJ40" i="1"/>
  <c r="CC38" i="1"/>
  <c r="CG40" i="1"/>
  <c r="CQ39" i="1"/>
  <c r="CS39" i="1"/>
  <c r="CN40" i="1"/>
  <c r="CC39" i="1"/>
  <c r="CO38" i="1"/>
  <c r="CP39" i="1"/>
  <c r="CM40" i="1"/>
  <c r="CD38" i="1"/>
  <c r="CJ39" i="1"/>
  <c r="CP40" i="1"/>
  <c r="CQ38" i="1"/>
  <c r="CE39" i="1"/>
  <c r="CE38" i="1"/>
  <c r="CI39" i="1"/>
  <c r="CT40" i="1"/>
  <c r="CH40" i="1"/>
  <c r="CI38" i="1"/>
  <c r="CT38" i="1"/>
  <c r="CC40" i="1"/>
  <c r="CD39" i="1"/>
  <c r="CL39" i="1"/>
  <c r="CR39" i="1"/>
  <c r="CD40" i="1"/>
  <c r="CK38" i="1"/>
  <c r="CF38" i="1"/>
  <c r="CL38" i="1"/>
  <c r="CM38" i="1"/>
  <c r="CS40" i="1"/>
  <c r="CR38" i="1"/>
  <c r="CU38" i="1"/>
  <c r="CU40" i="1"/>
  <c r="CG39" i="1"/>
  <c r="CF39" i="1"/>
  <c r="CN38" i="1"/>
  <c r="CO39" i="1"/>
  <c r="CQ40" i="1"/>
  <c r="CG38" i="1"/>
  <c r="CH39" i="1"/>
  <c r="CM39" i="1"/>
  <c r="CR40" i="1"/>
  <c r="CS38" i="1"/>
  <c r="CU39" i="1"/>
  <c r="CV38" i="1" l="1"/>
  <c r="AO46" i="1" l="1"/>
  <c r="AK46" i="1"/>
  <c r="Y47" i="1"/>
  <c r="S47" i="1"/>
  <c r="M47" i="1"/>
  <c r="AK47" i="1"/>
  <c r="AI46" i="1"/>
  <c r="AG46" i="1"/>
  <c r="AC47" i="1"/>
  <c r="Y46" i="1"/>
  <c r="W47" i="1"/>
  <c r="W46" i="1"/>
  <c r="U47" i="1"/>
  <c r="Q47" i="1"/>
  <c r="K46" i="1"/>
  <c r="K47" i="1"/>
  <c r="I47" i="1"/>
  <c r="AC46" i="1"/>
  <c r="AA46" i="1"/>
  <c r="U46" i="1"/>
  <c r="O46" i="1"/>
  <c r="AI47" i="1"/>
  <c r="AM46" i="1"/>
  <c r="AE46" i="1"/>
  <c r="AO47" i="1"/>
  <c r="AM47" i="1"/>
  <c r="AG47" i="1"/>
  <c r="AE47" i="1"/>
  <c r="S46" i="1"/>
  <c r="Q46" i="1"/>
  <c r="O47" i="1"/>
  <c r="M46" i="1"/>
  <c r="I46" i="1"/>
  <c r="G46" i="1"/>
  <c r="E47" i="1"/>
  <c r="CB46" i="1"/>
  <c r="C46" i="1"/>
  <c r="CB47" i="1"/>
  <c r="C47" i="1"/>
  <c r="CA46" i="1"/>
  <c r="BZ46" i="1"/>
  <c r="AA47" i="1"/>
  <c r="G47" i="1"/>
  <c r="E46" i="1"/>
  <c r="CA47" i="1"/>
  <c r="BZ47" i="1"/>
  <c r="AK45" i="1" l="1"/>
  <c r="Q45" i="1"/>
  <c r="O43" i="1"/>
  <c r="AM45" i="1"/>
  <c r="AK43" i="1"/>
  <c r="AK44" i="1"/>
  <c r="AI45" i="1"/>
  <c r="AE44" i="1"/>
  <c r="AC44" i="1"/>
  <c r="AA44" i="1"/>
  <c r="Y44" i="1"/>
  <c r="W43" i="1"/>
  <c r="W45" i="1"/>
  <c r="M45" i="1"/>
  <c r="G45" i="1"/>
  <c r="G44" i="1"/>
  <c r="E44" i="1"/>
  <c r="BY45" i="1"/>
  <c r="BY44" i="1"/>
  <c r="BX45" i="1"/>
  <c r="BX44" i="1"/>
  <c r="BW43" i="1"/>
  <c r="BW44" i="1"/>
  <c r="BV43" i="1"/>
  <c r="BT43" i="1"/>
  <c r="BS44" i="1"/>
  <c r="H46" i="1"/>
  <c r="CE32" i="1"/>
  <c r="CE46" i="1" s="1"/>
  <c r="F46" i="1"/>
  <c r="CD32" i="1"/>
  <c r="CD46" i="1" s="1"/>
  <c r="H47" i="1"/>
  <c r="CE33" i="1"/>
  <c r="CE47" i="1" s="1"/>
  <c r="CH32" i="1"/>
  <c r="CH46" i="1" s="1"/>
  <c r="N46" i="1"/>
  <c r="P47" i="1"/>
  <c r="CI33" i="1"/>
  <c r="CI47" i="1" s="1"/>
  <c r="T46" i="1"/>
  <c r="CK32" i="1"/>
  <c r="CK46" i="1" s="1"/>
  <c r="V47" i="1"/>
  <c r="CL33" i="1"/>
  <c r="CL47" i="1" s="1"/>
  <c r="AM43" i="1"/>
  <c r="O45" i="1"/>
  <c r="I44" i="1"/>
  <c r="C44" i="1"/>
  <c r="CB44" i="1"/>
  <c r="CA44" i="1"/>
  <c r="BZ45" i="1"/>
  <c r="BZ44" i="1"/>
  <c r="BU45" i="1"/>
  <c r="J46" i="1"/>
  <c r="CF32" i="1"/>
  <c r="CF46" i="1" s="1"/>
  <c r="L47" i="1"/>
  <c r="CG33" i="1"/>
  <c r="CG47" i="1" s="1"/>
  <c r="X47" i="1"/>
  <c r="CM33" i="1"/>
  <c r="CM47" i="1" s="1"/>
  <c r="AF46" i="1"/>
  <c r="CQ32" i="1"/>
  <c r="CQ46" i="1" s="1"/>
  <c r="CT33" i="1"/>
  <c r="CT47" i="1" s="1"/>
  <c r="AL47" i="1"/>
  <c r="AN47" i="1"/>
  <c r="CU33" i="1"/>
  <c r="CU47" i="1" s="1"/>
  <c r="AJ47" i="1"/>
  <c r="CS33" i="1"/>
  <c r="CS47" i="1" s="1"/>
  <c r="CR33" i="1"/>
  <c r="CR47" i="1" s="1"/>
  <c r="AH47" i="1"/>
  <c r="CC32" i="1"/>
  <c r="CC46" i="1" s="1"/>
  <c r="D46" i="1"/>
  <c r="CK33" i="1"/>
  <c r="CK47" i="1" s="1"/>
  <c r="T47" i="1"/>
  <c r="CH33" i="1"/>
  <c r="CH47" i="1" s="1"/>
  <c r="N47" i="1"/>
  <c r="AO43" i="1"/>
  <c r="S45" i="1"/>
  <c r="AA45" i="1"/>
  <c r="W44" i="1"/>
  <c r="U45" i="1"/>
  <c r="U44" i="1"/>
  <c r="U43" i="1"/>
  <c r="Q44" i="1"/>
  <c r="Q43" i="1"/>
  <c r="K45" i="1"/>
  <c r="K44" i="1"/>
  <c r="K43" i="1"/>
  <c r="I43" i="1"/>
  <c r="I45" i="1"/>
  <c r="CB45" i="1"/>
  <c r="C45" i="1"/>
  <c r="BW45" i="1"/>
  <c r="BV45" i="1"/>
  <c r="BU43" i="1"/>
  <c r="BU44" i="1"/>
  <c r="BT44" i="1"/>
  <c r="BS43" i="1"/>
  <c r="V46" i="1"/>
  <c r="CL32" i="1"/>
  <c r="CL46" i="1" s="1"/>
  <c r="CQ33" i="1"/>
  <c r="CQ47" i="1" s="1"/>
  <c r="AF47" i="1"/>
  <c r="AJ46" i="1"/>
  <c r="CS32" i="1"/>
  <c r="CS46" i="1" s="1"/>
  <c r="CU32" i="1"/>
  <c r="CU46" i="1" s="1"/>
  <c r="AN46" i="1"/>
  <c r="AO44" i="1"/>
  <c r="AG44" i="1"/>
  <c r="AG43" i="1"/>
  <c r="AO45" i="1"/>
  <c r="AI44" i="1"/>
  <c r="AE43" i="1"/>
  <c r="AC43" i="1"/>
  <c r="AM44" i="1"/>
  <c r="AI43" i="1"/>
  <c r="AG45" i="1"/>
  <c r="AE45" i="1"/>
  <c r="AC45" i="1"/>
  <c r="AA43" i="1"/>
  <c r="Y45" i="1"/>
  <c r="Y43" i="1"/>
  <c r="S44" i="1"/>
  <c r="S43" i="1"/>
  <c r="O44" i="1"/>
  <c r="M44" i="1"/>
  <c r="M43" i="1"/>
  <c r="G43" i="1"/>
  <c r="E43" i="1"/>
  <c r="E45" i="1"/>
  <c r="CB43" i="1"/>
  <c r="C43" i="1"/>
  <c r="CA43" i="1"/>
  <c r="CA45" i="1"/>
  <c r="BZ43" i="1"/>
  <c r="BY43" i="1"/>
  <c r="BX43" i="1"/>
  <c r="BV44" i="1"/>
  <c r="BT45" i="1"/>
  <c r="BS45" i="1"/>
  <c r="J47" i="1"/>
  <c r="CF33" i="1"/>
  <c r="CF47" i="1" s="1"/>
  <c r="P46" i="1"/>
  <c r="CI32" i="1"/>
  <c r="CI46" i="1" s="1"/>
  <c r="CJ32" i="1"/>
  <c r="CJ46" i="1" s="1"/>
  <c r="R46" i="1"/>
  <c r="CJ33" i="1"/>
  <c r="CJ47" i="1" s="1"/>
  <c r="R47" i="1"/>
  <c r="CO32" i="1"/>
  <c r="CO46" i="1" s="1"/>
  <c r="AB46" i="1"/>
  <c r="CV33" i="1"/>
  <c r="CV47" i="1" s="1"/>
  <c r="AP47" i="1"/>
  <c r="AD47" i="1"/>
  <c r="CP33" i="1"/>
  <c r="CP47" i="1" s="1"/>
  <c r="CO33" i="1"/>
  <c r="CO47" i="1" s="1"/>
  <c r="AB47" i="1"/>
  <c r="CV32" i="1"/>
  <c r="CV46" i="1" s="1"/>
  <c r="AP46" i="1"/>
  <c r="D47" i="1"/>
  <c r="CC33" i="1"/>
  <c r="CC47" i="1" s="1"/>
  <c r="F47" i="1"/>
  <c r="CD33" i="1"/>
  <c r="CD47" i="1" s="1"/>
  <c r="CG32" i="1"/>
  <c r="CG46" i="1" s="1"/>
  <c r="L46" i="1"/>
  <c r="CM32" i="1"/>
  <c r="CM46" i="1" s="1"/>
  <c r="X46" i="1"/>
  <c r="Z46" i="1"/>
  <c r="CN32" i="1"/>
  <c r="CN46" i="1" s="1"/>
  <c r="Z47" i="1"/>
  <c r="CN33" i="1"/>
  <c r="CN47" i="1" s="1"/>
  <c r="CP32" i="1"/>
  <c r="CP46" i="1" s="1"/>
  <c r="AD46" i="1"/>
  <c r="AH46" i="1"/>
  <c r="CR32" i="1"/>
  <c r="CR46" i="1" s="1"/>
  <c r="CT32" i="1"/>
  <c r="CT46" i="1" s="1"/>
  <c r="AL46" i="1"/>
  <c r="N44" i="1" l="1"/>
  <c r="CH30" i="1"/>
  <c r="CH44" i="1" s="1"/>
  <c r="X45" i="1"/>
  <c r="CM31" i="1"/>
  <c r="CM45" i="1" s="1"/>
  <c r="F43" i="1"/>
  <c r="CD29" i="1"/>
  <c r="CD43" i="1" s="1"/>
  <c r="F45" i="1"/>
  <c r="CD31" i="1"/>
  <c r="CD45" i="1" s="1"/>
  <c r="CI30" i="1"/>
  <c r="CI44" i="1" s="1"/>
  <c r="P44" i="1"/>
  <c r="CK29" i="1"/>
  <c r="CK43" i="1" s="1"/>
  <c r="T43" i="1"/>
  <c r="J43" i="1"/>
  <c r="CF29" i="1"/>
  <c r="CF43" i="1" s="1"/>
  <c r="CG30" i="1"/>
  <c r="CG44" i="1" s="1"/>
  <c r="L44" i="1"/>
  <c r="AD43" i="1"/>
  <c r="CP29" i="1"/>
  <c r="CP43" i="1" s="1"/>
  <c r="AF43" i="1"/>
  <c r="CQ29" i="1"/>
  <c r="CQ43" i="1" s="1"/>
  <c r="V45" i="1"/>
  <c r="CL31" i="1"/>
  <c r="CL45" i="1" s="1"/>
  <c r="CV31" i="1"/>
  <c r="CV45" i="1" s="1"/>
  <c r="AP45" i="1"/>
  <c r="R44" i="1"/>
  <c r="CJ30" i="1"/>
  <c r="CJ44" i="1" s="1"/>
  <c r="L43" i="1"/>
  <c r="CG29" i="1"/>
  <c r="CG43" i="1" s="1"/>
  <c r="P45" i="1"/>
  <c r="CI31" i="1"/>
  <c r="CI45" i="1" s="1"/>
  <c r="P43" i="1"/>
  <c r="CI29" i="1"/>
  <c r="CI43" i="1" s="1"/>
  <c r="CJ29" i="1"/>
  <c r="CJ43" i="1" s="1"/>
  <c r="R43" i="1"/>
  <c r="V44" i="1"/>
  <c r="CL30" i="1"/>
  <c r="CL44" i="1" s="1"/>
  <c r="CM30" i="1"/>
  <c r="CM44" i="1" s="1"/>
  <c r="X44" i="1"/>
  <c r="AB45" i="1"/>
  <c r="CO31" i="1"/>
  <c r="CO45" i="1" s="1"/>
  <c r="CP31" i="1"/>
  <c r="CP45" i="1" s="1"/>
  <c r="AD45" i="1"/>
  <c r="AF45" i="1"/>
  <c r="CQ31" i="1"/>
  <c r="CQ45" i="1" s="1"/>
  <c r="CT29" i="1"/>
  <c r="CT43" i="1" s="1"/>
  <c r="AL43" i="1"/>
  <c r="CC30" i="1"/>
  <c r="CC44" i="1" s="1"/>
  <c r="D44" i="1"/>
  <c r="F44" i="1"/>
  <c r="CD30" i="1"/>
  <c r="CD44" i="1" s="1"/>
  <c r="H43" i="1"/>
  <c r="CE29" i="1"/>
  <c r="CE43" i="1" s="1"/>
  <c r="J45" i="1"/>
  <c r="CF31" i="1"/>
  <c r="CF45" i="1" s="1"/>
  <c r="CG31" i="1"/>
  <c r="CG45" i="1" s="1"/>
  <c r="L45" i="1"/>
  <c r="N43" i="1"/>
  <c r="CH29" i="1"/>
  <c r="CH43" i="1" s="1"/>
  <c r="CH31" i="1"/>
  <c r="CH45" i="1" s="1"/>
  <c r="N45" i="1"/>
  <c r="Z45" i="1"/>
  <c r="CN31" i="1"/>
  <c r="CN45" i="1" s="1"/>
  <c r="Z44" i="1"/>
  <c r="CN30" i="1"/>
  <c r="CN44" i="1" s="1"/>
  <c r="AB43" i="1"/>
  <c r="CO29" i="1"/>
  <c r="CO43" i="1" s="1"/>
  <c r="CO30" i="1"/>
  <c r="CO44" i="1" s="1"/>
  <c r="AB44" i="1"/>
  <c r="AF44" i="1"/>
  <c r="CQ30" i="1"/>
  <c r="CQ44" i="1" s="1"/>
  <c r="AN44" i="1"/>
  <c r="CU30" i="1"/>
  <c r="CU44" i="1" s="1"/>
  <c r="CS29" i="1"/>
  <c r="CS43" i="1" s="1"/>
  <c r="AJ43" i="1"/>
  <c r="AJ44" i="1"/>
  <c r="CS30" i="1"/>
  <c r="CS44" i="1" s="1"/>
  <c r="CU31" i="1"/>
  <c r="CU45" i="1" s="1"/>
  <c r="AN45" i="1"/>
  <c r="T44" i="1"/>
  <c r="CK30" i="1"/>
  <c r="CK44" i="1" s="1"/>
  <c r="V43" i="1"/>
  <c r="CL29" i="1"/>
  <c r="CL43" i="1" s="1"/>
  <c r="CR30" i="1"/>
  <c r="CR44" i="1" s="1"/>
  <c r="AH44" i="1"/>
  <c r="AL44" i="1"/>
  <c r="CT30" i="1"/>
  <c r="CT44" i="1" s="1"/>
  <c r="AN43" i="1"/>
  <c r="CU29" i="1"/>
  <c r="CU43" i="1" s="1"/>
  <c r="CV40" i="1"/>
  <c r="CC29" i="1"/>
  <c r="CC43" i="1" s="1"/>
  <c r="D43" i="1"/>
  <c r="H44" i="1"/>
  <c r="CE30" i="1"/>
  <c r="CE44" i="1" s="1"/>
  <c r="T45" i="1"/>
  <c r="CK31" i="1"/>
  <c r="CK45" i="1" s="1"/>
  <c r="CV39" i="1"/>
  <c r="CC31" i="1"/>
  <c r="CC45" i="1" s="1"/>
  <c r="D45" i="1"/>
  <c r="H45" i="1"/>
  <c r="CE31" i="1"/>
  <c r="CE45" i="1" s="1"/>
  <c r="J44" i="1"/>
  <c r="CF30" i="1"/>
  <c r="CF44" i="1" s="1"/>
  <c r="R45" i="1"/>
  <c r="CJ31" i="1"/>
  <c r="CJ45" i="1" s="1"/>
  <c r="X43" i="1"/>
  <c r="CM29" i="1"/>
  <c r="CM43" i="1" s="1"/>
  <c r="CS31" i="1"/>
  <c r="CS45" i="1" s="1"/>
  <c r="AJ45" i="1"/>
  <c r="AL45" i="1"/>
  <c r="CT31" i="1"/>
  <c r="CT45" i="1" s="1"/>
  <c r="AP44" i="1"/>
  <c r="CV30" i="1"/>
  <c r="CV44" i="1" s="1"/>
  <c r="CR29" i="1"/>
  <c r="CR43" i="1" s="1"/>
  <c r="AH43" i="1"/>
  <c r="AP43" i="1"/>
  <c r="CV29" i="1"/>
  <c r="CV43" i="1" s="1"/>
  <c r="Z43" i="1"/>
  <c r="CN29" i="1"/>
  <c r="CN43" i="1" s="1"/>
  <c r="CP30" i="1"/>
  <c r="CP44" i="1" s="1"/>
  <c r="AD44" i="1"/>
  <c r="AH45" i="1"/>
  <c r="CR31" i="1"/>
  <c r="CR45" i="1" s="1"/>
  <c r="BA26" i="1" l="1"/>
  <c r="BA24" i="1"/>
  <c r="BI23" i="1"/>
  <c r="BC24" i="1"/>
  <c r="BE24" i="1"/>
  <c r="BG24" i="1"/>
  <c r="BG23" i="1"/>
  <c r="BE23" i="1"/>
  <c r="BG26" i="1"/>
  <c r="BB23" i="1"/>
  <c r="DA17" i="1"/>
  <c r="CX20" i="1"/>
  <c r="CY17" i="1"/>
  <c r="AZ26" i="1"/>
  <c r="CZ20" i="1"/>
  <c r="AZ24" i="1"/>
  <c r="CZ18" i="1"/>
  <c r="DE18" i="1"/>
  <c r="BJ24" i="1"/>
  <c r="BH26" i="1"/>
  <c r="DD20" i="1"/>
  <c r="DE20" i="1"/>
  <c r="CW18" i="1"/>
  <c r="CW24" i="1"/>
  <c r="DB17" i="1"/>
  <c r="BD23" i="1"/>
  <c r="DC17" i="1"/>
  <c r="BF23" i="1"/>
  <c r="CY18" i="1"/>
  <c r="CZ17" i="1"/>
  <c r="AZ23" i="1"/>
  <c r="AZ25" i="1"/>
  <c r="CZ19" i="1"/>
  <c r="BA23" i="1"/>
  <c r="DA18" i="1"/>
  <c r="BB24" i="1"/>
  <c r="BB25" i="1"/>
  <c r="DA19" i="1"/>
  <c r="BH24" i="1"/>
  <c r="DD18" i="1"/>
  <c r="BI25" i="1"/>
  <c r="CW17" i="1"/>
  <c r="CW23" i="1"/>
  <c r="BC25" i="1"/>
  <c r="CW25" i="1"/>
  <c r="CW19" i="1"/>
  <c r="CY19" i="1"/>
  <c r="CX19" i="1"/>
  <c r="BD26" i="1"/>
  <c r="DB20" i="1"/>
  <c r="BE25" i="1"/>
  <c r="DC20" i="1"/>
  <c r="BF26" i="1"/>
  <c r="BA25" i="1"/>
  <c r="BC26" i="1"/>
  <c r="BD25" i="1"/>
  <c r="DB19" i="1"/>
  <c r="BG25" i="1"/>
  <c r="BI26" i="1"/>
  <c r="DE17" i="1"/>
  <c r="BH23" i="1"/>
  <c r="DD17" i="1"/>
  <c r="BI24" i="1"/>
  <c r="CY20" i="1"/>
  <c r="BF24" i="1"/>
  <c r="DC18" i="1"/>
  <c r="BE26" i="1"/>
  <c r="CW26" i="1"/>
  <c r="CW20" i="1"/>
  <c r="DE19" i="1"/>
  <c r="BH25" i="1"/>
  <c r="DD19" i="1"/>
  <c r="CX17" i="1"/>
  <c r="CX18" i="1"/>
  <c r="BC23" i="1"/>
  <c r="BD24" i="1"/>
  <c r="DB18" i="1"/>
  <c r="DC19" i="1"/>
  <c r="BF25" i="1"/>
  <c r="DA20" i="1"/>
  <c r="BB26" i="1"/>
  <c r="DD26" i="1" l="1"/>
  <c r="DA24" i="1"/>
  <c r="CX23" i="1"/>
  <c r="DA26" i="1"/>
  <c r="DC24" i="1"/>
  <c r="CY26" i="1"/>
  <c r="DE23" i="1"/>
  <c r="DB24" i="1"/>
  <c r="DD24" i="1"/>
  <c r="CY23" i="1"/>
  <c r="CX24" i="1"/>
  <c r="CY24" i="1"/>
  <c r="DD23" i="1"/>
  <c r="DE25" i="1"/>
  <c r="CZ25" i="1"/>
  <c r="DB26" i="1"/>
  <c r="DC23" i="1"/>
  <c r="CZ26" i="1"/>
  <c r="CZ23" i="1"/>
  <c r="DC25" i="1"/>
  <c r="DD25" i="1"/>
  <c r="DA25" i="1"/>
  <c r="CZ24" i="1"/>
  <c r="DC26" i="1"/>
  <c r="CX25" i="1"/>
  <c r="DA23" i="1"/>
  <c r="CX26" i="1"/>
  <c r="DB25" i="1"/>
  <c r="DE26" i="1"/>
  <c r="CY25" i="1"/>
  <c r="CW526" i="1"/>
  <c r="DE24" i="1"/>
  <c r="DB23" i="1"/>
  <c r="BL24" i="1" l="1"/>
  <c r="DG24" i="1" s="1"/>
  <c r="CW621" i="1"/>
  <c r="CW675" i="1"/>
  <c r="BJ23" i="1" l="1"/>
  <c r="BJ26" i="1"/>
  <c r="BJ25" i="1"/>
  <c r="DF18" i="1"/>
  <c r="BK24" i="1"/>
  <c r="DF24" i="1" s="1"/>
  <c r="BL26" i="1" l="1"/>
  <c r="DG26" i="1" s="1"/>
  <c r="BL25" i="1"/>
  <c r="DG25" i="1" s="1"/>
  <c r="BL23" i="1"/>
  <c r="DG23" i="1" s="1"/>
  <c r="DF17" i="1" l="1"/>
  <c r="BK23" i="1"/>
  <c r="DF23" i="1" s="1"/>
  <c r="DF19" i="1"/>
  <c r="BK25" i="1"/>
  <c r="DF25" i="1" s="1"/>
  <c r="DF20" i="1"/>
  <c r="BK26" i="1"/>
  <c r="DF26" i="1" s="1"/>
  <c r="CW712" i="1" l="1"/>
  <c r="CW471" i="1"/>
  <c r="CW125" i="1"/>
  <c r="CW124" i="1"/>
  <c r="CW120" i="1"/>
  <c r="CW121" i="1"/>
  <c r="CW679" i="1"/>
  <c r="CW115" i="1" l="1"/>
  <c r="CW815" i="1"/>
  <c r="CW122" i="1"/>
  <c r="CW598" i="1" l="1"/>
  <c r="CW137" i="1"/>
  <c r="CW839" i="1" l="1"/>
  <c r="AS129" i="1"/>
  <c r="AS130" i="1"/>
  <c r="AS131" i="1"/>
  <c r="CW537" i="1"/>
  <c r="CW680" i="1"/>
  <c r="P20" i="16"/>
  <c r="P22" i="16" s="1"/>
  <c r="P52" i="16" s="1"/>
  <c r="P54" i="16" s="1"/>
  <c r="CW210" i="1"/>
  <c r="CW266" i="1"/>
  <c r="CW267" i="1" s="1"/>
  <c r="AS55" i="1"/>
  <c r="AS71" i="1"/>
  <c r="AS58" i="1"/>
  <c r="CW412" i="1"/>
  <c r="CW424" i="1" s="1"/>
  <c r="CW459" i="1" s="1"/>
  <c r="CW488" i="1" s="1"/>
  <c r="AS74" i="1"/>
  <c r="CW502" i="1"/>
  <c r="CW398" i="1"/>
  <c r="AS13" i="31" s="1"/>
  <c r="AS61" i="1"/>
  <c r="CW87" i="1" l="1"/>
  <c r="AS784" i="1"/>
  <c r="AS786" i="1"/>
  <c r="AS77" i="1"/>
  <c r="AS76" i="1"/>
  <c r="AS72" i="1"/>
  <c r="AS79" i="1"/>
  <c r="AS73" i="1"/>
  <c r="AS75" i="1"/>
  <c r="CW209" i="1"/>
  <c r="CW64" i="1" s="1"/>
  <c r="AS78" i="1"/>
  <c r="AS64" i="1"/>
  <c r="CW433" i="1"/>
  <c r="AZ69" i="1" l="1"/>
  <c r="BA73" i="1" l="1"/>
  <c r="CW440" i="1"/>
  <c r="CW506" i="1"/>
  <c r="CW509" i="1" s="1"/>
  <c r="CW131" i="1" s="1"/>
  <c r="CW500" i="1"/>
  <c r="CW704" i="1"/>
  <c r="CW136" i="1"/>
  <c r="CW673" i="1"/>
  <c r="CW521" i="1"/>
  <c r="CW671" i="1"/>
  <c r="CW172" i="1"/>
  <c r="CW60" i="1" s="1"/>
  <c r="CW49" i="1" s="1"/>
  <c r="AS136" i="1"/>
  <c r="AS838" i="1" s="1"/>
  <c r="CW441" i="1"/>
  <c r="AS26" i="31" s="1"/>
  <c r="AS29" i="31" s="1"/>
  <c r="AS4" i="1"/>
  <c r="CW252" i="1"/>
  <c r="CW309" i="1" s="1"/>
  <c r="CW497" i="1"/>
  <c r="AS40" i="31" s="1"/>
  <c r="AS81" i="1"/>
  <c r="CW599" i="1"/>
  <c r="CW604" i="1" s="1"/>
  <c r="CW529" i="1"/>
  <c r="CW634" i="1"/>
  <c r="CW635" i="1" s="1"/>
  <c r="CW637" i="1" s="1"/>
  <c r="CW739" i="1" s="1"/>
  <c r="CW765" i="1" s="1"/>
  <c r="CW676" i="1"/>
  <c r="CW234" i="1"/>
  <c r="CW589" i="1"/>
  <c r="CW534" i="1"/>
  <c r="CW538" i="1" s="1"/>
  <c r="AS63" i="31" s="1"/>
  <c r="AS98" i="1"/>
  <c r="AS99" i="1"/>
  <c r="CW358" i="1"/>
  <c r="CW543" i="1"/>
  <c r="CW674" i="1"/>
  <c r="CW238" i="1"/>
  <c r="AS113" i="1"/>
  <c r="AS112" i="1"/>
  <c r="CW591" i="1"/>
  <c r="CW243" i="1"/>
  <c r="CW615" i="1"/>
  <c r="CW567" i="1"/>
  <c r="CW406" i="1"/>
  <c r="AS15" i="31" s="1"/>
  <c r="CW157" i="1"/>
  <c r="CW628" i="1"/>
  <c r="CW354" i="1"/>
  <c r="CW180" i="1"/>
  <c r="CW244" i="1"/>
  <c r="CW353" i="1"/>
  <c r="CW334" i="1"/>
  <c r="CW381" i="1"/>
  <c r="AS8" i="31" s="1"/>
  <c r="AS9" i="31" s="1"/>
  <c r="AS117" i="1"/>
  <c r="AS118" i="1"/>
  <c r="CW630" i="1"/>
  <c r="CW339" i="1"/>
  <c r="CW228" i="1"/>
  <c r="CW525" i="1"/>
  <c r="AS51" i="31" s="1"/>
  <c r="CW165" i="1"/>
  <c r="CW443" i="1"/>
  <c r="AS28" i="31" s="1"/>
  <c r="AS30" i="31" s="1"/>
  <c r="CW248" i="1"/>
  <c r="CW305" i="1" s="1"/>
  <c r="CW192" i="1"/>
  <c r="CW405" i="1"/>
  <c r="AS14" i="31" s="1"/>
  <c r="CW665" i="1"/>
  <c r="CW357" i="1"/>
  <c r="CW614" i="1"/>
  <c r="CW662" i="1"/>
  <c r="CW359" i="1"/>
  <c r="CW672" i="1"/>
  <c r="CW259" i="1"/>
  <c r="CW478" i="1"/>
  <c r="CW480" i="1" s="1"/>
  <c r="CW164" i="1"/>
  <c r="CW56" i="1" s="1"/>
  <c r="CW46" i="1" s="1"/>
  <c r="CW380" i="1"/>
  <c r="AS7" i="31" s="1"/>
  <c r="CW352" i="1"/>
  <c r="CW387" i="1"/>
  <c r="CW389" i="1" s="1"/>
  <c r="CW350" i="1"/>
  <c r="CW664" i="1"/>
  <c r="CW377" i="1"/>
  <c r="CW379" i="1"/>
  <c r="AS6" i="31" s="1"/>
  <c r="CW223" i="1"/>
  <c r="CW170" i="1"/>
  <c r="CW59" i="1" s="1"/>
  <c r="CW48" i="1" s="1"/>
  <c r="CW167" i="1"/>
  <c r="CW204" i="1"/>
  <c r="AS61" i="31" s="1"/>
  <c r="CW364" i="1"/>
  <c r="CW467" i="1"/>
  <c r="CW242" i="1"/>
  <c r="CW198" i="1"/>
  <c r="CW396" i="1"/>
  <c r="CW666" i="1"/>
  <c r="CW216" i="1"/>
  <c r="CW408" i="1"/>
  <c r="AS17" i="31" s="1"/>
  <c r="CW696" i="1"/>
  <c r="CW472" i="1"/>
  <c r="AS35" i="31" s="1"/>
  <c r="CW222" i="1"/>
  <c r="CW669" i="1"/>
  <c r="CW215" i="1"/>
  <c r="CW187" i="1"/>
  <c r="CW668" i="1"/>
  <c r="CW253" i="1"/>
  <c r="CW310" i="1" s="1"/>
  <c r="CW315" i="1"/>
  <c r="CW625" i="1"/>
  <c r="CW713" i="1"/>
  <c r="CW232" i="1"/>
  <c r="CW249" i="1"/>
  <c r="CW349" i="1"/>
  <c r="CW159" i="1"/>
  <c r="CW705" i="1"/>
  <c r="CW186" i="1"/>
  <c r="CW449" i="1"/>
  <c r="AS141" i="1"/>
  <c r="AS143" i="1" s="1"/>
  <c r="AS744" i="1" s="1"/>
  <c r="CW744" i="1" s="1"/>
  <c r="CW376" i="1"/>
  <c r="CW171" i="1"/>
  <c r="CW178" i="1"/>
  <c r="AS59" i="31" s="1"/>
  <c r="AS60" i="31" s="1"/>
  <c r="CW260" i="1"/>
  <c r="CW344" i="1"/>
  <c r="CW395" i="1"/>
  <c r="CW397" i="1"/>
  <c r="AS12" i="31" s="1"/>
  <c r="CW237" i="1"/>
  <c r="AS68" i="31" s="1"/>
  <c r="AS69" i="31" s="1"/>
  <c r="CW375" i="1"/>
  <c r="CW254" i="1"/>
  <c r="CW218" i="1"/>
  <c r="CW247" i="1"/>
  <c r="CW304" i="1" s="1"/>
  <c r="CW166" i="1"/>
  <c r="CW57" i="1" s="1"/>
  <c r="CW47" i="1" s="1"/>
  <c r="CW193" i="1"/>
  <c r="CW158" i="1"/>
  <c r="CW703" i="1"/>
  <c r="CW432" i="1"/>
  <c r="CW331" i="1"/>
  <c r="CW179" i="1"/>
  <c r="CW711" i="1"/>
  <c r="CW611" i="1"/>
  <c r="CW332" i="1"/>
  <c r="CW199" i="1"/>
  <c r="CW610" i="1"/>
  <c r="CW414" i="1"/>
  <c r="CW217" i="1"/>
  <c r="CW578" i="1"/>
  <c r="CW585" i="1" s="1"/>
  <c r="CW205" i="1"/>
  <c r="CW176" i="1"/>
  <c r="CW660" i="1"/>
  <c r="N13" i="16" s="1"/>
  <c r="CW708" i="1"/>
  <c r="CW173" i="1"/>
  <c r="AS87" i="1"/>
  <c r="CW468" i="1"/>
  <c r="CW333" i="1"/>
  <c r="CW710" i="1"/>
  <c r="CW177" i="1"/>
  <c r="CW469" i="1"/>
  <c r="CW330" i="1"/>
  <c r="CW667" i="1"/>
  <c r="AS116" i="1"/>
  <c r="CW663" i="1"/>
  <c r="AS89" i="1"/>
  <c r="CW374" i="1"/>
  <c r="CW670" i="1"/>
  <c r="CW612" i="1"/>
  <c r="CW257" i="1"/>
  <c r="CW314" i="1" s="1"/>
  <c r="CW233" i="1"/>
  <c r="CW227" i="1"/>
  <c r="CW203" i="1"/>
  <c r="AS114" i="1"/>
  <c r="CW160" i="1"/>
  <c r="CW181" i="1"/>
  <c r="CW161" i="1"/>
  <c r="AS54" i="1"/>
  <c r="AS45" i="1" s="1"/>
  <c r="CW202" i="1"/>
  <c r="AS85" i="1"/>
  <c r="AS86" i="1"/>
  <c r="AS60" i="1"/>
  <c r="AS49" i="1" s="1"/>
  <c r="CW369" i="1"/>
  <c r="CW709" i="1"/>
  <c r="AS84" i="1"/>
  <c r="CW470" i="1"/>
  <c r="AS57" i="1"/>
  <c r="AS47" i="1" s="1"/>
  <c r="AS52" i="1"/>
  <c r="AS43" i="1" s="1"/>
  <c r="AS53" i="1"/>
  <c r="AS44" i="1" s="1"/>
  <c r="AS56" i="1"/>
  <c r="AS46" i="1" s="1"/>
  <c r="AS93" i="1"/>
  <c r="AS59" i="1"/>
  <c r="AS48" i="1" s="1"/>
  <c r="AS11" i="31" l="1"/>
  <c r="AS36" i="31"/>
  <c r="CW430" i="1"/>
  <c r="CW416" i="1"/>
  <c r="CW451" i="1"/>
  <c r="CW327" i="1"/>
  <c r="N23" i="16"/>
  <c r="N34" i="16" s="1"/>
  <c r="CW495" i="1"/>
  <c r="N14" i="16"/>
  <c r="CW652" i="1"/>
  <c r="CW54" i="1"/>
  <c r="CW45" i="1" s="1"/>
  <c r="CW301" i="1"/>
  <c r="CW74" i="1" s="1"/>
  <c r="AS841" i="1"/>
  <c r="AS139" i="1"/>
  <c r="CW113" i="1"/>
  <c r="CW311" i="1"/>
  <c r="CW78" i="1" s="1"/>
  <c r="CW419" i="1"/>
  <c r="CW809" i="1"/>
  <c r="CW52" i="1"/>
  <c r="CW43" i="1" s="1"/>
  <c r="CW316" i="1"/>
  <c r="CW53" i="1"/>
  <c r="CW44" i="1" s="1"/>
  <c r="CW109" i="1"/>
  <c r="AZ76" i="1"/>
  <c r="CW61" i="1"/>
  <c r="CW838" i="1"/>
  <c r="CW317" i="1"/>
  <c r="CW79" i="1" s="1"/>
  <c r="CW698" i="1"/>
  <c r="CW702" i="1"/>
  <c r="CW89" i="1"/>
  <c r="CW286" i="1"/>
  <c r="CW77" i="1" s="1"/>
  <c r="CW281" i="1"/>
  <c r="CW75" i="1" s="1"/>
  <c r="CW55" i="1"/>
  <c r="CW58" i="1"/>
  <c r="CW275" i="1"/>
  <c r="CW70" i="1" s="1"/>
  <c r="CW393" i="1"/>
  <c r="CW296" i="1"/>
  <c r="CW212" i="1"/>
  <c r="CW112" i="1"/>
  <c r="AZ75" i="1"/>
  <c r="CW111" i="1"/>
  <c r="CW110" i="1"/>
  <c r="CW145" i="1"/>
  <c r="CW822" i="1"/>
  <c r="CW273" i="1"/>
  <c r="CW68" i="1" s="1"/>
  <c r="CW272" i="1"/>
  <c r="CW67" i="1" s="1"/>
  <c r="CW816" i="1"/>
  <c r="CW795" i="1"/>
  <c r="CW86" i="1"/>
  <c r="CW274" i="1"/>
  <c r="CW69" i="1" s="1"/>
  <c r="CW146" i="1"/>
  <c r="CW84" i="1"/>
  <c r="CW114" i="1"/>
  <c r="CW306" i="1"/>
  <c r="CW76" i="1" s="1"/>
  <c r="CW147" i="1"/>
  <c r="CW613" i="1"/>
  <c r="CW118" i="1"/>
  <c r="CW117" i="1"/>
  <c r="CW811" i="1"/>
  <c r="CW810" i="1"/>
  <c r="CW465" i="1"/>
  <c r="CW262" i="1"/>
  <c r="CW261" i="1" s="1"/>
  <c r="CW808" i="1"/>
  <c r="CW299" i="1"/>
  <c r="CW72" i="1" s="1"/>
  <c r="CW85" i="1"/>
  <c r="CW154" i="1"/>
  <c r="CW825" i="1"/>
  <c r="CW99" i="1"/>
  <c r="CW93" i="1"/>
  <c r="CW812" i="1"/>
  <c r="CW819" i="1"/>
  <c r="CW813" i="1"/>
  <c r="CW729" i="1"/>
  <c r="CW728" i="1"/>
  <c r="CW782" i="1"/>
  <c r="CW276" i="1"/>
  <c r="CW515" i="1"/>
  <c r="AS44" i="31" s="1"/>
  <c r="AS47" i="31" s="1"/>
  <c r="AS48" i="31" s="1"/>
  <c r="CW791" i="1"/>
  <c r="CW300" i="1"/>
  <c r="CW73" i="1" s="1"/>
  <c r="CW98" i="1"/>
  <c r="CW391" i="1"/>
  <c r="CW141" i="1"/>
  <c r="CW143" i="1" s="1"/>
  <c r="CW531" i="1"/>
  <c r="CX533" i="1"/>
  <c r="CW541" i="1"/>
  <c r="CW742" i="1"/>
  <c r="CW743" i="1"/>
  <c r="CW738" i="1"/>
  <c r="CW699" i="1"/>
  <c r="CW129" i="1"/>
  <c r="CW130" i="1"/>
  <c r="AZ79" i="1"/>
  <c r="BA79" i="1" s="1"/>
  <c r="AZ72" i="1"/>
  <c r="AZ78" i="1"/>
  <c r="N32" i="16" l="1"/>
  <c r="N33" i="16" s="1"/>
  <c r="AS62" i="31"/>
  <c r="AS50" i="31"/>
  <c r="N25" i="16"/>
  <c r="N59" i="16"/>
  <c r="CW792" i="1"/>
  <c r="CW793" i="1"/>
  <c r="AS71" i="31" s="1"/>
  <c r="CW454" i="1"/>
  <c r="CW426" i="1"/>
  <c r="AS19" i="31" s="1"/>
  <c r="AS20" i="31" s="1"/>
  <c r="CW794" i="1"/>
  <c r="BA76" i="1"/>
  <c r="BA75" i="1"/>
  <c r="BA69" i="1"/>
  <c r="CW768" i="1"/>
  <c r="CW757" i="1"/>
  <c r="CW139" i="1"/>
  <c r="CW817" i="1"/>
  <c r="CW616" i="1"/>
  <c r="CW821" i="1"/>
  <c r="CW824" i="1"/>
  <c r="CW820" i="1"/>
  <c r="CW827" i="1"/>
  <c r="CW826" i="1"/>
  <c r="CW116" i="1"/>
  <c r="CW818" i="1"/>
  <c r="CW814" i="1"/>
  <c r="CW823" i="1"/>
  <c r="CW291" i="1"/>
  <c r="CW294" i="1" s="1"/>
  <c r="CW71" i="1"/>
  <c r="CW550" i="1"/>
  <c r="CW564" i="1" s="1"/>
  <c r="CW568" i="1" s="1"/>
  <c r="CW587" i="1" s="1"/>
  <c r="CW787" i="1"/>
  <c r="CW730" i="1"/>
  <c r="AS54" i="31" s="1"/>
  <c r="CW620" i="1"/>
  <c r="CW624" i="1" s="1"/>
  <c r="CW629" i="1" s="1"/>
  <c r="CW631" i="1" s="1"/>
  <c r="CW783" i="1"/>
  <c r="AS73" i="31" s="1"/>
  <c r="CW788" i="1"/>
  <c r="AS72" i="31" s="1"/>
  <c r="CW732" i="1"/>
  <c r="AS55" i="31" s="1"/>
  <c r="CW741" i="1"/>
  <c r="CW767" i="1" s="1"/>
  <c r="CW785" i="1"/>
  <c r="CW513" i="1"/>
  <c r="N18" i="16" s="1"/>
  <c r="CW740" i="1"/>
  <c r="CW766" i="1" s="1"/>
  <c r="CW789" i="1"/>
  <c r="CW764" i="1"/>
  <c r="CW318" i="1"/>
  <c r="CW769" i="1"/>
  <c r="AZ77" i="1"/>
  <c r="BA72" i="1"/>
  <c r="CW758" i="1"/>
  <c r="CW319" i="1"/>
  <c r="AS74" i="31" l="1"/>
  <c r="N37" i="16"/>
  <c r="CW428" i="1"/>
  <c r="N16" i="16"/>
  <c r="N21" i="16"/>
  <c r="N19" i="16"/>
  <c r="N30" i="16"/>
  <c r="N26" i="16"/>
  <c r="N27" i="16" s="1"/>
  <c r="CW483" i="1"/>
  <c r="CW461" i="1"/>
  <c r="CW734" i="1"/>
  <c r="BB76" i="1"/>
  <c r="BB75" i="1"/>
  <c r="BB69" i="1"/>
  <c r="CW841" i="1"/>
  <c r="CW731" i="1"/>
  <c r="CW759" i="1"/>
  <c r="CW760" i="1"/>
  <c r="CW733" i="1"/>
  <c r="BB72" i="1"/>
  <c r="CW322" i="1"/>
  <c r="CW80" i="1"/>
  <c r="CW321" i="1"/>
  <c r="BA77" i="1"/>
  <c r="CW295" i="1"/>
  <c r="BB79" i="1"/>
  <c r="BC79" i="1" s="1"/>
  <c r="CW840" i="1"/>
  <c r="BB73" i="1"/>
  <c r="BC73" i="1" s="1"/>
  <c r="BA78" i="1"/>
  <c r="CW836" i="1"/>
  <c r="CW590" i="1"/>
  <c r="CW607" i="1"/>
  <c r="CW639" i="1"/>
  <c r="CW618" i="1"/>
  <c r="AS32" i="31" l="1"/>
  <c r="AS33" i="31" s="1"/>
  <c r="CW463" i="1"/>
  <c r="N36" i="16"/>
  <c r="N38" i="16" s="1"/>
  <c r="CW761" i="1"/>
  <c r="CW490" i="1"/>
  <c r="AS38" i="31" s="1"/>
  <c r="AS41" i="31" s="1"/>
  <c r="BC76" i="1"/>
  <c r="CW323" i="1"/>
  <c r="AS70" i="31" s="1"/>
  <c r="BC75" i="1"/>
  <c r="BC69" i="1"/>
  <c r="CW837" i="1"/>
  <c r="AS78" i="31" s="1"/>
  <c r="CW834" i="1"/>
  <c r="AS77" i="31" s="1"/>
  <c r="CW593" i="1"/>
  <c r="CW835" i="1" s="1"/>
  <c r="CW595" i="1"/>
  <c r="CW548" i="1"/>
  <c r="CW150" i="1"/>
  <c r="BB78" i="1"/>
  <c r="BB77" i="1"/>
  <c r="BC72" i="1"/>
  <c r="CW269" i="1" l="1"/>
  <c r="CW493" i="1"/>
  <c r="CW510" i="1" s="1"/>
  <c r="CW81" i="1"/>
  <c r="CW325" i="1"/>
  <c r="BD76" i="1"/>
  <c r="BE76" i="1" s="1"/>
  <c r="BD75" i="1"/>
  <c r="BE75" i="1" s="1"/>
  <c r="BD69" i="1"/>
  <c r="BE69" i="1" s="1"/>
  <c r="BC77" i="1"/>
  <c r="CW784" i="1"/>
  <c r="CW786" i="1"/>
  <c r="BD72" i="1"/>
  <c r="BE72" i="1" s="1"/>
  <c r="BC78" i="1"/>
  <c r="BF75" i="1" l="1"/>
  <c r="BG75" i="1" s="1"/>
  <c r="BH75" i="1" s="1"/>
  <c r="BI75" i="1" s="1"/>
  <c r="BJ75" i="1" s="1"/>
  <c r="BK75" i="1" s="1"/>
  <c r="BL75" i="1" s="1"/>
  <c r="BM75" i="1" s="1"/>
  <c r="BN75" i="1" s="1"/>
  <c r="BF76" i="1"/>
  <c r="BG76" i="1" s="1"/>
  <c r="BH76" i="1" s="1"/>
  <c r="BI76" i="1" s="1"/>
  <c r="BJ76" i="1" s="1"/>
  <c r="BK76" i="1" s="1"/>
  <c r="BL76" i="1" s="1"/>
  <c r="BM76" i="1" s="1"/>
  <c r="BN76" i="1" s="1"/>
  <c r="BF72" i="1"/>
  <c r="BG72" i="1" s="1"/>
  <c r="BH72" i="1" s="1"/>
  <c r="BI72" i="1" s="1"/>
  <c r="BJ72" i="1" s="1"/>
  <c r="BK72" i="1" s="1"/>
  <c r="BL72" i="1" s="1"/>
  <c r="BM72" i="1" s="1"/>
  <c r="BN72" i="1" s="1"/>
  <c r="BF69" i="1"/>
  <c r="BG69" i="1" s="1"/>
  <c r="BH69" i="1" s="1"/>
  <c r="BI69" i="1" s="1"/>
  <c r="BJ69" i="1" s="1"/>
  <c r="BK69" i="1" s="1"/>
  <c r="BL69" i="1" s="1"/>
  <c r="BM69" i="1" s="1"/>
  <c r="BN69" i="1" s="1"/>
  <c r="BD73" i="1"/>
  <c r="BE73" i="1" s="1"/>
  <c r="BD78" i="1"/>
  <c r="BE78" i="1" s="1"/>
  <c r="BD79" i="1"/>
  <c r="BE79" i="1" s="1"/>
  <c r="BD77" i="1"/>
  <c r="BE77" i="1" s="1"/>
  <c r="BO75" i="1" l="1"/>
  <c r="BF73" i="1"/>
  <c r="BG73" i="1" s="1"/>
  <c r="BH73" i="1" s="1"/>
  <c r="BI73" i="1" s="1"/>
  <c r="BJ73" i="1" s="1"/>
  <c r="BK73" i="1" s="1"/>
  <c r="BL73" i="1" s="1"/>
  <c r="BM73" i="1" s="1"/>
  <c r="BN73" i="1" s="1"/>
  <c r="BF77" i="1"/>
  <c r="BG77" i="1" s="1"/>
  <c r="BH77" i="1" s="1"/>
  <c r="BI77" i="1" s="1"/>
  <c r="BJ77" i="1" s="1"/>
  <c r="BK77" i="1" s="1"/>
  <c r="BL77" i="1" s="1"/>
  <c r="BM77" i="1" s="1"/>
  <c r="BN77" i="1" s="1"/>
  <c r="BO76" i="1"/>
  <c r="BF79" i="1"/>
  <c r="BG79" i="1" s="1"/>
  <c r="BH79" i="1" s="1"/>
  <c r="BI79" i="1" s="1"/>
  <c r="BJ79" i="1" s="1"/>
  <c r="BK79" i="1" s="1"/>
  <c r="BL79" i="1" s="1"/>
  <c r="BM79" i="1" s="1"/>
  <c r="BN79" i="1" s="1"/>
  <c r="BF78" i="1"/>
  <c r="BG78" i="1" s="1"/>
  <c r="BH78" i="1" s="1"/>
  <c r="BI78" i="1" s="1"/>
  <c r="BJ78" i="1" s="1"/>
  <c r="BK78" i="1" s="1"/>
  <c r="BL78" i="1" s="1"/>
  <c r="BM78" i="1" s="1"/>
  <c r="BN78" i="1" s="1"/>
  <c r="BO69" i="1"/>
  <c r="BO72" i="1"/>
  <c r="BP72" i="1" l="1"/>
  <c r="BP76" i="1"/>
  <c r="BP75" i="1"/>
  <c r="BP69" i="1"/>
  <c r="BO73" i="1"/>
  <c r="BO77" i="1"/>
  <c r="BO78" i="1"/>
  <c r="BO79" i="1"/>
  <c r="BP73" i="1" l="1"/>
  <c r="BP77" i="1"/>
  <c r="BP79" i="1"/>
  <c r="BQ72" i="1"/>
  <c r="BQ75" i="1"/>
  <c r="BQ76" i="1"/>
  <c r="BQ69" i="1"/>
  <c r="BP78" i="1"/>
  <c r="BQ79" i="1" l="1"/>
  <c r="BQ78" i="1"/>
  <c r="BQ77" i="1"/>
  <c r="BQ73" i="1"/>
  <c r="CX725" i="1" l="1"/>
  <c r="AT130" i="1" l="1"/>
  <c r="AT98" i="1"/>
  <c r="AT99" i="1"/>
  <c r="AT117" i="1"/>
  <c r="AT118" i="1"/>
  <c r="AT112" i="1"/>
  <c r="AT113" i="1"/>
  <c r="AT129" i="1"/>
  <c r="AT131" i="1"/>
  <c r="AT81" i="1"/>
  <c r="AT55" i="1"/>
  <c r="AT111" i="1"/>
  <c r="AT4" i="1"/>
  <c r="AT61" i="1"/>
  <c r="AT58" i="1"/>
  <c r="AT136" i="1"/>
  <c r="AT838" i="1" s="1"/>
  <c r="AT71" i="1"/>
  <c r="AT57" i="1"/>
  <c r="AT47" i="1" s="1"/>
  <c r="AT110" i="1"/>
  <c r="AT60" i="1"/>
  <c r="AT49" i="1" s="1"/>
  <c r="AT53" i="1"/>
  <c r="AT44" i="1" s="1"/>
  <c r="AT54" i="1"/>
  <c r="AT45" i="1" s="1"/>
  <c r="AT59" i="1"/>
  <c r="AT48" i="1" s="1"/>
  <c r="AT86" i="1"/>
  <c r="AT114" i="1"/>
  <c r="AT89" i="1"/>
  <c r="AT85" i="1"/>
  <c r="CX633" i="1"/>
  <c r="AT841" i="1" l="1"/>
  <c r="CX636" i="1"/>
  <c r="CX535" i="1"/>
  <c r="AT784" i="1"/>
  <c r="AT786" i="1"/>
  <c r="CX139" i="1" l="1"/>
  <c r="CX537" i="1" l="1"/>
  <c r="CX634" i="1" l="1"/>
  <c r="CX635" i="1" s="1"/>
  <c r="AT116" i="1"/>
  <c r="AT87" i="1"/>
  <c r="AT56" i="1"/>
  <c r="AT46" i="1" s="1"/>
  <c r="AT93" i="1"/>
  <c r="AT64" i="1"/>
  <c r="AT141" i="1"/>
  <c r="AT143" i="1" s="1"/>
  <c r="AT744" i="1" s="1"/>
  <c r="CX675" i="1" l="1"/>
  <c r="CX543" i="1"/>
  <c r="CX526" i="1"/>
  <c r="CX637" i="1"/>
  <c r="CX652" i="1" l="1"/>
  <c r="CX739" i="1"/>
  <c r="CX765" i="1" s="1"/>
  <c r="CX141" i="1"/>
  <c r="CX143" i="1" s="1"/>
  <c r="CX621" i="1"/>
  <c r="CX680" i="1"/>
  <c r="O59" i="16" l="1"/>
  <c r="CX738" i="1"/>
  <c r="AT84" i="1"/>
  <c r="AT52" i="1"/>
  <c r="AT43" i="1" s="1"/>
  <c r="AT109" i="1"/>
  <c r="CX764" i="1" l="1"/>
  <c r="BC139" i="1" l="1"/>
  <c r="BD139" i="1" l="1"/>
  <c r="BE139" i="1" l="1"/>
  <c r="BF139" i="1" l="1"/>
  <c r="BG139" i="1" l="1"/>
  <c r="BH139" i="1" l="1"/>
  <c r="BI139" i="1" l="1"/>
  <c r="AA59" i="16" l="1"/>
  <c r="CX434" i="1" l="1"/>
  <c r="CX106" i="1"/>
  <c r="AU97" i="1"/>
  <c r="CX103" i="1"/>
  <c r="AU96" i="1"/>
  <c r="CX102" i="1"/>
  <c r="CX96" i="1" s="1"/>
  <c r="CX790" i="1" l="1"/>
  <c r="CX97" i="1"/>
  <c r="CX572" i="1"/>
  <c r="CY101" i="1"/>
  <c r="CX627" i="1" l="1"/>
  <c r="CX471" i="1" l="1"/>
  <c r="CX125" i="1"/>
  <c r="CX712" i="1"/>
  <c r="CX124" i="1"/>
  <c r="CX121" i="1"/>
  <c r="CX120" i="1"/>
  <c r="CX679" i="1"/>
  <c r="CX122" i="1" l="1"/>
  <c r="CX815" i="1"/>
  <c r="CX115" i="1"/>
  <c r="CX598" i="1" l="1"/>
  <c r="CX578" i="1"/>
  <c r="CX585" i="1" s="1"/>
  <c r="CX709" i="1"/>
  <c r="CX210" i="1"/>
  <c r="CX166" i="1"/>
  <c r="CX57" i="1" s="1"/>
  <c r="CX47" i="1" s="1"/>
  <c r="CX364" i="1"/>
  <c r="CX331" i="1"/>
  <c r="CX350" i="1"/>
  <c r="CX412" i="1"/>
  <c r="CX424" i="1" s="1"/>
  <c r="CX459" i="1" s="1"/>
  <c r="CX488" i="1" s="1"/>
  <c r="CX253" i="1"/>
  <c r="CX310" i="1" s="1"/>
  <c r="CX668" i="1"/>
  <c r="CX198" i="1"/>
  <c r="CX357" i="1"/>
  <c r="CX252" i="1"/>
  <c r="CX309" i="1" s="1"/>
  <c r="CX179" i="1"/>
  <c r="CX203" i="1"/>
  <c r="CX315" i="1"/>
  <c r="CX615" i="1"/>
  <c r="CX172" i="1"/>
  <c r="CX60" i="1" s="1"/>
  <c r="CX49" i="1" s="1"/>
  <c r="CX259" i="1"/>
  <c r="CX369" i="1"/>
  <c r="CX359" i="1"/>
  <c r="CX177" i="1"/>
  <c r="CX223" i="1"/>
  <c r="CX170" i="1"/>
  <c r="CX59" i="1" s="1"/>
  <c r="CX48" i="1" s="1"/>
  <c r="CX216" i="1"/>
  <c r="CX171" i="1"/>
  <c r="CX432" i="1"/>
  <c r="AU4" i="1"/>
  <c r="CX358" i="1"/>
  <c r="CX164" i="1"/>
  <c r="CX56" i="1" s="1"/>
  <c r="CX46" i="1" s="1"/>
  <c r="CX625" i="1"/>
  <c r="CX202" i="1"/>
  <c r="CX192" i="1"/>
  <c r="CX670" i="1"/>
  <c r="AU55" i="1"/>
  <c r="CX180" i="1"/>
  <c r="AU131" i="1"/>
  <c r="CX186" i="1"/>
  <c r="CX158" i="1"/>
  <c r="CX232" i="1"/>
  <c r="CX227" i="1"/>
  <c r="CX160" i="1"/>
  <c r="AU61" i="1"/>
  <c r="CX209" i="1"/>
  <c r="CX64" i="1" s="1"/>
  <c r="CX344" i="1"/>
  <c r="CX708" i="1"/>
  <c r="CX254" i="1"/>
  <c r="CX228" i="1"/>
  <c r="CX703" i="1"/>
  <c r="CX159" i="1"/>
  <c r="CX266" i="1"/>
  <c r="CX267" i="1" s="1"/>
  <c r="CX176" i="1"/>
  <c r="AU58" i="1"/>
  <c r="CX199" i="1"/>
  <c r="CX242" i="1"/>
  <c r="CX248" i="1"/>
  <c r="CX305" i="1" s="1"/>
  <c r="CX249" i="1"/>
  <c r="CX222" i="1"/>
  <c r="CX468" i="1"/>
  <c r="CX502" i="1"/>
  <c r="CX667" i="1"/>
  <c r="CX333" i="1"/>
  <c r="CX339" i="1"/>
  <c r="CX664" i="1"/>
  <c r="CX612" i="1"/>
  <c r="CX233" i="1"/>
  <c r="CX672" i="1"/>
  <c r="CX665" i="1"/>
  <c r="CX467" i="1"/>
  <c r="CX217" i="1"/>
  <c r="CX406" i="1"/>
  <c r="AT15" i="31" s="1"/>
  <c r="CX205" i="1"/>
  <c r="CX470" i="1"/>
  <c r="CX157" i="1"/>
  <c r="CX243" i="1"/>
  <c r="CX173" i="1"/>
  <c r="CX165" i="1"/>
  <c r="CX257" i="1"/>
  <c r="CX314" i="1" s="1"/>
  <c r="CX398" i="1"/>
  <c r="AT13" i="31" s="1"/>
  <c r="CX244" i="1"/>
  <c r="CX663" i="1"/>
  <c r="CX218" i="1"/>
  <c r="CX713" i="1"/>
  <c r="CX353" i="1"/>
  <c r="CX330" i="1"/>
  <c r="CX614" i="1"/>
  <c r="CX611" i="1"/>
  <c r="CX161" i="1"/>
  <c r="CX405" i="1"/>
  <c r="AT14" i="31" s="1"/>
  <c r="CX478" i="1"/>
  <c r="CX480" i="1" s="1"/>
  <c r="CX705" i="1"/>
  <c r="CX187" i="1"/>
  <c r="AU81" i="1"/>
  <c r="CX167" i="1"/>
  <c r="CX711" i="1"/>
  <c r="CX193" i="1"/>
  <c r="CX669" i="1"/>
  <c r="CX237" i="1"/>
  <c r="AT68" i="31" s="1"/>
  <c r="CX215" i="1"/>
  <c r="CX666" i="1"/>
  <c r="AU57" i="1"/>
  <c r="AU47" i="1" s="1"/>
  <c r="CX234" i="1"/>
  <c r="CX349" i="1"/>
  <c r="CX662" i="1"/>
  <c r="CX181" i="1"/>
  <c r="CX247" i="1"/>
  <c r="CX304" i="1" s="1"/>
  <c r="CX178" i="1"/>
  <c r="AT59" i="31" s="1"/>
  <c r="CX397" i="1"/>
  <c r="AT12" i="31" s="1"/>
  <c r="CX610" i="1"/>
  <c r="CX204" i="1"/>
  <c r="AT61" i="31" s="1"/>
  <c r="CX374" i="1"/>
  <c r="CX332" i="1"/>
  <c r="CX469" i="1"/>
  <c r="CX238" i="1"/>
  <c r="CX696" i="1"/>
  <c r="CX396" i="1"/>
  <c r="CX352" i="1"/>
  <c r="CX698" i="1"/>
  <c r="AU60" i="1"/>
  <c r="AU49" i="1" s="1"/>
  <c r="CX414" i="1"/>
  <c r="CX472" i="1"/>
  <c r="AT35" i="31" s="1"/>
  <c r="AT36" i="31" s="1"/>
  <c r="CX379" i="1"/>
  <c r="AT6" i="31" s="1"/>
  <c r="AU53" i="1"/>
  <c r="AU44" i="1" s="1"/>
  <c r="CX521" i="1"/>
  <c r="AU129" i="1"/>
  <c r="AU130" i="1"/>
  <c r="CX630" i="1"/>
  <c r="CX529" i="1"/>
  <c r="CX704" i="1"/>
  <c r="CX500" i="1"/>
  <c r="CX591" i="1"/>
  <c r="CX137" i="1"/>
  <c r="AU54" i="1"/>
  <c r="AU45" i="1" s="1"/>
  <c r="AU59" i="1"/>
  <c r="AU48" i="1" s="1"/>
  <c r="CX395" i="1"/>
  <c r="CX628" i="1"/>
  <c r="CX599" i="1"/>
  <c r="CX604" i="1" s="1"/>
  <c r="CX506" i="1"/>
  <c r="CX509" i="1" s="1"/>
  <c r="CX557" i="1"/>
  <c r="CX562" i="1" s="1"/>
  <c r="CX589" i="1"/>
  <c r="CX702" i="1"/>
  <c r="CX710" i="1"/>
  <c r="CX674" i="1"/>
  <c r="CX567" i="1"/>
  <c r="CX744" i="1"/>
  <c r="CX443" i="1"/>
  <c r="CX441" i="1"/>
  <c r="AT26" i="31" s="1"/>
  <c r="AT29" i="31" s="1"/>
  <c r="CX676" i="1"/>
  <c r="CX525" i="1"/>
  <c r="AT51" i="31" s="1"/>
  <c r="CX260" i="1"/>
  <c r="CX334" i="1"/>
  <c r="CX377" i="1"/>
  <c r="AU64" i="1"/>
  <c r="CX376" i="1"/>
  <c r="CX375" i="1"/>
  <c r="CX673" i="1"/>
  <c r="CX497" i="1"/>
  <c r="AT40" i="31" s="1"/>
  <c r="CX449" i="1"/>
  <c r="CX440" i="1"/>
  <c r="AU98" i="1"/>
  <c r="AU99" i="1"/>
  <c r="CX387" i="1"/>
  <c r="CX389" i="1" s="1"/>
  <c r="AU85" i="1"/>
  <c r="CX136" i="1"/>
  <c r="CX380" i="1"/>
  <c r="AT7" i="31" s="1"/>
  <c r="AU86" i="1"/>
  <c r="CX408" i="1"/>
  <c r="AT17" i="31" s="1"/>
  <c r="CX671" i="1"/>
  <c r="AU89" i="1"/>
  <c r="AT11" i="31" l="1"/>
  <c r="AT28" i="31"/>
  <c r="AT30" i="31" s="1"/>
  <c r="AT69" i="31"/>
  <c r="AT60" i="31"/>
  <c r="CX416" i="1"/>
  <c r="CX393" i="1"/>
  <c r="CX451" i="1"/>
  <c r="CX495" i="1"/>
  <c r="CX93" i="1"/>
  <c r="CX316" i="1"/>
  <c r="CX55" i="1"/>
  <c r="CX838" i="1"/>
  <c r="CX54" i="1"/>
  <c r="CX45" i="1" s="1"/>
  <c r="CX145" i="1"/>
  <c r="CX300" i="1"/>
  <c r="CX73" i="1" s="1"/>
  <c r="CX281" i="1"/>
  <c r="CX75" i="1" s="1"/>
  <c r="CX109" i="1"/>
  <c r="CX274" i="1"/>
  <c r="CX69" i="1" s="1"/>
  <c r="CX85" i="1"/>
  <c r="CX84" i="1"/>
  <c r="CX286" i="1"/>
  <c r="CX77" i="1" s="1"/>
  <c r="CX317" i="1"/>
  <c r="CX79" i="1" s="1"/>
  <c r="CX276" i="1"/>
  <c r="CX71" i="1" s="1"/>
  <c r="CX146" i="1"/>
  <c r="CX311" i="1"/>
  <c r="CX78" i="1" s="1"/>
  <c r="CX86" i="1"/>
  <c r="CX810" i="1"/>
  <c r="CX114" i="1"/>
  <c r="CX272" i="1"/>
  <c r="CX67" i="1" s="1"/>
  <c r="CX275" i="1"/>
  <c r="CX70" i="1" s="1"/>
  <c r="CX273" i="1"/>
  <c r="CX68" i="1" s="1"/>
  <c r="CX782" i="1"/>
  <c r="CX729" i="1"/>
  <c r="CX728" i="1"/>
  <c r="CX130" i="1"/>
  <c r="CX791" i="1"/>
  <c r="CX98" i="1"/>
  <c r="CX430" i="1"/>
  <c r="CX839" i="1"/>
  <c r="CX131" i="1"/>
  <c r="CX699" i="1"/>
  <c r="CX212" i="1"/>
  <c r="CX262" i="1"/>
  <c r="AU786" i="1"/>
  <c r="AU784" i="1"/>
  <c r="CX795" i="1"/>
  <c r="CX465" i="1"/>
  <c r="CX811" i="1"/>
  <c r="CX117" i="1"/>
  <c r="CX111" i="1"/>
  <c r="CX118" i="1"/>
  <c r="CX58" i="1"/>
  <c r="CX613" i="1"/>
  <c r="AT62" i="31" s="1"/>
  <c r="CX89" i="1"/>
  <c r="CX113" i="1"/>
  <c r="CX808" i="1"/>
  <c r="CX809" i="1"/>
  <c r="CX112" i="1"/>
  <c r="CX813" i="1"/>
  <c r="CX812" i="1"/>
  <c r="CX822" i="1"/>
  <c r="CX154" i="1"/>
  <c r="CX825" i="1"/>
  <c r="CX819" i="1"/>
  <c r="CX816" i="1"/>
  <c r="CX87" i="1"/>
  <c r="CX52" i="1"/>
  <c r="CX43" i="1" s="1"/>
  <c r="CX110" i="1"/>
  <c r="CX301" i="1"/>
  <c r="CX74" i="1" s="1"/>
  <c r="CX61" i="1"/>
  <c r="CX53" i="1"/>
  <c r="CX44" i="1" s="1"/>
  <c r="CX299" i="1"/>
  <c r="CX72" i="1" s="1"/>
  <c r="CX306" i="1"/>
  <c r="CX76" i="1" s="1"/>
  <c r="CX660" i="1"/>
  <c r="O13" i="16" s="1"/>
  <c r="CX433" i="1"/>
  <c r="AU87" i="1"/>
  <c r="CX354" i="1"/>
  <c r="CX296" i="1" s="1"/>
  <c r="CX381" i="1"/>
  <c r="AT8" i="31" s="1"/>
  <c r="AT9" i="31" s="1"/>
  <c r="AU84" i="1"/>
  <c r="CX534" i="1"/>
  <c r="CX538" i="1" s="1"/>
  <c r="AT63" i="31" s="1"/>
  <c r="O32" i="16" l="1"/>
  <c r="O33" i="16" s="1"/>
  <c r="O23" i="16"/>
  <c r="O25" i="16" s="1"/>
  <c r="O14" i="16"/>
  <c r="CX291" i="1"/>
  <c r="CX294" i="1" s="1"/>
  <c r="CX295" i="1" s="1"/>
  <c r="CX327" i="1"/>
  <c r="CX391" i="1"/>
  <c r="CX419" i="1"/>
  <c r="CX129" i="1"/>
  <c r="CX99" i="1"/>
  <c r="CX515" i="1"/>
  <c r="AT44" i="31" s="1"/>
  <c r="AT47" i="31" s="1"/>
  <c r="CX743" i="1"/>
  <c r="CX742" i="1"/>
  <c r="CX541" i="1"/>
  <c r="CX531" i="1"/>
  <c r="CY533" i="1"/>
  <c r="CX758" i="1"/>
  <c r="CX261" i="1"/>
  <c r="CX319" i="1"/>
  <c r="CX824" i="1"/>
  <c r="CX820" i="1"/>
  <c r="CX826" i="1"/>
  <c r="CX817" i="1"/>
  <c r="CX814" i="1"/>
  <c r="CX818" i="1"/>
  <c r="CX827" i="1"/>
  <c r="CX823" i="1"/>
  <c r="CX616" i="1"/>
  <c r="CX116" i="1"/>
  <c r="CX821" i="1"/>
  <c r="CX147" i="1"/>
  <c r="CX757" i="1"/>
  <c r="AU93" i="1"/>
  <c r="AU56" i="1"/>
  <c r="AU46" i="1" s="1"/>
  <c r="AU52" i="1"/>
  <c r="AU43" i="1" s="1"/>
  <c r="AT48" i="31" l="1"/>
  <c r="AT50" i="31"/>
  <c r="O34" i="16"/>
  <c r="O37" i="16"/>
  <c r="CX793" i="1"/>
  <c r="AT71" i="31" s="1"/>
  <c r="CX769" i="1"/>
  <c r="CX426" i="1"/>
  <c r="AT19" i="31" s="1"/>
  <c r="AT20" i="31" s="1"/>
  <c r="CX794" i="1"/>
  <c r="CX454" i="1"/>
  <c r="CX792" i="1"/>
  <c r="CX550" i="1"/>
  <c r="CX564" i="1" s="1"/>
  <c r="CX568" i="1" s="1"/>
  <c r="CX587" i="1" s="1"/>
  <c r="CX318" i="1"/>
  <c r="CX768" i="1"/>
  <c r="CX740" i="1"/>
  <c r="CX766" i="1" s="1"/>
  <c r="CX785" i="1"/>
  <c r="CX787" i="1"/>
  <c r="CX741" i="1"/>
  <c r="CX767" i="1" s="1"/>
  <c r="CX730" i="1"/>
  <c r="AT54" i="31" s="1"/>
  <c r="CX783" i="1"/>
  <c r="AT73" i="31" s="1"/>
  <c r="AT74" i="31" s="1"/>
  <c r="CX513" i="1"/>
  <c r="CX732" i="1"/>
  <c r="AT55" i="31" s="1"/>
  <c r="CX789" i="1"/>
  <c r="CX788" i="1"/>
  <c r="AT72" i="31" s="1"/>
  <c r="CX620" i="1"/>
  <c r="CX624" i="1" s="1"/>
  <c r="CX629" i="1" s="1"/>
  <c r="CX631" i="1" s="1"/>
  <c r="CX428" i="1" l="1"/>
  <c r="O16" i="16"/>
  <c r="O18" i="16"/>
  <c r="O26" i="16" s="1"/>
  <c r="O27" i="16" s="1"/>
  <c r="CX461" i="1"/>
  <c r="CX734" i="1"/>
  <c r="CX483" i="1"/>
  <c r="CX80" i="1"/>
  <c r="CX322" i="1"/>
  <c r="CX321" i="1"/>
  <c r="CX731" i="1"/>
  <c r="CX759" i="1"/>
  <c r="CX840" i="1"/>
  <c r="CX639" i="1"/>
  <c r="CX618" i="1"/>
  <c r="CX607" i="1"/>
  <c r="CX590" i="1"/>
  <c r="CX836" i="1"/>
  <c r="CX733" i="1"/>
  <c r="CX760" i="1"/>
  <c r="CX841" i="1"/>
  <c r="AT32" i="31" l="1"/>
  <c r="CX463" i="1"/>
  <c r="O19" i="16"/>
  <c r="O21" i="16"/>
  <c r="O30" i="16"/>
  <c r="O36" i="16"/>
  <c r="O38" i="16" s="1"/>
  <c r="CX761" i="1"/>
  <c r="CX323" i="1"/>
  <c r="AT70" i="31" s="1"/>
  <c r="CX595" i="1"/>
  <c r="CX548" i="1"/>
  <c r="CX593" i="1"/>
  <c r="CX835" i="1" s="1"/>
  <c r="CX150" i="1"/>
  <c r="CX834" i="1"/>
  <c r="AT77" i="31" s="1"/>
  <c r="CX490" i="1"/>
  <c r="AT38" i="31" s="1"/>
  <c r="AT41" i="31" s="1"/>
  <c r="CX837" i="1"/>
  <c r="AT78" i="31" s="1"/>
  <c r="AT33" i="31" l="1"/>
  <c r="CX493" i="1"/>
  <c r="CX510" i="1" s="1"/>
  <c r="CX786" i="1"/>
  <c r="CX784" i="1"/>
  <c r="CX269" i="1"/>
  <c r="CX325" i="1"/>
  <c r="CX81" i="1"/>
  <c r="CY725" i="1" l="1"/>
  <c r="AV110" i="1" l="1"/>
  <c r="AV71" i="1"/>
  <c r="J65" i="2"/>
  <c r="AV61" i="1"/>
  <c r="AV55" i="1"/>
  <c r="AV58" i="1"/>
  <c r="AV81" i="1"/>
  <c r="J66" i="2"/>
  <c r="J67" i="2" s="1"/>
  <c r="AV64" i="1"/>
  <c r="AV4" i="1"/>
  <c r="CY166" i="1"/>
  <c r="CY57" i="1" s="1"/>
  <c r="CY47" i="1" s="1"/>
  <c r="CY159" i="1"/>
  <c r="AV136" i="1"/>
  <c r="AV838" i="1" s="1"/>
  <c r="J69" i="2"/>
  <c r="J70" i="2" s="1"/>
  <c r="J60" i="2"/>
  <c r="AV57" i="1"/>
  <c r="AV47" i="1" s="1"/>
  <c r="CY165" i="1"/>
  <c r="CY170" i="1"/>
  <c r="CY59" i="1" s="1"/>
  <c r="CY48" i="1" s="1"/>
  <c r="CY160" i="1"/>
  <c r="J72" i="2"/>
  <c r="CY171" i="1"/>
  <c r="AV60" i="1"/>
  <c r="AV49" i="1" s="1"/>
  <c r="AV59" i="1"/>
  <c r="AV48" i="1" s="1"/>
  <c r="AV116" i="1"/>
  <c r="AV56" i="1"/>
  <c r="AV46" i="1" s="1"/>
  <c r="J68" i="2"/>
  <c r="AV114" i="1"/>
  <c r="AV54" i="1"/>
  <c r="AV45" i="1" s="1"/>
  <c r="J62" i="2"/>
  <c r="AV53" i="1"/>
  <c r="AV44" i="1" s="1"/>
  <c r="AV131" i="1"/>
  <c r="CY535" i="1"/>
  <c r="AV129" i="1"/>
  <c r="J24" i="2"/>
  <c r="J51" i="2"/>
  <c r="AV111" i="1"/>
  <c r="AV87" i="1"/>
  <c r="J37" i="2"/>
  <c r="J36" i="2"/>
  <c r="J74" i="2"/>
  <c r="AV85" i="1"/>
  <c r="J35" i="2"/>
  <c r="AV117" i="1"/>
  <c r="AV118" i="1"/>
  <c r="AV113" i="1"/>
  <c r="AV109" i="1"/>
  <c r="AV112" i="1"/>
  <c r="AV98" i="1"/>
  <c r="AV93" i="1"/>
  <c r="AV99" i="1"/>
  <c r="AV141" i="1"/>
  <c r="J46" i="2"/>
  <c r="AV130" i="1"/>
  <c r="AV52" i="1"/>
  <c r="AV43" i="1" s="1"/>
  <c r="AV84" i="1"/>
  <c r="J34" i="2"/>
  <c r="M36" i="7" l="1"/>
  <c r="C62" i="2"/>
  <c r="AV841" i="1"/>
  <c r="I112" i="2"/>
  <c r="I115" i="2"/>
  <c r="CY176" i="1"/>
  <c r="CZ159" i="1"/>
  <c r="CZ170" i="1"/>
  <c r="CZ59" i="1" s="1"/>
  <c r="CZ48" i="1" s="1"/>
  <c r="AZ165" i="1"/>
  <c r="CY266" i="1"/>
  <c r="CY267" i="1" s="1"/>
  <c r="CY172" i="1"/>
  <c r="CY60" i="1" s="1"/>
  <c r="CY49" i="1" s="1"/>
  <c r="CY526" i="1"/>
  <c r="CZ166" i="1"/>
  <c r="CZ57" i="1" s="1"/>
  <c r="CZ47" i="1" s="1"/>
  <c r="C109" i="1"/>
  <c r="C467" i="1" s="1"/>
  <c r="C111" i="1"/>
  <c r="C469" i="1" s="1"/>
  <c r="CY139" i="1"/>
  <c r="J63" i="2"/>
  <c r="J73" i="2"/>
  <c r="CY179" i="1"/>
  <c r="CZ164" i="1"/>
  <c r="CY102" i="1"/>
  <c r="CY96" i="1" s="1"/>
  <c r="AV784" i="1"/>
  <c r="AV786" i="1"/>
  <c r="CZ172" i="1"/>
  <c r="AZ172" i="1"/>
  <c r="BA172" i="1" s="1"/>
  <c r="AZ180" i="1"/>
  <c r="BA180" i="1" s="1"/>
  <c r="CZ180" i="1"/>
  <c r="CY180" i="1"/>
  <c r="CY157" i="1"/>
  <c r="CY158" i="1"/>
  <c r="CY164" i="1"/>
  <c r="CY56" i="1" s="1"/>
  <c r="CY46" i="1" s="1"/>
  <c r="CY54" i="1"/>
  <c r="CY45" i="1" s="1"/>
  <c r="CY210" i="1"/>
  <c r="CY209" i="1"/>
  <c r="CY64" i="1" s="1"/>
  <c r="CY675" i="1"/>
  <c r="CY621" i="1"/>
  <c r="BA164" i="1" l="1"/>
  <c r="BA165" i="1"/>
  <c r="BB165" i="1" s="1"/>
  <c r="C60" i="2"/>
  <c r="M34" i="7"/>
  <c r="K60" i="2"/>
  <c r="AZ170" i="1"/>
  <c r="BA170" i="1" s="1"/>
  <c r="CY161" i="1"/>
  <c r="CZ165" i="1"/>
  <c r="CY167" i="1"/>
  <c r="AZ166" i="1"/>
  <c r="BA166" i="1" s="1"/>
  <c r="BB166" i="1" s="1"/>
  <c r="BC166" i="1" s="1"/>
  <c r="CY192" i="1"/>
  <c r="CZ60" i="1"/>
  <c r="CZ49" i="1" s="1"/>
  <c r="BB180" i="1"/>
  <c r="BC180" i="1" s="1"/>
  <c r="DA180" i="1"/>
  <c r="CY339" i="1"/>
  <c r="CY223" i="1"/>
  <c r="CY222" i="1"/>
  <c r="CY103" i="1"/>
  <c r="CZ56" i="1"/>
  <c r="CZ46" i="1" s="1"/>
  <c r="C468" i="1"/>
  <c r="C110" i="1" s="1"/>
  <c r="CY173" i="1"/>
  <c r="CY350" i="1"/>
  <c r="CZ171" i="1"/>
  <c r="BA171" i="1"/>
  <c r="CY398" i="1"/>
  <c r="AU13" i="31" s="1"/>
  <c r="CZ157" i="1"/>
  <c r="D60" i="2" s="1"/>
  <c r="CY52" i="1"/>
  <c r="CY43" i="1" s="1"/>
  <c r="J64" i="2"/>
  <c r="J61" i="2"/>
  <c r="BB172" i="1"/>
  <c r="BC172" i="1" s="1"/>
  <c r="DA172" i="1"/>
  <c r="DA60" i="1" s="1"/>
  <c r="DA49" i="1" s="1"/>
  <c r="CY53" i="1"/>
  <c r="CY44" i="1" s="1"/>
  <c r="CY633" i="1"/>
  <c r="CY636" i="1"/>
  <c r="CY432" i="1"/>
  <c r="N34" i="7" l="1"/>
  <c r="DA165" i="1"/>
  <c r="BC165" i="1"/>
  <c r="C66" i="2"/>
  <c r="C67" i="2" s="1"/>
  <c r="M40" i="7"/>
  <c r="C69" i="2"/>
  <c r="C70" i="2" s="1"/>
  <c r="M43" i="7"/>
  <c r="C68" i="2"/>
  <c r="M42" i="7"/>
  <c r="M12" i="7"/>
  <c r="C37" i="2"/>
  <c r="CZ161" i="1"/>
  <c r="BD165" i="1"/>
  <c r="BE165" i="1" s="1"/>
  <c r="BF165" i="1" s="1"/>
  <c r="BG165" i="1" s="1"/>
  <c r="CY610" i="1"/>
  <c r="CY145" i="1" s="1"/>
  <c r="CY332" i="1"/>
  <c r="CY181" i="1"/>
  <c r="C23" i="30" s="1"/>
  <c r="CY178" i="1"/>
  <c r="AU59" i="31" s="1"/>
  <c r="AU60" i="31" s="1"/>
  <c r="AZ146" i="1"/>
  <c r="BA146" i="1" s="1"/>
  <c r="BB146" i="1" s="1"/>
  <c r="BC146" i="1" s="1"/>
  <c r="BD146" i="1" s="1"/>
  <c r="BE146" i="1" s="1"/>
  <c r="BF146" i="1" s="1"/>
  <c r="BG146" i="1" s="1"/>
  <c r="BH146" i="1" s="1"/>
  <c r="BI146" i="1" s="1"/>
  <c r="BJ146" i="1" s="1"/>
  <c r="BK146" i="1" s="1"/>
  <c r="BL146" i="1" s="1"/>
  <c r="BM146" i="1" s="1"/>
  <c r="BN146" i="1" s="1"/>
  <c r="BO146" i="1" s="1"/>
  <c r="BP146" i="1" s="1"/>
  <c r="BQ146" i="1" s="1"/>
  <c r="CY187" i="1"/>
  <c r="CY186" i="1"/>
  <c r="CY578" i="1"/>
  <c r="AZ167" i="1"/>
  <c r="K66" i="2" s="1"/>
  <c r="K67" i="2" s="1"/>
  <c r="DA159" i="1"/>
  <c r="CZ173" i="1"/>
  <c r="N43" i="7" s="1"/>
  <c r="CY364" i="1"/>
  <c r="DA166" i="1"/>
  <c r="DA57" i="1" s="1"/>
  <c r="DA47" i="1" s="1"/>
  <c r="CZ167" i="1"/>
  <c r="N40" i="7" s="1"/>
  <c r="CZ192" i="1"/>
  <c r="D68" i="2" s="1"/>
  <c r="AZ173" i="1"/>
  <c r="K69" i="2" s="1"/>
  <c r="K70" i="2" s="1"/>
  <c r="CY281" i="1"/>
  <c r="CY75" i="1" s="1"/>
  <c r="AZ160" i="1"/>
  <c r="K62" i="2" s="1"/>
  <c r="CZ160" i="1"/>
  <c r="CY709" i="1"/>
  <c r="CZ176" i="1"/>
  <c r="CY708" i="1"/>
  <c r="BA167" i="1"/>
  <c r="BB164" i="1"/>
  <c r="DA164" i="1"/>
  <c r="DA56" i="1" s="1"/>
  <c r="DA46" i="1" s="1"/>
  <c r="AZ179" i="1"/>
  <c r="CZ179" i="1"/>
  <c r="CY412" i="1"/>
  <c r="CY424" i="1" s="1"/>
  <c r="CY459" i="1" s="1"/>
  <c r="CY488" i="1" s="1"/>
  <c r="CY502" i="1"/>
  <c r="BB170" i="1"/>
  <c r="BA173" i="1"/>
  <c r="DA170" i="1"/>
  <c r="DA59" i="1" s="1"/>
  <c r="DA48" i="1" s="1"/>
  <c r="CY198" i="1"/>
  <c r="C71" i="2" s="1"/>
  <c r="BD180" i="1"/>
  <c r="BE180" i="1" s="1"/>
  <c r="DB180" i="1"/>
  <c r="CZ266" i="1"/>
  <c r="CZ267" i="1" s="1"/>
  <c r="CY433" i="1"/>
  <c r="DB159" i="1"/>
  <c r="CY543" i="1"/>
  <c r="C55" i="30" s="1"/>
  <c r="AZ176" i="1"/>
  <c r="BA157" i="1"/>
  <c r="L60" i="2" s="1"/>
  <c r="DB166" i="1"/>
  <c r="BD166" i="1"/>
  <c r="BE166" i="1" s="1"/>
  <c r="CY244" i="1"/>
  <c r="AZ87" i="1"/>
  <c r="CZ235" i="1"/>
  <c r="CY58" i="1"/>
  <c r="CY615" i="1"/>
  <c r="CY434" i="1"/>
  <c r="CY333" i="1"/>
  <c r="CY218" i="1"/>
  <c r="DA171" i="1"/>
  <c r="BB171" i="1"/>
  <c r="BC171" i="1" s="1"/>
  <c r="CY344" i="1"/>
  <c r="CY227" i="1"/>
  <c r="CY228" i="1"/>
  <c r="CY215" i="1"/>
  <c r="CY331" i="1"/>
  <c r="CY216" i="1"/>
  <c r="CY537" i="1"/>
  <c r="CZ158" i="1"/>
  <c r="CZ52" i="1"/>
  <c r="CZ43" i="1" s="1"/>
  <c r="CY87" i="1"/>
  <c r="AY147" i="1"/>
  <c r="AZ147" i="1" s="1"/>
  <c r="BA147" i="1" s="1"/>
  <c r="BB147" i="1" s="1"/>
  <c r="BC147" i="1" s="1"/>
  <c r="BD147" i="1" s="1"/>
  <c r="BE147" i="1" s="1"/>
  <c r="BF147" i="1" s="1"/>
  <c r="BG147" i="1" s="1"/>
  <c r="CY106" i="1"/>
  <c r="AZ209" i="1"/>
  <c r="CZ210" i="1"/>
  <c r="CZ209" i="1"/>
  <c r="CZ64" i="1" s="1"/>
  <c r="CY93" i="1"/>
  <c r="BD172" i="1"/>
  <c r="BE172" i="1" s="1"/>
  <c r="DB172" i="1"/>
  <c r="DB60" i="1" s="1"/>
  <c r="DB49" i="1" s="1"/>
  <c r="N42" i="7" l="1"/>
  <c r="D62" i="2"/>
  <c r="N36" i="7"/>
  <c r="AZ58" i="1"/>
  <c r="AZ192" i="1" s="1"/>
  <c r="BA58" i="1" s="1"/>
  <c r="DB165" i="1"/>
  <c r="AZ161" i="1"/>
  <c r="AZ55" i="1" s="1"/>
  <c r="AZ610" i="1"/>
  <c r="N41" i="7"/>
  <c r="M39" i="7"/>
  <c r="C65" i="2"/>
  <c r="N44" i="7"/>
  <c r="F35" i="7"/>
  <c r="C72" i="2"/>
  <c r="M46" i="7"/>
  <c r="D69" i="2"/>
  <c r="D70" i="2" s="1"/>
  <c r="D66" i="2"/>
  <c r="D67" i="2" s="1"/>
  <c r="BA179" i="1"/>
  <c r="BA160" i="1"/>
  <c r="BB160" i="1" s="1"/>
  <c r="CZ215" i="1"/>
  <c r="CZ187" i="1"/>
  <c r="AZ229" i="1"/>
  <c r="CY55" i="1"/>
  <c r="L66" i="2"/>
  <c r="L67" i="2" s="1"/>
  <c r="L69" i="2"/>
  <c r="L70" i="2" s="1"/>
  <c r="CZ578" i="1"/>
  <c r="DC165" i="1"/>
  <c r="CZ249" i="1"/>
  <c r="CY193" i="1"/>
  <c r="BL147" i="1"/>
  <c r="BM147" i="1" s="1"/>
  <c r="BN147" i="1" s="1"/>
  <c r="BO147" i="1" s="1"/>
  <c r="BP147" i="1" s="1"/>
  <c r="BH147" i="1"/>
  <c r="BI147" i="1" s="1"/>
  <c r="BJ147" i="1" s="1"/>
  <c r="BK147" i="1" s="1"/>
  <c r="CY217" i="1"/>
  <c r="CY274" i="1" s="1"/>
  <c r="CY69" i="1" s="1"/>
  <c r="CY177" i="1"/>
  <c r="CY202" i="1"/>
  <c r="CZ58" i="1"/>
  <c r="CY249" i="1"/>
  <c r="CY306" i="1" s="1"/>
  <c r="CY76" i="1" s="1"/>
  <c r="CY204" i="1"/>
  <c r="AU61" i="31" s="1"/>
  <c r="CY670" i="1"/>
  <c r="DB57" i="1"/>
  <c r="DB47" i="1" s="1"/>
  <c r="CY286" i="1"/>
  <c r="CY77" i="1" s="1"/>
  <c r="CZ54" i="1"/>
  <c r="CZ45" i="1" s="1"/>
  <c r="CY273" i="1"/>
  <c r="CY68" i="1" s="1"/>
  <c r="CY275" i="1"/>
  <c r="CY70" i="1" s="1"/>
  <c r="CY61" i="1"/>
  <c r="CY330" i="1"/>
  <c r="CY272" i="1" s="1"/>
  <c r="CY67" i="1" s="1"/>
  <c r="CY243" i="1"/>
  <c r="CY358" i="1"/>
  <c r="BB157" i="1"/>
  <c r="BA176" i="1"/>
  <c r="DA157" i="1"/>
  <c r="BB173" i="1"/>
  <c r="BC170" i="1"/>
  <c r="CY234" i="1"/>
  <c r="CY469" i="1"/>
  <c r="BH165" i="1"/>
  <c r="BI165" i="1" s="1"/>
  <c r="DD165" i="1"/>
  <c r="CY611" i="1"/>
  <c r="CY242" i="1"/>
  <c r="CY680" i="1"/>
  <c r="CZ398" i="1"/>
  <c r="CY154" i="1"/>
  <c r="CY203" i="1"/>
  <c r="DB171" i="1"/>
  <c r="BD171" i="1"/>
  <c r="BE171" i="1" s="1"/>
  <c r="CZ610" i="1"/>
  <c r="CZ53" i="1"/>
  <c r="CZ44" i="1" s="1"/>
  <c r="BF172" i="1"/>
  <c r="BG172" i="1" s="1"/>
  <c r="DC172" i="1"/>
  <c r="DC60" i="1" s="1"/>
  <c r="DC49" i="1" s="1"/>
  <c r="CY660" i="1"/>
  <c r="P13" i="16" s="1"/>
  <c r="AZ235" i="1"/>
  <c r="BC164" i="1"/>
  <c r="BB167" i="1"/>
  <c r="BA209" i="1"/>
  <c r="BA266" i="1" s="1"/>
  <c r="BA267" i="1" s="1"/>
  <c r="AZ210" i="1"/>
  <c r="CY634" i="1"/>
  <c r="CY635" i="1" s="1"/>
  <c r="AZ266" i="1"/>
  <c r="CZ101" i="1"/>
  <c r="CY97" i="1"/>
  <c r="CY790" i="1"/>
  <c r="C87" i="2" s="1"/>
  <c r="BA87" i="1"/>
  <c r="BF166" i="1"/>
  <c r="BG166" i="1" s="1"/>
  <c r="DC166" i="1"/>
  <c r="DC57" i="1" s="1"/>
  <c r="DC47" i="1" s="1"/>
  <c r="DC159" i="1"/>
  <c r="BF180" i="1"/>
  <c r="BG180" i="1" s="1"/>
  <c r="DC180" i="1"/>
  <c r="DA167" i="1"/>
  <c r="O40" i="7" s="1"/>
  <c r="O41" i="7" s="1"/>
  <c r="CY627" i="1"/>
  <c r="CY572" i="1"/>
  <c r="CY141" i="1"/>
  <c r="CY143" i="1" s="1"/>
  <c r="CY652" i="1"/>
  <c r="C128" i="2" s="1"/>
  <c r="CZ75" i="1"/>
  <c r="AZ224" i="1"/>
  <c r="CZ223" i="1"/>
  <c r="CZ222" i="1"/>
  <c r="CY369" i="1"/>
  <c r="CY254" i="1"/>
  <c r="DA173" i="1"/>
  <c r="E69" i="2" s="1"/>
  <c r="AV13" i="31" l="1"/>
  <c r="N12" i="7"/>
  <c r="K68" i="2"/>
  <c r="L62" i="2"/>
  <c r="C25" i="30"/>
  <c r="K48" i="30" s="1"/>
  <c r="AZ219" i="1"/>
  <c r="AZ234" i="1" s="1"/>
  <c r="D37" i="2"/>
  <c r="DA158" i="1"/>
  <c r="DA53" i="1" s="1"/>
  <c r="DA44" i="1" s="1"/>
  <c r="E70" i="2"/>
  <c r="C63" i="2"/>
  <c r="C73" i="2"/>
  <c r="M48" i="7"/>
  <c r="M45" i="7" s="1"/>
  <c r="M55" i="7"/>
  <c r="M37" i="7"/>
  <c r="M35" i="7" s="1"/>
  <c r="E60" i="2"/>
  <c r="O34" i="7"/>
  <c r="O43" i="7"/>
  <c r="O44" i="7" s="1"/>
  <c r="E66" i="2"/>
  <c r="E67" i="2" s="1"/>
  <c r="CZ217" i="1"/>
  <c r="BA129" i="1"/>
  <c r="BA161" i="1"/>
  <c r="DA179" i="1"/>
  <c r="BB179" i="1"/>
  <c r="CZ218" i="1"/>
  <c r="BC160" i="1"/>
  <c r="BD160" i="1" s="1"/>
  <c r="DA160" i="1"/>
  <c r="CZ216" i="1"/>
  <c r="BA192" i="1"/>
  <c r="L68" i="2" s="1"/>
  <c r="AZ186" i="1"/>
  <c r="K65" i="2" s="1"/>
  <c r="AZ193" i="1"/>
  <c r="CZ186" i="1"/>
  <c r="N39" i="7" s="1"/>
  <c r="CZ178" i="1"/>
  <c r="AV59" i="31" s="1"/>
  <c r="AV60" i="31" s="1"/>
  <c r="P59" i="16"/>
  <c r="CZ248" i="1"/>
  <c r="AC13" i="16"/>
  <c r="P14" i="16"/>
  <c r="BQ147" i="1"/>
  <c r="CY248" i="1"/>
  <c r="CY305" i="1" s="1"/>
  <c r="CY120" i="1"/>
  <c r="CY124" i="1"/>
  <c r="CZ193" i="1"/>
  <c r="CY247" i="1"/>
  <c r="CY304" i="1" s="1"/>
  <c r="CY257" i="1"/>
  <c r="CY314" i="1" s="1"/>
  <c r="CY300" i="1"/>
  <c r="CY73" i="1" s="1"/>
  <c r="CY232" i="1"/>
  <c r="CZ234" i="1"/>
  <c r="N55" i="7" s="1"/>
  <c r="CY311" i="1"/>
  <c r="CY78" i="1" s="1"/>
  <c r="AZ578" i="1"/>
  <c r="DD180" i="1"/>
  <c r="BH180" i="1"/>
  <c r="BI180" i="1" s="1"/>
  <c r="CY665" i="1"/>
  <c r="CZ87" i="1"/>
  <c r="DA176" i="1"/>
  <c r="BA610" i="1"/>
  <c r="CY334" i="1"/>
  <c r="CY276" i="1" s="1"/>
  <c r="CZ247" i="1"/>
  <c r="DD159" i="1"/>
  <c r="BH166" i="1"/>
  <c r="BI166" i="1" s="1"/>
  <c r="DD166" i="1"/>
  <c r="DD57" i="1" s="1"/>
  <c r="DD47" i="1" s="1"/>
  <c r="CY662" i="1"/>
  <c r="BH172" i="1"/>
  <c r="BI172" i="1" s="1"/>
  <c r="DD172" i="1"/>
  <c r="DD60" i="1" s="1"/>
  <c r="DD49" i="1" s="1"/>
  <c r="AZ178" i="1"/>
  <c r="U59" i="31" s="1"/>
  <c r="CZ412" i="1"/>
  <c r="CZ424" i="1" s="1"/>
  <c r="CZ459" i="1" s="1"/>
  <c r="CZ488" i="1" s="1"/>
  <c r="CY146" i="1"/>
  <c r="BC157" i="1"/>
  <c r="BB176" i="1"/>
  <c r="BB161" i="1"/>
  <c r="CY125" i="1"/>
  <c r="DA266" i="1"/>
  <c r="DA267" i="1" s="1"/>
  <c r="AZ267" i="1"/>
  <c r="AZ398" i="1" s="1"/>
  <c r="BA235" i="1"/>
  <c r="CY668" i="1"/>
  <c r="CY612" i="1"/>
  <c r="CY147" i="1" s="1"/>
  <c r="CY669" i="1"/>
  <c r="CY199" i="1"/>
  <c r="CY205" i="1"/>
  <c r="CY795" i="1" s="1"/>
  <c r="C92" i="2" s="1"/>
  <c r="CY357" i="1"/>
  <c r="CY299" i="1" s="1"/>
  <c r="CY72" i="1" s="1"/>
  <c r="CY468" i="1"/>
  <c r="CY237" i="1"/>
  <c r="AU68" i="31" s="1"/>
  <c r="AU69" i="31" s="1"/>
  <c r="CZ181" i="1"/>
  <c r="N46" i="7" s="1"/>
  <c r="N37" i="7" s="1"/>
  <c r="AY154" i="1"/>
  <c r="BA210" i="1"/>
  <c r="DA210" i="1" s="1"/>
  <c r="DA209" i="1"/>
  <c r="DA64" i="1" s="1"/>
  <c r="BB209" i="1"/>
  <c r="CY664" i="1"/>
  <c r="CY663" i="1"/>
  <c r="BJ165" i="1"/>
  <c r="BK165" i="1" s="1"/>
  <c r="DE165" i="1"/>
  <c r="BC173" i="1"/>
  <c r="BD170" i="1"/>
  <c r="DB170" i="1"/>
  <c r="DB59" i="1" s="1"/>
  <c r="DB48" i="1" s="1"/>
  <c r="CZ227" i="1"/>
  <c r="CZ77" i="1"/>
  <c r="CZ228" i="1"/>
  <c r="CY253" i="1"/>
  <c r="CY310" i="1" s="1"/>
  <c r="BA224" i="1"/>
  <c r="AZ222" i="1"/>
  <c r="AZ223" i="1"/>
  <c r="CY628" i="1"/>
  <c r="CY738" i="1"/>
  <c r="CY637" i="1"/>
  <c r="CY739" i="1" s="1"/>
  <c r="CY765" i="1" s="1"/>
  <c r="BC167" i="1"/>
  <c r="BD164" i="1"/>
  <c r="DB164" i="1"/>
  <c r="DB56" i="1" s="1"/>
  <c r="DB46" i="1" s="1"/>
  <c r="AZ557" i="1"/>
  <c r="BA557" i="1" s="1"/>
  <c r="BB557" i="1" s="1"/>
  <c r="BC557" i="1" s="1"/>
  <c r="BD557" i="1" s="1"/>
  <c r="BE557" i="1" s="1"/>
  <c r="BF557" i="1" s="1"/>
  <c r="BG557" i="1" s="1"/>
  <c r="BH557" i="1" s="1"/>
  <c r="BI557" i="1" s="1"/>
  <c r="BJ557" i="1" s="1"/>
  <c r="BK557" i="1" s="1"/>
  <c r="BL557" i="1" s="1"/>
  <c r="BM557" i="1" s="1"/>
  <c r="BN557" i="1" s="1"/>
  <c r="BO557" i="1" s="1"/>
  <c r="BP557" i="1" s="1"/>
  <c r="BQ557" i="1" s="1"/>
  <c r="BF171" i="1"/>
  <c r="BG171" i="1" s="1"/>
  <c r="DC171" i="1"/>
  <c r="CZ433" i="1"/>
  <c r="CY467" i="1"/>
  <c r="CY111" i="1"/>
  <c r="CY315" i="1"/>
  <c r="BB87" i="1"/>
  <c r="BA398" i="1"/>
  <c r="V13" i="31" s="1"/>
  <c r="CY252" i="1"/>
  <c r="CY309" i="1" s="1"/>
  <c r="CY557" i="1"/>
  <c r="CY562" i="1" s="1"/>
  <c r="CY666" i="1"/>
  <c r="AZ249" i="1"/>
  <c r="CZ145" i="1"/>
  <c r="DA52" i="1"/>
  <c r="DA43" i="1" s="1"/>
  <c r="N47" i="7" l="1"/>
  <c r="U13" i="31"/>
  <c r="K37" i="2"/>
  <c r="U60" i="31"/>
  <c r="AZ215" i="1"/>
  <c r="DA192" i="1"/>
  <c r="DA58" i="1" s="1"/>
  <c r="BB58" i="1"/>
  <c r="BB192" i="1" s="1"/>
  <c r="DB158" i="1"/>
  <c r="DB53" i="1" s="1"/>
  <c r="DB44" i="1" s="1"/>
  <c r="BB610" i="1"/>
  <c r="BA55" i="1"/>
  <c r="BA178" i="1"/>
  <c r="V59" i="31" s="1"/>
  <c r="V60" i="31" s="1"/>
  <c r="BA193" i="1"/>
  <c r="DA193" i="1" s="1"/>
  <c r="C33" i="30"/>
  <c r="D72" i="2"/>
  <c r="D63" i="2" s="1"/>
  <c r="D61" i="2" s="1"/>
  <c r="D23" i="30"/>
  <c r="N56" i="7"/>
  <c r="F55" i="7"/>
  <c r="C64" i="2"/>
  <c r="C61" i="2"/>
  <c r="O36" i="7"/>
  <c r="E62" i="2"/>
  <c r="CZ55" i="1"/>
  <c r="D65" i="2"/>
  <c r="BB129" i="1"/>
  <c r="DA161" i="1"/>
  <c r="BA578" i="1"/>
  <c r="DA578" i="1" s="1"/>
  <c r="DB160" i="1"/>
  <c r="P36" i="7" s="1"/>
  <c r="DA54" i="1"/>
  <c r="DA45" i="1" s="1"/>
  <c r="BC179" i="1"/>
  <c r="BA219" i="1"/>
  <c r="DA219" i="1" s="1"/>
  <c r="AZ216" i="1"/>
  <c r="AZ217" i="1"/>
  <c r="AZ218" i="1"/>
  <c r="CZ177" i="1"/>
  <c r="N38" i="7"/>
  <c r="N35" i="7"/>
  <c r="L37" i="2"/>
  <c r="CZ76" i="1"/>
  <c r="CY679" i="1"/>
  <c r="CY812" i="1"/>
  <c r="CY584" i="1"/>
  <c r="CY585" i="1" s="1"/>
  <c r="CY703" i="1"/>
  <c r="CY625" i="1"/>
  <c r="CY114" i="1"/>
  <c r="CZ69" i="1"/>
  <c r="CY470" i="1"/>
  <c r="CY233" i="1"/>
  <c r="CY109" i="1"/>
  <c r="CZ469" i="1"/>
  <c r="CZ111" i="1" s="1"/>
  <c r="CZ70" i="1"/>
  <c r="CZ67" i="1"/>
  <c r="CY613" i="1"/>
  <c r="AU62" i="31" s="1"/>
  <c r="BA424" i="1"/>
  <c r="BA459" i="1" s="1"/>
  <c r="BA488" i="1" s="1"/>
  <c r="BA502" i="1"/>
  <c r="DB167" i="1"/>
  <c r="BA223" i="1"/>
  <c r="DA223" i="1" s="1"/>
  <c r="BB224" i="1"/>
  <c r="BA222" i="1"/>
  <c r="DA222" i="1" s="1"/>
  <c r="BC209" i="1"/>
  <c r="BC266" i="1" s="1"/>
  <c r="BC267" i="1" s="1"/>
  <c r="BB210" i="1"/>
  <c r="CZ154" i="1"/>
  <c r="CY238" i="1"/>
  <c r="CY353" i="1"/>
  <c r="CY614" i="1"/>
  <c r="BB235" i="1"/>
  <c r="BB178" i="1"/>
  <c r="W59" i="31" s="1"/>
  <c r="CZ68" i="1"/>
  <c r="BE170" i="1"/>
  <c r="BD173" i="1"/>
  <c r="DA398" i="1"/>
  <c r="AW13" i="31" s="1"/>
  <c r="BJ166" i="1"/>
  <c r="BK166" i="1" s="1"/>
  <c r="DE166" i="1"/>
  <c r="DE57" i="1" s="1"/>
  <c r="DE47" i="1" s="1"/>
  <c r="CY349" i="1"/>
  <c r="CZ612" i="1"/>
  <c r="CZ660" i="1"/>
  <c r="CY764" i="1"/>
  <c r="DB173" i="1"/>
  <c r="BB266" i="1"/>
  <c r="CY110" i="1"/>
  <c r="BC161" i="1"/>
  <c r="BD157" i="1"/>
  <c r="BC176" i="1"/>
  <c r="DB157" i="1"/>
  <c r="AZ187" i="1"/>
  <c r="DE159" i="1"/>
  <c r="CY813" i="1"/>
  <c r="K51" i="30" s="1"/>
  <c r="CY291" i="1"/>
  <c r="CY294" i="1" s="1"/>
  <c r="CY71" i="1"/>
  <c r="CZ78" i="1"/>
  <c r="BA229" i="1"/>
  <c r="AZ227" i="1"/>
  <c r="AZ232" i="1" s="1"/>
  <c r="AZ228" i="1"/>
  <c r="AZ177" i="1"/>
  <c r="AZ181" i="1"/>
  <c r="DE172" i="1"/>
  <c r="DE60" i="1" s="1"/>
  <c r="DE49" i="1" s="1"/>
  <c r="BJ172" i="1"/>
  <c r="BK172" i="1" s="1"/>
  <c r="BC87" i="1"/>
  <c r="CY115" i="1"/>
  <c r="CY815" i="1"/>
  <c r="CY359" i="1"/>
  <c r="CY301" i="1" s="1"/>
  <c r="CY74" i="1" s="1"/>
  <c r="CY397" i="1"/>
  <c r="AU12" i="31" s="1"/>
  <c r="DA610" i="1"/>
  <c r="BA249" i="1"/>
  <c r="DA249" i="1" s="1"/>
  <c r="BH171" i="1"/>
  <c r="BI171" i="1" s="1"/>
  <c r="DD171" i="1"/>
  <c r="DA224" i="1"/>
  <c r="CZ611" i="1"/>
  <c r="BD167" i="1"/>
  <c r="BE164" i="1"/>
  <c r="BE160" i="1"/>
  <c r="BL165" i="1"/>
  <c r="BM165" i="1" s="1"/>
  <c r="DF165" i="1"/>
  <c r="DA235" i="1"/>
  <c r="CZ502" i="1"/>
  <c r="AZ248" i="1"/>
  <c r="AZ247" i="1"/>
  <c r="DE180" i="1"/>
  <c r="BJ180" i="1"/>
  <c r="BK180" i="1" s="1"/>
  <c r="W60" i="31" l="1"/>
  <c r="Q13" i="16"/>
  <c r="Q14" i="16" s="1"/>
  <c r="K72" i="2"/>
  <c r="DA178" i="1"/>
  <c r="AW59" i="31" s="1"/>
  <c r="AW60" i="31" s="1"/>
  <c r="E68" i="2"/>
  <c r="O42" i="7"/>
  <c r="BC58" i="1"/>
  <c r="BC192" i="1" s="1"/>
  <c r="DC158" i="1"/>
  <c r="BA177" i="1"/>
  <c r="BA181" i="1"/>
  <c r="C27" i="30"/>
  <c r="D64" i="2"/>
  <c r="D73" i="2"/>
  <c r="F62" i="2"/>
  <c r="D24" i="30"/>
  <c r="DB54" i="1"/>
  <c r="DB45" i="1" s="1"/>
  <c r="C74" i="2"/>
  <c r="M50" i="7"/>
  <c r="M18" i="7"/>
  <c r="F69" i="7"/>
  <c r="C98" i="2"/>
  <c r="F70" i="7"/>
  <c r="C99" i="2"/>
  <c r="C101" i="2"/>
  <c r="F72" i="7"/>
  <c r="M11" i="7"/>
  <c r="C36" i="2"/>
  <c r="E37" i="2"/>
  <c r="O12" i="7"/>
  <c r="F60" i="2"/>
  <c r="P34" i="7"/>
  <c r="F69" i="2"/>
  <c r="F70" i="2" s="1"/>
  <c r="P43" i="7"/>
  <c r="P44" i="7" s="1"/>
  <c r="F66" i="2"/>
  <c r="F67" i="2" s="1"/>
  <c r="P40" i="7"/>
  <c r="P41" i="7" s="1"/>
  <c r="BB578" i="1"/>
  <c r="BC578" i="1" s="1"/>
  <c r="DB578" i="1" s="1"/>
  <c r="BC129" i="1"/>
  <c r="L72" i="2"/>
  <c r="L63" i="2" s="1"/>
  <c r="BA218" i="1"/>
  <c r="DA218" i="1" s="1"/>
  <c r="BA217" i="1"/>
  <c r="DA217" i="1" s="1"/>
  <c r="BA215" i="1"/>
  <c r="DA215" i="1" s="1"/>
  <c r="AZ469" i="1"/>
  <c r="DB179" i="1"/>
  <c r="BD179" i="1"/>
  <c r="BB193" i="1"/>
  <c r="AZ237" i="1"/>
  <c r="DC53" i="1"/>
  <c r="DC44" i="1" s="1"/>
  <c r="BA216" i="1"/>
  <c r="DA216" i="1" s="1"/>
  <c r="BA234" i="1"/>
  <c r="BB219" i="1"/>
  <c r="BC219" i="1" s="1"/>
  <c r="BA186" i="1"/>
  <c r="L65" i="2" s="1"/>
  <c r="CZ237" i="1"/>
  <c r="AV68" i="31" s="1"/>
  <c r="AV69" i="31" s="1"/>
  <c r="DA433" i="1"/>
  <c r="P32" i="16"/>
  <c r="P33" i="16" s="1"/>
  <c r="DB52" i="1"/>
  <c r="DB43" i="1" s="1"/>
  <c r="CZ73" i="1"/>
  <c r="AZ584" i="1"/>
  <c r="BA584" i="1" s="1"/>
  <c r="CZ584" i="1"/>
  <c r="CY667" i="1"/>
  <c r="CY121" i="1"/>
  <c r="CY816" i="1" s="1"/>
  <c r="CY598" i="1"/>
  <c r="CY471" i="1"/>
  <c r="CY395" i="1"/>
  <c r="CZ468" i="1"/>
  <c r="DA75" i="1"/>
  <c r="CY616" i="1"/>
  <c r="CY814" i="1"/>
  <c r="CZ147" i="1"/>
  <c r="BF164" i="1"/>
  <c r="BE167" i="1"/>
  <c r="DC164" i="1"/>
  <c r="DC56" i="1" s="1"/>
  <c r="DC46" i="1" s="1"/>
  <c r="AZ467" i="1"/>
  <c r="CY376" i="1"/>
  <c r="CZ665" i="1"/>
  <c r="BC398" i="1"/>
  <c r="X13" i="31" s="1"/>
  <c r="BD87" i="1"/>
  <c r="AZ154" i="1"/>
  <c r="CY352" i="1"/>
  <c r="BF170" i="1"/>
  <c r="BE173" i="1"/>
  <c r="DC170" i="1"/>
  <c r="DC59" i="1" s="1"/>
  <c r="DC48" i="1" s="1"/>
  <c r="BB181" i="1"/>
  <c r="BB177" i="1"/>
  <c r="AZ233" i="1"/>
  <c r="CZ666" i="1"/>
  <c r="DA145" i="1"/>
  <c r="CY86" i="1"/>
  <c r="BL172" i="1"/>
  <c r="BM172" i="1" s="1"/>
  <c r="DF172" i="1"/>
  <c r="DF60" i="1" s="1"/>
  <c r="DF49" i="1" s="1"/>
  <c r="AZ611" i="1"/>
  <c r="BA227" i="1"/>
  <c r="DA227" i="1" s="1"/>
  <c r="BB229" i="1"/>
  <c r="BA228" i="1"/>
  <c r="DA228" i="1" s="1"/>
  <c r="CY713" i="1"/>
  <c r="CZ71" i="1"/>
  <c r="BB249" i="1"/>
  <c r="DA76" i="1"/>
  <c r="CZ232" i="1"/>
  <c r="CZ669" i="1"/>
  <c r="CZ668" i="1"/>
  <c r="BC235" i="1"/>
  <c r="DA412" i="1"/>
  <c r="DA424" i="1" s="1"/>
  <c r="DA459" i="1" s="1"/>
  <c r="DA488" i="1" s="1"/>
  <c r="AZ502" i="1"/>
  <c r="DA502" i="1" s="1"/>
  <c r="AZ424" i="1"/>
  <c r="AZ459" i="1" s="1"/>
  <c r="AZ488" i="1" s="1"/>
  <c r="DA229" i="1"/>
  <c r="BC610" i="1"/>
  <c r="DB176" i="1"/>
  <c r="CY808" i="1"/>
  <c r="CY113" i="1"/>
  <c r="CY809" i="1"/>
  <c r="CY112" i="1"/>
  <c r="DF166" i="1"/>
  <c r="DF57" i="1" s="1"/>
  <c r="DF47" i="1" s="1"/>
  <c r="BL166" i="1"/>
  <c r="BM166" i="1" s="1"/>
  <c r="DA87" i="1"/>
  <c r="CY259" i="1"/>
  <c r="BC210" i="1"/>
  <c r="DB210" i="1" s="1"/>
  <c r="DB209" i="1"/>
  <c r="DB64" i="1" s="1"/>
  <c r="BD209" i="1"/>
  <c r="BD266" i="1" s="1"/>
  <c r="CZ146" i="1"/>
  <c r="CZ613" i="1"/>
  <c r="N50" i="7" s="1"/>
  <c r="DF180" i="1"/>
  <c r="BL180" i="1"/>
  <c r="BM180" i="1" s="1"/>
  <c r="BA247" i="1"/>
  <c r="DG165" i="1"/>
  <c r="BN165" i="1"/>
  <c r="BO165" i="1" s="1"/>
  <c r="DC160" i="1"/>
  <c r="BF160" i="1"/>
  <c r="AY141" i="1"/>
  <c r="AY633" i="1"/>
  <c r="CZ139" i="1"/>
  <c r="CZ535" i="1"/>
  <c r="CY705" i="1"/>
  <c r="CZ663" i="1"/>
  <c r="DF159" i="1"/>
  <c r="BD176" i="1"/>
  <c r="BE157" i="1"/>
  <c r="BD161" i="1"/>
  <c r="BB267" i="1"/>
  <c r="BB398" i="1" s="1"/>
  <c r="W13" i="31" s="1"/>
  <c r="DB266" i="1"/>
  <c r="DB267" i="1" s="1"/>
  <c r="CZ664" i="1"/>
  <c r="BC224" i="1"/>
  <c r="DB224" i="1" s="1"/>
  <c r="BB223" i="1"/>
  <c r="BB222" i="1"/>
  <c r="CZ662" i="1"/>
  <c r="BA248" i="1"/>
  <c r="DE171" i="1"/>
  <c r="BJ171" i="1"/>
  <c r="BK171" i="1" s="1"/>
  <c r="CY374" i="1"/>
  <c r="CZ557" i="1"/>
  <c r="CZ562" i="1" s="1"/>
  <c r="AY628" i="1"/>
  <c r="DB161" i="1"/>
  <c r="BC178" i="1"/>
  <c r="X59" i="31" s="1"/>
  <c r="X60" i="31" s="1"/>
  <c r="AZ660" i="1"/>
  <c r="D27" i="30" l="1"/>
  <c r="D28" i="30" s="1"/>
  <c r="AV62" i="31"/>
  <c r="Q32" i="16"/>
  <c r="K73" i="2"/>
  <c r="K63" i="2"/>
  <c r="L64" i="2" s="1"/>
  <c r="U68" i="31"/>
  <c r="AZ238" i="1"/>
  <c r="U69" i="31"/>
  <c r="BA154" i="1"/>
  <c r="DA181" i="1"/>
  <c r="E23" i="30" s="1"/>
  <c r="E24" i="30" s="1"/>
  <c r="BA611" i="1"/>
  <c r="DA177" i="1"/>
  <c r="BD58" i="1"/>
  <c r="BD192" i="1" s="1"/>
  <c r="BE58" i="1" s="1"/>
  <c r="BE192" i="1" s="1"/>
  <c r="DB192" i="1"/>
  <c r="P42" i="7" s="1"/>
  <c r="BC193" i="1"/>
  <c r="DB193" i="1" s="1"/>
  <c r="BD610" i="1"/>
  <c r="BB55" i="1"/>
  <c r="BB186" i="1" s="1"/>
  <c r="BC55" i="1" s="1"/>
  <c r="AZ468" i="1"/>
  <c r="AZ470" i="1" s="1"/>
  <c r="D33" i="30"/>
  <c r="D34" i="30" s="1"/>
  <c r="D74" i="2"/>
  <c r="N51" i="7"/>
  <c r="C100" i="2"/>
  <c r="F71" i="7"/>
  <c r="M19" i="7"/>
  <c r="C95" i="2"/>
  <c r="F66" i="7"/>
  <c r="C102" i="2"/>
  <c r="F73" i="7"/>
  <c r="F65" i="7"/>
  <c r="C94" i="2"/>
  <c r="C34" i="2"/>
  <c r="M9" i="7"/>
  <c r="G62" i="2"/>
  <c r="Q36" i="7"/>
  <c r="L61" i="2"/>
  <c r="BB218" i="1"/>
  <c r="BD129" i="1"/>
  <c r="L73" i="2"/>
  <c r="BB215" i="1"/>
  <c r="BB217" i="1"/>
  <c r="DA234" i="1"/>
  <c r="BA469" i="1"/>
  <c r="DA469" i="1" s="1"/>
  <c r="BA237" i="1"/>
  <c r="DE158" i="1"/>
  <c r="DB235" i="1"/>
  <c r="DD158" i="1"/>
  <c r="AZ666" i="1"/>
  <c r="BE179" i="1"/>
  <c r="DC54" i="1"/>
  <c r="DC45" i="1" s="1"/>
  <c r="BB216" i="1"/>
  <c r="CY823" i="1"/>
  <c r="K53" i="30" s="1"/>
  <c r="Q33" i="16"/>
  <c r="DA186" i="1"/>
  <c r="BA187" i="1"/>
  <c r="CZ74" i="1"/>
  <c r="CZ72" i="1"/>
  <c r="CZ628" i="1"/>
  <c r="CY817" i="1"/>
  <c r="K52" i="30" s="1"/>
  <c r="DH165" i="1"/>
  <c r="BP165" i="1"/>
  <c r="CY84" i="1"/>
  <c r="CY122" i="1"/>
  <c r="CY819" i="1"/>
  <c r="CY827" i="1"/>
  <c r="CY824" i="1"/>
  <c r="CY820" i="1"/>
  <c r="CY822" i="1"/>
  <c r="CY116" i="1"/>
  <c r="CY821" i="1"/>
  <c r="CY818" i="1"/>
  <c r="CY825" i="1"/>
  <c r="CY826" i="1"/>
  <c r="BB584" i="1"/>
  <c r="BC584" i="1" s="1"/>
  <c r="DA584" i="1"/>
  <c r="CY712" i="1"/>
  <c r="BB248" i="1"/>
  <c r="BB247" i="1"/>
  <c r="DA67" i="1"/>
  <c r="CY316" i="1"/>
  <c r="DA69" i="1"/>
  <c r="DA68" i="1"/>
  <c r="DA77" i="1"/>
  <c r="DA248" i="1"/>
  <c r="AZ662" i="1"/>
  <c r="CZ110" i="1"/>
  <c r="AZ664" i="1"/>
  <c r="DA70" i="1"/>
  <c r="CZ703" i="1"/>
  <c r="AY625" i="1"/>
  <c r="CZ625" i="1" s="1"/>
  <c r="BC177" i="1"/>
  <c r="BC181" i="1"/>
  <c r="DB178" i="1"/>
  <c r="AX59" i="31" s="1"/>
  <c r="AX60" i="31" s="1"/>
  <c r="BD178" i="1"/>
  <c r="Y59" i="31" s="1"/>
  <c r="Y60" i="31" s="1"/>
  <c r="BG160" i="1"/>
  <c r="DA247" i="1"/>
  <c r="BE209" i="1"/>
  <c r="BD210" i="1"/>
  <c r="CY396" i="1"/>
  <c r="C8" i="30" s="1"/>
  <c r="DG166" i="1"/>
  <c r="DG57" i="1" s="1"/>
  <c r="DG47" i="1" s="1"/>
  <c r="BN166" i="1"/>
  <c r="BO166" i="1" s="1"/>
  <c r="BE87" i="1"/>
  <c r="CY262" i="1"/>
  <c r="CY212" i="1"/>
  <c r="DC157" i="1"/>
  <c r="BE161" i="1"/>
  <c r="BE176" i="1"/>
  <c r="BF157" i="1"/>
  <c r="BD267" i="1"/>
  <c r="BD398" i="1" s="1"/>
  <c r="Y13" i="31" s="1"/>
  <c r="AZ668" i="1"/>
  <c r="CZ467" i="1"/>
  <c r="CZ109" i="1" s="1"/>
  <c r="DC173" i="1"/>
  <c r="BC502" i="1"/>
  <c r="BC424" i="1"/>
  <c r="BC459" i="1" s="1"/>
  <c r="BC488" i="1" s="1"/>
  <c r="BC218" i="1"/>
  <c r="BD219" i="1"/>
  <c r="BC216" i="1"/>
  <c r="BC215" i="1"/>
  <c r="BC217" i="1"/>
  <c r="DC167" i="1"/>
  <c r="DG180" i="1"/>
  <c r="BN180" i="1"/>
  <c r="BO180" i="1" s="1"/>
  <c r="BD235" i="1"/>
  <c r="BN172" i="1"/>
  <c r="BO172" i="1" s="1"/>
  <c r="DG172" i="1"/>
  <c r="DG60" i="1" s="1"/>
  <c r="DG49" i="1" s="1"/>
  <c r="BB611" i="1"/>
  <c r="BG170" i="1"/>
  <c r="BF173" i="1"/>
  <c r="BF167" i="1"/>
  <c r="BG164" i="1"/>
  <c r="AZ663" i="1"/>
  <c r="AY636" i="1"/>
  <c r="CZ636" i="1" s="1"/>
  <c r="CZ633" i="1"/>
  <c r="AZ71" i="1"/>
  <c r="DA78" i="1"/>
  <c r="BC249" i="1"/>
  <c r="BB228" i="1"/>
  <c r="BC229" i="1"/>
  <c r="BC234" i="1" s="1"/>
  <c r="BB227" i="1"/>
  <c r="AZ665" i="1"/>
  <c r="BA71" i="1"/>
  <c r="BC223" i="1"/>
  <c r="DB223" i="1" s="1"/>
  <c r="BD224" i="1"/>
  <c r="BC222" i="1"/>
  <c r="DB222" i="1" s="1"/>
  <c r="DB75" i="1"/>
  <c r="DG159" i="1"/>
  <c r="CZ614" i="1"/>
  <c r="DB610" i="1"/>
  <c r="BD578" i="1"/>
  <c r="AZ669" i="1"/>
  <c r="BB154" i="1"/>
  <c r="BA232" i="1"/>
  <c r="BB234" i="1"/>
  <c r="BL171" i="1"/>
  <c r="BM171" i="1" s="1"/>
  <c r="DF171" i="1"/>
  <c r="AZ613" i="1"/>
  <c r="U62" i="31" s="1"/>
  <c r="BA660" i="1"/>
  <c r="CY260" i="1"/>
  <c r="DB398" i="1"/>
  <c r="AX13" i="31" s="1"/>
  <c r="CZ233" i="1"/>
  <c r="CY354" i="1"/>
  <c r="CY296" i="1" s="1"/>
  <c r="DB219" i="1"/>
  <c r="AU11" i="31" l="1"/>
  <c r="K74" i="2"/>
  <c r="K64" i="2"/>
  <c r="K61" i="2"/>
  <c r="V68" i="31"/>
  <c r="V69" i="31" s="1"/>
  <c r="DA154" i="1"/>
  <c r="E72" i="2"/>
  <c r="E73" i="2" s="1"/>
  <c r="F68" i="2"/>
  <c r="O46" i="7"/>
  <c r="O37" i="7" s="1"/>
  <c r="DB58" i="1"/>
  <c r="DA611" i="1"/>
  <c r="DA146" i="1" s="1"/>
  <c r="BD193" i="1"/>
  <c r="BE193" i="1" s="1"/>
  <c r="BF58" i="1"/>
  <c r="BF192" i="1" s="1"/>
  <c r="DA237" i="1"/>
  <c r="AW68" i="31" s="1"/>
  <c r="AW69" i="31" s="1"/>
  <c r="C31" i="2"/>
  <c r="M6" i="7"/>
  <c r="F75" i="7"/>
  <c r="C104" i="2"/>
  <c r="F78" i="7"/>
  <c r="C107" i="2"/>
  <c r="F76" i="7"/>
  <c r="C105" i="2"/>
  <c r="M10" i="7"/>
  <c r="C35" i="2"/>
  <c r="C103" i="2"/>
  <c r="F74" i="7"/>
  <c r="C106" i="2"/>
  <c r="F77" i="7"/>
  <c r="Q40" i="7"/>
  <c r="Q41" i="7" s="1"/>
  <c r="G66" i="2"/>
  <c r="G67" i="2" s="1"/>
  <c r="Q34" i="7"/>
  <c r="G60" i="2"/>
  <c r="Q43" i="7"/>
  <c r="Q44" i="7" s="1"/>
  <c r="G69" i="2"/>
  <c r="G70" i="2" s="1"/>
  <c r="F37" i="2"/>
  <c r="P12" i="7"/>
  <c r="E65" i="2"/>
  <c r="O39" i="7"/>
  <c r="O55" i="7"/>
  <c r="O56" i="7" s="1"/>
  <c r="BA468" i="1"/>
  <c r="DA468" i="1" s="1"/>
  <c r="DB215" i="1"/>
  <c r="BB232" i="1"/>
  <c r="BB467" i="1" s="1"/>
  <c r="BE129" i="1"/>
  <c r="DA111" i="1"/>
  <c r="DF158" i="1"/>
  <c r="DC52" i="1"/>
  <c r="DC43" i="1" s="1"/>
  <c r="DD53" i="1"/>
  <c r="DD44" i="1" s="1"/>
  <c r="DC179" i="1"/>
  <c r="BF179" i="1"/>
  <c r="DE53" i="1"/>
  <c r="DE44" i="1" s="1"/>
  <c r="Q22" i="16"/>
  <c r="Q52" i="16" s="1"/>
  <c r="Q54" i="16" s="1"/>
  <c r="CZ470" i="1"/>
  <c r="N18" i="7" s="1"/>
  <c r="DC192" i="1"/>
  <c r="BC186" i="1"/>
  <c r="DA55" i="1"/>
  <c r="BB187" i="1"/>
  <c r="DA187" i="1"/>
  <c r="DA73" i="1"/>
  <c r="DB87" i="1"/>
  <c r="BQ165" i="1"/>
  <c r="DI165" i="1" s="1"/>
  <c r="DH166" i="1"/>
  <c r="DH57" i="1" s="1"/>
  <c r="DH47" i="1" s="1"/>
  <c r="BP166" i="1"/>
  <c r="DH172" i="1"/>
  <c r="DH60" i="1" s="1"/>
  <c r="DH49" i="1" s="1"/>
  <c r="BP172" i="1"/>
  <c r="DH180" i="1"/>
  <c r="BP180" i="1"/>
  <c r="DH159" i="1"/>
  <c r="CY478" i="1"/>
  <c r="CY480" i="1" s="1"/>
  <c r="BD584" i="1"/>
  <c r="BE584" i="1" s="1"/>
  <c r="DB584" i="1"/>
  <c r="CY472" i="1"/>
  <c r="AU35" i="31" s="1"/>
  <c r="AU36" i="31" s="1"/>
  <c r="CY380" i="1"/>
  <c r="AU7" i="31" s="1"/>
  <c r="BE578" i="1"/>
  <c r="DC578" i="1" s="1"/>
  <c r="BA669" i="1"/>
  <c r="DA669" i="1" s="1"/>
  <c r="DB218" i="1"/>
  <c r="DB216" i="1"/>
  <c r="DB229" i="1"/>
  <c r="DB217" i="1"/>
  <c r="AZ703" i="1"/>
  <c r="AZ625" i="1"/>
  <c r="BB237" i="1"/>
  <c r="DB234" i="1"/>
  <c r="P55" i="7" s="1"/>
  <c r="BB469" i="1"/>
  <c r="DD164" i="1"/>
  <c r="DD56" i="1" s="1"/>
  <c r="DD46" i="1" s="1"/>
  <c r="BH164" i="1"/>
  <c r="BG167" i="1"/>
  <c r="BC237" i="1"/>
  <c r="BF87" i="1"/>
  <c r="BE210" i="1"/>
  <c r="DC210" i="1" s="1"/>
  <c r="BF209" i="1"/>
  <c r="DC209" i="1"/>
  <c r="DC64" i="1" s="1"/>
  <c r="BC611" i="1"/>
  <c r="DB177" i="1"/>
  <c r="BB660" i="1"/>
  <c r="DA660" i="1"/>
  <c r="R13" i="16" s="1"/>
  <c r="R14" i="16" s="1"/>
  <c r="AZ614" i="1"/>
  <c r="BD249" i="1"/>
  <c r="BA663" i="1"/>
  <c r="BH170" i="1"/>
  <c r="DD170" i="1"/>
  <c r="DD59" i="1" s="1"/>
  <c r="DD48" i="1" s="1"/>
  <c r="BG173" i="1"/>
  <c r="BD218" i="1"/>
  <c r="BD216" i="1"/>
  <c r="BE219" i="1"/>
  <c r="DC219" i="1" s="1"/>
  <c r="BD217" i="1"/>
  <c r="BD215" i="1"/>
  <c r="AY808" i="1"/>
  <c r="J94" i="2" s="1"/>
  <c r="AY809" i="1"/>
  <c r="BA662" i="1"/>
  <c r="CY375" i="1"/>
  <c r="CY317" i="1" s="1"/>
  <c r="CY79" i="1" s="1"/>
  <c r="CZ543" i="1"/>
  <c r="AZ535" i="1"/>
  <c r="BE224" i="1"/>
  <c r="BD222" i="1"/>
  <c r="BD223" i="1"/>
  <c r="BA668" i="1"/>
  <c r="BF176" i="1"/>
  <c r="BG157" i="1"/>
  <c r="BF161" i="1"/>
  <c r="BH160" i="1"/>
  <c r="DD160" i="1"/>
  <c r="CY295" i="1"/>
  <c r="CZ713" i="1"/>
  <c r="CY405" i="1"/>
  <c r="AU14" i="31" s="1"/>
  <c r="AZ74" i="1"/>
  <c r="BA467" i="1"/>
  <c r="BA233" i="1"/>
  <c r="BA86" i="1" s="1"/>
  <c r="DA232" i="1"/>
  <c r="AY634" i="1"/>
  <c r="CZ537" i="1"/>
  <c r="BA665" i="1"/>
  <c r="BC248" i="1"/>
  <c r="BE235" i="1"/>
  <c r="BC247" i="1"/>
  <c r="DC176" i="1"/>
  <c r="BE610" i="1"/>
  <c r="CY85" i="1"/>
  <c r="DB433" i="1"/>
  <c r="DB412" i="1"/>
  <c r="DB424" i="1" s="1"/>
  <c r="DB459" i="1" s="1"/>
  <c r="DB488" i="1" s="1"/>
  <c r="BB502" i="1"/>
  <c r="DB502" i="1" s="1"/>
  <c r="BB424" i="1"/>
  <c r="BB459" i="1" s="1"/>
  <c r="BB488" i="1" s="1"/>
  <c r="BC227" i="1"/>
  <c r="DB227" i="1" s="1"/>
  <c r="BC228" i="1"/>
  <c r="DB228" i="1" s="1"/>
  <c r="BD229" i="1"/>
  <c r="DA71" i="1"/>
  <c r="BA664" i="1"/>
  <c r="AZ809" i="1"/>
  <c r="AZ113" i="1"/>
  <c r="AZ112" i="1"/>
  <c r="AZ808" i="1"/>
  <c r="BE178" i="1"/>
  <c r="Z59" i="31" s="1"/>
  <c r="Z60" i="31" s="1"/>
  <c r="DC161" i="1"/>
  <c r="BD177" i="1"/>
  <c r="BD181" i="1"/>
  <c r="AZ628" i="1"/>
  <c r="AZ562" i="1"/>
  <c r="BN171" i="1"/>
  <c r="BO171" i="1" s="1"/>
  <c r="DG171" i="1"/>
  <c r="DB145" i="1"/>
  <c r="DB249" i="1"/>
  <c r="BC469" i="1"/>
  <c r="CY261" i="1"/>
  <c r="BE266" i="1"/>
  <c r="BC154" i="1"/>
  <c r="DB181" i="1"/>
  <c r="BA666" i="1"/>
  <c r="D55" i="30" l="1"/>
  <c r="J7" i="30" s="1"/>
  <c r="G35" i="7"/>
  <c r="X68" i="31"/>
  <c r="K95" i="2"/>
  <c r="J95" i="2"/>
  <c r="W68" i="31"/>
  <c r="W69" i="31" s="1"/>
  <c r="E63" i="2"/>
  <c r="E64" i="2" s="1"/>
  <c r="O47" i="7"/>
  <c r="BF610" i="1"/>
  <c r="BG58" i="1"/>
  <c r="BG192" i="1" s="1"/>
  <c r="BD55" i="1"/>
  <c r="BD186" i="1" s="1"/>
  <c r="F23" i="30"/>
  <c r="F24" i="30" s="1"/>
  <c r="C9" i="30"/>
  <c r="E33" i="30"/>
  <c r="E34" i="30" s="1"/>
  <c r="BB233" i="1"/>
  <c r="P56" i="7"/>
  <c r="F72" i="2"/>
  <c r="P46" i="7"/>
  <c r="DC58" i="1"/>
  <c r="G68" i="2"/>
  <c r="Q42" i="7"/>
  <c r="DA110" i="1"/>
  <c r="O38" i="7"/>
  <c r="O35" i="7"/>
  <c r="CZ808" i="1"/>
  <c r="BF129" i="1"/>
  <c r="BG179" i="1"/>
  <c r="CZ113" i="1"/>
  <c r="CZ112" i="1"/>
  <c r="DC235" i="1"/>
  <c r="DF53" i="1"/>
  <c r="DF44" i="1" s="1"/>
  <c r="DD54" i="1"/>
  <c r="DD45" i="1" s="1"/>
  <c r="CZ809" i="1"/>
  <c r="G66" i="7" s="1"/>
  <c r="DB186" i="1"/>
  <c r="BC187" i="1"/>
  <c r="DA72" i="1"/>
  <c r="K94" i="2"/>
  <c r="DB154" i="1"/>
  <c r="DI159" i="1"/>
  <c r="BQ166" i="1"/>
  <c r="DI166" i="1" s="1"/>
  <c r="DI57" i="1" s="1"/>
  <c r="BQ180" i="1"/>
  <c r="DI180" i="1" s="1"/>
  <c r="BQ172" i="1"/>
  <c r="DI172" i="1" s="1"/>
  <c r="DH171" i="1"/>
  <c r="BP171" i="1"/>
  <c r="CY711" i="1"/>
  <c r="CY811" i="1"/>
  <c r="K50" i="30" s="1"/>
  <c r="CY117" i="1"/>
  <c r="CY118" i="1"/>
  <c r="CY810" i="1"/>
  <c r="CY465" i="1"/>
  <c r="DC584" i="1"/>
  <c r="BF584" i="1"/>
  <c r="BG584" i="1" s="1"/>
  <c r="BF578" i="1"/>
  <c r="DB70" i="1"/>
  <c r="DB67" i="1"/>
  <c r="BB669" i="1"/>
  <c r="DB68" i="1"/>
  <c r="DB77" i="1"/>
  <c r="DB76" i="1"/>
  <c r="BA614" i="1"/>
  <c r="DA614" i="1" s="1"/>
  <c r="DB69" i="1"/>
  <c r="BC232" i="1"/>
  <c r="BC467" i="1" s="1"/>
  <c r="DB467" i="1" s="1"/>
  <c r="DA666" i="1"/>
  <c r="BB666" i="1"/>
  <c r="CY406" i="1"/>
  <c r="AU15" i="31" s="1"/>
  <c r="CY318" i="1"/>
  <c r="BC71" i="1"/>
  <c r="BF235" i="1"/>
  <c r="BB71" i="1"/>
  <c r="DA233" i="1"/>
  <c r="BG176" i="1"/>
  <c r="DD157" i="1"/>
  <c r="BG161" i="1"/>
  <c r="BH157" i="1"/>
  <c r="D56" i="30"/>
  <c r="BE249" i="1"/>
  <c r="DC249" i="1" s="1"/>
  <c r="BH167" i="1"/>
  <c r="BI164" i="1"/>
  <c r="BD227" i="1"/>
  <c r="BD232" i="1" s="1"/>
  <c r="BD228" i="1"/>
  <c r="BE229" i="1"/>
  <c r="BE234" i="1" s="1"/>
  <c r="BD424" i="1"/>
  <c r="BD459" i="1" s="1"/>
  <c r="BD488" i="1" s="1"/>
  <c r="BD502" i="1"/>
  <c r="BA470" i="1"/>
  <c r="DA467" i="1"/>
  <c r="DA109" i="1" s="1"/>
  <c r="CY89" i="1"/>
  <c r="BB663" i="1"/>
  <c r="DA663" i="1"/>
  <c r="BD611" i="1"/>
  <c r="BB664" i="1"/>
  <c r="DA664" i="1"/>
  <c r="DA668" i="1"/>
  <c r="BB668" i="1"/>
  <c r="BD234" i="1"/>
  <c r="DD173" i="1"/>
  <c r="BC660" i="1"/>
  <c r="BB613" i="1"/>
  <c r="W62" i="31" s="1"/>
  <c r="DB611" i="1"/>
  <c r="DB469" i="1"/>
  <c r="DB111" i="1" s="1"/>
  <c r="BF193" i="1"/>
  <c r="DC193" i="1"/>
  <c r="DC610" i="1"/>
  <c r="CZ634" i="1"/>
  <c r="CZ635" i="1" s="1"/>
  <c r="AY635" i="1"/>
  <c r="BI160" i="1"/>
  <c r="BE223" i="1"/>
  <c r="DC223" i="1" s="1"/>
  <c r="BE222" i="1"/>
  <c r="DC222" i="1" s="1"/>
  <c r="BF224" i="1"/>
  <c r="CY379" i="1"/>
  <c r="AU6" i="31" s="1"/>
  <c r="BE181" i="1"/>
  <c r="BE177" i="1"/>
  <c r="DC178" i="1"/>
  <c r="AY59" i="31" s="1"/>
  <c r="AY60" i="31" s="1"/>
  <c r="BD248" i="1"/>
  <c r="DB248" i="1"/>
  <c r="AZ713" i="1"/>
  <c r="DC224" i="1"/>
  <c r="AZ141" i="1"/>
  <c r="AZ633" i="1"/>
  <c r="BE215" i="1"/>
  <c r="BE216" i="1"/>
  <c r="BE218" i="1"/>
  <c r="BE217" i="1"/>
  <c r="BF219" i="1"/>
  <c r="BI170" i="1"/>
  <c r="BH173" i="1"/>
  <c r="CY698" i="1"/>
  <c r="BG209" i="1"/>
  <c r="BF210" i="1"/>
  <c r="BG87" i="1"/>
  <c r="BD154" i="1"/>
  <c r="BA628" i="1"/>
  <c r="DA628" i="1" s="1"/>
  <c r="DA557" i="1"/>
  <c r="DA562" i="1" s="1"/>
  <c r="BA562" i="1"/>
  <c r="BE267" i="1"/>
  <c r="BE398" i="1" s="1"/>
  <c r="Z13" i="31" s="1"/>
  <c r="DC266" i="1"/>
  <c r="DC267" i="1" s="1"/>
  <c r="BD247" i="1"/>
  <c r="DB247" i="1"/>
  <c r="BB665" i="1"/>
  <c r="DA665" i="1"/>
  <c r="BF178" i="1"/>
  <c r="AA59" i="31" s="1"/>
  <c r="AA60" i="31" s="1"/>
  <c r="CZ680" i="1"/>
  <c r="CZ141" i="1"/>
  <c r="CZ143" i="1" s="1"/>
  <c r="CZ652" i="1"/>
  <c r="CY377" i="1"/>
  <c r="CY319" i="1" s="1"/>
  <c r="BB662" i="1"/>
  <c r="DA662" i="1"/>
  <c r="DA612" i="1"/>
  <c r="BA613" i="1"/>
  <c r="BF266" i="1"/>
  <c r="DD167" i="1"/>
  <c r="DB237" i="1"/>
  <c r="AX68" i="31" s="1"/>
  <c r="AX69" i="31" s="1"/>
  <c r="BB468" i="1"/>
  <c r="D128" i="2" l="1"/>
  <c r="Q59" i="16"/>
  <c r="X69" i="31"/>
  <c r="V62" i="31"/>
  <c r="L74" i="2"/>
  <c r="D94" i="2"/>
  <c r="G65" i="7"/>
  <c r="E61" i="2"/>
  <c r="BE55" i="1"/>
  <c r="BE186" i="1" s="1"/>
  <c r="DC186" i="1" s="1"/>
  <c r="DC55" i="1" s="1"/>
  <c r="C13" i="30"/>
  <c r="F33" i="30"/>
  <c r="F34" i="30" s="1"/>
  <c r="C97" i="2"/>
  <c r="F68" i="7"/>
  <c r="C96" i="2"/>
  <c r="F67" i="7"/>
  <c r="P39" i="7"/>
  <c r="F65" i="2"/>
  <c r="D95" i="2"/>
  <c r="P47" i="7"/>
  <c r="P37" i="7"/>
  <c r="F73" i="2"/>
  <c r="F63" i="2"/>
  <c r="BG129" i="1"/>
  <c r="DG158" i="1"/>
  <c r="DG53" i="1" s="1"/>
  <c r="DG44" i="1" s="1"/>
  <c r="BE469" i="1"/>
  <c r="DH158" i="1"/>
  <c r="DD179" i="1"/>
  <c r="BH179" i="1"/>
  <c r="DD52" i="1"/>
  <c r="DD43" i="1" s="1"/>
  <c r="DD192" i="1"/>
  <c r="DD58" i="1" s="1"/>
  <c r="BH58" i="1"/>
  <c r="BI58" i="1" s="1"/>
  <c r="BJ58" i="1" s="1"/>
  <c r="BK58" i="1" s="1"/>
  <c r="BL58" i="1" s="1"/>
  <c r="BM58" i="1" s="1"/>
  <c r="BN58" i="1" s="1"/>
  <c r="BO58" i="1" s="1"/>
  <c r="BP58" i="1" s="1"/>
  <c r="BQ58" i="1" s="1"/>
  <c r="DB55" i="1"/>
  <c r="DB187" i="1"/>
  <c r="BD187" i="1"/>
  <c r="BG578" i="1"/>
  <c r="DD578" i="1" s="1"/>
  <c r="DA74" i="1"/>
  <c r="BA74" i="1"/>
  <c r="DI60" i="1"/>
  <c r="DI49" i="1" s="1"/>
  <c r="BQ171" i="1"/>
  <c r="DI171" i="1" s="1"/>
  <c r="DI47" i="1"/>
  <c r="DD584" i="1"/>
  <c r="BH584" i="1"/>
  <c r="BI584" i="1" s="1"/>
  <c r="DC75" i="1"/>
  <c r="DB232" i="1"/>
  <c r="DB109" i="1" s="1"/>
  <c r="BC233" i="1"/>
  <c r="BC86" i="1" s="1"/>
  <c r="BC468" i="1"/>
  <c r="BC470" i="1" s="1"/>
  <c r="BC662" i="1"/>
  <c r="BC665" i="1"/>
  <c r="DB665" i="1" s="1"/>
  <c r="BB614" i="1"/>
  <c r="BC664" i="1"/>
  <c r="DC216" i="1"/>
  <c r="DB78" i="1"/>
  <c r="BD467" i="1"/>
  <c r="DA147" i="1"/>
  <c r="DA613" i="1"/>
  <c r="AZ636" i="1"/>
  <c r="BE611" i="1"/>
  <c r="DC177" i="1"/>
  <c r="DB146" i="1"/>
  <c r="BH176" i="1"/>
  <c r="BI157" i="1"/>
  <c r="BH161" i="1"/>
  <c r="DB71" i="1"/>
  <c r="CY408" i="1"/>
  <c r="AU17" i="31" s="1"/>
  <c r="DD209" i="1"/>
  <c r="DD64" i="1" s="1"/>
  <c r="BG210" i="1"/>
  <c r="DD210" i="1" s="1"/>
  <c r="BH209" i="1"/>
  <c r="BH266" i="1" s="1"/>
  <c r="BI173" i="1"/>
  <c r="BJ170" i="1"/>
  <c r="DE170" i="1"/>
  <c r="DE59" i="1" s="1"/>
  <c r="DE48" i="1" s="1"/>
  <c r="BE237" i="1"/>
  <c r="BE154" i="1"/>
  <c r="DC181" i="1"/>
  <c r="G23" i="30" s="1"/>
  <c r="BJ160" i="1"/>
  <c r="DE160" i="1"/>
  <c r="DC217" i="1"/>
  <c r="BE228" i="1"/>
  <c r="DC228" i="1" s="1"/>
  <c r="BE227" i="1"/>
  <c r="BE232" i="1" s="1"/>
  <c r="BF229" i="1"/>
  <c r="BF234" i="1" s="1"/>
  <c r="DC215" i="1"/>
  <c r="DD161" i="1"/>
  <c r="BG178" i="1"/>
  <c r="AB59" i="31" s="1"/>
  <c r="AB60" i="31" s="1"/>
  <c r="DC398" i="1"/>
  <c r="AY13" i="31" s="1"/>
  <c r="BG266" i="1"/>
  <c r="BG267" i="1" s="1"/>
  <c r="BG398" i="1" s="1"/>
  <c r="AB13" i="31" s="1"/>
  <c r="BF216" i="1"/>
  <c r="BF217" i="1"/>
  <c r="BF218" i="1"/>
  <c r="BF215" i="1"/>
  <c r="BG219" i="1"/>
  <c r="DD219" i="1" s="1"/>
  <c r="AZ537" i="1"/>
  <c r="AZ543" i="1"/>
  <c r="BA713" i="1"/>
  <c r="BE248" i="1"/>
  <c r="AY738" i="1"/>
  <c r="AY637" i="1"/>
  <c r="AY739" i="1" s="1"/>
  <c r="AY765" i="1" s="1"/>
  <c r="DC76" i="1"/>
  <c r="BF249" i="1"/>
  <c r="BG235" i="1"/>
  <c r="BC666" i="1"/>
  <c r="BB74" i="1"/>
  <c r="BB562" i="1"/>
  <c r="BB628" i="1"/>
  <c r="CZ637" i="1"/>
  <c r="CZ739" i="1" s="1"/>
  <c r="CZ765" i="1" s="1"/>
  <c r="CZ738" i="1"/>
  <c r="BG193" i="1"/>
  <c r="BD237" i="1"/>
  <c r="BD233" i="1"/>
  <c r="DC234" i="1"/>
  <c r="BD469" i="1"/>
  <c r="BA113" i="1"/>
  <c r="BA809" i="1"/>
  <c r="L95" i="2" s="1"/>
  <c r="BA112" i="1"/>
  <c r="BA808" i="1"/>
  <c r="L94" i="2" s="1"/>
  <c r="DA470" i="1"/>
  <c r="DC229" i="1"/>
  <c r="DC218" i="1"/>
  <c r="DD176" i="1"/>
  <c r="BG610" i="1"/>
  <c r="BF181" i="1"/>
  <c r="BF177" i="1"/>
  <c r="BE247" i="1"/>
  <c r="BH87" i="1"/>
  <c r="BF223" i="1"/>
  <c r="BF222" i="1"/>
  <c r="BG224" i="1"/>
  <c r="DC145" i="1"/>
  <c r="DB660" i="1"/>
  <c r="BD660" i="1"/>
  <c r="BB470" i="1"/>
  <c r="D57" i="30"/>
  <c r="CY80" i="1"/>
  <c r="CY322" i="1"/>
  <c r="CY321" i="1"/>
  <c r="BF267" i="1"/>
  <c r="BF398" i="1" s="1"/>
  <c r="AA13" i="31" s="1"/>
  <c r="BB625" i="1"/>
  <c r="BB703" i="1"/>
  <c r="BA625" i="1"/>
  <c r="DA625" i="1" s="1"/>
  <c r="BA703" i="1"/>
  <c r="DA703" i="1" s="1"/>
  <c r="CY381" i="1"/>
  <c r="AU8" i="31" s="1"/>
  <c r="AU9" i="31" s="1"/>
  <c r="BC668" i="1"/>
  <c r="BC663" i="1"/>
  <c r="BJ164" i="1"/>
  <c r="DE164" i="1"/>
  <c r="DE56" i="1" s="1"/>
  <c r="DE46" i="1" s="1"/>
  <c r="BI167" i="1"/>
  <c r="BC669" i="1"/>
  <c r="Z68" i="31" l="1"/>
  <c r="Y68" i="31"/>
  <c r="Y69" i="31" s="1"/>
  <c r="E27" i="30"/>
  <c r="E28" i="30" s="1"/>
  <c r="AW62" i="31"/>
  <c r="BF55" i="1"/>
  <c r="BF186" i="1" s="1"/>
  <c r="BG55" i="1" s="1"/>
  <c r="BG186" i="1" s="1"/>
  <c r="BE187" i="1"/>
  <c r="DC187" i="1" s="1"/>
  <c r="BH610" i="1"/>
  <c r="G24" i="30"/>
  <c r="G65" i="2"/>
  <c r="E74" i="2"/>
  <c r="O50" i="7"/>
  <c r="O51" i="7" s="1"/>
  <c r="G37" i="2"/>
  <c r="Q12" i="7"/>
  <c r="Q39" i="7"/>
  <c r="O18" i="7"/>
  <c r="Q55" i="7"/>
  <c r="Q56" i="7" s="1"/>
  <c r="DC154" i="1"/>
  <c r="Q46" i="7"/>
  <c r="G72" i="2"/>
  <c r="F61" i="2"/>
  <c r="F64" i="2"/>
  <c r="P35" i="7"/>
  <c r="P38" i="7"/>
  <c r="D24" i="2"/>
  <c r="D51" i="2"/>
  <c r="BH129" i="1"/>
  <c r="DC469" i="1"/>
  <c r="DC111" i="1" s="1"/>
  <c r="BH578" i="1"/>
  <c r="DH53" i="1"/>
  <c r="DH44" i="1" s="1"/>
  <c r="DE54" i="1"/>
  <c r="DE45" i="1" s="1"/>
  <c r="DC87" i="1"/>
  <c r="DB662" i="1"/>
  <c r="DA713" i="1"/>
  <c r="DB664" i="1"/>
  <c r="BI179" i="1"/>
  <c r="BC112" i="1"/>
  <c r="DB233" i="1"/>
  <c r="BH192" i="1"/>
  <c r="BH193" i="1" s="1"/>
  <c r="R32" i="16"/>
  <c r="R33" i="16" s="1"/>
  <c r="S13" i="16"/>
  <c r="S14" i="16" s="1"/>
  <c r="DE584" i="1"/>
  <c r="BJ584" i="1"/>
  <c r="BK584" i="1" s="1"/>
  <c r="DD266" i="1"/>
  <c r="DD267" i="1" s="1"/>
  <c r="DC70" i="1"/>
  <c r="DC227" i="1"/>
  <c r="DC68" i="1"/>
  <c r="BD662" i="1"/>
  <c r="BF247" i="1"/>
  <c r="DB468" i="1"/>
  <c r="DB110" i="1" s="1"/>
  <c r="BC113" i="1"/>
  <c r="DC67" i="1"/>
  <c r="BC808" i="1"/>
  <c r="BC809" i="1"/>
  <c r="BF248" i="1"/>
  <c r="DC77" i="1"/>
  <c r="BH267" i="1"/>
  <c r="BH398" i="1" s="1"/>
  <c r="AC13" i="31" s="1"/>
  <c r="BE467" i="1"/>
  <c r="DC467" i="1" s="1"/>
  <c r="BE233" i="1"/>
  <c r="BE86" i="1" s="1"/>
  <c r="DC232" i="1"/>
  <c r="BD663" i="1"/>
  <c r="DB663" i="1"/>
  <c r="BD468" i="1"/>
  <c r="DC237" i="1"/>
  <c r="AY68" i="31" s="1"/>
  <c r="AY69" i="31" s="1"/>
  <c r="DB669" i="1"/>
  <c r="BD669" i="1"/>
  <c r="BD71" i="1"/>
  <c r="CY327" i="1"/>
  <c r="CY391" i="1"/>
  <c r="CY323" i="1"/>
  <c r="AU70" i="31" s="1"/>
  <c r="BD613" i="1"/>
  <c r="Y62" i="31" s="1"/>
  <c r="BE660" i="1"/>
  <c r="DC247" i="1"/>
  <c r="BF154" i="1"/>
  <c r="DA808" i="1"/>
  <c r="DA113" i="1"/>
  <c r="DA809" i="1"/>
  <c r="DA112" i="1"/>
  <c r="DD178" i="1"/>
  <c r="AZ59" i="31" s="1"/>
  <c r="BG181" i="1"/>
  <c r="BG177" i="1"/>
  <c r="BK160" i="1"/>
  <c r="BD665" i="1"/>
  <c r="BG223" i="1"/>
  <c r="DD223" i="1" s="1"/>
  <c r="BG222" i="1"/>
  <c r="DD222" i="1" s="1"/>
  <c r="BH224" i="1"/>
  <c r="BD664" i="1"/>
  <c r="BF237" i="1"/>
  <c r="BK170" i="1"/>
  <c r="BJ173" i="1"/>
  <c r="DC611" i="1"/>
  <c r="DD224" i="1"/>
  <c r="BI87" i="1"/>
  <c r="DD610" i="1"/>
  <c r="BH235" i="1"/>
  <c r="AY764" i="1"/>
  <c r="BB713" i="1"/>
  <c r="DC78" i="1"/>
  <c r="DE173" i="1"/>
  <c r="BH178" i="1"/>
  <c r="AC59" i="31" s="1"/>
  <c r="AC60" i="31" s="1"/>
  <c r="BE71" i="1"/>
  <c r="BF469" i="1"/>
  <c r="DD235" i="1"/>
  <c r="BA535" i="1"/>
  <c r="AZ544" i="1"/>
  <c r="AZ680" i="1"/>
  <c r="DC433" i="1"/>
  <c r="BH210" i="1"/>
  <c r="BI209" i="1"/>
  <c r="BJ157" i="1"/>
  <c r="BI176" i="1"/>
  <c r="DE157" i="1"/>
  <c r="BI161" i="1"/>
  <c r="DB612" i="1"/>
  <c r="BC613" i="1"/>
  <c r="X62" i="31" s="1"/>
  <c r="DD193" i="1"/>
  <c r="BD666" i="1"/>
  <c r="DB666" i="1"/>
  <c r="AZ634" i="1"/>
  <c r="BE502" i="1"/>
  <c r="DC502" i="1" s="1"/>
  <c r="BE424" i="1"/>
  <c r="BE459" i="1" s="1"/>
  <c r="BE488" i="1" s="1"/>
  <c r="DC412" i="1"/>
  <c r="DC424" i="1" s="1"/>
  <c r="DC459" i="1" s="1"/>
  <c r="DC488" i="1" s="1"/>
  <c r="BF227" i="1"/>
  <c r="BG229" i="1"/>
  <c r="BG234" i="1" s="1"/>
  <c r="BF228" i="1"/>
  <c r="BC614" i="1"/>
  <c r="CY414" i="1"/>
  <c r="DC69" i="1"/>
  <c r="BJ167" i="1"/>
  <c r="BK164" i="1"/>
  <c r="CY387" i="1"/>
  <c r="CY389" i="1" s="1"/>
  <c r="BD668" i="1"/>
  <c r="DB668" i="1"/>
  <c r="DE167" i="1"/>
  <c r="BI192" i="1"/>
  <c r="DE192" i="1" s="1"/>
  <c r="DD398" i="1"/>
  <c r="AZ13" i="31" s="1"/>
  <c r="DB470" i="1"/>
  <c r="P18" i="7" s="1"/>
  <c r="BB112" i="1"/>
  <c r="BB113" i="1"/>
  <c r="BB808" i="1"/>
  <c r="BB809" i="1"/>
  <c r="BF611" i="1"/>
  <c r="CZ764" i="1"/>
  <c r="DB557" i="1"/>
  <c r="DB562" i="1" s="1"/>
  <c r="BC628" i="1"/>
  <c r="DB628" i="1" s="1"/>
  <c r="BC562" i="1"/>
  <c r="BG249" i="1"/>
  <c r="DD249" i="1" s="1"/>
  <c r="DC248" i="1"/>
  <c r="BG215" i="1"/>
  <c r="BG218" i="1"/>
  <c r="BG216" i="1"/>
  <c r="BH219" i="1"/>
  <c r="BG217" i="1"/>
  <c r="BE468" i="1"/>
  <c r="CY419" i="1"/>
  <c r="CY393" i="1"/>
  <c r="Z69" i="31" l="1"/>
  <c r="AA68" i="31"/>
  <c r="AA69" i="31" s="1"/>
  <c r="AZ60" i="31"/>
  <c r="BF187" i="1"/>
  <c r="BG187" i="1" s="1"/>
  <c r="DD187" i="1" s="1"/>
  <c r="BH55" i="1"/>
  <c r="BH186" i="1" s="1"/>
  <c r="DD186" i="1"/>
  <c r="DD55" i="1" s="1"/>
  <c r="CY416" i="1"/>
  <c r="C7" i="30"/>
  <c r="C10" i="30" s="1"/>
  <c r="G33" i="30"/>
  <c r="G34" i="30" s="1"/>
  <c r="M8" i="7"/>
  <c r="C33" i="2"/>
  <c r="M15" i="7"/>
  <c r="C41" i="2"/>
  <c r="M14" i="7"/>
  <c r="H66" i="7"/>
  <c r="E95" i="2"/>
  <c r="H65" i="7"/>
  <c r="E94" i="2"/>
  <c r="G63" i="2"/>
  <c r="G73" i="2"/>
  <c r="Q47" i="7"/>
  <c r="Q37" i="7"/>
  <c r="BI578" i="1"/>
  <c r="DE578" i="1" s="1"/>
  <c r="BI129" i="1"/>
  <c r="DI158" i="1"/>
  <c r="DE52" i="1"/>
  <c r="DE43" i="1" s="1"/>
  <c r="BJ179" i="1"/>
  <c r="DE179" i="1"/>
  <c r="DC233" i="1"/>
  <c r="DB73" i="1"/>
  <c r="DB72" i="1"/>
  <c r="DD87" i="1"/>
  <c r="DF584" i="1"/>
  <c r="BL584" i="1"/>
  <c r="BM584" i="1" s="1"/>
  <c r="DD75" i="1"/>
  <c r="BE662" i="1"/>
  <c r="BE668" i="1"/>
  <c r="BE664" i="1"/>
  <c r="BE665" i="1"/>
  <c r="DC665" i="1" s="1"/>
  <c r="BE666" i="1"/>
  <c r="DC109" i="1"/>
  <c r="DD229" i="1"/>
  <c r="DE58" i="1"/>
  <c r="DD216" i="1"/>
  <c r="BI193" i="1"/>
  <c r="DE193" i="1" s="1"/>
  <c r="BG227" i="1"/>
  <c r="DD227" i="1" s="1"/>
  <c r="BH229" i="1"/>
  <c r="BH234" i="1" s="1"/>
  <c r="BG228" i="1"/>
  <c r="DD228" i="1" s="1"/>
  <c r="AZ635" i="1"/>
  <c r="BD625" i="1"/>
  <c r="BD703" i="1"/>
  <c r="BC625" i="1"/>
  <c r="DB625" i="1" s="1"/>
  <c r="BC703" i="1"/>
  <c r="DB703" i="1" s="1"/>
  <c r="BJ176" i="1"/>
  <c r="BK157" i="1"/>
  <c r="BJ161" i="1"/>
  <c r="BJ87" i="1"/>
  <c r="DC146" i="1"/>
  <c r="BH223" i="1"/>
  <c r="BI224" i="1"/>
  <c r="DE224" i="1" s="1"/>
  <c r="BH222" i="1"/>
  <c r="BG611" i="1"/>
  <c r="DD177" i="1"/>
  <c r="BG248" i="1"/>
  <c r="DC468" i="1"/>
  <c r="DC110" i="1" s="1"/>
  <c r="BG502" i="1"/>
  <c r="BG424" i="1"/>
  <c r="BG459" i="1" s="1"/>
  <c r="BG488" i="1" s="1"/>
  <c r="DB147" i="1"/>
  <c r="DB613" i="1"/>
  <c r="BJ209" i="1"/>
  <c r="BJ266" i="1" s="1"/>
  <c r="BI210" i="1"/>
  <c r="DE210" i="1" s="1"/>
  <c r="DE209" i="1"/>
  <c r="DE64" i="1" s="1"/>
  <c r="BI235" i="1"/>
  <c r="DD145" i="1"/>
  <c r="DD181" i="1"/>
  <c r="DD154" i="1" s="1"/>
  <c r="BG154" i="1"/>
  <c r="BE470" i="1"/>
  <c r="DB809" i="1"/>
  <c r="I66" i="7" s="1"/>
  <c r="DB112" i="1"/>
  <c r="DB113" i="1"/>
  <c r="DB808" i="1"/>
  <c r="CY792" i="1"/>
  <c r="C89" i="2" s="1"/>
  <c r="DD412" i="1"/>
  <c r="DD424" i="1" s="1"/>
  <c r="DD459" i="1" s="1"/>
  <c r="DD488" i="1" s="1"/>
  <c r="BF424" i="1"/>
  <c r="BF459" i="1" s="1"/>
  <c r="BF488" i="1" s="1"/>
  <c r="BF502" i="1"/>
  <c r="BD614" i="1"/>
  <c r="DB614" i="1"/>
  <c r="BI266" i="1"/>
  <c r="AZ545" i="1"/>
  <c r="BC713" i="1"/>
  <c r="CY325" i="1"/>
  <c r="CY269" i="1"/>
  <c r="CY81" i="1"/>
  <c r="DC71" i="1"/>
  <c r="BE669" i="1"/>
  <c r="DF164" i="1"/>
  <c r="DF56" i="1" s="1"/>
  <c r="DF46" i="1" s="1"/>
  <c r="BL164" i="1"/>
  <c r="BK167" i="1"/>
  <c r="BL170" i="1"/>
  <c r="BK173" i="1"/>
  <c r="DF170" i="1"/>
  <c r="DF59" i="1" s="1"/>
  <c r="DF48" i="1" s="1"/>
  <c r="BL160" i="1"/>
  <c r="DF160" i="1"/>
  <c r="DD215" i="1"/>
  <c r="BE663" i="1"/>
  <c r="BG237" i="1"/>
  <c r="BG469" i="1"/>
  <c r="DD469" i="1" s="1"/>
  <c r="CY426" i="1"/>
  <c r="AU19" i="31" s="1"/>
  <c r="AU20" i="31" s="1"/>
  <c r="BH216" i="1"/>
  <c r="BH218" i="1"/>
  <c r="BH217" i="1"/>
  <c r="BH215" i="1"/>
  <c r="BI219" i="1"/>
  <c r="DE219" i="1" s="1"/>
  <c r="BH249" i="1"/>
  <c r="DD76" i="1"/>
  <c r="DD433" i="1"/>
  <c r="DD217" i="1"/>
  <c r="DE161" i="1"/>
  <c r="BI178" i="1"/>
  <c r="AD59" i="31" s="1"/>
  <c r="AD60" i="31" s="1"/>
  <c r="BD628" i="1"/>
  <c r="BD562" i="1"/>
  <c r="BJ192" i="1"/>
  <c r="BA633" i="1"/>
  <c r="BA141" i="1"/>
  <c r="DA139" i="1"/>
  <c r="DA535" i="1"/>
  <c r="BH177" i="1"/>
  <c r="BH181" i="1"/>
  <c r="CY440" i="1"/>
  <c r="BI610" i="1"/>
  <c r="DE176" i="1"/>
  <c r="DD218" i="1"/>
  <c r="DD234" i="1"/>
  <c r="BG247" i="1"/>
  <c r="BD470" i="1"/>
  <c r="BF232" i="1"/>
  <c r="BF468" i="1" s="1"/>
  <c r="DC660" i="1"/>
  <c r="BF660" i="1"/>
  <c r="K24" i="2" l="1"/>
  <c r="K51" i="2"/>
  <c r="AB68" i="31"/>
  <c r="AB69" i="31" s="1"/>
  <c r="F27" i="30"/>
  <c r="F28" i="30" s="1"/>
  <c r="AX62" i="31"/>
  <c r="BI55" i="1"/>
  <c r="BI186" i="1" s="1"/>
  <c r="BJ610" i="1"/>
  <c r="C6" i="30"/>
  <c r="K44" i="30" s="1"/>
  <c r="CY428" i="1"/>
  <c r="C40" i="2"/>
  <c r="F50" i="7"/>
  <c r="C32" i="2"/>
  <c r="M7" i="7"/>
  <c r="F49" i="7"/>
  <c r="G61" i="2"/>
  <c r="G64" i="2"/>
  <c r="I65" i="7"/>
  <c r="P50" i="7"/>
  <c r="P51" i="7" s="1"/>
  <c r="F74" i="2"/>
  <c r="F94" i="2"/>
  <c r="Q38" i="7"/>
  <c r="Q35" i="7"/>
  <c r="F95" i="2"/>
  <c r="BJ129" i="1"/>
  <c r="DF54" i="1"/>
  <c r="DF45" i="1" s="1"/>
  <c r="BH469" i="1"/>
  <c r="DI53" i="1"/>
  <c r="DI44" i="1" s="1"/>
  <c r="DB713" i="1"/>
  <c r="DC668" i="1"/>
  <c r="DC662" i="1"/>
  <c r="BK179" i="1"/>
  <c r="DE235" i="1"/>
  <c r="DC666" i="1"/>
  <c r="DC664" i="1"/>
  <c r="BH187" i="1"/>
  <c r="DC73" i="1"/>
  <c r="DB74" i="1"/>
  <c r="BC74" i="1"/>
  <c r="S32" i="16"/>
  <c r="S33" i="16" s="1"/>
  <c r="T13" i="16"/>
  <c r="T14" i="16" s="1"/>
  <c r="DG584" i="1"/>
  <c r="BN584" i="1"/>
  <c r="BO584" i="1" s="1"/>
  <c r="BF668" i="1"/>
  <c r="DD502" i="1"/>
  <c r="DD67" i="1"/>
  <c r="BJ193" i="1"/>
  <c r="DD68" i="1"/>
  <c r="DD77" i="1"/>
  <c r="BG232" i="1"/>
  <c r="BG467" i="1" s="1"/>
  <c r="DF167" i="1"/>
  <c r="BK192" i="1"/>
  <c r="DF192" i="1" s="1"/>
  <c r="BK87" i="1"/>
  <c r="DD70" i="1"/>
  <c r="BH154" i="1"/>
  <c r="BA636" i="1"/>
  <c r="DA636" i="1" s="1"/>
  <c r="DA633" i="1"/>
  <c r="BH237" i="1"/>
  <c r="DF173" i="1"/>
  <c r="BL167" i="1"/>
  <c r="BM164" i="1"/>
  <c r="BG71" i="1"/>
  <c r="BH502" i="1"/>
  <c r="BH424" i="1"/>
  <c r="BH459" i="1" s="1"/>
  <c r="BH488" i="1" s="1"/>
  <c r="BJ235" i="1"/>
  <c r="BJ178" i="1"/>
  <c r="AE59" i="31" s="1"/>
  <c r="AE60" i="31" s="1"/>
  <c r="AZ738" i="1"/>
  <c r="AZ637" i="1"/>
  <c r="AZ739" i="1" s="1"/>
  <c r="AZ765" i="1" s="1"/>
  <c r="BF71" i="1"/>
  <c r="DD237" i="1"/>
  <c r="AZ68" i="31" s="1"/>
  <c r="BH611" i="1"/>
  <c r="DE178" i="1"/>
  <c r="BA59" i="31" s="1"/>
  <c r="BA60" i="31" s="1"/>
  <c r="BI181" i="1"/>
  <c r="BI177" i="1"/>
  <c r="BI249" i="1"/>
  <c r="BL173" i="1"/>
  <c r="BM170" i="1"/>
  <c r="BE614" i="1"/>
  <c r="BI223" i="1"/>
  <c r="DE223" i="1" s="1"/>
  <c r="BJ224" i="1"/>
  <c r="DE75" i="1"/>
  <c r="BI222" i="1"/>
  <c r="DE222" i="1" s="1"/>
  <c r="DF157" i="1"/>
  <c r="BK176" i="1"/>
  <c r="BL157" i="1"/>
  <c r="BK161" i="1"/>
  <c r="BJ578" i="1"/>
  <c r="BD809" i="1"/>
  <c r="BD808" i="1"/>
  <c r="DC470" i="1"/>
  <c r="BD112" i="1"/>
  <c r="BD113" i="1"/>
  <c r="CY710" i="1"/>
  <c r="BA537" i="1"/>
  <c r="BA543" i="1"/>
  <c r="DD111" i="1"/>
  <c r="DC669" i="1"/>
  <c r="BF669" i="1"/>
  <c r="BI267" i="1"/>
  <c r="BI398" i="1" s="1"/>
  <c r="AD13" i="31" s="1"/>
  <c r="DE266" i="1"/>
  <c r="DE267" i="1" s="1"/>
  <c r="BJ267" i="1"/>
  <c r="BJ398" i="1" s="1"/>
  <c r="AE13" i="31" s="1"/>
  <c r="BH248" i="1"/>
  <c r="DD248" i="1"/>
  <c r="DD611" i="1"/>
  <c r="DD78" i="1"/>
  <c r="BG660" i="1"/>
  <c r="BF613" i="1"/>
  <c r="AA62" i="31" s="1"/>
  <c r="BF467" i="1"/>
  <c r="BF233" i="1"/>
  <c r="DC612" i="1"/>
  <c r="BE613" i="1"/>
  <c r="Z62" i="31" s="1"/>
  <c r="CY441" i="1"/>
  <c r="AU26" i="31" s="1"/>
  <c r="AU29" i="31" s="1"/>
  <c r="DD69" i="1"/>
  <c r="DC557" i="1"/>
  <c r="DC562" i="1" s="1"/>
  <c r="BE562" i="1"/>
  <c r="BE628" i="1"/>
  <c r="DC628" i="1" s="1"/>
  <c r="BI216" i="1"/>
  <c r="BJ219" i="1"/>
  <c r="BI215" i="1"/>
  <c r="DE215" i="1" s="1"/>
  <c r="BI218" i="1"/>
  <c r="BI217" i="1"/>
  <c r="BF663" i="1"/>
  <c r="DC663" i="1"/>
  <c r="BM160" i="1"/>
  <c r="BF666" i="1"/>
  <c r="BD713" i="1"/>
  <c r="BK209" i="1"/>
  <c r="BJ210" i="1"/>
  <c r="BH228" i="1"/>
  <c r="BH227" i="1"/>
  <c r="BH232" i="1" s="1"/>
  <c r="BH233" i="1" s="1"/>
  <c r="BI229" i="1"/>
  <c r="DE229" i="1" s="1"/>
  <c r="BF662" i="1"/>
  <c r="BH247" i="1"/>
  <c r="DD247" i="1"/>
  <c r="DE610" i="1"/>
  <c r="BE808" i="1"/>
  <c r="BE113" i="1"/>
  <c r="BE112" i="1"/>
  <c r="BE809" i="1"/>
  <c r="BF664" i="1"/>
  <c r="BF665" i="1"/>
  <c r="AC68" i="31" l="1"/>
  <c r="AC69" i="31" s="1"/>
  <c r="AZ69" i="31"/>
  <c r="BJ55" i="1"/>
  <c r="BJ186" i="1" s="1"/>
  <c r="DE186" i="1"/>
  <c r="DE55" i="1" s="1"/>
  <c r="BI187" i="1"/>
  <c r="DE187" i="1" s="1"/>
  <c r="Q18" i="7"/>
  <c r="BK129" i="1"/>
  <c r="DF52" i="1"/>
  <c r="DF43" i="1" s="1"/>
  <c r="BL179" i="1"/>
  <c r="DF179" i="1"/>
  <c r="R20" i="16"/>
  <c r="R22" i="16" s="1"/>
  <c r="R52" i="16" s="1"/>
  <c r="R54" i="16" s="1"/>
  <c r="BD74" i="1"/>
  <c r="DC72" i="1"/>
  <c r="DH584" i="1"/>
  <c r="BP584" i="1"/>
  <c r="DD232" i="1"/>
  <c r="BG233" i="1"/>
  <c r="BG86" i="1" s="1"/>
  <c r="BG468" i="1"/>
  <c r="DD468" i="1" s="1"/>
  <c r="BG665" i="1"/>
  <c r="DD665" i="1" s="1"/>
  <c r="BI234" i="1"/>
  <c r="BG664" i="1"/>
  <c r="BG662" i="1"/>
  <c r="DF58" i="1"/>
  <c r="BK578" i="1"/>
  <c r="DF578" i="1" s="1"/>
  <c r="BF628" i="1"/>
  <c r="BF562" i="1"/>
  <c r="CY443" i="1"/>
  <c r="BH660" i="1"/>
  <c r="DD660" i="1"/>
  <c r="BG669" i="1"/>
  <c r="DA543" i="1"/>
  <c r="BB535" i="1"/>
  <c r="BA544" i="1"/>
  <c r="BA680" i="1"/>
  <c r="BN170" i="1"/>
  <c r="DG170" i="1"/>
  <c r="DG59" i="1" s="1"/>
  <c r="DG48" i="1" s="1"/>
  <c r="BM173" i="1"/>
  <c r="DD71" i="1"/>
  <c r="BL192" i="1"/>
  <c r="BG666" i="1"/>
  <c r="BF470" i="1"/>
  <c r="DD467" i="1"/>
  <c r="BI248" i="1"/>
  <c r="DE248" i="1" s="1"/>
  <c r="BA634" i="1"/>
  <c r="DA537" i="1"/>
  <c r="DC113" i="1"/>
  <c r="DC808" i="1"/>
  <c r="DC809" i="1"/>
  <c r="DC112" i="1"/>
  <c r="BF614" i="1"/>
  <c r="DC614" i="1"/>
  <c r="DE218" i="1"/>
  <c r="BI611" i="1"/>
  <c r="DE177" i="1"/>
  <c r="BK235" i="1"/>
  <c r="BH468" i="1"/>
  <c r="BL87" i="1"/>
  <c r="BK193" i="1"/>
  <c r="DE145" i="1"/>
  <c r="BE713" i="1"/>
  <c r="BJ216" i="1"/>
  <c r="BK219" i="1"/>
  <c r="DF219" i="1" s="1"/>
  <c r="BJ217" i="1"/>
  <c r="BJ218" i="1"/>
  <c r="BJ215" i="1"/>
  <c r="BF625" i="1"/>
  <c r="BF703" i="1"/>
  <c r="BE703" i="1"/>
  <c r="DC703" i="1" s="1"/>
  <c r="BE625" i="1"/>
  <c r="DC625" i="1" s="1"/>
  <c r="DE216" i="1"/>
  <c r="DE181" i="1"/>
  <c r="DE154" i="1" s="1"/>
  <c r="BI154" i="1"/>
  <c r="DE217" i="1"/>
  <c r="BN160" i="1"/>
  <c r="DG160" i="1"/>
  <c r="DC147" i="1"/>
  <c r="DC613" i="1"/>
  <c r="DF161" i="1"/>
  <c r="BK178" i="1"/>
  <c r="AF59" i="31" s="1"/>
  <c r="AF60" i="31" s="1"/>
  <c r="BJ249" i="1"/>
  <c r="BI247" i="1"/>
  <c r="DE247" i="1" s="1"/>
  <c r="BI228" i="1"/>
  <c r="DE228" i="1" s="1"/>
  <c r="DE77" i="1"/>
  <c r="BI227" i="1"/>
  <c r="DE227" i="1" s="1"/>
  <c r="BJ229" i="1"/>
  <c r="BK210" i="1"/>
  <c r="DF210" i="1" s="1"/>
  <c r="DF209" i="1"/>
  <c r="DF64" i="1" s="1"/>
  <c r="BL209" i="1"/>
  <c r="DE398" i="1"/>
  <c r="BA13" i="31" s="1"/>
  <c r="BL176" i="1"/>
  <c r="BL161" i="1"/>
  <c r="BM157" i="1"/>
  <c r="BJ223" i="1"/>
  <c r="BJ222" i="1"/>
  <c r="BK224" i="1"/>
  <c r="DE249" i="1"/>
  <c r="AZ764" i="1"/>
  <c r="BG668" i="1"/>
  <c r="BH467" i="1"/>
  <c r="BK266" i="1"/>
  <c r="BG663" i="1"/>
  <c r="DD146" i="1"/>
  <c r="DF176" i="1"/>
  <c r="BK610" i="1"/>
  <c r="BJ177" i="1"/>
  <c r="BJ181" i="1"/>
  <c r="BN164" i="1"/>
  <c r="BM167" i="1"/>
  <c r="DG164" i="1"/>
  <c r="DG56" i="1" s="1"/>
  <c r="DG46" i="1" s="1"/>
  <c r="AU28" i="31" l="1"/>
  <c r="AU30" i="31" s="1"/>
  <c r="G27" i="30"/>
  <c r="G28" i="30" s="1"/>
  <c r="AY62" i="31"/>
  <c r="BJ187" i="1"/>
  <c r="BK55" i="1"/>
  <c r="BL610" i="1"/>
  <c r="H35" i="7"/>
  <c r="E55" i="30"/>
  <c r="J65" i="7"/>
  <c r="G94" i="2"/>
  <c r="G95" i="2"/>
  <c r="J66" i="7"/>
  <c r="G74" i="2"/>
  <c r="Q50" i="7"/>
  <c r="Q51" i="7" s="1"/>
  <c r="BL129" i="1"/>
  <c r="DD662" i="1"/>
  <c r="BI469" i="1"/>
  <c r="DE469" i="1" s="1"/>
  <c r="U13" i="16"/>
  <c r="U14" i="16" s="1"/>
  <c r="V14" i="16" s="1"/>
  <c r="W14" i="16" s="1"/>
  <c r="X14" i="16" s="1"/>
  <c r="Y14" i="16" s="1"/>
  <c r="Z14" i="16" s="1"/>
  <c r="DG54" i="1"/>
  <c r="DG45" i="1" s="1"/>
  <c r="DC713" i="1"/>
  <c r="BM179" i="1"/>
  <c r="DD664" i="1"/>
  <c r="DE87" i="1"/>
  <c r="T32" i="16"/>
  <c r="T33" i="16" s="1"/>
  <c r="BF74" i="1"/>
  <c r="BE74" i="1"/>
  <c r="DC74" i="1"/>
  <c r="BQ584" i="1"/>
  <c r="DI584" i="1" s="1"/>
  <c r="DD109" i="1"/>
  <c r="DD110" i="1"/>
  <c r="DD233" i="1"/>
  <c r="BG470" i="1"/>
  <c r="BI237" i="1"/>
  <c r="BH665" i="1"/>
  <c r="DE234" i="1"/>
  <c r="DE67" i="1"/>
  <c r="BG614" i="1"/>
  <c r="DD614" i="1" s="1"/>
  <c r="DE76" i="1"/>
  <c r="DE68" i="1"/>
  <c r="BH662" i="1"/>
  <c r="BH664" i="1"/>
  <c r="BJ611" i="1"/>
  <c r="BN167" i="1"/>
  <c r="BO164" i="1"/>
  <c r="BP164" i="1" s="1"/>
  <c r="BM176" i="1"/>
  <c r="BM161" i="1"/>
  <c r="DG157" i="1"/>
  <c r="BN157" i="1"/>
  <c r="BJ228" i="1"/>
  <c r="BK229" i="1"/>
  <c r="DF229" i="1" s="1"/>
  <c r="BJ227" i="1"/>
  <c r="BJ232" i="1" s="1"/>
  <c r="BH71" i="1"/>
  <c r="DE78" i="1"/>
  <c r="BF713" i="1"/>
  <c r="DD612" i="1"/>
  <c r="BG613" i="1"/>
  <c r="AB62" i="31" s="1"/>
  <c r="BI232" i="1"/>
  <c r="BK222" i="1"/>
  <c r="DF222" i="1" s="1"/>
  <c r="BK223" i="1"/>
  <c r="DF223" i="1" s="1"/>
  <c r="BL224" i="1"/>
  <c r="BL178" i="1"/>
  <c r="AG59" i="31" s="1"/>
  <c r="BK249" i="1"/>
  <c r="DF249" i="1" s="1"/>
  <c r="BM87" i="1"/>
  <c r="BL235" i="1"/>
  <c r="DG173" i="1"/>
  <c r="DD669" i="1"/>
  <c r="BH669" i="1"/>
  <c r="BI660" i="1"/>
  <c r="BH613" i="1"/>
  <c r="AC62" i="31" s="1"/>
  <c r="CY99" i="1"/>
  <c r="CY430" i="1"/>
  <c r="CY98" i="1"/>
  <c r="CY791" i="1"/>
  <c r="C88" i="2" s="1"/>
  <c r="CY454" i="1"/>
  <c r="BI71" i="1"/>
  <c r="DF224" i="1"/>
  <c r="BO160" i="1"/>
  <c r="BK215" i="1"/>
  <c r="DF215" i="1" s="1"/>
  <c r="BK216" i="1"/>
  <c r="BK218" i="1"/>
  <c r="BK217" i="1"/>
  <c r="BL219" i="1"/>
  <c r="DE611" i="1"/>
  <c r="BL578" i="1"/>
  <c r="BH666" i="1"/>
  <c r="DD666" i="1"/>
  <c r="CY449" i="1"/>
  <c r="BJ154" i="1"/>
  <c r="DF193" i="1"/>
  <c r="BL193" i="1"/>
  <c r="DF235" i="1"/>
  <c r="DA634" i="1"/>
  <c r="DA635" i="1" s="1"/>
  <c r="BA635" i="1"/>
  <c r="BJ248" i="1"/>
  <c r="BO170" i="1"/>
  <c r="BP170" i="1" s="1"/>
  <c r="BN173" i="1"/>
  <c r="BJ424" i="1"/>
  <c r="BJ459" i="1" s="1"/>
  <c r="BJ488" i="1" s="1"/>
  <c r="BJ502" i="1"/>
  <c r="BH663" i="1"/>
  <c r="DD663" i="1"/>
  <c r="BM209" i="1"/>
  <c r="BM266" i="1" s="1"/>
  <c r="BM267" i="1" s="1"/>
  <c r="BL210" i="1"/>
  <c r="BH470" i="1"/>
  <c r="BH668" i="1"/>
  <c r="DD668" i="1"/>
  <c r="DE433" i="1"/>
  <c r="DG167" i="1"/>
  <c r="BM192" i="1"/>
  <c r="DG192" i="1" s="1"/>
  <c r="BL266" i="1"/>
  <c r="DE70" i="1"/>
  <c r="BJ234" i="1"/>
  <c r="DE69" i="1"/>
  <c r="DA680" i="1"/>
  <c r="BB633" i="1"/>
  <c r="BB141" i="1"/>
  <c r="DD557" i="1"/>
  <c r="DD562" i="1" s="1"/>
  <c r="BG628" i="1"/>
  <c r="DD628" i="1" s="1"/>
  <c r="BG562" i="1"/>
  <c r="DF610" i="1"/>
  <c r="BK267" i="1"/>
  <c r="BK398" i="1" s="1"/>
  <c r="AF13" i="31" s="1"/>
  <c r="DF266" i="1"/>
  <c r="DF267" i="1" s="1"/>
  <c r="BI424" i="1"/>
  <c r="BI459" i="1" s="1"/>
  <c r="BI488" i="1" s="1"/>
  <c r="BI502" i="1"/>
  <c r="DE502" i="1" s="1"/>
  <c r="DE412" i="1"/>
  <c r="DE424" i="1" s="1"/>
  <c r="DE459" i="1" s="1"/>
  <c r="DE488" i="1" s="1"/>
  <c r="BJ247" i="1"/>
  <c r="BK177" i="1"/>
  <c r="DF178" i="1"/>
  <c r="BB59" i="31" s="1"/>
  <c r="BB60" i="31" s="1"/>
  <c r="BK181" i="1"/>
  <c r="BF808" i="1"/>
  <c r="BF112" i="1"/>
  <c r="BF809" i="1"/>
  <c r="BF113" i="1"/>
  <c r="DA544" i="1"/>
  <c r="E56" i="30" s="1"/>
  <c r="BA545" i="1"/>
  <c r="DA652" i="1"/>
  <c r="E128" i="2" s="1"/>
  <c r="DA141" i="1"/>
  <c r="DA143" i="1" s="1"/>
  <c r="L24" i="2" l="1"/>
  <c r="L51" i="2"/>
  <c r="AD68" i="31"/>
  <c r="AD69" i="31" s="1"/>
  <c r="AG60" i="31"/>
  <c r="BL55" i="1"/>
  <c r="BK186" i="1"/>
  <c r="C43" i="2"/>
  <c r="C42" i="2" s="1"/>
  <c r="C11" i="30"/>
  <c r="K46" i="30" s="1"/>
  <c r="CY451" i="1"/>
  <c r="C12" i="30"/>
  <c r="M16" i="7"/>
  <c r="BM129" i="1"/>
  <c r="DD470" i="1"/>
  <c r="V13" i="16"/>
  <c r="W13" i="16" s="1"/>
  <c r="X13" i="16" s="1"/>
  <c r="DG179" i="1"/>
  <c r="BN179" i="1"/>
  <c r="DG52" i="1"/>
  <c r="DG43" i="1" s="1"/>
  <c r="DF398" i="1"/>
  <c r="BB13" i="31" s="1"/>
  <c r="DE111" i="1"/>
  <c r="DD73" i="1"/>
  <c r="DD72" i="1"/>
  <c r="DE237" i="1"/>
  <c r="BA68" i="31" s="1"/>
  <c r="BA69" i="31" s="1"/>
  <c r="R59" i="16"/>
  <c r="DH160" i="1"/>
  <c r="BP160" i="1"/>
  <c r="BP173" i="1"/>
  <c r="BQ170" i="1"/>
  <c r="BQ164" i="1"/>
  <c r="BP167" i="1"/>
  <c r="BI662" i="1"/>
  <c r="BI468" i="1"/>
  <c r="DE468" i="1" s="1"/>
  <c r="BG112" i="1"/>
  <c r="BG809" i="1"/>
  <c r="BG113" i="1"/>
  <c r="BG808" i="1"/>
  <c r="DF218" i="1"/>
  <c r="BK234" i="1"/>
  <c r="BM578" i="1"/>
  <c r="DG578" i="1" s="1"/>
  <c r="BI666" i="1"/>
  <c r="BI663" i="1"/>
  <c r="BI668" i="1"/>
  <c r="BI669" i="1"/>
  <c r="DE669" i="1" s="1"/>
  <c r="BI664" i="1"/>
  <c r="DG58" i="1"/>
  <c r="DF216" i="1"/>
  <c r="BJ233" i="1"/>
  <c r="BJ237" i="1"/>
  <c r="AE68" i="31" s="1"/>
  <c r="AE69" i="31" s="1"/>
  <c r="BJ469" i="1"/>
  <c r="DG209" i="1"/>
  <c r="DG64" i="1" s="1"/>
  <c r="BM210" i="1"/>
  <c r="DG210" i="1" s="1"/>
  <c r="BN209" i="1"/>
  <c r="BN266" i="1" s="1"/>
  <c r="BA738" i="1"/>
  <c r="BA637" i="1"/>
  <c r="BA739" i="1" s="1"/>
  <c r="BA765" i="1" s="1"/>
  <c r="CY793" i="1"/>
  <c r="AU71" i="31" s="1"/>
  <c r="CY794" i="1"/>
  <c r="C91" i="2" s="1"/>
  <c r="DE660" i="1"/>
  <c r="BJ660" i="1"/>
  <c r="DF217" i="1"/>
  <c r="BI467" i="1"/>
  <c r="DE232" i="1"/>
  <c r="BI233" i="1"/>
  <c r="BI86" i="1" s="1"/>
  <c r="BN192" i="1"/>
  <c r="DA738" i="1"/>
  <c r="DA637" i="1"/>
  <c r="DA739" i="1" s="1"/>
  <c r="DA765" i="1" s="1"/>
  <c r="BL181" i="1"/>
  <c r="BL177" i="1"/>
  <c r="BH703" i="1"/>
  <c r="BH625" i="1"/>
  <c r="BG625" i="1"/>
  <c r="DD625" i="1" s="1"/>
  <c r="BG703" i="1"/>
  <c r="DD703" i="1" s="1"/>
  <c r="DE71" i="1"/>
  <c r="DG161" i="1"/>
  <c r="BM178" i="1"/>
  <c r="AH59" i="31" s="1"/>
  <c r="AH60" i="31" s="1"/>
  <c r="BB537" i="1"/>
  <c r="BB543" i="1"/>
  <c r="DH170" i="1"/>
  <c r="DH59" i="1" s="1"/>
  <c r="DH48" i="1" s="1"/>
  <c r="BO173" i="1"/>
  <c r="CY483" i="1"/>
  <c r="CY734" i="1"/>
  <c r="CY461" i="1"/>
  <c r="BM235" i="1"/>
  <c r="DF76" i="1"/>
  <c r="BL249" i="1"/>
  <c r="BL223" i="1"/>
  <c r="BL222" i="1"/>
  <c r="BM224" i="1"/>
  <c r="DG224" i="1" s="1"/>
  <c r="DD147" i="1"/>
  <c r="DD613" i="1"/>
  <c r="AZ62" i="31" s="1"/>
  <c r="BM610" i="1"/>
  <c r="DG176" i="1"/>
  <c r="BI665" i="1"/>
  <c r="DF181" i="1"/>
  <c r="DF154" i="1" s="1"/>
  <c r="BK154" i="1"/>
  <c r="BH113" i="1"/>
  <c r="BH808" i="1"/>
  <c r="BH809" i="1"/>
  <c r="BH112" i="1"/>
  <c r="BL217" i="1"/>
  <c r="BL215" i="1"/>
  <c r="BL216" i="1"/>
  <c r="BL218" i="1"/>
  <c r="BM219" i="1"/>
  <c r="DG219" i="1" s="1"/>
  <c r="BG713" i="1"/>
  <c r="BK247" i="1"/>
  <c r="BB636" i="1"/>
  <c r="DF177" i="1"/>
  <c r="BK611" i="1"/>
  <c r="DF145" i="1"/>
  <c r="BH628" i="1"/>
  <c r="BH562" i="1"/>
  <c r="DG266" i="1"/>
  <c r="DG267" i="1" s="1"/>
  <c r="BL267" i="1"/>
  <c r="BL398" i="1" s="1"/>
  <c r="AG13" i="31" s="1"/>
  <c r="BM193" i="1"/>
  <c r="BN87" i="1"/>
  <c r="BM398" i="1"/>
  <c r="AH13" i="31" s="1"/>
  <c r="DA545" i="1"/>
  <c r="E57" i="30" s="1"/>
  <c r="BJ467" i="1"/>
  <c r="DF75" i="1"/>
  <c r="BK248" i="1"/>
  <c r="DE146" i="1"/>
  <c r="BH614" i="1"/>
  <c r="DF77" i="1"/>
  <c r="BK228" i="1"/>
  <c r="DF228" i="1" s="1"/>
  <c r="BL229" i="1"/>
  <c r="BK227" i="1"/>
  <c r="BK232" i="1" s="1"/>
  <c r="BN161" i="1"/>
  <c r="BN176" i="1"/>
  <c r="BO157" i="1"/>
  <c r="DH164" i="1"/>
  <c r="DH56" i="1" s="1"/>
  <c r="DH46" i="1" s="1"/>
  <c r="BO167" i="1"/>
  <c r="AU32" i="31" l="1"/>
  <c r="AU33" i="31" s="1"/>
  <c r="K45" i="30"/>
  <c r="DF186" i="1"/>
  <c r="DF55" i="1" s="1"/>
  <c r="BK187" i="1"/>
  <c r="BM55" i="1"/>
  <c r="BL186" i="1"/>
  <c r="BN610" i="1"/>
  <c r="C45" i="2"/>
  <c r="C44" i="2" s="1"/>
  <c r="CY463" i="1"/>
  <c r="C90" i="2"/>
  <c r="C14" i="30"/>
  <c r="K21" i="30"/>
  <c r="F16" i="7"/>
  <c r="F40" i="7" s="1"/>
  <c r="F52" i="7"/>
  <c r="F51" i="7"/>
  <c r="M17" i="7"/>
  <c r="E24" i="2"/>
  <c r="H36" i="7"/>
  <c r="E51" i="2"/>
  <c r="BN129" i="1"/>
  <c r="DD809" i="1"/>
  <c r="DD113" i="1"/>
  <c r="DE664" i="1"/>
  <c r="DH54" i="1"/>
  <c r="DH45" i="1" s="1"/>
  <c r="BH713" i="1"/>
  <c r="DE668" i="1"/>
  <c r="BK237" i="1"/>
  <c r="AF68" i="31" s="1"/>
  <c r="AF69" i="31" s="1"/>
  <c r="DD112" i="1"/>
  <c r="BO179" i="1"/>
  <c r="DF87" i="1"/>
  <c r="DE663" i="1"/>
  <c r="DE662" i="1"/>
  <c r="BP157" i="1"/>
  <c r="U32" i="16"/>
  <c r="U33" i="16" s="1"/>
  <c r="V33" i="16" s="1"/>
  <c r="W33" i="16" s="1"/>
  <c r="X33" i="16" s="1"/>
  <c r="DD808" i="1"/>
  <c r="DE666" i="1"/>
  <c r="DD74" i="1"/>
  <c r="BG74" i="1"/>
  <c r="BQ173" i="1"/>
  <c r="DI170" i="1"/>
  <c r="BQ160" i="1"/>
  <c r="BQ167" i="1"/>
  <c r="DI164" i="1"/>
  <c r="BP192" i="1"/>
  <c r="DF234" i="1"/>
  <c r="DE110" i="1"/>
  <c r="BK469" i="1"/>
  <c r="DF469" i="1" s="1"/>
  <c r="DF68" i="1"/>
  <c r="DF70" i="1"/>
  <c r="BN578" i="1"/>
  <c r="BL247" i="1"/>
  <c r="DD713" i="1"/>
  <c r="DF69" i="1"/>
  <c r="BJ668" i="1"/>
  <c r="BJ663" i="1"/>
  <c r="BL248" i="1"/>
  <c r="BI614" i="1"/>
  <c r="DE614" i="1" s="1"/>
  <c r="BJ662" i="1"/>
  <c r="BK467" i="1"/>
  <c r="DF467" i="1" s="1"/>
  <c r="BK233" i="1"/>
  <c r="DF233" i="1" s="1"/>
  <c r="DF232" i="1"/>
  <c r="DF227" i="1"/>
  <c r="DG193" i="1"/>
  <c r="BN193" i="1"/>
  <c r="DE665" i="1"/>
  <c r="BJ665" i="1"/>
  <c r="BC535" i="1"/>
  <c r="BC141" i="1" s="1"/>
  <c r="BB680" i="1"/>
  <c r="BB544" i="1"/>
  <c r="BL611" i="1"/>
  <c r="BN210" i="1"/>
  <c r="BO209" i="1"/>
  <c r="DH167" i="1"/>
  <c r="BO192" i="1"/>
  <c r="DH192" i="1" s="1"/>
  <c r="BL228" i="1"/>
  <c r="BM229" i="1"/>
  <c r="DG229" i="1" s="1"/>
  <c r="BL227" i="1"/>
  <c r="BL232" i="1" s="1"/>
  <c r="BI562" i="1"/>
  <c r="BI628" i="1"/>
  <c r="DE628" i="1" s="1"/>
  <c r="DE557" i="1"/>
  <c r="DE562" i="1" s="1"/>
  <c r="DF247" i="1"/>
  <c r="BB634" i="1"/>
  <c r="CY497" i="1"/>
  <c r="AU40" i="31" s="1"/>
  <c r="BK71" i="1"/>
  <c r="DA764" i="1"/>
  <c r="BN267" i="1"/>
  <c r="BN398" i="1" s="1"/>
  <c r="AI13" i="31" s="1"/>
  <c r="CY490" i="1"/>
  <c r="AU38" i="31" s="1"/>
  <c r="BL154" i="1"/>
  <c r="DE233" i="1"/>
  <c r="BJ613" i="1"/>
  <c r="AE62" i="31" s="1"/>
  <c r="BK660" i="1"/>
  <c r="DG610" i="1"/>
  <c r="BM249" i="1"/>
  <c r="BN235" i="1"/>
  <c r="BJ71" i="1"/>
  <c r="BA764" i="1"/>
  <c r="DF611" i="1"/>
  <c r="BO161" i="1"/>
  <c r="BO176" i="1"/>
  <c r="DH157" i="1"/>
  <c r="Y13" i="16"/>
  <c r="DF248" i="1"/>
  <c r="DF433" i="1"/>
  <c r="DG235" i="1"/>
  <c r="DF67" i="1"/>
  <c r="BJ669" i="1"/>
  <c r="BJ666" i="1"/>
  <c r="BI470" i="1"/>
  <c r="DE467" i="1"/>
  <c r="DE109" i="1" s="1"/>
  <c r="DG398" i="1"/>
  <c r="BC13" i="31" s="1"/>
  <c r="BN178" i="1"/>
  <c r="AI59" i="31" s="1"/>
  <c r="AI60" i="31" s="1"/>
  <c r="BK502" i="1"/>
  <c r="DF502" i="1" s="1"/>
  <c r="BK424" i="1"/>
  <c r="BK459" i="1" s="1"/>
  <c r="BK488" i="1" s="1"/>
  <c r="DF412" i="1"/>
  <c r="DF424" i="1" s="1"/>
  <c r="DF459" i="1" s="1"/>
  <c r="DF488" i="1" s="1"/>
  <c r="BO87" i="1"/>
  <c r="BP87" i="1" s="1"/>
  <c r="BM217" i="1"/>
  <c r="BN219" i="1"/>
  <c r="BM218" i="1"/>
  <c r="BM215" i="1"/>
  <c r="DG215" i="1" s="1"/>
  <c r="BM216" i="1"/>
  <c r="BL234" i="1"/>
  <c r="DG75" i="1"/>
  <c r="BM223" i="1"/>
  <c r="DG223" i="1" s="1"/>
  <c r="BN224" i="1"/>
  <c r="BM222" i="1"/>
  <c r="DG222" i="1" s="1"/>
  <c r="CY761" i="1"/>
  <c r="DH173" i="1"/>
  <c r="DG178" i="1"/>
  <c r="BC59" i="31" s="1"/>
  <c r="BC60" i="31" s="1"/>
  <c r="BM177" i="1"/>
  <c r="BM181" i="1"/>
  <c r="DE612" i="1"/>
  <c r="BI613" i="1"/>
  <c r="AD62" i="31" s="1"/>
  <c r="BJ664" i="1"/>
  <c r="BJ468" i="1"/>
  <c r="AU41" i="31" l="1"/>
  <c r="DF187" i="1"/>
  <c r="BL187" i="1"/>
  <c r="BN55" i="1"/>
  <c r="BM186" i="1"/>
  <c r="DG186" i="1" s="1"/>
  <c r="DG55" i="1" s="1"/>
  <c r="CY493" i="1"/>
  <c r="BK468" i="1"/>
  <c r="BK470" i="1" s="1"/>
  <c r="BP161" i="1"/>
  <c r="BP178" i="1" s="1"/>
  <c r="AK59" i="31" s="1"/>
  <c r="M21" i="7"/>
  <c r="C46" i="2"/>
  <c r="C49" i="2" s="1"/>
  <c r="M20" i="7"/>
  <c r="F15" i="7"/>
  <c r="BO129" i="1"/>
  <c r="DF237" i="1"/>
  <c r="BB68" i="31" s="1"/>
  <c r="BB69" i="31" s="1"/>
  <c r="W32" i="16"/>
  <c r="V32" i="16"/>
  <c r="DI160" i="1"/>
  <c r="BP176" i="1"/>
  <c r="BP610" i="1" s="1"/>
  <c r="DH52" i="1"/>
  <c r="DH43" i="1" s="1"/>
  <c r="BQ157" i="1"/>
  <c r="BQ161" i="1" s="1"/>
  <c r="DI161" i="1" s="1"/>
  <c r="DH179" i="1"/>
  <c r="BP179" i="1"/>
  <c r="DG87" i="1"/>
  <c r="BH74" i="1"/>
  <c r="DE73" i="1"/>
  <c r="DE72" i="1"/>
  <c r="DF111" i="1"/>
  <c r="DI59" i="1"/>
  <c r="DI48" i="1" s="1"/>
  <c r="DI56" i="1"/>
  <c r="DI46" i="1" s="1"/>
  <c r="BQ192" i="1"/>
  <c r="DI192" i="1" s="1"/>
  <c r="DI167" i="1"/>
  <c r="DI173" i="1"/>
  <c r="BO266" i="1"/>
  <c r="BP209" i="1"/>
  <c r="BQ87" i="1"/>
  <c r="BM234" i="1"/>
  <c r="BM248" i="1"/>
  <c r="DG248" i="1" s="1"/>
  <c r="BJ614" i="1"/>
  <c r="DF78" i="1"/>
  <c r="BK662" i="1"/>
  <c r="DF109" i="1"/>
  <c r="DH58" i="1"/>
  <c r="BK664" i="1"/>
  <c r="BK666" i="1"/>
  <c r="BK663" i="1"/>
  <c r="BM247" i="1"/>
  <c r="DG247" i="1" s="1"/>
  <c r="BL237" i="1"/>
  <c r="AG68" i="31" s="1"/>
  <c r="BL233" i="1"/>
  <c r="BL469" i="1"/>
  <c r="DF660" i="1"/>
  <c r="BL660" i="1"/>
  <c r="BB545" i="1"/>
  <c r="BN181" i="1"/>
  <c r="BN177" i="1"/>
  <c r="DG412" i="1"/>
  <c r="DG424" i="1" s="1"/>
  <c r="DG459" i="1" s="1"/>
  <c r="DG488" i="1" s="1"/>
  <c r="BL502" i="1"/>
  <c r="BL424" i="1"/>
  <c r="BL459" i="1" s="1"/>
  <c r="BL488" i="1" s="1"/>
  <c r="DH176" i="1"/>
  <c r="BO610" i="1"/>
  <c r="BL467" i="1"/>
  <c r="BB635" i="1"/>
  <c r="DG218" i="1"/>
  <c r="Y33" i="16"/>
  <c r="X32" i="16"/>
  <c r="DH161" i="1"/>
  <c r="BO178" i="1"/>
  <c r="AJ59" i="31" s="1"/>
  <c r="AJ60" i="31" s="1"/>
  <c r="BO235" i="1"/>
  <c r="DG145" i="1"/>
  <c r="BN229" i="1"/>
  <c r="BN234" i="1" s="1"/>
  <c r="BM227" i="1"/>
  <c r="DG227" i="1" s="1"/>
  <c r="BM228" i="1"/>
  <c r="DG228" i="1" s="1"/>
  <c r="DG77" i="1"/>
  <c r="BO193" i="1"/>
  <c r="BO578" i="1"/>
  <c r="DF146" i="1"/>
  <c r="BN249" i="1"/>
  <c r="DG216" i="1"/>
  <c r="BJ562" i="1"/>
  <c r="BJ628" i="1"/>
  <c r="BJ470" i="1"/>
  <c r="BC633" i="1"/>
  <c r="DB535" i="1"/>
  <c r="DB139" i="1"/>
  <c r="BM611" i="1"/>
  <c r="DG177" i="1"/>
  <c r="BI808" i="1"/>
  <c r="BI112" i="1"/>
  <c r="BI113" i="1"/>
  <c r="BI809" i="1"/>
  <c r="DE470" i="1"/>
  <c r="BI713" i="1"/>
  <c r="BJ703" i="1"/>
  <c r="BJ625" i="1"/>
  <c r="BI703" i="1"/>
  <c r="DE703" i="1" s="1"/>
  <c r="BI625" i="1"/>
  <c r="DE625" i="1" s="1"/>
  <c r="Z13" i="16"/>
  <c r="DG249" i="1"/>
  <c r="CY129" i="1"/>
  <c r="CY130" i="1"/>
  <c r="DH209" i="1"/>
  <c r="DH64" i="1" s="1"/>
  <c r="BO210" i="1"/>
  <c r="DH210" i="1" s="1"/>
  <c r="BK665" i="1"/>
  <c r="BM154" i="1"/>
  <c r="DG181" i="1"/>
  <c r="DG154" i="1" s="1"/>
  <c r="DG433" i="1"/>
  <c r="BO219" i="1"/>
  <c r="BN217" i="1"/>
  <c r="BN218" i="1"/>
  <c r="BN215" i="1"/>
  <c r="BN216" i="1"/>
  <c r="DE147" i="1"/>
  <c r="DE613" i="1"/>
  <c r="BA62" i="31" s="1"/>
  <c r="BN223" i="1"/>
  <c r="BN222" i="1"/>
  <c r="BO224" i="1"/>
  <c r="BM502" i="1"/>
  <c r="BM424" i="1"/>
  <c r="BM459" i="1" s="1"/>
  <c r="BM488" i="1" s="1"/>
  <c r="BK669" i="1"/>
  <c r="DG217" i="1"/>
  <c r="DF71" i="1"/>
  <c r="CY500" i="1"/>
  <c r="BK668" i="1"/>
  <c r="AK60" i="31" l="1"/>
  <c r="AG69" i="31"/>
  <c r="BO55" i="1"/>
  <c r="BN186" i="1"/>
  <c r="BM187" i="1"/>
  <c r="DF468" i="1"/>
  <c r="DF110" i="1" s="1"/>
  <c r="F54" i="7"/>
  <c r="M24" i="7"/>
  <c r="M28" i="7" s="1"/>
  <c r="F24" i="7" s="1"/>
  <c r="BP129" i="1"/>
  <c r="BM469" i="1"/>
  <c r="DG469" i="1" s="1"/>
  <c r="BQ179" i="1"/>
  <c r="DI54" i="1"/>
  <c r="DI45" i="1" s="1"/>
  <c r="DF666" i="1"/>
  <c r="DF662" i="1"/>
  <c r="DF664" i="1"/>
  <c r="DI157" i="1"/>
  <c r="BQ176" i="1"/>
  <c r="DI176" i="1" s="1"/>
  <c r="DE74" i="1"/>
  <c r="BI74" i="1"/>
  <c r="DG68" i="1"/>
  <c r="DI58" i="1"/>
  <c r="BP266" i="1"/>
  <c r="BO267" i="1"/>
  <c r="BO398" i="1" s="1"/>
  <c r="AJ13" i="31" s="1"/>
  <c r="DG234" i="1"/>
  <c r="DH266" i="1"/>
  <c r="DH267" i="1" s="1"/>
  <c r="DH193" i="1"/>
  <c r="BP193" i="1"/>
  <c r="BP181" i="1"/>
  <c r="BP177" i="1"/>
  <c r="DH219" i="1"/>
  <c r="BP219" i="1"/>
  <c r="BQ178" i="1"/>
  <c r="AL59" i="31" s="1"/>
  <c r="AL60" i="31" s="1"/>
  <c r="BQ209" i="1"/>
  <c r="BP210" i="1"/>
  <c r="DH578" i="1"/>
  <c r="BP578" i="1"/>
  <c r="DH224" i="1"/>
  <c r="BP224" i="1"/>
  <c r="BP235" i="1"/>
  <c r="BM237" i="1"/>
  <c r="AH68" i="31" s="1"/>
  <c r="AH69" i="31" s="1"/>
  <c r="BN248" i="1"/>
  <c r="BL664" i="1"/>
  <c r="BK614" i="1"/>
  <c r="DF614" i="1" s="1"/>
  <c r="BN247" i="1"/>
  <c r="BL663" i="1"/>
  <c r="DF663" i="1"/>
  <c r="BL666" i="1"/>
  <c r="BM232" i="1"/>
  <c r="BM467" i="1" s="1"/>
  <c r="DG467" i="1" s="1"/>
  <c r="DH235" i="1"/>
  <c r="DG69" i="1"/>
  <c r="BB637" i="1"/>
  <c r="BB739" i="1" s="1"/>
  <c r="BB765" i="1" s="1"/>
  <c r="BB738" i="1"/>
  <c r="BN424" i="1"/>
  <c r="BN459" i="1" s="1"/>
  <c r="BN488" i="1" s="1"/>
  <c r="BN502" i="1"/>
  <c r="CY506" i="1"/>
  <c r="CY509" i="1" s="1"/>
  <c r="BJ112" i="1"/>
  <c r="BJ809" i="1"/>
  <c r="BJ113" i="1"/>
  <c r="DF470" i="1"/>
  <c r="BJ808" i="1"/>
  <c r="DF612" i="1"/>
  <c r="BK613" i="1"/>
  <c r="AF62" i="31" s="1"/>
  <c r="BL669" i="1"/>
  <c r="DF669" i="1"/>
  <c r="BM71" i="1"/>
  <c r="DF557" i="1"/>
  <c r="DF562" i="1" s="1"/>
  <c r="BK628" i="1"/>
  <c r="DF628" i="1" s="1"/>
  <c r="BK562" i="1"/>
  <c r="BL71" i="1"/>
  <c r="BM660" i="1"/>
  <c r="BL613" i="1"/>
  <c r="AG62" i="31" s="1"/>
  <c r="BL468" i="1"/>
  <c r="BL470" i="1" s="1"/>
  <c r="DG67" i="1"/>
  <c r="DH178" i="1"/>
  <c r="BD59" i="31" s="1"/>
  <c r="BD60" i="31" s="1"/>
  <c r="BO177" i="1"/>
  <c r="BO181" i="1"/>
  <c r="Y32" i="16"/>
  <c r="Z33" i="16"/>
  <c r="DG78" i="1"/>
  <c r="BN611" i="1"/>
  <c r="DG76" i="1"/>
  <c r="BN237" i="1"/>
  <c r="AI68" i="31" s="1"/>
  <c r="AI69" i="31" s="1"/>
  <c r="BN469" i="1"/>
  <c r="BO218" i="1"/>
  <c r="BO215" i="1"/>
  <c r="BO217" i="1"/>
  <c r="BO216" i="1"/>
  <c r="BL665" i="1"/>
  <c r="DF665" i="1"/>
  <c r="BJ713" i="1"/>
  <c r="DE713" i="1"/>
  <c r="BC636" i="1"/>
  <c r="DB636" i="1" s="1"/>
  <c r="DB633" i="1"/>
  <c r="BK809" i="1"/>
  <c r="BK113" i="1"/>
  <c r="BK808" i="1"/>
  <c r="BK112" i="1"/>
  <c r="DG70" i="1"/>
  <c r="CY495" i="1"/>
  <c r="CY515" i="1"/>
  <c r="AU44" i="31" s="1"/>
  <c r="AU47" i="31" s="1"/>
  <c r="AU48" i="31" s="1"/>
  <c r="DF668" i="1"/>
  <c r="BL668" i="1"/>
  <c r="CY136" i="1"/>
  <c r="BO223" i="1"/>
  <c r="BO222" i="1"/>
  <c r="AA13" i="16"/>
  <c r="DE112" i="1"/>
  <c r="DE809" i="1"/>
  <c r="DE808" i="1"/>
  <c r="DE113" i="1"/>
  <c r="DG611" i="1"/>
  <c r="BC537" i="1"/>
  <c r="BC543" i="1"/>
  <c r="BO249" i="1"/>
  <c r="BN227" i="1"/>
  <c r="BN232" i="1" s="1"/>
  <c r="BO229" i="1"/>
  <c r="BN228" i="1"/>
  <c r="BL662" i="1"/>
  <c r="DH610" i="1"/>
  <c r="DG502" i="1"/>
  <c r="BN154" i="1"/>
  <c r="DG187" i="1" l="1"/>
  <c r="BN187" i="1"/>
  <c r="BP55" i="1"/>
  <c r="BO186" i="1"/>
  <c r="DH186" i="1" s="1"/>
  <c r="DH55" i="1" s="1"/>
  <c r="C15" i="30"/>
  <c r="C17" i="30" s="1"/>
  <c r="DG237" i="1"/>
  <c r="BC68" i="31" s="1"/>
  <c r="BC69" i="31" s="1"/>
  <c r="F18" i="7"/>
  <c r="F31" i="7"/>
  <c r="BQ129" i="1"/>
  <c r="BQ610" i="1"/>
  <c r="DI610" i="1" s="1"/>
  <c r="DI145" i="1" s="1"/>
  <c r="DI178" i="1"/>
  <c r="BE59" i="31" s="1"/>
  <c r="BE60" i="31" s="1"/>
  <c r="DH398" i="1"/>
  <c r="BD13" i="31" s="1"/>
  <c r="DI179" i="1"/>
  <c r="DI52" i="1"/>
  <c r="DI43" i="1" s="1"/>
  <c r="S20" i="16"/>
  <c r="S22" i="16" s="1"/>
  <c r="S52" i="16" s="1"/>
  <c r="S54" i="16" s="1"/>
  <c r="DF73" i="1"/>
  <c r="BJ74" i="1"/>
  <c r="DF72" i="1"/>
  <c r="DG111" i="1"/>
  <c r="BO424" i="1"/>
  <c r="BO459" i="1" s="1"/>
  <c r="BO488" i="1" s="1"/>
  <c r="BQ210" i="1"/>
  <c r="DI210" i="1" s="1"/>
  <c r="DI209" i="1"/>
  <c r="DI64" i="1" s="1"/>
  <c r="BQ193" i="1"/>
  <c r="DI193" i="1" s="1"/>
  <c r="BP267" i="1"/>
  <c r="BP398" i="1" s="1"/>
  <c r="AK13" i="31" s="1"/>
  <c r="DH75" i="1"/>
  <c r="DH222" i="1"/>
  <c r="BQ578" i="1"/>
  <c r="DI578" i="1" s="1"/>
  <c r="DH223" i="1"/>
  <c r="BQ266" i="1"/>
  <c r="BQ267" i="1" s="1"/>
  <c r="BQ398" i="1" s="1"/>
  <c r="AL13" i="31" s="1"/>
  <c r="BP611" i="1"/>
  <c r="BP223" i="1"/>
  <c r="BQ224" i="1"/>
  <c r="DI224" i="1" s="1"/>
  <c r="BP222" i="1"/>
  <c r="BP154" i="1"/>
  <c r="BP249" i="1"/>
  <c r="BQ177" i="1"/>
  <c r="BQ181" i="1"/>
  <c r="DH229" i="1"/>
  <c r="BP229" i="1"/>
  <c r="BP234" i="1" s="1"/>
  <c r="BQ235" i="1"/>
  <c r="BP218" i="1"/>
  <c r="BP215" i="1"/>
  <c r="BP217" i="1"/>
  <c r="BQ219" i="1"/>
  <c r="DI219" i="1" s="1"/>
  <c r="BP216" i="1"/>
  <c r="BM663" i="1"/>
  <c r="BM662" i="1"/>
  <c r="BM668" i="1"/>
  <c r="BM666" i="1"/>
  <c r="DG232" i="1"/>
  <c r="DG109" i="1" s="1"/>
  <c r="BM665" i="1"/>
  <c r="DG665" i="1" s="1"/>
  <c r="BM233" i="1"/>
  <c r="BM468" i="1"/>
  <c r="BM470" i="1" s="1"/>
  <c r="BL614" i="1"/>
  <c r="DH217" i="1"/>
  <c r="DH216" i="1"/>
  <c r="BN467" i="1"/>
  <c r="BN233" i="1"/>
  <c r="DG146" i="1"/>
  <c r="AD13" i="16"/>
  <c r="CY838" i="1"/>
  <c r="CY525" i="1"/>
  <c r="AU51" i="31" s="1"/>
  <c r="AU50" i="31" s="1"/>
  <c r="DH177" i="1"/>
  <c r="BO611" i="1"/>
  <c r="BO248" i="1"/>
  <c r="CY521" i="1"/>
  <c r="BK713" i="1"/>
  <c r="DH215" i="1"/>
  <c r="BN660" i="1"/>
  <c r="DG660" i="1"/>
  <c r="BM669" i="1"/>
  <c r="BL625" i="1"/>
  <c r="BL703" i="1"/>
  <c r="BK703" i="1"/>
  <c r="DF703" i="1" s="1"/>
  <c r="BK625" i="1"/>
  <c r="DF625" i="1" s="1"/>
  <c r="DF113" i="1"/>
  <c r="DF809" i="1"/>
  <c r="DF808" i="1"/>
  <c r="DF112" i="1"/>
  <c r="DH218" i="1"/>
  <c r="DF147" i="1"/>
  <c r="DF613" i="1"/>
  <c r="BB62" i="31" s="1"/>
  <c r="BO247" i="1"/>
  <c r="AA33" i="16"/>
  <c r="AA32" i="16" s="1"/>
  <c r="Z32" i="16"/>
  <c r="BL74" i="1"/>
  <c r="BB764" i="1"/>
  <c r="BC634" i="1"/>
  <c r="DB537" i="1"/>
  <c r="BO228" i="1"/>
  <c r="BO227" i="1"/>
  <c r="CY620" i="1"/>
  <c r="CY624" i="1" s="1"/>
  <c r="CY629" i="1" s="1"/>
  <c r="CY787" i="1"/>
  <c r="CY789" i="1"/>
  <c r="CY513" i="1"/>
  <c r="CY788" i="1"/>
  <c r="AU72" i="31" s="1"/>
  <c r="CY740" i="1"/>
  <c r="CY766" i="1" s="1"/>
  <c r="CY732" i="1"/>
  <c r="AU55" i="31" s="1"/>
  <c r="CY741" i="1"/>
  <c r="CY767" i="1" s="1"/>
  <c r="CY730" i="1"/>
  <c r="AU54" i="31" s="1"/>
  <c r="BO234" i="1"/>
  <c r="BN468" i="1"/>
  <c r="BM664" i="1"/>
  <c r="DG71" i="1"/>
  <c r="BL808" i="1"/>
  <c r="BL112" i="1"/>
  <c r="BL809" i="1"/>
  <c r="BL113" i="1"/>
  <c r="DB543" i="1"/>
  <c r="BD535" i="1"/>
  <c r="BD141" i="1" s="1"/>
  <c r="BC544" i="1"/>
  <c r="BC680" i="1"/>
  <c r="DH145" i="1"/>
  <c r="DH249" i="1"/>
  <c r="DH181" i="1"/>
  <c r="DH154" i="1" s="1"/>
  <c r="BO154" i="1"/>
  <c r="BL562" i="1"/>
  <c r="BL628" i="1"/>
  <c r="K47" i="30" l="1"/>
  <c r="BQ55" i="1"/>
  <c r="BQ186" i="1" s="1"/>
  <c r="DI186" i="1" s="1"/>
  <c r="DI55" i="1" s="1"/>
  <c r="BP186" i="1"/>
  <c r="BO187" i="1"/>
  <c r="C41" i="30"/>
  <c r="K20" i="30" s="1"/>
  <c r="C43" i="30"/>
  <c r="K36" i="30"/>
  <c r="C20" i="30"/>
  <c r="K34" i="30"/>
  <c r="K37" i="30"/>
  <c r="C112" i="2"/>
  <c r="C51" i="30"/>
  <c r="I35" i="7"/>
  <c r="F55" i="30"/>
  <c r="C15" i="2"/>
  <c r="C85" i="2"/>
  <c r="F59" i="7"/>
  <c r="F20" i="7"/>
  <c r="C86" i="2"/>
  <c r="F63" i="7"/>
  <c r="C84" i="2"/>
  <c r="F61" i="7"/>
  <c r="C16" i="2"/>
  <c r="C52" i="2"/>
  <c r="C50" i="2" s="1"/>
  <c r="F22" i="7"/>
  <c r="F39" i="7" s="1"/>
  <c r="DG666" i="1"/>
  <c r="DG668" i="1"/>
  <c r="BM112" i="1"/>
  <c r="DG662" i="1"/>
  <c r="DH87" i="1"/>
  <c r="BL713" i="1"/>
  <c r="DG663" i="1"/>
  <c r="DI177" i="1"/>
  <c r="DF74" i="1"/>
  <c r="BK74" i="1"/>
  <c r="BO502" i="1"/>
  <c r="DH502" i="1" s="1"/>
  <c r="P16" i="16"/>
  <c r="AC16" i="16" s="1" a="1"/>
  <c r="AC16" i="16" s="1"/>
  <c r="P18" i="16"/>
  <c r="P21" i="16" s="1"/>
  <c r="AC21" i="16" s="1" a="1"/>
  <c r="AC21" i="16" s="1"/>
  <c r="DH412" i="1"/>
  <c r="DH424" i="1" s="1"/>
  <c r="DH459" i="1" s="1"/>
  <c r="DH488" i="1" s="1"/>
  <c r="DG468" i="1"/>
  <c r="DG110" i="1" s="1"/>
  <c r="DI398" i="1"/>
  <c r="BE13" i="31" s="1"/>
  <c r="DH77" i="1"/>
  <c r="DI235" i="1"/>
  <c r="BO232" i="1"/>
  <c r="BO233" i="1" s="1"/>
  <c r="DH228" i="1"/>
  <c r="BQ502" i="1"/>
  <c r="DH76" i="1"/>
  <c r="DH433" i="1"/>
  <c r="DH68" i="1"/>
  <c r="BQ154" i="1"/>
  <c r="DI181" i="1"/>
  <c r="DI154" i="1" s="1"/>
  <c r="DI266" i="1"/>
  <c r="DI267" i="1" s="1"/>
  <c r="DH248" i="1"/>
  <c r="BP248" i="1"/>
  <c r="BP237" i="1"/>
  <c r="AK68" i="31" s="1"/>
  <c r="BP469" i="1"/>
  <c r="BQ222" i="1"/>
  <c r="DI222" i="1" s="1"/>
  <c r="DI75" i="1"/>
  <c r="BQ223" i="1"/>
  <c r="DI223" i="1" s="1"/>
  <c r="BQ217" i="1"/>
  <c r="BQ216" i="1"/>
  <c r="BQ215" i="1"/>
  <c r="DI215" i="1" s="1"/>
  <c r="BQ218" i="1"/>
  <c r="DH247" i="1"/>
  <c r="BP247" i="1"/>
  <c r="BP228" i="1"/>
  <c r="BP227" i="1"/>
  <c r="BQ229" i="1"/>
  <c r="DI229" i="1" s="1"/>
  <c r="BQ611" i="1"/>
  <c r="DI611" i="1" s="1"/>
  <c r="BQ249" i="1"/>
  <c r="DH69" i="1"/>
  <c r="CY510" i="1"/>
  <c r="DG470" i="1"/>
  <c r="BN668" i="1"/>
  <c r="DG233" i="1"/>
  <c r="BM809" i="1"/>
  <c r="DH67" i="1"/>
  <c r="BN662" i="1"/>
  <c r="BM808" i="1"/>
  <c r="BN665" i="1"/>
  <c r="BM113" i="1"/>
  <c r="DG557" i="1"/>
  <c r="DG562" i="1" s="1"/>
  <c r="BM628" i="1"/>
  <c r="DG628" i="1" s="1"/>
  <c r="BM562" i="1"/>
  <c r="BD633" i="1"/>
  <c r="BN664" i="1"/>
  <c r="DG664" i="1"/>
  <c r="DH227" i="1"/>
  <c r="BN613" i="1"/>
  <c r="AI62" i="31" s="1"/>
  <c r="BO660" i="1"/>
  <c r="DF713" i="1"/>
  <c r="CY529" i="1"/>
  <c r="BN470" i="1"/>
  <c r="CY733" i="1"/>
  <c r="CY760" i="1"/>
  <c r="DG612" i="1"/>
  <c r="BM613" i="1"/>
  <c r="AH62" i="31" s="1"/>
  <c r="CY728" i="1"/>
  <c r="CY729" i="1"/>
  <c r="C47" i="30" s="1"/>
  <c r="DB141" i="1"/>
  <c r="DB143" i="1" s="1"/>
  <c r="DB652" i="1"/>
  <c r="CY137" i="1"/>
  <c r="BO237" i="1"/>
  <c r="AJ68" i="31" s="1"/>
  <c r="AJ69" i="31" s="1"/>
  <c r="BO469" i="1"/>
  <c r="DH234" i="1"/>
  <c r="DB634" i="1"/>
  <c r="DB635" i="1" s="1"/>
  <c r="BC635" i="1"/>
  <c r="BN663" i="1"/>
  <c r="BN669" i="1"/>
  <c r="DG669" i="1"/>
  <c r="BM614" i="1"/>
  <c r="DB680" i="1"/>
  <c r="DB544" i="1"/>
  <c r="F56" i="30" s="1"/>
  <c r="BC545" i="1"/>
  <c r="BN666" i="1"/>
  <c r="BN71" i="1"/>
  <c r="CY731" i="1"/>
  <c r="CY759" i="1"/>
  <c r="CY840" i="1"/>
  <c r="C114" i="2" s="1"/>
  <c r="DH70" i="1"/>
  <c r="DH611" i="1"/>
  <c r="CY676" i="1"/>
  <c r="AK69" i="31" l="1"/>
  <c r="DH187" i="1"/>
  <c r="BP187" i="1"/>
  <c r="BQ187" i="1" s="1"/>
  <c r="DI187" i="1" s="1"/>
  <c r="C45" i="30"/>
  <c r="K41" i="30"/>
  <c r="K39" i="30"/>
  <c r="K42" i="30"/>
  <c r="BM713" i="1"/>
  <c r="C19" i="2"/>
  <c r="C17" i="2"/>
  <c r="C53" i="2"/>
  <c r="C18" i="2"/>
  <c r="F32" i="7"/>
  <c r="F26" i="7"/>
  <c r="F128" i="2"/>
  <c r="BP660" i="1"/>
  <c r="BQ660" i="1" s="1"/>
  <c r="DG112" i="1"/>
  <c r="DG73" i="1"/>
  <c r="DG72" i="1"/>
  <c r="AC18" i="16"/>
  <c r="P19" i="16"/>
  <c r="DI433" i="1"/>
  <c r="BO71" i="1"/>
  <c r="DH232" i="1"/>
  <c r="BO467" i="1"/>
  <c r="DH467" i="1" s="1"/>
  <c r="DI87" i="1"/>
  <c r="BQ424" i="1"/>
  <c r="BQ459" i="1" s="1"/>
  <c r="BQ488" i="1" s="1"/>
  <c r="DI217" i="1"/>
  <c r="S59" i="16"/>
  <c r="DH78" i="1"/>
  <c r="DI218" i="1"/>
  <c r="DH233" i="1"/>
  <c r="BP71" i="1"/>
  <c r="DI146" i="1"/>
  <c r="DI249" i="1"/>
  <c r="DI216" i="1"/>
  <c r="DH469" i="1"/>
  <c r="DH111" i="1" s="1"/>
  <c r="BP232" i="1"/>
  <c r="BP468" i="1" s="1"/>
  <c r="DI412" i="1"/>
  <c r="DI424" i="1" s="1"/>
  <c r="DI459" i="1" s="1"/>
  <c r="DI488" i="1" s="1"/>
  <c r="BP424" i="1"/>
  <c r="BP459" i="1" s="1"/>
  <c r="BP488" i="1" s="1"/>
  <c r="BP502" i="1"/>
  <c r="DI77" i="1"/>
  <c r="BQ227" i="1"/>
  <c r="BQ232" i="1" s="1"/>
  <c r="BQ467" i="1" s="1"/>
  <c r="BQ228" i="1"/>
  <c r="DI228" i="1" s="1"/>
  <c r="BQ234" i="1"/>
  <c r="BQ248" i="1"/>
  <c r="DI248" i="1" s="1"/>
  <c r="BQ247" i="1"/>
  <c r="DI247" i="1" s="1"/>
  <c r="DG809" i="1"/>
  <c r="DG808" i="1"/>
  <c r="DG113" i="1"/>
  <c r="BO668" i="1"/>
  <c r="BO665" i="1"/>
  <c r="BO666" i="1"/>
  <c r="BO662" i="1"/>
  <c r="BO669" i="1"/>
  <c r="BO663" i="1"/>
  <c r="BD537" i="1"/>
  <c r="BD543" i="1"/>
  <c r="CY757" i="1"/>
  <c r="DH146" i="1"/>
  <c r="DB545" i="1"/>
  <c r="F57" i="30" s="1"/>
  <c r="CY534" i="1"/>
  <c r="CY538" i="1" s="1"/>
  <c r="AU63" i="31" s="1"/>
  <c r="DH660" i="1"/>
  <c r="BN614" i="1"/>
  <c r="DG614" i="1"/>
  <c r="BO664" i="1"/>
  <c r="BC637" i="1"/>
  <c r="BC739" i="1" s="1"/>
  <c r="BC765" i="1" s="1"/>
  <c r="BC738" i="1"/>
  <c r="BN625" i="1"/>
  <c r="BN703" i="1"/>
  <c r="BM703" i="1"/>
  <c r="DG703" i="1" s="1"/>
  <c r="BM625" i="1"/>
  <c r="DG625" i="1" s="1"/>
  <c r="DB738" i="1"/>
  <c r="DB637" i="1"/>
  <c r="DB739" i="1" s="1"/>
  <c r="DB765" i="1" s="1"/>
  <c r="BO468" i="1"/>
  <c r="DH237" i="1"/>
  <c r="BD68" i="31" s="1"/>
  <c r="BD69" i="31" s="1"/>
  <c r="CY131" i="1"/>
  <c r="CY839" i="1"/>
  <c r="C113" i="2" s="1"/>
  <c r="CY758" i="1"/>
  <c r="DG147" i="1"/>
  <c r="DG613" i="1"/>
  <c r="BC62" i="31" s="1"/>
  <c r="BN112" i="1"/>
  <c r="BN113" i="1"/>
  <c r="BN808" i="1"/>
  <c r="BN809" i="1"/>
  <c r="BD636" i="1"/>
  <c r="BN562" i="1"/>
  <c r="BN628" i="1"/>
  <c r="M53" i="7" l="1"/>
  <c r="BN713" i="1"/>
  <c r="DG713" i="1"/>
  <c r="F24" i="2"/>
  <c r="F51" i="2"/>
  <c r="I36" i="7"/>
  <c r="DI660" i="1"/>
  <c r="DI234" i="1"/>
  <c r="DG74" i="1"/>
  <c r="BM74" i="1"/>
  <c r="DH71" i="1"/>
  <c r="DI76" i="1"/>
  <c r="P23" i="16"/>
  <c r="P37" i="16" s="1"/>
  <c r="DH109" i="1"/>
  <c r="DI68" i="1"/>
  <c r="DI70" i="1"/>
  <c r="DI69" i="1"/>
  <c r="BP233" i="1"/>
  <c r="DI227" i="1"/>
  <c r="DI71" i="1"/>
  <c r="DI502" i="1"/>
  <c r="BP613" i="1"/>
  <c r="AK62" i="31" s="1"/>
  <c r="BP467" i="1"/>
  <c r="DI232" i="1"/>
  <c r="DH468" i="1"/>
  <c r="DH110" i="1" s="1"/>
  <c r="DI67" i="1"/>
  <c r="DH665" i="1"/>
  <c r="BP665" i="1"/>
  <c r="DH669" i="1"/>
  <c r="BP669" i="1"/>
  <c r="DH662" i="1"/>
  <c r="BP662" i="1"/>
  <c r="BQ237" i="1"/>
  <c r="AL68" i="31" s="1"/>
  <c r="AL69" i="31" s="1"/>
  <c r="BQ233" i="1"/>
  <c r="BQ469" i="1"/>
  <c r="DI469" i="1" s="1"/>
  <c r="DH666" i="1"/>
  <c r="BP666" i="1"/>
  <c r="DI557" i="1"/>
  <c r="DI562" i="1" s="1"/>
  <c r="BP628" i="1"/>
  <c r="BP562" i="1"/>
  <c r="DH664" i="1"/>
  <c r="BP664" i="1"/>
  <c r="BQ71" i="1"/>
  <c r="DH668" i="1"/>
  <c r="BP668" i="1"/>
  <c r="DH663" i="1"/>
  <c r="BP663" i="1"/>
  <c r="BO470" i="1"/>
  <c r="BO614" i="1"/>
  <c r="CZ533" i="1"/>
  <c r="CY541" i="1"/>
  <c r="CY742" i="1"/>
  <c r="C53" i="30" s="1"/>
  <c r="K22" i="30" s="1"/>
  <c r="CY743" i="1"/>
  <c r="C54" i="30" s="1"/>
  <c r="K23" i="30" s="1"/>
  <c r="CY531" i="1"/>
  <c r="BC764" i="1"/>
  <c r="BO562" i="1"/>
  <c r="BO628" i="1"/>
  <c r="DH557" i="1"/>
  <c r="DH562" i="1" s="1"/>
  <c r="BD634" i="1"/>
  <c r="DB764" i="1"/>
  <c r="DH612" i="1"/>
  <c r="BO613" i="1"/>
  <c r="AJ62" i="31" s="1"/>
  <c r="BE535" i="1"/>
  <c r="BE141" i="1" s="1"/>
  <c r="BD544" i="1"/>
  <c r="BD680" i="1"/>
  <c r="DI237" i="1" l="1"/>
  <c r="BE68" i="31" s="1"/>
  <c r="BE69" i="31" s="1"/>
  <c r="M52" i="7"/>
  <c r="F33" i="7"/>
  <c r="F41" i="7" s="1"/>
  <c r="C23" i="2"/>
  <c r="F34" i="7"/>
  <c r="F42" i="7" s="1"/>
  <c r="DI111" i="1"/>
  <c r="DH72" i="1"/>
  <c r="BN74" i="1"/>
  <c r="DH73" i="1"/>
  <c r="P30" i="16"/>
  <c r="AC30" i="16" s="1"/>
  <c r="P34" i="16"/>
  <c r="AC34" i="16" s="1"/>
  <c r="P25" i="16"/>
  <c r="P26" i="16" s="1"/>
  <c r="P28" i="16" s="1"/>
  <c r="DI233" i="1"/>
  <c r="DI78" i="1"/>
  <c r="BQ664" i="1"/>
  <c r="DI467" i="1"/>
  <c r="DI109" i="1" s="1"/>
  <c r="BQ668" i="1"/>
  <c r="BQ665" i="1"/>
  <c r="DI665" i="1" s="1"/>
  <c r="BP470" i="1"/>
  <c r="BO808" i="1"/>
  <c r="BQ613" i="1"/>
  <c r="AL62" i="31" s="1"/>
  <c r="DI612" i="1"/>
  <c r="DH628" i="1"/>
  <c r="BQ662" i="1"/>
  <c r="BQ669" i="1"/>
  <c r="DI669" i="1" s="1"/>
  <c r="BQ663" i="1"/>
  <c r="BQ666" i="1"/>
  <c r="DH614" i="1"/>
  <c r="BP614" i="1"/>
  <c r="BQ468" i="1"/>
  <c r="BP74" i="1"/>
  <c r="BQ628" i="1"/>
  <c r="DI628" i="1" s="1"/>
  <c r="BQ562" i="1"/>
  <c r="BP703" i="1"/>
  <c r="BP625" i="1"/>
  <c r="BO113" i="1"/>
  <c r="BO809" i="1"/>
  <c r="BO112" i="1"/>
  <c r="DH470" i="1"/>
  <c r="BO713" i="1"/>
  <c r="BO703" i="1"/>
  <c r="BO625" i="1"/>
  <c r="DH147" i="1"/>
  <c r="DH613" i="1"/>
  <c r="BD62" i="31" s="1"/>
  <c r="BD545" i="1"/>
  <c r="BE633" i="1"/>
  <c r="DC139" i="1"/>
  <c r="DC535" i="1"/>
  <c r="BD635" i="1"/>
  <c r="CY769" i="1"/>
  <c r="CY550" i="1"/>
  <c r="CY768" i="1"/>
  <c r="CY564" i="1" l="1"/>
  <c r="C29" i="30"/>
  <c r="DI668" i="1"/>
  <c r="DH112" i="1"/>
  <c r="BQ625" i="1"/>
  <c r="DI625" i="1" s="1"/>
  <c r="DI662" i="1"/>
  <c r="DI666" i="1"/>
  <c r="DI663" i="1"/>
  <c r="DI664" i="1"/>
  <c r="DH74" i="1"/>
  <c r="BO74" i="1"/>
  <c r="P27" i="16"/>
  <c r="BQ703" i="1"/>
  <c r="DI703" i="1" s="1"/>
  <c r="BP112" i="1"/>
  <c r="BP809" i="1"/>
  <c r="BP808" i="1"/>
  <c r="BP113" i="1"/>
  <c r="BQ470" i="1"/>
  <c r="DI468" i="1"/>
  <c r="DI110" i="1" s="1"/>
  <c r="DH625" i="1"/>
  <c r="DI147" i="1"/>
  <c r="DI613" i="1"/>
  <c r="BE62" i="31" s="1"/>
  <c r="DH703" i="1"/>
  <c r="BQ614" i="1"/>
  <c r="DH713" i="1"/>
  <c r="BP713" i="1"/>
  <c r="DH808" i="1"/>
  <c r="DH113" i="1"/>
  <c r="DH809" i="1"/>
  <c r="CY672" i="1"/>
  <c r="BD738" i="1"/>
  <c r="BD637" i="1"/>
  <c r="BD739" i="1" s="1"/>
  <c r="BD765" i="1" s="1"/>
  <c r="BE537" i="1"/>
  <c r="BE543" i="1"/>
  <c r="BE636" i="1"/>
  <c r="DC636" i="1" s="1"/>
  <c r="DC633" i="1"/>
  <c r="CY671" i="1"/>
  <c r="CY702" i="1"/>
  <c r="CY783" i="1"/>
  <c r="AU73" i="31" s="1"/>
  <c r="AU74" i="31" s="1"/>
  <c r="CY782" i="1"/>
  <c r="CY673" i="1"/>
  <c r="CY674" i="1"/>
  <c r="K35" i="30" l="1"/>
  <c r="K40" i="30"/>
  <c r="C81" i="2"/>
  <c r="F57" i="7"/>
  <c r="C82" i="2"/>
  <c r="F44" i="7"/>
  <c r="F58" i="7"/>
  <c r="F60" i="7" s="1"/>
  <c r="BQ112" i="1"/>
  <c r="T20" i="16"/>
  <c r="T22" i="16" s="1"/>
  <c r="T52" i="16" s="1"/>
  <c r="T54" i="16" s="1"/>
  <c r="DI73" i="1"/>
  <c r="DI72" i="1"/>
  <c r="BQ809" i="1"/>
  <c r="BQ113" i="1"/>
  <c r="DI470" i="1"/>
  <c r="BQ808" i="1"/>
  <c r="BQ713" i="1"/>
  <c r="DI614" i="1"/>
  <c r="CY785" i="1"/>
  <c r="CY589" i="1"/>
  <c r="CY567" i="1"/>
  <c r="CY568" i="1" s="1"/>
  <c r="CY587" i="1" s="1"/>
  <c r="BE634" i="1"/>
  <c r="DC537" i="1"/>
  <c r="CY699" i="1"/>
  <c r="BD764" i="1"/>
  <c r="DC543" i="1"/>
  <c r="BF535" i="1"/>
  <c r="BF141" i="1" s="1"/>
  <c r="BE680" i="1"/>
  <c r="BE544" i="1"/>
  <c r="J35" i="7" l="1"/>
  <c r="G55" i="30"/>
  <c r="F45" i="7"/>
  <c r="C83" i="2"/>
  <c r="F62" i="7"/>
  <c r="DI713" i="1"/>
  <c r="DI809" i="1"/>
  <c r="DI74" i="1"/>
  <c r="BQ74" i="1"/>
  <c r="DI112" i="1"/>
  <c r="DI113" i="1"/>
  <c r="DI808" i="1"/>
  <c r="CY841" i="1"/>
  <c r="C115" i="2" s="1"/>
  <c r="CY704" i="1"/>
  <c r="DC680" i="1"/>
  <c r="DC141" i="1"/>
  <c r="DC652" i="1"/>
  <c r="G128" i="2" s="1"/>
  <c r="Q81" i="7" s="1"/>
  <c r="DC544" i="1"/>
  <c r="G56" i="30" s="1"/>
  <c r="BE545" i="1"/>
  <c r="CY590" i="1"/>
  <c r="C30" i="30" s="1"/>
  <c r="CY836" i="1"/>
  <c r="K56" i="30" s="1"/>
  <c r="DC634" i="1"/>
  <c r="DC635" i="1" s="1"/>
  <c r="BE635" i="1"/>
  <c r="CY599" i="1"/>
  <c r="CY604" i="1" s="1"/>
  <c r="BF633" i="1"/>
  <c r="C110" i="2" l="1"/>
  <c r="F81" i="7"/>
  <c r="P36" i="16"/>
  <c r="P38" i="16" s="1"/>
  <c r="T59" i="16"/>
  <c r="DC143" i="1"/>
  <c r="CY150" i="1"/>
  <c r="CY834" i="1"/>
  <c r="AU77" i="31" s="1"/>
  <c r="CY548" i="1"/>
  <c r="CY595" i="1"/>
  <c r="BF636" i="1"/>
  <c r="DC545" i="1"/>
  <c r="G57" i="30" s="1"/>
  <c r="CY591" i="1"/>
  <c r="CY593" i="1" s="1"/>
  <c r="CY835" i="1" s="1"/>
  <c r="CY607" i="1"/>
  <c r="BE637" i="1"/>
  <c r="BE739" i="1" s="1"/>
  <c r="BE765" i="1" s="1"/>
  <c r="BE738" i="1"/>
  <c r="BF537" i="1"/>
  <c r="BF543" i="1"/>
  <c r="DC738" i="1"/>
  <c r="DC637" i="1"/>
  <c r="DC739" i="1" s="1"/>
  <c r="DC765" i="1" s="1"/>
  <c r="K55" i="30" l="1"/>
  <c r="C109" i="2"/>
  <c r="F80" i="7"/>
  <c r="G24" i="2"/>
  <c r="J36" i="7"/>
  <c r="G51" i="2"/>
  <c r="DC764" i="1"/>
  <c r="BG535" i="1"/>
  <c r="BG141" i="1" s="1"/>
  <c r="BF544" i="1"/>
  <c r="BF680" i="1"/>
  <c r="BE764" i="1"/>
  <c r="CY786" i="1"/>
  <c r="CY784" i="1"/>
  <c r="BF634" i="1"/>
  <c r="CY837" i="1"/>
  <c r="AU78" i="31" s="1"/>
  <c r="CY744" i="1"/>
  <c r="K57" i="30" l="1"/>
  <c r="F82" i="7"/>
  <c r="C111" i="2"/>
  <c r="BG633" i="1"/>
  <c r="DD535" i="1"/>
  <c r="DD139" i="1"/>
  <c r="BF635" i="1"/>
  <c r="CY630" i="1"/>
  <c r="CY631" i="1" s="1"/>
  <c r="BF545" i="1"/>
  <c r="CY639" i="1" l="1"/>
  <c r="CY618" i="1"/>
  <c r="BG636" i="1"/>
  <c r="DD636" i="1" s="1"/>
  <c r="DD633" i="1"/>
  <c r="BG537" i="1"/>
  <c r="BG543" i="1"/>
  <c r="BF738" i="1"/>
  <c r="BF637" i="1"/>
  <c r="BF739" i="1" s="1"/>
  <c r="BF765" i="1" s="1"/>
  <c r="U20" i="16" l="1"/>
  <c r="U22" i="16" s="1"/>
  <c r="U52" i="16" s="1"/>
  <c r="U54" i="16" s="1"/>
  <c r="DD543" i="1"/>
  <c r="BH535" i="1"/>
  <c r="BH141" i="1" s="1"/>
  <c r="BG544" i="1"/>
  <c r="BG680" i="1"/>
  <c r="BG634" i="1"/>
  <c r="DD537" i="1"/>
  <c r="BF764" i="1"/>
  <c r="DD544" i="1" l="1"/>
  <c r="BG545" i="1"/>
  <c r="BH633" i="1"/>
  <c r="DD652" i="1"/>
  <c r="DD141" i="1"/>
  <c r="DD143" i="1" s="1"/>
  <c r="DD634" i="1"/>
  <c r="DD635" i="1" s="1"/>
  <c r="BG635" i="1"/>
  <c r="DD680" i="1"/>
  <c r="U59" i="16" l="1"/>
  <c r="AB50" i="16" s="1"/>
  <c r="DD637" i="1"/>
  <c r="DD739" i="1" s="1"/>
  <c r="DD765" i="1" s="1"/>
  <c r="DD738" i="1"/>
  <c r="BH636" i="1"/>
  <c r="BH537" i="1"/>
  <c r="BH543" i="1"/>
  <c r="DD545" i="1"/>
  <c r="BG738" i="1"/>
  <c r="BG637" i="1"/>
  <c r="BG739" i="1" s="1"/>
  <c r="BG765" i="1" s="1"/>
  <c r="BH634" i="1" l="1"/>
  <c r="BG764" i="1"/>
  <c r="DD764" i="1"/>
  <c r="BI535" i="1"/>
  <c r="BI141" i="1" s="1"/>
  <c r="BH680" i="1"/>
  <c r="BH544" i="1"/>
  <c r="BI633" i="1" l="1"/>
  <c r="DE139" i="1"/>
  <c r="DE535" i="1"/>
  <c r="BH545" i="1"/>
  <c r="BH635" i="1"/>
  <c r="BH738" i="1" l="1"/>
  <c r="BH637" i="1"/>
  <c r="BH739" i="1" s="1"/>
  <c r="BH765" i="1" s="1"/>
  <c r="BI636" i="1"/>
  <c r="DE636" i="1" s="1"/>
  <c r="DE633" i="1"/>
  <c r="BI537" i="1"/>
  <c r="BI543" i="1"/>
  <c r="BI634" i="1" l="1"/>
  <c r="DE537" i="1"/>
  <c r="BJ535" i="1"/>
  <c r="BJ141" i="1" s="1"/>
  <c r="DE543" i="1"/>
  <c r="BI544" i="1"/>
  <c r="BI680" i="1"/>
  <c r="BH764" i="1"/>
  <c r="DE680" i="1" l="1"/>
  <c r="DE634" i="1"/>
  <c r="DE635" i="1" s="1"/>
  <c r="BI635" i="1"/>
  <c r="BJ633" i="1"/>
  <c r="DE544" i="1"/>
  <c r="BI545" i="1"/>
  <c r="DE141" i="1"/>
  <c r="DE143" i="1" s="1"/>
  <c r="DE652" i="1"/>
  <c r="V59" i="16" l="1"/>
  <c r="DE545" i="1"/>
  <c r="BJ636" i="1"/>
  <c r="BI738" i="1"/>
  <c r="BI637" i="1"/>
  <c r="BI739" i="1" s="1"/>
  <c r="BI765" i="1" s="1"/>
  <c r="DE738" i="1"/>
  <c r="DE637" i="1"/>
  <c r="DE739" i="1" s="1"/>
  <c r="DE765" i="1" s="1"/>
  <c r="BJ537" i="1"/>
  <c r="BJ543" i="1"/>
  <c r="DE764" i="1" l="1"/>
  <c r="BJ634" i="1"/>
  <c r="BI764" i="1"/>
  <c r="BK535" i="1"/>
  <c r="BK141" i="1" s="1"/>
  <c r="BJ680" i="1"/>
  <c r="BJ544" i="1"/>
  <c r="BJ545" i="1" l="1"/>
  <c r="BK633" i="1"/>
  <c r="DF139" i="1"/>
  <c r="DF535" i="1"/>
  <c r="BJ635" i="1"/>
  <c r="AY621" i="1" l="1"/>
  <c r="CZ526" i="1"/>
  <c r="BK537" i="1"/>
  <c r="BK543" i="1"/>
  <c r="BJ637" i="1"/>
  <c r="BJ739" i="1" s="1"/>
  <c r="BJ765" i="1" s="1"/>
  <c r="BJ738" i="1"/>
  <c r="BK636" i="1"/>
  <c r="DF636" i="1" s="1"/>
  <c r="DF633" i="1"/>
  <c r="BJ764" i="1" l="1"/>
  <c r="BL535" i="1"/>
  <c r="DF543" i="1"/>
  <c r="BK544" i="1"/>
  <c r="BK680" i="1"/>
  <c r="CZ675" i="1"/>
  <c r="BK634" i="1"/>
  <c r="DF537" i="1"/>
  <c r="CZ621" i="1"/>
  <c r="BL141" i="1" l="1"/>
  <c r="BL633" i="1"/>
  <c r="DF634" i="1"/>
  <c r="DF635" i="1" s="1"/>
  <c r="BK635" i="1"/>
  <c r="DF680" i="1"/>
  <c r="DF544" i="1"/>
  <c r="BK545" i="1"/>
  <c r="DF141" i="1"/>
  <c r="DF143" i="1" s="1"/>
  <c r="DF652" i="1"/>
  <c r="W59" i="16" l="1"/>
  <c r="BK637" i="1"/>
  <c r="BK739" i="1" s="1"/>
  <c r="BK765" i="1" s="1"/>
  <c r="BK738" i="1"/>
  <c r="BL636" i="1"/>
  <c r="DF738" i="1"/>
  <c r="DF637" i="1"/>
  <c r="DF739" i="1" s="1"/>
  <c r="DF765" i="1" s="1"/>
  <c r="BL537" i="1"/>
  <c r="BL543" i="1"/>
  <c r="DF545" i="1"/>
  <c r="CZ80" i="1" l="1"/>
  <c r="BL634" i="1"/>
  <c r="BK764" i="1"/>
  <c r="CZ79" i="1"/>
  <c r="DF764" i="1"/>
  <c r="BM535" i="1"/>
  <c r="BL680" i="1"/>
  <c r="BL544" i="1"/>
  <c r="BM141" i="1" l="1"/>
  <c r="BM633" i="1"/>
  <c r="DG535" i="1"/>
  <c r="DG139" i="1"/>
  <c r="BL635" i="1"/>
  <c r="BL545" i="1"/>
  <c r="BM537" i="1" l="1"/>
  <c r="BM543" i="1"/>
  <c r="BL637" i="1"/>
  <c r="BL739" i="1" s="1"/>
  <c r="BL765" i="1" s="1"/>
  <c r="BL738" i="1"/>
  <c r="BM636" i="1"/>
  <c r="DG636" i="1" s="1"/>
  <c r="DG633" i="1"/>
  <c r="BL764" i="1" l="1"/>
  <c r="DG543" i="1"/>
  <c r="BN535" i="1"/>
  <c r="BM680" i="1"/>
  <c r="BM544" i="1"/>
  <c r="BM634" i="1"/>
  <c r="DG537" i="1"/>
  <c r="DG652" i="1" l="1"/>
  <c r="DG141" i="1"/>
  <c r="DG143" i="1" s="1"/>
  <c r="DG544" i="1"/>
  <c r="BM545" i="1"/>
  <c r="DG634" i="1"/>
  <c r="DG635" i="1" s="1"/>
  <c r="BM635" i="1"/>
  <c r="DG680" i="1"/>
  <c r="BN141" i="1"/>
  <c r="BN633" i="1"/>
  <c r="X59" i="16" l="1"/>
  <c r="BM637" i="1"/>
  <c r="BM739" i="1" s="1"/>
  <c r="BM765" i="1" s="1"/>
  <c r="BM738" i="1"/>
  <c r="DG637" i="1"/>
  <c r="DG739" i="1" s="1"/>
  <c r="DG765" i="1" s="1"/>
  <c r="DG738" i="1"/>
  <c r="DG545" i="1"/>
  <c r="BN636" i="1"/>
  <c r="BN537" i="1"/>
  <c r="BN543" i="1"/>
  <c r="BM764" i="1" l="1"/>
  <c r="DG764" i="1"/>
  <c r="BO535" i="1"/>
  <c r="BN544" i="1"/>
  <c r="BN680" i="1"/>
  <c r="BN634" i="1"/>
  <c r="BO633" i="1" l="1"/>
  <c r="BO141" i="1"/>
  <c r="DH139" i="1"/>
  <c r="DH535" i="1"/>
  <c r="BN545" i="1"/>
  <c r="BN635" i="1"/>
  <c r="BN738" i="1" l="1"/>
  <c r="BN637" i="1"/>
  <c r="BN739" i="1" s="1"/>
  <c r="BN765" i="1" s="1"/>
  <c r="BO537" i="1"/>
  <c r="BO543" i="1"/>
  <c r="BO636" i="1"/>
  <c r="DH633" i="1"/>
  <c r="DH636" i="1" l="1"/>
  <c r="BP535" i="1"/>
  <c r="BO634" i="1"/>
  <c r="DH537" i="1"/>
  <c r="DH543" i="1"/>
  <c r="BO680" i="1"/>
  <c r="BO544" i="1"/>
  <c r="BN764" i="1"/>
  <c r="DH680" i="1" l="1"/>
  <c r="BP141" i="1"/>
  <c r="BP633" i="1"/>
  <c r="DH141" i="1"/>
  <c r="DH143" i="1" s="1"/>
  <c r="DH652" i="1"/>
  <c r="DH634" i="1"/>
  <c r="DH635" i="1" s="1"/>
  <c r="BO635" i="1"/>
  <c r="DH544" i="1"/>
  <c r="BO545" i="1"/>
  <c r="Y59" i="16" l="1"/>
  <c r="BP636" i="1"/>
  <c r="BP537" i="1"/>
  <c r="BP543" i="1"/>
  <c r="DH545" i="1"/>
  <c r="BO738" i="1"/>
  <c r="BO637" i="1"/>
  <c r="BO739" i="1" s="1"/>
  <c r="BO765" i="1" s="1"/>
  <c r="DH738" i="1"/>
  <c r="DH637" i="1"/>
  <c r="DH739" i="1" s="1"/>
  <c r="DH765" i="1" s="1"/>
  <c r="BP634" i="1" l="1"/>
  <c r="BQ535" i="1"/>
  <c r="BP680" i="1"/>
  <c r="BP544" i="1"/>
  <c r="DH764" i="1"/>
  <c r="BO764" i="1"/>
  <c r="BP635" i="1" l="1"/>
  <c r="BP637" i="1" s="1"/>
  <c r="BP739" i="1" s="1"/>
  <c r="BP765" i="1" s="1"/>
  <c r="DI535" i="1"/>
  <c r="DI139" i="1"/>
  <c r="BQ141" i="1"/>
  <c r="BQ633" i="1"/>
  <c r="DI633" i="1" s="1"/>
  <c r="BP545" i="1"/>
  <c r="BP738" i="1" l="1"/>
  <c r="BP764" i="1" s="1"/>
  <c r="BQ636" i="1"/>
  <c r="DI636" i="1" s="1"/>
  <c r="BQ537" i="1"/>
  <c r="BQ543" i="1"/>
  <c r="DH647" i="1" l="1"/>
  <c r="DI648" i="1"/>
  <c r="DI649" i="1" s="1"/>
  <c r="DH648" i="1"/>
  <c r="CI648" i="1"/>
  <c r="CN648" i="1"/>
  <c r="DA647" i="1"/>
  <c r="CY648" i="1"/>
  <c r="DD648" i="1"/>
  <c r="DD647" i="1"/>
  <c r="CO648" i="1"/>
  <c r="CA647" i="1"/>
  <c r="BV648" i="1"/>
  <c r="DE647" i="1"/>
  <c r="DC648" i="1"/>
  <c r="BS648" i="1"/>
  <c r="CD648" i="1"/>
  <c r="CZ647" i="1"/>
  <c r="CT648" i="1"/>
  <c r="CF647" i="1"/>
  <c r="BX647" i="1"/>
  <c r="BU648" i="1"/>
  <c r="CQ647" i="1"/>
  <c r="CP647" i="1"/>
  <c r="CH648" i="1"/>
  <c r="CG648" i="1"/>
  <c r="CV647" i="1"/>
  <c r="BW647" i="1"/>
  <c r="CC648" i="1"/>
  <c r="CJ648" i="1"/>
  <c r="BS647" i="1"/>
  <c r="DC647" i="1"/>
  <c r="DA648" i="1"/>
  <c r="CN647" i="1"/>
  <c r="CK647" i="1"/>
  <c r="BY648" i="1"/>
  <c r="BY647" i="1"/>
  <c r="BZ647" i="1"/>
  <c r="CQ648" i="1"/>
  <c r="CB648" i="1"/>
  <c r="CL647" i="1"/>
  <c r="CW648" i="1"/>
  <c r="BZ648" i="1"/>
  <c r="CM648" i="1"/>
  <c r="CT647" i="1"/>
  <c r="CB647" i="1"/>
  <c r="DE648" i="1"/>
  <c r="BV647" i="1"/>
  <c r="DF647" i="1"/>
  <c r="BX648" i="1"/>
  <c r="CS647" i="1"/>
  <c r="DG648" i="1"/>
  <c r="CZ648" i="1"/>
  <c r="DG647" i="1"/>
  <c r="CM647" i="1"/>
  <c r="CF648" i="1"/>
  <c r="CO647" i="1"/>
  <c r="BT648" i="1"/>
  <c r="CW647" i="1"/>
  <c r="DB647" i="1"/>
  <c r="CX648" i="1"/>
  <c r="CD647" i="1"/>
  <c r="CR647" i="1"/>
  <c r="CA648" i="1"/>
  <c r="CI647" i="1"/>
  <c r="CV648" i="1"/>
  <c r="CU647" i="1"/>
  <c r="CL648" i="1"/>
  <c r="CE647" i="1"/>
  <c r="BW648" i="1"/>
  <c r="CX647" i="1"/>
  <c r="CP648" i="1"/>
  <c r="CH647" i="1"/>
  <c r="CR648" i="1"/>
  <c r="BU647" i="1"/>
  <c r="CU648" i="1"/>
  <c r="CE648" i="1"/>
  <c r="CJ647" i="1"/>
  <c r="CK648" i="1"/>
  <c r="CC647" i="1"/>
  <c r="DB648" i="1"/>
  <c r="BT647" i="1"/>
  <c r="DF648" i="1"/>
  <c r="CY647" i="1"/>
  <c r="CS648" i="1"/>
  <c r="CG647" i="1"/>
  <c r="DI543" i="1"/>
  <c r="BQ634" i="1"/>
  <c r="DI537" i="1"/>
  <c r="BQ680" i="1"/>
  <c r="BQ544" i="1"/>
  <c r="DI141" i="1" l="1"/>
  <c r="DI143" i="1" s="1"/>
  <c r="DI680" i="1"/>
  <c r="CJ649" i="1"/>
  <c r="BT649" i="1"/>
  <c r="F136" i="2"/>
  <c r="D136" i="2"/>
  <c r="C136" i="2"/>
  <c r="G136" i="2"/>
  <c r="E136" i="2"/>
  <c r="BS649" i="1"/>
  <c r="CG649" i="1"/>
  <c r="CI649" i="1"/>
  <c r="DC649" i="1"/>
  <c r="CB649" i="1"/>
  <c r="BU649" i="1"/>
  <c r="DD649" i="1"/>
  <c r="CH649" i="1"/>
  <c r="CM649" i="1"/>
  <c r="CN649" i="1"/>
  <c r="CO649" i="1"/>
  <c r="CC649" i="1"/>
  <c r="CD649" i="1"/>
  <c r="DB649" i="1"/>
  <c r="DG649" i="1"/>
  <c r="BV649" i="1"/>
  <c r="CT649" i="1"/>
  <c r="CU649" i="1"/>
  <c r="DF649" i="1"/>
  <c r="BY649" i="1"/>
  <c r="G135" i="2"/>
  <c r="DA649" i="1"/>
  <c r="E135" i="2"/>
  <c r="CY649" i="1"/>
  <c r="CP649" i="1"/>
  <c r="CZ649" i="1"/>
  <c r="F135" i="2"/>
  <c r="CA649" i="1"/>
  <c r="CX649" i="1"/>
  <c r="D135" i="2"/>
  <c r="CW649" i="1"/>
  <c r="C135" i="2"/>
  <c r="CL649" i="1"/>
  <c r="CK649" i="1"/>
  <c r="CQ649" i="1"/>
  <c r="BW649" i="1"/>
  <c r="CE649" i="1"/>
  <c r="CR649" i="1"/>
  <c r="CS649" i="1"/>
  <c r="CV649" i="1"/>
  <c r="BX649" i="1"/>
  <c r="BZ649" i="1"/>
  <c r="CF649" i="1"/>
  <c r="DE649" i="1"/>
  <c r="DH649" i="1"/>
  <c r="DI652" i="1"/>
  <c r="BQ635" i="1"/>
  <c r="BQ637" i="1" s="1"/>
  <c r="BQ739" i="1" s="1"/>
  <c r="BQ765" i="1" s="1"/>
  <c r="DI634" i="1"/>
  <c r="DI635" i="1" s="1"/>
  <c r="BQ545" i="1"/>
  <c r="DI544" i="1"/>
  <c r="DI545" i="1" l="1"/>
  <c r="F137" i="2"/>
  <c r="F138" i="2" s="1"/>
  <c r="D137" i="2"/>
  <c r="D138" i="2" s="1"/>
  <c r="G137" i="2"/>
  <c r="G138" i="2" s="1"/>
  <c r="C137" i="2"/>
  <c r="C138" i="2" s="1"/>
  <c r="E137" i="2"/>
  <c r="E138" i="2" s="1"/>
  <c r="Z59" i="16"/>
  <c r="DI637" i="1"/>
  <c r="DI739" i="1" s="1"/>
  <c r="DI765" i="1" s="1"/>
  <c r="DI738" i="1"/>
  <c r="BQ738" i="1"/>
  <c r="BQ764" i="1" s="1"/>
  <c r="H124" i="2" l="1"/>
  <c r="Q79" i="7"/>
  <c r="DI764" i="1"/>
  <c r="CZ725" i="1"/>
  <c r="DA80" i="1" l="1"/>
  <c r="DB80" i="1" l="1"/>
  <c r="DC80" i="1" l="1"/>
  <c r="DD80" i="1" l="1"/>
  <c r="DE80" i="1" l="1"/>
  <c r="DF80" i="1" l="1"/>
  <c r="DG80" i="1" l="1"/>
  <c r="DH80" i="1" l="1"/>
  <c r="DA79" i="1" l="1"/>
  <c r="DB79" i="1" l="1"/>
  <c r="DC79" i="1" l="1"/>
  <c r="DD79" i="1" l="1"/>
  <c r="DE79" i="1" l="1"/>
  <c r="DF79" i="1" l="1"/>
  <c r="DG79" i="1" l="1"/>
  <c r="DH79" i="1" l="1"/>
  <c r="DI79" i="1" l="1"/>
  <c r="DI80" i="1" l="1"/>
  <c r="O73" i="7" l="1"/>
  <c r="DA92" i="1" l="1"/>
  <c r="CZ442" i="1" l="1"/>
  <c r="AV27" i="31" s="1"/>
  <c r="DB92" i="1" l="1"/>
  <c r="CZ397" i="1" l="1"/>
  <c r="AV12" i="31" l="1"/>
  <c r="N11" i="7"/>
  <c r="CZ705" i="1"/>
  <c r="CZ86" i="1"/>
  <c r="D36" i="2"/>
  <c r="CZ102" i="1"/>
  <c r="CZ96" i="1" s="1"/>
  <c r="CZ103" i="1" l="1"/>
  <c r="CZ434" i="1" l="1"/>
  <c r="AY790" i="1"/>
  <c r="CZ106" i="1"/>
  <c r="AZ101" i="1"/>
  <c r="J87" i="2" l="1"/>
  <c r="AY627" i="1"/>
  <c r="CZ572" i="1"/>
  <c r="CZ585" i="1" s="1"/>
  <c r="CZ97" i="1"/>
  <c r="DA101" i="1"/>
  <c r="CZ790" i="1"/>
  <c r="D87" i="2" s="1"/>
  <c r="CZ627" i="1" l="1"/>
  <c r="CZ449" i="1" l="1"/>
  <c r="CZ451" i="1" l="1"/>
  <c r="AY430" i="1"/>
  <c r="CZ443" i="1"/>
  <c r="AY791" i="1"/>
  <c r="AV28" i="31" l="1"/>
  <c r="AV30" i="31" s="1"/>
  <c r="J88" i="2"/>
  <c r="CZ98" i="1"/>
  <c r="CZ430" i="1"/>
  <c r="N16" i="7" s="1"/>
  <c r="CZ791" i="1"/>
  <c r="D88" i="2" s="1"/>
  <c r="CZ441" i="1"/>
  <c r="G52" i="7" l="1"/>
  <c r="AV26" i="31"/>
  <c r="D11" i="30"/>
  <c r="AV29" i="31" l="1"/>
  <c r="CZ395" i="1"/>
  <c r="N9" i="7" l="1"/>
  <c r="AY812" i="1"/>
  <c r="J98" i="2" s="1"/>
  <c r="AY814" i="1"/>
  <c r="J100" i="2" s="1"/>
  <c r="CZ124" i="1"/>
  <c r="AY813" i="1"/>
  <c r="J99" i="2" s="1"/>
  <c r="CZ84" i="1"/>
  <c r="D34" i="2"/>
  <c r="CZ125" i="1"/>
  <c r="CZ679" i="1" l="1"/>
  <c r="CZ121" i="1"/>
  <c r="AY820" i="1"/>
  <c r="AY819" i="1"/>
  <c r="AY818" i="1"/>
  <c r="J104" i="2" s="1"/>
  <c r="AY821" i="1"/>
  <c r="AY817" i="1"/>
  <c r="J103" i="2" s="1"/>
  <c r="AY816" i="1"/>
  <c r="J102" i="2" s="1"/>
  <c r="CZ813" i="1"/>
  <c r="G70" i="7" s="1"/>
  <c r="CZ812" i="1"/>
  <c r="CZ114" i="1"/>
  <c r="CZ814" i="1"/>
  <c r="D100" i="2" l="1"/>
  <c r="G71" i="7"/>
  <c r="D98" i="2"/>
  <c r="G69" i="7"/>
  <c r="CZ598" i="1"/>
  <c r="CZ712" i="1"/>
  <c r="L51" i="30"/>
  <c r="D99" i="2"/>
  <c r="CZ817" i="1"/>
  <c r="G74" i="7" s="1"/>
  <c r="CZ818" i="1"/>
  <c r="CZ816" i="1"/>
  <c r="CZ820" i="1"/>
  <c r="CZ821" i="1"/>
  <c r="CZ819" i="1"/>
  <c r="CZ116" i="1"/>
  <c r="D102" i="2" l="1"/>
  <c r="G73" i="7"/>
  <c r="D104" i="2"/>
  <c r="G75" i="7"/>
  <c r="AY815" i="1"/>
  <c r="J101" i="2" s="1"/>
  <c r="CZ120" i="1"/>
  <c r="AY824" i="1"/>
  <c r="J107" i="2" s="1"/>
  <c r="AY825" i="1"/>
  <c r="AY823" i="1"/>
  <c r="J106" i="2" s="1"/>
  <c r="AY827" i="1"/>
  <c r="AY826" i="1"/>
  <c r="AY822" i="1"/>
  <c r="J105" i="2" s="1"/>
  <c r="D103" i="2"/>
  <c r="L52" i="30"/>
  <c r="CZ471" i="1" l="1"/>
  <c r="N19" i="7" s="1"/>
  <c r="CZ115" i="1"/>
  <c r="CZ122" i="1"/>
  <c r="CZ815" i="1"/>
  <c r="CZ823" i="1"/>
  <c r="G77" i="7" s="1"/>
  <c r="CZ824" i="1"/>
  <c r="CZ825" i="1"/>
  <c r="CZ822" i="1"/>
  <c r="CZ826" i="1"/>
  <c r="CZ827" i="1"/>
  <c r="CZ667" i="1"/>
  <c r="D107" i="2" l="1"/>
  <c r="G78" i="7"/>
  <c r="D101" i="2"/>
  <c r="G72" i="7"/>
  <c r="D105" i="2"/>
  <c r="G76" i="7"/>
  <c r="AY465" i="1"/>
  <c r="AY811" i="1"/>
  <c r="AY810" i="1"/>
  <c r="CZ472" i="1"/>
  <c r="AV35" i="31" s="1"/>
  <c r="AV36" i="31" s="1"/>
  <c r="CZ296" i="1"/>
  <c r="AY321" i="1"/>
  <c r="D106" i="2"/>
  <c r="L53" i="30"/>
  <c r="J96" i="2" l="1"/>
  <c r="J97" i="2"/>
  <c r="CZ478" i="1"/>
  <c r="CZ480" i="1" s="1"/>
  <c r="CZ465" i="1"/>
  <c r="CZ810" i="1"/>
  <c r="CZ118" i="1"/>
  <c r="CZ117" i="1"/>
  <c r="CZ811" i="1"/>
  <c r="G68" i="7" s="1"/>
  <c r="CZ321" i="1"/>
  <c r="D96" i="2" l="1"/>
  <c r="G67" i="7"/>
  <c r="CZ711" i="1"/>
  <c r="D97" i="2"/>
  <c r="L50" i="30"/>
  <c r="D13" i="30"/>
  <c r="AY196" i="1" l="1"/>
  <c r="AY197" i="1"/>
  <c r="AY795" i="1"/>
  <c r="J92" i="2" s="1"/>
  <c r="AY199" i="1"/>
  <c r="CZ199" i="1" s="1"/>
  <c r="CZ670" i="1"/>
  <c r="CZ238" i="1"/>
  <c r="CZ202" i="1"/>
  <c r="CZ203" i="1"/>
  <c r="CZ204" i="1"/>
  <c r="AY198" i="1"/>
  <c r="J71" i="2" s="1"/>
  <c r="CZ205" i="1"/>
  <c r="AV61" i="31" l="1"/>
  <c r="N48" i="7"/>
  <c r="AY61" i="1"/>
  <c r="AZ61" i="1"/>
  <c r="AZ198" i="1" s="1"/>
  <c r="BA61" i="1" s="1"/>
  <c r="BA198" i="1" s="1"/>
  <c r="CZ795" i="1"/>
  <c r="CZ198" i="1"/>
  <c r="AY254" i="1"/>
  <c r="K71" i="2"/>
  <c r="D25" i="30"/>
  <c r="N45" i="7" l="1"/>
  <c r="N49" i="7"/>
  <c r="D92" i="2"/>
  <c r="G55" i="7"/>
  <c r="AZ204" i="1"/>
  <c r="U61" i="31" s="1"/>
  <c r="AY369" i="1"/>
  <c r="AZ254" i="1"/>
  <c r="L71" i="2"/>
  <c r="CZ354" i="1"/>
  <c r="AY212" i="1"/>
  <c r="J31" i="2" s="1"/>
  <c r="CZ254" i="1"/>
  <c r="AY252" i="1"/>
  <c r="AY253" i="1"/>
  <c r="BB61" i="1"/>
  <c r="BB198" i="1" s="1"/>
  <c r="BA204" i="1"/>
  <c r="V61" i="31" s="1"/>
  <c r="DA198" i="1"/>
  <c r="L48" i="30"/>
  <c r="D26" i="30"/>
  <c r="D71" i="2"/>
  <c r="CZ61" i="1"/>
  <c r="AZ191" i="1" l="1"/>
  <c r="AZ185" i="1"/>
  <c r="BA185" i="1" s="1"/>
  <c r="AZ184" i="1"/>
  <c r="AZ670" i="1"/>
  <c r="AZ206" i="1"/>
  <c r="AZ197" i="1"/>
  <c r="BA197" i="1" s="1"/>
  <c r="AZ203" i="1"/>
  <c r="AZ205" i="1" s="1"/>
  <c r="AZ190" i="1"/>
  <c r="BA190" i="1" s="1"/>
  <c r="AZ196" i="1"/>
  <c r="BA196" i="1" s="1"/>
  <c r="AZ202" i="1"/>
  <c r="BA202" i="1" s="1"/>
  <c r="AZ253" i="1"/>
  <c r="BA206" i="1"/>
  <c r="BA184" i="1"/>
  <c r="BA670" i="1"/>
  <c r="DA670" i="1" s="1"/>
  <c r="BA191" i="1"/>
  <c r="DA61" i="1"/>
  <c r="E71" i="2"/>
  <c r="CZ253" i="1"/>
  <c r="AZ252" i="1"/>
  <c r="CZ252" i="1"/>
  <c r="BA254" i="1"/>
  <c r="BB254" i="1" s="1"/>
  <c r="CZ379" i="1"/>
  <c r="AV6" i="31" s="1"/>
  <c r="AZ239" i="1"/>
  <c r="DA204" i="1"/>
  <c r="AW61" i="31" s="1"/>
  <c r="BC61" i="1"/>
  <c r="BC198" i="1" s="1"/>
  <c r="BB204" i="1"/>
  <c r="W61" i="31" s="1"/>
  <c r="CZ262" i="1"/>
  <c r="D35" i="30"/>
  <c r="D36" i="30" s="1"/>
  <c r="D5" i="30"/>
  <c r="CZ212" i="1"/>
  <c r="CZ381" i="1"/>
  <c r="AV8" i="31" s="1"/>
  <c r="AV9" i="31" s="1"/>
  <c r="AY327" i="1"/>
  <c r="J33" i="2" s="1"/>
  <c r="CZ377" i="1"/>
  <c r="AZ240" i="1" l="1"/>
  <c r="BA203" i="1"/>
  <c r="D31" i="2"/>
  <c r="N6" i="7"/>
  <c r="U66" i="31"/>
  <c r="U67" i="31" s="1"/>
  <c r="BA238" i="1"/>
  <c r="DA238" i="1" s="1"/>
  <c r="BB206" i="1"/>
  <c r="AZ696" i="1"/>
  <c r="BB191" i="1"/>
  <c r="AY391" i="1"/>
  <c r="BC254" i="1"/>
  <c r="BA252" i="1"/>
  <c r="DA252" i="1" s="1"/>
  <c r="O48" i="7"/>
  <c r="E25" i="30"/>
  <c r="CZ380" i="1"/>
  <c r="AV7" i="31" s="1"/>
  <c r="BC204" i="1"/>
  <c r="X61" i="31" s="1"/>
  <c r="BD61" i="1"/>
  <c r="BD198" i="1" s="1"/>
  <c r="DB198" i="1"/>
  <c r="BB670" i="1"/>
  <c r="BB197" i="1"/>
  <c r="BA253" i="1"/>
  <c r="DA253" i="1" s="1"/>
  <c r="AZ199" i="1"/>
  <c r="BA205" i="1"/>
  <c r="AZ795" i="1"/>
  <c r="BB185" i="1"/>
  <c r="AZ262" i="1"/>
  <c r="AZ212" i="1"/>
  <c r="DA203" i="1"/>
  <c r="BB203" i="1"/>
  <c r="BB190" i="1"/>
  <c r="BB196" i="1"/>
  <c r="CZ387" i="1"/>
  <c r="CZ389" i="1" s="1"/>
  <c r="CZ391" i="1"/>
  <c r="CZ327" i="1"/>
  <c r="N8" i="7" s="1"/>
  <c r="BB202" i="1"/>
  <c r="DA202" i="1"/>
  <c r="DA254" i="1"/>
  <c r="BB184" i="1"/>
  <c r="BA239" i="1" l="1"/>
  <c r="K92" i="2"/>
  <c r="K31" i="2"/>
  <c r="V66" i="31"/>
  <c r="V67" i="31" s="1"/>
  <c r="BB238" i="1"/>
  <c r="BB239" i="1" s="1"/>
  <c r="BC206" i="1"/>
  <c r="AZ697" i="1"/>
  <c r="BA696" i="1"/>
  <c r="DA696" i="1" s="1"/>
  <c r="BC196" i="1"/>
  <c r="BC190" i="1"/>
  <c r="BC185" i="1"/>
  <c r="BC184" i="1"/>
  <c r="DA239" i="1"/>
  <c r="AW66" i="31" s="1"/>
  <c r="AW67" i="31" s="1"/>
  <c r="BD254" i="1"/>
  <c r="BC197" i="1"/>
  <c r="DB61" i="1"/>
  <c r="F71" i="2"/>
  <c r="BC202" i="1"/>
  <c r="BB253" i="1"/>
  <c r="DB204" i="1"/>
  <c r="AX61" i="31" s="1"/>
  <c r="L46" i="30"/>
  <c r="CZ698" i="1"/>
  <c r="M48" i="30"/>
  <c r="E26" i="30"/>
  <c r="BB252" i="1"/>
  <c r="BD204" i="1"/>
  <c r="Y61" i="31" s="1"/>
  <c r="BE61" i="1"/>
  <c r="BE198" i="1" s="1"/>
  <c r="BA262" i="1"/>
  <c r="BA212" i="1"/>
  <c r="L31" i="2" s="1"/>
  <c r="DB254" i="1"/>
  <c r="BC203" i="1"/>
  <c r="D7" i="30"/>
  <c r="D33" i="2"/>
  <c r="O45" i="7"/>
  <c r="O49" i="7"/>
  <c r="AZ698" i="1"/>
  <c r="DA205" i="1"/>
  <c r="DA795" i="1" s="1"/>
  <c r="BB205" i="1"/>
  <c r="BA199" i="1"/>
  <c r="DA199" i="1" s="1"/>
  <c r="BA795" i="1"/>
  <c r="L92" i="2" s="1"/>
  <c r="BC670" i="1"/>
  <c r="BC191" i="1"/>
  <c r="W66" i="31" l="1"/>
  <c r="W67" i="31" s="1"/>
  <c r="BC238" i="1"/>
  <c r="DB238" i="1" s="1"/>
  <c r="BA697" i="1"/>
  <c r="DA697" i="1" s="1"/>
  <c r="BD185" i="1"/>
  <c r="BD206" i="1"/>
  <c r="DA262" i="1"/>
  <c r="E35" i="30"/>
  <c r="E36" i="30" s="1"/>
  <c r="O57" i="7"/>
  <c r="O58" i="7" s="1"/>
  <c r="E5" i="30"/>
  <c r="DA212" i="1"/>
  <c r="E31" i="2" s="1"/>
  <c r="BD197" i="1"/>
  <c r="BD190" i="1"/>
  <c r="BD191" i="1"/>
  <c r="BD196" i="1"/>
  <c r="BD184" i="1"/>
  <c r="BE254" i="1"/>
  <c r="DC254" i="1" s="1"/>
  <c r="BB262" i="1"/>
  <c r="BB212" i="1"/>
  <c r="P48" i="7"/>
  <c r="F25" i="30"/>
  <c r="DB203" i="1"/>
  <c r="BD203" i="1"/>
  <c r="BC253" i="1"/>
  <c r="DB253" i="1" s="1"/>
  <c r="BD670" i="1"/>
  <c r="DB670" i="1"/>
  <c r="BF61" i="1"/>
  <c r="BF198" i="1" s="1"/>
  <c r="DC198" i="1"/>
  <c r="BE204" i="1"/>
  <c r="Z61" i="31" s="1"/>
  <c r="BC252" i="1"/>
  <c r="BC239" i="1"/>
  <c r="BC205" i="1"/>
  <c r="BB199" i="1"/>
  <c r="BB795" i="1"/>
  <c r="E92" i="2"/>
  <c r="H55" i="7"/>
  <c r="BA698" i="1"/>
  <c r="BD202" i="1"/>
  <c r="DB202" i="1"/>
  <c r="BB696" i="1"/>
  <c r="X66" i="31" l="1"/>
  <c r="X67" i="31" s="1"/>
  <c r="BD238" i="1"/>
  <c r="DA698" i="1"/>
  <c r="O6" i="7"/>
  <c r="BE206" i="1"/>
  <c r="BE197" i="1"/>
  <c r="BE191" i="1"/>
  <c r="BE185" i="1"/>
  <c r="BE190" i="1"/>
  <c r="BF254" i="1"/>
  <c r="BD252" i="1"/>
  <c r="DC204" i="1"/>
  <c r="AY61" i="31" s="1"/>
  <c r="F26" i="30"/>
  <c r="N48" i="30"/>
  <c r="BC696" i="1"/>
  <c r="DB696" i="1" s="1"/>
  <c r="BB697" i="1"/>
  <c r="BD239" i="1"/>
  <c r="G71" i="2"/>
  <c r="DC61" i="1"/>
  <c r="BF204" i="1"/>
  <c r="AA61" i="31" s="1"/>
  <c r="BG61" i="1"/>
  <c r="BG198" i="1" s="1"/>
  <c r="BD253" i="1"/>
  <c r="BE203" i="1"/>
  <c r="P45" i="7"/>
  <c r="P49" i="7"/>
  <c r="BC262" i="1"/>
  <c r="BC212" i="1"/>
  <c r="BE202" i="1"/>
  <c r="DB252" i="1"/>
  <c r="BE184" i="1"/>
  <c r="BE196" i="1"/>
  <c r="BC199" i="1"/>
  <c r="DB199" i="1" s="1"/>
  <c r="BD205" i="1"/>
  <c r="DB205" i="1"/>
  <c r="DB795" i="1" s="1"/>
  <c r="BC795" i="1"/>
  <c r="BE670" i="1"/>
  <c r="DB239" i="1"/>
  <c r="AX66" i="31" s="1"/>
  <c r="AX67" i="31" s="1"/>
  <c r="Y66" i="31" l="1"/>
  <c r="Y67" i="31" s="1"/>
  <c r="BE238" i="1"/>
  <c r="DC238" i="1" s="1"/>
  <c r="BF206" i="1"/>
  <c r="BF184" i="1"/>
  <c r="BG254" i="1"/>
  <c r="DD254" i="1" s="1"/>
  <c r="DC203" i="1"/>
  <c r="BF203" i="1"/>
  <c r="DC202" i="1"/>
  <c r="BF202" i="1"/>
  <c r="BB698" i="1"/>
  <c r="BF190" i="1"/>
  <c r="F92" i="2"/>
  <c r="I55" i="7"/>
  <c r="BE253" i="1"/>
  <c r="DC253" i="1" s="1"/>
  <c r="DC670" i="1"/>
  <c r="BF670" i="1"/>
  <c r="BD262" i="1"/>
  <c r="BD212" i="1"/>
  <c r="BC697" i="1"/>
  <c r="BD696" i="1"/>
  <c r="DB262" i="1"/>
  <c r="DB212" i="1"/>
  <c r="F35" i="30"/>
  <c r="F36" i="30" s="1"/>
  <c r="F5" i="30"/>
  <c r="P57" i="7"/>
  <c r="P58" i="7" s="1"/>
  <c r="BE205" i="1"/>
  <c r="BD199" i="1"/>
  <c r="BD795" i="1"/>
  <c r="BF196" i="1"/>
  <c r="BF185" i="1"/>
  <c r="BE239" i="1"/>
  <c r="Q48" i="7"/>
  <c r="G25" i="30"/>
  <c r="BF197" i="1"/>
  <c r="BG204" i="1"/>
  <c r="AB61" i="31" s="1"/>
  <c r="BH61" i="1"/>
  <c r="DD198" i="1"/>
  <c r="DD61" i="1" s="1"/>
  <c r="BF191" i="1"/>
  <c r="BE252" i="1"/>
  <c r="DC252" i="1" s="1"/>
  <c r="Z66" i="31" l="1"/>
  <c r="Z67" i="31" s="1"/>
  <c r="BF238" i="1"/>
  <c r="BF239" i="1" s="1"/>
  <c r="DC239" i="1"/>
  <c r="AY66" i="31" s="1"/>
  <c r="AY67" i="31" s="1"/>
  <c r="BG184" i="1"/>
  <c r="BG206" i="1"/>
  <c r="BG197" i="1"/>
  <c r="BG196" i="1"/>
  <c r="BG191" i="1"/>
  <c r="Q45" i="7"/>
  <c r="Q49" i="7"/>
  <c r="BG185" i="1"/>
  <c r="BF253" i="1"/>
  <c r="BG190" i="1"/>
  <c r="BG202" i="1"/>
  <c r="BE696" i="1"/>
  <c r="DC696" i="1" s="1"/>
  <c r="BD697" i="1"/>
  <c r="BC698" i="1"/>
  <c r="DB697" i="1"/>
  <c r="BF252" i="1"/>
  <c r="BI61" i="1"/>
  <c r="BH198" i="1"/>
  <c r="O48" i="30"/>
  <c r="G26" i="30"/>
  <c r="DD204" i="1"/>
  <c r="AZ61" i="31" s="1"/>
  <c r="P6" i="7"/>
  <c r="F31" i="2"/>
  <c r="BG670" i="1"/>
  <c r="BE262" i="1"/>
  <c r="BE212" i="1"/>
  <c r="BF205" i="1"/>
  <c r="BE199" i="1"/>
  <c r="DC199" i="1" s="1"/>
  <c r="DC205" i="1"/>
  <c r="DC795" i="1" s="1"/>
  <c r="BE795" i="1"/>
  <c r="BG203" i="1"/>
  <c r="DC262" i="1" l="1"/>
  <c r="AA66" i="31"/>
  <c r="AA67" i="31" s="1"/>
  <c r="G5" i="30"/>
  <c r="Q57" i="7"/>
  <c r="Q58" i="7" s="1"/>
  <c r="DC212" i="1"/>
  <c r="BG238" i="1"/>
  <c r="DD238" i="1" s="1"/>
  <c r="G35" i="30"/>
  <c r="G36" i="30" s="1"/>
  <c r="BD698" i="1"/>
  <c r="G31" i="2"/>
  <c r="Q6" i="7"/>
  <c r="BH204" i="1"/>
  <c r="AC61" i="31" s="1"/>
  <c r="BH254" i="1"/>
  <c r="BE697" i="1"/>
  <c r="BF696" i="1"/>
  <c r="DD202" i="1"/>
  <c r="DD670" i="1"/>
  <c r="BG205" i="1"/>
  <c r="BF199" i="1"/>
  <c r="BF795" i="1"/>
  <c r="BG239" i="1"/>
  <c r="BI198" i="1"/>
  <c r="BJ61" i="1"/>
  <c r="DB698" i="1"/>
  <c r="BF262" i="1"/>
  <c r="BF212" i="1"/>
  <c r="BG252" i="1"/>
  <c r="DD252" i="1" s="1"/>
  <c r="J55" i="7"/>
  <c r="G92" i="2"/>
  <c r="DD203" i="1"/>
  <c r="BG253" i="1"/>
  <c r="DD253" i="1" s="1"/>
  <c r="AB66" i="31" l="1"/>
  <c r="AB67" i="31" s="1"/>
  <c r="BH238" i="1"/>
  <c r="DD239" i="1"/>
  <c r="BH202" i="1"/>
  <c r="BH206" i="1"/>
  <c r="BH203" i="1"/>
  <c r="BH205" i="1" s="1"/>
  <c r="BH795" i="1" s="1"/>
  <c r="BH190" i="1"/>
  <c r="BH670" i="1"/>
  <c r="BH185" i="1"/>
  <c r="DD205" i="1"/>
  <c r="DD795" i="1" s="1"/>
  <c r="BG199" i="1"/>
  <c r="DD199" i="1" s="1"/>
  <c r="BG795" i="1"/>
  <c r="BE698" i="1"/>
  <c r="DC697" i="1"/>
  <c r="BK61" i="1"/>
  <c r="BJ198" i="1"/>
  <c r="BJ204" i="1" s="1"/>
  <c r="AE61" i="31" s="1"/>
  <c r="DE198" i="1"/>
  <c r="DE61" i="1" s="1"/>
  <c r="BI204" i="1"/>
  <c r="AD61" i="31" s="1"/>
  <c r="BI254" i="1"/>
  <c r="BH253" i="1"/>
  <c r="BH252" i="1"/>
  <c r="BG262" i="1"/>
  <c r="BG212" i="1"/>
  <c r="BG696" i="1"/>
  <c r="BF697" i="1"/>
  <c r="BH196" i="1"/>
  <c r="BH197" i="1"/>
  <c r="BH184" i="1"/>
  <c r="BH191" i="1"/>
  <c r="DD212" i="1" l="1"/>
  <c r="AZ66" i="31"/>
  <c r="AZ67" i="31" s="1"/>
  <c r="BJ206" i="1"/>
  <c r="BI206" i="1"/>
  <c r="DD262" i="1"/>
  <c r="BI196" i="1"/>
  <c r="BJ196" i="1" s="1"/>
  <c r="BH239" i="1"/>
  <c r="BJ254" i="1"/>
  <c r="BI190" i="1"/>
  <c r="BJ190" i="1" s="1"/>
  <c r="BI191" i="1"/>
  <c r="BJ191" i="1" s="1"/>
  <c r="BI184" i="1"/>
  <c r="BJ184" i="1" s="1"/>
  <c r="BI197" i="1"/>
  <c r="BJ197" i="1" s="1"/>
  <c r="BI185" i="1"/>
  <c r="BJ185" i="1" s="1"/>
  <c r="BI203" i="1"/>
  <c r="DC698" i="1"/>
  <c r="BG697" i="1"/>
  <c r="DD697" i="1" s="1"/>
  <c r="BI252" i="1"/>
  <c r="DE254" i="1"/>
  <c r="BI670" i="1"/>
  <c r="BI202" i="1"/>
  <c r="DD696" i="1"/>
  <c r="BH199" i="1"/>
  <c r="BF698" i="1"/>
  <c r="BI253" i="1"/>
  <c r="DE253" i="1" s="1"/>
  <c r="DE204" i="1"/>
  <c r="BA61" i="31" s="1"/>
  <c r="BL61" i="1"/>
  <c r="BK198" i="1"/>
  <c r="AC66" i="31" l="1"/>
  <c r="AC67" i="31" s="1"/>
  <c r="BI238" i="1"/>
  <c r="DE238" i="1" s="1"/>
  <c r="BH212" i="1"/>
  <c r="BH696" i="1"/>
  <c r="BH262" i="1"/>
  <c r="BK254" i="1"/>
  <c r="DF254" i="1" s="1"/>
  <c r="BJ252" i="1"/>
  <c r="DE202" i="1"/>
  <c r="BJ202" i="1"/>
  <c r="DE203" i="1"/>
  <c r="BJ203" i="1"/>
  <c r="BJ670" i="1"/>
  <c r="DE670" i="1"/>
  <c r="BK204" i="1"/>
  <c r="AF61" i="31" s="1"/>
  <c r="DF198" i="1"/>
  <c r="DF61" i="1" s="1"/>
  <c r="BG698" i="1"/>
  <c r="DD698" i="1"/>
  <c r="BM61" i="1"/>
  <c r="BL198" i="1"/>
  <c r="BL204" i="1" s="1"/>
  <c r="AG61" i="31" s="1"/>
  <c r="BJ253" i="1"/>
  <c r="BI205" i="1"/>
  <c r="DE252" i="1"/>
  <c r="BI239" i="1" l="1"/>
  <c r="BH697" i="1"/>
  <c r="BH698" i="1" s="1"/>
  <c r="BK185" i="1"/>
  <c r="BL185" i="1" s="1"/>
  <c r="BK206" i="1"/>
  <c r="BL206" i="1"/>
  <c r="BL254" i="1"/>
  <c r="BK252" i="1"/>
  <c r="BJ205" i="1"/>
  <c r="DE205" i="1"/>
  <c r="DE795" i="1" s="1"/>
  <c r="BI199" i="1"/>
  <c r="DE199" i="1" s="1"/>
  <c r="BI795" i="1"/>
  <c r="BK670" i="1"/>
  <c r="BK202" i="1"/>
  <c r="DF204" i="1"/>
  <c r="BB61" i="31" s="1"/>
  <c r="BK184" i="1"/>
  <c r="BL184" i="1" s="1"/>
  <c r="BK191" i="1"/>
  <c r="BL191" i="1" s="1"/>
  <c r="BK190" i="1"/>
  <c r="BL190" i="1" s="1"/>
  <c r="BK197" i="1"/>
  <c r="BL197" i="1" s="1"/>
  <c r="BK196" i="1"/>
  <c r="BL196" i="1" s="1"/>
  <c r="BK253" i="1"/>
  <c r="BM198" i="1"/>
  <c r="BN61" i="1"/>
  <c r="BK203" i="1"/>
  <c r="AD66" i="31" l="1"/>
  <c r="AD67" i="31" s="1"/>
  <c r="BI212" i="1"/>
  <c r="DE239" i="1"/>
  <c r="BI262" i="1"/>
  <c r="BJ238" i="1"/>
  <c r="BI696" i="1"/>
  <c r="BL253" i="1"/>
  <c r="DF202" i="1"/>
  <c r="BL202" i="1"/>
  <c r="BL670" i="1"/>
  <c r="DF670" i="1"/>
  <c r="BO61" i="1"/>
  <c r="BN198" i="1"/>
  <c r="BN204" i="1" s="1"/>
  <c r="AI61" i="31" s="1"/>
  <c r="BM204" i="1"/>
  <c r="AH61" i="31" s="1"/>
  <c r="DG198" i="1"/>
  <c r="DG61" i="1" s="1"/>
  <c r="BL252" i="1"/>
  <c r="BM254" i="1"/>
  <c r="DF252" i="1"/>
  <c r="DF203" i="1"/>
  <c r="BL203" i="1"/>
  <c r="DF253" i="1"/>
  <c r="BK205" i="1"/>
  <c r="BJ199" i="1"/>
  <c r="BJ795" i="1"/>
  <c r="BA66" i="31" l="1"/>
  <c r="BA67" i="31" s="1"/>
  <c r="DE262" i="1"/>
  <c r="DE212" i="1"/>
  <c r="DE696" i="1"/>
  <c r="BI697" i="1"/>
  <c r="BJ239" i="1"/>
  <c r="BJ696" i="1" s="1"/>
  <c r="BM196" i="1"/>
  <c r="BN196" i="1" s="1"/>
  <c r="BM206" i="1"/>
  <c r="BM184" i="1"/>
  <c r="BN184" i="1" s="1"/>
  <c r="BM191" i="1"/>
  <c r="BN191" i="1" s="1"/>
  <c r="BM190" i="1"/>
  <c r="BN190" i="1" s="1"/>
  <c r="BN254" i="1"/>
  <c r="DG254" i="1"/>
  <c r="BM253" i="1"/>
  <c r="DG253" i="1" s="1"/>
  <c r="BM203" i="1"/>
  <c r="BP61" i="1"/>
  <c r="BO198" i="1"/>
  <c r="DG204" i="1"/>
  <c r="BC61" i="31" s="1"/>
  <c r="BM185" i="1"/>
  <c r="BN185" i="1" s="1"/>
  <c r="BM670" i="1"/>
  <c r="DF205" i="1"/>
  <c r="DF795" i="1" s="1"/>
  <c r="BL205" i="1"/>
  <c r="BK199" i="1"/>
  <c r="DF199" i="1" s="1"/>
  <c r="BK795" i="1"/>
  <c r="BM252" i="1"/>
  <c r="BM197" i="1"/>
  <c r="BN197" i="1" s="1"/>
  <c r="BM202" i="1"/>
  <c r="BK238" i="1" l="1"/>
  <c r="DF238" i="1" s="1"/>
  <c r="BJ697" i="1"/>
  <c r="DE697" i="1"/>
  <c r="BI698" i="1"/>
  <c r="AE66" i="31"/>
  <c r="AE67" i="31" s="1"/>
  <c r="BJ262" i="1"/>
  <c r="BJ212" i="1"/>
  <c r="DG202" i="1"/>
  <c r="BN202" i="1"/>
  <c r="BP198" i="1"/>
  <c r="BP204" i="1" s="1"/>
  <c r="AK61" i="31" s="1"/>
  <c r="BQ61" i="1"/>
  <c r="BQ198" i="1" s="1"/>
  <c r="BM205" i="1"/>
  <c r="BL199" i="1"/>
  <c r="BL795" i="1"/>
  <c r="BO254" i="1"/>
  <c r="BN252" i="1"/>
  <c r="BN253" i="1"/>
  <c r="DG670" i="1"/>
  <c r="BN670" i="1"/>
  <c r="DG203" i="1"/>
  <c r="BN203" i="1"/>
  <c r="DG252" i="1"/>
  <c r="DH198" i="1"/>
  <c r="DH61" i="1" s="1"/>
  <c r="BO204" i="1"/>
  <c r="AJ61" i="31" s="1"/>
  <c r="BK239" i="1" l="1"/>
  <c r="DF239" i="1" s="1"/>
  <c r="DF212" i="1" s="1"/>
  <c r="BB66" i="31"/>
  <c r="BB67" i="31" s="1"/>
  <c r="DF262" i="1"/>
  <c r="DE698" i="1"/>
  <c r="AF66" i="31"/>
  <c r="AF67" i="31" s="1"/>
  <c r="BK212" i="1"/>
  <c r="BK262" i="1"/>
  <c r="BL238" i="1"/>
  <c r="BK696" i="1"/>
  <c r="BJ698" i="1"/>
  <c r="BO197" i="1"/>
  <c r="BP197" i="1" s="1"/>
  <c r="BP254" i="1"/>
  <c r="BQ254" i="1" s="1"/>
  <c r="DI254" i="1" s="1"/>
  <c r="DH254" i="1"/>
  <c r="BO191" i="1"/>
  <c r="BP191" i="1" s="1"/>
  <c r="BQ204" i="1"/>
  <c r="AL61" i="31" s="1"/>
  <c r="DI198" i="1"/>
  <c r="DI61" i="1" s="1"/>
  <c r="BO203" i="1"/>
  <c r="BO252" i="1"/>
  <c r="BN205" i="1"/>
  <c r="BM199" i="1"/>
  <c r="DG199" i="1" s="1"/>
  <c r="DG205" i="1"/>
  <c r="DG795" i="1" s="1"/>
  <c r="BM795" i="1"/>
  <c r="BO670" i="1"/>
  <c r="BO253" i="1"/>
  <c r="DH253" i="1" s="1"/>
  <c r="BO202" i="1"/>
  <c r="DH204" i="1"/>
  <c r="BD61" i="31" s="1"/>
  <c r="BO184" i="1"/>
  <c r="BP184" i="1" s="1"/>
  <c r="BO196" i="1"/>
  <c r="BP196" i="1" s="1"/>
  <c r="BO190" i="1"/>
  <c r="BP190" i="1" s="1"/>
  <c r="BO185" i="1"/>
  <c r="BP185" i="1" s="1"/>
  <c r="BL239" i="1" l="1"/>
  <c r="DF696" i="1"/>
  <c r="BK697" i="1"/>
  <c r="BQ196" i="1"/>
  <c r="BQ185" i="1"/>
  <c r="BQ184" i="1"/>
  <c r="BQ190" i="1"/>
  <c r="BO205" i="1"/>
  <c r="BN199" i="1"/>
  <c r="BN795" i="1"/>
  <c r="DI204" i="1"/>
  <c r="BE61" i="31" s="1"/>
  <c r="BP252" i="1"/>
  <c r="BP253" i="1"/>
  <c r="BP670" i="1"/>
  <c r="DH670" i="1"/>
  <c r="DH203" i="1"/>
  <c r="BP203" i="1"/>
  <c r="DH202" i="1"/>
  <c r="BP202" i="1"/>
  <c r="DH252" i="1"/>
  <c r="BQ191" i="1"/>
  <c r="BQ197" i="1"/>
  <c r="AG66" i="31" l="1"/>
  <c r="AG67" i="31" s="1"/>
  <c r="BL212" i="1"/>
  <c r="BL262" i="1"/>
  <c r="DF697" i="1"/>
  <c r="BK698" i="1"/>
  <c r="BL696" i="1"/>
  <c r="BM238" i="1"/>
  <c r="DG238" i="1" s="1"/>
  <c r="BQ253" i="1"/>
  <c r="DI253" i="1" s="1"/>
  <c r="DH205" i="1"/>
  <c r="DH795" i="1" s="1"/>
  <c r="BO199" i="1"/>
  <c r="DH199" i="1" s="1"/>
  <c r="BP205" i="1"/>
  <c r="BO795" i="1"/>
  <c r="BQ252" i="1"/>
  <c r="BQ202" i="1"/>
  <c r="BQ670" i="1"/>
  <c r="BQ203" i="1"/>
  <c r="BL697" i="1" l="1"/>
  <c r="BM239" i="1"/>
  <c r="DF698" i="1"/>
  <c r="DI202" i="1"/>
  <c r="BP199" i="1"/>
  <c r="BQ205" i="1"/>
  <c r="BP795" i="1"/>
  <c r="DI670" i="1"/>
  <c r="DI203" i="1"/>
  <c r="DI252" i="1"/>
  <c r="AH66" i="31" l="1"/>
  <c r="AH67" i="31" s="1"/>
  <c r="BM212" i="1"/>
  <c r="BM262" i="1"/>
  <c r="DG239" i="1"/>
  <c r="BN238" i="1"/>
  <c r="BL698" i="1"/>
  <c r="BM696" i="1"/>
  <c r="DI205" i="1"/>
  <c r="DI795" i="1" s="1"/>
  <c r="BQ199" i="1"/>
  <c r="DI199" i="1" s="1"/>
  <c r="BQ795" i="1"/>
  <c r="DG696" i="1" l="1"/>
  <c r="BM697" i="1"/>
  <c r="BN239" i="1"/>
  <c r="BO238" i="1" s="1"/>
  <c r="DH238" i="1" s="1"/>
  <c r="BC66" i="31"/>
  <c r="BC67" i="31" s="1"/>
  <c r="DG212" i="1"/>
  <c r="DG262" i="1"/>
  <c r="CZ259" i="1"/>
  <c r="CZ260" i="1"/>
  <c r="CZ257" i="1"/>
  <c r="CZ243" i="1"/>
  <c r="BO239" i="1" l="1"/>
  <c r="DH239" i="1" s="1"/>
  <c r="AI66" i="31"/>
  <c r="AI67" i="31" s="1"/>
  <c r="BN212" i="1"/>
  <c r="BN262" i="1"/>
  <c r="DG697" i="1"/>
  <c r="BM698" i="1"/>
  <c r="BN696" i="1"/>
  <c r="AY244" i="1"/>
  <c r="CZ244" i="1" s="1"/>
  <c r="CZ242" i="1"/>
  <c r="CZ396" i="1"/>
  <c r="CZ261" i="1"/>
  <c r="CZ405" i="1"/>
  <c r="AV14" i="31" s="1"/>
  <c r="CZ85" i="1" l="1"/>
  <c r="N10" i="7"/>
  <c r="AV11" i="31"/>
  <c r="BD66" i="31"/>
  <c r="BD67" i="31" s="1"/>
  <c r="DH212" i="1"/>
  <c r="DH262" i="1"/>
  <c r="BO696" i="1"/>
  <c r="BN697" i="1"/>
  <c r="DH696" i="1"/>
  <c r="AJ66" i="31"/>
  <c r="AJ67" i="31" s="1"/>
  <c r="BO262" i="1"/>
  <c r="BO212" i="1"/>
  <c r="DG698" i="1"/>
  <c r="BP238" i="1"/>
  <c r="AY359" i="1"/>
  <c r="AZ244" i="1"/>
  <c r="AZ242" i="1" s="1"/>
  <c r="AZ257" i="1" s="1"/>
  <c r="D8" i="30"/>
  <c r="D35" i="2"/>
  <c r="CZ406" i="1"/>
  <c r="AV15" i="31" s="1"/>
  <c r="D9" i="30"/>
  <c r="CZ89" i="1"/>
  <c r="BN698" i="1" l="1"/>
  <c r="BP239" i="1"/>
  <c r="BP696" i="1" s="1"/>
  <c r="BO697" i="1"/>
  <c r="BA244" i="1"/>
  <c r="BB244" i="1" s="1"/>
  <c r="BC244" i="1" s="1"/>
  <c r="BD244" i="1" s="1"/>
  <c r="AZ243" i="1"/>
  <c r="AZ258" i="1" s="1"/>
  <c r="AZ259" i="1" s="1"/>
  <c r="AZ89" i="1" s="1"/>
  <c r="D10" i="30"/>
  <c r="L45" i="30" s="1"/>
  <c r="CZ408" i="1"/>
  <c r="AV17" i="31" s="1"/>
  <c r="AY419" i="1"/>
  <c r="AY393" i="1"/>
  <c r="AY426" i="1" l="1"/>
  <c r="J41" i="2"/>
  <c r="J40" i="2" s="1"/>
  <c r="BA243" i="1"/>
  <c r="DA243" i="1" s="1"/>
  <c r="DA244" i="1"/>
  <c r="BA242" i="1"/>
  <c r="DA242" i="1" s="1"/>
  <c r="DH697" i="1"/>
  <c r="BO698" i="1"/>
  <c r="BP697" i="1"/>
  <c r="AK66" i="31"/>
  <c r="AK67" i="31" s="1"/>
  <c r="BP262" i="1"/>
  <c r="BP212" i="1"/>
  <c r="BQ238" i="1"/>
  <c r="DI238" i="1" s="1"/>
  <c r="D12" i="30"/>
  <c r="D14" i="30" s="1"/>
  <c r="DB244" i="1"/>
  <c r="CZ99" i="1"/>
  <c r="CZ393" i="1"/>
  <c r="N14" i="7" s="1"/>
  <c r="CZ419" i="1"/>
  <c r="N15" i="7" s="1"/>
  <c r="AY454" i="1"/>
  <c r="AY793" i="1"/>
  <c r="AY794" i="1"/>
  <c r="J91" i="2" s="1"/>
  <c r="BE244" i="1"/>
  <c r="BF244" i="1" s="1"/>
  <c r="CZ414" i="1"/>
  <c r="AY792" i="1"/>
  <c r="J89" i="2" s="1"/>
  <c r="BA257" i="1" l="1"/>
  <c r="DA257" i="1" s="1"/>
  <c r="G50" i="7"/>
  <c r="N17" i="7"/>
  <c r="G53" i="7"/>
  <c r="G51" i="7"/>
  <c r="T71" i="31"/>
  <c r="J90" i="2"/>
  <c r="AY461" i="1"/>
  <c r="J43" i="2"/>
  <c r="J42" i="2" s="1"/>
  <c r="BB242" i="1"/>
  <c r="BB257" i="1" s="1"/>
  <c r="AY428" i="1"/>
  <c r="T19" i="31"/>
  <c r="T20" i="31" s="1"/>
  <c r="BA258" i="1"/>
  <c r="BA259" i="1" s="1"/>
  <c r="BA89" i="1" s="1"/>
  <c r="BB243" i="1"/>
  <c r="BB258" i="1" s="1"/>
  <c r="L21" i="30"/>
  <c r="BP698" i="1"/>
  <c r="BQ239" i="1"/>
  <c r="DH698" i="1"/>
  <c r="DC244" i="1"/>
  <c r="CZ793" i="1"/>
  <c r="AV71" i="31" s="1"/>
  <c r="CZ794" i="1"/>
  <c r="D91" i="2" s="1"/>
  <c r="CZ454" i="1"/>
  <c r="CZ426" i="1"/>
  <c r="AV19" i="31" s="1"/>
  <c r="AV20" i="31" s="1"/>
  <c r="D41" i="2"/>
  <c r="D40" i="2" s="1"/>
  <c r="AY483" i="1"/>
  <c r="J45" i="2" s="1"/>
  <c r="AY734" i="1"/>
  <c r="AY761" i="1" s="1"/>
  <c r="CZ792" i="1"/>
  <c r="D89" i="2" s="1"/>
  <c r="BG244" i="1"/>
  <c r="BH244" i="1" s="1"/>
  <c r="CZ416" i="1"/>
  <c r="BB259" i="1" l="1"/>
  <c r="BB89" i="1" s="1"/>
  <c r="J49" i="2"/>
  <c r="J44" i="2"/>
  <c r="DA259" i="1"/>
  <c r="AY463" i="1"/>
  <c r="T32" i="31"/>
  <c r="T33" i="31" s="1"/>
  <c r="N20" i="7"/>
  <c r="G15" i="7"/>
  <c r="DA258" i="1"/>
  <c r="BC242" i="1"/>
  <c r="DB242" i="1" s="1"/>
  <c r="BC243" i="1"/>
  <c r="DB243" i="1" s="1"/>
  <c r="AL66" i="31"/>
  <c r="AL67" i="31" s="1"/>
  <c r="BQ212" i="1"/>
  <c r="BQ262" i="1"/>
  <c r="DI239" i="1"/>
  <c r="BQ696" i="1"/>
  <c r="AY129" i="1"/>
  <c r="AY490" i="1"/>
  <c r="CZ483" i="1"/>
  <c r="CZ461" i="1"/>
  <c r="D43" i="2"/>
  <c r="D42" i="2" s="1"/>
  <c r="CZ734" i="1"/>
  <c r="BD243" i="1"/>
  <c r="BC258" i="1"/>
  <c r="DB258" i="1" s="1"/>
  <c r="CZ428" i="1"/>
  <c r="BI244" i="1"/>
  <c r="BJ244" i="1" s="1"/>
  <c r="DD244" i="1"/>
  <c r="D90" i="2"/>
  <c r="CZ761" i="1" l="1"/>
  <c r="G16" i="7"/>
  <c r="AY493" i="1"/>
  <c r="T38" i="31"/>
  <c r="T41" i="31" s="1"/>
  <c r="AV32" i="31"/>
  <c r="AV33" i="31" s="1"/>
  <c r="BC257" i="1"/>
  <c r="DB257" i="1" s="1"/>
  <c r="BD242" i="1"/>
  <c r="BQ697" i="1"/>
  <c r="DI696" i="1"/>
  <c r="BE66" i="31"/>
  <c r="BE67" i="31" s="1"/>
  <c r="DI262" i="1"/>
  <c r="DI212" i="1"/>
  <c r="BC259" i="1"/>
  <c r="BC89" i="1" s="1"/>
  <c r="DE244" i="1"/>
  <c r="BE243" i="1"/>
  <c r="BD258" i="1"/>
  <c r="CZ497" i="1"/>
  <c r="CZ490" i="1"/>
  <c r="AV38" i="31" s="1"/>
  <c r="D45" i="2"/>
  <c r="BK244" i="1"/>
  <c r="BL244" i="1" s="1"/>
  <c r="CZ463" i="1"/>
  <c r="BD257" i="1" l="1"/>
  <c r="BD259" i="1" s="1"/>
  <c r="BE242" i="1"/>
  <c r="G40" i="7"/>
  <c r="G17" i="7"/>
  <c r="AV40" i="31"/>
  <c r="AV41" i="31" s="1"/>
  <c r="N21" i="7"/>
  <c r="DB259" i="1"/>
  <c r="BQ698" i="1"/>
  <c r="DI697" i="1"/>
  <c r="DF244" i="1"/>
  <c r="D44" i="2"/>
  <c r="BE258" i="1"/>
  <c r="BF243" i="1"/>
  <c r="CZ493" i="1"/>
  <c r="D46" i="2"/>
  <c r="D49" i="2" s="1"/>
  <c r="CZ129" i="1"/>
  <c r="CZ130" i="1"/>
  <c r="DC243" i="1"/>
  <c r="BM244" i="1"/>
  <c r="BN244" i="1" s="1"/>
  <c r="AY495" i="1"/>
  <c r="CZ500" i="1"/>
  <c r="BD89" i="1" l="1"/>
  <c r="DC242" i="1"/>
  <c r="BF242" i="1"/>
  <c r="BE257" i="1"/>
  <c r="DC257" i="1" s="1"/>
  <c r="G54" i="7"/>
  <c r="N24" i="7"/>
  <c r="DI698" i="1"/>
  <c r="DG244" i="1"/>
  <c r="CZ495" i="1"/>
  <c r="CZ515" i="1"/>
  <c r="AV44" i="31" s="1"/>
  <c r="AV47" i="31" s="1"/>
  <c r="AV48" i="31" s="1"/>
  <c r="BF258" i="1"/>
  <c r="BG243" i="1"/>
  <c r="CZ506" i="1"/>
  <c r="CZ509" i="1" s="1"/>
  <c r="AY620" i="1"/>
  <c r="AY624" i="1" s="1"/>
  <c r="AY629" i="1" s="1"/>
  <c r="AY136" i="1"/>
  <c r="AY838" i="1" s="1"/>
  <c r="J112" i="2" s="1"/>
  <c r="AY740" i="1"/>
  <c r="AY766" i="1" s="1"/>
  <c r="AY741" i="1"/>
  <c r="AY767" i="1" s="1"/>
  <c r="AY788" i="1"/>
  <c r="AY510" i="1"/>
  <c r="AY787" i="1"/>
  <c r="AY732" i="1"/>
  <c r="AY513" i="1"/>
  <c r="J15" i="2" s="1"/>
  <c r="CZ136" i="1"/>
  <c r="AY730" i="1"/>
  <c r="T54" i="31" s="1"/>
  <c r="AY789" i="1"/>
  <c r="DC258" i="1"/>
  <c r="BO244" i="1"/>
  <c r="BP244" i="1" s="1"/>
  <c r="T55" i="31" l="1"/>
  <c r="J52" i="2"/>
  <c r="J50" i="2" s="1"/>
  <c r="J16" i="2"/>
  <c r="BG242" i="1"/>
  <c r="BF257" i="1"/>
  <c r="BF259" i="1" s="1"/>
  <c r="BF89" i="1" s="1"/>
  <c r="BE259" i="1"/>
  <c r="CZ838" i="1"/>
  <c r="G31" i="7"/>
  <c r="G18" i="7"/>
  <c r="G19" i="7" s="1"/>
  <c r="N28" i="7"/>
  <c r="G24" i="7" s="1"/>
  <c r="G25" i="7" s="1"/>
  <c r="T72" i="31"/>
  <c r="J85" i="2"/>
  <c r="J86" i="2"/>
  <c r="J84" i="2"/>
  <c r="D15" i="30"/>
  <c r="DH244" i="1"/>
  <c r="CZ620" i="1"/>
  <c r="CZ624" i="1" s="1"/>
  <c r="CZ629" i="1" s="1"/>
  <c r="CZ740" i="1"/>
  <c r="CZ766" i="1" s="1"/>
  <c r="CZ788" i="1"/>
  <c r="CZ730" i="1"/>
  <c r="CZ789" i="1"/>
  <c r="CZ732" i="1"/>
  <c r="CZ513" i="1"/>
  <c r="Q18" i="16" s="1"/>
  <c r="CZ787" i="1"/>
  <c r="CZ741" i="1"/>
  <c r="CZ767" i="1" s="1"/>
  <c r="AY840" i="1"/>
  <c r="J114" i="2" s="1"/>
  <c r="AY759" i="1"/>
  <c r="AY731" i="1"/>
  <c r="BH243" i="1"/>
  <c r="BG258" i="1"/>
  <c r="L47" i="30"/>
  <c r="D17" i="30"/>
  <c r="CZ521" i="1"/>
  <c r="D51" i="30"/>
  <c r="D112" i="2"/>
  <c r="CZ525" i="1"/>
  <c r="AV51" i="31" s="1"/>
  <c r="AV50" i="31" s="1"/>
  <c r="AY728" i="1"/>
  <c r="AY729" i="1"/>
  <c r="AY733" i="1"/>
  <c r="AY760" i="1"/>
  <c r="BQ244" i="1"/>
  <c r="DI244" i="1" s="1"/>
  <c r="DD243" i="1"/>
  <c r="J18" i="2" l="1"/>
  <c r="J53" i="2"/>
  <c r="AV55" i="31"/>
  <c r="G22" i="7"/>
  <c r="BE89" i="1"/>
  <c r="DC259" i="1"/>
  <c r="D86" i="2"/>
  <c r="G63" i="7"/>
  <c r="DD242" i="1"/>
  <c r="BG257" i="1"/>
  <c r="DD257" i="1" s="1"/>
  <c r="BH242" i="1"/>
  <c r="AV54" i="31"/>
  <c r="G20" i="7"/>
  <c r="G21" i="7" s="1"/>
  <c r="J17" i="2"/>
  <c r="J19" i="2"/>
  <c r="AV72" i="31"/>
  <c r="Q16" i="16"/>
  <c r="G59" i="7"/>
  <c r="D84" i="2"/>
  <c r="G61" i="7"/>
  <c r="DD258" i="1"/>
  <c r="D15" i="2"/>
  <c r="D85" i="2"/>
  <c r="D20" i="30"/>
  <c r="L36" i="30"/>
  <c r="L37" i="30"/>
  <c r="CZ840" i="1"/>
  <c r="D114" i="2" s="1"/>
  <c r="CZ759" i="1"/>
  <c r="D41" i="30"/>
  <c r="CZ731" i="1"/>
  <c r="AY758" i="1"/>
  <c r="CZ529" i="1"/>
  <c r="BH258" i="1"/>
  <c r="BI243" i="1"/>
  <c r="CZ733" i="1"/>
  <c r="D52" i="2"/>
  <c r="D50" i="2" s="1"/>
  <c r="D43" i="30"/>
  <c r="D44" i="30" s="1"/>
  <c r="D16" i="2"/>
  <c r="CZ760" i="1"/>
  <c r="CZ676" i="1"/>
  <c r="AY757" i="1"/>
  <c r="CZ729" i="1"/>
  <c r="CZ728" i="1"/>
  <c r="G26" i="7" s="1"/>
  <c r="G27" i="7" s="1"/>
  <c r="CZ510" i="1"/>
  <c r="G23" i="7" l="1"/>
  <c r="G39" i="7"/>
  <c r="BH259" i="1"/>
  <c r="BH89" i="1" s="1"/>
  <c r="BG259" i="1"/>
  <c r="BH257" i="1"/>
  <c r="BI242" i="1"/>
  <c r="D45" i="30"/>
  <c r="D46" i="30" s="1"/>
  <c r="CZ757" i="1"/>
  <c r="L42" i="30"/>
  <c r="L41" i="30"/>
  <c r="CZ534" i="1"/>
  <c r="CZ538" i="1" s="1"/>
  <c r="BI258" i="1"/>
  <c r="DE258" i="1" s="1"/>
  <c r="BJ243" i="1"/>
  <c r="D42" i="30"/>
  <c r="L20" i="30"/>
  <c r="Q21" i="16"/>
  <c r="Q19" i="16"/>
  <c r="CZ758" i="1"/>
  <c r="D47" i="30"/>
  <c r="D48" i="30" s="1"/>
  <c r="D53" i="2"/>
  <c r="D18" i="2"/>
  <c r="D19" i="2"/>
  <c r="D17" i="2"/>
  <c r="DE243" i="1"/>
  <c r="BG89" i="1" l="1"/>
  <c r="DD259" i="1"/>
  <c r="AV63" i="31"/>
  <c r="Q23" i="16"/>
  <c r="N53" i="7"/>
  <c r="BI257" i="1"/>
  <c r="DE257" i="1" s="1"/>
  <c r="DE242" i="1"/>
  <c r="BJ242" i="1"/>
  <c r="BI259" i="1"/>
  <c r="BI89" i="1" s="1"/>
  <c r="BK243" i="1"/>
  <c r="DF243" i="1" s="1"/>
  <c r="BJ258" i="1"/>
  <c r="AZ533" i="1"/>
  <c r="AZ526" i="1"/>
  <c r="AY742" i="1"/>
  <c r="J23" i="2" s="1"/>
  <c r="AY531" i="1"/>
  <c r="AY743" i="1"/>
  <c r="DA533" i="1"/>
  <c r="CZ742" i="1"/>
  <c r="G34" i="7" s="1"/>
  <c r="G42" i="7" s="1"/>
  <c r="CZ541" i="1"/>
  <c r="N52" i="7" s="1"/>
  <c r="CZ531" i="1"/>
  <c r="CZ743" i="1"/>
  <c r="BJ257" i="1" l="1"/>
  <c r="BK242" i="1"/>
  <c r="C125" i="2"/>
  <c r="G33" i="7"/>
  <c r="G41" i="7" s="1"/>
  <c r="DE259" i="1"/>
  <c r="Q34" i="16"/>
  <c r="Q25" i="16"/>
  <c r="Q26" i="16" s="1"/>
  <c r="Q37" i="16"/>
  <c r="Q30" i="16"/>
  <c r="CZ769" i="1"/>
  <c r="D54" i="30"/>
  <c r="L23" i="30" s="1"/>
  <c r="BK258" i="1"/>
  <c r="BL243" i="1"/>
  <c r="CZ550" i="1"/>
  <c r="AY768" i="1"/>
  <c r="AY785" i="1"/>
  <c r="J83" i="2" s="1"/>
  <c r="AY783" i="1"/>
  <c r="AY782" i="1"/>
  <c r="CZ768" i="1"/>
  <c r="D53" i="30"/>
  <c r="L22" i="30" s="1"/>
  <c r="D23" i="2"/>
  <c r="AY769" i="1"/>
  <c r="AZ621" i="1"/>
  <c r="AZ675" i="1"/>
  <c r="BJ259" i="1"/>
  <c r="DF242" i="1" l="1"/>
  <c r="BK257" i="1"/>
  <c r="DF257" i="1" s="1"/>
  <c r="BL242" i="1"/>
  <c r="J81" i="2"/>
  <c r="T73" i="31"/>
  <c r="T74" i="31" s="1"/>
  <c r="J82" i="2"/>
  <c r="CZ564" i="1"/>
  <c r="D29" i="30"/>
  <c r="DF258" i="1"/>
  <c r="Q28" i="16"/>
  <c r="Q27" i="16"/>
  <c r="AY841" i="1"/>
  <c r="CZ671" i="1"/>
  <c r="CZ674" i="1"/>
  <c r="D37" i="30"/>
  <c r="CZ702" i="1"/>
  <c r="CZ783" i="1"/>
  <c r="CZ782" i="1"/>
  <c r="BL258" i="1"/>
  <c r="BM243" i="1"/>
  <c r="CZ673" i="1"/>
  <c r="BK259" i="1" l="1"/>
  <c r="DF259" i="1" s="1"/>
  <c r="BL257" i="1"/>
  <c r="BM242" i="1"/>
  <c r="D81" i="2"/>
  <c r="G57" i="7"/>
  <c r="AV73" i="31"/>
  <c r="AV74" i="31" s="1"/>
  <c r="G44" i="7"/>
  <c r="G58" i="7"/>
  <c r="G60" i="7" s="1"/>
  <c r="BL259" i="1"/>
  <c r="J115" i="2"/>
  <c r="BM258" i="1"/>
  <c r="BN243" i="1"/>
  <c r="DG243" i="1"/>
  <c r="D38" i="30"/>
  <c r="L34" i="30"/>
  <c r="L39" i="30"/>
  <c r="CZ672" i="1"/>
  <c r="CZ785" i="1"/>
  <c r="L35" i="30"/>
  <c r="L40" i="30"/>
  <c r="CZ699" i="1"/>
  <c r="CZ589" i="1"/>
  <c r="CZ567" i="1"/>
  <c r="CZ568" i="1" s="1"/>
  <c r="CZ587" i="1" s="1"/>
  <c r="D82" i="2"/>
  <c r="AY836" i="1"/>
  <c r="J110" i="2" s="1"/>
  <c r="G45" i="7" l="1"/>
  <c r="G62" i="7"/>
  <c r="DG242" i="1"/>
  <c r="BM257" i="1"/>
  <c r="DG257" i="1" s="1"/>
  <c r="BN242" i="1"/>
  <c r="DG258" i="1"/>
  <c r="AY595" i="1"/>
  <c r="CZ590" i="1"/>
  <c r="CZ836" i="1"/>
  <c r="CZ704" i="1"/>
  <c r="D83" i="2"/>
  <c r="CZ841" i="1"/>
  <c r="D115" i="2" s="1"/>
  <c r="BN258" i="1"/>
  <c r="BO243" i="1"/>
  <c r="DH243" i="1" s="1"/>
  <c r="CZ599" i="1"/>
  <c r="CZ604" i="1" s="1"/>
  <c r="BN257" i="1" l="1"/>
  <c r="BO242" i="1"/>
  <c r="Q36" i="16"/>
  <c r="Q38" i="16" s="1"/>
  <c r="G81" i="7"/>
  <c r="BM259" i="1"/>
  <c r="AY548" i="1"/>
  <c r="AY150" i="1"/>
  <c r="CZ591" i="1"/>
  <c r="CZ593" i="1" s="1"/>
  <c r="AY834" i="1"/>
  <c r="CZ834" i="1"/>
  <c r="CZ150" i="1"/>
  <c r="CZ595" i="1"/>
  <c r="D30" i="30"/>
  <c r="D31" i="30" s="1"/>
  <c r="CZ548" i="1"/>
  <c r="D110" i="2"/>
  <c r="L56" i="30"/>
  <c r="CZ607" i="1"/>
  <c r="AY630" i="1"/>
  <c r="AY784" i="1"/>
  <c r="AY786" i="1"/>
  <c r="AY744" i="1"/>
  <c r="CZ744" i="1" s="1"/>
  <c r="C124" i="2" s="1"/>
  <c r="AY607" i="1"/>
  <c r="BN259" i="1"/>
  <c r="BO258" i="1"/>
  <c r="DH258" i="1" s="1"/>
  <c r="BP243" i="1"/>
  <c r="DG259" i="1" l="1"/>
  <c r="AV77" i="31"/>
  <c r="G80" i="7"/>
  <c r="DH242" i="1"/>
  <c r="BP242" i="1"/>
  <c r="BO257" i="1"/>
  <c r="DH257" i="1" s="1"/>
  <c r="T77" i="31"/>
  <c r="J109" i="2"/>
  <c r="AY616" i="1"/>
  <c r="AY615" i="1" s="1"/>
  <c r="BO259" i="1"/>
  <c r="DH259" i="1" s="1"/>
  <c r="CZ630" i="1"/>
  <c r="CZ631" i="1" s="1"/>
  <c r="AY631" i="1"/>
  <c r="CZ837" i="1"/>
  <c r="CZ784" i="1"/>
  <c r="CZ786" i="1"/>
  <c r="AY837" i="1"/>
  <c r="L55" i="30"/>
  <c r="D109" i="2"/>
  <c r="BP258" i="1"/>
  <c r="BQ243" i="1"/>
  <c r="BQ258" i="1" s="1"/>
  <c r="BP257" i="1" l="1"/>
  <c r="BP259" i="1" s="1"/>
  <c r="BQ242" i="1"/>
  <c r="AV78" i="31"/>
  <c r="G82" i="7"/>
  <c r="T78" i="31"/>
  <c r="J111" i="2"/>
  <c r="CZ615" i="1"/>
  <c r="CZ616" i="1" s="1"/>
  <c r="CZ835" i="1" s="1"/>
  <c r="AZ615" i="1"/>
  <c r="AY835" i="1"/>
  <c r="DI258" i="1"/>
  <c r="AY618" i="1"/>
  <c r="AY639" i="1"/>
  <c r="CZ639" i="1"/>
  <c r="CZ618" i="1"/>
  <c r="D111" i="2"/>
  <c r="L57" i="30"/>
  <c r="DI243" i="1"/>
  <c r="BQ257" i="1" l="1"/>
  <c r="BQ259" i="1" s="1"/>
  <c r="DI242" i="1"/>
  <c r="BA615" i="1"/>
  <c r="AZ616" i="1"/>
  <c r="DI259" i="1"/>
  <c r="DI257" i="1" l="1"/>
  <c r="DA615" i="1"/>
  <c r="DA616" i="1" s="1"/>
  <c r="BB615" i="1"/>
  <c r="BA616" i="1"/>
  <c r="BC615" i="1" l="1"/>
  <c r="BB616" i="1"/>
  <c r="BD615" i="1" l="1"/>
  <c r="DB615" i="1"/>
  <c r="DB616" i="1" s="1"/>
  <c r="BC616" i="1"/>
  <c r="BE615" i="1" l="1"/>
  <c r="BD616" i="1"/>
  <c r="BF615" i="1" l="1"/>
  <c r="DC615" i="1"/>
  <c r="DC616" i="1" s="1"/>
  <c r="BE616" i="1"/>
  <c r="BG615" i="1" l="1"/>
  <c r="BF616" i="1"/>
  <c r="BH615" i="1" l="1"/>
  <c r="DD615" i="1"/>
  <c r="DD616" i="1" s="1"/>
  <c r="BG616" i="1"/>
  <c r="BI615" i="1" l="1"/>
  <c r="BH616" i="1"/>
  <c r="BJ615" i="1" l="1"/>
  <c r="DE615" i="1"/>
  <c r="DE616" i="1" s="1"/>
  <c r="BI616" i="1"/>
  <c r="BK615" i="1" l="1"/>
  <c r="BJ616" i="1"/>
  <c r="DF615" i="1" l="1"/>
  <c r="DF616" i="1" s="1"/>
  <c r="BL615" i="1"/>
  <c r="BK616" i="1"/>
  <c r="BM615" i="1" l="1"/>
  <c r="BL616" i="1"/>
  <c r="BN615" i="1" l="1"/>
  <c r="DG615" i="1"/>
  <c r="DG616" i="1" s="1"/>
  <c r="BM616" i="1"/>
  <c r="BO615" i="1" l="1"/>
  <c r="BN616" i="1"/>
  <c r="DH615" i="1" l="1"/>
  <c r="DH616" i="1" s="1"/>
  <c r="BP615" i="1"/>
  <c r="BO616" i="1"/>
  <c r="BQ615" i="1" l="1"/>
  <c r="BP616" i="1"/>
  <c r="DI615" i="1" l="1"/>
  <c r="DI616" i="1" s="1"/>
  <c r="BQ616" i="1"/>
  <c r="CZ432" i="1" l="1"/>
  <c r="CZ93" i="1" s="1"/>
  <c r="CZ708" i="1"/>
  <c r="CZ440" i="1"/>
  <c r="AY93" i="1"/>
  <c r="CZ709" i="1" l="1"/>
  <c r="CZ710" i="1"/>
  <c r="AY44" i="1" l="1"/>
  <c r="AY47" i="1"/>
  <c r="AY45" i="1"/>
  <c r="AY46" i="1"/>
  <c r="AY43" i="1"/>
  <c r="AY48" i="1"/>
  <c r="AY49" i="1"/>
  <c r="CZ137" i="1"/>
  <c r="CZ131" i="1" s="1"/>
  <c r="AY839" i="1"/>
  <c r="AY131" i="1"/>
  <c r="AZ131" i="1" s="1"/>
  <c r="G32" i="7" l="1"/>
  <c r="BA131" i="1"/>
  <c r="BB131" i="1" s="1"/>
  <c r="BC131" i="1" s="1"/>
  <c r="BD131" i="1" s="1"/>
  <c r="BE131" i="1" s="1"/>
  <c r="BF131" i="1" s="1"/>
  <c r="BG131" i="1" s="1"/>
  <c r="BH131" i="1" s="1"/>
  <c r="BI131" i="1" s="1"/>
  <c r="BJ131" i="1" s="1"/>
  <c r="BK131" i="1" s="1"/>
  <c r="BL131" i="1" s="1"/>
  <c r="BM131" i="1" s="1"/>
  <c r="BN131" i="1" s="1"/>
  <c r="BO131" i="1" s="1"/>
  <c r="BP131" i="1" s="1"/>
  <c r="BQ131" i="1" s="1"/>
  <c r="CZ839" i="1"/>
  <c r="D113" i="2" s="1"/>
  <c r="U27" i="31" l="1"/>
  <c r="W27" i="31"/>
  <c r="DA442" i="1" l="1"/>
  <c r="AW27" i="31" s="1"/>
  <c r="V27" i="31"/>
  <c r="V16" i="31"/>
  <c r="DA407" i="1" l="1"/>
  <c r="AW16" i="31" s="1"/>
  <c r="W16" i="31"/>
  <c r="AZ405" i="1" l="1"/>
  <c r="U14" i="31" s="1"/>
  <c r="BA405" i="1"/>
  <c r="V14" i="31" s="1"/>
  <c r="DA405" i="1" l="1"/>
  <c r="AW14" i="31" s="1"/>
  <c r="AZ96" i="1"/>
  <c r="Y16" i="31"/>
  <c r="X16" i="31"/>
  <c r="BA397" i="1"/>
  <c r="V12" i="31" s="1"/>
  <c r="BB405" i="1"/>
  <c r="W14" i="31" s="1"/>
  <c r="L36" i="2" l="1"/>
  <c r="AA16" i="31"/>
  <c r="Z16" i="31"/>
  <c r="DB407" i="1"/>
  <c r="AX16" i="31" s="1"/>
  <c r="DC407" i="1"/>
  <c r="AY16" i="31" s="1"/>
  <c r="DA102" i="1"/>
  <c r="DA96" i="1" s="1"/>
  <c r="E9" i="30"/>
  <c r="DA89" i="1"/>
  <c r="DC92" i="1"/>
  <c r="BC397" i="1"/>
  <c r="X12" i="31" s="1"/>
  <c r="BC405" i="1"/>
  <c r="X14" i="31" s="1"/>
  <c r="DB442" i="1" l="1"/>
  <c r="AX27" i="31" s="1"/>
  <c r="X27" i="31"/>
  <c r="DB405" i="1"/>
  <c r="AX14" i="31" s="1"/>
  <c r="AC16" i="31"/>
  <c r="AB16" i="31"/>
  <c r="BE397" i="1"/>
  <c r="BD405" i="1"/>
  <c r="Y14" i="31" s="1"/>
  <c r="Z12" i="31" l="1"/>
  <c r="AD16" i="31"/>
  <c r="F9" i="30"/>
  <c r="DB89" i="1"/>
  <c r="Y27" i="31"/>
  <c r="DD407" i="1"/>
  <c r="AZ16" i="31" s="1"/>
  <c r="DB102" i="1"/>
  <c r="BE405" i="1"/>
  <c r="Z14" i="31" s="1"/>
  <c r="DD92" i="1" l="1"/>
  <c r="DC405" i="1"/>
  <c r="AY14" i="31" s="1"/>
  <c r="DE407" i="1"/>
  <c r="BA16" i="31" s="1"/>
  <c r="BG397" i="1"/>
  <c r="AB12" i="31" s="1"/>
  <c r="BF405" i="1"/>
  <c r="AA14" i="31" s="1"/>
  <c r="DC442" i="1" l="1"/>
  <c r="AY27" i="31" s="1"/>
  <c r="Z27" i="31"/>
  <c r="AA27" i="31"/>
  <c r="DC102" i="1"/>
  <c r="G9" i="30"/>
  <c r="DC89" i="1"/>
  <c r="BI397" i="1"/>
  <c r="AD12" i="31" s="1"/>
  <c r="BG405" i="1"/>
  <c r="AB14" i="31" s="1"/>
  <c r="DE92" i="1" l="1"/>
  <c r="DD405" i="1"/>
  <c r="AZ14" i="31" s="1"/>
  <c r="BH405" i="1"/>
  <c r="AC14" i="31" s="1"/>
  <c r="DD442" i="1" l="1"/>
  <c r="AZ27" i="31" s="1"/>
  <c r="AB27" i="31"/>
  <c r="AD27" i="31"/>
  <c r="AZ434" i="1"/>
  <c r="AZ106" i="1"/>
  <c r="BI405" i="1"/>
  <c r="AD14" i="31" s="1"/>
  <c r="BJ89" i="1"/>
  <c r="DD89" i="1"/>
  <c r="DD102" i="1"/>
  <c r="DE442" i="1" l="1"/>
  <c r="BA27" i="31" s="1"/>
  <c r="AC27" i="31"/>
  <c r="DF92" i="1"/>
  <c r="BL92" i="1"/>
  <c r="AZ97" i="1"/>
  <c r="AZ790" i="1"/>
  <c r="BA101" i="1"/>
  <c r="AZ572" i="1"/>
  <c r="BJ405" i="1"/>
  <c r="AE14" i="31" s="1"/>
  <c r="BK89" i="1"/>
  <c r="DE405" i="1"/>
  <c r="BA14" i="31" s="1"/>
  <c r="K87" i="2" l="1"/>
  <c r="DE102" i="1"/>
  <c r="BM92" i="1"/>
  <c r="AZ627" i="1"/>
  <c r="AZ261" i="1" s="1"/>
  <c r="AZ585" i="1"/>
  <c r="BA106" i="1"/>
  <c r="BL89" i="1"/>
  <c r="BK405" i="1"/>
  <c r="AF14" i="31" s="1"/>
  <c r="BA434" i="1"/>
  <c r="DA103" i="1"/>
  <c r="DE89" i="1"/>
  <c r="BA97" i="1" l="1"/>
  <c r="BB101" i="1"/>
  <c r="DA106" i="1"/>
  <c r="BA572" i="1"/>
  <c r="AZ260" i="1"/>
  <c r="BN92" i="1"/>
  <c r="DG92" i="1"/>
  <c r="BM89" i="1"/>
  <c r="BL405" i="1"/>
  <c r="AG14" i="31" s="1"/>
  <c r="DA434" i="1"/>
  <c r="DF405" i="1"/>
  <c r="BB14" i="31" s="1"/>
  <c r="BA790" i="1"/>
  <c r="L87" i="2" s="1"/>
  <c r="DA97" i="1" l="1"/>
  <c r="DB101" i="1"/>
  <c r="DA790" i="1"/>
  <c r="E87" i="2" s="1"/>
  <c r="DA572" i="1"/>
  <c r="DA585" i="1" s="1"/>
  <c r="BA585" i="1"/>
  <c r="BA627" i="1"/>
  <c r="DA627" i="1" s="1"/>
  <c r="BO92" i="1"/>
  <c r="BB106" i="1"/>
  <c r="BB790" i="1" s="1"/>
  <c r="BB434" i="1"/>
  <c r="BN89" i="1"/>
  <c r="BM405" i="1"/>
  <c r="AH14" i="31" s="1"/>
  <c r="DF89" i="1"/>
  <c r="BB572" i="1" l="1"/>
  <c r="BB627" i="1" s="1"/>
  <c r="BO89" i="1"/>
  <c r="BN405" i="1"/>
  <c r="AI14" i="31" s="1"/>
  <c r="BB97" i="1"/>
  <c r="BC101" i="1"/>
  <c r="DG405" i="1"/>
  <c r="BC14" i="31" s="1"/>
  <c r="BP92" i="1"/>
  <c r="DH92" i="1"/>
  <c r="BB585" i="1" l="1"/>
  <c r="BQ92" i="1"/>
  <c r="DG89" i="1"/>
  <c r="BP89" i="1"/>
  <c r="BO405" i="1"/>
  <c r="BC434" i="1"/>
  <c r="DB103" i="1"/>
  <c r="BC106" i="1"/>
  <c r="BC790" i="1" s="1"/>
  <c r="DH405" i="1" l="1"/>
  <c r="BD14" i="31" s="1"/>
  <c r="AJ14" i="31"/>
  <c r="DB434" i="1"/>
  <c r="BC97" i="1"/>
  <c r="DB106" i="1"/>
  <c r="BD101" i="1"/>
  <c r="BC572" i="1"/>
  <c r="DH89" i="1"/>
  <c r="BQ89" i="1"/>
  <c r="BQ405" i="1" s="1"/>
  <c r="AL14" i="31" s="1"/>
  <c r="BP405" i="1"/>
  <c r="AK14" i="31" s="1"/>
  <c r="DI92" i="1"/>
  <c r="DB572" i="1" l="1"/>
  <c r="DB585" i="1" s="1"/>
  <c r="BC585" i="1"/>
  <c r="BC627" i="1"/>
  <c r="DB627" i="1" s="1"/>
  <c r="DI405" i="1"/>
  <c r="BE14" i="31" s="1"/>
  <c r="BD106" i="1"/>
  <c r="BD790" i="1" s="1"/>
  <c r="DC101" i="1"/>
  <c r="DB97" i="1"/>
  <c r="DB790" i="1"/>
  <c r="F87" i="2" s="1"/>
  <c r="BD434" i="1"/>
  <c r="DI89" i="1" l="1"/>
  <c r="BD97" i="1"/>
  <c r="BE101" i="1"/>
  <c r="BD572" i="1"/>
  <c r="BE434" i="1" l="1"/>
  <c r="DC103" i="1"/>
  <c r="BE106" i="1"/>
  <c r="BE790" i="1" s="1"/>
  <c r="BD585" i="1"/>
  <c r="BD627" i="1"/>
  <c r="BE97" i="1" l="1"/>
  <c r="DC106" i="1"/>
  <c r="BF101" i="1"/>
  <c r="BE572" i="1"/>
  <c r="DC434" i="1"/>
  <c r="BE585" i="1" l="1"/>
  <c r="DC572" i="1"/>
  <c r="DC585" i="1" s="1"/>
  <c r="BE627" i="1"/>
  <c r="DC627" i="1" s="1"/>
  <c r="BF106" i="1"/>
  <c r="BF97" i="1" s="1"/>
  <c r="DD101" i="1"/>
  <c r="DC97" i="1"/>
  <c r="DC790" i="1"/>
  <c r="G87" i="2" s="1"/>
  <c r="BF434" i="1"/>
  <c r="BF790" i="1" l="1"/>
  <c r="BF572" i="1"/>
  <c r="BG101" i="1"/>
  <c r="BG434" i="1" l="1"/>
  <c r="DD103" i="1"/>
  <c r="BG106" i="1"/>
  <c r="BG790" i="1" s="1"/>
  <c r="BF627" i="1"/>
  <c r="BF585" i="1"/>
  <c r="BG97" i="1" l="1"/>
  <c r="DD106" i="1"/>
  <c r="BH101" i="1"/>
  <c r="BG572" i="1"/>
  <c r="DD434" i="1"/>
  <c r="DD572" i="1" l="1"/>
  <c r="DD585" i="1" s="1"/>
  <c r="BG627" i="1"/>
  <c r="DD627" i="1" s="1"/>
  <c r="BG585" i="1"/>
  <c r="BH106" i="1"/>
  <c r="BH572" i="1" s="1"/>
  <c r="DE101" i="1"/>
  <c r="DD97" i="1"/>
  <c r="DD790" i="1"/>
  <c r="BH434" i="1"/>
  <c r="BH790" i="1" l="1"/>
  <c r="BH627" i="1"/>
  <c r="BH585" i="1"/>
  <c r="BH97" i="1"/>
  <c r="BI101" i="1"/>
  <c r="BI106" i="1" l="1"/>
  <c r="BI790" i="1" s="1"/>
  <c r="BI434" i="1"/>
  <c r="DE103" i="1"/>
  <c r="DE434" i="1" l="1"/>
  <c r="BI97" i="1"/>
  <c r="BJ97" i="1" s="1"/>
  <c r="BK97" i="1" s="1"/>
  <c r="BL97" i="1" s="1"/>
  <c r="BM97" i="1" s="1"/>
  <c r="BN97" i="1" s="1"/>
  <c r="BO97" i="1" s="1"/>
  <c r="BP97" i="1" s="1"/>
  <c r="BQ97" i="1" s="1"/>
  <c r="BJ101" i="1"/>
  <c r="DE106" i="1"/>
  <c r="BI572" i="1"/>
  <c r="BI627" i="1" l="1"/>
  <c r="DE627" i="1" s="1"/>
  <c r="DE572" i="1"/>
  <c r="DE585" i="1" s="1"/>
  <c r="BI585" i="1"/>
  <c r="DF101" i="1"/>
  <c r="DE97" i="1"/>
  <c r="DE790" i="1"/>
  <c r="AZ432" i="1" l="1"/>
  <c r="AZ443" i="1" l="1"/>
  <c r="AZ453" i="1" s="1"/>
  <c r="AZ451" i="1"/>
  <c r="AZ708" i="1"/>
  <c r="AZ709" i="1"/>
  <c r="U28" i="31" l="1"/>
  <c r="U30" i="31" s="1"/>
  <c r="AZ430" i="1"/>
  <c r="AZ98" i="1"/>
  <c r="AZ441" i="1"/>
  <c r="U26" i="31" s="1"/>
  <c r="U29" i="31" s="1"/>
  <c r="AZ791" i="1"/>
  <c r="K88" i="2" l="1"/>
  <c r="AZ440" i="1"/>
  <c r="BA432" i="1" l="1"/>
  <c r="AZ710" i="1"/>
  <c r="BA96" i="1"/>
  <c r="DA432" i="1" l="1"/>
  <c r="BA708" i="1"/>
  <c r="BA709" i="1"/>
  <c r="BA443" i="1"/>
  <c r="BA453" i="1" s="1"/>
  <c r="BA451" i="1"/>
  <c r="DA449" i="1"/>
  <c r="V28" i="31" l="1"/>
  <c r="V30" i="31" s="1"/>
  <c r="DA451" i="1"/>
  <c r="DA708" i="1"/>
  <c r="DA93" i="1"/>
  <c r="BA430" i="1"/>
  <c r="BA98" i="1"/>
  <c r="BA441" i="1"/>
  <c r="V26" i="31" s="1"/>
  <c r="V29" i="31" s="1"/>
  <c r="BA791" i="1"/>
  <c r="L88" i="2" s="1"/>
  <c r="DA443" i="1"/>
  <c r="AW28" i="31" s="1"/>
  <c r="AW30" i="31" s="1"/>
  <c r="DA709" i="1"/>
  <c r="BA440" i="1" l="1"/>
  <c r="DA441" i="1"/>
  <c r="AW26" i="31" s="1"/>
  <c r="AW29" i="31" s="1"/>
  <c r="DA430" i="1"/>
  <c r="DA98" i="1"/>
  <c r="DA791" i="1"/>
  <c r="E88" i="2" s="1"/>
  <c r="E11" i="30" l="1"/>
  <c r="M46" i="30" s="1"/>
  <c r="O16" i="7"/>
  <c r="H52" i="7" s="1"/>
  <c r="DA440" i="1"/>
  <c r="DB96" i="1" s="1"/>
  <c r="BB96" i="1"/>
  <c r="BA710" i="1"/>
  <c r="DA710" i="1" l="1"/>
  <c r="BB432" i="1"/>
  <c r="BB451" i="1" l="1"/>
  <c r="BB443" i="1"/>
  <c r="BB453" i="1" s="1"/>
  <c r="BB708" i="1"/>
  <c r="BB709" i="1"/>
  <c r="W28" i="31" l="1"/>
  <c r="W30" i="31" s="1"/>
  <c r="BB98" i="1"/>
  <c r="BB441" i="1"/>
  <c r="W26" i="31" s="1"/>
  <c r="W29" i="31" s="1"/>
  <c r="BB430" i="1"/>
  <c r="BB791" i="1"/>
  <c r="BB440" i="1" l="1"/>
  <c r="BC432" i="1" l="1"/>
  <c r="BB710" i="1"/>
  <c r="BC96" i="1"/>
  <c r="DB432" i="1" l="1"/>
  <c r="BC709" i="1"/>
  <c r="BC708" i="1"/>
  <c r="BC443" i="1"/>
  <c r="BC453" i="1" s="1"/>
  <c r="BC451" i="1"/>
  <c r="DB449" i="1"/>
  <c r="DB451" i="1" s="1"/>
  <c r="X28" i="31" l="1"/>
  <c r="X30" i="31" s="1"/>
  <c r="DB708" i="1"/>
  <c r="DB709" i="1"/>
  <c r="BC441" i="1"/>
  <c r="X26" i="31" s="1"/>
  <c r="BC430" i="1"/>
  <c r="BC98" i="1"/>
  <c r="BC791" i="1"/>
  <c r="DB443" i="1"/>
  <c r="AX28" i="31" s="1"/>
  <c r="DB93" i="1"/>
  <c r="AX30" i="31" l="1"/>
  <c r="X29" i="31"/>
  <c r="BC440" i="1"/>
  <c r="DB441" i="1"/>
  <c r="AX26" i="31" s="1"/>
  <c r="AX29" i="31" s="1"/>
  <c r="DB430" i="1"/>
  <c r="DB98" i="1"/>
  <c r="DB791" i="1"/>
  <c r="F88" i="2" s="1"/>
  <c r="F11" i="30" l="1"/>
  <c r="N46" i="30" s="1"/>
  <c r="P16" i="7"/>
  <c r="I52" i="7" s="1"/>
  <c r="DB440" i="1"/>
  <c r="DC96" i="1" s="1"/>
  <c r="BD96" i="1"/>
  <c r="BC710" i="1"/>
  <c r="BD432" i="1" l="1"/>
  <c r="DB710" i="1"/>
  <c r="BD443" i="1" l="1"/>
  <c r="BD453" i="1" s="1"/>
  <c r="BD451" i="1"/>
  <c r="BD709" i="1"/>
  <c r="BD708" i="1"/>
  <c r="Y28" i="31" l="1"/>
  <c r="Y30" i="31" s="1"/>
  <c r="BD441" i="1"/>
  <c r="Y26" i="31" s="1"/>
  <c r="BD98" i="1"/>
  <c r="BD430" i="1"/>
  <c r="BD791" i="1"/>
  <c r="Y29" i="31" l="1"/>
  <c r="BD440" i="1"/>
  <c r="BD710" i="1" l="1"/>
  <c r="BE96" i="1"/>
  <c r="BE432" i="1" l="1"/>
  <c r="BE443" i="1" l="1"/>
  <c r="BE453" i="1" s="1"/>
  <c r="BE451" i="1"/>
  <c r="DC449" i="1"/>
  <c r="DC451" i="1" s="1"/>
  <c r="DC432" i="1"/>
  <c r="BE708" i="1"/>
  <c r="BE709" i="1"/>
  <c r="Z28" i="31" l="1"/>
  <c r="Z30" i="31" s="1"/>
  <c r="DC709" i="1"/>
  <c r="DC708" i="1"/>
  <c r="DC93" i="1"/>
  <c r="BE441" i="1"/>
  <c r="Z26" i="31" s="1"/>
  <c r="Z29" i="31" s="1"/>
  <c r="BE98" i="1"/>
  <c r="BE430" i="1"/>
  <c r="BE791" i="1"/>
  <c r="DC443" i="1"/>
  <c r="AY28" i="31" s="1"/>
  <c r="AY30" i="31" l="1"/>
  <c r="BE440" i="1"/>
  <c r="DC441" i="1"/>
  <c r="AY26" i="31" s="1"/>
  <c r="AY29" i="31" s="1"/>
  <c r="DC430" i="1"/>
  <c r="DC98" i="1"/>
  <c r="DC791" i="1"/>
  <c r="G88" i="2" s="1"/>
  <c r="BF432" i="1" l="1"/>
  <c r="G11" i="30"/>
  <c r="O46" i="30" s="1"/>
  <c r="Q16" i="7"/>
  <c r="J52" i="7" s="1"/>
  <c r="DC440" i="1"/>
  <c r="DD96" i="1" s="1"/>
  <c r="BE710" i="1"/>
  <c r="BF96" i="1"/>
  <c r="BF443" i="1" l="1"/>
  <c r="BF453" i="1" s="1"/>
  <c r="BF451" i="1"/>
  <c r="BF708" i="1"/>
  <c r="BF709" i="1"/>
  <c r="DC710" i="1"/>
  <c r="AA28" i="31" l="1"/>
  <c r="AA30" i="31" s="1"/>
  <c r="BF98" i="1"/>
  <c r="BF430" i="1"/>
  <c r="BF441" i="1"/>
  <c r="AA26" i="31" s="1"/>
  <c r="AA29" i="31" s="1"/>
  <c r="BF791" i="1"/>
  <c r="BF440" i="1" l="1"/>
  <c r="BG432" i="1"/>
  <c r="BG443" i="1" l="1"/>
  <c r="BG453" i="1" s="1"/>
  <c r="BG451" i="1"/>
  <c r="DD449" i="1"/>
  <c r="DD451" i="1" s="1"/>
  <c r="DD432" i="1"/>
  <c r="BG709" i="1"/>
  <c r="BG708" i="1"/>
  <c r="BF710" i="1"/>
  <c r="BG96" i="1"/>
  <c r="AB28" i="31" l="1"/>
  <c r="AB30" i="31" s="1"/>
  <c r="DD93" i="1"/>
  <c r="DD708" i="1"/>
  <c r="DD709" i="1"/>
  <c r="BG441" i="1"/>
  <c r="AB26" i="31" s="1"/>
  <c r="AB29" i="31" s="1"/>
  <c r="BG430" i="1"/>
  <c r="BG98" i="1"/>
  <c r="BG791" i="1"/>
  <c r="DD443" i="1"/>
  <c r="AZ28" i="31" s="1"/>
  <c r="AZ30" i="31" s="1"/>
  <c r="BG440" i="1" l="1"/>
  <c r="DD441" i="1"/>
  <c r="AZ26" i="31" s="1"/>
  <c r="AZ29" i="31" s="1"/>
  <c r="DD430" i="1"/>
  <c r="DD98" i="1"/>
  <c r="DD791" i="1"/>
  <c r="DD440" i="1" l="1"/>
  <c r="DE96" i="1" s="1"/>
  <c r="BH96" i="1"/>
  <c r="BG710" i="1"/>
  <c r="DD710" i="1" l="1"/>
  <c r="BL96" i="1"/>
  <c r="BN96" i="1" s="1"/>
  <c r="BP96" i="1" s="1"/>
  <c r="BH432" i="1"/>
  <c r="BH443" i="1" l="1"/>
  <c r="BH453" i="1" s="1"/>
  <c r="BH451" i="1"/>
  <c r="BH708" i="1"/>
  <c r="BH709" i="1"/>
  <c r="AC28" i="31" l="1"/>
  <c r="AC30" i="31" s="1"/>
  <c r="BH98" i="1"/>
  <c r="BH441" i="1"/>
  <c r="AC26" i="31" s="1"/>
  <c r="AC29" i="31" s="1"/>
  <c r="BH430" i="1"/>
  <c r="BH791" i="1"/>
  <c r="BH440" i="1" l="1"/>
  <c r="BH710" i="1" l="1"/>
  <c r="BI96" i="1"/>
  <c r="BK96" i="1" s="1"/>
  <c r="BM96" i="1" s="1"/>
  <c r="BO96" i="1" s="1"/>
  <c r="BQ96" i="1" s="1"/>
  <c r="BJ93" i="1" l="1"/>
  <c r="BJ432" i="1" s="1"/>
  <c r="BI432" i="1"/>
  <c r="BI451" i="1"/>
  <c r="BI443" i="1"/>
  <c r="BI453" i="1" s="1"/>
  <c r="DE449" i="1"/>
  <c r="DE451" i="1" s="1"/>
  <c r="AD28" i="31" l="1"/>
  <c r="AD30" i="31" s="1"/>
  <c r="DE432" i="1"/>
  <c r="BI709" i="1"/>
  <c r="BI708" i="1"/>
  <c r="BI441" i="1"/>
  <c r="AD26" i="31" s="1"/>
  <c r="AD29" i="31" s="1"/>
  <c r="BI430" i="1"/>
  <c r="BI98" i="1"/>
  <c r="BI791" i="1"/>
  <c r="DE443" i="1"/>
  <c r="BA28" i="31" s="1"/>
  <c r="BA30" i="31" s="1"/>
  <c r="BK93" i="1"/>
  <c r="BJ708" i="1" l="1"/>
  <c r="DE708" i="1"/>
  <c r="DE93" i="1"/>
  <c r="DE709" i="1"/>
  <c r="BJ709" i="1"/>
  <c r="BL93" i="1"/>
  <c r="BK432" i="1"/>
  <c r="BI440" i="1"/>
  <c r="DE441" i="1"/>
  <c r="BA26" i="31" s="1"/>
  <c r="BA29" i="31" s="1"/>
  <c r="DE430" i="1"/>
  <c r="DE98" i="1"/>
  <c r="DE791" i="1"/>
  <c r="DF432" i="1" l="1"/>
  <c r="DF93" i="1" s="1"/>
  <c r="DE440" i="1"/>
  <c r="BI710" i="1"/>
  <c r="BJ102" i="1"/>
  <c r="BK709" i="1"/>
  <c r="BM93" i="1"/>
  <c r="BL432" i="1"/>
  <c r="BK708" i="1"/>
  <c r="DF708" i="1" s="1"/>
  <c r="DF709" i="1" l="1"/>
  <c r="BL709" i="1"/>
  <c r="DE710" i="1"/>
  <c r="BJ103" i="1"/>
  <c r="BJ434" i="1" s="1"/>
  <c r="BN93" i="1"/>
  <c r="BM432" i="1"/>
  <c r="BL708" i="1"/>
  <c r="DG432" i="1" l="1"/>
  <c r="BJ106" i="1"/>
  <c r="BJ790" i="1" s="1"/>
  <c r="BM708" i="1"/>
  <c r="DG708" i="1" s="1"/>
  <c r="DG93" i="1"/>
  <c r="BK101" i="1"/>
  <c r="BJ572" i="1"/>
  <c r="BM709" i="1"/>
  <c r="DG709" i="1" s="1"/>
  <c r="BO93" i="1"/>
  <c r="BN432" i="1"/>
  <c r="BJ627" i="1" l="1"/>
  <c r="BJ585" i="1"/>
  <c r="BP93" i="1"/>
  <c r="BO432" i="1"/>
  <c r="BN708" i="1"/>
  <c r="BN709" i="1"/>
  <c r="DH432" i="1" l="1"/>
  <c r="BQ93" i="1"/>
  <c r="BQ432" i="1" s="1"/>
  <c r="BP432" i="1"/>
  <c r="BO709" i="1"/>
  <c r="BO708" i="1"/>
  <c r="DH709" i="1" l="1"/>
  <c r="BP709" i="1"/>
  <c r="DI432" i="1"/>
  <c r="BP708" i="1"/>
  <c r="DH708" i="1"/>
  <c r="DH93" i="1"/>
  <c r="DI93" i="1" l="1"/>
  <c r="BQ708" i="1"/>
  <c r="BQ709" i="1"/>
  <c r="DI709" i="1" l="1"/>
  <c r="DI708" i="1"/>
  <c r="T70" i="31" l="1"/>
  <c r="AY81" i="1" l="1"/>
  <c r="AY322" i="1"/>
  <c r="AY269" i="1"/>
  <c r="J32" i="2" s="1"/>
  <c r="AY319" i="1"/>
  <c r="AY325" i="1" s="1"/>
  <c r="AY4" i="1" s="1"/>
  <c r="AZ725" i="1" l="1"/>
  <c r="DA725" i="1" l="1"/>
  <c r="CZ323" i="1" l="1"/>
  <c r="AV70" i="31" l="1"/>
  <c r="CZ319" i="1"/>
  <c r="CZ325" i="1" s="1"/>
  <c r="CZ81" i="1"/>
  <c r="CZ269" i="1"/>
  <c r="CZ322" i="1"/>
  <c r="N7" i="7" l="1"/>
  <c r="D32" i="2"/>
  <c r="G49" i="7"/>
  <c r="D6" i="30"/>
  <c r="L44" i="30" s="1"/>
  <c r="AZ125" i="1" l="1"/>
  <c r="AZ124" i="1"/>
  <c r="AZ813" i="1" l="1"/>
  <c r="K99" i="2" s="1"/>
  <c r="AZ114" i="1"/>
  <c r="AZ812" i="1"/>
  <c r="K98" i="2" s="1"/>
  <c r="AZ814" i="1"/>
  <c r="K100" i="2" s="1"/>
  <c r="AZ679" i="1"/>
  <c r="BA124" i="1"/>
  <c r="BB124" i="1" l="1"/>
  <c r="DA124" i="1"/>
  <c r="BA812" i="1"/>
  <c r="L98" i="2" s="1"/>
  <c r="BA814" i="1"/>
  <c r="L100" i="2" s="1"/>
  <c r="BA114" i="1"/>
  <c r="BA125" i="1"/>
  <c r="BA679" i="1"/>
  <c r="BB679" i="1" l="1"/>
  <c r="DA679" i="1"/>
  <c r="BB125" i="1"/>
  <c r="BC125" i="1" s="1"/>
  <c r="DA125" i="1"/>
  <c r="DA812" i="1"/>
  <c r="DA114" i="1"/>
  <c r="BA813" i="1"/>
  <c r="L99" i="2" s="1"/>
  <c r="BC124" i="1"/>
  <c r="BB114" i="1"/>
  <c r="BB812" i="1"/>
  <c r="AZ116" i="1"/>
  <c r="AZ121" i="1" s="1"/>
  <c r="DA813" i="1" l="1"/>
  <c r="M51" i="30" s="1"/>
  <c r="BB814" i="1"/>
  <c r="DA814" i="1"/>
  <c r="E99" i="2"/>
  <c r="H70" i="7"/>
  <c r="H71" i="7"/>
  <c r="E100" i="2"/>
  <c r="BD125" i="1"/>
  <c r="DB125" i="1"/>
  <c r="BC679" i="1"/>
  <c r="BD124" i="1"/>
  <c r="DB124" i="1"/>
  <c r="BC814" i="1"/>
  <c r="BC114" i="1"/>
  <c r="BC813" i="1"/>
  <c r="BC812" i="1"/>
  <c r="AZ120" i="1"/>
  <c r="AZ822" i="1" s="1"/>
  <c r="K105" i="2" s="1"/>
  <c r="AZ817" i="1"/>
  <c r="K103" i="2" s="1"/>
  <c r="AZ818" i="1"/>
  <c r="K104" i="2" s="1"/>
  <c r="AZ816" i="1"/>
  <c r="K102" i="2" s="1"/>
  <c r="AZ821" i="1"/>
  <c r="AZ598" i="1"/>
  <c r="AZ820" i="1"/>
  <c r="AZ819" i="1"/>
  <c r="AZ712" i="1"/>
  <c r="BB813" i="1"/>
  <c r="E98" i="2"/>
  <c r="H69" i="7"/>
  <c r="BA116" i="1"/>
  <c r="BA121" i="1" s="1"/>
  <c r="AZ824" i="1" l="1"/>
  <c r="K107" i="2" s="1"/>
  <c r="AZ827" i="1"/>
  <c r="BA598" i="1"/>
  <c r="DB812" i="1"/>
  <c r="DB814" i="1"/>
  <c r="DB813" i="1"/>
  <c r="DB114" i="1"/>
  <c r="AZ826" i="1"/>
  <c r="BE124" i="1"/>
  <c r="BD813" i="1"/>
  <c r="BD814" i="1"/>
  <c r="BD812" i="1"/>
  <c r="BD114" i="1"/>
  <c r="AZ667" i="1"/>
  <c r="AZ115" i="1"/>
  <c r="AZ471" i="1"/>
  <c r="AZ122" i="1"/>
  <c r="AZ815" i="1"/>
  <c r="K101" i="2" s="1"/>
  <c r="BE125" i="1"/>
  <c r="BA120" i="1"/>
  <c r="BA824" i="1" s="1"/>
  <c r="L107" i="2" s="1"/>
  <c r="BA817" i="1"/>
  <c r="L103" i="2" s="1"/>
  <c r="BA821" i="1"/>
  <c r="DA121" i="1"/>
  <c r="BA820" i="1"/>
  <c r="BA816" i="1"/>
  <c r="L102" i="2" s="1"/>
  <c r="BA818" i="1"/>
  <c r="L104" i="2" s="1"/>
  <c r="BA819" i="1"/>
  <c r="BA712" i="1"/>
  <c r="AZ825" i="1"/>
  <c r="DB679" i="1"/>
  <c r="BD679" i="1"/>
  <c r="AZ823" i="1"/>
  <c r="K106" i="2" s="1"/>
  <c r="BB116" i="1"/>
  <c r="BB121" i="1" s="1"/>
  <c r="BA826" i="1" l="1"/>
  <c r="BA822" i="1"/>
  <c r="L105" i="2" s="1"/>
  <c r="BA825" i="1"/>
  <c r="BA471" i="1"/>
  <c r="BA472" i="1" s="1"/>
  <c r="BA482" i="1" s="1"/>
  <c r="BA827" i="1"/>
  <c r="BA115" i="1"/>
  <c r="BA815" i="1"/>
  <c r="L101" i="2" s="1"/>
  <c r="BA122" i="1"/>
  <c r="BA667" i="1"/>
  <c r="DA120" i="1"/>
  <c r="DA822" i="1" s="1"/>
  <c r="BF125" i="1"/>
  <c r="DC125" i="1"/>
  <c r="F99" i="2"/>
  <c r="N51" i="30"/>
  <c r="I70" i="7"/>
  <c r="BB120" i="1"/>
  <c r="BB822" i="1" s="1"/>
  <c r="BB712" i="1"/>
  <c r="BB820" i="1"/>
  <c r="BB816" i="1"/>
  <c r="BB818" i="1"/>
  <c r="BB824" i="1"/>
  <c r="BB821" i="1"/>
  <c r="BB819" i="1"/>
  <c r="BB817" i="1"/>
  <c r="I71" i="7"/>
  <c r="F100" i="2"/>
  <c r="DA818" i="1"/>
  <c r="DA817" i="1"/>
  <c r="DA821" i="1"/>
  <c r="DA116" i="1"/>
  <c r="DA819" i="1"/>
  <c r="DA820" i="1"/>
  <c r="DA816" i="1"/>
  <c r="BF124" i="1"/>
  <c r="DC124" i="1"/>
  <c r="BE114" i="1"/>
  <c r="BE812" i="1"/>
  <c r="BE814" i="1"/>
  <c r="BE813" i="1"/>
  <c r="I69" i="7"/>
  <c r="F98" i="2"/>
  <c r="BB598" i="1"/>
  <c r="DA598" i="1"/>
  <c r="BE679" i="1"/>
  <c r="BA823" i="1"/>
  <c r="L106" i="2" s="1"/>
  <c r="DA712" i="1"/>
  <c r="AZ472" i="1"/>
  <c r="DA471" i="1"/>
  <c r="O19" i="7" s="1"/>
  <c r="BC116" i="1"/>
  <c r="BC121" i="1" s="1"/>
  <c r="DA823" i="1" l="1"/>
  <c r="DA825" i="1"/>
  <c r="BA118" i="1"/>
  <c r="V35" i="31"/>
  <c r="V36" i="31" s="1"/>
  <c r="BA465" i="1"/>
  <c r="BA711" i="1" s="1"/>
  <c r="BA810" i="1"/>
  <c r="L96" i="2" s="1"/>
  <c r="BA117" i="1"/>
  <c r="BA811" i="1"/>
  <c r="L97" i="2" s="1"/>
  <c r="BA478" i="1"/>
  <c r="BA480" i="1" s="1"/>
  <c r="DA826" i="1"/>
  <c r="DA827" i="1"/>
  <c r="BB823" i="1"/>
  <c r="BB827" i="1"/>
  <c r="BB471" i="1"/>
  <c r="BB472" i="1" s="1"/>
  <c r="BB825" i="1"/>
  <c r="AZ482" i="1"/>
  <c r="AZ118" i="1"/>
  <c r="AZ810" i="1"/>
  <c r="K96" i="2" s="1"/>
  <c r="AZ465" i="1"/>
  <c r="U35" i="31"/>
  <c r="U36" i="31" s="1"/>
  <c r="AZ478" i="1"/>
  <c r="AZ811" i="1"/>
  <c r="K97" i="2" s="1"/>
  <c r="AZ117" i="1"/>
  <c r="DA472" i="1"/>
  <c r="BG124" i="1"/>
  <c r="BF114" i="1"/>
  <c r="BF813" i="1"/>
  <c r="BF812" i="1"/>
  <c r="BF814" i="1"/>
  <c r="DA824" i="1"/>
  <c r="DA815" i="1"/>
  <c r="DA122" i="1"/>
  <c r="DA115" i="1"/>
  <c r="E102" i="2"/>
  <c r="H73" i="7"/>
  <c r="H74" i="7"/>
  <c r="E103" i="2"/>
  <c r="M52" i="30"/>
  <c r="BB815" i="1"/>
  <c r="BB115" i="1"/>
  <c r="BB667" i="1"/>
  <c r="BB122" i="1"/>
  <c r="DA667" i="1"/>
  <c r="E105" i="2"/>
  <c r="H76" i="7"/>
  <c r="E104" i="2"/>
  <c r="H75" i="7"/>
  <c r="BC598" i="1"/>
  <c r="BC120" i="1"/>
  <c r="BC824" i="1" s="1"/>
  <c r="DB121" i="1"/>
  <c r="BC821" i="1"/>
  <c r="BC819" i="1"/>
  <c r="BC820" i="1"/>
  <c r="BC712" i="1"/>
  <c r="BC816" i="1"/>
  <c r="BC817" i="1"/>
  <c r="BC818" i="1"/>
  <c r="BF679" i="1"/>
  <c r="DC679" i="1"/>
  <c r="DC812" i="1"/>
  <c r="DC814" i="1"/>
  <c r="DC114" i="1"/>
  <c r="DC813" i="1"/>
  <c r="M53" i="30"/>
  <c r="H77" i="7"/>
  <c r="E106" i="2"/>
  <c r="BB826" i="1"/>
  <c r="BG125" i="1"/>
  <c r="BD116" i="1"/>
  <c r="BD121" i="1" s="1"/>
  <c r="BC826" i="1" l="1"/>
  <c r="BC825" i="1"/>
  <c r="BC827" i="1"/>
  <c r="BC823" i="1"/>
  <c r="BC822" i="1"/>
  <c r="H72" i="7"/>
  <c r="E101" i="2"/>
  <c r="BH124" i="1"/>
  <c r="BG813" i="1"/>
  <c r="DD124" i="1"/>
  <c r="BG812" i="1"/>
  <c r="BG814" i="1"/>
  <c r="BG114" i="1"/>
  <c r="DA478" i="1"/>
  <c r="DA480" i="1" s="1"/>
  <c r="AZ480" i="1"/>
  <c r="G100" i="2"/>
  <c r="J71" i="7"/>
  <c r="H78" i="7"/>
  <c r="E107" i="2"/>
  <c r="BB482" i="1"/>
  <c r="BB117" i="1"/>
  <c r="BB118" i="1"/>
  <c r="W35" i="31"/>
  <c r="W36" i="31" s="1"/>
  <c r="BB810" i="1"/>
  <c r="BB465" i="1"/>
  <c r="BB811" i="1"/>
  <c r="BB478" i="1"/>
  <c r="DB712" i="1"/>
  <c r="AW35" i="31"/>
  <c r="AW36" i="31" s="1"/>
  <c r="DA118" i="1"/>
  <c r="DA465" i="1"/>
  <c r="DA117" i="1"/>
  <c r="DA810" i="1"/>
  <c r="DA811" i="1"/>
  <c r="AZ711" i="1"/>
  <c r="J70" i="7"/>
  <c r="G99" i="2"/>
  <c r="O51" i="30"/>
  <c r="DB820" i="1"/>
  <c r="DB817" i="1"/>
  <c r="DB819" i="1"/>
  <c r="DB821" i="1"/>
  <c r="DB116" i="1"/>
  <c r="DB818" i="1"/>
  <c r="DB816" i="1"/>
  <c r="DB598" i="1"/>
  <c r="BD598" i="1"/>
  <c r="BG679" i="1"/>
  <c r="G98" i="2"/>
  <c r="J69" i="7"/>
  <c r="BH125" i="1"/>
  <c r="DD125" i="1"/>
  <c r="BD120" i="1"/>
  <c r="BD822" i="1" s="1"/>
  <c r="BD818" i="1"/>
  <c r="BD816" i="1"/>
  <c r="BD819" i="1"/>
  <c r="BD712" i="1"/>
  <c r="BD821" i="1"/>
  <c r="BD820" i="1"/>
  <c r="BD817" i="1"/>
  <c r="BC122" i="1"/>
  <c r="BC115" i="1"/>
  <c r="BC667" i="1"/>
  <c r="BC815" i="1"/>
  <c r="DB120" i="1"/>
  <c r="DB825" i="1" s="1"/>
  <c r="BC471" i="1"/>
  <c r="BE116" i="1"/>
  <c r="BE121" i="1" s="1"/>
  <c r="BD825" i="1" l="1"/>
  <c r="BD827" i="1"/>
  <c r="BD826" i="1"/>
  <c r="DB823" i="1"/>
  <c r="I73" i="7"/>
  <c r="F102" i="2"/>
  <c r="BB711" i="1"/>
  <c r="BD824" i="1"/>
  <c r="BI125" i="1"/>
  <c r="BE598" i="1"/>
  <c r="DB827" i="1"/>
  <c r="F104" i="2"/>
  <c r="I75" i="7"/>
  <c r="DA711" i="1"/>
  <c r="E13" i="30"/>
  <c r="DD814" i="1"/>
  <c r="DD812" i="1"/>
  <c r="DD813" i="1"/>
  <c r="DD114" i="1"/>
  <c r="BC472" i="1"/>
  <c r="DB471" i="1"/>
  <c r="P19" i="7" s="1"/>
  <c r="DB824" i="1"/>
  <c r="DB667" i="1"/>
  <c r="DB822" i="1"/>
  <c r="BB480" i="1"/>
  <c r="BI124" i="1"/>
  <c r="BH813" i="1"/>
  <c r="BH812" i="1"/>
  <c r="BH114" i="1"/>
  <c r="BH814" i="1"/>
  <c r="E97" i="2"/>
  <c r="H68" i="7"/>
  <c r="M50" i="30"/>
  <c r="DB826" i="1"/>
  <c r="DB115" i="1"/>
  <c r="DB815" i="1"/>
  <c r="DB122" i="1"/>
  <c r="BD667" i="1"/>
  <c r="BD122" i="1"/>
  <c r="BD815" i="1"/>
  <c r="BD115" i="1"/>
  <c r="BE120" i="1"/>
  <c r="BE823" i="1" s="1"/>
  <c r="BE816" i="1"/>
  <c r="BE821" i="1"/>
  <c r="BE820" i="1"/>
  <c r="DC121" i="1"/>
  <c r="BE818" i="1"/>
  <c r="BE817" i="1"/>
  <c r="BE819" i="1"/>
  <c r="BE712" i="1"/>
  <c r="BD471" i="1"/>
  <c r="BD823" i="1"/>
  <c r="DD679" i="1"/>
  <c r="BH679" i="1"/>
  <c r="N52" i="30"/>
  <c r="I74" i="7"/>
  <c r="F103" i="2"/>
  <c r="H67" i="7"/>
  <c r="E96" i="2"/>
  <c r="BF116" i="1"/>
  <c r="BF121" i="1" s="1"/>
  <c r="BE827" i="1" l="1"/>
  <c r="BE822" i="1"/>
  <c r="BE824" i="1"/>
  <c r="BE471" i="1"/>
  <c r="BE472" i="1" s="1"/>
  <c r="Z35" i="31" s="1"/>
  <c r="Z36" i="31" s="1"/>
  <c r="F101" i="2"/>
  <c r="I72" i="7"/>
  <c r="F105" i="2"/>
  <c r="I76" i="7"/>
  <c r="DC598" i="1"/>
  <c r="BF598" i="1"/>
  <c r="DC712" i="1"/>
  <c r="BI813" i="1"/>
  <c r="DE124" i="1"/>
  <c r="BI114" i="1"/>
  <c r="BJ114" i="1" s="1"/>
  <c r="BI814" i="1"/>
  <c r="BI812" i="1"/>
  <c r="I78" i="7"/>
  <c r="F107" i="2"/>
  <c r="DE125" i="1"/>
  <c r="N53" i="30"/>
  <c r="F106" i="2"/>
  <c r="I77" i="7"/>
  <c r="BI679" i="1"/>
  <c r="DC116" i="1"/>
  <c r="DC818" i="1"/>
  <c r="DC820" i="1"/>
  <c r="DC816" i="1"/>
  <c r="DC817" i="1"/>
  <c r="DC821" i="1"/>
  <c r="DC819" i="1"/>
  <c r="BE667" i="1"/>
  <c r="DC120" i="1"/>
  <c r="DC825" i="1" s="1"/>
  <c r="BE122" i="1"/>
  <c r="BE815" i="1"/>
  <c r="BE115" i="1"/>
  <c r="BD472" i="1"/>
  <c r="DC471" i="1"/>
  <c r="Q19" i="7" s="1"/>
  <c r="BC482" i="1"/>
  <c r="BC478" i="1"/>
  <c r="X35" i="31"/>
  <c r="X36" i="31" s="1"/>
  <c r="BC465" i="1"/>
  <c r="BC811" i="1"/>
  <c r="BC118" i="1"/>
  <c r="BC117" i="1"/>
  <c r="BC810" i="1"/>
  <c r="DB472" i="1"/>
  <c r="BF120" i="1"/>
  <c r="BF471" i="1" s="1"/>
  <c r="BF817" i="1"/>
  <c r="BF820" i="1"/>
  <c r="BF818" i="1"/>
  <c r="BF821" i="1"/>
  <c r="BF712" i="1"/>
  <c r="BF816" i="1"/>
  <c r="BF819" i="1"/>
  <c r="BE118" i="1"/>
  <c r="BE811" i="1"/>
  <c r="BE825" i="1"/>
  <c r="BE826" i="1"/>
  <c r="BG116" i="1"/>
  <c r="BG121" i="1" s="1"/>
  <c r="BF823" i="1" l="1"/>
  <c r="BF827" i="1"/>
  <c r="BE465" i="1"/>
  <c r="BE117" i="1"/>
  <c r="BE478" i="1"/>
  <c r="BE480" i="1" s="1"/>
  <c r="BE810" i="1"/>
  <c r="BE482" i="1"/>
  <c r="BF472" i="1"/>
  <c r="BD482" i="1"/>
  <c r="BD810" i="1"/>
  <c r="BD811" i="1"/>
  <c r="BD117" i="1"/>
  <c r="BD478" i="1"/>
  <c r="BD465" i="1"/>
  <c r="Y35" i="31"/>
  <c r="Y36" i="31" s="1"/>
  <c r="BD118" i="1"/>
  <c r="DC472" i="1"/>
  <c r="BG120" i="1"/>
  <c r="BG827" i="1" s="1"/>
  <c r="BG818" i="1"/>
  <c r="BG819" i="1"/>
  <c r="BG821" i="1"/>
  <c r="BG817" i="1"/>
  <c r="BG712" i="1"/>
  <c r="DD121" i="1"/>
  <c r="BG816" i="1"/>
  <c r="BG820" i="1"/>
  <c r="BF822" i="1"/>
  <c r="AX35" i="31"/>
  <c r="AX36" i="31" s="1"/>
  <c r="DB465" i="1"/>
  <c r="DB117" i="1"/>
  <c r="DB118" i="1"/>
  <c r="DB811" i="1"/>
  <c r="DB810" i="1"/>
  <c r="BC711" i="1"/>
  <c r="DC822" i="1"/>
  <c r="DC115" i="1"/>
  <c r="DC815" i="1"/>
  <c r="DC122" i="1"/>
  <c r="DC823" i="1"/>
  <c r="DE679" i="1"/>
  <c r="DE813" i="1"/>
  <c r="DE114" i="1"/>
  <c r="DE814" i="1"/>
  <c r="DE812" i="1"/>
  <c r="BF115" i="1"/>
  <c r="BF815" i="1"/>
  <c r="BF122" i="1"/>
  <c r="BF667" i="1"/>
  <c r="DC667" i="1"/>
  <c r="BE711" i="1"/>
  <c r="BC480" i="1"/>
  <c r="DB478" i="1"/>
  <c r="DB480" i="1" s="1"/>
  <c r="BF825" i="1"/>
  <c r="BF826" i="1"/>
  <c r="DC824" i="1"/>
  <c r="G104" i="2"/>
  <c r="J75" i="7"/>
  <c r="DC827" i="1"/>
  <c r="O52" i="30"/>
  <c r="G103" i="2"/>
  <c r="J74" i="7"/>
  <c r="BJ124" i="1"/>
  <c r="BK114" i="1"/>
  <c r="BG598" i="1"/>
  <c r="BF824" i="1"/>
  <c r="DC826" i="1"/>
  <c r="J73" i="7"/>
  <c r="G102" i="2"/>
  <c r="BI116" i="1"/>
  <c r="BH116" i="1"/>
  <c r="BH121" i="1" s="1"/>
  <c r="BG825" i="1" l="1"/>
  <c r="BG822" i="1"/>
  <c r="BG824" i="1"/>
  <c r="BJ812" i="1"/>
  <c r="BJ125" i="1"/>
  <c r="BD711" i="1"/>
  <c r="BJ679" i="1"/>
  <c r="F13" i="30"/>
  <c r="BD480" i="1"/>
  <c r="DC478" i="1"/>
  <c r="DC480" i="1" s="1"/>
  <c r="DD712" i="1"/>
  <c r="BH598" i="1"/>
  <c r="DD598" i="1"/>
  <c r="BH120" i="1"/>
  <c r="BH824" i="1" s="1"/>
  <c r="BH819" i="1"/>
  <c r="BH817" i="1"/>
  <c r="BH818" i="1"/>
  <c r="BH821" i="1"/>
  <c r="BH820" i="1"/>
  <c r="BH712" i="1"/>
  <c r="BH816" i="1"/>
  <c r="BI121" i="1"/>
  <c r="BJ116" i="1"/>
  <c r="J72" i="7"/>
  <c r="G101" i="2"/>
  <c r="F96" i="2"/>
  <c r="I67" i="7"/>
  <c r="BG667" i="1"/>
  <c r="BG815" i="1"/>
  <c r="BG115" i="1"/>
  <c r="BG122" i="1"/>
  <c r="DD120" i="1"/>
  <c r="DD822" i="1" s="1"/>
  <c r="BG471" i="1"/>
  <c r="F97" i="2"/>
  <c r="N50" i="30"/>
  <c r="I68" i="7"/>
  <c r="AY35" i="31"/>
  <c r="AY36" i="31" s="1"/>
  <c r="DC465" i="1"/>
  <c r="DC811" i="1"/>
  <c r="DC810" i="1"/>
  <c r="DC117" i="1"/>
  <c r="DC118" i="1"/>
  <c r="DB711" i="1"/>
  <c r="DD820" i="1"/>
  <c r="DD816" i="1"/>
  <c r="DD817" i="1"/>
  <c r="DD821" i="1"/>
  <c r="DD818" i="1"/>
  <c r="DD819" i="1"/>
  <c r="DD116" i="1"/>
  <c r="G107" i="2"/>
  <c r="J78" i="7"/>
  <c r="BK124" i="1"/>
  <c r="BL114" i="1"/>
  <c r="J77" i="7"/>
  <c r="O53" i="30"/>
  <c r="G106" i="2"/>
  <c r="J76" i="7"/>
  <c r="G105" i="2"/>
  <c r="BG826" i="1"/>
  <c r="BG823" i="1"/>
  <c r="BF482" i="1"/>
  <c r="AA35" i="31"/>
  <c r="AA36" i="31" s="1"/>
  <c r="BF478" i="1"/>
  <c r="BF118" i="1"/>
  <c r="BF811" i="1"/>
  <c r="BF117" i="1"/>
  <c r="BF465" i="1"/>
  <c r="BF810" i="1"/>
  <c r="DD823" i="1" l="1"/>
  <c r="BH823" i="1"/>
  <c r="DD826" i="1"/>
  <c r="DD825" i="1"/>
  <c r="DD827" i="1"/>
  <c r="BH471" i="1"/>
  <c r="BH472" i="1" s="1"/>
  <c r="BH827" i="1"/>
  <c r="BK812" i="1"/>
  <c r="DF124" i="1"/>
  <c r="G96" i="2"/>
  <c r="J67" i="7"/>
  <c r="BK125" i="1"/>
  <c r="BM114" i="1"/>
  <c r="BL124" i="1"/>
  <c r="J68" i="7"/>
  <c r="G97" i="2"/>
  <c r="O50" i="30"/>
  <c r="BG472" i="1"/>
  <c r="DD471" i="1"/>
  <c r="BH115" i="1"/>
  <c r="BH122" i="1"/>
  <c r="BH667" i="1"/>
  <c r="BH815" i="1"/>
  <c r="DC711" i="1"/>
  <c r="G13" i="30"/>
  <c r="DD824" i="1"/>
  <c r="DD815" i="1"/>
  <c r="DD115" i="1"/>
  <c r="DD122" i="1"/>
  <c r="BK116" i="1"/>
  <c r="BJ121" i="1"/>
  <c r="BH822" i="1"/>
  <c r="BJ813" i="1"/>
  <c r="DD667" i="1"/>
  <c r="BI120" i="1"/>
  <c r="BI823" i="1" s="1"/>
  <c r="BI817" i="1"/>
  <c r="BI816" i="1"/>
  <c r="BI818" i="1"/>
  <c r="BI712" i="1"/>
  <c r="BI819" i="1"/>
  <c r="BI821" i="1"/>
  <c r="BI820" i="1"/>
  <c r="DE121" i="1"/>
  <c r="BH825" i="1"/>
  <c r="BI598" i="1"/>
  <c r="BJ814" i="1"/>
  <c r="BF711" i="1"/>
  <c r="BF480" i="1"/>
  <c r="BH826" i="1"/>
  <c r="BK679" i="1"/>
  <c r="DE712" i="1" l="1"/>
  <c r="DE818" i="1"/>
  <c r="DE816" i="1"/>
  <c r="DE819" i="1"/>
  <c r="DE820" i="1"/>
  <c r="DE817" i="1"/>
  <c r="DE821" i="1"/>
  <c r="DE116" i="1"/>
  <c r="BL812" i="1"/>
  <c r="BH482" i="1"/>
  <c r="AC35" i="31"/>
  <c r="AC36" i="31" s="1"/>
  <c r="BH117" i="1"/>
  <c r="BH478" i="1"/>
  <c r="BH810" i="1"/>
  <c r="BH465" i="1"/>
  <c r="BH118" i="1"/>
  <c r="BH811" i="1"/>
  <c r="DF679" i="1"/>
  <c r="BL679" i="1"/>
  <c r="DE598" i="1"/>
  <c r="BJ598" i="1"/>
  <c r="BI815" i="1"/>
  <c r="BI115" i="1"/>
  <c r="BJ115" i="1" s="1"/>
  <c r="DE120" i="1"/>
  <c r="DE826" i="1" s="1"/>
  <c r="BI122" i="1"/>
  <c r="BI667" i="1"/>
  <c r="BG482" i="1"/>
  <c r="BG117" i="1"/>
  <c r="BG811" i="1"/>
  <c r="BG465" i="1"/>
  <c r="AB35" i="31"/>
  <c r="AB36" i="31" s="1"/>
  <c r="BG118" i="1"/>
  <c r="BG810" i="1"/>
  <c r="BG478" i="1"/>
  <c r="DD472" i="1"/>
  <c r="BI824" i="1"/>
  <c r="BN114" i="1"/>
  <c r="BM124" i="1"/>
  <c r="BJ820" i="1"/>
  <c r="BJ818" i="1"/>
  <c r="BJ817" i="1"/>
  <c r="BJ712" i="1"/>
  <c r="BJ816" i="1"/>
  <c r="BJ819" i="1"/>
  <c r="BJ821" i="1"/>
  <c r="BI471" i="1"/>
  <c r="BK814" i="1"/>
  <c r="DF125" i="1"/>
  <c r="DF813" i="1" s="1"/>
  <c r="BL125" i="1"/>
  <c r="BK813" i="1"/>
  <c r="BI827" i="1"/>
  <c r="BI826" i="1"/>
  <c r="BI822" i="1"/>
  <c r="BI825" i="1"/>
  <c r="BK121" i="1"/>
  <c r="BL116" i="1"/>
  <c r="DF114" i="1"/>
  <c r="DF812" i="1"/>
  <c r="AZ296" i="1"/>
  <c r="DE827" i="1" l="1"/>
  <c r="BJ120" i="1"/>
  <c r="BK115" i="1"/>
  <c r="BH711" i="1"/>
  <c r="BM812" i="1"/>
  <c r="DG124" i="1"/>
  <c r="DE667" i="1"/>
  <c r="BL813" i="1"/>
  <c r="DE822" i="1"/>
  <c r="BA296" i="1"/>
  <c r="AZ379" i="1"/>
  <c r="AZ354" i="1"/>
  <c r="AZ321" i="1"/>
  <c r="BO114" i="1"/>
  <c r="BN124" i="1"/>
  <c r="AZ35" i="31"/>
  <c r="AZ36" i="31" s="1"/>
  <c r="DD810" i="1"/>
  <c r="DD117" i="1"/>
  <c r="DD811" i="1"/>
  <c r="DD118" i="1"/>
  <c r="DD465" i="1"/>
  <c r="BG711" i="1"/>
  <c r="BM679" i="1"/>
  <c r="BL814" i="1"/>
  <c r="BM125" i="1"/>
  <c r="DE824" i="1"/>
  <c r="DE115" i="1"/>
  <c r="DE122" i="1"/>
  <c r="DE815" i="1"/>
  <c r="BK598" i="1"/>
  <c r="BH480" i="1"/>
  <c r="BG480" i="1"/>
  <c r="DD478" i="1"/>
  <c r="DD480" i="1" s="1"/>
  <c r="DE823" i="1"/>
  <c r="BI472" i="1"/>
  <c r="DE471" i="1"/>
  <c r="BL121" i="1"/>
  <c r="BM116" i="1"/>
  <c r="DF814" i="1"/>
  <c r="BK818" i="1"/>
  <c r="BK820" i="1"/>
  <c r="BK816" i="1"/>
  <c r="DF121" i="1"/>
  <c r="BK712" i="1"/>
  <c r="BK819" i="1"/>
  <c r="BK821" i="1"/>
  <c r="BK817" i="1"/>
  <c r="DE825" i="1"/>
  <c r="BI482" i="1" l="1"/>
  <c r="AD35" i="31"/>
  <c r="AD36" i="31" s="1"/>
  <c r="BI478" i="1"/>
  <c r="BI811" i="1"/>
  <c r="BI118" i="1"/>
  <c r="BI117" i="1"/>
  <c r="BI465" i="1"/>
  <c r="BI810" i="1"/>
  <c r="DE472" i="1"/>
  <c r="BN125" i="1"/>
  <c r="DG125" i="1"/>
  <c r="DG814" i="1" s="1"/>
  <c r="BN812" i="1"/>
  <c r="U6" i="31"/>
  <c r="BP114" i="1"/>
  <c r="BO124" i="1"/>
  <c r="BB296" i="1"/>
  <c r="BA379" i="1"/>
  <c r="DA379" i="1" s="1"/>
  <c r="BA354" i="1"/>
  <c r="DA354" i="1" s="1"/>
  <c r="DD711" i="1"/>
  <c r="BM814" i="1"/>
  <c r="BN116" i="1"/>
  <c r="BM121" i="1"/>
  <c r="DF598" i="1"/>
  <c r="BL598" i="1"/>
  <c r="DG679" i="1"/>
  <c r="BN679" i="1"/>
  <c r="DA296" i="1"/>
  <c r="BM813" i="1"/>
  <c r="BK120" i="1"/>
  <c r="BK471" i="1" s="1"/>
  <c r="BK472" i="1" s="1"/>
  <c r="BL115" i="1"/>
  <c r="DF116" i="1"/>
  <c r="DF819" i="1"/>
  <c r="DF818" i="1"/>
  <c r="DF817" i="1"/>
  <c r="DF820" i="1"/>
  <c r="DF816" i="1"/>
  <c r="DF821" i="1"/>
  <c r="BL816" i="1"/>
  <c r="BL821" i="1"/>
  <c r="BL819" i="1"/>
  <c r="BL820" i="1"/>
  <c r="BL818" i="1"/>
  <c r="BL817" i="1"/>
  <c r="BL712" i="1"/>
  <c r="DF712" i="1"/>
  <c r="BA321" i="1"/>
  <c r="DG114" i="1"/>
  <c r="DG812" i="1"/>
  <c r="BJ815" i="1"/>
  <c r="BJ122" i="1"/>
  <c r="BJ667" i="1"/>
  <c r="BJ826" i="1"/>
  <c r="BJ827" i="1"/>
  <c r="BJ471" i="1"/>
  <c r="BJ825" i="1"/>
  <c r="BJ822" i="1"/>
  <c r="BJ823" i="1"/>
  <c r="BJ824" i="1"/>
  <c r="DG813" i="1" l="1"/>
  <c r="BM598" i="1"/>
  <c r="BB321" i="1"/>
  <c r="AW6" i="31"/>
  <c r="BI711" i="1"/>
  <c r="BC296" i="1"/>
  <c r="DB296" i="1" s="1"/>
  <c r="BB354" i="1"/>
  <c r="BB379" i="1"/>
  <c r="BN813" i="1"/>
  <c r="BO125" i="1"/>
  <c r="BO814" i="1" s="1"/>
  <c r="BN814" i="1"/>
  <c r="BJ472" i="1"/>
  <c r="DF471" i="1"/>
  <c r="BM115" i="1"/>
  <c r="BL120" i="1"/>
  <c r="BL471" i="1" s="1"/>
  <c r="BO679" i="1"/>
  <c r="AF35" i="31"/>
  <c r="BK117" i="1"/>
  <c r="BK810" i="1"/>
  <c r="BK478" i="1"/>
  <c r="BK480" i="1" s="1"/>
  <c r="BK811" i="1"/>
  <c r="BK118" i="1"/>
  <c r="BK465" i="1"/>
  <c r="DA321" i="1"/>
  <c r="DF120" i="1"/>
  <c r="BK667" i="1"/>
  <c r="BK122" i="1"/>
  <c r="BK815" i="1"/>
  <c r="BK823" i="1"/>
  <c r="BK827" i="1"/>
  <c r="BK826" i="1"/>
  <c r="BK824" i="1"/>
  <c r="BK822" i="1"/>
  <c r="BK825" i="1"/>
  <c r="BM817" i="1"/>
  <c r="BM816" i="1"/>
  <c r="BM818" i="1"/>
  <c r="BM712" i="1"/>
  <c r="BM821" i="1"/>
  <c r="DG121" i="1"/>
  <c r="BM820" i="1"/>
  <c r="BM819" i="1"/>
  <c r="DH124" i="1"/>
  <c r="BO812" i="1"/>
  <c r="BO813" i="1"/>
  <c r="BA35" i="31"/>
  <c r="BA36" i="31" s="1"/>
  <c r="DE117" i="1"/>
  <c r="DE810" i="1"/>
  <c r="DE118" i="1"/>
  <c r="DE811" i="1"/>
  <c r="DE465" i="1"/>
  <c r="BI480" i="1"/>
  <c r="DE478" i="1"/>
  <c r="DE480" i="1" s="1"/>
  <c r="DG598" i="1"/>
  <c r="V6" i="31"/>
  <c r="BN121" i="1"/>
  <c r="BO116" i="1"/>
  <c r="BQ114" i="1"/>
  <c r="BQ124" i="1" s="1"/>
  <c r="BP124" i="1"/>
  <c r="BC321" i="1" l="1"/>
  <c r="DB321" i="1" s="1"/>
  <c r="DG712" i="1"/>
  <c r="AE35" i="31"/>
  <c r="DF472" i="1"/>
  <c r="BJ117" i="1"/>
  <c r="BJ465" i="1"/>
  <c r="BJ810" i="1"/>
  <c r="BJ478" i="1"/>
  <c r="BJ118" i="1"/>
  <c r="BJ811" i="1"/>
  <c r="DH125" i="1"/>
  <c r="DH813" i="1" s="1"/>
  <c r="BP125" i="1"/>
  <c r="BQ125" i="1" s="1"/>
  <c r="DI125" i="1" s="1"/>
  <c r="W6" i="31"/>
  <c r="DG819" i="1"/>
  <c r="DG116" i="1"/>
  <c r="DG818" i="1"/>
  <c r="DG820" i="1"/>
  <c r="DG821" i="1"/>
  <c r="DG817" i="1"/>
  <c r="DG816" i="1"/>
  <c r="DH812" i="1"/>
  <c r="DH114" i="1"/>
  <c r="DF667" i="1"/>
  <c r="BP812" i="1"/>
  <c r="DF815" i="1"/>
  <c r="DF115" i="1"/>
  <c r="DF122" i="1"/>
  <c r="DF824" i="1"/>
  <c r="DF827" i="1"/>
  <c r="DF823" i="1"/>
  <c r="DF822" i="1"/>
  <c r="DF825" i="1"/>
  <c r="DF826" i="1"/>
  <c r="BK711" i="1"/>
  <c r="BP679" i="1"/>
  <c r="DH679" i="1"/>
  <c r="BD296" i="1"/>
  <c r="BD321" i="1" s="1"/>
  <c r="BC354" i="1"/>
  <c r="DB354" i="1" s="1"/>
  <c r="BC379" i="1"/>
  <c r="DB379" i="1" s="1"/>
  <c r="DE711" i="1"/>
  <c r="BQ812" i="1"/>
  <c r="DI124" i="1"/>
  <c r="BO121" i="1"/>
  <c r="BP116" i="1"/>
  <c r="BN818" i="1"/>
  <c r="BN817" i="1"/>
  <c r="BN820" i="1"/>
  <c r="BN821" i="1"/>
  <c r="BN816" i="1"/>
  <c r="BN712" i="1"/>
  <c r="BN819" i="1"/>
  <c r="BL472" i="1"/>
  <c r="BL667" i="1"/>
  <c r="BL815" i="1"/>
  <c r="BL122" i="1"/>
  <c r="BL827" i="1"/>
  <c r="BL824" i="1"/>
  <c r="BL822" i="1"/>
  <c r="BL823" i="1"/>
  <c r="BL826" i="1"/>
  <c r="BL825" i="1"/>
  <c r="BN598" i="1"/>
  <c r="BN115" i="1"/>
  <c r="BM120" i="1"/>
  <c r="BO598" i="1" l="1"/>
  <c r="DH814" i="1"/>
  <c r="AX6" i="31"/>
  <c r="BO115" i="1"/>
  <c r="BN120" i="1"/>
  <c r="BO819" i="1"/>
  <c r="BO712" i="1"/>
  <c r="BO817" i="1"/>
  <c r="BO821" i="1"/>
  <c r="DH121" i="1"/>
  <c r="BO818" i="1"/>
  <c r="BO820" i="1"/>
  <c r="BO816" i="1"/>
  <c r="BE296" i="1"/>
  <c r="BD354" i="1"/>
  <c r="BD379" i="1"/>
  <c r="DG120" i="1"/>
  <c r="BM667" i="1"/>
  <c r="BM122" i="1"/>
  <c r="BM815" i="1"/>
  <c r="BM824" i="1"/>
  <c r="BM825" i="1"/>
  <c r="BM826" i="1"/>
  <c r="BM827" i="1"/>
  <c r="BM823" i="1"/>
  <c r="BM822" i="1"/>
  <c r="BQ814" i="1"/>
  <c r="BJ711" i="1"/>
  <c r="BJ480" i="1"/>
  <c r="DF478" i="1"/>
  <c r="DF480" i="1" s="1"/>
  <c r="BQ679" i="1"/>
  <c r="BM471" i="1"/>
  <c r="DH598" i="1"/>
  <c r="BP813" i="1"/>
  <c r="BB35" i="31"/>
  <c r="BB36" i="31" s="1"/>
  <c r="DF117" i="1"/>
  <c r="DF465" i="1"/>
  <c r="DF118" i="1"/>
  <c r="DF810" i="1"/>
  <c r="DF811" i="1"/>
  <c r="BP121" i="1"/>
  <c r="BP598" i="1" s="1"/>
  <c r="BQ116" i="1"/>
  <c r="BQ121" i="1" s="1"/>
  <c r="AG35" i="31"/>
  <c r="BL478" i="1"/>
  <c r="BL118" i="1"/>
  <c r="BL465" i="1"/>
  <c r="BL117" i="1"/>
  <c r="BL810" i="1"/>
  <c r="BL811" i="1"/>
  <c r="BQ813" i="1"/>
  <c r="DI114" i="1"/>
  <c r="DI812" i="1"/>
  <c r="DI814" i="1"/>
  <c r="DI813" i="1"/>
  <c r="X6" i="31"/>
  <c r="BP814" i="1"/>
  <c r="DH712" i="1" l="1"/>
  <c r="BQ598" i="1"/>
  <c r="DI598" i="1" s="1"/>
  <c r="BF296" i="1"/>
  <c r="BE379" i="1"/>
  <c r="DC379" i="1" s="1"/>
  <c r="BE354" i="1"/>
  <c r="DC354" i="1" s="1"/>
  <c r="BN815" i="1"/>
  <c r="BN667" i="1"/>
  <c r="BN122" i="1"/>
  <c r="BN825" i="1"/>
  <c r="BN824" i="1"/>
  <c r="BN827" i="1"/>
  <c r="BN823" i="1"/>
  <c r="BN822" i="1"/>
  <c r="BN826" i="1"/>
  <c r="BL480" i="1"/>
  <c r="DF711" i="1"/>
  <c r="BO120" i="1"/>
  <c r="BP115" i="1"/>
  <c r="BQ818" i="1"/>
  <c r="BQ820" i="1"/>
  <c r="BQ816" i="1"/>
  <c r="BQ819" i="1"/>
  <c r="BQ817" i="1"/>
  <c r="DI121" i="1"/>
  <c r="BQ821" i="1"/>
  <c r="BQ712" i="1"/>
  <c r="DG667" i="1"/>
  <c r="BM472" i="1"/>
  <c r="DG471" i="1"/>
  <c r="DI679" i="1"/>
  <c r="DG815" i="1"/>
  <c r="DG115" i="1"/>
  <c r="DG122" i="1"/>
  <c r="DG827" i="1"/>
  <c r="DG823" i="1"/>
  <c r="DG824" i="1"/>
  <c r="DG825" i="1"/>
  <c r="DG822" i="1"/>
  <c r="DG826" i="1"/>
  <c r="DC296" i="1"/>
  <c r="BP816" i="1"/>
  <c r="BP819" i="1"/>
  <c r="BP820" i="1"/>
  <c r="BP817" i="1"/>
  <c r="BP818" i="1"/>
  <c r="BP821" i="1"/>
  <c r="BP712" i="1"/>
  <c r="BL711" i="1"/>
  <c r="BN471" i="1"/>
  <c r="Y6" i="31"/>
  <c r="DH821" i="1"/>
  <c r="DH817" i="1"/>
  <c r="DH816" i="1"/>
  <c r="DH819" i="1"/>
  <c r="DH116" i="1"/>
  <c r="DH818" i="1"/>
  <c r="DH820" i="1"/>
  <c r="BE321" i="1"/>
  <c r="BP120" i="1" l="1"/>
  <c r="BQ115" i="1"/>
  <c r="BQ120" i="1" s="1"/>
  <c r="Z6" i="31"/>
  <c r="DH120" i="1"/>
  <c r="BO122" i="1"/>
  <c r="BO667" i="1"/>
  <c r="BO815" i="1"/>
  <c r="BP471" i="1"/>
  <c r="BO827" i="1"/>
  <c r="BO825" i="1"/>
  <c r="BO823" i="1"/>
  <c r="BO826" i="1"/>
  <c r="BO822" i="1"/>
  <c r="BO824" i="1"/>
  <c r="BG296" i="1"/>
  <c r="BF379" i="1"/>
  <c r="BF354" i="1"/>
  <c r="DD296" i="1"/>
  <c r="DI712" i="1"/>
  <c r="DI818" i="1"/>
  <c r="DI116" i="1"/>
  <c r="DI820" i="1"/>
  <c r="DI816" i="1"/>
  <c r="DI817" i="1"/>
  <c r="DI819" i="1"/>
  <c r="DI821" i="1"/>
  <c r="BN472" i="1"/>
  <c r="AY6" i="31"/>
  <c r="DC321" i="1"/>
  <c r="BF321" i="1"/>
  <c r="AH35" i="31"/>
  <c r="BM478" i="1"/>
  <c r="BM811" i="1"/>
  <c r="BM117" i="1"/>
  <c r="BM118" i="1"/>
  <c r="BM465" i="1"/>
  <c r="BM810" i="1"/>
  <c r="DG472" i="1"/>
  <c r="BO471" i="1"/>
  <c r="BO472" i="1" s="1"/>
  <c r="DH667" i="1" l="1"/>
  <c r="AA6" i="31"/>
  <c r="AJ35" i="31"/>
  <c r="BO478" i="1"/>
  <c r="BO480" i="1" s="1"/>
  <c r="BO810" i="1"/>
  <c r="BO465" i="1"/>
  <c r="BO118" i="1"/>
  <c r="BO811" i="1"/>
  <c r="BO117" i="1"/>
  <c r="BG321" i="1"/>
  <c r="DD321" i="1" s="1"/>
  <c r="DH471" i="1"/>
  <c r="BG354" i="1"/>
  <c r="DD354" i="1" s="1"/>
  <c r="BG379" i="1"/>
  <c r="DH115" i="1"/>
  <c r="DH122" i="1"/>
  <c r="DH815" i="1"/>
  <c r="DH825" i="1"/>
  <c r="DH824" i="1"/>
  <c r="DH823" i="1"/>
  <c r="DH827" i="1"/>
  <c r="DH826" i="1"/>
  <c r="DH822" i="1"/>
  <c r="BQ667" i="1"/>
  <c r="BQ122" i="1"/>
  <c r="DI120" i="1"/>
  <c r="BQ815" i="1"/>
  <c r="BQ823" i="1"/>
  <c r="BQ822" i="1"/>
  <c r="BQ825" i="1"/>
  <c r="BQ826" i="1"/>
  <c r="BQ824" i="1"/>
  <c r="BQ827" i="1"/>
  <c r="BC35" i="31"/>
  <c r="BC36" i="31" s="1"/>
  <c r="DG117" i="1"/>
  <c r="DG810" i="1"/>
  <c r="DG118" i="1"/>
  <c r="DG465" i="1"/>
  <c r="DG811" i="1"/>
  <c r="AI35" i="31"/>
  <c r="BN117" i="1"/>
  <c r="DH472" i="1"/>
  <c r="BN465" i="1"/>
  <c r="BN810" i="1"/>
  <c r="BN118" i="1"/>
  <c r="BN811" i="1"/>
  <c r="BN478" i="1"/>
  <c r="BM480" i="1"/>
  <c r="DG478" i="1"/>
  <c r="DG480" i="1" s="1"/>
  <c r="BM711" i="1"/>
  <c r="BP472" i="1"/>
  <c r="BQ471" i="1"/>
  <c r="BQ472" i="1" s="1"/>
  <c r="BP122" i="1"/>
  <c r="BP815" i="1"/>
  <c r="BP667" i="1"/>
  <c r="BP827" i="1"/>
  <c r="BP823" i="1"/>
  <c r="BP822" i="1"/>
  <c r="BP824" i="1"/>
  <c r="BP825" i="1"/>
  <c r="BP826" i="1"/>
  <c r="BH296" i="1"/>
  <c r="DI471" i="1" l="1"/>
  <c r="BI296" i="1"/>
  <c r="BH354" i="1"/>
  <c r="BH379" i="1"/>
  <c r="DE296" i="1"/>
  <c r="AB6" i="31"/>
  <c r="BN711" i="1"/>
  <c r="BH321" i="1"/>
  <c r="BI321" i="1" s="1"/>
  <c r="AL35" i="31"/>
  <c r="BQ465" i="1"/>
  <c r="BQ810" i="1"/>
  <c r="BQ478" i="1"/>
  <c r="BQ480" i="1" s="1"/>
  <c r="BQ117" i="1"/>
  <c r="BQ118" i="1"/>
  <c r="BQ811" i="1"/>
  <c r="DG711" i="1"/>
  <c r="BD35" i="31"/>
  <c r="BD36" i="31" s="1"/>
  <c r="DH811" i="1"/>
  <c r="DH465" i="1"/>
  <c r="DH118" i="1"/>
  <c r="DH810" i="1"/>
  <c r="DH117" i="1"/>
  <c r="DI122" i="1"/>
  <c r="DI115" i="1"/>
  <c r="DI815" i="1"/>
  <c r="DI822" i="1"/>
  <c r="DI823" i="1"/>
  <c r="DI824" i="1"/>
  <c r="DI827" i="1"/>
  <c r="DI826" i="1"/>
  <c r="DI825" i="1"/>
  <c r="BO711" i="1"/>
  <c r="DI667" i="1"/>
  <c r="AK35" i="31"/>
  <c r="BP810" i="1"/>
  <c r="BP465" i="1"/>
  <c r="BP118" i="1"/>
  <c r="DI472" i="1"/>
  <c r="BP811" i="1"/>
  <c r="BP117" i="1"/>
  <c r="BP478" i="1"/>
  <c r="BN480" i="1"/>
  <c r="DH478" i="1"/>
  <c r="DH480" i="1" s="1"/>
  <c r="DD379" i="1"/>
  <c r="AZ6" i="31" l="1"/>
  <c r="BQ711" i="1"/>
  <c r="DH711" i="1"/>
  <c r="BP480" i="1"/>
  <c r="DI478" i="1"/>
  <c r="DI480" i="1" s="1"/>
  <c r="BP711" i="1"/>
  <c r="AC6" i="31"/>
  <c r="DE321" i="1"/>
  <c r="BE35" i="31"/>
  <c r="BE36" i="31" s="1"/>
  <c r="DI465" i="1"/>
  <c r="DI117" i="1"/>
  <c r="DI810" i="1"/>
  <c r="DI811" i="1"/>
  <c r="DI118" i="1"/>
  <c r="BJ296" i="1"/>
  <c r="BJ321" i="1" s="1"/>
  <c r="BI354" i="1"/>
  <c r="DE354" i="1" s="1"/>
  <c r="BI379" i="1"/>
  <c r="DI711" i="1" l="1"/>
  <c r="AD6" i="31"/>
  <c r="DE379" i="1"/>
  <c r="BK296" i="1"/>
  <c r="BJ379" i="1"/>
  <c r="BJ354" i="1"/>
  <c r="DF296" i="1" l="1"/>
  <c r="BL296" i="1"/>
  <c r="BK354" i="1"/>
  <c r="DF354" i="1" s="1"/>
  <c r="BK379" i="1"/>
  <c r="BA6" i="31"/>
  <c r="BK321" i="1"/>
  <c r="AE6" i="31"/>
  <c r="AF6" i="31" l="1"/>
  <c r="BL321" i="1"/>
  <c r="DF321" i="1"/>
  <c r="BL354" i="1"/>
  <c r="BM296" i="1"/>
  <c r="BL379" i="1"/>
  <c r="DG296" i="1"/>
  <c r="DF379" i="1"/>
  <c r="BB6" i="31" l="1"/>
  <c r="BM321" i="1"/>
  <c r="DG321" i="1" s="1"/>
  <c r="AG6" i="31"/>
  <c r="BM379" i="1"/>
  <c r="DG379" i="1" s="1"/>
  <c r="BM354" i="1"/>
  <c r="DG354" i="1" s="1"/>
  <c r="BN296" i="1"/>
  <c r="BN321" i="1" l="1"/>
  <c r="AH6" i="31"/>
  <c r="BC6" i="31"/>
  <c r="BN379" i="1"/>
  <c r="BO296" i="1"/>
  <c r="BO321" i="1" s="1"/>
  <c r="BN354" i="1"/>
  <c r="DH296" i="1"/>
  <c r="DH321" i="1" l="1"/>
  <c r="BO354" i="1"/>
  <c r="DH354" i="1" s="1"/>
  <c r="BO379" i="1"/>
  <c r="DH379" i="1" s="1"/>
  <c r="BP296" i="1"/>
  <c r="AI6" i="31"/>
  <c r="BQ296" i="1" l="1"/>
  <c r="BP354" i="1"/>
  <c r="BP379" i="1"/>
  <c r="DI296" i="1"/>
  <c r="AJ6" i="31"/>
  <c r="BD6" i="31"/>
  <c r="BP321" i="1"/>
  <c r="BQ321" i="1" s="1"/>
  <c r="DI321" i="1" s="1"/>
  <c r="AK6" i="31" l="1"/>
  <c r="BQ354" i="1"/>
  <c r="DI354" i="1" s="1"/>
  <c r="BQ379" i="1"/>
  <c r="DI379" i="1" s="1"/>
  <c r="BE6" i="31" l="1"/>
  <c r="AL6" i="31"/>
  <c r="AZ86" i="1" l="1"/>
  <c r="AZ397" i="1" s="1"/>
  <c r="BB86" i="1"/>
  <c r="BB397" i="1" s="1"/>
  <c r="U12" i="31" l="1"/>
  <c r="K36" i="2"/>
  <c r="AZ705" i="1"/>
  <c r="DA397" i="1"/>
  <c r="W12" i="31"/>
  <c r="DB397" i="1"/>
  <c r="BA705" i="1" l="1"/>
  <c r="AW12" i="31"/>
  <c r="O11" i="7"/>
  <c r="DA86" i="1"/>
  <c r="E36" i="2"/>
  <c r="AX12" i="31"/>
  <c r="DB86" i="1"/>
  <c r="P11" i="7"/>
  <c r="F36" i="2"/>
  <c r="BD86" i="1"/>
  <c r="BD397" i="1" s="1"/>
  <c r="Y12" i="31" l="1"/>
  <c r="DC397" i="1"/>
  <c r="DA705" i="1"/>
  <c r="BB705" i="1"/>
  <c r="AY12" i="31" l="1"/>
  <c r="DC86" i="1"/>
  <c r="G36" i="2"/>
  <c r="Q11" i="7"/>
  <c r="BC705" i="1"/>
  <c r="BF86" i="1"/>
  <c r="BF397" i="1" s="1"/>
  <c r="AA12" i="31" l="1"/>
  <c r="DD397" i="1"/>
  <c r="DB705" i="1"/>
  <c r="BD705" i="1"/>
  <c r="BE705" i="1" l="1"/>
  <c r="AZ12" i="31"/>
  <c r="DD86" i="1"/>
  <c r="BH86" i="1"/>
  <c r="BH397" i="1" l="1"/>
  <c r="BJ86" i="1"/>
  <c r="DC705" i="1"/>
  <c r="BF705" i="1"/>
  <c r="BL86" i="1" l="1"/>
  <c r="BK86" i="1"/>
  <c r="BJ397" i="1"/>
  <c r="BG705" i="1"/>
  <c r="DD705" i="1"/>
  <c r="AC12" i="31"/>
  <c r="DE397" i="1"/>
  <c r="AE12" i="31" l="1"/>
  <c r="BA12" i="31"/>
  <c r="DE86" i="1"/>
  <c r="BM86" i="1"/>
  <c r="BK397" i="1"/>
  <c r="DF397" i="1" s="1"/>
  <c r="BH705" i="1"/>
  <c r="BN86" i="1"/>
  <c r="BL397" i="1"/>
  <c r="AG12" i="31" l="1"/>
  <c r="BN397" i="1"/>
  <c r="BP86" i="1"/>
  <c r="BP397" i="1" s="1"/>
  <c r="BI705" i="1"/>
  <c r="BB12" i="31"/>
  <c r="DF86" i="1"/>
  <c r="AF12" i="31"/>
  <c r="BO86" i="1"/>
  <c r="BM397" i="1"/>
  <c r="DG397" i="1" s="1"/>
  <c r="DE705" i="1" l="1"/>
  <c r="BJ705" i="1"/>
  <c r="AK12" i="31"/>
  <c r="AI12" i="31"/>
  <c r="BC12" i="31"/>
  <c r="DG86" i="1"/>
  <c r="AH12" i="31"/>
  <c r="BQ86" i="1"/>
  <c r="BQ397" i="1" s="1"/>
  <c r="DI397" i="1" s="1"/>
  <c r="BO397" i="1"/>
  <c r="DH397" i="1" s="1"/>
  <c r="BD12" i="31" l="1"/>
  <c r="DH86" i="1"/>
  <c r="AL12" i="31"/>
  <c r="BK705" i="1"/>
  <c r="BE12" i="31"/>
  <c r="DI86" i="1"/>
  <c r="AJ12" i="31"/>
  <c r="DF705" i="1" l="1"/>
  <c r="BL705" i="1"/>
  <c r="BM705" i="1" l="1"/>
  <c r="DG705" i="1" l="1"/>
  <c r="BN705" i="1"/>
  <c r="BO705" i="1" l="1"/>
  <c r="DH705" i="1" l="1"/>
  <c r="BP705" i="1"/>
  <c r="BQ705" i="1" l="1"/>
  <c r="DI705" i="1" l="1"/>
  <c r="AZ85" i="1"/>
  <c r="AZ396" i="1" s="1"/>
  <c r="AZ84" i="1"/>
  <c r="AZ395" i="1" s="1"/>
  <c r="BA84" i="1" l="1"/>
  <c r="BA395" i="1" s="1"/>
  <c r="U11" i="31"/>
  <c r="AZ406" i="1"/>
  <c r="K34" i="2"/>
  <c r="DA395" i="1"/>
  <c r="K35" i="2"/>
  <c r="BA85" i="1"/>
  <c r="BA396" i="1" s="1"/>
  <c r="O9" i="7" l="1"/>
  <c r="DA84" i="1"/>
  <c r="E34" i="2"/>
  <c r="U15" i="31"/>
  <c r="AZ408" i="1"/>
  <c r="DA396" i="1"/>
  <c r="BB85" i="1"/>
  <c r="BB396" i="1" s="1"/>
  <c r="L35" i="2"/>
  <c r="V11" i="31"/>
  <c r="BB84" i="1"/>
  <c r="BB395" i="1" s="1"/>
  <c r="BA406" i="1"/>
  <c r="DA406" i="1" s="1"/>
  <c r="AW15" i="31" s="1"/>
  <c r="L34" i="2"/>
  <c r="BC85" i="1" l="1"/>
  <c r="BC396" i="1" s="1"/>
  <c r="BC84" i="1"/>
  <c r="BC395" i="1" s="1"/>
  <c r="BB406" i="1"/>
  <c r="W11" i="31"/>
  <c r="O10" i="7"/>
  <c r="DA85" i="1"/>
  <c r="E35" i="2"/>
  <c r="AZ414" i="1"/>
  <c r="U17" i="31"/>
  <c r="AZ393" i="1"/>
  <c r="AZ418" i="1"/>
  <c r="V15" i="31"/>
  <c r="BA408" i="1"/>
  <c r="DA408" i="1" s="1"/>
  <c r="E8" i="30"/>
  <c r="AW11" i="31"/>
  <c r="W15" i="31" l="1"/>
  <c r="BB408" i="1"/>
  <c r="BD84" i="1"/>
  <c r="BD395" i="1" s="1"/>
  <c r="BC406" i="1"/>
  <c r="X11" i="31"/>
  <c r="AW17" i="31"/>
  <c r="DA393" i="1"/>
  <c r="DB395" i="1"/>
  <c r="V17" i="31"/>
  <c r="BA393" i="1"/>
  <c r="BA414" i="1"/>
  <c r="BA418" i="1"/>
  <c r="AZ416" i="1"/>
  <c r="DB396" i="1"/>
  <c r="BD85" i="1"/>
  <c r="BD396" i="1" s="1"/>
  <c r="X15" i="31" l="1"/>
  <c r="BC408" i="1"/>
  <c r="O14" i="7"/>
  <c r="W17" i="31"/>
  <c r="BB414" i="1"/>
  <c r="BB418" i="1"/>
  <c r="BB393" i="1"/>
  <c r="DA414" i="1"/>
  <c r="BA416" i="1"/>
  <c r="BE84" i="1"/>
  <c r="BE395" i="1" s="1"/>
  <c r="BD406" i="1"/>
  <c r="Y11" i="31"/>
  <c r="BE85" i="1"/>
  <c r="BE396" i="1" s="1"/>
  <c r="DB406" i="1"/>
  <c r="AX15" i="31" s="1"/>
  <c r="DB85" i="1"/>
  <c r="P10" i="7"/>
  <c r="F35" i="2"/>
  <c r="F8" i="30"/>
  <c r="F34" i="2"/>
  <c r="P9" i="7"/>
  <c r="DB84" i="1"/>
  <c r="AX11" i="31"/>
  <c r="DA416" i="1" l="1"/>
  <c r="Y15" i="31"/>
  <c r="BD408" i="1"/>
  <c r="DB408" i="1"/>
  <c r="BC393" i="1"/>
  <c r="BC418" i="1"/>
  <c r="X17" i="31"/>
  <c r="BC414" i="1"/>
  <c r="DC396" i="1"/>
  <c r="BF85" i="1"/>
  <c r="BF396" i="1" s="1"/>
  <c r="Z11" i="31"/>
  <c r="BE406" i="1"/>
  <c r="DC406" i="1" s="1"/>
  <c r="AY15" i="31" s="1"/>
  <c r="BF84" i="1"/>
  <c r="BF395" i="1" s="1"/>
  <c r="BB416" i="1"/>
  <c r="DC395" i="1"/>
  <c r="BG85" i="1" l="1"/>
  <c r="BG396" i="1" s="1"/>
  <c r="AX17" i="31"/>
  <c r="DB393" i="1"/>
  <c r="Z15" i="31"/>
  <c r="BE408" i="1"/>
  <c r="BC416" i="1"/>
  <c r="BD393" i="1"/>
  <c r="Y17" i="31"/>
  <c r="BD418" i="1"/>
  <c r="BD414" i="1"/>
  <c r="BG84" i="1"/>
  <c r="BG395" i="1" s="1"/>
  <c r="AA11" i="31"/>
  <c r="BF406" i="1"/>
  <c r="DB414" i="1"/>
  <c r="DC85" i="1"/>
  <c r="Q10" i="7"/>
  <c r="G35" i="2"/>
  <c r="Q9" i="7"/>
  <c r="G8" i="30"/>
  <c r="AY11" i="31"/>
  <c r="DC84" i="1"/>
  <c r="G34" i="2"/>
  <c r="BF408" i="1" l="1"/>
  <c r="AA15" i="31"/>
  <c r="BD416" i="1"/>
  <c r="BE418" i="1"/>
  <c r="BE414" i="1"/>
  <c r="Z17" i="31"/>
  <c r="BE393" i="1"/>
  <c r="P14" i="7"/>
  <c r="DD395" i="1"/>
  <c r="BH84" i="1"/>
  <c r="BH395" i="1" s="1"/>
  <c r="BG406" i="1"/>
  <c r="AB11" i="31"/>
  <c r="DD396" i="1"/>
  <c r="BH85" i="1"/>
  <c r="BH396" i="1" s="1"/>
  <c r="DB416" i="1"/>
  <c r="DC408" i="1"/>
  <c r="DC414" i="1" l="1"/>
  <c r="BE416" i="1"/>
  <c r="DD406" i="1"/>
  <c r="AZ15" i="31" s="1"/>
  <c r="AB15" i="31"/>
  <c r="BG408" i="1"/>
  <c r="BH406" i="1"/>
  <c r="BI84" i="1"/>
  <c r="AC11" i="31"/>
  <c r="BI85" i="1"/>
  <c r="DD85" i="1"/>
  <c r="AZ11" i="31"/>
  <c r="DD84" i="1"/>
  <c r="AY17" i="31"/>
  <c r="DC393" i="1"/>
  <c r="BF414" i="1"/>
  <c r="BF418" i="1"/>
  <c r="AA17" i="31"/>
  <c r="BF393" i="1"/>
  <c r="DD408" i="1"/>
  <c r="AC15" i="31" l="1"/>
  <c r="BH408" i="1"/>
  <c r="BF416" i="1"/>
  <c r="Q14" i="7"/>
  <c r="DD393" i="1"/>
  <c r="AZ17" i="31"/>
  <c r="DC416" i="1"/>
  <c r="BJ84" i="1"/>
  <c r="BI395" i="1"/>
  <c r="BG418" i="1"/>
  <c r="BG414" i="1"/>
  <c r="AB17" i="31"/>
  <c r="BG393" i="1"/>
  <c r="BJ85" i="1"/>
  <c r="BI396" i="1"/>
  <c r="DE396" i="1" l="1"/>
  <c r="BI406" i="1"/>
  <c r="AD11" i="31"/>
  <c r="DE395" i="1"/>
  <c r="BK85" i="1"/>
  <c r="BJ396" i="1"/>
  <c r="BJ395" i="1"/>
  <c r="BK84" i="1"/>
  <c r="DD414" i="1"/>
  <c r="BG416" i="1"/>
  <c r="BH418" i="1"/>
  <c r="AC17" i="31"/>
  <c r="BH393" i="1"/>
  <c r="BH414" i="1"/>
  <c r="DE84" i="1" l="1"/>
  <c r="BA11" i="31"/>
  <c r="AD15" i="31"/>
  <c r="BI408" i="1"/>
  <c r="DE406" i="1"/>
  <c r="BA15" i="31" s="1"/>
  <c r="AE11" i="31"/>
  <c r="BJ406" i="1"/>
  <c r="BH416" i="1"/>
  <c r="DD416" i="1"/>
  <c r="BK396" i="1"/>
  <c r="BL85" i="1"/>
  <c r="DE85" i="1"/>
  <c r="BK395" i="1"/>
  <c r="DF395" i="1" s="1"/>
  <c r="BL84" i="1"/>
  <c r="DF84" i="1" l="1"/>
  <c r="BL395" i="1"/>
  <c r="BM84" i="1"/>
  <c r="BL396" i="1"/>
  <c r="BM85" i="1"/>
  <c r="AD17" i="31"/>
  <c r="BI414" i="1"/>
  <c r="BI393" i="1"/>
  <c r="BI418" i="1"/>
  <c r="DE408" i="1"/>
  <c r="BK406" i="1"/>
  <c r="AF11" i="31"/>
  <c r="AE15" i="31"/>
  <c r="BJ408" i="1"/>
  <c r="DF396" i="1"/>
  <c r="BB11" i="31" s="1"/>
  <c r="BM395" i="1" l="1"/>
  <c r="BN84" i="1"/>
  <c r="AG11" i="31"/>
  <c r="DG395" i="1"/>
  <c r="BL406" i="1"/>
  <c r="DF85" i="1"/>
  <c r="BI416" i="1"/>
  <c r="DE414" i="1"/>
  <c r="BK408" i="1"/>
  <c r="AF15" i="31"/>
  <c r="DF406" i="1"/>
  <c r="BB15" i="31" s="1"/>
  <c r="BM396" i="1"/>
  <c r="BN85" i="1"/>
  <c r="BJ414" i="1"/>
  <c r="BJ393" i="1"/>
  <c r="AE17" i="31"/>
  <c r="DF408" i="1"/>
  <c r="BA17" i="31"/>
  <c r="DE393" i="1"/>
  <c r="BN395" i="1" l="1"/>
  <c r="BO84" i="1"/>
  <c r="BO85" i="1"/>
  <c r="BN396" i="1"/>
  <c r="AH11" i="31"/>
  <c r="BM406" i="1"/>
  <c r="BB17" i="31"/>
  <c r="DF393" i="1"/>
  <c r="DG396" i="1"/>
  <c r="AF17" i="31"/>
  <c r="BK414" i="1"/>
  <c r="BK393" i="1"/>
  <c r="BJ416" i="1"/>
  <c r="DE416" i="1"/>
  <c r="BL408" i="1"/>
  <c r="AG15" i="31"/>
  <c r="BC11" i="31"/>
  <c r="DG84" i="1"/>
  <c r="BL414" i="1" l="1"/>
  <c r="BL393" i="1"/>
  <c r="AG17" i="31"/>
  <c r="BK416" i="1"/>
  <c r="DH396" i="1"/>
  <c r="BP85" i="1"/>
  <c r="BO396" i="1"/>
  <c r="DF414" i="1"/>
  <c r="DG406" i="1"/>
  <c r="BC15" i="31" s="1"/>
  <c r="BM408" i="1"/>
  <c r="AH15" i="31"/>
  <c r="BO395" i="1"/>
  <c r="BP84" i="1"/>
  <c r="DG85" i="1"/>
  <c r="BN406" i="1"/>
  <c r="AI11" i="31"/>
  <c r="AI15" i="31" l="1"/>
  <c r="BN408" i="1"/>
  <c r="BP395" i="1"/>
  <c r="BQ84" i="1"/>
  <c r="BQ395" i="1" s="1"/>
  <c r="DH395" i="1"/>
  <c r="BD11" i="31" s="1"/>
  <c r="BO406" i="1"/>
  <c r="AJ11" i="31"/>
  <c r="DF416" i="1"/>
  <c r="DG408" i="1"/>
  <c r="BM414" i="1"/>
  <c r="BM416" i="1" s="1"/>
  <c r="BM393" i="1"/>
  <c r="AH17" i="31"/>
  <c r="BP396" i="1"/>
  <c r="BQ85" i="1"/>
  <c r="BQ396" i="1" s="1"/>
  <c r="DH85" i="1"/>
  <c r="BL416" i="1"/>
  <c r="DG414" i="1" l="1"/>
  <c r="AL11" i="31"/>
  <c r="BQ406" i="1"/>
  <c r="BP406" i="1"/>
  <c r="AK11" i="31"/>
  <c r="DI395" i="1"/>
  <c r="AJ15" i="31"/>
  <c r="BO408" i="1"/>
  <c r="DH408" i="1" s="1"/>
  <c r="DH406" i="1"/>
  <c r="BD15" i="31" s="1"/>
  <c r="AI17" i="31"/>
  <c r="BN414" i="1"/>
  <c r="BN393" i="1"/>
  <c r="DG416" i="1"/>
  <c r="DI396" i="1"/>
  <c r="BC17" i="31"/>
  <c r="DG393" i="1"/>
  <c r="DH84" i="1"/>
  <c r="BE11" i="31" l="1"/>
  <c r="DI84" i="1"/>
  <c r="BQ408" i="1"/>
  <c r="AL15" i="31"/>
  <c r="DH393" i="1"/>
  <c r="BD17" i="31"/>
  <c r="DI85" i="1"/>
  <c r="BN416" i="1"/>
  <c r="AJ17" i="31"/>
  <c r="BO414" i="1"/>
  <c r="BO416" i="1" s="1"/>
  <c r="BO393" i="1"/>
  <c r="AK15" i="31"/>
  <c r="DI406" i="1"/>
  <c r="BE15" i="31" s="1"/>
  <c r="BP408" i="1"/>
  <c r="AK17" i="31" l="1"/>
  <c r="BP414" i="1"/>
  <c r="DI408" i="1"/>
  <c r="BP393" i="1"/>
  <c r="DH414" i="1"/>
  <c r="BQ414" i="1"/>
  <c r="BQ416" i="1" s="1"/>
  <c r="AL17" i="31"/>
  <c r="BQ393" i="1"/>
  <c r="BP416" i="1" l="1"/>
  <c r="DI414" i="1"/>
  <c r="DH416" i="1"/>
  <c r="BE17" i="31"/>
  <c r="DI393" i="1"/>
  <c r="DI416" i="1" l="1"/>
  <c r="AZ323" i="1" l="1"/>
  <c r="U70" i="31" l="1"/>
  <c r="AZ381" i="1"/>
  <c r="AZ81" i="1"/>
  <c r="AZ322" i="1"/>
  <c r="AZ319" i="1"/>
  <c r="AZ325" i="1" s="1"/>
  <c r="AZ269" i="1"/>
  <c r="AZ377" i="1" l="1"/>
  <c r="AZ391" i="1" s="1"/>
  <c r="AZ390" i="1"/>
  <c r="AZ327" i="1"/>
  <c r="AZ380" i="1"/>
  <c r="AZ387" i="1"/>
  <c r="AZ419" i="1"/>
  <c r="AZ99" i="1"/>
  <c r="U8" i="31"/>
  <c r="U9" i="31" s="1"/>
  <c r="K32" i="2"/>
  <c r="AZ389" i="1" l="1"/>
  <c r="U7" i="31"/>
  <c r="K33" i="2"/>
  <c r="K41" i="2"/>
  <c r="AZ426" i="1"/>
  <c r="AZ792" i="1"/>
  <c r="K89" i="2" s="1"/>
  <c r="AZ793" i="1"/>
  <c r="AZ794" i="1"/>
  <c r="K91" i="2" s="1"/>
  <c r="AZ454" i="1"/>
  <c r="BA323" i="1"/>
  <c r="K40" i="2" l="1"/>
  <c r="AZ734" i="1"/>
  <c r="AZ761" i="1" s="1"/>
  <c r="K43" i="2"/>
  <c r="K42" i="2" s="1"/>
  <c r="AZ483" i="1"/>
  <c r="AZ461" i="1"/>
  <c r="K90" i="2"/>
  <c r="U71" i="31"/>
  <c r="V70" i="31"/>
  <c r="BA322" i="1"/>
  <c r="BA269" i="1"/>
  <c r="BA381" i="1"/>
  <c r="BA319" i="1"/>
  <c r="BA325" i="1" s="1"/>
  <c r="BA81" i="1"/>
  <c r="AZ428" i="1"/>
  <c r="U19" i="31"/>
  <c r="U20" i="31" s="1"/>
  <c r="DA323" i="1"/>
  <c r="AZ490" i="1" l="1"/>
  <c r="AZ497" i="1"/>
  <c r="K45" i="2"/>
  <c r="K44" i="2" s="1"/>
  <c r="AW70" i="31"/>
  <c r="DA81" i="1"/>
  <c r="DA269" i="1"/>
  <c r="DA319" i="1"/>
  <c r="DA325" i="1" s="1"/>
  <c r="DA322" i="1"/>
  <c r="BA327" i="1"/>
  <c r="BA380" i="1"/>
  <c r="BA390" i="1"/>
  <c r="V8" i="31"/>
  <c r="V9" i="31" s="1"/>
  <c r="BA387" i="1"/>
  <c r="BA99" i="1"/>
  <c r="BA377" i="1"/>
  <c r="DA377" i="1" s="1"/>
  <c r="BA419" i="1"/>
  <c r="DA381" i="1"/>
  <c r="U32" i="31"/>
  <c r="U33" i="31" s="1"/>
  <c r="AZ463" i="1"/>
  <c r="L32" i="2"/>
  <c r="BA391" i="1" l="1"/>
  <c r="BA389" i="1"/>
  <c r="DA387" i="1"/>
  <c r="DA389" i="1" s="1"/>
  <c r="E32" i="2"/>
  <c r="O7" i="7"/>
  <c r="E6" i="30"/>
  <c r="M44" i="30" s="1"/>
  <c r="H49" i="7"/>
  <c r="K46" i="2"/>
  <c r="K49" i="2" s="1"/>
  <c r="AZ130" i="1"/>
  <c r="AZ500" i="1"/>
  <c r="U40" i="31"/>
  <c r="U41" i="31" s="1"/>
  <c r="L41" i="2"/>
  <c r="BA793" i="1"/>
  <c r="BA454" i="1"/>
  <c r="BA792" i="1"/>
  <c r="L89" i="2" s="1"/>
  <c r="BA426" i="1"/>
  <c r="BA794" i="1"/>
  <c r="L91" i="2" s="1"/>
  <c r="L33" i="2"/>
  <c r="AZ493" i="1"/>
  <c r="U38" i="31"/>
  <c r="V7" i="31"/>
  <c r="DA380" i="1"/>
  <c r="DA391" i="1"/>
  <c r="AW8" i="31"/>
  <c r="AW9" i="31" s="1"/>
  <c r="DA327" i="1"/>
  <c r="DA99" i="1"/>
  <c r="DA419" i="1"/>
  <c r="BB323" i="1"/>
  <c r="L40" i="2" l="1"/>
  <c r="BB322" i="1"/>
  <c r="BB319" i="1"/>
  <c r="BB325" i="1" s="1"/>
  <c r="BB381" i="1"/>
  <c r="BB269" i="1"/>
  <c r="W70" i="31"/>
  <c r="BB81" i="1"/>
  <c r="L90" i="2"/>
  <c r="V71" i="31"/>
  <c r="AZ506" i="1"/>
  <c r="AZ495" i="1"/>
  <c r="AZ515" i="1"/>
  <c r="E7" i="30"/>
  <c r="E10" i="30" s="1"/>
  <c r="O8" i="7"/>
  <c r="E33" i="2"/>
  <c r="AW7" i="31"/>
  <c r="DA793" i="1"/>
  <c r="DA794" i="1"/>
  <c r="E91" i="2" s="1"/>
  <c r="DA426" i="1"/>
  <c r="E41" i="2"/>
  <c r="DA792" i="1"/>
  <c r="E89" i="2" s="1"/>
  <c r="DA454" i="1"/>
  <c r="O15" i="7"/>
  <c r="BA483" i="1"/>
  <c r="BA734" i="1"/>
  <c r="BA761" i="1" s="1"/>
  <c r="L43" i="2"/>
  <c r="L42" i="2" s="1"/>
  <c r="BA461" i="1"/>
  <c r="V19" i="31"/>
  <c r="V20" i="31" s="1"/>
  <c r="BA428" i="1"/>
  <c r="E40" i="2" l="1"/>
  <c r="DA734" i="1"/>
  <c r="DA483" i="1"/>
  <c r="E43" i="2"/>
  <c r="E42" i="2" s="1"/>
  <c r="DA461" i="1"/>
  <c r="E12" i="30"/>
  <c r="M45" i="30"/>
  <c r="BB377" i="1"/>
  <c r="BB391" i="1" s="1"/>
  <c r="BB327" i="1"/>
  <c r="BB419" i="1"/>
  <c r="BB387" i="1"/>
  <c r="BB380" i="1"/>
  <c r="BB390" i="1"/>
  <c r="W8" i="31"/>
  <c r="W9" i="31" s="1"/>
  <c r="BB99" i="1"/>
  <c r="H50" i="7"/>
  <c r="H53" i="7"/>
  <c r="O17" i="7"/>
  <c r="H51" i="7"/>
  <c r="AZ789" i="1"/>
  <c r="K86" i="2" s="1"/>
  <c r="AZ740" i="1"/>
  <c r="AZ766" i="1" s="1"/>
  <c r="AZ525" i="1"/>
  <c r="AZ741" i="1"/>
  <c r="AZ767" i="1" s="1"/>
  <c r="AZ732" i="1"/>
  <c r="AZ730" i="1"/>
  <c r="AZ513" i="1"/>
  <c r="AZ521" i="1"/>
  <c r="AZ620" i="1"/>
  <c r="AZ624" i="1" s="1"/>
  <c r="AZ629" i="1" s="1"/>
  <c r="AZ787" i="1"/>
  <c r="K84" i="2" s="1"/>
  <c r="U44" i="31"/>
  <c r="U47" i="31" s="1"/>
  <c r="U48" i="31" s="1"/>
  <c r="AZ788" i="1"/>
  <c r="AZ136" i="1"/>
  <c r="AZ838" i="1" s="1"/>
  <c r="BA463" i="1"/>
  <c r="V32" i="31"/>
  <c r="V33" i="31" s="1"/>
  <c r="AW71" i="31"/>
  <c r="E90" i="2"/>
  <c r="AZ509" i="1"/>
  <c r="L45" i="2"/>
  <c r="L44" i="2" s="1"/>
  <c r="BA497" i="1"/>
  <c r="BA490" i="1"/>
  <c r="AW19" i="31"/>
  <c r="AW20" i="31" s="1"/>
  <c r="DA428" i="1"/>
  <c r="BC323" i="1"/>
  <c r="L46" i="2" l="1"/>
  <c r="L49" i="2" s="1"/>
  <c r="V40" i="31"/>
  <c r="BA500" i="1"/>
  <c r="BA130" i="1"/>
  <c r="DA497" i="1"/>
  <c r="K16" i="2"/>
  <c r="K52" i="2"/>
  <c r="K50" i="2" s="1"/>
  <c r="AZ733" i="1"/>
  <c r="U55" i="31"/>
  <c r="AZ760" i="1"/>
  <c r="W7" i="31"/>
  <c r="E14" i="30"/>
  <c r="M21" i="30"/>
  <c r="BA493" i="1"/>
  <c r="V38" i="31"/>
  <c r="BB389" i="1"/>
  <c r="AW32" i="31"/>
  <c r="AW33" i="31" s="1"/>
  <c r="DA463" i="1"/>
  <c r="BB426" i="1"/>
  <c r="BB454" i="1"/>
  <c r="BB792" i="1"/>
  <c r="BB794" i="1"/>
  <c r="BB793" i="1"/>
  <c r="W71" i="31" s="1"/>
  <c r="AZ137" i="1"/>
  <c r="AZ510" i="1"/>
  <c r="AZ676" i="1"/>
  <c r="AZ729" i="1"/>
  <c r="U51" i="31"/>
  <c r="U50" i="31" s="1"/>
  <c r="AZ728" i="1"/>
  <c r="AZ529" i="1"/>
  <c r="O20" i="7"/>
  <c r="H15" i="7"/>
  <c r="DA490" i="1"/>
  <c r="E45" i="2"/>
  <c r="E44" i="2" s="1"/>
  <c r="BC319" i="1"/>
  <c r="BC325" i="1" s="1"/>
  <c r="BC81" i="1"/>
  <c r="BC322" i="1"/>
  <c r="X70" i="31"/>
  <c r="BC381" i="1"/>
  <c r="BC269" i="1"/>
  <c r="K112" i="2"/>
  <c r="K15" i="2"/>
  <c r="DA761" i="1"/>
  <c r="H16" i="7"/>
  <c r="C123" i="2"/>
  <c r="U72" i="31"/>
  <c r="K85" i="2"/>
  <c r="AZ759" i="1"/>
  <c r="AZ840" i="1"/>
  <c r="K114" i="2" s="1"/>
  <c r="AZ731" i="1"/>
  <c r="U54" i="31"/>
  <c r="DB323" i="1"/>
  <c r="V41" i="31" l="1"/>
  <c r="BB428" i="1"/>
  <c r="W19" i="31"/>
  <c r="W20" i="31" s="1"/>
  <c r="K53" i="2"/>
  <c r="K18" i="2"/>
  <c r="BC387" i="1"/>
  <c r="BC419" i="1"/>
  <c r="BC377" i="1"/>
  <c r="DB377" i="1" s="1"/>
  <c r="BC327" i="1"/>
  <c r="BC390" i="1"/>
  <c r="X8" i="31"/>
  <c r="X9" i="31" s="1"/>
  <c r="BC99" i="1"/>
  <c r="BC380" i="1"/>
  <c r="DB381" i="1"/>
  <c r="AW38" i="31"/>
  <c r="DA493" i="1"/>
  <c r="DA129" i="1"/>
  <c r="E46" i="2"/>
  <c r="E49" i="2" s="1"/>
  <c r="AW40" i="31"/>
  <c r="O21" i="7"/>
  <c r="H54" i="7" s="1"/>
  <c r="DA130" i="1"/>
  <c r="K19" i="2"/>
  <c r="K17" i="2"/>
  <c r="BA506" i="1"/>
  <c r="BA495" i="1"/>
  <c r="BA515" i="1"/>
  <c r="DA500" i="1"/>
  <c r="AX70" i="31"/>
  <c r="DB319" i="1"/>
  <c r="DB325" i="1" s="1"/>
  <c r="DB269" i="1"/>
  <c r="DB322" i="1"/>
  <c r="DB81" i="1"/>
  <c r="AZ757" i="1"/>
  <c r="H17" i="7"/>
  <c r="H40" i="7"/>
  <c r="AZ534" i="1"/>
  <c r="AZ758" i="1"/>
  <c r="AZ839" i="1"/>
  <c r="BB483" i="1"/>
  <c r="BB461" i="1"/>
  <c r="BB734" i="1"/>
  <c r="BB761" i="1" s="1"/>
  <c r="BC391" i="1" l="1"/>
  <c r="AW41" i="31"/>
  <c r="AZ538" i="1"/>
  <c r="DA495" i="1"/>
  <c r="E15" i="30" s="1"/>
  <c r="DA515" i="1"/>
  <c r="O24" i="7"/>
  <c r="W32" i="31"/>
  <c r="W33" i="31" s="1"/>
  <c r="BB463" i="1"/>
  <c r="BA741" i="1"/>
  <c r="BA767" i="1" s="1"/>
  <c r="BA525" i="1"/>
  <c r="BA620" i="1"/>
  <c r="BA740" i="1"/>
  <c r="BA766" i="1" s="1"/>
  <c r="BA521" i="1"/>
  <c r="BA789" i="1"/>
  <c r="L86" i="2" s="1"/>
  <c r="BA787" i="1"/>
  <c r="L84" i="2" s="1"/>
  <c r="BA730" i="1"/>
  <c r="BA136" i="1"/>
  <c r="BA838" i="1" s="1"/>
  <c r="V44" i="31"/>
  <c r="V47" i="31" s="1"/>
  <c r="V48" i="31" s="1"/>
  <c r="BA788" i="1"/>
  <c r="BA513" i="1"/>
  <c r="BA732" i="1"/>
  <c r="DA136" i="1"/>
  <c r="X7" i="31"/>
  <c r="DB380" i="1"/>
  <c r="BC454" i="1"/>
  <c r="BC793" i="1"/>
  <c r="X71" i="31" s="1"/>
  <c r="BC794" i="1"/>
  <c r="BC426" i="1"/>
  <c r="BC792" i="1"/>
  <c r="BB497" i="1"/>
  <c r="BB490" i="1"/>
  <c r="BC389" i="1"/>
  <c r="DB387" i="1"/>
  <c r="DB389" i="1" s="1"/>
  <c r="I49" i="7"/>
  <c r="F32" i="2"/>
  <c r="P7" i="7"/>
  <c r="F6" i="30"/>
  <c r="N44" i="30" s="1"/>
  <c r="BA509" i="1"/>
  <c r="DA506" i="1"/>
  <c r="DA509" i="1" s="1"/>
  <c r="DB327" i="1"/>
  <c r="DB391" i="1"/>
  <c r="DB99" i="1"/>
  <c r="AX8" i="31"/>
  <c r="AX9" i="31" s="1"/>
  <c r="DB419" i="1"/>
  <c r="BD323" i="1" l="1"/>
  <c r="BB500" i="1"/>
  <c r="W40" i="31"/>
  <c r="BB130" i="1"/>
  <c r="X19" i="31"/>
  <c r="X20" i="31" s="1"/>
  <c r="BC428" i="1"/>
  <c r="M47" i="30"/>
  <c r="E17" i="30"/>
  <c r="BA733" i="1"/>
  <c r="V55" i="31"/>
  <c r="L16" i="2"/>
  <c r="BA760" i="1"/>
  <c r="L52" i="2"/>
  <c r="L50" i="2" s="1"/>
  <c r="DA838" i="1"/>
  <c r="H31" i="7"/>
  <c r="L85" i="2"/>
  <c r="V72" i="31"/>
  <c r="DA521" i="1"/>
  <c r="BA137" i="1"/>
  <c r="BA510" i="1"/>
  <c r="W38" i="31"/>
  <c r="BB493" i="1"/>
  <c r="AX7" i="31"/>
  <c r="L112" i="2"/>
  <c r="DA620" i="1"/>
  <c r="DA788" i="1"/>
  <c r="DA789" i="1"/>
  <c r="DA513" i="1"/>
  <c r="DA730" i="1"/>
  <c r="DA787" i="1"/>
  <c r="DA732" i="1"/>
  <c r="DA741" i="1"/>
  <c r="DA767" i="1" s="1"/>
  <c r="AW44" i="31"/>
  <c r="AW47" i="31" s="1"/>
  <c r="AW48" i="31" s="1"/>
  <c r="DA740" i="1"/>
  <c r="DA766" i="1" s="1"/>
  <c r="BA731" i="1"/>
  <c r="BA759" i="1"/>
  <c r="V54" i="31"/>
  <c r="BA840" i="1"/>
  <c r="L114" i="2" s="1"/>
  <c r="BA728" i="1"/>
  <c r="V51" i="31"/>
  <c r="V50" i="31" s="1"/>
  <c r="BA729" i="1"/>
  <c r="DA525" i="1"/>
  <c r="BA676" i="1"/>
  <c r="L15" i="2"/>
  <c r="F33" i="2"/>
  <c r="F7" i="30"/>
  <c r="F10" i="30" s="1"/>
  <c r="P8" i="7"/>
  <c r="DB454" i="1"/>
  <c r="DB792" i="1"/>
  <c r="F89" i="2" s="1"/>
  <c r="DB794" i="1"/>
  <c r="F91" i="2" s="1"/>
  <c r="P15" i="7"/>
  <c r="DB426" i="1"/>
  <c r="F41" i="2"/>
  <c r="DB793" i="1"/>
  <c r="BC483" i="1"/>
  <c r="BC734" i="1"/>
  <c r="BC761" i="1" s="1"/>
  <c r="BC461" i="1"/>
  <c r="H18" i="7"/>
  <c r="H19" i="7" s="1"/>
  <c r="O28" i="7"/>
  <c r="H24" i="7" s="1"/>
  <c r="H25" i="7" s="1"/>
  <c r="AZ541" i="1"/>
  <c r="BA526" i="1"/>
  <c r="U63" i="31"/>
  <c r="BA533" i="1"/>
  <c r="AZ531" i="1"/>
  <c r="AZ742" i="1"/>
  <c r="AZ743" i="1"/>
  <c r="AZ701" i="1"/>
  <c r="W41" i="31" l="1"/>
  <c r="F40" i="2"/>
  <c r="AZ769" i="1"/>
  <c r="X32" i="31"/>
  <c r="X33" i="31" s="1"/>
  <c r="BC463" i="1"/>
  <c r="F90" i="2"/>
  <c r="AX71" i="31"/>
  <c r="N45" i="30"/>
  <c r="F12" i="30"/>
  <c r="E52" i="2"/>
  <c r="E50" i="2" s="1"/>
  <c r="DA733" i="1"/>
  <c r="E16" i="2"/>
  <c r="C122" i="2"/>
  <c r="DA760" i="1"/>
  <c r="E43" i="30"/>
  <c r="E44" i="30" s="1"/>
  <c r="H22" i="7"/>
  <c r="AW55" i="31"/>
  <c r="BA839" i="1"/>
  <c r="DA137" i="1"/>
  <c r="E51" i="30"/>
  <c r="E112" i="2"/>
  <c r="DA676" i="1"/>
  <c r="H61" i="7"/>
  <c r="E84" i="2"/>
  <c r="BB495" i="1"/>
  <c r="BB506" i="1"/>
  <c r="BB515" i="1"/>
  <c r="K23" i="2"/>
  <c r="AZ768" i="1"/>
  <c r="BA675" i="1"/>
  <c r="DA526" i="1"/>
  <c r="BA621" i="1"/>
  <c r="AX19" i="31"/>
  <c r="AX20" i="31" s="1"/>
  <c r="DB428" i="1"/>
  <c r="DB734" i="1"/>
  <c r="F43" i="2"/>
  <c r="F42" i="2" s="1"/>
  <c r="DB461" i="1"/>
  <c r="DB483" i="1"/>
  <c r="AW51" i="31"/>
  <c r="AW50" i="31" s="1"/>
  <c r="DA729" i="1"/>
  <c r="DA728" i="1"/>
  <c r="BA758" i="1"/>
  <c r="H20" i="7"/>
  <c r="H21" i="7" s="1"/>
  <c r="E41" i="30"/>
  <c r="DA840" i="1"/>
  <c r="E114" i="2" s="1"/>
  <c r="DA731" i="1"/>
  <c r="DA759" i="1"/>
  <c r="AW54" i="31"/>
  <c r="BD322" i="1"/>
  <c r="BD269" i="1"/>
  <c r="BD81" i="1"/>
  <c r="BD381" i="1"/>
  <c r="Y70" i="31"/>
  <c r="BD319" i="1"/>
  <c r="BD325" i="1" s="1"/>
  <c r="AZ671" i="1"/>
  <c r="AZ550" i="1"/>
  <c r="AZ564" i="1" s="1"/>
  <c r="AZ674" i="1"/>
  <c r="AZ673" i="1"/>
  <c r="R18" i="16"/>
  <c r="E15" i="2"/>
  <c r="L18" i="2"/>
  <c r="L53" i="2"/>
  <c r="AZ702" i="1"/>
  <c r="AZ785" i="1" s="1"/>
  <c r="AZ700" i="1"/>
  <c r="AZ783" i="1"/>
  <c r="AZ782" i="1"/>
  <c r="K81" i="2" s="1"/>
  <c r="BC497" i="1"/>
  <c r="BC490" i="1"/>
  <c r="I53" i="7"/>
  <c r="P17" i="7"/>
  <c r="I50" i="7"/>
  <c r="I51" i="7"/>
  <c r="BA529" i="1"/>
  <c r="BA757" i="1"/>
  <c r="H63" i="7"/>
  <c r="E86" i="2"/>
  <c r="M37" i="30"/>
  <c r="E20" i="30"/>
  <c r="M36" i="30"/>
  <c r="R16" i="16"/>
  <c r="AW72" i="31"/>
  <c r="E85" i="2"/>
  <c r="H59" i="7"/>
  <c r="L17" i="2"/>
  <c r="L19" i="2"/>
  <c r="DA510" i="1"/>
  <c r="BE323" i="1"/>
  <c r="BE322" i="1" l="1"/>
  <c r="BE319" i="1"/>
  <c r="BE325" i="1" s="1"/>
  <c r="BE269" i="1"/>
  <c r="BE81" i="1"/>
  <c r="BE381" i="1"/>
  <c r="Z70" i="31"/>
  <c r="BC130" i="1"/>
  <c r="BC500" i="1"/>
  <c r="X40" i="31"/>
  <c r="DB497" i="1"/>
  <c r="AX32" i="31"/>
  <c r="AX33" i="31" s="1"/>
  <c r="DB463" i="1"/>
  <c r="M41" i="30"/>
  <c r="M42" i="30"/>
  <c r="K83" i="2"/>
  <c r="AZ841" i="1"/>
  <c r="K115" i="2" s="1"/>
  <c r="E47" i="30"/>
  <c r="E48" i="30" s="1"/>
  <c r="DA758" i="1"/>
  <c r="BA534" i="1"/>
  <c r="DA529" i="1"/>
  <c r="K82" i="2"/>
  <c r="U73" i="31"/>
  <c r="U74" i="31" s="1"/>
  <c r="AZ672" i="1"/>
  <c r="DA621" i="1"/>
  <c r="DA624" i="1" s="1"/>
  <c r="DA629" i="1" s="1"/>
  <c r="BA261" i="1"/>
  <c r="BA624" i="1"/>
  <c r="BA629" i="1" s="1"/>
  <c r="AZ567" i="1"/>
  <c r="BB732" i="1"/>
  <c r="BB730" i="1"/>
  <c r="W44" i="31"/>
  <c r="W47" i="31" s="1"/>
  <c r="W48" i="31" s="1"/>
  <c r="BB788" i="1"/>
  <c r="W72" i="31" s="1"/>
  <c r="BB525" i="1"/>
  <c r="BB787" i="1"/>
  <c r="BB620" i="1"/>
  <c r="BB136" i="1"/>
  <c r="BB838" i="1" s="1"/>
  <c r="BB741" i="1"/>
  <c r="BB767" i="1" s="1"/>
  <c r="BB789" i="1"/>
  <c r="BB513" i="1"/>
  <c r="BB740" i="1"/>
  <c r="BB766" i="1" s="1"/>
  <c r="BB521" i="1"/>
  <c r="E53" i="2"/>
  <c r="E18" i="2"/>
  <c r="X38" i="31"/>
  <c r="BC493" i="1"/>
  <c r="M20" i="30"/>
  <c r="E42" i="30"/>
  <c r="DA757" i="1"/>
  <c r="E45" i="30"/>
  <c r="E46" i="30" s="1"/>
  <c r="H26" i="7"/>
  <c r="H27" i="7" s="1"/>
  <c r="D123" i="2"/>
  <c r="E123" i="2" s="1"/>
  <c r="DB761" i="1"/>
  <c r="I16" i="7"/>
  <c r="DA675" i="1"/>
  <c r="AZ699" i="1"/>
  <c r="Y8" i="31"/>
  <c r="Y9" i="31" s="1"/>
  <c r="BD390" i="1"/>
  <c r="BD380" i="1"/>
  <c r="BD377" i="1"/>
  <c r="BD391" i="1" s="1"/>
  <c r="BD99" i="1"/>
  <c r="BD387" i="1"/>
  <c r="BD419" i="1"/>
  <c r="BD327" i="1"/>
  <c r="H39" i="7"/>
  <c r="H23" i="7"/>
  <c r="E17" i="2"/>
  <c r="E19" i="2"/>
  <c r="R19" i="16"/>
  <c r="R21" i="16"/>
  <c r="H32" i="7"/>
  <c r="DA839" i="1"/>
  <c r="E113" i="2" s="1"/>
  <c r="DA131" i="1"/>
  <c r="I15" i="7"/>
  <c r="P20" i="7"/>
  <c r="F45" i="2"/>
  <c r="F44" i="2" s="1"/>
  <c r="DB490" i="1"/>
  <c r="BB509" i="1"/>
  <c r="F14" i="30"/>
  <c r="N21" i="30"/>
  <c r="DC323" i="1"/>
  <c r="AX38" i="31" l="1"/>
  <c r="DB493" i="1"/>
  <c r="AZ599" i="1"/>
  <c r="AZ604" i="1" s="1"/>
  <c r="AZ589" i="1"/>
  <c r="BD426" i="1"/>
  <c r="BD794" i="1"/>
  <c r="BD792" i="1"/>
  <c r="BD454" i="1"/>
  <c r="BD793" i="1"/>
  <c r="Y71" i="31" s="1"/>
  <c r="BE327" i="1"/>
  <c r="BE419" i="1"/>
  <c r="BE380" i="1"/>
  <c r="BE390" i="1"/>
  <c r="BE99" i="1"/>
  <c r="BE377" i="1"/>
  <c r="DC377" i="1" s="1"/>
  <c r="BE387" i="1"/>
  <c r="BE389" i="1" s="1"/>
  <c r="Z8" i="31"/>
  <c r="Z9" i="31" s="1"/>
  <c r="BB510" i="1"/>
  <c r="BB137" i="1"/>
  <c r="BD389" i="1"/>
  <c r="X41" i="31"/>
  <c r="BB840" i="1"/>
  <c r="BB759" i="1"/>
  <c r="W54" i="31"/>
  <c r="BB731" i="1"/>
  <c r="BC506" i="1"/>
  <c r="BC495" i="1"/>
  <c r="BC515" i="1"/>
  <c r="DB500" i="1"/>
  <c r="AZ704" i="1"/>
  <c r="BB760" i="1"/>
  <c r="W55" i="31"/>
  <c r="BB733" i="1"/>
  <c r="BA260" i="1"/>
  <c r="DA260" i="1" s="1"/>
  <c r="DA261" i="1" s="1"/>
  <c r="DA534" i="1"/>
  <c r="DA538" i="1" s="1"/>
  <c r="BA538" i="1"/>
  <c r="W51" i="31"/>
  <c r="W50" i="31" s="1"/>
  <c r="BB729" i="1"/>
  <c r="BB728" i="1"/>
  <c r="BB676" i="1"/>
  <c r="I40" i="7"/>
  <c r="I17" i="7"/>
  <c r="DC319" i="1"/>
  <c r="DC325" i="1" s="1"/>
  <c r="DC81" i="1"/>
  <c r="DC269" i="1"/>
  <c r="AY70" i="31"/>
  <c r="DC322" i="1"/>
  <c r="DC381" i="1"/>
  <c r="Y7" i="31"/>
  <c r="DC380" i="1"/>
  <c r="AZ568" i="1"/>
  <c r="AZ587" i="1" s="1"/>
  <c r="F46" i="2"/>
  <c r="F49" i="2" s="1"/>
  <c r="AX40" i="31"/>
  <c r="AX41" i="31" s="1"/>
  <c r="DB130" i="1"/>
  <c r="DB129" i="1"/>
  <c r="P21" i="7"/>
  <c r="I54" i="7" s="1"/>
  <c r="BB839" i="1" l="1"/>
  <c r="BD461" i="1"/>
  <c r="BD734" i="1"/>
  <c r="BD761" i="1" s="1"/>
  <c r="BD483" i="1"/>
  <c r="BC525" i="1"/>
  <c r="BC620" i="1"/>
  <c r="BC788" i="1"/>
  <c r="X72" i="31" s="1"/>
  <c r="BC521" i="1"/>
  <c r="X44" i="31"/>
  <c r="X47" i="31" s="1"/>
  <c r="X48" i="31" s="1"/>
  <c r="BC741" i="1"/>
  <c r="BC767" i="1" s="1"/>
  <c r="BC787" i="1"/>
  <c r="BC513" i="1"/>
  <c r="BC789" i="1"/>
  <c r="BC740" i="1"/>
  <c r="BC766" i="1" s="1"/>
  <c r="BC732" i="1"/>
  <c r="BC730" i="1"/>
  <c r="BC136" i="1"/>
  <c r="BC838" i="1" s="1"/>
  <c r="DB136" i="1"/>
  <c r="DC387" i="1"/>
  <c r="DC389" i="1" s="1"/>
  <c r="BE391" i="1"/>
  <c r="DC99" i="1"/>
  <c r="DC327" i="1"/>
  <c r="AY8" i="31"/>
  <c r="AY9" i="31" s="1"/>
  <c r="DC419" i="1"/>
  <c r="DC391" i="1"/>
  <c r="DB533" i="1"/>
  <c r="DA743" i="1"/>
  <c r="DA541" i="1"/>
  <c r="AW63" i="31"/>
  <c r="DA742" i="1"/>
  <c r="O53" i="7"/>
  <c r="R23" i="16"/>
  <c r="DA531" i="1"/>
  <c r="BC509" i="1"/>
  <c r="DB506" i="1"/>
  <c r="DB509" i="1" s="1"/>
  <c r="Z7" i="31"/>
  <c r="Y19" i="31"/>
  <c r="Y20" i="31" s="1"/>
  <c r="BD428" i="1"/>
  <c r="AY7" i="31"/>
  <c r="DB495" i="1"/>
  <c r="F15" i="30" s="1"/>
  <c r="DB515" i="1"/>
  <c r="AZ590" i="1"/>
  <c r="AZ836" i="1"/>
  <c r="AZ607" i="1"/>
  <c r="BB757" i="1"/>
  <c r="BB758" i="1"/>
  <c r="V63" i="31"/>
  <c r="BA743" i="1"/>
  <c r="BB526" i="1"/>
  <c r="BB533" i="1"/>
  <c r="BA541" i="1"/>
  <c r="BA742" i="1"/>
  <c r="BA531" i="1"/>
  <c r="BA701" i="1"/>
  <c r="G32" i="2"/>
  <c r="J49" i="7"/>
  <c r="Q7" i="7"/>
  <c r="G6" i="30"/>
  <c r="O44" i="30" s="1"/>
  <c r="P24" i="7"/>
  <c r="BE793" i="1"/>
  <c r="Z71" i="31" s="1"/>
  <c r="BE794" i="1"/>
  <c r="BE792" i="1"/>
  <c r="BE426" i="1"/>
  <c r="BE454" i="1"/>
  <c r="BF323" i="1"/>
  <c r="BC510" i="1" l="1"/>
  <c r="BA702" i="1"/>
  <c r="BA785" i="1" s="1"/>
  <c r="BA700" i="1"/>
  <c r="BA783" i="1"/>
  <c r="BA782" i="1"/>
  <c r="L81" i="2" s="1"/>
  <c r="DA701" i="1"/>
  <c r="BA550" i="1"/>
  <c r="BA564" i="1" s="1"/>
  <c r="BA567" i="1" s="1"/>
  <c r="BA671" i="1"/>
  <c r="BA674" i="1"/>
  <c r="BA673" i="1"/>
  <c r="BA769" i="1"/>
  <c r="AZ834" i="1"/>
  <c r="AZ150" i="1"/>
  <c r="AZ591" i="1"/>
  <c r="AZ593" i="1" s="1"/>
  <c r="AZ835" i="1" s="1"/>
  <c r="AZ595" i="1"/>
  <c r="AZ548" i="1"/>
  <c r="BF81" i="1"/>
  <c r="BF319" i="1"/>
  <c r="BF325" i="1" s="1"/>
  <c r="BF322" i="1"/>
  <c r="AA70" i="31"/>
  <c r="BF269" i="1"/>
  <c r="BF381" i="1"/>
  <c r="BE734" i="1"/>
  <c r="BE761" i="1" s="1"/>
  <c r="BE461" i="1"/>
  <c r="BE483" i="1"/>
  <c r="E53" i="30"/>
  <c r="M22" i="30" s="1"/>
  <c r="E23" i="2"/>
  <c r="DA768" i="1"/>
  <c r="H34" i="7"/>
  <c r="H42" i="7" s="1"/>
  <c r="DB521" i="1"/>
  <c r="Z19" i="31"/>
  <c r="Z20" i="31" s="1"/>
  <c r="BE428" i="1"/>
  <c r="R34" i="16"/>
  <c r="R25" i="16"/>
  <c r="R26" i="16" s="1"/>
  <c r="R37" i="16"/>
  <c r="R30" i="16"/>
  <c r="DA550" i="1"/>
  <c r="O52" i="7"/>
  <c r="DC793" i="1"/>
  <c r="DC794" i="1"/>
  <c r="G91" i="2" s="1"/>
  <c r="G41" i="2"/>
  <c r="Q15" i="7"/>
  <c r="DC426" i="1"/>
  <c r="DC454" i="1"/>
  <c r="DC792" i="1"/>
  <c r="G89" i="2" s="1"/>
  <c r="BD463" i="1"/>
  <c r="Y32" i="31"/>
  <c r="Y33" i="31" s="1"/>
  <c r="DB838" i="1"/>
  <c r="I31" i="7"/>
  <c r="BC760" i="1"/>
  <c r="X55" i="31"/>
  <c r="BC733" i="1"/>
  <c r="DB732" i="1"/>
  <c r="DB741" i="1"/>
  <c r="DB767" i="1" s="1"/>
  <c r="DB789" i="1"/>
  <c r="DB513" i="1"/>
  <c r="DB740" i="1"/>
  <c r="DB766" i="1" s="1"/>
  <c r="DB620" i="1"/>
  <c r="AX44" i="31"/>
  <c r="AX47" i="31" s="1"/>
  <c r="AX48" i="31" s="1"/>
  <c r="DB730" i="1"/>
  <c r="DB788" i="1"/>
  <c r="DB787" i="1"/>
  <c r="Q8" i="7"/>
  <c r="G33" i="2"/>
  <c r="G7" i="30"/>
  <c r="G10" i="30" s="1"/>
  <c r="BD497" i="1"/>
  <c r="BD490" i="1"/>
  <c r="N47" i="30"/>
  <c r="F17" i="30"/>
  <c r="AZ837" i="1"/>
  <c r="P28" i="7"/>
  <c r="I24" i="7" s="1"/>
  <c r="I25" i="7" s="1"/>
  <c r="I18" i="7"/>
  <c r="I19" i="7" s="1"/>
  <c r="BA768" i="1"/>
  <c r="L23" i="2"/>
  <c r="BB621" i="1"/>
  <c r="BB675" i="1"/>
  <c r="BB529" i="1"/>
  <c r="K110" i="2"/>
  <c r="E54" i="30"/>
  <c r="M23" i="30" s="1"/>
  <c r="H33" i="7"/>
  <c r="H41" i="7" s="1"/>
  <c r="D125" i="2"/>
  <c r="E125" i="2" s="1"/>
  <c r="J125" i="2" s="1"/>
  <c r="C148" i="2" s="1"/>
  <c r="DA769" i="1"/>
  <c r="X54" i="31"/>
  <c r="BC759" i="1"/>
  <c r="BC731" i="1"/>
  <c r="BC840" i="1"/>
  <c r="BC676" i="1"/>
  <c r="X51" i="31"/>
  <c r="X50" i="31" s="1"/>
  <c r="BC728" i="1"/>
  <c r="BC729" i="1"/>
  <c r="DB525" i="1"/>
  <c r="BC137" i="1"/>
  <c r="BC757" i="1" l="1"/>
  <c r="N70" i="7"/>
  <c r="Z32" i="31"/>
  <c r="Z33" i="31" s="1"/>
  <c r="BE463" i="1"/>
  <c r="K109" i="2"/>
  <c r="U77" i="31"/>
  <c r="DA673" i="1"/>
  <c r="V73" i="31"/>
  <c r="V74" i="31" s="1"/>
  <c r="L82" i="2"/>
  <c r="N37" i="30"/>
  <c r="N36" i="30"/>
  <c r="F20" i="30"/>
  <c r="I61" i="7"/>
  <c r="F84" i="2"/>
  <c r="F15" i="2"/>
  <c r="S18" i="16"/>
  <c r="F51" i="30"/>
  <c r="F112" i="2"/>
  <c r="DA674" i="1"/>
  <c r="BB534" i="1"/>
  <c r="BD130" i="1"/>
  <c r="Y40" i="31"/>
  <c r="BD500" i="1"/>
  <c r="DC461" i="1"/>
  <c r="DC734" i="1"/>
  <c r="DC483" i="1"/>
  <c r="G43" i="2"/>
  <c r="G42" i="2" s="1"/>
  <c r="BF419" i="1"/>
  <c r="BF377" i="1"/>
  <c r="BF391" i="1" s="1"/>
  <c r="BF387" i="1"/>
  <c r="BF390" i="1"/>
  <c r="BF380" i="1"/>
  <c r="BF327" i="1"/>
  <c r="AA8" i="31"/>
  <c r="AA9" i="31" s="1"/>
  <c r="BF99" i="1"/>
  <c r="DA671" i="1"/>
  <c r="BA699" i="1"/>
  <c r="DA700" i="1"/>
  <c r="AX54" i="31"/>
  <c r="F41" i="30"/>
  <c r="DB759" i="1"/>
  <c r="I20" i="7"/>
  <c r="I21" i="7" s="1"/>
  <c r="DB840" i="1"/>
  <c r="F114" i="2" s="1"/>
  <c r="DB731" i="1"/>
  <c r="AY71" i="31"/>
  <c r="G90" i="2"/>
  <c r="BC758" i="1"/>
  <c r="DB676" i="1"/>
  <c r="AY19" i="31"/>
  <c r="AY20" i="31" s="1"/>
  <c r="DC428" i="1"/>
  <c r="E29" i="30"/>
  <c r="DA564" i="1"/>
  <c r="BE497" i="1"/>
  <c r="DC497" i="1" s="1"/>
  <c r="BE490" i="1"/>
  <c r="E37" i="30"/>
  <c r="O59" i="7"/>
  <c r="O60" i="7" s="1"/>
  <c r="DA702" i="1"/>
  <c r="DA783" i="1"/>
  <c r="DA782" i="1"/>
  <c r="DB728" i="1"/>
  <c r="AX51" i="31"/>
  <c r="AX50" i="31" s="1"/>
  <c r="DB729" i="1"/>
  <c r="G40" i="2"/>
  <c r="F85" i="2"/>
  <c r="I59" i="7"/>
  <c r="AX72" i="31"/>
  <c r="S16" i="16"/>
  <c r="F86" i="2"/>
  <c r="I63" i="7"/>
  <c r="R27" i="16"/>
  <c r="R28" i="16"/>
  <c r="AZ630" i="1"/>
  <c r="AZ786" i="1"/>
  <c r="AZ784" i="1"/>
  <c r="AZ744" i="1"/>
  <c r="BA672" i="1"/>
  <c r="L83" i="2"/>
  <c r="BA841" i="1"/>
  <c r="L115" i="2" s="1"/>
  <c r="BC839" i="1"/>
  <c r="DB137" i="1"/>
  <c r="BB261" i="1"/>
  <c r="BB624" i="1"/>
  <c r="BB629" i="1" s="1"/>
  <c r="U78" i="31"/>
  <c r="K111" i="2"/>
  <c r="Y38" i="31"/>
  <c r="BD493" i="1"/>
  <c r="G12" i="30"/>
  <c r="O45" i="30"/>
  <c r="F16" i="2"/>
  <c r="F52" i="2"/>
  <c r="F50" i="2" s="1"/>
  <c r="AX55" i="31"/>
  <c r="DB733" i="1"/>
  <c r="I22" i="7"/>
  <c r="F43" i="30"/>
  <c r="F44" i="30" s="1"/>
  <c r="D122" i="2"/>
  <c r="DB760" i="1"/>
  <c r="J53" i="7"/>
  <c r="J51" i="7"/>
  <c r="J50" i="7"/>
  <c r="Q17" i="7"/>
  <c r="BA568" i="1"/>
  <c r="BA587" i="1" s="1"/>
  <c r="DA567" i="1"/>
  <c r="BA589" i="1"/>
  <c r="DA589" i="1" s="1"/>
  <c r="BA599" i="1"/>
  <c r="DB510" i="1"/>
  <c r="Y41" i="31" l="1"/>
  <c r="BA604" i="1"/>
  <c r="DA599" i="1"/>
  <c r="DA604" i="1" s="1"/>
  <c r="AW73" i="31"/>
  <c r="AW74" i="31" s="1"/>
  <c r="H58" i="7"/>
  <c r="H60" i="7" s="1"/>
  <c r="H44" i="7"/>
  <c r="E82" i="2"/>
  <c r="F18" i="2"/>
  <c r="F53" i="2"/>
  <c r="DA672" i="1"/>
  <c r="E81" i="2"/>
  <c r="H57" i="7"/>
  <c r="N20" i="30"/>
  <c r="F42" i="30"/>
  <c r="AA7" i="31"/>
  <c r="F19" i="2"/>
  <c r="F17" i="2"/>
  <c r="DB839" i="1"/>
  <c r="F113" i="2" s="1"/>
  <c r="I32" i="7"/>
  <c r="DB131" i="1"/>
  <c r="Q21" i="7"/>
  <c r="DC130" i="1"/>
  <c r="G46" i="2"/>
  <c r="AY40" i="31"/>
  <c r="DC129" i="1"/>
  <c r="N42" i="30"/>
  <c r="N41" i="30"/>
  <c r="DA568" i="1"/>
  <c r="DA587" i="1" s="1"/>
  <c r="DA785" i="1"/>
  <c r="M35" i="30"/>
  <c r="M40" i="30"/>
  <c r="BF389" i="1"/>
  <c r="BD495" i="1"/>
  <c r="BD506" i="1"/>
  <c r="BD515" i="1"/>
  <c r="BB538" i="1"/>
  <c r="BA836" i="1"/>
  <c r="BA590" i="1"/>
  <c r="BA607" i="1"/>
  <c r="E122" i="2"/>
  <c r="O21" i="30"/>
  <c r="G14" i="30"/>
  <c r="DB757" i="1"/>
  <c r="I26" i="7"/>
  <c r="I27" i="7" s="1"/>
  <c r="F45" i="30"/>
  <c r="F46" i="30" s="1"/>
  <c r="Z38" i="31"/>
  <c r="BE493" i="1"/>
  <c r="BA725" i="1"/>
  <c r="BA704" i="1"/>
  <c r="DC490" i="1"/>
  <c r="G45" i="2"/>
  <c r="G44" i="2" s="1"/>
  <c r="J15" i="7"/>
  <c r="Q20" i="7"/>
  <c r="BB260" i="1"/>
  <c r="E38" i="30"/>
  <c r="M34" i="30"/>
  <c r="M39" i="30"/>
  <c r="BE130" i="1"/>
  <c r="Z40" i="31"/>
  <c r="Z41" i="31" s="1"/>
  <c r="BE500" i="1"/>
  <c r="DC500" i="1" s="1"/>
  <c r="BF426" i="1"/>
  <c r="BF793" i="1"/>
  <c r="AA71" i="31" s="1"/>
  <c r="BF454" i="1"/>
  <c r="BF792" i="1"/>
  <c r="BF794" i="1"/>
  <c r="J16" i="7"/>
  <c r="DC761" i="1"/>
  <c r="I39" i="7"/>
  <c r="I23" i="7"/>
  <c r="AZ631" i="1"/>
  <c r="DB758" i="1"/>
  <c r="F47" i="30"/>
  <c r="F48" i="30" s="1"/>
  <c r="DA699" i="1"/>
  <c r="DC463" i="1"/>
  <c r="AY32" i="31"/>
  <c r="AY33" i="31" s="1"/>
  <c r="S21" i="16"/>
  <c r="S19" i="16"/>
  <c r="BG323" i="1"/>
  <c r="J54" i="7" l="1"/>
  <c r="DC495" i="1"/>
  <c r="G15" i="30" s="1"/>
  <c r="O47" i="30" s="1"/>
  <c r="DC515" i="1"/>
  <c r="AB70" i="31"/>
  <c r="BG81" i="1"/>
  <c r="BG319" i="1"/>
  <c r="BG325" i="1" s="1"/>
  <c r="BG269" i="1"/>
  <c r="BG322" i="1"/>
  <c r="BG381" i="1"/>
  <c r="BC533" i="1"/>
  <c r="BB743" i="1"/>
  <c r="BB541" i="1"/>
  <c r="BB742" i="1"/>
  <c r="W63" i="31"/>
  <c r="BB531" i="1"/>
  <c r="BC526" i="1"/>
  <c r="BB701" i="1"/>
  <c r="H62" i="7"/>
  <c r="H45" i="7"/>
  <c r="E83" i="2"/>
  <c r="DA841" i="1"/>
  <c r="E115" i="2" s="1"/>
  <c r="Q24" i="7"/>
  <c r="BA837" i="1"/>
  <c r="BD730" i="1"/>
  <c r="BD788" i="1"/>
  <c r="Y72" i="31" s="1"/>
  <c r="BD741" i="1"/>
  <c r="BD767" i="1" s="1"/>
  <c r="BD513" i="1"/>
  <c r="Y44" i="31"/>
  <c r="Y47" i="31" s="1"/>
  <c r="Y48" i="31" s="1"/>
  <c r="BD521" i="1"/>
  <c r="BD136" i="1"/>
  <c r="BD838" i="1" s="1"/>
  <c r="BD740" i="1"/>
  <c r="BD766" i="1" s="1"/>
  <c r="BD620" i="1"/>
  <c r="BD732" i="1"/>
  <c r="BD525" i="1"/>
  <c r="BD787" i="1"/>
  <c r="BD789" i="1"/>
  <c r="AY38" i="31"/>
  <c r="AY41" i="31" s="1"/>
  <c r="DC493" i="1"/>
  <c r="BA595" i="1"/>
  <c r="BA548" i="1"/>
  <c r="BA150" i="1"/>
  <c r="BA591" i="1"/>
  <c r="DA591" i="1" s="1"/>
  <c r="BA834" i="1"/>
  <c r="BF428" i="1"/>
  <c r="AA19" i="31"/>
  <c r="AA20" i="31" s="1"/>
  <c r="DA704" i="1"/>
  <c r="G17" i="30"/>
  <c r="L110" i="2"/>
  <c r="BD509" i="1"/>
  <c r="BF483" i="1"/>
  <c r="BF461" i="1"/>
  <c r="BF734" i="1"/>
  <c r="BF761" i="1" s="1"/>
  <c r="BE506" i="1"/>
  <c r="BE509" i="1" s="1"/>
  <c r="BE495" i="1"/>
  <c r="BE515" i="1"/>
  <c r="DC136" i="1" s="1"/>
  <c r="DA607" i="1"/>
  <c r="DA590" i="1"/>
  <c r="DA836" i="1"/>
  <c r="AZ639" i="1"/>
  <c r="AZ4" i="1" s="1"/>
  <c r="AZ618" i="1"/>
  <c r="J17" i="7"/>
  <c r="J40" i="7"/>
  <c r="G49" i="2"/>
  <c r="DA593" i="1" l="1"/>
  <c r="DA835" i="1" s="1"/>
  <c r="DC838" i="1"/>
  <c r="J31" i="7"/>
  <c r="BD840" i="1"/>
  <c r="BD759" i="1"/>
  <c r="BD731" i="1"/>
  <c r="Y54" i="31"/>
  <c r="BD729" i="1"/>
  <c r="BD728" i="1"/>
  <c r="Y51" i="31"/>
  <c r="Y50" i="31" s="1"/>
  <c r="BD676" i="1"/>
  <c r="BB700" i="1"/>
  <c r="BB702" i="1"/>
  <c r="BB785" i="1" s="1"/>
  <c r="BB841" i="1" s="1"/>
  <c r="BB783" i="1"/>
  <c r="W73" i="31" s="1"/>
  <c r="W74" i="31" s="1"/>
  <c r="BB782" i="1"/>
  <c r="BB768" i="1"/>
  <c r="Y55" i="31"/>
  <c r="BD760" i="1"/>
  <c r="BD733" i="1"/>
  <c r="V78" i="31"/>
  <c r="L111" i="2"/>
  <c r="E30" i="30"/>
  <c r="E31" i="30" s="1"/>
  <c r="DA548" i="1"/>
  <c r="DA150" i="1"/>
  <c r="DA595" i="1"/>
  <c r="DA834" i="1"/>
  <c r="BA784" i="1"/>
  <c r="BA786" i="1"/>
  <c r="BA744" i="1"/>
  <c r="DA744" i="1" s="1"/>
  <c r="D124" i="2" s="1"/>
  <c r="E124" i="2" s="1"/>
  <c r="BA630" i="1"/>
  <c r="BC621" i="1"/>
  <c r="DB526" i="1"/>
  <c r="BC529" i="1"/>
  <c r="BC675" i="1"/>
  <c r="DA837" i="1"/>
  <c r="DC506" i="1"/>
  <c r="DC509" i="1" s="1"/>
  <c r="BA593" i="1"/>
  <c r="BA835" i="1" s="1"/>
  <c r="BB550" i="1"/>
  <c r="BB564" i="1" s="1"/>
  <c r="BB671" i="1"/>
  <c r="BB674" i="1"/>
  <c r="BB673" i="1"/>
  <c r="AB8" i="31"/>
  <c r="AB9" i="31" s="1"/>
  <c r="BG327" i="1"/>
  <c r="BG377" i="1"/>
  <c r="DD377" i="1" s="1"/>
  <c r="BG390" i="1"/>
  <c r="BG380" i="1"/>
  <c r="BG387" i="1"/>
  <c r="BG419" i="1"/>
  <c r="BG99" i="1"/>
  <c r="DD381" i="1"/>
  <c r="DC789" i="1"/>
  <c r="DC740" i="1"/>
  <c r="DC766" i="1" s="1"/>
  <c r="DC741" i="1"/>
  <c r="DC767" i="1" s="1"/>
  <c r="DC620" i="1"/>
  <c r="DC730" i="1"/>
  <c r="DC787" i="1"/>
  <c r="DC788" i="1"/>
  <c r="DC732" i="1"/>
  <c r="DC513" i="1"/>
  <c r="AY44" i="31"/>
  <c r="AY47" i="31" s="1"/>
  <c r="AY48" i="31" s="1"/>
  <c r="BF490" i="1"/>
  <c r="BF497" i="1"/>
  <c r="BB769" i="1"/>
  <c r="M56" i="30"/>
  <c r="R36" i="16"/>
  <c r="R38" i="16" s="1"/>
  <c r="E110" i="2"/>
  <c r="H81" i="7"/>
  <c r="BE741" i="1"/>
  <c r="BE767" i="1" s="1"/>
  <c r="BE788" i="1"/>
  <c r="Z72" i="31" s="1"/>
  <c r="BE789" i="1"/>
  <c r="BE521" i="1"/>
  <c r="BE620" i="1"/>
  <c r="BE525" i="1"/>
  <c r="DC525" i="1" s="1"/>
  <c r="BE787" i="1"/>
  <c r="BE136" i="1"/>
  <c r="BE838" i="1" s="1"/>
  <c r="BE513" i="1"/>
  <c r="BE740" i="1"/>
  <c r="BE766" i="1" s="1"/>
  <c r="BE732" i="1"/>
  <c r="BE730" i="1"/>
  <c r="Z44" i="31"/>
  <c r="Z47" i="31" s="1"/>
  <c r="Z48" i="31" s="1"/>
  <c r="O36" i="30"/>
  <c r="O37" i="30"/>
  <c r="G20" i="30"/>
  <c r="BF463" i="1"/>
  <c r="AA32" i="31"/>
  <c r="AA33" i="31" s="1"/>
  <c r="BD137" i="1"/>
  <c r="BD510" i="1"/>
  <c r="V77" i="31"/>
  <c r="L109" i="2"/>
  <c r="Q28" i="7"/>
  <c r="J24" i="7" s="1"/>
  <c r="J25" i="7" s="1"/>
  <c r="J18" i="7"/>
  <c r="J19" i="7" s="1"/>
  <c r="DD323" i="1"/>
  <c r="BH323" i="1"/>
  <c r="BG391" i="1" l="1"/>
  <c r="DC510" i="1"/>
  <c r="DC729" i="1"/>
  <c r="AY51" i="31"/>
  <c r="AY50" i="31" s="1"/>
  <c r="DC728" i="1"/>
  <c r="AA38" i="31"/>
  <c r="BF493" i="1"/>
  <c r="T18" i="16"/>
  <c r="G15" i="2"/>
  <c r="BD757" i="1"/>
  <c r="BB672" i="1"/>
  <c r="M57" i="30"/>
  <c r="AW78" i="31"/>
  <c r="E111" i="2"/>
  <c r="H82" i="7"/>
  <c r="BC624" i="1"/>
  <c r="BC629" i="1" s="1"/>
  <c r="DB621" i="1"/>
  <c r="DB624" i="1" s="1"/>
  <c r="DB629" i="1" s="1"/>
  <c r="BC261" i="1"/>
  <c r="J59" i="7"/>
  <c r="G85" i="2"/>
  <c r="AY72" i="31"/>
  <c r="T16" i="16"/>
  <c r="BG454" i="1"/>
  <c r="BG794" i="1"/>
  <c r="BG792" i="1"/>
  <c r="BG426" i="1"/>
  <c r="BG793" i="1"/>
  <c r="AB71" i="31" s="1"/>
  <c r="BF130" i="1"/>
  <c r="AA40" i="31"/>
  <c r="BF500" i="1"/>
  <c r="G86" i="2"/>
  <c r="J63" i="7"/>
  <c r="BG389" i="1"/>
  <c r="DD387" i="1"/>
  <c r="DD389" i="1" s="1"/>
  <c r="BB567" i="1"/>
  <c r="BB568" i="1" s="1"/>
  <c r="BB587" i="1" s="1"/>
  <c r="BD758" i="1"/>
  <c r="BH381" i="1"/>
  <c r="BH81" i="1"/>
  <c r="BH322" i="1"/>
  <c r="BH269" i="1"/>
  <c r="BH319" i="1"/>
  <c r="BH325" i="1" s="1"/>
  <c r="AC70" i="31"/>
  <c r="DC521" i="1"/>
  <c r="J20" i="7"/>
  <c r="J21" i="7" s="1"/>
  <c r="DC759" i="1"/>
  <c r="DC731" i="1"/>
  <c r="G41" i="30"/>
  <c r="DC840" i="1"/>
  <c r="G114" i="2" s="1"/>
  <c r="AY54" i="31"/>
  <c r="DD327" i="1"/>
  <c r="AZ8" i="31"/>
  <c r="AZ9" i="31" s="1"/>
  <c r="DD391" i="1"/>
  <c r="DD99" i="1"/>
  <c r="DD419" i="1"/>
  <c r="AB7" i="31"/>
  <c r="DD380" i="1"/>
  <c r="DB675" i="1"/>
  <c r="BB699" i="1"/>
  <c r="BE733" i="1"/>
  <c r="Z55" i="31"/>
  <c r="BE760" i="1"/>
  <c r="Z51" i="31"/>
  <c r="Z50" i="31" s="1"/>
  <c r="BE728" i="1"/>
  <c r="BE729" i="1"/>
  <c r="BE510" i="1"/>
  <c r="BA631" i="1"/>
  <c r="DA630" i="1"/>
  <c r="DA631" i="1" s="1"/>
  <c r="DA786" i="1"/>
  <c r="DA784" i="1"/>
  <c r="DD322" i="1"/>
  <c r="DD269" i="1"/>
  <c r="DD81" i="1"/>
  <c r="DD319" i="1"/>
  <c r="DD325" i="1" s="1"/>
  <c r="AZ70" i="31"/>
  <c r="G52" i="2"/>
  <c r="G50" i="2" s="1"/>
  <c r="DC760" i="1"/>
  <c r="G16" i="2"/>
  <c r="J22" i="7"/>
  <c r="AY55" i="31"/>
  <c r="DC733" i="1"/>
  <c r="G43" i="30"/>
  <c r="G44" i="30" s="1"/>
  <c r="BD839" i="1"/>
  <c r="BE137" i="1"/>
  <c r="O41" i="30"/>
  <c r="O42" i="30"/>
  <c r="G84" i="2"/>
  <c r="J61" i="7"/>
  <c r="BE731" i="1"/>
  <c r="BE840" i="1"/>
  <c r="BE759" i="1"/>
  <c r="Z54" i="31"/>
  <c r="BC534" i="1"/>
  <c r="DB529" i="1"/>
  <c r="H80" i="7"/>
  <c r="AW77" i="31"/>
  <c r="E109" i="2"/>
  <c r="M55" i="30"/>
  <c r="BE676" i="1"/>
  <c r="G112" i="2"/>
  <c r="G51" i="30"/>
  <c r="BC260" i="1" l="1"/>
  <c r="DB260" i="1" s="1"/>
  <c r="DB261" i="1" s="1"/>
  <c r="BE839" i="1"/>
  <c r="DC137" i="1"/>
  <c r="BB725" i="1"/>
  <c r="BB704" i="1"/>
  <c r="AZ7" i="31"/>
  <c r="DD426" i="1"/>
  <c r="DD792" i="1"/>
  <c r="DD454" i="1"/>
  <c r="DD794" i="1"/>
  <c r="DD793" i="1"/>
  <c r="AZ71" i="31" s="1"/>
  <c r="BB836" i="1"/>
  <c r="DC758" i="1"/>
  <c r="G47" i="30"/>
  <c r="G48" i="30" s="1"/>
  <c r="G19" i="2"/>
  <c r="G17" i="2"/>
  <c r="DA639" i="1"/>
  <c r="DA618" i="1"/>
  <c r="BE758" i="1"/>
  <c r="BB589" i="1"/>
  <c r="BB590" i="1" s="1"/>
  <c r="BB599" i="1"/>
  <c r="BB604" i="1" s="1"/>
  <c r="BF495" i="1"/>
  <c r="BF506" i="1"/>
  <c r="BF515" i="1"/>
  <c r="BE757" i="1"/>
  <c r="O20" i="30"/>
  <c r="G42" i="30"/>
  <c r="T21" i="16"/>
  <c r="T19" i="16"/>
  <c r="G53" i="2"/>
  <c r="G18" i="2"/>
  <c r="BG428" i="1"/>
  <c r="AB19" i="31"/>
  <c r="AB20" i="31" s="1"/>
  <c r="DC676" i="1"/>
  <c r="J39" i="7"/>
  <c r="J23" i="7"/>
  <c r="DB534" i="1"/>
  <c r="DB538" i="1" s="1"/>
  <c r="BC538" i="1"/>
  <c r="BA618" i="1"/>
  <c r="BA639" i="1"/>
  <c r="BA4" i="1" s="1"/>
  <c r="BH380" i="1"/>
  <c r="BH99" i="1"/>
  <c r="BH390" i="1"/>
  <c r="BH387" i="1"/>
  <c r="BH377" i="1"/>
  <c r="BH391" i="1" s="1"/>
  <c r="BH327" i="1"/>
  <c r="AC8" i="31"/>
  <c r="AC9" i="31" s="1"/>
  <c r="BH419" i="1"/>
  <c r="AA41" i="31"/>
  <c r="BG734" i="1"/>
  <c r="BG761" i="1" s="1"/>
  <c r="BG461" i="1"/>
  <c r="BG483" i="1"/>
  <c r="G45" i="30"/>
  <c r="G46" i="30" s="1"/>
  <c r="DC757" i="1"/>
  <c r="J26" i="7"/>
  <c r="J27" i="7" s="1"/>
  <c r="BI323" i="1"/>
  <c r="BB607" i="1" l="1"/>
  <c r="AB32" i="31"/>
  <c r="AB33" i="31" s="1"/>
  <c r="BG463" i="1"/>
  <c r="BB591" i="1"/>
  <c r="BB593" i="1" s="1"/>
  <c r="BB835" i="1" s="1"/>
  <c r="BB150" i="1"/>
  <c r="BB595" i="1"/>
  <c r="BB834" i="1"/>
  <c r="BB548" i="1"/>
  <c r="AZ19" i="31"/>
  <c r="AZ20" i="31" s="1"/>
  <c r="DD428" i="1"/>
  <c r="BG490" i="1"/>
  <c r="BG497" i="1"/>
  <c r="BH389" i="1"/>
  <c r="BB837" i="1"/>
  <c r="DD483" i="1"/>
  <c r="DD734" i="1"/>
  <c r="DD761" i="1" s="1"/>
  <c r="DD461" i="1"/>
  <c r="DC839" i="1"/>
  <c r="G113" i="2" s="1"/>
  <c r="J32" i="7"/>
  <c r="DC131" i="1"/>
  <c r="AC7" i="31"/>
  <c r="BF509" i="1"/>
  <c r="BC541" i="1"/>
  <c r="X63" i="31"/>
  <c r="BD533" i="1"/>
  <c r="BC742" i="1"/>
  <c r="BC531" i="1"/>
  <c r="BC743" i="1"/>
  <c r="BD526" i="1"/>
  <c r="BC701" i="1"/>
  <c r="AX63" i="31"/>
  <c r="S23" i="16"/>
  <c r="DC533" i="1"/>
  <c r="DB742" i="1"/>
  <c r="DB743" i="1"/>
  <c r="DB531" i="1"/>
  <c r="DB541" i="1"/>
  <c r="P53" i="7"/>
  <c r="BI81" i="1"/>
  <c r="BI322" i="1"/>
  <c r="BI319" i="1"/>
  <c r="BI325" i="1" s="1"/>
  <c r="BJ323" i="1"/>
  <c r="AD70" i="31"/>
  <c r="BI269" i="1"/>
  <c r="BI381" i="1"/>
  <c r="BH793" i="1"/>
  <c r="AC71" i="31" s="1"/>
  <c r="BH792" i="1"/>
  <c r="BH794" i="1"/>
  <c r="BH454" i="1"/>
  <c r="BH426" i="1"/>
  <c r="BF521" i="1"/>
  <c r="AA44" i="31"/>
  <c r="AA47" i="31" s="1"/>
  <c r="AA48" i="31" s="1"/>
  <c r="BF730" i="1"/>
  <c r="BF788" i="1"/>
  <c r="AA72" i="31" s="1"/>
  <c r="BF525" i="1"/>
  <c r="BF740" i="1"/>
  <c r="BF766" i="1" s="1"/>
  <c r="BF741" i="1"/>
  <c r="BF767" i="1" s="1"/>
  <c r="BF136" i="1"/>
  <c r="BF838" i="1" s="1"/>
  <c r="BF620" i="1"/>
  <c r="BF513" i="1"/>
  <c r="BF789" i="1"/>
  <c r="BF732" i="1"/>
  <c r="BF787" i="1"/>
  <c r="DE323" i="1"/>
  <c r="DB768" i="1" l="1"/>
  <c r="F23" i="2"/>
  <c r="F53" i="30"/>
  <c r="N22" i="30" s="1"/>
  <c r="I34" i="7"/>
  <c r="I42" i="7" s="1"/>
  <c r="BC550" i="1"/>
  <c r="BC564" i="1" s="1"/>
  <c r="BC671" i="1"/>
  <c r="BC673" i="1"/>
  <c r="BC674" i="1"/>
  <c r="BG493" i="1"/>
  <c r="AB38" i="31"/>
  <c r="BC769" i="1"/>
  <c r="BF137" i="1"/>
  <c r="BF510" i="1"/>
  <c r="BF729" i="1"/>
  <c r="BF728" i="1"/>
  <c r="AA51" i="31"/>
  <c r="AA50" i="31" s="1"/>
  <c r="BF676" i="1"/>
  <c r="BH734" i="1"/>
  <c r="BH761" i="1" s="1"/>
  <c r="BH483" i="1"/>
  <c r="BH461" i="1"/>
  <c r="DD490" i="1"/>
  <c r="W77" i="31"/>
  <c r="BF731" i="1"/>
  <c r="BF840" i="1"/>
  <c r="BF759" i="1"/>
  <c r="AA54" i="31"/>
  <c r="AZ32" i="31"/>
  <c r="AZ33" i="31" s="1"/>
  <c r="DD463" i="1"/>
  <c r="W78" i="31"/>
  <c r="BD621" i="1"/>
  <c r="BD529" i="1"/>
  <c r="BD675" i="1"/>
  <c r="BG500" i="1"/>
  <c r="BG130" i="1"/>
  <c r="AB40" i="31"/>
  <c r="DD497" i="1"/>
  <c r="DE269" i="1"/>
  <c r="DE319" i="1"/>
  <c r="DE325" i="1" s="1"/>
  <c r="DE322" i="1"/>
  <c r="DE81" i="1"/>
  <c r="BA70" i="31"/>
  <c r="BF760" i="1"/>
  <c r="AA55" i="31"/>
  <c r="BF733" i="1"/>
  <c r="AC19" i="31"/>
  <c r="AC20" i="31" s="1"/>
  <c r="BH428" i="1"/>
  <c r="BI380" i="1"/>
  <c r="BI99" i="1"/>
  <c r="BI390" i="1"/>
  <c r="BI387" i="1"/>
  <c r="BI419" i="1"/>
  <c r="BI377" i="1"/>
  <c r="DE377" i="1" s="1"/>
  <c r="BI327" i="1"/>
  <c r="AD8" i="31"/>
  <c r="AD9" i="31" s="1"/>
  <c r="DE381" i="1"/>
  <c r="S37" i="16"/>
  <c r="S34" i="16"/>
  <c r="S25" i="16"/>
  <c r="S26" i="16" s="1"/>
  <c r="S30" i="16"/>
  <c r="BJ269" i="1"/>
  <c r="BJ81" i="1"/>
  <c r="BK323" i="1"/>
  <c r="DF323" i="1" s="1"/>
  <c r="BJ319" i="1"/>
  <c r="BJ377" i="1" s="1"/>
  <c r="BJ381" i="1"/>
  <c r="AE70" i="31"/>
  <c r="BJ322" i="1"/>
  <c r="DB550" i="1"/>
  <c r="P52" i="7"/>
  <c r="I33" i="7"/>
  <c r="I41" i="7" s="1"/>
  <c r="DB769" i="1"/>
  <c r="F54" i="30"/>
  <c r="N23" i="30" s="1"/>
  <c r="BC700" i="1"/>
  <c r="BC702" i="1"/>
  <c r="BC785" i="1" s="1"/>
  <c r="BC841" i="1" s="1"/>
  <c r="BC783" i="1"/>
  <c r="X73" i="31" s="1"/>
  <c r="X74" i="31" s="1"/>
  <c r="BC782" i="1"/>
  <c r="DB701" i="1"/>
  <c r="BC768" i="1"/>
  <c r="BB784" i="1"/>
  <c r="BB786" i="1"/>
  <c r="BB744" i="1"/>
  <c r="BB630" i="1"/>
  <c r="DB702" i="1" l="1"/>
  <c r="F37" i="30"/>
  <c r="P59" i="7"/>
  <c r="P60" i="7" s="1"/>
  <c r="DB783" i="1"/>
  <c r="DB782" i="1"/>
  <c r="BC699" i="1"/>
  <c r="DB700" i="1"/>
  <c r="DE327" i="1"/>
  <c r="DE99" i="1"/>
  <c r="BA8" i="31"/>
  <c r="BA9" i="31" s="1"/>
  <c r="DE391" i="1"/>
  <c r="DE419" i="1"/>
  <c r="BH490" i="1"/>
  <c r="BH497" i="1"/>
  <c r="DB673" i="1"/>
  <c r="DF269" i="1"/>
  <c r="DF322" i="1"/>
  <c r="DF81" i="1"/>
  <c r="DF319" i="1"/>
  <c r="DF325" i="1" s="1"/>
  <c r="BB70" i="31"/>
  <c r="BK381" i="1"/>
  <c r="DF381" i="1" s="1"/>
  <c r="BK81" i="1"/>
  <c r="BK319" i="1"/>
  <c r="BK377" i="1" s="1"/>
  <c r="DF377" i="1" s="1"/>
  <c r="AF70" i="31"/>
  <c r="BK269" i="1"/>
  <c r="BK322" i="1"/>
  <c r="BL323" i="1"/>
  <c r="DG323" i="1" s="1"/>
  <c r="BI426" i="1"/>
  <c r="BI454" i="1"/>
  <c r="BI792" i="1"/>
  <c r="BI793" i="1"/>
  <c r="AD71" i="31" s="1"/>
  <c r="BI794" i="1"/>
  <c r="BG506" i="1"/>
  <c r="BG495" i="1"/>
  <c r="BG515" i="1"/>
  <c r="DD500" i="1"/>
  <c r="BD624" i="1"/>
  <c r="BD629" i="1" s="1"/>
  <c r="BD261" i="1"/>
  <c r="DB671" i="1"/>
  <c r="BB631" i="1"/>
  <c r="BJ325" i="1"/>
  <c r="BI389" i="1"/>
  <c r="DE387" i="1"/>
  <c r="DE389" i="1" s="1"/>
  <c r="BF757" i="1"/>
  <c r="S28" i="16"/>
  <c r="S27" i="16"/>
  <c r="DD130" i="1"/>
  <c r="DD129" i="1"/>
  <c r="AZ40" i="31"/>
  <c r="AC32" i="31"/>
  <c r="AC33" i="31" s="1"/>
  <c r="BH463" i="1"/>
  <c r="BC672" i="1"/>
  <c r="AZ38" i="31"/>
  <c r="DD493" i="1"/>
  <c r="BF758" i="1"/>
  <c r="BC567" i="1"/>
  <c r="BC568" i="1" s="1"/>
  <c r="BC587" i="1" s="1"/>
  <c r="F29" i="30"/>
  <c r="DB564" i="1"/>
  <c r="BJ380" i="1"/>
  <c r="BJ419" i="1"/>
  <c r="BJ391" i="1"/>
  <c r="BJ327" i="1"/>
  <c r="BJ387" i="1"/>
  <c r="AE8" i="31"/>
  <c r="AE9" i="31" s="1"/>
  <c r="BI391" i="1"/>
  <c r="AD7" i="31"/>
  <c r="DE380" i="1"/>
  <c r="AB41" i="31"/>
  <c r="BD534" i="1"/>
  <c r="BF839" i="1"/>
  <c r="DB674" i="1"/>
  <c r="AZ41" i="31" l="1"/>
  <c r="AE7" i="31"/>
  <c r="BJ389" i="1"/>
  <c r="DB672" i="1"/>
  <c r="BB618" i="1"/>
  <c r="BB639" i="1"/>
  <c r="BB4" i="1" s="1"/>
  <c r="BH493" i="1"/>
  <c r="AC38" i="31"/>
  <c r="F81" i="2"/>
  <c r="I57" i="7"/>
  <c r="BD538" i="1"/>
  <c r="BD260" i="1"/>
  <c r="BG509" i="1"/>
  <c r="DD506" i="1"/>
  <c r="DD509" i="1" s="1"/>
  <c r="BI734" i="1"/>
  <c r="BI761" i="1" s="1"/>
  <c r="BI461" i="1"/>
  <c r="BI483" i="1"/>
  <c r="DB699" i="1"/>
  <c r="I44" i="7"/>
  <c r="I58" i="7"/>
  <c r="I60" i="7" s="1"/>
  <c r="AX73" i="31"/>
  <c r="AX74" i="31" s="1"/>
  <c r="F82" i="2"/>
  <c r="BC836" i="1"/>
  <c r="AD19" i="31"/>
  <c r="AD20" i="31" s="1"/>
  <c r="BI428" i="1"/>
  <c r="BA7" i="31"/>
  <c r="BC599" i="1"/>
  <c r="BC589" i="1"/>
  <c r="DB589" i="1" s="1"/>
  <c r="DB567" i="1"/>
  <c r="DB568" i="1" s="1"/>
  <c r="DB587" i="1" s="1"/>
  <c r="DG269" i="1"/>
  <c r="DG319" i="1"/>
  <c r="DG325" i="1" s="1"/>
  <c r="DG81" i="1"/>
  <c r="BC70" i="31"/>
  <c r="DG322" i="1"/>
  <c r="F38" i="30"/>
  <c r="N34" i="30"/>
  <c r="N39" i="30"/>
  <c r="DF327" i="1"/>
  <c r="BB8" i="31"/>
  <c r="DF419" i="1"/>
  <c r="DF391" i="1"/>
  <c r="BJ426" i="1"/>
  <c r="BJ792" i="1"/>
  <c r="DD495" i="1"/>
  <c r="DD515" i="1"/>
  <c r="BK325" i="1"/>
  <c r="BH500" i="1"/>
  <c r="AC40" i="31"/>
  <c r="BH130" i="1"/>
  <c r="BG787" i="1"/>
  <c r="BG789" i="1"/>
  <c r="BG740" i="1"/>
  <c r="BG766" i="1" s="1"/>
  <c r="BG741" i="1"/>
  <c r="BG767" i="1" s="1"/>
  <c r="AB44" i="31"/>
  <c r="AB47" i="31" s="1"/>
  <c r="AB48" i="31" s="1"/>
  <c r="BG730" i="1"/>
  <c r="BG525" i="1"/>
  <c r="BG521" i="1"/>
  <c r="BG620" i="1"/>
  <c r="BG513" i="1"/>
  <c r="BG136" i="1"/>
  <c r="BG838" i="1" s="1"/>
  <c r="BG732" i="1"/>
  <c r="BG788" i="1"/>
  <c r="AB72" i="31" s="1"/>
  <c r="DD136" i="1"/>
  <c r="DD838" i="1" s="1"/>
  <c r="BL381" i="1"/>
  <c r="BL322" i="1"/>
  <c r="BL269" i="1"/>
  <c r="BL319" i="1"/>
  <c r="BL377" i="1" s="1"/>
  <c r="AG70" i="31"/>
  <c r="BM323" i="1"/>
  <c r="BL81" i="1"/>
  <c r="BK327" i="1"/>
  <c r="BK419" i="1"/>
  <c r="BK380" i="1"/>
  <c r="BK387" i="1"/>
  <c r="BK389" i="1" s="1"/>
  <c r="AF8" i="31"/>
  <c r="AF9" i="31" s="1"/>
  <c r="BK391" i="1"/>
  <c r="DE454" i="1"/>
  <c r="DE792" i="1"/>
  <c r="DE426" i="1"/>
  <c r="DE793" i="1"/>
  <c r="BA71" i="31" s="1"/>
  <c r="DE794" i="1"/>
  <c r="BC725" i="1"/>
  <c r="BC704" i="1"/>
  <c r="DB785" i="1"/>
  <c r="N35" i="30"/>
  <c r="N40" i="30"/>
  <c r="BC590" i="1" l="1"/>
  <c r="BC834" i="1" s="1"/>
  <c r="DB590" i="1"/>
  <c r="DB836" i="1"/>
  <c r="BC548" i="1"/>
  <c r="BC595" i="1"/>
  <c r="BC591" i="1"/>
  <c r="DB591" i="1" s="1"/>
  <c r="BD742" i="1"/>
  <c r="BD531" i="1"/>
  <c r="BE526" i="1"/>
  <c r="Y63" i="31"/>
  <c r="BD541" i="1"/>
  <c r="BE533" i="1"/>
  <c r="BD743" i="1"/>
  <c r="BD701" i="1"/>
  <c r="DF387" i="1"/>
  <c r="DF389" i="1" s="1"/>
  <c r="AF7" i="31"/>
  <c r="BM381" i="1"/>
  <c r="DG381" i="1" s="1"/>
  <c r="BM81" i="1"/>
  <c r="BN323" i="1"/>
  <c r="BM322" i="1"/>
  <c r="BM269" i="1"/>
  <c r="AH70" i="31"/>
  <c r="BM319" i="1"/>
  <c r="BM377" i="1" s="1"/>
  <c r="DG377" i="1" s="1"/>
  <c r="BK426" i="1"/>
  <c r="BK792" i="1"/>
  <c r="AE19" i="31"/>
  <c r="AE20" i="31" s="1"/>
  <c r="BJ428" i="1"/>
  <c r="BL380" i="1"/>
  <c r="BL419" i="1"/>
  <c r="AG8" i="31"/>
  <c r="AG9" i="31" s="1"/>
  <c r="BL327" i="1"/>
  <c r="BL391" i="1"/>
  <c r="BL387" i="1"/>
  <c r="AB55" i="31"/>
  <c r="BG733" i="1"/>
  <c r="BG760" i="1"/>
  <c r="BG840" i="1"/>
  <c r="BG759" i="1"/>
  <c r="BG731" i="1"/>
  <c r="AB54" i="31"/>
  <c r="BH495" i="1"/>
  <c r="BH506" i="1"/>
  <c r="BH515" i="1"/>
  <c r="DF792" i="1"/>
  <c r="DF426" i="1"/>
  <c r="I45" i="7"/>
  <c r="I62" i="7"/>
  <c r="F83" i="2"/>
  <c r="DB841" i="1"/>
  <c r="F115" i="2" s="1"/>
  <c r="BI497" i="1"/>
  <c r="BI490" i="1"/>
  <c r="BG510" i="1"/>
  <c r="BG137" i="1"/>
  <c r="DB704" i="1"/>
  <c r="DE428" i="1"/>
  <c r="BA19" i="31"/>
  <c r="BA20" i="31" s="1"/>
  <c r="BK440" i="1"/>
  <c r="DB599" i="1"/>
  <c r="DB604" i="1" s="1"/>
  <c r="BC604" i="1"/>
  <c r="AD32" i="31"/>
  <c r="AD33" i="31" s="1"/>
  <c r="BI463" i="1"/>
  <c r="DF380" i="1"/>
  <c r="BL325" i="1"/>
  <c r="DD521" i="1"/>
  <c r="BK102" i="1"/>
  <c r="BJ710" i="1"/>
  <c r="BJ441" i="1"/>
  <c r="DE461" i="1"/>
  <c r="DE483" i="1"/>
  <c r="DE734" i="1"/>
  <c r="DE761" i="1" s="1"/>
  <c r="DH323" i="1"/>
  <c r="BG729" i="1"/>
  <c r="BG728" i="1"/>
  <c r="AB51" i="31"/>
  <c r="AB50" i="31" s="1"/>
  <c r="DD525" i="1"/>
  <c r="DD510" i="1" s="1"/>
  <c r="BG676" i="1"/>
  <c r="AC41" i="31"/>
  <c r="DD732" i="1"/>
  <c r="DD789" i="1"/>
  <c r="AZ44" i="31"/>
  <c r="AZ47" i="31" s="1"/>
  <c r="AZ48" i="31" s="1"/>
  <c r="DD513" i="1"/>
  <c r="DD740" i="1"/>
  <c r="DD766" i="1" s="1"/>
  <c r="DD620" i="1"/>
  <c r="DD788" i="1"/>
  <c r="DD741" i="1"/>
  <c r="DD767" i="1" s="1"/>
  <c r="DD787" i="1"/>
  <c r="DD730" i="1"/>
  <c r="DB725" i="1"/>
  <c r="G122" i="2"/>
  <c r="BC150" i="1" l="1"/>
  <c r="BM325" i="1"/>
  <c r="BC593" i="1"/>
  <c r="BC835" i="1" s="1"/>
  <c r="G123" i="2"/>
  <c r="J123" i="2" s="1"/>
  <c r="C152" i="2" s="1"/>
  <c r="N74" i="7" s="1"/>
  <c r="J122" i="2"/>
  <c r="C151" i="2" s="1"/>
  <c r="BJ443" i="1"/>
  <c r="AE26" i="31"/>
  <c r="BC607" i="1"/>
  <c r="DF428" i="1"/>
  <c r="BB19" i="31"/>
  <c r="BB20" i="31" s="1"/>
  <c r="BD768" i="1"/>
  <c r="AZ72" i="31"/>
  <c r="U16" i="16"/>
  <c r="V16" i="16" s="1"/>
  <c r="BA32" i="31"/>
  <c r="BA33" i="31" s="1"/>
  <c r="DE463" i="1"/>
  <c r="BN269" i="1"/>
  <c r="BO323" i="1"/>
  <c r="BN322" i="1"/>
  <c r="BN381" i="1"/>
  <c r="AI70" i="31"/>
  <c r="BN81" i="1"/>
  <c r="BN319" i="1"/>
  <c r="BN377" i="1" s="1"/>
  <c r="BE621" i="1"/>
  <c r="BE529" i="1"/>
  <c r="DC526" i="1"/>
  <c r="BE675" i="1"/>
  <c r="X77" i="31"/>
  <c r="I81" i="7"/>
  <c r="N56" i="30"/>
  <c r="F110" i="2"/>
  <c r="S36" i="16"/>
  <c r="S38" i="16" s="1"/>
  <c r="DG327" i="1"/>
  <c r="DG391" i="1"/>
  <c r="BC8" i="31"/>
  <c r="DG419" i="1"/>
  <c r="BL792" i="1"/>
  <c r="BL426" i="1"/>
  <c r="DI323" i="1"/>
  <c r="DB150" i="1"/>
  <c r="F30" i="30"/>
  <c r="F31" i="30" s="1"/>
  <c r="DB593" i="1"/>
  <c r="DB835" i="1" s="1"/>
  <c r="DB548" i="1"/>
  <c r="DB595" i="1"/>
  <c r="DB834" i="1"/>
  <c r="DD731" i="1"/>
  <c r="DD840" i="1"/>
  <c r="DD759" i="1"/>
  <c r="AZ54" i="31"/>
  <c r="DD676" i="1"/>
  <c r="BH136" i="1"/>
  <c r="BH838" i="1" s="1"/>
  <c r="BH730" i="1"/>
  <c r="BH787" i="1"/>
  <c r="BH620" i="1"/>
  <c r="BH732" i="1"/>
  <c r="BH741" i="1"/>
  <c r="BH767" i="1" s="1"/>
  <c r="BH789" i="1"/>
  <c r="BH513" i="1"/>
  <c r="BH788" i="1"/>
  <c r="AC72" i="31" s="1"/>
  <c r="BH521" i="1"/>
  <c r="AC44" i="31"/>
  <c r="AC47" i="31" s="1"/>
  <c r="AC48" i="31" s="1"/>
  <c r="BH525" i="1"/>
  <c r="BH740" i="1"/>
  <c r="BH766" i="1" s="1"/>
  <c r="AG7" i="31"/>
  <c r="BM380" i="1"/>
  <c r="DG380" i="1" s="1"/>
  <c r="AH8" i="31"/>
  <c r="AH9" i="31" s="1"/>
  <c r="BM391" i="1"/>
  <c r="BM419" i="1"/>
  <c r="BM387" i="1"/>
  <c r="BM389" i="1" s="1"/>
  <c r="BM327" i="1"/>
  <c r="BD702" i="1"/>
  <c r="BD785" i="1" s="1"/>
  <c r="BD841" i="1" s="1"/>
  <c r="BD700" i="1"/>
  <c r="BD783" i="1"/>
  <c r="Y73" i="31" s="1"/>
  <c r="Y74" i="31" s="1"/>
  <c r="BD782" i="1"/>
  <c r="DB607" i="1"/>
  <c r="BG758" i="1"/>
  <c r="BG839" i="1"/>
  <c r="DD137" i="1"/>
  <c r="BH509" i="1"/>
  <c r="BH137" i="1" s="1"/>
  <c r="BD769" i="1"/>
  <c r="DE490" i="1"/>
  <c r="BK710" i="1"/>
  <c r="DF710" i="1" s="1"/>
  <c r="AD38" i="31"/>
  <c r="BI493" i="1"/>
  <c r="AZ55" i="31"/>
  <c r="DD760" i="1"/>
  <c r="DD733" i="1"/>
  <c r="BK103" i="1"/>
  <c r="DF102" i="1"/>
  <c r="DF96" i="1" s="1"/>
  <c r="BB7" i="31"/>
  <c r="BI500" i="1"/>
  <c r="BI130" i="1"/>
  <c r="AD40" i="31"/>
  <c r="DE497" i="1"/>
  <c r="BG757" i="1"/>
  <c r="BD70" i="31"/>
  <c r="DH322" i="1"/>
  <c r="DH319" i="1"/>
  <c r="DH325" i="1" s="1"/>
  <c r="DH81" i="1"/>
  <c r="DH269" i="1"/>
  <c r="DF440" i="1"/>
  <c r="U18" i="16"/>
  <c r="AZ51" i="31"/>
  <c r="AZ50" i="31" s="1"/>
  <c r="DD729" i="1"/>
  <c r="DD728" i="1"/>
  <c r="BL440" i="1"/>
  <c r="BL389" i="1"/>
  <c r="BK428" i="1"/>
  <c r="AF19" i="31"/>
  <c r="AF20" i="31" s="1"/>
  <c r="BD550" i="1"/>
  <c r="BD564" i="1" s="1"/>
  <c r="BD673" i="1"/>
  <c r="BD674" i="1"/>
  <c r="BD671" i="1"/>
  <c r="BC786" i="1"/>
  <c r="BC784" i="1"/>
  <c r="BC744" i="1"/>
  <c r="DB744" i="1" s="1"/>
  <c r="BC630" i="1"/>
  <c r="BM440" i="1" l="1"/>
  <c r="AD41" i="31"/>
  <c r="DG387" i="1"/>
  <c r="DG389" i="1" s="1"/>
  <c r="DD757" i="1"/>
  <c r="DB837" i="1"/>
  <c r="DG792" i="1"/>
  <c r="DG426" i="1"/>
  <c r="BD567" i="1"/>
  <c r="BD568" i="1" s="1"/>
  <c r="BD587" i="1" s="1"/>
  <c r="DD839" i="1"/>
  <c r="DD131" i="1"/>
  <c r="BC631" i="1"/>
  <c r="DB630" i="1"/>
  <c r="DB631" i="1" s="1"/>
  <c r="BA40" i="31"/>
  <c r="DE129" i="1"/>
  <c r="DE130" i="1"/>
  <c r="BE534" i="1"/>
  <c r="DC529" i="1"/>
  <c r="BN327" i="1"/>
  <c r="AI8" i="31"/>
  <c r="AI9" i="31" s="1"/>
  <c r="BN380" i="1"/>
  <c r="BN419" i="1"/>
  <c r="BN387" i="1"/>
  <c r="BN391" i="1"/>
  <c r="BJ99" i="1"/>
  <c r="BJ98" i="1"/>
  <c r="AE28" i="31"/>
  <c r="AE30" i="31" s="1"/>
  <c r="BJ430" i="1"/>
  <c r="BJ791" i="1"/>
  <c r="BJ449" i="1"/>
  <c r="BJ454" i="1"/>
  <c r="DD758" i="1"/>
  <c r="BH731" i="1"/>
  <c r="BH759" i="1"/>
  <c r="BH840" i="1"/>
  <c r="AC54" i="31"/>
  <c r="BI495" i="1"/>
  <c r="BI506" i="1"/>
  <c r="BI515" i="1"/>
  <c r="DE500" i="1"/>
  <c r="DE493" i="1"/>
  <c r="BA38" i="31"/>
  <c r="AH7" i="31"/>
  <c r="BH760" i="1"/>
  <c r="AC55" i="31"/>
  <c r="BH733" i="1"/>
  <c r="AX77" i="31"/>
  <c r="N55" i="30"/>
  <c r="F109" i="2"/>
  <c r="I80" i="7"/>
  <c r="BL428" i="1"/>
  <c r="AG19" i="31"/>
  <c r="AG20" i="31" s="1"/>
  <c r="BE624" i="1"/>
  <c r="BE629" i="1" s="1"/>
  <c r="DC621" i="1"/>
  <c r="DC624" i="1" s="1"/>
  <c r="DC629" i="1" s="1"/>
  <c r="BE261" i="1"/>
  <c r="K12" i="30"/>
  <c r="N73" i="7"/>
  <c r="BH839" i="1"/>
  <c r="BD699" i="1"/>
  <c r="BM792" i="1"/>
  <c r="BM426" i="1"/>
  <c r="DF103" i="1"/>
  <c r="BK434" i="1"/>
  <c r="BC7" i="31"/>
  <c r="DC675" i="1"/>
  <c r="U19" i="16"/>
  <c r="U21" i="16"/>
  <c r="V21" i="16" s="1"/>
  <c r="W21" i="16" s="1"/>
  <c r="X21" i="16" s="1"/>
  <c r="Y21" i="16" s="1"/>
  <c r="Z21" i="16" s="1"/>
  <c r="AA21" i="16" s="1"/>
  <c r="AC51" i="31"/>
  <c r="AC50" i="31" s="1"/>
  <c r="BH729" i="1"/>
  <c r="BH728" i="1"/>
  <c r="W16" i="16"/>
  <c r="V18" i="16"/>
  <c r="BD672" i="1"/>
  <c r="DG440" i="1"/>
  <c r="BK106" i="1"/>
  <c r="BK790" i="1" s="1"/>
  <c r="BL710" i="1"/>
  <c r="BH510" i="1"/>
  <c r="BH676" i="1"/>
  <c r="DB784" i="1"/>
  <c r="DB786" i="1"/>
  <c r="DI319" i="1"/>
  <c r="DI325" i="1" s="1"/>
  <c r="DI81" i="1"/>
  <c r="DI322" i="1"/>
  <c r="DI269" i="1"/>
  <c r="BE70" i="31"/>
  <c r="BN325" i="1"/>
  <c r="BP323" i="1"/>
  <c r="AJ70" i="31"/>
  <c r="BO381" i="1"/>
  <c r="BO319" i="1"/>
  <c r="BO377" i="1" s="1"/>
  <c r="DH377" i="1" s="1"/>
  <c r="BO269" i="1"/>
  <c r="BO81" i="1"/>
  <c r="BO322" i="1"/>
  <c r="BC837" i="1"/>
  <c r="BO325" i="1" l="1"/>
  <c r="BM428" i="1"/>
  <c r="AH19" i="31"/>
  <c r="AH20" i="31" s="1"/>
  <c r="BJ793" i="1"/>
  <c r="AE71" i="31" s="1"/>
  <c r="BJ794" i="1"/>
  <c r="BC19" i="31"/>
  <c r="BC20" i="31" s="1"/>
  <c r="DG428" i="1"/>
  <c r="BM710" i="1"/>
  <c r="V20" i="16"/>
  <c r="V22" i="16" s="1"/>
  <c r="V52" i="16" s="1"/>
  <c r="V54" i="16" s="1"/>
  <c r="V19" i="16"/>
  <c r="BH757" i="1"/>
  <c r="BN389" i="1"/>
  <c r="DB639" i="1"/>
  <c r="DB618" i="1"/>
  <c r="BD836" i="1"/>
  <c r="BE260" i="1"/>
  <c r="DC260" i="1" s="1"/>
  <c r="DC261" i="1" s="1"/>
  <c r="BI732" i="1"/>
  <c r="BI787" i="1"/>
  <c r="BI788" i="1"/>
  <c r="AD72" i="31" s="1"/>
  <c r="BI136" i="1"/>
  <c r="BI838" i="1" s="1"/>
  <c r="BI730" i="1"/>
  <c r="BI513" i="1"/>
  <c r="BI789" i="1"/>
  <c r="BI521" i="1"/>
  <c r="BI620" i="1"/>
  <c r="BI740" i="1"/>
  <c r="BI766" i="1" s="1"/>
  <c r="AD44" i="31"/>
  <c r="AD47" i="31" s="1"/>
  <c r="AD48" i="31" s="1"/>
  <c r="BI741" i="1"/>
  <c r="BI767" i="1" s="1"/>
  <c r="BI525" i="1"/>
  <c r="DE136" i="1"/>
  <c r="DE838" i="1" s="1"/>
  <c r="X78" i="31"/>
  <c r="BI676" i="1"/>
  <c r="W18" i="16"/>
  <c r="X16" i="16"/>
  <c r="AD21" i="16"/>
  <c r="BK441" i="1"/>
  <c r="BL102" i="1"/>
  <c r="DF434" i="1"/>
  <c r="BN426" i="1"/>
  <c r="BN792" i="1"/>
  <c r="DC534" i="1"/>
  <c r="DC538" i="1" s="1"/>
  <c r="BE538" i="1"/>
  <c r="BC618" i="1"/>
  <c r="BC639" i="1"/>
  <c r="BC4" i="1" s="1"/>
  <c r="BD589" i="1"/>
  <c r="BD590" i="1" s="1"/>
  <c r="BD599" i="1"/>
  <c r="BD604" i="1" s="1"/>
  <c r="BD725" i="1"/>
  <c r="BD704" i="1"/>
  <c r="DE495" i="1"/>
  <c r="DE515" i="1"/>
  <c r="AK70" i="31"/>
  <c r="BP319" i="1"/>
  <c r="BP377" i="1" s="1"/>
  <c r="BP322" i="1"/>
  <c r="BP381" i="1"/>
  <c r="BP269" i="1"/>
  <c r="BQ323" i="1"/>
  <c r="BP81" i="1"/>
  <c r="BI509" i="1"/>
  <c r="DE506" i="1"/>
  <c r="DE509" i="1" s="1"/>
  <c r="BJ483" i="1"/>
  <c r="BJ461" i="1"/>
  <c r="BJ734" i="1"/>
  <c r="BJ761" i="1" s="1"/>
  <c r="DH381" i="1"/>
  <c r="BO387" i="1"/>
  <c r="BO389" i="1" s="1"/>
  <c r="BO327" i="1"/>
  <c r="BO391" i="1"/>
  <c r="BO419" i="1"/>
  <c r="BO380" i="1"/>
  <c r="DH380" i="1" s="1"/>
  <c r="AJ8" i="31"/>
  <c r="AJ9" i="31" s="1"/>
  <c r="BK572" i="1"/>
  <c r="BL101" i="1"/>
  <c r="DF106" i="1"/>
  <c r="DF97" i="1" s="1"/>
  <c r="BH758" i="1"/>
  <c r="BN440" i="1"/>
  <c r="BJ451" i="1"/>
  <c r="AI7" i="31"/>
  <c r="BA41" i="31"/>
  <c r="AX78" i="31"/>
  <c r="N57" i="30"/>
  <c r="I82" i="7"/>
  <c r="F111" i="2"/>
  <c r="BP325" i="1" l="1"/>
  <c r="DF790" i="1"/>
  <c r="BD607" i="1"/>
  <c r="BD837" i="1" s="1"/>
  <c r="BD591" i="1"/>
  <c r="BD593" i="1" s="1"/>
  <c r="BD835" i="1" s="1"/>
  <c r="BD834" i="1"/>
  <c r="BD595" i="1"/>
  <c r="BD548" i="1"/>
  <c r="BD150" i="1"/>
  <c r="BD8" i="31"/>
  <c r="DH391" i="1"/>
  <c r="DH327" i="1"/>
  <c r="DH419" i="1"/>
  <c r="DG101" i="1"/>
  <c r="AJ7" i="31"/>
  <c r="BQ322" i="1"/>
  <c r="BQ319" i="1"/>
  <c r="BQ377" i="1" s="1"/>
  <c r="DI377" i="1" s="1"/>
  <c r="BQ81" i="1"/>
  <c r="AL70" i="31"/>
  <c r="BQ381" i="1"/>
  <c r="BQ269" i="1"/>
  <c r="DE787" i="1"/>
  <c r="BA44" i="31"/>
  <c r="BA47" i="31" s="1"/>
  <c r="BA48" i="31" s="1"/>
  <c r="DE788" i="1"/>
  <c r="BA72" i="31" s="1"/>
  <c r="DE789" i="1"/>
  <c r="DE741" i="1"/>
  <c r="DE767" i="1" s="1"/>
  <c r="DE513" i="1"/>
  <c r="DE740" i="1"/>
  <c r="DE766" i="1" s="1"/>
  <c r="DE732" i="1"/>
  <c r="DE620" i="1"/>
  <c r="DE730" i="1"/>
  <c r="BE541" i="1"/>
  <c r="BE742" i="1"/>
  <c r="BF533" i="1"/>
  <c r="Z63" i="31"/>
  <c r="BE743" i="1"/>
  <c r="BF526" i="1"/>
  <c r="BE531" i="1"/>
  <c r="BE701" i="1"/>
  <c r="DE521" i="1"/>
  <c r="BO440" i="1"/>
  <c r="AE32" i="31"/>
  <c r="AE33" i="31" s="1"/>
  <c r="BJ463" i="1"/>
  <c r="BJ490" i="1"/>
  <c r="BJ497" i="1"/>
  <c r="DE676" i="1"/>
  <c r="AI19" i="31"/>
  <c r="AI20" i="31" s="1"/>
  <c r="BN428" i="1"/>
  <c r="BL103" i="1"/>
  <c r="BL106" i="1" s="1"/>
  <c r="BL572" i="1" s="1"/>
  <c r="BO426" i="1"/>
  <c r="BO792" i="1"/>
  <c r="DC742" i="1"/>
  <c r="DD533" i="1"/>
  <c r="T23" i="16"/>
  <c r="DC743" i="1"/>
  <c r="Q53" i="7"/>
  <c r="DC531" i="1"/>
  <c r="DC541" i="1"/>
  <c r="AY63" i="31"/>
  <c r="BI728" i="1"/>
  <c r="AD51" i="31"/>
  <c r="AD50" i="31" s="1"/>
  <c r="BI729" i="1"/>
  <c r="DE525" i="1"/>
  <c r="DH387" i="1"/>
  <c r="DH389" i="1" s="1"/>
  <c r="W20" i="16"/>
  <c r="W22" i="16" s="1"/>
  <c r="W52" i="16" s="1"/>
  <c r="W54" i="16" s="1"/>
  <c r="W19" i="16"/>
  <c r="AD54" i="31"/>
  <c r="BI759" i="1"/>
  <c r="BI840" i="1"/>
  <c r="BI731" i="1"/>
  <c r="DH440" i="1"/>
  <c r="BN710" i="1"/>
  <c r="BD7" i="31"/>
  <c r="BK585" i="1"/>
  <c r="DF572" i="1"/>
  <c r="DF585" i="1" s="1"/>
  <c r="BK627" i="1"/>
  <c r="DF627" i="1" s="1"/>
  <c r="BI510" i="1"/>
  <c r="BI137" i="1"/>
  <c r="AK8" i="31"/>
  <c r="AK9" i="31" s="1"/>
  <c r="BP419" i="1"/>
  <c r="BP380" i="1"/>
  <c r="BP327" i="1"/>
  <c r="BP387" i="1"/>
  <c r="BP391" i="1"/>
  <c r="DI381" i="1"/>
  <c r="BK443" i="1"/>
  <c r="AF26" i="31"/>
  <c r="DF441" i="1"/>
  <c r="BB26" i="31" s="1"/>
  <c r="BB29" i="31" s="1"/>
  <c r="X18" i="16"/>
  <c r="Y16" i="16"/>
  <c r="BI760" i="1"/>
  <c r="BI733" i="1"/>
  <c r="AD55" i="31"/>
  <c r="DG710" i="1"/>
  <c r="BP440" i="1" l="1"/>
  <c r="BE769" i="1"/>
  <c r="BI839" i="1"/>
  <c r="DE137" i="1"/>
  <c r="BQ325" i="1"/>
  <c r="BP389" i="1"/>
  <c r="BE702" i="1"/>
  <c r="BE785" i="1" s="1"/>
  <c r="BE841" i="1" s="1"/>
  <c r="BE700" i="1"/>
  <c r="BE783" i="1"/>
  <c r="Z73" i="31" s="1"/>
  <c r="Z74" i="31" s="1"/>
  <c r="BE782" i="1"/>
  <c r="DC701" i="1"/>
  <c r="DE840" i="1"/>
  <c r="DE731" i="1"/>
  <c r="BA54" i="31"/>
  <c r="DE759" i="1"/>
  <c r="DH426" i="1"/>
  <c r="DH792" i="1"/>
  <c r="BK449" i="1"/>
  <c r="BK98" i="1"/>
  <c r="BK430" i="1"/>
  <c r="BK99" i="1"/>
  <c r="AF28" i="31"/>
  <c r="AF30" i="31" s="1"/>
  <c r="BK454" i="1"/>
  <c r="DF443" i="1"/>
  <c r="BK791" i="1"/>
  <c r="BL627" i="1"/>
  <c r="BL585" i="1"/>
  <c r="BQ327" i="1"/>
  <c r="BQ419" i="1"/>
  <c r="BQ387" i="1"/>
  <c r="BQ389" i="1" s="1"/>
  <c r="BQ380" i="1"/>
  <c r="BQ391" i="1"/>
  <c r="AL8" i="31"/>
  <c r="AL9" i="31" s="1"/>
  <c r="BD784" i="1"/>
  <c r="BD786" i="1"/>
  <c r="BD744" i="1"/>
  <c r="BD630" i="1"/>
  <c r="G53" i="30"/>
  <c r="O22" i="30" s="1"/>
  <c r="G23" i="2"/>
  <c r="DC768" i="1"/>
  <c r="J34" i="7"/>
  <c r="J42" i="7" s="1"/>
  <c r="BA51" i="31"/>
  <c r="BA50" i="31" s="1"/>
  <c r="DE728" i="1"/>
  <c r="DE729" i="1"/>
  <c r="DE510" i="1"/>
  <c r="BO428" i="1"/>
  <c r="AJ19" i="31"/>
  <c r="AJ20" i="31" s="1"/>
  <c r="Y78" i="31"/>
  <c r="BE768" i="1"/>
  <c r="DC550" i="1"/>
  <c r="Q52" i="7"/>
  <c r="J33" i="7"/>
  <c r="J41" i="7" s="1"/>
  <c r="DC769" i="1"/>
  <c r="G54" i="30"/>
  <c r="O23" i="30" s="1"/>
  <c r="BI757" i="1"/>
  <c r="T34" i="16"/>
  <c r="T25" i="16"/>
  <c r="T26" i="16" s="1"/>
  <c r="T37" i="16"/>
  <c r="T30" i="16"/>
  <c r="BM101" i="1"/>
  <c r="AK7" i="31"/>
  <c r="BI758" i="1"/>
  <c r="BL434" i="1"/>
  <c r="BL790" i="1"/>
  <c r="AE40" i="31"/>
  <c r="BJ500" i="1"/>
  <c r="BJ130" i="1"/>
  <c r="BE550" i="1"/>
  <c r="BE564" i="1" s="1"/>
  <c r="BE673" i="1"/>
  <c r="BE671" i="1"/>
  <c r="BE674" i="1"/>
  <c r="DE733" i="1"/>
  <c r="BA55" i="31"/>
  <c r="DE760" i="1"/>
  <c r="Y77" i="31"/>
  <c r="X20" i="16"/>
  <c r="X22" i="16" s="1"/>
  <c r="X52" i="16" s="1"/>
  <c r="X54" i="16" s="1"/>
  <c r="X19" i="16"/>
  <c r="BO710" i="1"/>
  <c r="Y18" i="16"/>
  <c r="Z16" i="16"/>
  <c r="DI419" i="1"/>
  <c r="DI391" i="1"/>
  <c r="DI327" i="1"/>
  <c r="BE8" i="31"/>
  <c r="BP792" i="1"/>
  <c r="BP426" i="1"/>
  <c r="AE38" i="31"/>
  <c r="BJ493" i="1"/>
  <c r="BQ440" i="1"/>
  <c r="DI440" i="1" s="1"/>
  <c r="BF621" i="1"/>
  <c r="BF529" i="1"/>
  <c r="BF675" i="1"/>
  <c r="AE41" i="31" l="1"/>
  <c r="DC673" i="1"/>
  <c r="AK19" i="31"/>
  <c r="AK20" i="31" s="1"/>
  <c r="BP428" i="1"/>
  <c r="DH710" i="1"/>
  <c r="BP710" i="1"/>
  <c r="BE672" i="1"/>
  <c r="DE758" i="1"/>
  <c r="BQ792" i="1"/>
  <c r="BQ426" i="1"/>
  <c r="DE839" i="1"/>
  <c r="DE131" i="1"/>
  <c r="BK451" i="1"/>
  <c r="DF449" i="1"/>
  <c r="DF451" i="1" s="1"/>
  <c r="AL7" i="31"/>
  <c r="BD19" i="31"/>
  <c r="BD20" i="31" s="1"/>
  <c r="DH428" i="1"/>
  <c r="BJ495" i="1"/>
  <c r="BJ506" i="1"/>
  <c r="BJ515" i="1"/>
  <c r="BE699" i="1"/>
  <c r="DC700" i="1"/>
  <c r="DI426" i="1"/>
  <c r="DI792" i="1"/>
  <c r="BM102" i="1"/>
  <c r="DG102" i="1" s="1"/>
  <c r="DG96" i="1" s="1"/>
  <c r="BL441" i="1"/>
  <c r="T28" i="16"/>
  <c r="T27" i="16"/>
  <c r="DE757" i="1"/>
  <c r="BD631" i="1"/>
  <c r="DF99" i="1"/>
  <c r="DF430" i="1"/>
  <c r="BB28" i="31"/>
  <c r="BB30" i="31" s="1"/>
  <c r="DF98" i="1"/>
  <c r="DF454" i="1"/>
  <c r="DF791" i="1"/>
  <c r="BK793" i="1"/>
  <c r="AF71" i="31" s="1"/>
  <c r="BK794" i="1"/>
  <c r="DC702" i="1"/>
  <c r="G37" i="30"/>
  <c r="Q59" i="7"/>
  <c r="Q60" i="7" s="1"/>
  <c r="DC783" i="1"/>
  <c r="DC782" i="1"/>
  <c r="Y19" i="16"/>
  <c r="Y20" i="16"/>
  <c r="Y22" i="16" s="1"/>
  <c r="Y52" i="16" s="1"/>
  <c r="Y54" i="16" s="1"/>
  <c r="G29" i="30"/>
  <c r="DC564" i="1"/>
  <c r="BF624" i="1"/>
  <c r="BF629" i="1" s="1"/>
  <c r="BF261" i="1"/>
  <c r="DI380" i="1"/>
  <c r="DC674" i="1"/>
  <c r="BF534" i="1"/>
  <c r="Z18" i="16"/>
  <c r="AA16" i="16"/>
  <c r="DC671" i="1"/>
  <c r="BE567" i="1"/>
  <c r="BE568" i="1" s="1"/>
  <c r="BE587" i="1" s="1"/>
  <c r="BK734" i="1"/>
  <c r="BK761" i="1" s="1"/>
  <c r="BK483" i="1"/>
  <c r="BK461" i="1"/>
  <c r="DI387" i="1"/>
  <c r="DI389" i="1" s="1"/>
  <c r="BE836" i="1" l="1"/>
  <c r="DF793" i="1"/>
  <c r="BB71" i="31" s="1"/>
  <c r="DF794" i="1"/>
  <c r="DI428" i="1"/>
  <c r="BE19" i="31"/>
  <c r="BE20" i="31" s="1"/>
  <c r="AA18" i="16"/>
  <c r="AD16" i="16"/>
  <c r="BL443" i="1"/>
  <c r="AG26" i="31"/>
  <c r="BM103" i="1"/>
  <c r="BK490" i="1"/>
  <c r="BK497" i="1"/>
  <c r="BF538" i="1"/>
  <c r="J58" i="7"/>
  <c r="J60" i="7" s="1"/>
  <c r="AY73" i="31"/>
  <c r="AY74" i="31" s="1"/>
  <c r="G82" i="2"/>
  <c r="J44" i="7"/>
  <c r="DF483" i="1"/>
  <c r="DF461" i="1"/>
  <c r="DF734" i="1"/>
  <c r="DF761" i="1" s="1"/>
  <c r="BQ428" i="1"/>
  <c r="AL19" i="31"/>
  <c r="AL20" i="31" s="1"/>
  <c r="BJ509" i="1"/>
  <c r="DC672" i="1"/>
  <c r="BQ710" i="1"/>
  <c r="BF260" i="1"/>
  <c r="G38" i="30"/>
  <c r="O34" i="30"/>
  <c r="O39" i="30"/>
  <c r="Z20" i="16"/>
  <c r="Z22" i="16" s="1"/>
  <c r="Z52" i="16" s="1"/>
  <c r="Z54" i="16" s="1"/>
  <c r="Z19" i="16"/>
  <c r="O35" i="30"/>
  <c r="DC785" i="1"/>
  <c r="O40" i="30"/>
  <c r="BE725" i="1"/>
  <c r="BE704" i="1"/>
  <c r="BE7" i="31"/>
  <c r="BK463" i="1"/>
  <c r="AF32" i="31"/>
  <c r="AF33" i="31" s="1"/>
  <c r="BE589" i="1"/>
  <c r="DC589" i="1" s="1"/>
  <c r="BE599" i="1"/>
  <c r="DC567" i="1"/>
  <c r="DC568" i="1" s="1"/>
  <c r="DC587" i="1" s="1"/>
  <c r="G81" i="2"/>
  <c r="J57" i="7"/>
  <c r="BD639" i="1"/>
  <c r="BD4" i="1" s="1"/>
  <c r="BD618" i="1"/>
  <c r="DC699" i="1"/>
  <c r="BJ521" i="1"/>
  <c r="BJ513" i="1"/>
  <c r="BJ732" i="1"/>
  <c r="BJ789" i="1"/>
  <c r="BJ620" i="1"/>
  <c r="AE44" i="31"/>
  <c r="AE47" i="31" s="1"/>
  <c r="AE48" i="31" s="1"/>
  <c r="BJ787" i="1"/>
  <c r="BJ730" i="1"/>
  <c r="BJ741" i="1"/>
  <c r="BJ767" i="1" s="1"/>
  <c r="BJ740" i="1"/>
  <c r="BJ766" i="1" s="1"/>
  <c r="BJ525" i="1"/>
  <c r="BJ136" i="1"/>
  <c r="BJ838" i="1" s="1"/>
  <c r="BJ788" i="1"/>
  <c r="AE72" i="31" s="1"/>
  <c r="DI710" i="1" l="1"/>
  <c r="BJ760" i="1"/>
  <c r="AE55" i="31"/>
  <c r="BJ733" i="1"/>
  <c r="DF490" i="1"/>
  <c r="BM434" i="1"/>
  <c r="DG103" i="1"/>
  <c r="BM106" i="1"/>
  <c r="BM790" i="1" s="1"/>
  <c r="BE590" i="1"/>
  <c r="J45" i="7"/>
  <c r="J62" i="7"/>
  <c r="G83" i="2"/>
  <c r="DC841" i="1"/>
  <c r="G115" i="2" s="1"/>
  <c r="BF541" i="1"/>
  <c r="BG533" i="1"/>
  <c r="BF743" i="1"/>
  <c r="BF742" i="1"/>
  <c r="BG526" i="1"/>
  <c r="AA63" i="31"/>
  <c r="BF531" i="1"/>
  <c r="BF701" i="1"/>
  <c r="AG28" i="31"/>
  <c r="AG30" i="31" s="1"/>
  <c r="BL430" i="1"/>
  <c r="BL98" i="1"/>
  <c r="BL99" i="1"/>
  <c r="BL449" i="1"/>
  <c r="BL454" i="1"/>
  <c r="BL791" i="1"/>
  <c r="BJ759" i="1"/>
  <c r="BJ840" i="1"/>
  <c r="BJ731" i="1"/>
  <c r="AE54" i="31"/>
  <c r="DC725" i="1"/>
  <c r="BE604" i="1"/>
  <c r="DC599" i="1"/>
  <c r="DC604" i="1" s="1"/>
  <c r="BK493" i="1"/>
  <c r="AF38" i="31"/>
  <c r="BJ728" i="1"/>
  <c r="BJ729" i="1"/>
  <c r="AE51" i="31"/>
  <c r="AE50" i="31" s="1"/>
  <c r="BJ676" i="1"/>
  <c r="BK130" i="1"/>
  <c r="BK500" i="1"/>
  <c r="AF40" i="31"/>
  <c r="DF497" i="1"/>
  <c r="DC836" i="1"/>
  <c r="DC590" i="1"/>
  <c r="BJ137" i="1"/>
  <c r="BJ510" i="1"/>
  <c r="DC704" i="1"/>
  <c r="DF463" i="1"/>
  <c r="BB32" i="31"/>
  <c r="BB33" i="31" s="1"/>
  <c r="AA20" i="16"/>
  <c r="AA22" i="16" s="1"/>
  <c r="AA52" i="16" s="1"/>
  <c r="AA54" i="16" s="1"/>
  <c r="AA19" i="16"/>
  <c r="AB18" i="16"/>
  <c r="AD18" i="16"/>
  <c r="BN102" i="1" l="1"/>
  <c r="BM441" i="1"/>
  <c r="DG434" i="1"/>
  <c r="BL451" i="1"/>
  <c r="BF700" i="1"/>
  <c r="BF702" i="1"/>
  <c r="BF785" i="1" s="1"/>
  <c r="BF841" i="1" s="1"/>
  <c r="BF783" i="1"/>
  <c r="AA73" i="31" s="1"/>
  <c r="AA74" i="31" s="1"/>
  <c r="BF782" i="1"/>
  <c r="BF768" i="1"/>
  <c r="BE595" i="1"/>
  <c r="BE150" i="1"/>
  <c r="BE548" i="1"/>
  <c r="BE834" i="1"/>
  <c r="BE591" i="1"/>
  <c r="DC591" i="1" s="1"/>
  <c r="DC593" i="1" s="1"/>
  <c r="DC835" i="1" s="1"/>
  <c r="BB40" i="31"/>
  <c r="DF129" i="1"/>
  <c r="DF130" i="1"/>
  <c r="BJ758" i="1"/>
  <c r="BE607" i="1"/>
  <c r="BF769" i="1"/>
  <c r="BN101" i="1"/>
  <c r="DG106" i="1"/>
  <c r="DG790" i="1" s="1"/>
  <c r="BM572" i="1"/>
  <c r="BB38" i="31"/>
  <c r="DF493" i="1"/>
  <c r="DC150" i="1"/>
  <c r="G30" i="30"/>
  <c r="G31" i="30" s="1"/>
  <c r="DC834" i="1"/>
  <c r="DC548" i="1"/>
  <c r="DC595" i="1"/>
  <c r="BG621" i="1"/>
  <c r="BG529" i="1"/>
  <c r="DD526" i="1"/>
  <c r="BG675" i="1"/>
  <c r="BJ839" i="1"/>
  <c r="AF41" i="31"/>
  <c r="BJ757" i="1"/>
  <c r="BL461" i="1"/>
  <c r="BL734" i="1"/>
  <c r="BL761" i="1" s="1"/>
  <c r="BL483" i="1"/>
  <c r="T36" i="16"/>
  <c r="T38" i="16" s="1"/>
  <c r="G110" i="2"/>
  <c r="J81" i="7"/>
  <c r="O56" i="30"/>
  <c r="AB23" i="16"/>
  <c r="AB20" i="16"/>
  <c r="AB22" i="16" s="1"/>
  <c r="AB52" i="16" s="1"/>
  <c r="AB54" i="16" s="1"/>
  <c r="DC607" i="1"/>
  <c r="BK506" i="1"/>
  <c r="BK495" i="1"/>
  <c r="BK515" i="1"/>
  <c r="DF500" i="1"/>
  <c r="BL793" i="1"/>
  <c r="AG71" i="31" s="1"/>
  <c r="BL794" i="1"/>
  <c r="BF550" i="1"/>
  <c r="BF564" i="1" s="1"/>
  <c r="BF674" i="1"/>
  <c r="BF673" i="1"/>
  <c r="BF671" i="1"/>
  <c r="BF672" i="1" l="1"/>
  <c r="DG97" i="1"/>
  <c r="BF567" i="1"/>
  <c r="BF568" i="1" s="1"/>
  <c r="BF587" i="1" s="1"/>
  <c r="BK509" i="1"/>
  <c r="DF506" i="1"/>
  <c r="DF509" i="1" s="1"/>
  <c r="BG624" i="1"/>
  <c r="BG629" i="1" s="1"/>
  <c r="DD621" i="1"/>
  <c r="DD624" i="1" s="1"/>
  <c r="DD629" i="1" s="1"/>
  <c r="BG261" i="1"/>
  <c r="DG572" i="1"/>
  <c r="DG585" i="1" s="1"/>
  <c r="BM585" i="1"/>
  <c r="BM627" i="1"/>
  <c r="DG627" i="1" s="1"/>
  <c r="BB41" i="31"/>
  <c r="DC837" i="1"/>
  <c r="AG32" i="31"/>
  <c r="AG33" i="31" s="1"/>
  <c r="BL463" i="1"/>
  <c r="BE837" i="1"/>
  <c r="BE784" i="1"/>
  <c r="BE786" i="1"/>
  <c r="BE744" i="1"/>
  <c r="DC744" i="1" s="1"/>
  <c r="BE630" i="1"/>
  <c r="BK513" i="1"/>
  <c r="BK730" i="1"/>
  <c r="BK620" i="1"/>
  <c r="BK788" i="1"/>
  <c r="AF72" i="31" s="1"/>
  <c r="BK521" i="1"/>
  <c r="BK525" i="1"/>
  <c r="AF44" i="31"/>
  <c r="AF47" i="31" s="1"/>
  <c r="AF48" i="31" s="1"/>
  <c r="BK789" i="1"/>
  <c r="BK740" i="1"/>
  <c r="BK766" i="1" s="1"/>
  <c r="BK787" i="1"/>
  <c r="BK741" i="1"/>
  <c r="BK767" i="1" s="1"/>
  <c r="BK732" i="1"/>
  <c r="BK136" i="1"/>
  <c r="BK838" i="1" s="1"/>
  <c r="DF136" i="1"/>
  <c r="DF838" i="1" s="1"/>
  <c r="BF699" i="1"/>
  <c r="DH101" i="1"/>
  <c r="BE593" i="1"/>
  <c r="BE835" i="1" s="1"/>
  <c r="Z77" i="31"/>
  <c r="BG534" i="1"/>
  <c r="DD529" i="1"/>
  <c r="G109" i="2"/>
  <c r="O55" i="30"/>
  <c r="J80" i="7"/>
  <c r="AY77" i="31"/>
  <c r="DF495" i="1"/>
  <c r="DF515" i="1"/>
  <c r="BL497" i="1"/>
  <c r="BL490" i="1"/>
  <c r="DD675" i="1"/>
  <c r="DC786" i="1"/>
  <c r="DC784" i="1"/>
  <c r="BN103" i="1"/>
  <c r="BN106" i="1" s="1"/>
  <c r="BM443" i="1"/>
  <c r="AH26" i="31"/>
  <c r="DG441" i="1"/>
  <c r="BC26" i="31" s="1"/>
  <c r="BC29" i="31" s="1"/>
  <c r="BO101" i="1" l="1"/>
  <c r="BN572" i="1"/>
  <c r="BF836" i="1"/>
  <c r="DF620" i="1"/>
  <c r="DF741" i="1"/>
  <c r="DF767" i="1" s="1"/>
  <c r="DF787" i="1"/>
  <c r="DF730" i="1"/>
  <c r="DF788" i="1"/>
  <c r="BB72" i="31" s="1"/>
  <c r="DF740" i="1"/>
  <c r="DF766" i="1" s="1"/>
  <c r="DF789" i="1"/>
  <c r="DF732" i="1"/>
  <c r="DF513" i="1"/>
  <c r="BB44" i="31"/>
  <c r="BB47" i="31" s="1"/>
  <c r="BB48" i="31" s="1"/>
  <c r="AH28" i="31"/>
  <c r="AH30" i="31" s="1"/>
  <c r="BM98" i="1"/>
  <c r="BM449" i="1"/>
  <c r="BM99" i="1"/>
  <c r="BM430" i="1"/>
  <c r="BM454" i="1"/>
  <c r="DG443" i="1"/>
  <c r="BM791" i="1"/>
  <c r="BL130" i="1"/>
  <c r="AG40" i="31"/>
  <c r="BL500" i="1"/>
  <c r="BK759" i="1"/>
  <c r="AF54" i="31"/>
  <c r="BK840" i="1"/>
  <c r="BK731" i="1"/>
  <c r="O57" i="30"/>
  <c r="G111" i="2"/>
  <c r="AY78" i="31"/>
  <c r="J82" i="7"/>
  <c r="BK510" i="1"/>
  <c r="BK137" i="1"/>
  <c r="DF521" i="1"/>
  <c r="BL493" i="1"/>
  <c r="AG38" i="31"/>
  <c r="DD534" i="1"/>
  <c r="DD538" i="1" s="1"/>
  <c r="BG538" i="1"/>
  <c r="BF725" i="1"/>
  <c r="BF704" i="1"/>
  <c r="AF55" i="31"/>
  <c r="BK760" i="1"/>
  <c r="BK733" i="1"/>
  <c r="BN434" i="1"/>
  <c r="BN790" i="1"/>
  <c r="AF51" i="31"/>
  <c r="AF50" i="31" s="1"/>
  <c r="BK729" i="1"/>
  <c r="BK728" i="1"/>
  <c r="DF525" i="1"/>
  <c r="BK676" i="1"/>
  <c r="BE631" i="1"/>
  <c r="DC630" i="1"/>
  <c r="DC631" i="1" s="1"/>
  <c r="Z78" i="31"/>
  <c r="BG260" i="1"/>
  <c r="DD260" i="1" s="1"/>
  <c r="DD261" i="1" s="1"/>
  <c r="BF599" i="1"/>
  <c r="BF604" i="1" s="1"/>
  <c r="BF589" i="1"/>
  <c r="BF590" i="1" s="1"/>
  <c r="BM793" i="1" l="1"/>
  <c r="AH71" i="31" s="1"/>
  <c r="BM794" i="1"/>
  <c r="BF150" i="1"/>
  <c r="BF548" i="1"/>
  <c r="BF834" i="1"/>
  <c r="BF591" i="1"/>
  <c r="BF593" i="1" s="1"/>
  <c r="BF835" i="1" s="1"/>
  <c r="BF595" i="1"/>
  <c r="DF676" i="1"/>
  <c r="BK758" i="1"/>
  <c r="BL506" i="1"/>
  <c r="BL495" i="1"/>
  <c r="BL515" i="1"/>
  <c r="BM451" i="1"/>
  <c r="DG449" i="1"/>
  <c r="DG451" i="1" s="1"/>
  <c r="DG98" i="1"/>
  <c r="BC28" i="31"/>
  <c r="BC30" i="31" s="1"/>
  <c r="DG99" i="1"/>
  <c r="DG430" i="1"/>
  <c r="DG454" i="1"/>
  <c r="DG791" i="1"/>
  <c r="BN585" i="1"/>
  <c r="BN627" i="1"/>
  <c r="DF840" i="1"/>
  <c r="DF759" i="1"/>
  <c r="BB54" i="31"/>
  <c r="DF731" i="1"/>
  <c r="BK839" i="1"/>
  <c r="DF137" i="1"/>
  <c r="DF728" i="1"/>
  <c r="DF729" i="1"/>
  <c r="BB51" i="31"/>
  <c r="BB50" i="31" s="1"/>
  <c r="DF510" i="1"/>
  <c r="BO102" i="1"/>
  <c r="DH102" i="1" s="1"/>
  <c r="DH96" i="1" s="1"/>
  <c r="BN441" i="1"/>
  <c r="BB55" i="31"/>
  <c r="DF733" i="1"/>
  <c r="DF760" i="1"/>
  <c r="BG531" i="1"/>
  <c r="BH526" i="1"/>
  <c r="BG742" i="1"/>
  <c r="BH533" i="1"/>
  <c r="BG541" i="1"/>
  <c r="BG743" i="1"/>
  <c r="AB63" i="31"/>
  <c r="BG701" i="1"/>
  <c r="AG41" i="31"/>
  <c r="BM734" i="1"/>
  <c r="BM761" i="1" s="1"/>
  <c r="BM461" i="1"/>
  <c r="BM483" i="1"/>
  <c r="BE618" i="1"/>
  <c r="BE639" i="1"/>
  <c r="BE4" i="1" s="1"/>
  <c r="DC618" i="1"/>
  <c r="DC639" i="1"/>
  <c r="BK757" i="1"/>
  <c r="DD743" i="1"/>
  <c r="DE533" i="1"/>
  <c r="DD742" i="1"/>
  <c r="DD541" i="1"/>
  <c r="DD531" i="1"/>
  <c r="AZ63" i="31"/>
  <c r="U23" i="16"/>
  <c r="BF607" i="1"/>
  <c r="BO103" i="1"/>
  <c r="BO106" i="1" s="1"/>
  <c r="BP101" i="1" l="1"/>
  <c r="DH106" i="1"/>
  <c r="BO572" i="1"/>
  <c r="BF837" i="1"/>
  <c r="DD550" i="1"/>
  <c r="DD564" i="1" s="1"/>
  <c r="BG550" i="1"/>
  <c r="BG564" i="1" s="1"/>
  <c r="BG671" i="1"/>
  <c r="BG673" i="1"/>
  <c r="BG674" i="1"/>
  <c r="BH621" i="1"/>
  <c r="BH529" i="1"/>
  <c r="BH675" i="1"/>
  <c r="AI26" i="31"/>
  <c r="BN443" i="1"/>
  <c r="U34" i="16"/>
  <c r="U25" i="16"/>
  <c r="U26" i="16" s="1"/>
  <c r="V23" i="16"/>
  <c r="U37" i="16"/>
  <c r="U30" i="16"/>
  <c r="BG700" i="1"/>
  <c r="BG702" i="1"/>
  <c r="BG785" i="1" s="1"/>
  <c r="BG841" i="1" s="1"/>
  <c r="BG783" i="1"/>
  <c r="AB73" i="31" s="1"/>
  <c r="AB74" i="31" s="1"/>
  <c r="BG782" i="1"/>
  <c r="DD701" i="1"/>
  <c r="DD768" i="1"/>
  <c r="DF839" i="1"/>
  <c r="DF131" i="1"/>
  <c r="AH32" i="31"/>
  <c r="AH33" i="31" s="1"/>
  <c r="BM463" i="1"/>
  <c r="DG483" i="1"/>
  <c r="DG734" i="1"/>
  <c r="DG761" i="1" s="1"/>
  <c r="DG461" i="1"/>
  <c r="BL788" i="1"/>
  <c r="AG72" i="31" s="1"/>
  <c r="BL789" i="1"/>
  <c r="BL787" i="1"/>
  <c r="BL740" i="1"/>
  <c r="BL766" i="1" s="1"/>
  <c r="AG44" i="31"/>
  <c r="AG47" i="31" s="1"/>
  <c r="AG48" i="31" s="1"/>
  <c r="BL136" i="1"/>
  <c r="BL838" i="1" s="1"/>
  <c r="BL732" i="1"/>
  <c r="BL525" i="1"/>
  <c r="BL730" i="1"/>
  <c r="BL513" i="1"/>
  <c r="BL620" i="1"/>
  <c r="BL741" i="1"/>
  <c r="BL767" i="1" s="1"/>
  <c r="BL521" i="1"/>
  <c r="BF784" i="1"/>
  <c r="BF786" i="1"/>
  <c r="BF744" i="1"/>
  <c r="BF630" i="1"/>
  <c r="DF757" i="1"/>
  <c r="BM497" i="1"/>
  <c r="BM490" i="1"/>
  <c r="DF758" i="1"/>
  <c r="BL509" i="1"/>
  <c r="BO434" i="1"/>
  <c r="BO790" i="1"/>
  <c r="DH103" i="1"/>
  <c r="DD769" i="1"/>
  <c r="BG769" i="1"/>
  <c r="BG768" i="1"/>
  <c r="DG793" i="1"/>
  <c r="BC71" i="31" s="1"/>
  <c r="DG794" i="1"/>
  <c r="AA77" i="31"/>
  <c r="BG672" i="1" l="1"/>
  <c r="DH97" i="1"/>
  <c r="DH790" i="1"/>
  <c r="BL137" i="1"/>
  <c r="BL510" i="1"/>
  <c r="BO627" i="1"/>
  <c r="DH627" i="1" s="1"/>
  <c r="BO585" i="1"/>
  <c r="DH572" i="1"/>
  <c r="DH585" i="1" s="1"/>
  <c r="BP102" i="1"/>
  <c r="BP103" i="1" s="1"/>
  <c r="BO441" i="1"/>
  <c r="DH434" i="1"/>
  <c r="AH40" i="31"/>
  <c r="BM130" i="1"/>
  <c r="BM500" i="1"/>
  <c r="DG497" i="1"/>
  <c r="DD702" i="1"/>
  <c r="DD785" i="1" s="1"/>
  <c r="DD841" i="1" s="1"/>
  <c r="DD783" i="1"/>
  <c r="AZ73" i="31" s="1"/>
  <c r="AZ74" i="31" s="1"/>
  <c r="DD782" i="1"/>
  <c r="BG699" i="1"/>
  <c r="DD700" i="1"/>
  <c r="DD673" i="1"/>
  <c r="BG567" i="1"/>
  <c r="BG568" i="1" s="1"/>
  <c r="BG587" i="1" s="1"/>
  <c r="AG54" i="31"/>
  <c r="BL731" i="1"/>
  <c r="BL759" i="1"/>
  <c r="BL840" i="1"/>
  <c r="V34" i="16"/>
  <c r="V37" i="16"/>
  <c r="V25" i="16"/>
  <c r="V26" i="16" s="1"/>
  <c r="W23" i="16"/>
  <c r="V30" i="16"/>
  <c r="BH624" i="1"/>
  <c r="BH629" i="1" s="1"/>
  <c r="BH261" i="1"/>
  <c r="AA78" i="31"/>
  <c r="U27" i="16"/>
  <c r="U28" i="16"/>
  <c r="DD674" i="1"/>
  <c r="DG463" i="1"/>
  <c r="BC32" i="31"/>
  <c r="BC33" i="31" s="1"/>
  <c r="DD671" i="1"/>
  <c r="DI101" i="1"/>
  <c r="DG490" i="1"/>
  <c r="DD672" i="1"/>
  <c r="AG51" i="31"/>
  <c r="AG50" i="31" s="1"/>
  <c r="BL728" i="1"/>
  <c r="BL729" i="1"/>
  <c r="BL676" i="1"/>
  <c r="BN98" i="1"/>
  <c r="BN430" i="1"/>
  <c r="BN449" i="1"/>
  <c r="BN99" i="1"/>
  <c r="AI28" i="31"/>
  <c r="AI30" i="31" s="1"/>
  <c r="BN454" i="1"/>
  <c r="BN791" i="1"/>
  <c r="AH38" i="31"/>
  <c r="BM493" i="1"/>
  <c r="BL733" i="1"/>
  <c r="AG55" i="31"/>
  <c r="BL760" i="1"/>
  <c r="BF631" i="1"/>
  <c r="BH534" i="1"/>
  <c r="AH41" i="31" l="1"/>
  <c r="BP106" i="1"/>
  <c r="BP434" i="1"/>
  <c r="BH260" i="1"/>
  <c r="BG836" i="1"/>
  <c r="BL839" i="1"/>
  <c r="BN793" i="1"/>
  <c r="AI71" i="31" s="1"/>
  <c r="BN794" i="1"/>
  <c r="DD699" i="1"/>
  <c r="BL757" i="1"/>
  <c r="BG589" i="1"/>
  <c r="DD589" i="1" s="1"/>
  <c r="BG599" i="1"/>
  <c r="DD567" i="1"/>
  <c r="DD568" i="1" s="1"/>
  <c r="DD587" i="1" s="1"/>
  <c r="W34" i="16"/>
  <c r="W37" i="16"/>
  <c r="X23" i="16"/>
  <c r="W25" i="16"/>
  <c r="W26" i="16" s="1"/>
  <c r="W30" i="16"/>
  <c r="DG130" i="1"/>
  <c r="BC40" i="31"/>
  <c r="DG129" i="1"/>
  <c r="BL758" i="1"/>
  <c r="BM506" i="1"/>
  <c r="BM495" i="1"/>
  <c r="BM515" i="1"/>
  <c r="DG500" i="1"/>
  <c r="DG493" i="1"/>
  <c r="BC38" i="31"/>
  <c r="BF618" i="1"/>
  <c r="BF639" i="1"/>
  <c r="BF4" i="1" s="1"/>
  <c r="BH538" i="1"/>
  <c r="BN734" i="1"/>
  <c r="BN761" i="1" s="1"/>
  <c r="BN483" i="1"/>
  <c r="BN461" i="1"/>
  <c r="BN451" i="1"/>
  <c r="V28" i="16"/>
  <c r="V27" i="16"/>
  <c r="BG725" i="1"/>
  <c r="BG704" i="1"/>
  <c r="BO443" i="1"/>
  <c r="AJ26" i="31"/>
  <c r="DH441" i="1"/>
  <c r="BD26" i="31" s="1"/>
  <c r="BD29" i="31" s="1"/>
  <c r="BO99" i="1" l="1"/>
  <c r="BO449" i="1"/>
  <c r="BO98" i="1"/>
  <c r="AJ28" i="31"/>
  <c r="AJ30" i="31" s="1"/>
  <c r="BO430" i="1"/>
  <c r="BO454" i="1"/>
  <c r="BO791" i="1"/>
  <c r="DH443" i="1"/>
  <c r="BM509" i="1"/>
  <c r="DG506" i="1"/>
  <c r="DG509" i="1" s="1"/>
  <c r="BN490" i="1"/>
  <c r="BN497" i="1"/>
  <c r="DG495" i="1"/>
  <c r="DG515" i="1"/>
  <c r="BM525" i="1"/>
  <c r="BM513" i="1"/>
  <c r="BM620" i="1"/>
  <c r="BM521" i="1"/>
  <c r="BM788" i="1"/>
  <c r="AH72" i="31" s="1"/>
  <c r="AH44" i="31"/>
  <c r="AH47" i="31" s="1"/>
  <c r="AH48" i="31" s="1"/>
  <c r="BM740" i="1"/>
  <c r="BM766" i="1" s="1"/>
  <c r="BM732" i="1"/>
  <c r="BM789" i="1"/>
  <c r="BM136" i="1"/>
  <c r="BM838" i="1" s="1"/>
  <c r="BM787" i="1"/>
  <c r="BM730" i="1"/>
  <c r="BM741" i="1"/>
  <c r="BM767" i="1" s="1"/>
  <c r="DG136" i="1"/>
  <c r="DG838" i="1" s="1"/>
  <c r="AC63" i="31"/>
  <c r="BH541" i="1"/>
  <c r="BI533" i="1"/>
  <c r="BI526" i="1"/>
  <c r="BH743" i="1"/>
  <c r="BH742" i="1"/>
  <c r="BH531" i="1"/>
  <c r="BH701" i="1"/>
  <c r="W28" i="16"/>
  <c r="W27" i="16"/>
  <c r="BQ102" i="1"/>
  <c r="DI102" i="1" s="1"/>
  <c r="DI96" i="1" s="1"/>
  <c r="BP441" i="1"/>
  <c r="BC41" i="31"/>
  <c r="DD725" i="1"/>
  <c r="DD704" i="1"/>
  <c r="DD836" i="1"/>
  <c r="DD590" i="1"/>
  <c r="BG604" i="1"/>
  <c r="DD599" i="1"/>
  <c r="DD604" i="1" s="1"/>
  <c r="BN463" i="1"/>
  <c r="AI32" i="31"/>
  <c r="AI33" i="31" s="1"/>
  <c r="Y23" i="16"/>
  <c r="X37" i="16"/>
  <c r="X34" i="16"/>
  <c r="X25" i="16"/>
  <c r="X26" i="16" s="1"/>
  <c r="X30" i="16"/>
  <c r="BG590" i="1"/>
  <c r="BP790" i="1"/>
  <c r="BQ101" i="1"/>
  <c r="BP572" i="1"/>
  <c r="DD607" i="1" l="1"/>
  <c r="BO793" i="1"/>
  <c r="AJ71" i="31" s="1"/>
  <c r="BO794" i="1"/>
  <c r="DD837" i="1"/>
  <c r="BH768" i="1"/>
  <c r="DG787" i="1"/>
  <c r="DG730" i="1"/>
  <c r="BC44" i="31"/>
  <c r="BC47" i="31" s="1"/>
  <c r="BC48" i="31" s="1"/>
  <c r="DG788" i="1"/>
  <c r="BC72" i="31" s="1"/>
  <c r="DG789" i="1"/>
  <c r="DG741" i="1"/>
  <c r="DG767" i="1" s="1"/>
  <c r="DG620" i="1"/>
  <c r="DG513" i="1"/>
  <c r="DG732" i="1"/>
  <c r="DG740" i="1"/>
  <c r="DG766" i="1" s="1"/>
  <c r="DD834" i="1"/>
  <c r="DD595" i="1"/>
  <c r="DD150" i="1"/>
  <c r="DD548" i="1"/>
  <c r="BH769" i="1"/>
  <c r="BG591" i="1"/>
  <c r="DD591" i="1" s="1"/>
  <c r="DD593" i="1" s="1"/>
  <c r="DD835" i="1" s="1"/>
  <c r="BG150" i="1"/>
  <c r="BG834" i="1"/>
  <c r="BG548" i="1"/>
  <c r="BG595" i="1"/>
  <c r="Y34" i="16"/>
  <c r="Z23" i="16"/>
  <c r="Y37" i="16"/>
  <c r="Y25" i="16"/>
  <c r="Y26" i="16" s="1"/>
  <c r="Y30" i="16"/>
  <c r="BG607" i="1"/>
  <c r="AH54" i="31"/>
  <c r="BM759" i="1"/>
  <c r="BM731" i="1"/>
  <c r="BM840" i="1"/>
  <c r="BM728" i="1"/>
  <c r="AH51" i="31"/>
  <c r="AH50" i="31" s="1"/>
  <c r="BM729" i="1"/>
  <c r="DG525" i="1"/>
  <c r="BM676" i="1"/>
  <c r="BI621" i="1"/>
  <c r="BI529" i="1"/>
  <c r="DE526" i="1"/>
  <c r="BI675" i="1"/>
  <c r="BM137" i="1"/>
  <c r="BM510" i="1"/>
  <c r="BP627" i="1"/>
  <c r="BP585" i="1"/>
  <c r="DG521" i="1"/>
  <c r="BN493" i="1"/>
  <c r="AI38" i="31"/>
  <c r="BD28" i="31"/>
  <c r="BD30" i="31" s="1"/>
  <c r="DH99" i="1"/>
  <c r="DH98" i="1"/>
  <c r="DH430" i="1"/>
  <c r="DH454" i="1"/>
  <c r="DH791" i="1"/>
  <c r="X28" i="16"/>
  <c r="X27" i="16"/>
  <c r="BQ103" i="1"/>
  <c r="BQ106" i="1" s="1"/>
  <c r="U36" i="16"/>
  <c r="U38" i="16" s="1"/>
  <c r="V38" i="16" s="1"/>
  <c r="BP443" i="1"/>
  <c r="AK26" i="31"/>
  <c r="BH702" i="1"/>
  <c r="BH785" i="1" s="1"/>
  <c r="BH841" i="1" s="1"/>
  <c r="BH700" i="1"/>
  <c r="BH783" i="1"/>
  <c r="AC73" i="31" s="1"/>
  <c r="AC74" i="31" s="1"/>
  <c r="BH782" i="1"/>
  <c r="AH55" i="31"/>
  <c r="BM733" i="1"/>
  <c r="BM760" i="1"/>
  <c r="BN130" i="1"/>
  <c r="BN500" i="1"/>
  <c r="AI40" i="31"/>
  <c r="BO461" i="1"/>
  <c r="BO483" i="1"/>
  <c r="BO734" i="1"/>
  <c r="BO761" i="1" s="1"/>
  <c r="BO451" i="1"/>
  <c r="DH449" i="1"/>
  <c r="DH451" i="1" s="1"/>
  <c r="BH550" i="1"/>
  <c r="BH564" i="1" s="1"/>
  <c r="BH674" i="1"/>
  <c r="BH673" i="1"/>
  <c r="BH671" i="1"/>
  <c r="AI41" i="31" l="1"/>
  <c r="DI106" i="1"/>
  <c r="BQ572" i="1"/>
  <c r="BP449" i="1"/>
  <c r="BP99" i="1"/>
  <c r="BP98" i="1"/>
  <c r="AK28" i="31"/>
  <c r="AK30" i="31" s="1"/>
  <c r="BP430" i="1"/>
  <c r="BP454" i="1"/>
  <c r="BP791" i="1"/>
  <c r="DH793" i="1"/>
  <c r="BD71" i="31" s="1"/>
  <c r="DH794" i="1"/>
  <c r="AB77" i="31"/>
  <c r="BH672" i="1"/>
  <c r="BM758" i="1"/>
  <c r="AJ32" i="31"/>
  <c r="AJ33" i="31" s="1"/>
  <c r="BO463" i="1"/>
  <c r="DH734" i="1"/>
  <c r="DH761" i="1" s="1"/>
  <c r="DH483" i="1"/>
  <c r="DH461" i="1"/>
  <c r="BI624" i="1"/>
  <c r="BI629" i="1" s="1"/>
  <c r="DE621" i="1"/>
  <c r="DE624" i="1" s="1"/>
  <c r="DE629" i="1" s="1"/>
  <c r="BI261" i="1"/>
  <c r="BG837" i="1"/>
  <c r="DE675" i="1"/>
  <c r="BC54" i="31"/>
  <c r="DG759" i="1"/>
  <c r="DG731" i="1"/>
  <c r="DG840" i="1"/>
  <c r="BH699" i="1"/>
  <c r="W38" i="16"/>
  <c r="V36" i="16"/>
  <c r="Z25" i="16"/>
  <c r="Z26" i="16" s="1"/>
  <c r="Z37" i="16"/>
  <c r="Z34" i="16"/>
  <c r="AA23" i="16"/>
  <c r="Z30" i="16"/>
  <c r="BN495" i="1"/>
  <c r="BN506" i="1"/>
  <c r="BN515" i="1"/>
  <c r="DG676" i="1"/>
  <c r="BG593" i="1"/>
  <c r="BG835" i="1" s="1"/>
  <c r="DD784" i="1"/>
  <c r="DD786" i="1"/>
  <c r="DG733" i="1"/>
  <c r="BC55" i="31"/>
  <c r="DG760" i="1"/>
  <c r="BH567" i="1"/>
  <c r="BH568" i="1" s="1"/>
  <c r="BH587" i="1" s="1"/>
  <c r="Y28" i="16"/>
  <c r="Y27" i="16"/>
  <c r="BO497" i="1"/>
  <c r="BO490" i="1"/>
  <c r="BI534" i="1"/>
  <c r="DE529" i="1"/>
  <c r="BQ434" i="1"/>
  <c r="BQ790" i="1"/>
  <c r="DI103" i="1"/>
  <c r="DG137" i="1"/>
  <c r="BM839" i="1"/>
  <c r="BC51" i="31"/>
  <c r="BC50" i="31" s="1"/>
  <c r="DG728" i="1"/>
  <c r="DG729" i="1"/>
  <c r="BM757" i="1"/>
  <c r="BG786" i="1"/>
  <c r="BG784" i="1"/>
  <c r="BG744" i="1"/>
  <c r="DD744" i="1" s="1"/>
  <c r="BG630" i="1"/>
  <c r="AZ77" i="31"/>
  <c r="AZ78" i="31"/>
  <c r="DG510" i="1"/>
  <c r="BH836" i="1" l="1"/>
  <c r="BN509" i="1"/>
  <c r="BP451" i="1"/>
  <c r="BQ441" i="1"/>
  <c r="DI434" i="1"/>
  <c r="X38" i="16"/>
  <c r="W36" i="16"/>
  <c r="BI260" i="1"/>
  <c r="DE260" i="1" s="1"/>
  <c r="DE261" i="1" s="1"/>
  <c r="BP793" i="1"/>
  <c r="AK71" i="31" s="1"/>
  <c r="BP794" i="1"/>
  <c r="BQ627" i="1"/>
  <c r="DI627" i="1" s="1"/>
  <c r="DI572" i="1"/>
  <c r="DI585" i="1" s="1"/>
  <c r="BQ585" i="1"/>
  <c r="DG757" i="1"/>
  <c r="BP461" i="1"/>
  <c r="BP483" i="1"/>
  <c r="BP734" i="1"/>
  <c r="BP761" i="1" s="1"/>
  <c r="DI97" i="1"/>
  <c r="DI790" i="1"/>
  <c r="DH490" i="1"/>
  <c r="BO130" i="1"/>
  <c r="AJ40" i="31"/>
  <c r="BO500" i="1"/>
  <c r="DH497" i="1"/>
  <c r="BH589" i="1"/>
  <c r="BH590" i="1" s="1"/>
  <c r="BH599" i="1"/>
  <c r="BH604" i="1" s="1"/>
  <c r="AA25" i="16"/>
  <c r="AA26" i="16" s="1"/>
  <c r="AA34" i="16"/>
  <c r="AD34" i="16" s="1"/>
  <c r="AA37" i="16"/>
  <c r="AA30" i="16"/>
  <c r="AD30" i="16" s="1"/>
  <c r="AB25" i="16"/>
  <c r="AB26" i="16" s="1"/>
  <c r="AB28" i="16" s="1"/>
  <c r="AB42" i="16" s="1"/>
  <c r="AB40" i="16"/>
  <c r="AB78" i="31"/>
  <c r="AJ38" i="31"/>
  <c r="BO493" i="1"/>
  <c r="Z28" i="16"/>
  <c r="Z27" i="16"/>
  <c r="DH463" i="1"/>
  <c r="BD32" i="31"/>
  <c r="BD33" i="31" s="1"/>
  <c r="BG631" i="1"/>
  <c r="DD630" i="1"/>
  <c r="DD631" i="1" s="1"/>
  <c r="DG758" i="1"/>
  <c r="DG839" i="1"/>
  <c r="DG131" i="1"/>
  <c r="DE534" i="1"/>
  <c r="DE538" i="1" s="1"/>
  <c r="BI538" i="1"/>
  <c r="BN740" i="1"/>
  <c r="BN766" i="1" s="1"/>
  <c r="BN730" i="1"/>
  <c r="BN513" i="1"/>
  <c r="BN521" i="1"/>
  <c r="BN741" i="1"/>
  <c r="BN767" i="1" s="1"/>
  <c r="BN789" i="1"/>
  <c r="BN788" i="1"/>
  <c r="AI72" i="31" s="1"/>
  <c r="BN620" i="1"/>
  <c r="BN787" i="1"/>
  <c r="BN525" i="1"/>
  <c r="BN136" i="1"/>
  <c r="BN838" i="1" s="1"/>
  <c r="BN732" i="1"/>
  <c r="AI44" i="31"/>
  <c r="AI47" i="31" s="1"/>
  <c r="AI48" i="31" s="1"/>
  <c r="BH725" i="1"/>
  <c r="BH704" i="1"/>
  <c r="BH595" i="1" l="1"/>
  <c r="BH150" i="1"/>
  <c r="BH591" i="1"/>
  <c r="BH593" i="1" s="1"/>
  <c r="BH835" i="1" s="1"/>
  <c r="BH548" i="1"/>
  <c r="BH834" i="1"/>
  <c r="DE742" i="1"/>
  <c r="DE531" i="1"/>
  <c r="DE541" i="1"/>
  <c r="DF533" i="1"/>
  <c r="BA63" i="31"/>
  <c r="DE743" i="1"/>
  <c r="Y38" i="16"/>
  <c r="X36" i="16"/>
  <c r="DH130" i="1"/>
  <c r="DH129" i="1"/>
  <c r="BD40" i="31"/>
  <c r="BN510" i="1"/>
  <c r="BN137" i="1"/>
  <c r="BO495" i="1"/>
  <c r="BO506" i="1"/>
  <c r="BO515" i="1"/>
  <c r="DH500" i="1"/>
  <c r="BP463" i="1"/>
  <c r="AK32" i="31"/>
  <c r="AK33" i="31" s="1"/>
  <c r="BG639" i="1"/>
  <c r="BG4" i="1" s="1"/>
  <c r="BG618" i="1"/>
  <c r="AI55" i="31"/>
  <c r="BN733" i="1"/>
  <c r="BN760" i="1"/>
  <c r="AA28" i="16"/>
  <c r="AB41" i="16" s="1"/>
  <c r="AA27" i="16"/>
  <c r="AJ41" i="31"/>
  <c r="BH607" i="1"/>
  <c r="AI51" i="31"/>
  <c r="AI50" i="31" s="1"/>
  <c r="BN729" i="1"/>
  <c r="BN728" i="1"/>
  <c r="BN676" i="1"/>
  <c r="BP490" i="1"/>
  <c r="BP497" i="1"/>
  <c r="DD639" i="1"/>
  <c r="DD618" i="1"/>
  <c r="BD38" i="31"/>
  <c r="DH493" i="1"/>
  <c r="AL26" i="31"/>
  <c r="BQ443" i="1"/>
  <c r="DI441" i="1"/>
  <c r="BE26" i="31" s="1"/>
  <c r="BE29" i="31" s="1"/>
  <c r="BN759" i="1"/>
  <c r="BN840" i="1"/>
  <c r="AI54" i="31"/>
  <c r="BN731" i="1"/>
  <c r="BJ526" i="1"/>
  <c r="BI541" i="1"/>
  <c r="BJ533" i="1"/>
  <c r="AD63" i="31"/>
  <c r="BI742" i="1"/>
  <c r="BI531" i="1"/>
  <c r="BI743" i="1"/>
  <c r="BI701" i="1"/>
  <c r="AK40" i="31" l="1"/>
  <c r="BP130" i="1"/>
  <c r="BP500" i="1"/>
  <c r="DE769" i="1"/>
  <c r="BI700" i="1"/>
  <c r="BI702" i="1"/>
  <c r="BI785" i="1" s="1"/>
  <c r="BI841" i="1" s="1"/>
  <c r="BI783" i="1"/>
  <c r="AD73" i="31" s="1"/>
  <c r="AD74" i="31" s="1"/>
  <c r="BI782" i="1"/>
  <c r="DE701" i="1"/>
  <c r="BI550" i="1"/>
  <c r="BI564" i="1" s="1"/>
  <c r="BI567" i="1" s="1"/>
  <c r="BI673" i="1"/>
  <c r="BI671" i="1"/>
  <c r="BI674" i="1"/>
  <c r="DE550" i="1"/>
  <c r="DE564" i="1" s="1"/>
  <c r="BJ621" i="1"/>
  <c r="BJ529" i="1"/>
  <c r="BJ675" i="1"/>
  <c r="BP493" i="1"/>
  <c r="AK38" i="31"/>
  <c r="BO509" i="1"/>
  <c r="DH506" i="1"/>
  <c r="DH509" i="1" s="1"/>
  <c r="BD41" i="31"/>
  <c r="BN839" i="1"/>
  <c r="AL28" i="31"/>
  <c r="AL30" i="31" s="1"/>
  <c r="BQ449" i="1"/>
  <c r="BQ99" i="1"/>
  <c r="BQ98" i="1"/>
  <c r="BQ430" i="1"/>
  <c r="BQ454" i="1"/>
  <c r="BQ791" i="1"/>
  <c r="DI443" i="1"/>
  <c r="BH837" i="1"/>
  <c r="DH495" i="1"/>
  <c r="DH515" i="1"/>
  <c r="AC77" i="31"/>
  <c r="AJ44" i="31"/>
  <c r="AJ47" i="31" s="1"/>
  <c r="AJ48" i="31" s="1"/>
  <c r="BO620" i="1"/>
  <c r="BO730" i="1"/>
  <c r="BO787" i="1"/>
  <c r="BO521" i="1"/>
  <c r="BO788" i="1"/>
  <c r="AJ72" i="31" s="1"/>
  <c r="BO741" i="1"/>
  <c r="BO767" i="1" s="1"/>
  <c r="BO789" i="1"/>
  <c r="BO513" i="1"/>
  <c r="BO525" i="1"/>
  <c r="BO676" i="1" s="1"/>
  <c r="BO740" i="1"/>
  <c r="BO766" i="1" s="1"/>
  <c r="BO732" i="1"/>
  <c r="BO136" i="1"/>
  <c r="BO838" i="1" s="1"/>
  <c r="DH136" i="1"/>
  <c r="DH838" i="1" s="1"/>
  <c r="Z38" i="16"/>
  <c r="Y36" i="16"/>
  <c r="AB43" i="16"/>
  <c r="AC41" i="16" s="1"/>
  <c r="DE768" i="1"/>
  <c r="BN757" i="1"/>
  <c r="BI769" i="1"/>
  <c r="BI768" i="1"/>
  <c r="BN758" i="1"/>
  <c r="BH786" i="1"/>
  <c r="BH784" i="1"/>
  <c r="BH744" i="1"/>
  <c r="BH630" i="1"/>
  <c r="BO510" i="1" l="1"/>
  <c r="BI672" i="1"/>
  <c r="DE672" i="1" s="1"/>
  <c r="DE674" i="1"/>
  <c r="DE673" i="1"/>
  <c r="BO728" i="1"/>
  <c r="BO729" i="1"/>
  <c r="AJ51" i="31"/>
  <c r="AJ50" i="31" s="1"/>
  <c r="DH525" i="1"/>
  <c r="DH521" i="1"/>
  <c r="BJ534" i="1"/>
  <c r="BI699" i="1"/>
  <c r="DE700" i="1"/>
  <c r="BP495" i="1"/>
  <c r="BP506" i="1"/>
  <c r="BP515" i="1"/>
  <c r="BH631" i="1"/>
  <c r="DH732" i="1"/>
  <c r="DH741" i="1"/>
  <c r="DH767" i="1" s="1"/>
  <c r="DH730" i="1"/>
  <c r="DH789" i="1"/>
  <c r="DH513" i="1"/>
  <c r="DH620" i="1"/>
  <c r="BD44" i="31"/>
  <c r="BD47" i="31" s="1"/>
  <c r="BD48" i="31" s="1"/>
  <c r="DH787" i="1"/>
  <c r="DH788" i="1"/>
  <c r="BD72" i="31" s="1"/>
  <c r="DH740" i="1"/>
  <c r="DH766" i="1" s="1"/>
  <c r="DE671" i="1"/>
  <c r="DH676" i="1"/>
  <c r="AC78" i="31"/>
  <c r="BQ461" i="1"/>
  <c r="BQ734" i="1"/>
  <c r="BQ761" i="1" s="1"/>
  <c r="BQ483" i="1"/>
  <c r="BQ451" i="1"/>
  <c r="DI449" i="1"/>
  <c r="DI451" i="1" s="1"/>
  <c r="AC40" i="16"/>
  <c r="AE44" i="16"/>
  <c r="AB48" i="16"/>
  <c r="AB44" i="16"/>
  <c r="AC42" i="16"/>
  <c r="BQ793" i="1"/>
  <c r="AL71" i="31" s="1"/>
  <c r="BQ794" i="1"/>
  <c r="DE702" i="1"/>
  <c r="DE785" i="1" s="1"/>
  <c r="DE841" i="1" s="1"/>
  <c r="DE783" i="1"/>
  <c r="BA73" i="31" s="1"/>
  <c r="BA74" i="31" s="1"/>
  <c r="DE782" i="1"/>
  <c r="DI99" i="1"/>
  <c r="BE28" i="31"/>
  <c r="BE30" i="31" s="1"/>
  <c r="DI430" i="1"/>
  <c r="DI98" i="1"/>
  <c r="DI454" i="1"/>
  <c r="DI791" i="1"/>
  <c r="AK41" i="31"/>
  <c r="Z36" i="16"/>
  <c r="AA38" i="16"/>
  <c r="AA36" i="16" s="1"/>
  <c r="BO733" i="1"/>
  <c r="AJ55" i="31"/>
  <c r="BO760" i="1"/>
  <c r="BO759" i="1"/>
  <c r="AJ54" i="31"/>
  <c r="BO731" i="1"/>
  <c r="BO840" i="1"/>
  <c r="BO137" i="1"/>
  <c r="BJ624" i="1"/>
  <c r="BJ629" i="1" s="1"/>
  <c r="BJ261" i="1"/>
  <c r="BI568" i="1"/>
  <c r="BI587" i="1" s="1"/>
  <c r="BI599" i="1"/>
  <c r="DE567" i="1"/>
  <c r="DE568" i="1" s="1"/>
  <c r="DE587" i="1" s="1"/>
  <c r="BI589" i="1"/>
  <c r="DE589" i="1" s="1"/>
  <c r="BD55" i="31" l="1"/>
  <c r="DH760" i="1"/>
  <c r="DH733" i="1"/>
  <c r="BP509" i="1"/>
  <c r="BD51" i="31"/>
  <c r="BD50" i="31" s="1"/>
  <c r="DH728" i="1"/>
  <c r="DH729" i="1"/>
  <c r="DH510" i="1"/>
  <c r="DI734" i="1"/>
  <c r="DI761" i="1" s="1"/>
  <c r="DI461" i="1"/>
  <c r="DI483" i="1"/>
  <c r="BI725" i="1"/>
  <c r="BI704" i="1"/>
  <c r="AB46" i="16"/>
  <c r="C150" i="2"/>
  <c r="N72" i="7" s="1"/>
  <c r="DE699" i="1"/>
  <c r="BO757" i="1"/>
  <c r="BJ538" i="1"/>
  <c r="BO758" i="1"/>
  <c r="AL32" i="31"/>
  <c r="AL33" i="31" s="1"/>
  <c r="BQ463" i="1"/>
  <c r="DE836" i="1"/>
  <c r="DE590" i="1"/>
  <c r="DE599" i="1"/>
  <c r="DE604" i="1" s="1"/>
  <c r="BI604" i="1"/>
  <c r="DH840" i="1"/>
  <c r="BD54" i="31"/>
  <c r="DH759" i="1"/>
  <c r="DH731" i="1"/>
  <c r="BP741" i="1"/>
  <c r="BP767" i="1" s="1"/>
  <c r="BP788" i="1"/>
  <c r="AK72" i="31" s="1"/>
  <c r="BP789" i="1"/>
  <c r="AK44" i="31"/>
  <c r="AK47" i="31" s="1"/>
  <c r="AK48" i="31" s="1"/>
  <c r="BP513" i="1"/>
  <c r="BP730" i="1"/>
  <c r="BP136" i="1"/>
  <c r="BP838" i="1" s="1"/>
  <c r="BP787" i="1"/>
  <c r="BP740" i="1"/>
  <c r="BP766" i="1" s="1"/>
  <c r="BP525" i="1"/>
  <c r="BP521" i="1"/>
  <c r="BP620" i="1"/>
  <c r="BP732" i="1"/>
  <c r="BJ260" i="1"/>
  <c r="BH618" i="1"/>
  <c r="BH639" i="1"/>
  <c r="BH4" i="1" s="1"/>
  <c r="BI836" i="1"/>
  <c r="BI590" i="1"/>
  <c r="BI607" i="1"/>
  <c r="BO839" i="1"/>
  <c r="DH137" i="1"/>
  <c r="BP137" i="1"/>
  <c r="DI793" i="1"/>
  <c r="BE71" i="31" s="1"/>
  <c r="DI794" i="1"/>
  <c r="BQ490" i="1"/>
  <c r="BQ497" i="1"/>
  <c r="DH758" i="1" l="1"/>
  <c r="BP839" i="1"/>
  <c r="BP760" i="1"/>
  <c r="BP733" i="1"/>
  <c r="AK55" i="31"/>
  <c r="DH839" i="1"/>
  <c r="DH131" i="1"/>
  <c r="BP759" i="1"/>
  <c r="BP840" i="1"/>
  <c r="BP731" i="1"/>
  <c r="AK54" i="31"/>
  <c r="DE834" i="1"/>
  <c r="DE548" i="1"/>
  <c r="DE150" i="1"/>
  <c r="DE595" i="1"/>
  <c r="DI463" i="1"/>
  <c r="BE32" i="31"/>
  <c r="BE33" i="31" s="1"/>
  <c r="AL40" i="31"/>
  <c r="BQ500" i="1"/>
  <c r="BQ130" i="1"/>
  <c r="DI497" i="1"/>
  <c r="BI548" i="1"/>
  <c r="BI834" i="1"/>
  <c r="BI591" i="1"/>
  <c r="DE591" i="1" s="1"/>
  <c r="DE593" i="1" s="1"/>
  <c r="DE835" i="1" s="1"/>
  <c r="BI595" i="1"/>
  <c r="BI150" i="1"/>
  <c r="AE63" i="31"/>
  <c r="BK533" i="1"/>
  <c r="BJ743" i="1"/>
  <c r="BJ531" i="1"/>
  <c r="BK526" i="1"/>
  <c r="BJ541" i="1"/>
  <c r="BJ742" i="1"/>
  <c r="BJ701" i="1"/>
  <c r="DH757" i="1"/>
  <c r="BI837" i="1"/>
  <c r="DE607" i="1"/>
  <c r="DI490" i="1"/>
  <c r="AL38" i="31"/>
  <c r="BQ493" i="1"/>
  <c r="DE704" i="1"/>
  <c r="BP728" i="1"/>
  <c r="BP729" i="1"/>
  <c r="AK51" i="31"/>
  <c r="AK50" i="31" s="1"/>
  <c r="BP676" i="1"/>
  <c r="DE725" i="1"/>
  <c r="BP510" i="1"/>
  <c r="BI593" i="1" l="1"/>
  <c r="BI835" i="1" s="1"/>
  <c r="BQ495" i="1"/>
  <c r="BQ506" i="1"/>
  <c r="BQ515" i="1"/>
  <c r="DI500" i="1"/>
  <c r="BJ769" i="1"/>
  <c r="BJ768" i="1"/>
  <c r="AD77" i="31"/>
  <c r="AL41" i="31"/>
  <c r="DI130" i="1"/>
  <c r="DI129" i="1"/>
  <c r="BE40" i="31"/>
  <c r="BP757" i="1"/>
  <c r="BJ550" i="1"/>
  <c r="BJ564" i="1" s="1"/>
  <c r="BJ673" i="1"/>
  <c r="BJ671" i="1"/>
  <c r="BJ674" i="1"/>
  <c r="BI784" i="1"/>
  <c r="BI786" i="1"/>
  <c r="BI744" i="1"/>
  <c r="DE744" i="1" s="1"/>
  <c r="BI630" i="1"/>
  <c r="BP758" i="1"/>
  <c r="DE837" i="1"/>
  <c r="BE38" i="31"/>
  <c r="DI493" i="1"/>
  <c r="BA77" i="31"/>
  <c r="AD78" i="31"/>
  <c r="BJ702" i="1"/>
  <c r="BJ785" i="1" s="1"/>
  <c r="BJ841" i="1" s="1"/>
  <c r="BJ700" i="1"/>
  <c r="BJ783" i="1"/>
  <c r="AE73" i="31" s="1"/>
  <c r="AE74" i="31" s="1"/>
  <c r="BJ782" i="1"/>
  <c r="BK621" i="1"/>
  <c r="BK529" i="1"/>
  <c r="DF526" i="1"/>
  <c r="BK675" i="1"/>
  <c r="DE786" i="1"/>
  <c r="DE784" i="1"/>
  <c r="BJ699" i="1" l="1"/>
  <c r="BA78" i="31"/>
  <c r="BI631" i="1"/>
  <c r="DE630" i="1"/>
  <c r="DE631" i="1" s="1"/>
  <c r="BJ567" i="1"/>
  <c r="BJ568" i="1" s="1"/>
  <c r="BJ587" i="1" s="1"/>
  <c r="DI495" i="1"/>
  <c r="DI515" i="1"/>
  <c r="BE41" i="31"/>
  <c r="BQ136" i="1"/>
  <c r="BQ838" i="1" s="1"/>
  <c r="BQ521" i="1"/>
  <c r="BQ513" i="1"/>
  <c r="BQ741" i="1"/>
  <c r="BQ767" i="1" s="1"/>
  <c r="BQ620" i="1"/>
  <c r="AL44" i="31"/>
  <c r="AL47" i="31" s="1"/>
  <c r="AL48" i="31" s="1"/>
  <c r="BQ730" i="1"/>
  <c r="BQ732" i="1"/>
  <c r="BQ787" i="1"/>
  <c r="BQ525" i="1"/>
  <c r="BQ789" i="1"/>
  <c r="BQ788" i="1"/>
  <c r="AL72" i="31" s="1"/>
  <c r="BQ740" i="1"/>
  <c r="BQ766" i="1" s="1"/>
  <c r="DI136" i="1"/>
  <c r="DI838" i="1" s="1"/>
  <c r="BK534" i="1"/>
  <c r="DF529" i="1"/>
  <c r="BJ672" i="1"/>
  <c r="BQ509" i="1"/>
  <c r="DI506" i="1"/>
  <c r="DI509" i="1" s="1"/>
  <c r="BK624" i="1"/>
  <c r="BK629" i="1" s="1"/>
  <c r="DF621" i="1"/>
  <c r="DF624" i="1" s="1"/>
  <c r="DF629" i="1" s="1"/>
  <c r="BK261" i="1"/>
  <c r="DF675" i="1"/>
  <c r="BQ729" i="1" l="1"/>
  <c r="BQ728" i="1"/>
  <c r="AL51" i="31"/>
  <c r="AL50" i="31" s="1"/>
  <c r="DI525" i="1"/>
  <c r="BQ676" i="1"/>
  <c r="DE618" i="1"/>
  <c r="DE639" i="1"/>
  <c r="BJ836" i="1"/>
  <c r="BJ599" i="1"/>
  <c r="BJ604" i="1" s="1"/>
  <c r="BJ589" i="1"/>
  <c r="BJ590" i="1" s="1"/>
  <c r="BQ733" i="1"/>
  <c r="AL55" i="31"/>
  <c r="BQ760" i="1"/>
  <c r="BI618" i="1"/>
  <c r="BI639" i="1"/>
  <c r="BI4" i="1" s="1"/>
  <c r="BK260" i="1"/>
  <c r="DF260" i="1" s="1"/>
  <c r="DF261" i="1" s="1"/>
  <c r="BQ137" i="1"/>
  <c r="BQ510" i="1"/>
  <c r="DF534" i="1"/>
  <c r="DF538" i="1" s="1"/>
  <c r="BK538" i="1"/>
  <c r="BQ731" i="1"/>
  <c r="BQ759" i="1"/>
  <c r="AL54" i="31"/>
  <c r="BQ840" i="1"/>
  <c r="DI521" i="1"/>
  <c r="DI788" i="1"/>
  <c r="BE72" i="31" s="1"/>
  <c r="DI620" i="1"/>
  <c r="DI740" i="1"/>
  <c r="DI766" i="1" s="1"/>
  <c r="DI787" i="1"/>
  <c r="DI730" i="1"/>
  <c r="DI732" i="1"/>
  <c r="DI741" i="1"/>
  <c r="DI767" i="1" s="1"/>
  <c r="DI513" i="1"/>
  <c r="BE44" i="31"/>
  <c r="BE47" i="31" s="1"/>
  <c r="BE48" i="31" s="1"/>
  <c r="DI789" i="1"/>
  <c r="BJ725" i="1"/>
  <c r="BJ704" i="1"/>
  <c r="BJ607" i="1" l="1"/>
  <c r="BJ837" i="1" s="1"/>
  <c r="DF742" i="1"/>
  <c r="DG533" i="1"/>
  <c r="DF743" i="1"/>
  <c r="DF531" i="1"/>
  <c r="DF541" i="1"/>
  <c r="BB63" i="31"/>
  <c r="DI728" i="1"/>
  <c r="DI729" i="1"/>
  <c r="BE51" i="31"/>
  <c r="BE50" i="31" s="1"/>
  <c r="DI510" i="1"/>
  <c r="BQ757" i="1"/>
  <c r="DI137" i="1"/>
  <c r="BQ839" i="1"/>
  <c r="BQ758" i="1"/>
  <c r="DI731" i="1"/>
  <c r="DI840" i="1"/>
  <c r="BE54" i="31"/>
  <c r="DI759" i="1"/>
  <c r="BJ591" i="1"/>
  <c r="BJ593" i="1" s="1"/>
  <c r="BJ835" i="1" s="1"/>
  <c r="BJ150" i="1"/>
  <c r="BJ834" i="1"/>
  <c r="BJ548" i="1"/>
  <c r="BJ595" i="1"/>
  <c r="BK742" i="1"/>
  <c r="BL533" i="1"/>
  <c r="BK541" i="1"/>
  <c r="BK743" i="1"/>
  <c r="AF63" i="31"/>
  <c r="BK531" i="1"/>
  <c r="BL526" i="1"/>
  <c r="BK701" i="1"/>
  <c r="DI676" i="1"/>
  <c r="DI760" i="1"/>
  <c r="DI733" i="1"/>
  <c r="BE55" i="31"/>
  <c r="DI839" i="1" l="1"/>
  <c r="DI131" i="1"/>
  <c r="BJ784" i="1"/>
  <c r="BJ786" i="1"/>
  <c r="BJ744" i="1"/>
  <c r="BJ630" i="1"/>
  <c r="DI757" i="1"/>
  <c r="DF550" i="1"/>
  <c r="DF564" i="1" s="1"/>
  <c r="BK702" i="1"/>
  <c r="BK785" i="1" s="1"/>
  <c r="BK841" i="1" s="1"/>
  <c r="BK700" i="1"/>
  <c r="BK783" i="1"/>
  <c r="AF73" i="31" s="1"/>
  <c r="AF74" i="31" s="1"/>
  <c r="BK782" i="1"/>
  <c r="DF701" i="1"/>
  <c r="BK769" i="1"/>
  <c r="AE77" i="31"/>
  <c r="DF768" i="1"/>
  <c r="DI758" i="1"/>
  <c r="BL621" i="1"/>
  <c r="BL529" i="1"/>
  <c r="BL675" i="1"/>
  <c r="BK550" i="1"/>
  <c r="BK564" i="1" s="1"/>
  <c r="BK567" i="1" s="1"/>
  <c r="BK671" i="1"/>
  <c r="BK673" i="1"/>
  <c r="BK674" i="1"/>
  <c r="BK768" i="1"/>
  <c r="DF769" i="1"/>
  <c r="AE78" i="31"/>
  <c r="BK568" i="1" l="1"/>
  <c r="BK587" i="1" s="1"/>
  <c r="BK589" i="1"/>
  <c r="DF589" i="1" s="1"/>
  <c r="DF567" i="1"/>
  <c r="DF568" i="1" s="1"/>
  <c r="DF587" i="1" s="1"/>
  <c r="BK599" i="1"/>
  <c r="BK699" i="1"/>
  <c r="DF700" i="1"/>
  <c r="DF674" i="1"/>
  <c r="BL624" i="1"/>
  <c r="BL629" i="1" s="1"/>
  <c r="BL261" i="1"/>
  <c r="BJ631" i="1"/>
  <c r="DF671" i="1"/>
  <c r="BK672" i="1"/>
  <c r="DF702" i="1"/>
  <c r="DF785" i="1" s="1"/>
  <c r="DF841" i="1" s="1"/>
  <c r="DF783" i="1"/>
  <c r="BB73" i="31" s="1"/>
  <c r="BB74" i="31" s="1"/>
  <c r="DF782" i="1"/>
  <c r="DF673" i="1"/>
  <c r="BL534" i="1"/>
  <c r="DF599" i="1" l="1"/>
  <c r="DF604" i="1" s="1"/>
  <c r="BK604" i="1"/>
  <c r="DF672" i="1"/>
  <c r="BK836" i="1"/>
  <c r="BK590" i="1"/>
  <c r="BK607" i="1"/>
  <c r="DF590" i="1"/>
  <c r="DF836" i="1"/>
  <c r="DF607" i="1"/>
  <c r="BJ618" i="1"/>
  <c r="BJ639" i="1"/>
  <c r="BJ4" i="1" s="1"/>
  <c r="BK725" i="1"/>
  <c r="BK704" i="1"/>
  <c r="DF699" i="1"/>
  <c r="BL538" i="1"/>
  <c r="BL260" i="1"/>
  <c r="AG63" i="31" l="1"/>
  <c r="BM526" i="1"/>
  <c r="BL531" i="1"/>
  <c r="BM533" i="1"/>
  <c r="BL743" i="1"/>
  <c r="BL541" i="1"/>
  <c r="BL742" i="1"/>
  <c r="BL701" i="1"/>
  <c r="DF725" i="1"/>
  <c r="DF548" i="1"/>
  <c r="DF150" i="1"/>
  <c r="DF834" i="1"/>
  <c r="DF595" i="1"/>
  <c r="BK837" i="1"/>
  <c r="DF704" i="1"/>
  <c r="BK150" i="1"/>
  <c r="BK591" i="1"/>
  <c r="DF591" i="1" s="1"/>
  <c r="DF593" i="1" s="1"/>
  <c r="DF835" i="1" s="1"/>
  <c r="BK595" i="1"/>
  <c r="BK548" i="1"/>
  <c r="BK834" i="1"/>
  <c r="DF837" i="1"/>
  <c r="BK593" i="1" l="1"/>
  <c r="BK835" i="1" s="1"/>
  <c r="AF78" i="31"/>
  <c r="BL769" i="1"/>
  <c r="DF786" i="1"/>
  <c r="DF784" i="1"/>
  <c r="BL702" i="1"/>
  <c r="BL785" i="1" s="1"/>
  <c r="BL841" i="1" s="1"/>
  <c r="BL700" i="1"/>
  <c r="BL783" i="1"/>
  <c r="AG73" i="31" s="1"/>
  <c r="AG74" i="31" s="1"/>
  <c r="BL782" i="1"/>
  <c r="BL550" i="1"/>
  <c r="BL564" i="1" s="1"/>
  <c r="BL567" i="1" s="1"/>
  <c r="BL673" i="1"/>
  <c r="BL674" i="1"/>
  <c r="BL671" i="1"/>
  <c r="BM621" i="1"/>
  <c r="BM529" i="1"/>
  <c r="DG526" i="1"/>
  <c r="BM675" i="1"/>
  <c r="AF77" i="31"/>
  <c r="BB78" i="31"/>
  <c r="BK784" i="1"/>
  <c r="BK786" i="1"/>
  <c r="BK744" i="1"/>
  <c r="DF744" i="1" s="1"/>
  <c r="BK630" i="1"/>
  <c r="BB77" i="31"/>
  <c r="BL768" i="1"/>
  <c r="BL672" i="1" l="1"/>
  <c r="BK631" i="1"/>
  <c r="DF630" i="1"/>
  <c r="DF631" i="1" s="1"/>
  <c r="BM624" i="1"/>
  <c r="BM629" i="1" s="1"/>
  <c r="DG621" i="1"/>
  <c r="DG624" i="1" s="1"/>
  <c r="DG629" i="1" s="1"/>
  <c r="BM261" i="1"/>
  <c r="BL568" i="1"/>
  <c r="BL587" i="1" s="1"/>
  <c r="BL599" i="1"/>
  <c r="BL604" i="1" s="1"/>
  <c r="BL589" i="1"/>
  <c r="BL699" i="1"/>
  <c r="BM534" i="1"/>
  <c r="DG529" i="1"/>
  <c r="DG675" i="1"/>
  <c r="BL836" i="1" l="1"/>
  <c r="BL607" i="1"/>
  <c r="BL590" i="1"/>
  <c r="DF639" i="1"/>
  <c r="DF618" i="1"/>
  <c r="BL725" i="1"/>
  <c r="BL704" i="1"/>
  <c r="BM260" i="1"/>
  <c r="DG260" i="1" s="1"/>
  <c r="DG261" i="1" s="1"/>
  <c r="DG534" i="1"/>
  <c r="DG538" i="1" s="1"/>
  <c r="BM538" i="1"/>
  <c r="BK618" i="1"/>
  <c r="BK639" i="1"/>
  <c r="BK4" i="1" s="1"/>
  <c r="BM531" i="1" l="1"/>
  <c r="BN526" i="1"/>
  <c r="BM541" i="1"/>
  <c r="BN533" i="1"/>
  <c r="BM743" i="1"/>
  <c r="AH63" i="31"/>
  <c r="BM742" i="1"/>
  <c r="BM701" i="1"/>
  <c r="BL595" i="1"/>
  <c r="BL548" i="1"/>
  <c r="BL150" i="1"/>
  <c r="BL834" i="1"/>
  <c r="BL591" i="1"/>
  <c r="BL593" i="1" s="1"/>
  <c r="BL835" i="1" s="1"/>
  <c r="DH533" i="1"/>
  <c r="DG743" i="1"/>
  <c r="DG531" i="1"/>
  <c r="BC63" i="31"/>
  <c r="DG541" i="1"/>
  <c r="DG742" i="1"/>
  <c r="BL837" i="1"/>
  <c r="DG768" i="1" l="1"/>
  <c r="BL786" i="1"/>
  <c r="BL784" i="1"/>
  <c r="BL744" i="1"/>
  <c r="BL630" i="1"/>
  <c r="BM550" i="1"/>
  <c r="BM564" i="1" s="1"/>
  <c r="BM567" i="1" s="1"/>
  <c r="BM671" i="1"/>
  <c r="BM673" i="1"/>
  <c r="BM674" i="1"/>
  <c r="AG77" i="31"/>
  <c r="BM768" i="1"/>
  <c r="DG769" i="1"/>
  <c r="DG550" i="1"/>
  <c r="DG564" i="1" s="1"/>
  <c r="AG78" i="31"/>
  <c r="BM702" i="1"/>
  <c r="BM785" i="1" s="1"/>
  <c r="BM841" i="1" s="1"/>
  <c r="BM700" i="1"/>
  <c r="BM783" i="1"/>
  <c r="AH73" i="31" s="1"/>
  <c r="AH74" i="31" s="1"/>
  <c r="BM782" i="1"/>
  <c r="DG701" i="1"/>
  <c r="BM769" i="1"/>
  <c r="BN621" i="1"/>
  <c r="BN529" i="1"/>
  <c r="BN675" i="1"/>
  <c r="BM699" i="1" l="1"/>
  <c r="DG700" i="1"/>
  <c r="BN534" i="1"/>
  <c r="DG674" i="1"/>
  <c r="DG671" i="1"/>
  <c r="BN624" i="1"/>
  <c r="BN629" i="1" s="1"/>
  <c r="BN261" i="1"/>
  <c r="BM672" i="1"/>
  <c r="BL631" i="1"/>
  <c r="DG702" i="1"/>
  <c r="DG785" i="1" s="1"/>
  <c r="DG841" i="1" s="1"/>
  <c r="DG783" i="1"/>
  <c r="BC73" i="31" s="1"/>
  <c r="BC74" i="31" s="1"/>
  <c r="DG782" i="1"/>
  <c r="BM568" i="1"/>
  <c r="BM587" i="1" s="1"/>
  <c r="DG567" i="1"/>
  <c r="DG568" i="1" s="1"/>
  <c r="DG587" i="1" s="1"/>
  <c r="BM599" i="1"/>
  <c r="BM589" i="1"/>
  <c r="DG589" i="1" s="1"/>
  <c r="DG673" i="1"/>
  <c r="DG599" i="1" l="1"/>
  <c r="DG604" i="1" s="1"/>
  <c r="BM604" i="1"/>
  <c r="BL639" i="1"/>
  <c r="BL4" i="1" s="1"/>
  <c r="BL618" i="1"/>
  <c r="DG699" i="1"/>
  <c r="DG672" i="1"/>
  <c r="BM836" i="1"/>
  <c r="BM590" i="1"/>
  <c r="BM607" i="1"/>
  <c r="BN260" i="1"/>
  <c r="BN538" i="1"/>
  <c r="DG590" i="1"/>
  <c r="DG607" i="1"/>
  <c r="DG836" i="1"/>
  <c r="BM725" i="1"/>
  <c r="BM704" i="1"/>
  <c r="BM837" i="1" l="1"/>
  <c r="BO526" i="1"/>
  <c r="AI63" i="31"/>
  <c r="BN531" i="1"/>
  <c r="BN541" i="1"/>
  <c r="BN742" i="1"/>
  <c r="BO533" i="1"/>
  <c r="BN743" i="1"/>
  <c r="BN701" i="1"/>
  <c r="BM595" i="1"/>
  <c r="BM548" i="1"/>
  <c r="BM150" i="1"/>
  <c r="BM834" i="1"/>
  <c r="BM591" i="1"/>
  <c r="DG591" i="1" s="1"/>
  <c r="DG593" i="1" s="1"/>
  <c r="DG835" i="1" s="1"/>
  <c r="DG704" i="1"/>
  <c r="DG837" i="1"/>
  <c r="DG595" i="1"/>
  <c r="DG834" i="1"/>
  <c r="DG548" i="1"/>
  <c r="DG150" i="1"/>
  <c r="DG725" i="1"/>
  <c r="BM593" i="1" l="1"/>
  <c r="BM835" i="1" s="1"/>
  <c r="AH77" i="31"/>
  <c r="BN550" i="1"/>
  <c r="BN564" i="1" s="1"/>
  <c r="BN567" i="1" s="1"/>
  <c r="BN674" i="1"/>
  <c r="BN671" i="1"/>
  <c r="BN673" i="1"/>
  <c r="BO621" i="1"/>
  <c r="BO529" i="1"/>
  <c r="DH526" i="1"/>
  <c r="BO675" i="1"/>
  <c r="DG786" i="1"/>
  <c r="DG784" i="1"/>
  <c r="BM784" i="1"/>
  <c r="BM786" i="1"/>
  <c r="BM744" i="1"/>
  <c r="DG744" i="1" s="1"/>
  <c r="BM630" i="1"/>
  <c r="BN768" i="1"/>
  <c r="BC78" i="31"/>
  <c r="BN702" i="1"/>
  <c r="BN785" i="1" s="1"/>
  <c r="BN841" i="1" s="1"/>
  <c r="BN700" i="1"/>
  <c r="BN783" i="1"/>
  <c r="AI73" i="31" s="1"/>
  <c r="AI74" i="31" s="1"/>
  <c r="BN782" i="1"/>
  <c r="BC77" i="31"/>
  <c r="BN769" i="1"/>
  <c r="AH78" i="31"/>
  <c r="BM631" i="1" l="1"/>
  <c r="DG630" i="1"/>
  <c r="DG631" i="1" s="1"/>
  <c r="BN699" i="1"/>
  <c r="BN672" i="1"/>
  <c r="BN568" i="1"/>
  <c r="BN587" i="1" s="1"/>
  <c r="BN599" i="1"/>
  <c r="BN604" i="1" s="1"/>
  <c r="BN589" i="1"/>
  <c r="BO534" i="1"/>
  <c r="DH529" i="1"/>
  <c r="DH675" i="1"/>
  <c r="BO624" i="1"/>
  <c r="BO629" i="1" s="1"/>
  <c r="DH621" i="1"/>
  <c r="DH624" i="1" s="1"/>
  <c r="DH629" i="1" s="1"/>
  <c r="BO261" i="1"/>
  <c r="BN590" i="1" l="1"/>
  <c r="BN591" i="1" s="1"/>
  <c r="BN593" i="1" s="1"/>
  <c r="BN835" i="1" s="1"/>
  <c r="DH534" i="1"/>
  <c r="DH538" i="1" s="1"/>
  <c r="BO538" i="1"/>
  <c r="BN725" i="1"/>
  <c r="BN704" i="1"/>
  <c r="DG618" i="1"/>
  <c r="DG639" i="1"/>
  <c r="BO260" i="1"/>
  <c r="DH260" i="1" s="1"/>
  <c r="DH261" i="1" s="1"/>
  <c r="BN836" i="1"/>
  <c r="BN607" i="1"/>
  <c r="BM618" i="1"/>
  <c r="BM639" i="1"/>
  <c r="BM4" i="1" s="1"/>
  <c r="BN150" i="1" l="1"/>
  <c r="BN595" i="1"/>
  <c r="BN784" i="1" s="1"/>
  <c r="BN834" i="1"/>
  <c r="BN548" i="1"/>
  <c r="BN837" i="1"/>
  <c r="BP526" i="1"/>
  <c r="AJ63" i="31"/>
  <c r="BO742" i="1"/>
  <c r="BP533" i="1"/>
  <c r="BO531" i="1"/>
  <c r="BO743" i="1"/>
  <c r="BO541" i="1"/>
  <c r="BO701" i="1"/>
  <c r="BD63" i="31"/>
  <c r="DH743" i="1"/>
  <c r="DH541" i="1"/>
  <c r="DH742" i="1"/>
  <c r="DI533" i="1"/>
  <c r="DH531" i="1"/>
  <c r="AI77" i="31" l="1"/>
  <c r="BN744" i="1"/>
  <c r="BN786" i="1"/>
  <c r="BN630" i="1"/>
  <c r="BN631" i="1" s="1"/>
  <c r="BO700" i="1"/>
  <c r="BO702" i="1"/>
  <c r="BO785" i="1" s="1"/>
  <c r="BO841" i="1" s="1"/>
  <c r="BO783" i="1"/>
  <c r="AJ73" i="31" s="1"/>
  <c r="AJ74" i="31" s="1"/>
  <c r="BO782" i="1"/>
  <c r="DH701" i="1"/>
  <c r="BO768" i="1"/>
  <c r="BO550" i="1"/>
  <c r="BO564" i="1" s="1"/>
  <c r="BO674" i="1"/>
  <c r="BO671" i="1"/>
  <c r="BO673" i="1"/>
  <c r="BP621" i="1"/>
  <c r="BP529" i="1"/>
  <c r="BP675" i="1"/>
  <c r="DH769" i="1"/>
  <c r="BO769" i="1"/>
  <c r="AI78" i="31"/>
  <c r="DH768" i="1"/>
  <c r="DH550" i="1"/>
  <c r="DH564" i="1" s="1"/>
  <c r="DH671" i="1" l="1"/>
  <c r="DH674" i="1"/>
  <c r="BO567" i="1"/>
  <c r="BO568" i="1" s="1"/>
  <c r="BO587" i="1" s="1"/>
  <c r="BN639" i="1"/>
  <c r="BN4" i="1" s="1"/>
  <c r="BN618" i="1"/>
  <c r="BP624" i="1"/>
  <c r="BP629" i="1" s="1"/>
  <c r="BP261" i="1"/>
  <c r="BO699" i="1"/>
  <c r="DH700" i="1"/>
  <c r="BP534" i="1"/>
  <c r="BO672" i="1"/>
  <c r="DH673" i="1"/>
  <c r="DH702" i="1"/>
  <c r="DH785" i="1" s="1"/>
  <c r="DH841" i="1" s="1"/>
  <c r="DH783" i="1"/>
  <c r="BD73" i="31" s="1"/>
  <c r="BD74" i="31" s="1"/>
  <c r="DH782" i="1"/>
  <c r="BO836" i="1" l="1"/>
  <c r="BP538" i="1"/>
  <c r="BP260" i="1"/>
  <c r="BO725" i="1"/>
  <c r="BO704" i="1"/>
  <c r="DH699" i="1"/>
  <c r="DH672" i="1"/>
  <c r="DH567" i="1"/>
  <c r="DH568" i="1" s="1"/>
  <c r="DH587" i="1" s="1"/>
  <c r="BO589" i="1"/>
  <c r="DH589" i="1" s="1"/>
  <c r="BO599" i="1"/>
  <c r="BP531" i="1" l="1"/>
  <c r="AK63" i="31"/>
  <c r="BQ526" i="1"/>
  <c r="BP742" i="1"/>
  <c r="BP743" i="1"/>
  <c r="BP541" i="1"/>
  <c r="BQ533" i="1"/>
  <c r="BP701" i="1"/>
  <c r="DH725" i="1"/>
  <c r="BO604" i="1"/>
  <c r="DH599" i="1"/>
  <c r="DH604" i="1" s="1"/>
  <c r="DH704" i="1"/>
  <c r="DH836" i="1"/>
  <c r="DH590" i="1"/>
  <c r="BO590" i="1"/>
  <c r="DH607" i="1" l="1"/>
  <c r="BP700" i="1"/>
  <c r="BP702" i="1"/>
  <c r="BP785" i="1" s="1"/>
  <c r="BP841" i="1" s="1"/>
  <c r="BP783" i="1"/>
  <c r="AK73" i="31" s="1"/>
  <c r="AK74" i="31" s="1"/>
  <c r="BP782" i="1"/>
  <c r="BO607" i="1"/>
  <c r="BP550" i="1"/>
  <c r="BP564" i="1" s="1"/>
  <c r="BP673" i="1"/>
  <c r="BP674" i="1"/>
  <c r="BP671" i="1"/>
  <c r="BP769" i="1"/>
  <c r="BO595" i="1"/>
  <c r="BO150" i="1"/>
  <c r="BO834" i="1"/>
  <c r="BO548" i="1"/>
  <c r="BO591" i="1"/>
  <c r="DH591" i="1" s="1"/>
  <c r="DH593" i="1" s="1"/>
  <c r="DH835" i="1" s="1"/>
  <c r="BP768" i="1"/>
  <c r="DH595" i="1"/>
  <c r="DH548" i="1"/>
  <c r="DH150" i="1"/>
  <c r="DH834" i="1"/>
  <c r="BQ621" i="1"/>
  <c r="BQ529" i="1"/>
  <c r="DI526" i="1"/>
  <c r="BQ675" i="1"/>
  <c r="DH837" i="1" l="1"/>
  <c r="BO593" i="1"/>
  <c r="BO835" i="1" s="1"/>
  <c r="BQ534" i="1"/>
  <c r="DI529" i="1"/>
  <c r="DH786" i="1"/>
  <c r="DH784" i="1"/>
  <c r="BO784" i="1"/>
  <c r="BO786" i="1"/>
  <c r="BO630" i="1"/>
  <c r="BO744" i="1"/>
  <c r="DH744" i="1" s="1"/>
  <c r="BO837" i="1"/>
  <c r="BP672" i="1"/>
  <c r="BD77" i="31"/>
  <c r="DI675" i="1"/>
  <c r="BD78" i="31"/>
  <c r="BQ624" i="1"/>
  <c r="BQ629" i="1" s="1"/>
  <c r="DI621" i="1"/>
  <c r="DI624" i="1" s="1"/>
  <c r="DI629" i="1" s="1"/>
  <c r="BQ261" i="1"/>
  <c r="AJ77" i="31"/>
  <c r="BP567" i="1"/>
  <c r="BP699" i="1"/>
  <c r="BP589" i="1" l="1"/>
  <c r="BP599" i="1"/>
  <c r="BP604" i="1" s="1"/>
  <c r="AJ78" i="31"/>
  <c r="BP725" i="1"/>
  <c r="BP704" i="1"/>
  <c r="BO631" i="1"/>
  <c r="DH630" i="1"/>
  <c r="DH631" i="1" s="1"/>
  <c r="BP568" i="1"/>
  <c r="BP587" i="1" s="1"/>
  <c r="BQ260" i="1"/>
  <c r="DI260" i="1" s="1"/>
  <c r="DI261" i="1" s="1"/>
  <c r="DI534" i="1"/>
  <c r="DI538" i="1" s="1"/>
  <c r="BQ538" i="1"/>
  <c r="BP590" i="1" l="1"/>
  <c r="BP607" i="1"/>
  <c r="BP836" i="1"/>
  <c r="BQ531" i="1"/>
  <c r="BQ743" i="1"/>
  <c r="AL63" i="31"/>
  <c r="BQ742" i="1"/>
  <c r="BQ541" i="1"/>
  <c r="BQ701" i="1"/>
  <c r="BO639" i="1"/>
  <c r="BO4" i="1" s="1"/>
  <c r="BO618" i="1"/>
  <c r="BE63" i="31"/>
  <c r="DI541" i="1"/>
  <c r="DI743" i="1"/>
  <c r="DI742" i="1"/>
  <c r="DI531" i="1"/>
  <c r="DH618" i="1"/>
  <c r="DH639" i="1"/>
  <c r="BP837" i="1" l="1"/>
  <c r="BQ702" i="1"/>
  <c r="BQ785" i="1" s="1"/>
  <c r="BQ841" i="1" s="1"/>
  <c r="BQ700" i="1"/>
  <c r="BQ783" i="1"/>
  <c r="AL73" i="31" s="1"/>
  <c r="AL74" i="31" s="1"/>
  <c r="BQ782" i="1"/>
  <c r="DI701" i="1"/>
  <c r="BQ768" i="1"/>
  <c r="BP595" i="1"/>
  <c r="BP150" i="1"/>
  <c r="BP548" i="1"/>
  <c r="BP834" i="1"/>
  <c r="BP591" i="1"/>
  <c r="BP593" i="1" s="1"/>
  <c r="BP835" i="1" s="1"/>
  <c r="DI768" i="1"/>
  <c r="BQ769" i="1"/>
  <c r="DI550" i="1"/>
  <c r="DI564" i="1" s="1"/>
  <c r="DI769" i="1"/>
  <c r="BQ550" i="1"/>
  <c r="BQ564" i="1" s="1"/>
  <c r="BQ567" i="1" s="1"/>
  <c r="BQ674" i="1"/>
  <c r="BQ673" i="1"/>
  <c r="BQ671" i="1"/>
  <c r="BQ568" i="1" l="1"/>
  <c r="BQ587" i="1" s="1"/>
  <c r="BQ589" i="1"/>
  <c r="DI589" i="1" s="1"/>
  <c r="DI567" i="1"/>
  <c r="DI568" i="1" s="1"/>
  <c r="DI587" i="1" s="1"/>
  <c r="BQ599" i="1"/>
  <c r="DI673" i="1"/>
  <c r="BQ699" i="1"/>
  <c r="DI700" i="1"/>
  <c r="DI674" i="1"/>
  <c r="AK77" i="31"/>
  <c r="BP784" i="1"/>
  <c r="BP786" i="1"/>
  <c r="BP744" i="1"/>
  <c r="BP630" i="1"/>
  <c r="DI702" i="1"/>
  <c r="DI785" i="1" s="1"/>
  <c r="DI841" i="1" s="1"/>
  <c r="DI783" i="1"/>
  <c r="BE73" i="31" s="1"/>
  <c r="BE74" i="31" s="1"/>
  <c r="DI782" i="1"/>
  <c r="DI671" i="1"/>
  <c r="BQ672" i="1"/>
  <c r="AK78" i="31"/>
  <c r="DI590" i="1" l="1"/>
  <c r="DI836" i="1"/>
  <c r="BP631" i="1"/>
  <c r="DI699" i="1"/>
  <c r="DI672" i="1"/>
  <c r="DI599" i="1"/>
  <c r="DI604" i="1" s="1"/>
  <c r="BQ604" i="1"/>
  <c r="BQ725" i="1"/>
  <c r="BQ704" i="1"/>
  <c r="BQ836" i="1"/>
  <c r="BQ590" i="1"/>
  <c r="BQ607" i="1"/>
  <c r="DI725" i="1" l="1"/>
  <c r="DI607" i="1"/>
  <c r="DI704" i="1"/>
  <c r="DI548" i="1"/>
  <c r="DI834" i="1"/>
  <c r="DI595" i="1"/>
  <c r="DI150" i="1"/>
  <c r="BQ837" i="1"/>
  <c r="BQ150" i="1"/>
  <c r="BQ591" i="1"/>
  <c r="DI591" i="1" s="1"/>
  <c r="DI593" i="1" s="1"/>
  <c r="DI835" i="1" s="1"/>
  <c r="BQ834" i="1"/>
  <c r="BQ595" i="1"/>
  <c r="BQ548" i="1"/>
  <c r="BP618" i="1"/>
  <c r="BP639" i="1"/>
  <c r="BP4" i="1" s="1"/>
  <c r="BQ593" i="1" l="1"/>
  <c r="BQ835" i="1" s="1"/>
  <c r="AL78" i="31"/>
  <c r="AL77" i="31"/>
  <c r="DG644" i="1"/>
  <c r="CA644" i="1"/>
  <c r="CB644" i="1"/>
  <c r="BT644" i="1"/>
  <c r="CT644" i="1"/>
  <c r="DI784" i="1"/>
  <c r="CQ644" i="1"/>
  <c r="BX644" i="1"/>
  <c r="BV644" i="1"/>
  <c r="CE644" i="1"/>
  <c r="DI786" i="1"/>
  <c r="CU644" i="1"/>
  <c r="BU644" i="1"/>
  <c r="CY644" i="1"/>
  <c r="C131" i="2" s="1"/>
  <c r="DH644" i="1"/>
  <c r="CV644" i="1"/>
  <c r="DC644" i="1"/>
  <c r="G131" i="2" s="1"/>
  <c r="CM644" i="1"/>
  <c r="CH644" i="1"/>
  <c r="BZ644" i="1"/>
  <c r="DE644" i="1"/>
  <c r="CD644" i="1"/>
  <c r="CF644" i="1"/>
  <c r="CG644" i="1"/>
  <c r="CO644" i="1"/>
  <c r="CS644" i="1"/>
  <c r="CR644" i="1"/>
  <c r="CP644" i="1"/>
  <c r="BS644" i="1"/>
  <c r="DD644" i="1"/>
  <c r="CL644" i="1"/>
  <c r="CC644" i="1"/>
  <c r="CZ644" i="1"/>
  <c r="D131" i="2" s="1"/>
  <c r="BW644" i="1"/>
  <c r="CJ644" i="1"/>
  <c r="DA644" i="1"/>
  <c r="E131" i="2" s="1"/>
  <c r="CI644" i="1"/>
  <c r="BY644" i="1"/>
  <c r="CX644" i="1"/>
  <c r="CN644" i="1"/>
  <c r="CW644" i="1"/>
  <c r="DI644" i="1"/>
  <c r="DI645" i="1" s="1"/>
  <c r="DI651" i="1" s="1"/>
  <c r="CK644" i="1"/>
  <c r="DF644" i="1"/>
  <c r="DB644" i="1"/>
  <c r="F131" i="2" s="1"/>
  <c r="DI837" i="1"/>
  <c r="BQ784" i="1"/>
  <c r="BQ786" i="1"/>
  <c r="BQ744" i="1"/>
  <c r="DI744" i="1" s="1"/>
  <c r="BQ630" i="1"/>
  <c r="BE77" i="31"/>
  <c r="DI653" i="1" l="1"/>
  <c r="DI641" i="1" s="1"/>
  <c r="BE78" i="31"/>
  <c r="BQ631" i="1"/>
  <c r="DI630" i="1"/>
  <c r="DI631" i="1" s="1"/>
  <c r="F124" i="2"/>
  <c r="J124" i="2" s="1"/>
  <c r="K125" i="2"/>
  <c r="P70" i="7" s="1"/>
  <c r="DI639" i="1" l="1"/>
  <c r="DI618" i="1"/>
  <c r="DH643" i="1"/>
  <c r="DH645" i="1" s="1"/>
  <c r="DH651" i="1" s="1"/>
  <c r="CI643" i="1"/>
  <c r="CI645" i="1" s="1"/>
  <c r="CI651" i="1" s="1"/>
  <c r="CD643" i="1"/>
  <c r="CD645" i="1" s="1"/>
  <c r="CD651" i="1" s="1"/>
  <c r="CB643" i="1"/>
  <c r="CB645" i="1" s="1"/>
  <c r="CB651" i="1" s="1"/>
  <c r="CT643" i="1"/>
  <c r="CT645" i="1" s="1"/>
  <c r="CT651" i="1" s="1"/>
  <c r="BX643" i="1"/>
  <c r="BX645" i="1" s="1"/>
  <c r="BX651" i="1" s="1"/>
  <c r="CH643" i="1"/>
  <c r="CH645" i="1" s="1"/>
  <c r="CH651" i="1" s="1"/>
  <c r="CE643" i="1"/>
  <c r="CE645" i="1" s="1"/>
  <c r="CE651" i="1" s="1"/>
  <c r="BZ643" i="1"/>
  <c r="BZ645" i="1" s="1"/>
  <c r="BZ651" i="1" s="1"/>
  <c r="CY643" i="1"/>
  <c r="CL643" i="1"/>
  <c r="CL645" i="1" s="1"/>
  <c r="CL651" i="1" s="1"/>
  <c r="BT643" i="1"/>
  <c r="BT645" i="1" s="1"/>
  <c r="BT651" i="1" s="1"/>
  <c r="CQ643" i="1"/>
  <c r="CQ645" i="1" s="1"/>
  <c r="CQ651" i="1" s="1"/>
  <c r="CC643" i="1"/>
  <c r="CC645" i="1" s="1"/>
  <c r="CC651" i="1" s="1"/>
  <c r="CR643" i="1"/>
  <c r="CR645" i="1" s="1"/>
  <c r="CR651" i="1" s="1"/>
  <c r="CS643" i="1"/>
  <c r="CS645" i="1" s="1"/>
  <c r="CS651" i="1" s="1"/>
  <c r="CJ643" i="1"/>
  <c r="CJ645" i="1" s="1"/>
  <c r="CJ651" i="1" s="1"/>
  <c r="CU643" i="1"/>
  <c r="CU645" i="1" s="1"/>
  <c r="CU651" i="1" s="1"/>
  <c r="CV643" i="1"/>
  <c r="CV645" i="1" s="1"/>
  <c r="CV651" i="1" s="1"/>
  <c r="BU643" i="1"/>
  <c r="BU645" i="1" s="1"/>
  <c r="BU651" i="1" s="1"/>
  <c r="CK643" i="1"/>
  <c r="CK645" i="1" s="1"/>
  <c r="CK651" i="1" s="1"/>
  <c r="BY643" i="1"/>
  <c r="BY645" i="1" s="1"/>
  <c r="BY651" i="1" s="1"/>
  <c r="CM643" i="1"/>
  <c r="CM645" i="1" s="1"/>
  <c r="CM651" i="1" s="1"/>
  <c r="BS643" i="1"/>
  <c r="BS645" i="1" s="1"/>
  <c r="BS651" i="1" s="1"/>
  <c r="BS653" i="1" s="1"/>
  <c r="BS641" i="1" s="1"/>
  <c r="CG643" i="1"/>
  <c r="CG645" i="1" s="1"/>
  <c r="CG651" i="1" s="1"/>
  <c r="CO643" i="1"/>
  <c r="CO645" i="1" s="1"/>
  <c r="CO651" i="1" s="1"/>
  <c r="CW643" i="1"/>
  <c r="CW645" i="1" s="1"/>
  <c r="CW651" i="1" s="1"/>
  <c r="CX643" i="1"/>
  <c r="CX645" i="1" s="1"/>
  <c r="CX651" i="1" s="1"/>
  <c r="CN643" i="1"/>
  <c r="CN645" i="1" s="1"/>
  <c r="CN651" i="1" s="1"/>
  <c r="BW643" i="1"/>
  <c r="BW645" i="1" s="1"/>
  <c r="BW651" i="1" s="1"/>
  <c r="CZ643" i="1"/>
  <c r="CF643" i="1"/>
  <c r="CF645" i="1" s="1"/>
  <c r="CF651" i="1" s="1"/>
  <c r="BV643" i="1"/>
  <c r="BV645" i="1" s="1"/>
  <c r="BV651" i="1" s="1"/>
  <c r="CP643" i="1"/>
  <c r="CP645" i="1" s="1"/>
  <c r="CP651" i="1" s="1"/>
  <c r="CA643" i="1"/>
  <c r="CA645" i="1" s="1"/>
  <c r="CA651" i="1" s="1"/>
  <c r="DA643" i="1"/>
  <c r="DB643" i="1"/>
  <c r="DD643" i="1"/>
  <c r="DD645" i="1" s="1"/>
  <c r="DD651" i="1" s="1"/>
  <c r="DD653" i="1" s="1"/>
  <c r="DD641" i="1" s="1"/>
  <c r="DE643" i="1"/>
  <c r="DE645" i="1" s="1"/>
  <c r="DE651" i="1" s="1"/>
  <c r="DC643" i="1"/>
  <c r="DG643" i="1"/>
  <c r="DG645" i="1" s="1"/>
  <c r="DG651" i="1" s="1"/>
  <c r="DF643" i="1"/>
  <c r="DF645" i="1" s="1"/>
  <c r="DF651" i="1" s="1"/>
  <c r="BQ618" i="1"/>
  <c r="BQ639" i="1"/>
  <c r="BQ4" i="1" s="1"/>
  <c r="CG653" i="1" l="1"/>
  <c r="CG641" i="1" s="1"/>
  <c r="CG655" i="1"/>
  <c r="CG4" i="1" s="1"/>
  <c r="CH655" i="1"/>
  <c r="CH4" i="1" s="1"/>
  <c r="CH653" i="1"/>
  <c r="CH641" i="1" s="1"/>
  <c r="DA645" i="1"/>
  <c r="DA651" i="1" s="1"/>
  <c r="E130" i="2"/>
  <c r="E132" i="2" s="1"/>
  <c r="BW653" i="1"/>
  <c r="BW641" i="1" s="1"/>
  <c r="BW655" i="1"/>
  <c r="BW4" i="1" s="1"/>
  <c r="CU653" i="1"/>
  <c r="CU641" i="1" s="1"/>
  <c r="CU655" i="1"/>
  <c r="CU4" i="1" s="1"/>
  <c r="BT653" i="1"/>
  <c r="BT641" i="1" s="1"/>
  <c r="BT655" i="1"/>
  <c r="BX653" i="1"/>
  <c r="BX641" i="1" s="1"/>
  <c r="BX655" i="1"/>
  <c r="BX4" i="1" s="1"/>
  <c r="DH653" i="1"/>
  <c r="DH641" i="1" s="1"/>
  <c r="DH655" i="1"/>
  <c r="DH4" i="1" s="1"/>
  <c r="DI655" i="1"/>
  <c r="DI4" i="1" s="1"/>
  <c r="DG655" i="1"/>
  <c r="DG4" i="1" s="1"/>
  <c r="DG653" i="1"/>
  <c r="DG641" i="1" s="1"/>
  <c r="CA655" i="1"/>
  <c r="CA4" i="1" s="1"/>
  <c r="CA653" i="1"/>
  <c r="CA641" i="1" s="1"/>
  <c r="CN653" i="1"/>
  <c r="CN641" i="1" s="1"/>
  <c r="CN655" i="1"/>
  <c r="CN4" i="1" s="1"/>
  <c r="CM655" i="1"/>
  <c r="CM4" i="1" s="1"/>
  <c r="CM653" i="1"/>
  <c r="CM641" i="1" s="1"/>
  <c r="CJ655" i="1"/>
  <c r="CJ4" i="1" s="1"/>
  <c r="CJ653" i="1"/>
  <c r="CJ641" i="1" s="1"/>
  <c r="CL655" i="1"/>
  <c r="CL4" i="1" s="1"/>
  <c r="CL653" i="1"/>
  <c r="CL641" i="1" s="1"/>
  <c r="CT653" i="1"/>
  <c r="CT641" i="1" s="1"/>
  <c r="CT655" i="1"/>
  <c r="CT4" i="1" s="1"/>
  <c r="CO653" i="1"/>
  <c r="CO641" i="1" s="1"/>
  <c r="CO655" i="1"/>
  <c r="CO4" i="1" s="1"/>
  <c r="CC653" i="1"/>
  <c r="CC641" i="1" s="1"/>
  <c r="CC655" i="1"/>
  <c r="CC4" i="1" s="1"/>
  <c r="CI653" i="1"/>
  <c r="CI641" i="1" s="1"/>
  <c r="CI655" i="1"/>
  <c r="CI4" i="1" s="1"/>
  <c r="CZ645" i="1"/>
  <c r="CZ651" i="1" s="1"/>
  <c r="D130" i="2"/>
  <c r="D132" i="2" s="1"/>
  <c r="DF653" i="1"/>
  <c r="DF641" i="1" s="1"/>
  <c r="DF655" i="1"/>
  <c r="DF4" i="1" s="1"/>
  <c r="G130" i="2"/>
  <c r="G132" i="2" s="1"/>
  <c r="DC645" i="1"/>
  <c r="DC651" i="1" s="1"/>
  <c r="CP653" i="1"/>
  <c r="CP641" i="1" s="1"/>
  <c r="CP655" i="1"/>
  <c r="CP4" i="1" s="1"/>
  <c r="CX653" i="1"/>
  <c r="CX641" i="1" s="1"/>
  <c r="CX655" i="1"/>
  <c r="CX4" i="1" s="1"/>
  <c r="BY653" i="1"/>
  <c r="BY641" i="1" s="1"/>
  <c r="BY655" i="1"/>
  <c r="BY4" i="1" s="1"/>
  <c r="CS655" i="1"/>
  <c r="CS4" i="1" s="1"/>
  <c r="CS653" i="1"/>
  <c r="CS641" i="1" s="1"/>
  <c r="CY645" i="1"/>
  <c r="CY651" i="1" s="1"/>
  <c r="C130" i="2"/>
  <c r="C132" i="2" s="1"/>
  <c r="CB655" i="1"/>
  <c r="CB4" i="1" s="1"/>
  <c r="CB653" i="1"/>
  <c r="CB641" i="1" s="1"/>
  <c r="CF655" i="1"/>
  <c r="CF4" i="1" s="1"/>
  <c r="CF653" i="1"/>
  <c r="CF641" i="1" s="1"/>
  <c r="BU655" i="1"/>
  <c r="BU4" i="1" s="1"/>
  <c r="BU653" i="1"/>
  <c r="BU641" i="1" s="1"/>
  <c r="CE653" i="1"/>
  <c r="CE641" i="1" s="1"/>
  <c r="CE655" i="1"/>
  <c r="CE4" i="1" s="1"/>
  <c r="DB645" i="1"/>
  <c r="DB651" i="1" s="1"/>
  <c r="F130" i="2"/>
  <c r="F132" i="2" s="1"/>
  <c r="CV655" i="1"/>
  <c r="CV4" i="1" s="1"/>
  <c r="CV653" i="1"/>
  <c r="CV641" i="1" s="1"/>
  <c r="CQ655" i="1"/>
  <c r="CQ4" i="1" s="1"/>
  <c r="CQ653" i="1"/>
  <c r="CQ641" i="1" s="1"/>
  <c r="DE655" i="1"/>
  <c r="DE4" i="1" s="1"/>
  <c r="DE653" i="1"/>
  <c r="DE641" i="1" s="1"/>
  <c r="BV655" i="1"/>
  <c r="BV4" i="1" s="1"/>
  <c r="BV653" i="1"/>
  <c r="BV641" i="1" s="1"/>
  <c r="CW655" i="1"/>
  <c r="CW4" i="1" s="1"/>
  <c r="CW653" i="1"/>
  <c r="CW641" i="1" s="1"/>
  <c r="CK655" i="1"/>
  <c r="CK4" i="1" s="1"/>
  <c r="CK653" i="1"/>
  <c r="CK641" i="1" s="1"/>
  <c r="CR655" i="1"/>
  <c r="CR4" i="1" s="1"/>
  <c r="CR653" i="1"/>
  <c r="CR641" i="1" s="1"/>
  <c r="BZ653" i="1"/>
  <c r="BZ641" i="1" s="1"/>
  <c r="BZ655" i="1"/>
  <c r="BZ4" i="1" s="1"/>
  <c r="CD653" i="1"/>
  <c r="CD641" i="1" s="1"/>
  <c r="CD655" i="1"/>
  <c r="CD4" i="1" s="1"/>
  <c r="G140" i="2" l="1"/>
  <c r="G141" i="2" s="1"/>
  <c r="G133" i="2"/>
  <c r="Q78" i="7"/>
  <c r="C133" i="2"/>
  <c r="C140" i="2"/>
  <c r="D140" i="2"/>
  <c r="D141" i="2" s="1"/>
  <c r="D133" i="2"/>
  <c r="CY653" i="1"/>
  <c r="CY641" i="1" s="1"/>
  <c r="CY655" i="1"/>
  <c r="CY4" i="1" s="1"/>
  <c r="DB655" i="1"/>
  <c r="DB4" i="1" s="1"/>
  <c r="DB653" i="1"/>
  <c r="DB641" i="1" s="1"/>
  <c r="CZ653" i="1"/>
  <c r="CZ641" i="1" s="1"/>
  <c r="CZ655" i="1"/>
  <c r="CZ4" i="1" s="1"/>
  <c r="E140" i="2"/>
  <c r="E141" i="2" s="1"/>
  <c r="E133" i="2"/>
  <c r="DA655" i="1"/>
  <c r="DA4" i="1" s="1"/>
  <c r="DA653" i="1"/>
  <c r="DA641" i="1" s="1"/>
  <c r="F140" i="2"/>
  <c r="F141" i="2" s="1"/>
  <c r="F133" i="2"/>
  <c r="DD655" i="1"/>
  <c r="DD4" i="1" s="1"/>
  <c r="DC655" i="1"/>
  <c r="DC4" i="1" s="1"/>
  <c r="DC653" i="1"/>
  <c r="DC641" i="1" s="1"/>
  <c r="C141" i="2" l="1"/>
  <c r="Q80" i="7"/>
  <c r="G145" i="2" l="1"/>
  <c r="Q82" i="7"/>
  <c r="C149" i="2" l="1"/>
  <c r="I145" i="2"/>
  <c r="J145" i="2"/>
  <c r="N71" i="7" l="1"/>
  <c r="K11" i="30"/>
  <c r="C153" i="2"/>
  <c r="G9" i="2" l="1"/>
  <c r="N75" i="7"/>
  <c r="K13" i="30"/>
  <c r="C154" i="2"/>
  <c r="J9" i="7" l="1"/>
  <c r="O6" i="30" l="1"/>
  <c r="J10" i="7"/>
  <c r="C8" i="27"/>
  <c r="J12" i="7" l="1"/>
  <c r="J11" i="7"/>
  <c r="N29" i="30"/>
  <c r="O29" i="30"/>
  <c r="K26" i="30"/>
  <c r="L30" i="30"/>
  <c r="K27" i="30"/>
  <c r="M29" i="30"/>
  <c r="M26" i="30"/>
  <c r="N28" i="30"/>
  <c r="N26" i="30"/>
  <c r="M28" i="30"/>
  <c r="K29" i="30"/>
  <c r="M30" i="30"/>
  <c r="L28" i="30"/>
  <c r="O26" i="30"/>
  <c r="O27" i="30"/>
  <c r="L27" i="30"/>
  <c r="O30" i="30"/>
  <c r="K28" i="30"/>
  <c r="N27" i="30"/>
  <c r="K30" i="30"/>
  <c r="L29" i="30"/>
  <c r="O28" i="30"/>
  <c r="L26" i="30"/>
  <c r="O7" i="30"/>
  <c r="N30" i="30"/>
  <c r="M27" i="3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J-Lo</author>
  </authors>
  <commentList>
    <comment ref="AB111" authorId="0" shapeId="0" xr:uid="{00000000-0006-0000-0900-000001000000}">
      <text>
        <r>
          <rPr>
            <b/>
            <sz val="8"/>
            <color indexed="81"/>
            <rFont val="Tahoma"/>
            <family val="2"/>
          </rPr>
          <t>J-Lo:</t>
        </r>
        <r>
          <rPr>
            <sz val="8"/>
            <color indexed="81"/>
            <rFont val="Tahoma"/>
            <family val="2"/>
          </rPr>
          <t xml:space="preserve">
only OEIs, not prefs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Lyons</author>
  </authors>
  <commentList>
    <comment ref="I124" authorId="0" shapeId="0" xr:uid="{00000000-0006-0000-0A00-000001000000}">
      <text>
        <r>
          <rPr>
            <b/>
            <sz val="9"/>
            <color indexed="81"/>
            <rFont val="Tahoma"/>
            <family val="2"/>
          </rPr>
          <t>Andrew Lyons:</t>
        </r>
        <r>
          <rPr>
            <sz val="9"/>
            <color indexed="81"/>
            <rFont val="Tahoma"/>
            <family val="2"/>
          </rPr>
          <t xml:space="preserve">
=VLOOKUP("CET1_Surplus",Model!$1:$1048576,MATCH("FY"&amp;RIGHT(Summary!C$121-1,2)&amp;"E",Model!$1:$1,0),FALSE) / VLOOKUP("OrdEqu_SOIEOP",Model!$1:$1048576,MATCH("FY"&amp;RIGHT(Summary!C$121-1,2)&amp;"E",Model!$1:$1,0),FALSE) * Summary!C120 +
VLOOKUP("CET1_Surplus",Model!$1:$1048576,MATCH("FY"&amp;RIGHT(Summary!D$121-1,2)&amp;"E",Model!$1:$1,0),FALSE) / VLOOKUP("OrdEqu_SOIEOP",Model!$1:$1048576,MATCH("FY"&amp;RIGHT(Summary!D$121-1,2)&amp;"E",Model!$1:$1,0),FALSE) * Summary!D120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Lyons, Andrew [GIR]</author>
    <author>Sproules, Brendan A</author>
    <author>Andrew Lyons</author>
    <author>Jien Goh</author>
    <author>Tsao, Desmond [GIR]</author>
    <author>Chu, Dylan [GIR]</author>
    <author>Authorized User</author>
    <author>J-Lo</author>
    <author>Lim, Nicholas [GIR]</author>
    <author>Leong, YuChuan [GIR]</author>
    <author>Li, John Y [GIR]</author>
    <author>tc={0D85BC41-2C45-426A-B37C-3182A6EBBDF9}</author>
    <author>tc={7D239FEA-381C-4460-93DF-5F671E3A3BC3}</author>
  </authors>
  <commentList>
    <comment ref="AW43" authorId="0" shapeId="0" xr:uid="{E28F0213-3294-4255-8616-1478AA29AC1F}">
      <text>
        <r>
          <rPr>
            <b/>
            <sz val="9"/>
            <color indexed="81"/>
            <rFont val="Tahoma"/>
            <family val="2"/>
          </rPr>
          <t>Lyons, Andrew [GIR]:</t>
        </r>
        <r>
          <rPr>
            <sz val="9"/>
            <color indexed="81"/>
            <rFont val="Tahoma"/>
            <family val="2"/>
          </rPr>
          <t xml:space="preserve">
SUN</t>
        </r>
      </text>
    </comment>
    <comment ref="BB43" authorId="1" shapeId="0" xr:uid="{7CB1D266-5CFC-4FA1-9AB6-DDB67D8E4902}">
      <text>
        <r>
          <rPr>
            <b/>
            <sz val="9"/>
            <color indexed="81"/>
            <rFont val="Tahoma"/>
            <family val="2"/>
          </rPr>
          <t>Sproules, Brendan A:</t>
        </r>
        <r>
          <rPr>
            <sz val="9"/>
            <color indexed="81"/>
            <rFont val="Tahoma"/>
            <family val="2"/>
          </rPr>
          <t xml:space="preserve">
Suncorp customer attrition</t>
        </r>
      </text>
    </comment>
    <comment ref="AF44" authorId="2" shapeId="0" xr:uid="{00000000-0006-0000-0B00-000001000000}">
      <text>
        <r>
          <rPr>
            <b/>
            <sz val="9"/>
            <color indexed="81"/>
            <rFont val="Tahoma"/>
            <family val="2"/>
          </rPr>
          <t>Andrew Lyons:</t>
        </r>
        <r>
          <rPr>
            <sz val="9"/>
            <color indexed="81"/>
            <rFont val="Tahoma"/>
            <family val="2"/>
          </rPr>
          <t xml:space="preserve">
Esanda</t>
        </r>
      </text>
    </comment>
    <comment ref="AW44" authorId="0" shapeId="0" xr:uid="{6BD5828B-4C8F-4B22-9EC9-5BF1F1960812}">
      <text>
        <r>
          <rPr>
            <b/>
            <sz val="9"/>
            <color indexed="81"/>
            <rFont val="Tahoma"/>
            <family val="2"/>
          </rPr>
          <t>Lyons, Andrew [GIR]:</t>
        </r>
        <r>
          <rPr>
            <sz val="9"/>
            <color indexed="81"/>
            <rFont val="Tahoma"/>
            <family val="2"/>
          </rPr>
          <t xml:space="preserve">
SUN</t>
        </r>
      </text>
    </comment>
    <comment ref="AW45" authorId="0" shapeId="0" xr:uid="{572B97C5-42CE-4205-B315-5A2ED8B6E45E}">
      <text>
        <r>
          <rPr>
            <b/>
            <sz val="9"/>
            <color indexed="81"/>
            <rFont val="Tahoma"/>
            <family val="2"/>
          </rPr>
          <t>Lyons, Andrew [GIR]:</t>
        </r>
        <r>
          <rPr>
            <sz val="9"/>
            <color indexed="81"/>
            <rFont val="Tahoma"/>
            <family val="2"/>
          </rPr>
          <t xml:space="preserve">
SUN</t>
        </r>
      </text>
    </comment>
    <comment ref="AW55" authorId="0" shapeId="0" xr:uid="{099BB828-BA09-47BE-8E5A-53DF0F4CBB9D}">
      <text>
        <r>
          <rPr>
            <b/>
            <sz val="9"/>
            <color indexed="81"/>
            <rFont val="Tahoma"/>
            <family val="2"/>
          </rPr>
          <t>Lyons, Andrew [GIR]:</t>
        </r>
        <r>
          <rPr>
            <sz val="9"/>
            <color indexed="81"/>
            <rFont val="Tahoma"/>
            <family val="2"/>
          </rPr>
          <t xml:space="preserve">
SUN</t>
        </r>
      </text>
    </comment>
    <comment ref="AW72" authorId="0" shapeId="0" xr:uid="{489C7E5C-D923-456A-A40C-799CDD7B3AE7}">
      <text>
        <r>
          <rPr>
            <b/>
            <sz val="9"/>
            <color indexed="81"/>
            <rFont val="Tahoma"/>
            <family val="2"/>
          </rPr>
          <t>Lyons, Andrew [GIR]:</t>
        </r>
        <r>
          <rPr>
            <sz val="9"/>
            <color indexed="81"/>
            <rFont val="Tahoma"/>
            <family val="2"/>
          </rPr>
          <t xml:space="preserve">
SUN</t>
        </r>
      </text>
    </comment>
    <comment ref="AX72" authorId="0" shapeId="0" xr:uid="{6D0B3F48-B1B0-4013-B09F-C0A3CBF514AA}">
      <text>
        <r>
          <rPr>
            <b/>
            <sz val="9"/>
            <color indexed="81"/>
            <rFont val="Tahoma"/>
            <family val="2"/>
          </rPr>
          <t>Lyons, Andrew [GIR]:</t>
        </r>
        <r>
          <rPr>
            <sz val="9"/>
            <color indexed="81"/>
            <rFont val="Tahoma"/>
            <family val="2"/>
          </rPr>
          <t xml:space="preserve">
SUN</t>
        </r>
      </text>
    </comment>
    <comment ref="AW84" authorId="0" shapeId="0" xr:uid="{EBBFB54B-2FC8-4467-BC71-F3468840A284}">
      <text>
        <r>
          <rPr>
            <b/>
            <sz val="9"/>
            <color indexed="81"/>
            <rFont val="Tahoma"/>
            <family val="2"/>
          </rPr>
          <t>Lyons, Andrew [GIR]:</t>
        </r>
        <r>
          <rPr>
            <sz val="9"/>
            <color indexed="81"/>
            <rFont val="Tahoma"/>
            <family val="2"/>
          </rPr>
          <t xml:space="preserve">
SUN</t>
        </r>
      </text>
    </comment>
    <comment ref="AX84" authorId="0" shapeId="0" xr:uid="{2D99E55D-EC9D-4938-894B-7834E03339DB}">
      <text>
        <r>
          <rPr>
            <b/>
            <sz val="9"/>
            <color indexed="81"/>
            <rFont val="Tahoma"/>
            <family val="2"/>
          </rPr>
          <t>Lyons, Andrew [GIR]:</t>
        </r>
        <r>
          <rPr>
            <sz val="9"/>
            <color indexed="81"/>
            <rFont val="Tahoma"/>
            <family val="2"/>
          </rPr>
          <t xml:space="preserve">
SUN</t>
        </r>
      </text>
    </comment>
    <comment ref="AW86" authorId="0" shapeId="0" xr:uid="{C1A23F82-E6FA-4265-ACC9-4980DAC19AFC}">
      <text>
        <r>
          <rPr>
            <b/>
            <sz val="9"/>
            <color indexed="81"/>
            <rFont val="Tahoma"/>
            <family val="2"/>
          </rPr>
          <t>Lyons, Andrew [GIR]:</t>
        </r>
        <r>
          <rPr>
            <sz val="9"/>
            <color indexed="81"/>
            <rFont val="Tahoma"/>
            <family val="2"/>
          </rPr>
          <t xml:space="preserve">
SUN</t>
        </r>
      </text>
    </comment>
    <comment ref="AX86" authorId="0" shapeId="0" xr:uid="{024466D5-A269-4720-BF76-4CD9096ACC11}">
      <text>
        <r>
          <rPr>
            <b/>
            <sz val="9"/>
            <color indexed="81"/>
            <rFont val="Tahoma"/>
            <family val="2"/>
          </rPr>
          <t>Lyons, Andrew [GIR]:</t>
        </r>
        <r>
          <rPr>
            <sz val="9"/>
            <color indexed="81"/>
            <rFont val="Tahoma"/>
            <family val="2"/>
          </rPr>
          <t xml:space="preserve">
SUN</t>
        </r>
      </text>
    </comment>
    <comment ref="AV89" authorId="0" shapeId="0" xr:uid="{A0B3D68C-02BC-4A67-907D-024E4D1DEB7A}">
      <text>
        <r>
          <rPr>
            <b/>
            <sz val="9"/>
            <color indexed="81"/>
            <rFont val="Tahoma"/>
            <family val="2"/>
          </rPr>
          <t>Lyons, Andrew [GIR]:</t>
        </r>
        <r>
          <rPr>
            <sz val="9"/>
            <color indexed="81"/>
            <rFont val="Tahoma"/>
            <family val="2"/>
          </rPr>
          <t xml:space="preserve">
AMMB sale</t>
        </r>
      </text>
    </comment>
    <comment ref="AW89" authorId="0" shapeId="0" xr:uid="{C20910B7-18E6-4931-B8C3-6FD647299971}">
      <text>
        <r>
          <rPr>
            <b/>
            <sz val="9"/>
            <color indexed="81"/>
            <rFont val="Tahoma"/>
            <family val="2"/>
          </rPr>
          <t>Lyons, Andrew [GIR]:</t>
        </r>
        <r>
          <rPr>
            <sz val="9"/>
            <color indexed="81"/>
            <rFont val="Tahoma"/>
            <family val="2"/>
          </rPr>
          <t xml:space="preserve">
AMMB sale</t>
        </r>
      </text>
    </comment>
    <comment ref="Z92" authorId="3" shapeId="0" xr:uid="{00000000-0006-0000-0B00-000004000000}">
      <text>
        <r>
          <rPr>
            <b/>
            <sz val="9"/>
            <color indexed="81"/>
            <rFont val="Tahoma"/>
            <family val="2"/>
          </rPr>
          <t>Jien Goh:</t>
        </r>
        <r>
          <rPr>
            <sz val="9"/>
            <color indexed="81"/>
            <rFont val="Tahoma"/>
            <family val="2"/>
          </rPr>
          <t xml:space="preserve">
restated 1H14</t>
        </r>
      </text>
    </comment>
    <comment ref="AA92" authorId="3" shapeId="0" xr:uid="{00000000-0006-0000-0B00-000005000000}">
      <text>
        <r>
          <rPr>
            <b/>
            <sz val="9"/>
            <color indexed="81"/>
            <rFont val="Tahoma"/>
            <family val="2"/>
          </rPr>
          <t>Jien Goh:</t>
        </r>
        <r>
          <rPr>
            <sz val="9"/>
            <color indexed="81"/>
            <rFont val="Tahoma"/>
            <family val="2"/>
          </rPr>
          <t xml:space="preserve">
restated 1H14</t>
        </r>
      </text>
    </comment>
    <comment ref="AB92" authorId="3" shapeId="0" xr:uid="{00000000-0006-0000-0B00-000006000000}">
      <text>
        <r>
          <rPr>
            <b/>
            <sz val="9"/>
            <color indexed="81"/>
            <rFont val="Tahoma"/>
            <family val="2"/>
          </rPr>
          <t>Jien Goh:</t>
        </r>
        <r>
          <rPr>
            <sz val="9"/>
            <color indexed="81"/>
            <rFont val="Tahoma"/>
            <family val="2"/>
          </rPr>
          <t xml:space="preserve">
restated 2H14 result</t>
        </r>
      </text>
    </comment>
    <comment ref="AH92" authorId="2" shapeId="0" xr:uid="{00000000-0006-0000-0B00-000007000000}">
      <text>
        <r>
          <rPr>
            <b/>
            <sz val="9"/>
            <color indexed="81"/>
            <rFont val="Tahoma"/>
            <family val="2"/>
          </rPr>
          <t>Andrew Lyons:</t>
        </r>
        <r>
          <rPr>
            <sz val="9"/>
            <color indexed="81"/>
            <rFont val="Tahoma"/>
            <family val="2"/>
          </rPr>
          <t xml:space="preserve">
Restated at 1H18 because our cash expenses are on a continued operations basis</t>
        </r>
      </text>
    </comment>
    <comment ref="AJ92" authorId="4" shapeId="0" xr:uid="{00000000-0006-0000-0B00-000008000000}">
      <text>
        <r>
          <rPr>
            <b/>
            <sz val="9"/>
            <color indexed="81"/>
            <rFont val="Tahoma"/>
            <family val="2"/>
          </rPr>
          <t>Tsao, Desmond [GIR]:</t>
        </r>
        <r>
          <rPr>
            <sz val="9"/>
            <color indexed="81"/>
            <rFont val="Tahoma"/>
            <family val="2"/>
          </rPr>
          <t xml:space="preserve">
continuing operation FTE restated in 2H18</t>
        </r>
      </text>
    </comment>
    <comment ref="AW92" authorId="0" shapeId="0" xr:uid="{5C081F0E-7947-4D9F-85B2-53C946FCE31E}">
      <text>
        <r>
          <rPr>
            <b/>
            <sz val="9"/>
            <color indexed="81"/>
            <rFont val="Tahoma"/>
            <family val="2"/>
          </rPr>
          <t>Lyons, Andrew [GIR]:</t>
        </r>
        <r>
          <rPr>
            <sz val="9"/>
            <color indexed="81"/>
            <rFont val="Tahoma"/>
            <family val="2"/>
          </rPr>
          <t xml:space="preserve">
SUN</t>
        </r>
      </text>
    </comment>
    <comment ref="BH99" authorId="0" shapeId="0" xr:uid="{0D352786-B99C-4987-8A90-34B33202C0DE}">
      <text>
        <r>
          <rPr>
            <b/>
            <sz val="9"/>
            <color indexed="81"/>
            <rFont val="Tahoma"/>
            <family val="2"/>
          </rPr>
          <t>Lyons, Andrew [GIR]:</t>
        </r>
        <r>
          <rPr>
            <sz val="9"/>
            <color indexed="81"/>
            <rFont val="Tahoma"/>
            <family val="2"/>
          </rPr>
          <t xml:space="preserve">
First half of run-rate synergies and no integration costs</t>
        </r>
      </text>
    </comment>
    <comment ref="E103" authorId="5" shapeId="0" xr:uid="{00000000-0006-0000-0B00-000009000000}">
      <text>
        <r>
          <rPr>
            <b/>
            <sz val="9"/>
            <color indexed="81"/>
            <rFont val="Tahoma"/>
            <family val="2"/>
          </rPr>
          <t>Chu, Dylan [GIR]:</t>
        </r>
        <r>
          <rPr>
            <sz val="9"/>
            <color indexed="81"/>
            <rFont val="Tahoma"/>
            <family val="2"/>
          </rPr>
          <t xml:space="preserve">
Estimates from 2H02 presentation</t>
        </r>
      </text>
    </comment>
    <comment ref="AW105" authorId="0" shapeId="0" xr:uid="{69065AFA-4423-4232-AE8C-87447A4E19E8}">
      <text>
        <r>
          <rPr>
            <b/>
            <sz val="9"/>
            <color indexed="81"/>
            <rFont val="Tahoma"/>
            <family val="2"/>
          </rPr>
          <t>Lyons, Andrew [GIR]:</t>
        </r>
        <r>
          <rPr>
            <sz val="9"/>
            <color indexed="81"/>
            <rFont val="Tahoma"/>
            <family val="2"/>
          </rPr>
          <t xml:space="preserve">
SUN estimate</t>
        </r>
      </text>
    </comment>
    <comment ref="CA106" authorId="5" shapeId="0" xr:uid="{00000000-0006-0000-0B00-00000A000000}">
      <text>
        <r>
          <rPr>
            <b/>
            <sz val="9"/>
            <color indexed="81"/>
            <rFont val="Tahoma"/>
            <family val="2"/>
          </rPr>
          <t>Chu, Dylan [GIR]:</t>
        </r>
        <r>
          <rPr>
            <sz val="9"/>
            <color indexed="81"/>
            <rFont val="Tahoma"/>
            <family val="2"/>
          </rPr>
          <t xml:space="preserve">
Estimates from 2H02 presentation</t>
        </r>
      </text>
    </comment>
    <comment ref="BX109" authorId="5" shapeId="0" xr:uid="{00000000-0006-0000-0B00-00000B000000}">
      <text>
        <r>
          <rPr>
            <b/>
            <sz val="9"/>
            <color indexed="81"/>
            <rFont val="Tahoma"/>
            <family val="2"/>
          </rPr>
          <t>Chu, Dylan [GIR]:</t>
        </r>
        <r>
          <rPr>
            <sz val="9"/>
            <color indexed="81"/>
            <rFont val="Tahoma"/>
            <family val="2"/>
          </rPr>
          <t xml:space="preserve">
Disclosure of overseas interest rate sensitivity industry breakdown discontinued</t>
        </r>
      </text>
    </comment>
    <comment ref="AW116" authorId="0" shapeId="0" xr:uid="{D31019C9-992D-47A0-B322-63051F802A26}">
      <text>
        <r>
          <rPr>
            <b/>
            <sz val="9"/>
            <color indexed="81"/>
            <rFont val="Tahoma"/>
            <family val="2"/>
          </rPr>
          <t>Lyons, Andrew [GIR]:</t>
        </r>
        <r>
          <rPr>
            <sz val="9"/>
            <color indexed="81"/>
            <rFont val="Tahoma"/>
            <family val="2"/>
          </rPr>
          <t xml:space="preserve">
SUN</t>
        </r>
      </text>
    </comment>
    <comment ref="AW123" authorId="0" shapeId="0" xr:uid="{569A08E3-6E58-4549-989C-EB61BEF9F26B}">
      <text>
        <r>
          <rPr>
            <b/>
            <sz val="9"/>
            <color indexed="81"/>
            <rFont val="Tahoma"/>
            <family val="2"/>
          </rPr>
          <t>Lyons, Andrew [GIR]:</t>
        </r>
        <r>
          <rPr>
            <sz val="9"/>
            <color indexed="81"/>
            <rFont val="Tahoma"/>
            <family val="2"/>
          </rPr>
          <t xml:space="preserve">
SUN</t>
        </r>
      </text>
    </comment>
    <comment ref="AL124" authorId="4" shapeId="0" xr:uid="{00000000-0006-0000-0B00-00000C000000}">
      <text>
        <r>
          <rPr>
            <b/>
            <sz val="9"/>
            <color indexed="81"/>
            <rFont val="Tahoma"/>
            <family val="2"/>
          </rPr>
          <t>Tsao, Desmond [GIR]:</t>
        </r>
        <r>
          <rPr>
            <sz val="9"/>
            <color indexed="81"/>
            <rFont val="Tahoma"/>
            <family val="2"/>
          </rPr>
          <t xml:space="preserve">
restated in 2H19</t>
        </r>
      </text>
    </comment>
    <comment ref="AL125" authorId="4" shapeId="0" xr:uid="{00000000-0006-0000-0B00-00000D000000}">
      <text>
        <r>
          <rPr>
            <b/>
            <sz val="9"/>
            <color indexed="81"/>
            <rFont val="Tahoma"/>
            <family val="2"/>
          </rPr>
          <t>Tsao, Desmond [GIR]:</t>
        </r>
        <r>
          <rPr>
            <sz val="9"/>
            <color indexed="81"/>
            <rFont val="Tahoma"/>
            <family val="2"/>
          </rPr>
          <t xml:space="preserve">
restated in 2H19</t>
        </r>
      </text>
    </comment>
    <comment ref="AW125" authorId="0" shapeId="0" xr:uid="{9985BD17-5B6C-4245-AEDC-08B6180D3D91}">
      <text>
        <r>
          <rPr>
            <b/>
            <sz val="9"/>
            <color indexed="81"/>
            <rFont val="Tahoma"/>
            <family val="2"/>
          </rPr>
          <t>Lyons, Andrew [GIR]:</t>
        </r>
        <r>
          <rPr>
            <sz val="9"/>
            <color indexed="81"/>
            <rFont val="Tahoma"/>
            <family val="2"/>
          </rPr>
          <t xml:space="preserve">
SUN</t>
        </r>
      </text>
    </comment>
    <comment ref="AF129" authorId="2" shapeId="0" xr:uid="{00000000-0006-0000-0B00-00000E000000}">
      <text>
        <r>
          <rPr>
            <b/>
            <sz val="9"/>
            <color indexed="81"/>
            <rFont val="Tahoma"/>
            <family val="2"/>
          </rPr>
          <t>Andrew Lyons:</t>
        </r>
        <r>
          <rPr>
            <sz val="9"/>
            <color indexed="81"/>
            <rFont val="Tahoma"/>
            <family val="2"/>
          </rPr>
          <t xml:space="preserve">
A$56 mn one off in life offset by more foreign income as Global Markets recovers</t>
        </r>
      </text>
    </comment>
    <comment ref="Y136" authorId="6" shapeId="0" xr:uid="{00000000-0006-0000-0B00-00000F000000}">
      <text>
        <r>
          <rPr>
            <b/>
            <sz val="8"/>
            <color indexed="81"/>
            <rFont val="Tahoma"/>
            <family val="2"/>
          </rPr>
          <t>Authorized User:</t>
        </r>
        <r>
          <rPr>
            <sz val="8"/>
            <color indexed="81"/>
            <rFont val="Tahoma"/>
            <family val="2"/>
          </rPr>
          <t xml:space="preserve">
Adjusted to match ANZ disclosure</t>
        </r>
      </text>
    </comment>
    <comment ref="CM136" authorId="6" shapeId="0" xr:uid="{00000000-0006-0000-0B00-000010000000}">
      <text>
        <r>
          <rPr>
            <b/>
            <sz val="8"/>
            <color indexed="81"/>
            <rFont val="Tahoma"/>
            <family val="2"/>
          </rPr>
          <t>Authorized User:</t>
        </r>
        <r>
          <rPr>
            <sz val="8"/>
            <color indexed="81"/>
            <rFont val="Tahoma"/>
            <family val="2"/>
          </rPr>
          <t xml:space="preserve">
Adjusted to get to company reported</t>
        </r>
      </text>
    </comment>
    <comment ref="AW145" authorId="0" shapeId="0" xr:uid="{B9C4B499-8B63-4447-9254-4B5986A04674}">
      <text>
        <r>
          <rPr>
            <b/>
            <sz val="9"/>
            <color indexed="81"/>
            <rFont val="Tahoma"/>
            <family val="2"/>
          </rPr>
          <t>Lyons, Andrew [GIR]:</t>
        </r>
        <r>
          <rPr>
            <sz val="9"/>
            <color indexed="81"/>
            <rFont val="Tahoma"/>
            <family val="2"/>
          </rPr>
          <t xml:space="preserve">
SUN</t>
        </r>
      </text>
    </comment>
    <comment ref="AW146" authorId="0" shapeId="0" xr:uid="{698839CE-A002-4F89-9E5C-CED67A4FEAC8}">
      <text>
        <r>
          <rPr>
            <b/>
            <sz val="9"/>
            <color indexed="81"/>
            <rFont val="Tahoma"/>
            <family val="2"/>
          </rPr>
          <t>Lyons, Andrew [GIR]:</t>
        </r>
        <r>
          <rPr>
            <sz val="9"/>
            <color indexed="81"/>
            <rFont val="Tahoma"/>
            <family val="2"/>
          </rPr>
          <t xml:space="preserve">
SUN, and A$12 bn release from APS112</t>
        </r>
      </text>
    </comment>
    <comment ref="AW147" authorId="0" shapeId="0" xr:uid="{00000000-0006-0000-0B00-000011000000}">
      <text>
        <r>
          <rPr>
            <b/>
            <sz val="9"/>
            <color indexed="81"/>
            <rFont val="Tahoma"/>
            <family val="2"/>
          </rPr>
          <t>Lyons, Andrew [GIR]:</t>
        </r>
        <r>
          <rPr>
            <sz val="9"/>
            <color indexed="81"/>
            <rFont val="Tahoma"/>
            <family val="2"/>
          </rPr>
          <t xml:space="preserve">
Run-off of IRRBB given swap rates moves in 1H22 and SUN</t>
        </r>
      </text>
    </comment>
    <comment ref="AB151" authorId="3" shapeId="0" xr:uid="{00000000-0006-0000-0B00-000012000000}">
      <text>
        <r>
          <rPr>
            <b/>
            <sz val="9"/>
            <color indexed="81"/>
            <rFont val="Tahoma"/>
            <family val="2"/>
          </rPr>
          <t>Jien Goh:</t>
        </r>
        <r>
          <rPr>
            <sz val="9"/>
            <color indexed="81"/>
            <rFont val="Tahoma"/>
            <family val="2"/>
          </rPr>
          <t xml:space="preserve">
1H14 result briefing management said 8.5-9.0%</t>
        </r>
      </text>
    </comment>
    <comment ref="AS154" authorId="0" shapeId="0" xr:uid="{BA6B6693-F11D-42D3-8A68-A66B403AC581}">
      <text>
        <r>
          <rPr>
            <b/>
            <sz val="9"/>
            <color indexed="81"/>
            <rFont val="Tahoma"/>
            <family val="2"/>
          </rPr>
          <t>Lyons, Andrew [GIR]:</t>
        </r>
        <r>
          <rPr>
            <sz val="9"/>
            <color indexed="81"/>
            <rFont val="Tahoma"/>
            <family val="2"/>
          </rPr>
          <t xml:space="preserve">
Compositional changes from FY23 result</t>
        </r>
      </text>
    </comment>
    <comment ref="P158" authorId="7" shapeId="0" xr:uid="{00000000-0006-0000-0B00-000013000000}">
      <text>
        <r>
          <rPr>
            <b/>
            <sz val="8"/>
            <color indexed="81"/>
            <rFont val="Tahoma"/>
            <family val="2"/>
          </rPr>
          <t>J-Lo:</t>
        </r>
        <r>
          <rPr>
            <sz val="8"/>
            <color indexed="81"/>
            <rFont val="Tahoma"/>
            <family val="2"/>
          </rPr>
          <t xml:space="preserve">
change of disclosure</t>
        </r>
      </text>
    </comment>
    <comment ref="X158" authorId="7" shapeId="0" xr:uid="{00000000-0006-0000-0B00-000014000000}">
      <text>
        <r>
          <rPr>
            <b/>
            <sz val="8"/>
            <color indexed="81"/>
            <rFont val="Tahoma"/>
            <family val="2"/>
          </rPr>
          <t>J-Lo:</t>
        </r>
        <r>
          <rPr>
            <sz val="8"/>
            <color indexed="81"/>
            <rFont val="Tahoma"/>
            <family val="2"/>
          </rPr>
          <t xml:space="preserve">
restated 1H13</t>
        </r>
      </text>
    </comment>
    <comment ref="Y158" authorId="7" shapeId="0" xr:uid="{00000000-0006-0000-0B00-000015000000}">
      <text>
        <r>
          <rPr>
            <b/>
            <sz val="8"/>
            <color indexed="81"/>
            <rFont val="Tahoma"/>
            <family val="2"/>
          </rPr>
          <t>J-Lo:</t>
        </r>
        <r>
          <rPr>
            <sz val="8"/>
            <color indexed="81"/>
            <rFont val="Tahoma"/>
            <family val="2"/>
          </rPr>
          <t xml:space="preserve">
restated 1H13</t>
        </r>
      </text>
    </comment>
    <comment ref="AB158" authorId="3" shapeId="0" xr:uid="{00000000-0006-0000-0B00-000016000000}">
      <text>
        <r>
          <rPr>
            <b/>
            <sz val="9"/>
            <color indexed="81"/>
            <rFont val="Tahoma"/>
            <family val="2"/>
          </rPr>
          <t>Jien Goh:</t>
        </r>
        <r>
          <rPr>
            <sz val="9"/>
            <color indexed="81"/>
            <rFont val="Tahoma"/>
            <family val="2"/>
          </rPr>
          <t xml:space="preserve">
restated 1H15</t>
        </r>
      </text>
    </comment>
    <comment ref="AC158" authorId="3" shapeId="0" xr:uid="{00000000-0006-0000-0B00-000017000000}">
      <text>
        <r>
          <rPr>
            <b/>
            <sz val="9"/>
            <color indexed="81"/>
            <rFont val="Tahoma"/>
            <family val="2"/>
          </rPr>
          <t>Jien Goh:</t>
        </r>
        <r>
          <rPr>
            <sz val="9"/>
            <color indexed="81"/>
            <rFont val="Tahoma"/>
            <family val="2"/>
          </rPr>
          <t xml:space="preserve">
restated 1H15</t>
        </r>
      </text>
    </comment>
    <comment ref="AH158" authorId="2" shapeId="0" xr:uid="{00000000-0006-0000-0B00-000018000000}">
      <text>
        <r>
          <rPr>
            <b/>
            <sz val="9"/>
            <color indexed="81"/>
            <rFont val="Tahoma"/>
            <family val="2"/>
          </rPr>
          <t>Andrew Lyons:</t>
        </r>
        <r>
          <rPr>
            <sz val="9"/>
            <color indexed="81"/>
            <rFont val="Tahoma"/>
            <family val="2"/>
          </rPr>
          <t xml:space="preserve">
Restated at 1H18</t>
        </r>
      </text>
    </comment>
    <comment ref="AJ158" authorId="4" shapeId="0" xr:uid="{00000000-0006-0000-0B00-000019000000}">
      <text>
        <r>
          <rPr>
            <b/>
            <sz val="9"/>
            <color indexed="81"/>
            <rFont val="Tahoma"/>
            <family val="2"/>
          </rPr>
          <t>Tsao, Desmond [GIR]:</t>
        </r>
        <r>
          <rPr>
            <sz val="9"/>
            <color indexed="81"/>
            <rFont val="Tahoma"/>
            <family val="2"/>
          </rPr>
          <t xml:space="preserve">
restated in 1H19</t>
        </r>
      </text>
    </comment>
    <comment ref="BA158" authorId="8" shapeId="0" xr:uid="{0D27A329-4AF2-4811-AB40-FEB6682BC6FD}">
      <text>
        <r>
          <rPr>
            <b/>
            <sz val="9"/>
            <color indexed="81"/>
            <rFont val="Tahoma"/>
            <family val="2"/>
          </rPr>
          <t>Lim, Nicholas [GIR]:</t>
        </r>
        <r>
          <rPr>
            <sz val="9"/>
            <color indexed="81"/>
            <rFont val="Tahoma"/>
            <family val="2"/>
          </rPr>
          <t xml:space="preserve">
changed % to grow to system over time</t>
        </r>
      </text>
    </comment>
    <comment ref="AB160" authorId="3" shapeId="0" xr:uid="{00000000-0006-0000-0B00-00001A000000}">
      <text>
        <r>
          <rPr>
            <b/>
            <sz val="9"/>
            <color indexed="81"/>
            <rFont val="Tahoma"/>
            <family val="2"/>
          </rPr>
          <t>Jien Goh:</t>
        </r>
        <r>
          <rPr>
            <sz val="9"/>
            <color indexed="81"/>
            <rFont val="Tahoma"/>
            <family val="2"/>
          </rPr>
          <t xml:space="preserve">
restated 1H15</t>
        </r>
      </text>
    </comment>
    <comment ref="AC160" authorId="3" shapeId="0" xr:uid="{00000000-0006-0000-0B00-00001B000000}">
      <text>
        <r>
          <rPr>
            <b/>
            <sz val="9"/>
            <color indexed="81"/>
            <rFont val="Tahoma"/>
            <family val="2"/>
          </rPr>
          <t>Jien Goh:</t>
        </r>
        <r>
          <rPr>
            <sz val="9"/>
            <color indexed="81"/>
            <rFont val="Tahoma"/>
            <family val="2"/>
          </rPr>
          <t xml:space="preserve">
restated 1H15</t>
        </r>
      </text>
    </comment>
    <comment ref="AF160" authorId="9" shapeId="0" xr:uid="{00000000-0006-0000-0B00-00001C000000}">
      <text>
        <r>
          <rPr>
            <b/>
            <sz val="9"/>
            <color indexed="81"/>
            <rFont val="Tahoma"/>
            <family val="2"/>
          </rPr>
          <t>Leong, YuChuan [GIR]:</t>
        </r>
        <r>
          <rPr>
            <sz val="9"/>
            <color indexed="81"/>
            <rFont val="Tahoma"/>
            <family val="2"/>
          </rPr>
          <t xml:space="preserve">
Restated 1H17</t>
        </r>
      </text>
    </comment>
    <comment ref="AH160" authorId="2" shapeId="0" xr:uid="{00000000-0006-0000-0B00-00001D000000}">
      <text>
        <r>
          <rPr>
            <b/>
            <sz val="9"/>
            <color indexed="81"/>
            <rFont val="Tahoma"/>
            <family val="2"/>
          </rPr>
          <t>Andrew Lyons:</t>
        </r>
        <r>
          <rPr>
            <sz val="9"/>
            <color indexed="81"/>
            <rFont val="Tahoma"/>
            <family val="2"/>
          </rPr>
          <t xml:space="preserve">
Restated at 1H18</t>
        </r>
      </text>
    </comment>
    <comment ref="Z173" authorId="3" shapeId="0" xr:uid="{00000000-0006-0000-0B00-00001E000000}">
      <text>
        <r>
          <rPr>
            <b/>
            <sz val="9"/>
            <color indexed="81"/>
            <rFont val="Tahoma"/>
            <family val="2"/>
          </rPr>
          <t>Jien Goh:</t>
        </r>
        <r>
          <rPr>
            <sz val="9"/>
            <color indexed="81"/>
            <rFont val="Tahoma"/>
            <family val="2"/>
          </rPr>
          <t xml:space="preserve">
significant upward restatement at 1H14 result</t>
        </r>
      </text>
    </comment>
    <comment ref="AA173" authorId="3" shapeId="0" xr:uid="{00000000-0006-0000-0B00-00001F000000}">
      <text>
        <r>
          <rPr>
            <b/>
            <sz val="9"/>
            <color indexed="81"/>
            <rFont val="Tahoma"/>
            <family val="2"/>
          </rPr>
          <t>Jien Goh:</t>
        </r>
        <r>
          <rPr>
            <sz val="9"/>
            <color indexed="81"/>
            <rFont val="Tahoma"/>
            <family val="2"/>
          </rPr>
          <t xml:space="preserve">
significant upward restatement at 1H14 result</t>
        </r>
      </text>
    </comment>
    <comment ref="AK184" authorId="4" shapeId="0" xr:uid="{00000000-0006-0000-0B00-000020000000}">
      <text>
        <r>
          <rPr>
            <b/>
            <sz val="9"/>
            <color indexed="81"/>
            <rFont val="Tahoma"/>
            <family val="2"/>
          </rPr>
          <t>Tsao, Desmond [GIR]:</t>
        </r>
        <r>
          <rPr>
            <sz val="9"/>
            <color indexed="81"/>
            <rFont val="Tahoma"/>
            <family val="2"/>
          </rPr>
          <t xml:space="preserve">
restated in 1H19</t>
        </r>
      </text>
    </comment>
    <comment ref="Q186" authorId="7" shapeId="0" xr:uid="{00000000-0006-0000-0B00-000021000000}">
      <text>
        <r>
          <rPr>
            <b/>
            <sz val="8"/>
            <color indexed="81"/>
            <rFont val="Tahoma"/>
            <family val="2"/>
          </rPr>
          <t>J-Lo:</t>
        </r>
        <r>
          <rPr>
            <sz val="8"/>
            <color indexed="81"/>
            <rFont val="Tahoma"/>
            <family val="2"/>
          </rPr>
          <t xml:space="preserve">
disclosure changed from segment to region</t>
        </r>
      </text>
    </comment>
    <comment ref="Q192" authorId="7" shapeId="0" xr:uid="{00000000-0006-0000-0B00-000022000000}">
      <text>
        <r>
          <rPr>
            <b/>
            <sz val="8"/>
            <color indexed="81"/>
            <rFont val="Tahoma"/>
            <family val="2"/>
          </rPr>
          <t>J-Lo:</t>
        </r>
        <r>
          <rPr>
            <sz val="8"/>
            <color indexed="81"/>
            <rFont val="Tahoma"/>
            <family val="2"/>
          </rPr>
          <t xml:space="preserve">
disclosure changed from segment to region</t>
        </r>
      </text>
    </comment>
    <comment ref="BZ208" authorId="5" shapeId="0" xr:uid="{00000000-0006-0000-0B00-000023000000}">
      <text>
        <r>
          <rPr>
            <b/>
            <sz val="9"/>
            <color indexed="81"/>
            <rFont val="Tahoma"/>
            <family val="2"/>
          </rPr>
          <t>Chu, Dylan [GIR]:</t>
        </r>
        <r>
          <rPr>
            <sz val="9"/>
            <color indexed="81"/>
            <rFont val="Tahoma"/>
            <family val="2"/>
          </rPr>
          <t xml:space="preserve">
Last disclosure available on pdf p.27 of 2h00 result</t>
        </r>
      </text>
    </comment>
    <comment ref="D209" authorId="5" shapeId="0" xr:uid="{00000000-0006-0000-0B00-000024000000}">
      <text>
        <r>
          <rPr>
            <b/>
            <sz val="9"/>
            <color indexed="81"/>
            <rFont val="Tahoma"/>
            <family val="2"/>
          </rPr>
          <t>Chu, Dylan [GIR]:</t>
        </r>
        <r>
          <rPr>
            <sz val="9"/>
            <color indexed="81"/>
            <rFont val="Tahoma"/>
            <family val="2"/>
          </rPr>
          <t xml:space="preserve">
disposed for 5,090 mn in 2002, as disclosed in FY02 fin rep.</t>
        </r>
      </text>
    </comment>
    <comment ref="AH209" authorId="2" shapeId="0" xr:uid="{00000000-0006-0000-0B00-000025000000}">
      <text>
        <r>
          <rPr>
            <b/>
            <sz val="9"/>
            <color indexed="81"/>
            <rFont val="Tahoma"/>
            <family val="2"/>
          </rPr>
          <t>Andrew Lyons:</t>
        </r>
        <r>
          <rPr>
            <sz val="9"/>
            <color indexed="81"/>
            <rFont val="Tahoma"/>
            <family val="2"/>
          </rPr>
          <t xml:space="preserve">
Restated at 1H18</t>
        </r>
      </text>
    </comment>
    <comment ref="AF210" authorId="9" shapeId="0" xr:uid="{00000000-0006-0000-0B00-000026000000}">
      <text>
        <r>
          <rPr>
            <b/>
            <sz val="9"/>
            <color indexed="81"/>
            <rFont val="Tahoma"/>
            <family val="2"/>
          </rPr>
          <t>Leong, YuChuan [GIR]:</t>
        </r>
        <r>
          <rPr>
            <sz val="9"/>
            <color indexed="81"/>
            <rFont val="Tahoma"/>
            <family val="2"/>
          </rPr>
          <t xml:space="preserve">
Restated FY16 to Wealth Australia</t>
        </r>
      </text>
    </comment>
    <comment ref="AH210" authorId="2" shapeId="0" xr:uid="{00000000-0006-0000-0B00-000027000000}">
      <text>
        <r>
          <rPr>
            <b/>
            <sz val="9"/>
            <color indexed="81"/>
            <rFont val="Tahoma"/>
            <family val="2"/>
          </rPr>
          <t>Andrew Lyons:</t>
        </r>
        <r>
          <rPr>
            <sz val="9"/>
            <color indexed="81"/>
            <rFont val="Tahoma"/>
            <family val="2"/>
          </rPr>
          <t xml:space="preserve">
Restated at 1H18</t>
        </r>
      </text>
    </comment>
    <comment ref="AN210" authorId="0" shapeId="0" xr:uid="{00000000-0006-0000-0B00-000028000000}">
      <text>
        <r>
          <rPr>
            <b/>
            <sz val="9"/>
            <color indexed="81"/>
            <rFont val="Tahoma"/>
            <family val="2"/>
          </rPr>
          <t>Lyons, Andrew [GIR]:</t>
        </r>
        <r>
          <rPr>
            <sz val="9"/>
            <color indexed="81"/>
            <rFont val="Tahoma"/>
            <family val="2"/>
          </rPr>
          <t xml:space="preserve">
Restated at 1H21 to just be NZ. No other disclosure on FUM&amp;A now provided</t>
        </r>
      </text>
    </comment>
    <comment ref="BS210" authorId="5" shapeId="0" xr:uid="{00000000-0006-0000-0B00-000029000000}">
      <text>
        <r>
          <rPr>
            <b/>
            <sz val="9"/>
            <color indexed="81"/>
            <rFont val="Tahoma"/>
            <family val="2"/>
          </rPr>
          <t>Chu, Dylan [GIR]:</t>
        </r>
        <r>
          <rPr>
            <sz val="9"/>
            <color indexed="81"/>
            <rFont val="Tahoma"/>
            <family val="2"/>
          </rPr>
          <t xml:space="preserve">
FY93 ann rep, paper p.40 </t>
        </r>
      </text>
    </comment>
    <comment ref="BT210" authorId="5" shapeId="0" xr:uid="{00000000-0006-0000-0B00-00002A000000}">
      <text>
        <r>
          <rPr>
            <b/>
            <sz val="9"/>
            <color indexed="81"/>
            <rFont val="Tahoma"/>
            <family val="2"/>
          </rPr>
          <t>Chu, Dylan [GIR]:</t>
        </r>
        <r>
          <rPr>
            <sz val="9"/>
            <color indexed="81"/>
            <rFont val="Tahoma"/>
            <family val="2"/>
          </rPr>
          <t xml:space="preserve">
FY94 ann rep, paper p.45 </t>
        </r>
      </text>
    </comment>
    <comment ref="BU210" authorId="5" shapeId="0" xr:uid="{00000000-0006-0000-0B00-00002B000000}">
      <text>
        <r>
          <rPr>
            <b/>
            <sz val="9"/>
            <color indexed="81"/>
            <rFont val="Tahoma"/>
            <family val="2"/>
          </rPr>
          <t>Chu, Dylan [GIR]:</t>
        </r>
        <r>
          <rPr>
            <sz val="9"/>
            <color indexed="81"/>
            <rFont val="Tahoma"/>
            <family val="2"/>
          </rPr>
          <t xml:space="preserve">
FY95 ann rep, paper p.45 </t>
        </r>
      </text>
    </comment>
    <comment ref="BV210" authorId="5" shapeId="0" xr:uid="{00000000-0006-0000-0B00-00002C000000}">
      <text>
        <r>
          <rPr>
            <b/>
            <sz val="9"/>
            <color indexed="81"/>
            <rFont val="Tahoma"/>
            <family val="2"/>
          </rPr>
          <t>Chu, Dylan [GIR]:</t>
        </r>
        <r>
          <rPr>
            <sz val="9"/>
            <color indexed="81"/>
            <rFont val="Tahoma"/>
            <family val="2"/>
          </rPr>
          <t xml:space="preserve">
FY96 ann rep, pdf p.47</t>
        </r>
      </text>
    </comment>
    <comment ref="CA210" authorId="5" shapeId="0" xr:uid="{00000000-0006-0000-0B00-00002D000000}">
      <text>
        <r>
          <rPr>
            <b/>
            <sz val="9"/>
            <color indexed="81"/>
            <rFont val="Tahoma"/>
            <family val="2"/>
          </rPr>
          <t>Chu, Dylan [GIR]:</t>
        </r>
        <r>
          <rPr>
            <sz val="9"/>
            <color indexed="81"/>
            <rFont val="Tahoma"/>
            <family val="2"/>
          </rPr>
          <t xml:space="preserve">
FY01 ann rep - note "Fiduciary activities"</t>
        </r>
      </text>
    </comment>
    <comment ref="Z212" authorId="2" shapeId="0" xr:uid="{00000000-0006-0000-0B00-00002E000000}">
      <text>
        <r>
          <rPr>
            <b/>
            <sz val="9"/>
            <color indexed="81"/>
            <rFont val="Tahoma"/>
            <family val="2"/>
          </rPr>
          <t>Andrew Lyons:</t>
        </r>
        <r>
          <rPr>
            <sz val="9"/>
            <color indexed="81"/>
            <rFont val="Tahoma"/>
            <family val="2"/>
          </rPr>
          <t xml:space="preserve">
Restatements at 1H14 result</t>
        </r>
      </text>
    </comment>
    <comment ref="CN219" authorId="3" shapeId="0" xr:uid="{00000000-0006-0000-0B00-00002F000000}">
      <text>
        <r>
          <rPr>
            <b/>
            <sz val="9"/>
            <color indexed="81"/>
            <rFont val="Tahoma"/>
            <family val="2"/>
          </rPr>
          <t>Jien Goh:</t>
        </r>
        <r>
          <rPr>
            <sz val="9"/>
            <color indexed="81"/>
            <rFont val="Tahoma"/>
            <family val="2"/>
          </rPr>
          <t xml:space="preserve">
restated 2H14 result</t>
        </r>
      </text>
    </comment>
    <comment ref="CP219" authorId="9" shapeId="0" xr:uid="{00000000-0006-0000-0B00-000030000000}">
      <text>
        <r>
          <rPr>
            <b/>
            <sz val="9"/>
            <color indexed="81"/>
            <rFont val="Tahoma"/>
            <family val="2"/>
          </rPr>
          <t>Leong, YuChuan [GIR]:</t>
        </r>
        <r>
          <rPr>
            <sz val="9"/>
            <color indexed="81"/>
            <rFont val="Tahoma"/>
            <family val="2"/>
          </rPr>
          <t xml:space="preserve">
Restated FY16</t>
        </r>
      </text>
    </comment>
    <comment ref="CN224" authorId="3" shapeId="0" xr:uid="{00000000-0006-0000-0B00-000031000000}">
      <text>
        <r>
          <rPr>
            <b/>
            <sz val="9"/>
            <color indexed="81"/>
            <rFont val="Tahoma"/>
            <family val="2"/>
          </rPr>
          <t>Jien Goh:</t>
        </r>
        <r>
          <rPr>
            <sz val="9"/>
            <color indexed="81"/>
            <rFont val="Tahoma"/>
            <family val="2"/>
          </rPr>
          <t xml:space="preserve">
restated 2H14 result</t>
        </r>
      </text>
    </comment>
    <comment ref="CN229" authorId="3" shapeId="0" xr:uid="{00000000-0006-0000-0B00-000032000000}">
      <text>
        <r>
          <rPr>
            <b/>
            <sz val="9"/>
            <color indexed="81"/>
            <rFont val="Tahoma"/>
            <family val="2"/>
          </rPr>
          <t>Jien Goh:</t>
        </r>
        <r>
          <rPr>
            <sz val="9"/>
            <color indexed="81"/>
            <rFont val="Tahoma"/>
            <family val="2"/>
          </rPr>
          <t xml:space="preserve">
restated 2H14 result</t>
        </r>
      </text>
    </comment>
    <comment ref="AW238" authorId="0" shapeId="0" xr:uid="{01C4B47F-FC5B-4B77-B5B5-1136E62ABE5A}">
      <text>
        <r>
          <rPr>
            <b/>
            <sz val="9"/>
            <color indexed="81"/>
            <rFont val="Tahoma"/>
            <family val="2"/>
          </rPr>
          <t>Lyons, Andrew [GIR]:</t>
        </r>
        <r>
          <rPr>
            <sz val="9"/>
            <color indexed="81"/>
            <rFont val="Tahoma"/>
            <family val="2"/>
          </rPr>
          <t xml:space="preserve">
Grossing up of the Markets balance sheet, where income was earned in OI, worth 5 bp.
Plus SUN</t>
        </r>
      </text>
    </comment>
    <comment ref="AX238" authorId="0" shapeId="0" xr:uid="{558E80DB-CC63-4EA0-8EA6-158697241497}">
      <text>
        <r>
          <rPr>
            <b/>
            <sz val="9"/>
            <color indexed="81"/>
            <rFont val="Tahoma"/>
            <family val="2"/>
          </rPr>
          <t>Lyons, Andrew [GIR]:</t>
        </r>
        <r>
          <rPr>
            <sz val="9"/>
            <color indexed="81"/>
            <rFont val="Tahoma"/>
            <family val="2"/>
          </rPr>
          <t xml:space="preserve">
SUN</t>
        </r>
      </text>
    </comment>
    <comment ref="AD239" authorId="9" shapeId="0" xr:uid="{00000000-0006-0000-0B00-000033000000}">
      <text>
        <r>
          <rPr>
            <b/>
            <sz val="9"/>
            <color indexed="81"/>
            <rFont val="Tahoma"/>
            <family val="2"/>
          </rPr>
          <t>Leong, YuChuan [GIR]:</t>
        </r>
        <r>
          <rPr>
            <sz val="9"/>
            <color indexed="81"/>
            <rFont val="Tahoma"/>
            <family val="2"/>
          </rPr>
          <t xml:space="preserve">
Restated 1H16</t>
        </r>
      </text>
    </comment>
    <comment ref="AE239" authorId="9" shapeId="0" xr:uid="{00000000-0006-0000-0B00-000034000000}">
      <text>
        <r>
          <rPr>
            <b/>
            <sz val="9"/>
            <color indexed="81"/>
            <rFont val="Tahoma"/>
            <family val="2"/>
          </rPr>
          <t>Leong, YuChuan [GIR]:</t>
        </r>
        <r>
          <rPr>
            <sz val="9"/>
            <color indexed="81"/>
            <rFont val="Tahoma"/>
            <family val="2"/>
          </rPr>
          <t xml:space="preserve">
Restated 1H16</t>
        </r>
      </text>
    </comment>
    <comment ref="AD242" authorId="3" shapeId="0" xr:uid="{00000000-0006-0000-0B00-000035000000}">
      <text>
        <r>
          <rPr>
            <b/>
            <sz val="9"/>
            <color indexed="81"/>
            <rFont val="Tahoma"/>
            <family val="2"/>
          </rPr>
          <t>Jien Goh:</t>
        </r>
        <r>
          <rPr>
            <sz val="9"/>
            <color indexed="81"/>
            <rFont val="Tahoma"/>
            <family val="2"/>
          </rPr>
          <t xml:space="preserve">
changed disclosures - now use average of avail. end of period data
then grossed to the actual total number of term deposits as dicslosed by ANZ</t>
        </r>
      </text>
    </comment>
    <comment ref="CN242" authorId="3" shapeId="0" xr:uid="{00000000-0006-0000-0B00-000036000000}">
      <text>
        <r>
          <rPr>
            <b/>
            <sz val="9"/>
            <color indexed="81"/>
            <rFont val="Tahoma"/>
            <family val="2"/>
          </rPr>
          <t>Jien Goh:</t>
        </r>
        <r>
          <rPr>
            <sz val="9"/>
            <color indexed="81"/>
            <rFont val="Tahoma"/>
            <family val="2"/>
          </rPr>
          <t xml:space="preserve">
restated at 2H14 result</t>
        </r>
      </text>
    </comment>
    <comment ref="AD243" authorId="3" shapeId="0" xr:uid="{00000000-0006-0000-0B00-000037000000}">
      <text>
        <r>
          <rPr>
            <b/>
            <sz val="9"/>
            <color indexed="81"/>
            <rFont val="Tahoma"/>
            <family val="2"/>
          </rPr>
          <t>Jien Goh:</t>
        </r>
        <r>
          <rPr>
            <sz val="9"/>
            <color indexed="81"/>
            <rFont val="Tahoma"/>
            <family val="2"/>
          </rPr>
          <t xml:space="preserve">
changed disclosures - now use average of avail. end of period data
then grossed to the actual total number of term deposits as dicslosed by ANZ</t>
        </r>
      </text>
    </comment>
    <comment ref="AD247" authorId="3" shapeId="0" xr:uid="{00000000-0006-0000-0B00-000038000000}">
      <text>
        <r>
          <rPr>
            <b/>
            <sz val="9"/>
            <color indexed="81"/>
            <rFont val="Tahoma"/>
            <family val="2"/>
          </rPr>
          <t>Jien Goh:</t>
        </r>
        <r>
          <rPr>
            <sz val="9"/>
            <color indexed="81"/>
            <rFont val="Tahoma"/>
            <family val="2"/>
          </rPr>
          <t xml:space="preserve">
changed disclosures - now use average of avail. end of period data
then grossed to the actual total number of term deposits as dicslosed by ANZ</t>
        </r>
      </text>
    </comment>
    <comment ref="AD248" authorId="3" shapeId="0" xr:uid="{00000000-0006-0000-0B00-000039000000}">
      <text>
        <r>
          <rPr>
            <b/>
            <sz val="9"/>
            <color indexed="81"/>
            <rFont val="Tahoma"/>
            <family val="2"/>
          </rPr>
          <t>Jien Goh:</t>
        </r>
        <r>
          <rPr>
            <sz val="9"/>
            <color indexed="81"/>
            <rFont val="Tahoma"/>
            <family val="2"/>
          </rPr>
          <t xml:space="preserve">
changed disclosures - now use average of avail. end of period data
then grossed to the actual total number of term deposits as dicslosed by ANZ</t>
        </r>
      </text>
    </comment>
    <comment ref="AX259" authorId="8" shapeId="0" xr:uid="{52418B86-7D02-49E3-AE1F-D17684F88EDB}">
      <text>
        <r>
          <rPr>
            <b/>
            <sz val="9"/>
            <color indexed="81"/>
            <rFont val="Tahoma"/>
            <family val="2"/>
          </rPr>
          <t>Lim, Nicholas [GIR]:</t>
        </r>
        <r>
          <rPr>
            <sz val="9"/>
            <color indexed="81"/>
            <rFont val="Tahoma"/>
            <family val="2"/>
          </rPr>
          <t xml:space="preserve">
+(46703/183894)*211347</t>
        </r>
      </text>
    </comment>
    <comment ref="AY259" authorId="8" shapeId="0" xr:uid="{BFABADDC-D372-43F0-9FC0-3BF4E4A70D43}">
      <text>
        <r>
          <rPr>
            <b/>
            <sz val="9"/>
            <color indexed="81"/>
            <rFont val="Tahoma"/>
            <family val="2"/>
          </rPr>
          <t>Lim, Nicholas [GIR]:</t>
        </r>
        <r>
          <rPr>
            <sz val="9"/>
            <color indexed="81"/>
            <rFont val="Tahoma"/>
            <family val="2"/>
          </rPr>
          <t xml:space="preserve">
pack p. 102</t>
        </r>
      </text>
    </comment>
    <comment ref="Z269" authorId="2" shapeId="0" xr:uid="{00000000-0006-0000-0B00-00003A000000}">
      <text>
        <r>
          <rPr>
            <b/>
            <sz val="9"/>
            <color indexed="81"/>
            <rFont val="Tahoma"/>
            <family val="2"/>
          </rPr>
          <t>Andrew Lyons:</t>
        </r>
        <r>
          <rPr>
            <sz val="9"/>
            <color indexed="81"/>
            <rFont val="Tahoma"/>
            <family val="2"/>
          </rPr>
          <t xml:space="preserve">
Restatements at 1H14 result</t>
        </r>
      </text>
    </comment>
    <comment ref="BS281" authorId="5" shapeId="0" xr:uid="{00000000-0006-0000-0B00-00003B000000}">
      <text>
        <r>
          <rPr>
            <b/>
            <sz val="9"/>
            <color indexed="81"/>
            <rFont val="Tahoma"/>
            <family val="2"/>
          </rPr>
          <t>Chu, Dylan [GIR]:</t>
        </r>
        <r>
          <rPr>
            <sz val="9"/>
            <color indexed="81"/>
            <rFont val="Tahoma"/>
            <family val="2"/>
          </rPr>
          <t xml:space="preserve">
Disclosure of average balance sheet and related interest no longer differentiated between NZ and other overseas.</t>
        </r>
      </text>
    </comment>
    <comment ref="BT281" authorId="5" shapeId="0" xr:uid="{00000000-0006-0000-0B00-00003C000000}">
      <text>
        <r>
          <rPr>
            <b/>
            <sz val="9"/>
            <color indexed="81"/>
            <rFont val="Tahoma"/>
            <family val="2"/>
          </rPr>
          <t>Chu, Dylan [GIR]:</t>
        </r>
        <r>
          <rPr>
            <sz val="9"/>
            <color indexed="81"/>
            <rFont val="Tahoma"/>
            <family val="2"/>
          </rPr>
          <t xml:space="preserve">
Disclosure of average balance sheet and related interest no longer differentiated between NZ and other overseas.</t>
        </r>
      </text>
    </comment>
    <comment ref="BS286" authorId="5" shapeId="0" xr:uid="{00000000-0006-0000-0B00-00003D000000}">
      <text>
        <r>
          <rPr>
            <b/>
            <sz val="9"/>
            <color indexed="81"/>
            <rFont val="Tahoma"/>
            <family val="2"/>
          </rPr>
          <t>Chu, Dylan [GIR]:</t>
        </r>
        <r>
          <rPr>
            <sz val="9"/>
            <color indexed="81"/>
            <rFont val="Tahoma"/>
            <family val="2"/>
          </rPr>
          <t xml:space="preserve">
Disclosure of average balance sheet and related interest no longer differentiated between NZ and other overseas.</t>
        </r>
      </text>
    </comment>
    <comment ref="BT286" authorId="5" shapeId="0" xr:uid="{00000000-0006-0000-0B00-00003E000000}">
      <text>
        <r>
          <rPr>
            <b/>
            <sz val="9"/>
            <color indexed="81"/>
            <rFont val="Tahoma"/>
            <family val="2"/>
          </rPr>
          <t>Chu, Dylan [GIR]:</t>
        </r>
        <r>
          <rPr>
            <sz val="9"/>
            <color indexed="81"/>
            <rFont val="Tahoma"/>
            <family val="2"/>
          </rPr>
          <t xml:space="preserve">
Disclosure of average balance sheet and related interest no longer differentiated between NZ and other overseas.</t>
        </r>
      </text>
    </comment>
    <comment ref="AS295" authorId="0" shapeId="0" xr:uid="{CB5FAB90-3687-4F9D-BDAB-735E56A68231}">
      <text>
        <r>
          <rPr>
            <b/>
            <sz val="9"/>
            <color indexed="81"/>
            <rFont val="Tahoma"/>
            <family val="2"/>
          </rPr>
          <t>Lyons, Andrew [GIR]:</t>
        </r>
        <r>
          <rPr>
            <sz val="9"/>
            <color indexed="81"/>
            <rFont val="Tahoma"/>
            <family val="2"/>
          </rPr>
          <t xml:space="preserve">
Remediation</t>
        </r>
      </text>
    </comment>
    <comment ref="AT295" authorId="0" shapeId="0" xr:uid="{652ACFA1-A5A8-4C32-B34E-26CD642B380B}">
      <text>
        <r>
          <rPr>
            <b/>
            <sz val="9"/>
            <color indexed="81"/>
            <rFont val="Tahoma"/>
            <family val="2"/>
          </rPr>
          <t>Lyons, Andrew [GIR]:</t>
        </r>
        <r>
          <rPr>
            <sz val="9"/>
            <color indexed="81"/>
            <rFont val="Tahoma"/>
            <family val="2"/>
          </rPr>
          <t xml:space="preserve">
Remediation</t>
        </r>
      </text>
    </comment>
    <comment ref="AU295" authorId="0" shapeId="0" xr:uid="{3758F24E-6BC0-408A-ACAD-428BD1909247}">
      <text>
        <r>
          <rPr>
            <b/>
            <sz val="9"/>
            <color indexed="81"/>
            <rFont val="Tahoma"/>
            <family val="2"/>
          </rPr>
          <t>Lyons, Andrew [GIR]:</t>
        </r>
        <r>
          <rPr>
            <sz val="9"/>
            <color indexed="81"/>
            <rFont val="Tahoma"/>
            <family val="2"/>
          </rPr>
          <t xml:space="preserve">
Remediation</t>
        </r>
      </text>
    </comment>
    <comment ref="BS306" authorId="5" shapeId="0" xr:uid="{00000000-0006-0000-0B00-00003F000000}">
      <text>
        <r>
          <rPr>
            <b/>
            <sz val="9"/>
            <color indexed="81"/>
            <rFont val="Tahoma"/>
            <family val="2"/>
          </rPr>
          <t>Chu, Dylan [GIR]:</t>
        </r>
        <r>
          <rPr>
            <sz val="9"/>
            <color indexed="81"/>
            <rFont val="Tahoma"/>
            <family val="2"/>
          </rPr>
          <t xml:space="preserve">
Disclosure of average balance sheet and related interest no longer differentiated between NZ and other overseas.</t>
        </r>
      </text>
    </comment>
    <comment ref="BT306" authorId="5" shapeId="0" xr:uid="{00000000-0006-0000-0B00-000040000000}">
      <text>
        <r>
          <rPr>
            <b/>
            <sz val="9"/>
            <color indexed="81"/>
            <rFont val="Tahoma"/>
            <family val="2"/>
          </rPr>
          <t>Chu, Dylan [GIR]:</t>
        </r>
        <r>
          <rPr>
            <sz val="9"/>
            <color indexed="81"/>
            <rFont val="Tahoma"/>
            <family val="2"/>
          </rPr>
          <t xml:space="preserve">
Disclosure of average balance sheet and related interest no longer differentiated between NZ and other overseas.</t>
        </r>
      </text>
    </comment>
    <comment ref="BS311" authorId="5" shapeId="0" xr:uid="{00000000-0006-0000-0B00-000041000000}">
      <text>
        <r>
          <rPr>
            <b/>
            <sz val="9"/>
            <color indexed="81"/>
            <rFont val="Tahoma"/>
            <family val="2"/>
          </rPr>
          <t>Chu, Dylan [GIR]:</t>
        </r>
        <r>
          <rPr>
            <sz val="9"/>
            <color indexed="81"/>
            <rFont val="Tahoma"/>
            <family val="2"/>
          </rPr>
          <t xml:space="preserve">
Disclosure of average balance sheet and related interest no longer differentiated between NZ and other overseas.</t>
        </r>
      </text>
    </comment>
    <comment ref="BT311" authorId="5" shapeId="0" xr:uid="{00000000-0006-0000-0B00-000042000000}">
      <text>
        <r>
          <rPr>
            <b/>
            <sz val="9"/>
            <color indexed="81"/>
            <rFont val="Tahoma"/>
            <family val="2"/>
          </rPr>
          <t>Chu, Dylan [GIR]:</t>
        </r>
        <r>
          <rPr>
            <sz val="9"/>
            <color indexed="81"/>
            <rFont val="Tahoma"/>
            <family val="2"/>
          </rPr>
          <t xml:space="preserve">
Disclosure of average balance sheet and related interest no longer differentiated between NZ and other overseas.</t>
        </r>
      </text>
    </comment>
    <comment ref="P387" authorId="7" shapeId="0" xr:uid="{00000000-0006-0000-0B00-000043000000}">
      <text>
        <r>
          <rPr>
            <b/>
            <sz val="8"/>
            <color indexed="81"/>
            <rFont val="Tahoma"/>
            <family val="2"/>
          </rPr>
          <t>J-Lo:</t>
        </r>
        <r>
          <rPr>
            <sz val="8"/>
            <color indexed="81"/>
            <rFont val="Tahoma"/>
            <family val="2"/>
          </rPr>
          <t xml:space="preserve">
ANZ underlying definition</t>
        </r>
      </text>
    </comment>
    <comment ref="L395" authorId="5" shapeId="0" xr:uid="{00000000-0006-0000-0B00-000044000000}">
      <text>
        <r>
          <rPr>
            <b/>
            <sz val="9"/>
            <color indexed="81"/>
            <rFont val="Tahoma"/>
            <family val="2"/>
          </rPr>
          <t>Chu, Dylan [GIR]:</t>
        </r>
        <r>
          <rPr>
            <sz val="9"/>
            <color indexed="81"/>
            <rFont val="Tahoma"/>
            <family val="2"/>
          </rPr>
          <t xml:space="preserve">
2H06 result, Lending fees in 2006 exclude fees included as part of the effective yield calculation</t>
        </r>
      </text>
    </comment>
    <comment ref="AK395" authorId="4" shapeId="0" xr:uid="{00000000-0006-0000-0B00-000045000000}">
      <text>
        <r>
          <rPr>
            <b/>
            <sz val="9"/>
            <color indexed="81"/>
            <rFont val="Tahoma"/>
            <family val="2"/>
          </rPr>
          <t>Tsao, Desmond [GIR]:</t>
        </r>
        <r>
          <rPr>
            <sz val="9"/>
            <color indexed="81"/>
            <rFont val="Tahoma"/>
            <family val="2"/>
          </rPr>
          <t xml:space="preserve">
restated in 1H19</t>
        </r>
      </text>
    </comment>
    <comment ref="V396" authorId="2" shapeId="0" xr:uid="{00000000-0006-0000-0B00-000046000000}">
      <text>
        <r>
          <rPr>
            <b/>
            <sz val="9"/>
            <color indexed="81"/>
            <rFont val="Tahoma"/>
            <family val="2"/>
          </rPr>
          <t>Andrew Lyons:</t>
        </r>
        <r>
          <rPr>
            <sz val="9"/>
            <color indexed="81"/>
            <rFont val="Tahoma"/>
            <family val="2"/>
          </rPr>
          <t xml:space="preserve">
Restatement</t>
        </r>
      </text>
    </comment>
    <comment ref="AK396" authorId="4" shapeId="0" xr:uid="{00000000-0006-0000-0B00-000047000000}">
      <text>
        <r>
          <rPr>
            <b/>
            <sz val="9"/>
            <color indexed="81"/>
            <rFont val="Tahoma"/>
            <family val="2"/>
          </rPr>
          <t>Tsao, Desmond [GIR]:</t>
        </r>
        <r>
          <rPr>
            <sz val="9"/>
            <color indexed="81"/>
            <rFont val="Tahoma"/>
            <family val="2"/>
          </rPr>
          <t xml:space="preserve">
restated in 1H19</t>
        </r>
      </text>
    </comment>
    <comment ref="AL396" authorId="4" shapeId="0" xr:uid="{00000000-0006-0000-0B00-000048000000}">
      <text>
        <r>
          <rPr>
            <b/>
            <sz val="9"/>
            <color indexed="81"/>
            <rFont val="Tahoma"/>
            <family val="2"/>
          </rPr>
          <t>Tsao, Desmond [GIR]:</t>
        </r>
        <r>
          <rPr>
            <sz val="9"/>
            <color indexed="81"/>
            <rFont val="Tahoma"/>
            <family val="2"/>
          </rPr>
          <t xml:space="preserve">
restated in 2H19</t>
        </r>
      </text>
    </comment>
    <comment ref="V397" authorId="2" shapeId="0" xr:uid="{00000000-0006-0000-0B00-000049000000}">
      <text>
        <r>
          <rPr>
            <b/>
            <sz val="9"/>
            <color indexed="81"/>
            <rFont val="Tahoma"/>
            <family val="2"/>
          </rPr>
          <t>Andrew Lyons:</t>
        </r>
        <r>
          <rPr>
            <sz val="9"/>
            <color indexed="81"/>
            <rFont val="Tahoma"/>
            <family val="2"/>
          </rPr>
          <t xml:space="preserve">
Restatement</t>
        </r>
      </text>
    </comment>
    <comment ref="AK397" authorId="4" shapeId="0" xr:uid="{00000000-0006-0000-0B00-00004A000000}">
      <text>
        <r>
          <rPr>
            <b/>
            <sz val="9"/>
            <color indexed="81"/>
            <rFont val="Tahoma"/>
            <family val="2"/>
          </rPr>
          <t>Tsao, Desmond [GIR]:</t>
        </r>
        <r>
          <rPr>
            <sz val="9"/>
            <color indexed="81"/>
            <rFont val="Tahoma"/>
            <family val="2"/>
          </rPr>
          <t xml:space="preserve">
restated in 1H19</t>
        </r>
      </text>
    </comment>
    <comment ref="X398" authorId="7" shapeId="0" xr:uid="{00000000-0006-0000-0B00-00004B000000}">
      <text>
        <r>
          <rPr>
            <b/>
            <sz val="8"/>
            <color indexed="81"/>
            <rFont val="Tahoma"/>
            <family val="2"/>
          </rPr>
          <t>J-Lo:</t>
        </r>
        <r>
          <rPr>
            <sz val="8"/>
            <color indexed="81"/>
            <rFont val="Tahoma"/>
            <family val="2"/>
          </rPr>
          <t xml:space="preserve">
restated</t>
        </r>
      </text>
    </comment>
    <comment ref="Y398" authorId="7" shapeId="0" xr:uid="{00000000-0006-0000-0B00-00004C000000}">
      <text>
        <r>
          <rPr>
            <b/>
            <sz val="8"/>
            <color indexed="81"/>
            <rFont val="Tahoma"/>
            <family val="2"/>
          </rPr>
          <t>J-Lo:</t>
        </r>
        <r>
          <rPr>
            <sz val="8"/>
            <color indexed="81"/>
            <rFont val="Tahoma"/>
            <family val="2"/>
          </rPr>
          <t xml:space="preserve">
restated</t>
        </r>
      </text>
    </comment>
    <comment ref="AC398" authorId="3" shapeId="0" xr:uid="{00000000-0006-0000-0B00-00004D000000}">
      <text>
        <r>
          <rPr>
            <b/>
            <sz val="9"/>
            <color indexed="81"/>
            <rFont val="Tahoma"/>
            <family val="2"/>
          </rPr>
          <t>Jien Goh:</t>
        </r>
        <r>
          <rPr>
            <sz val="9"/>
            <color indexed="81"/>
            <rFont val="Tahoma"/>
            <family val="2"/>
          </rPr>
          <t xml:space="preserve">
excludes A$125mn (pre-tax) gain on sale from ANZ Trustees, allocated to non recurring income</t>
        </r>
      </text>
    </comment>
    <comment ref="AF398" authorId="9" shapeId="0" xr:uid="{00000000-0006-0000-0B00-00004E000000}">
      <text>
        <r>
          <rPr>
            <b/>
            <sz val="9"/>
            <color indexed="81"/>
            <rFont val="Tahoma"/>
            <family val="2"/>
          </rPr>
          <t>Leong, YuChuan [GIR]:</t>
        </r>
        <r>
          <rPr>
            <sz val="9"/>
            <color indexed="81"/>
            <rFont val="Tahoma"/>
            <family val="2"/>
          </rPr>
          <t xml:space="preserve">
Restated FY16</t>
        </r>
      </text>
    </comment>
    <comment ref="AH398" authorId="2" shapeId="0" xr:uid="{00000000-0006-0000-0B00-00004F000000}">
      <text>
        <r>
          <rPr>
            <b/>
            <sz val="9"/>
            <color indexed="81"/>
            <rFont val="Tahoma"/>
            <family val="2"/>
          </rPr>
          <t>Andrew Lyons:</t>
        </r>
        <r>
          <rPr>
            <sz val="9"/>
            <color indexed="81"/>
            <rFont val="Tahoma"/>
            <family val="2"/>
          </rPr>
          <t xml:space="preserve">
Restated as at 1H18, post moving Wealth and Life into discontinued operations</t>
        </r>
      </text>
    </comment>
    <comment ref="AK398" authorId="4" shapeId="0" xr:uid="{00000000-0006-0000-0B00-000050000000}">
      <text>
        <r>
          <rPr>
            <b/>
            <sz val="9"/>
            <color indexed="81"/>
            <rFont val="Tahoma"/>
            <family val="2"/>
          </rPr>
          <t>Tsao, Desmond [GIR]:</t>
        </r>
        <r>
          <rPr>
            <sz val="9"/>
            <color indexed="81"/>
            <rFont val="Tahoma"/>
            <family val="2"/>
          </rPr>
          <t xml:space="preserve">
restated in 1H19</t>
        </r>
      </text>
    </comment>
    <comment ref="AL398" authorId="0" shapeId="0" xr:uid="{00000000-0006-0000-0B00-000051000000}">
      <text>
        <r>
          <rPr>
            <b/>
            <sz val="9"/>
            <color indexed="81"/>
            <rFont val="Tahoma"/>
            <family val="2"/>
          </rPr>
          <t>Lyons, Andrew [GIR]:</t>
        </r>
        <r>
          <rPr>
            <sz val="9"/>
            <color indexed="81"/>
            <rFont val="Tahoma"/>
            <family val="2"/>
          </rPr>
          <t xml:space="preserve">
No longer separately disclosed. Imply from statutory disclosures.</t>
        </r>
      </text>
    </comment>
    <comment ref="X399" authorId="7" shapeId="0" xr:uid="{00000000-0006-0000-0B00-000052000000}">
      <text>
        <r>
          <rPr>
            <b/>
            <sz val="8"/>
            <color indexed="81"/>
            <rFont val="Tahoma"/>
            <family val="2"/>
          </rPr>
          <t>J-Lo:</t>
        </r>
        <r>
          <rPr>
            <sz val="8"/>
            <color indexed="81"/>
            <rFont val="Tahoma"/>
            <family val="2"/>
          </rPr>
          <t xml:space="preserve">
restated</t>
        </r>
      </text>
    </comment>
    <comment ref="Y399" authorId="7" shapeId="0" xr:uid="{00000000-0006-0000-0B00-000053000000}">
      <text>
        <r>
          <rPr>
            <b/>
            <sz val="8"/>
            <color indexed="81"/>
            <rFont val="Tahoma"/>
            <family val="2"/>
          </rPr>
          <t>J-Lo:</t>
        </r>
        <r>
          <rPr>
            <sz val="8"/>
            <color indexed="81"/>
            <rFont val="Tahoma"/>
            <family val="2"/>
          </rPr>
          <t xml:space="preserve">
restated</t>
        </r>
      </text>
    </comment>
    <comment ref="AH399" authorId="2" shapeId="0" xr:uid="{00000000-0006-0000-0B00-000054000000}">
      <text>
        <r>
          <rPr>
            <b/>
            <sz val="9"/>
            <color indexed="81"/>
            <rFont val="Tahoma"/>
            <family val="2"/>
          </rPr>
          <t>Andrew Lyons:</t>
        </r>
        <r>
          <rPr>
            <sz val="9"/>
            <color indexed="81"/>
            <rFont val="Tahoma"/>
            <family val="2"/>
          </rPr>
          <t xml:space="preserve">
Restated as at 1H18, post moving Wealth and Life into discontinued operations</t>
        </r>
      </text>
    </comment>
    <comment ref="BY399" authorId="5" shapeId="0" xr:uid="{00000000-0006-0000-0B00-000055000000}">
      <text>
        <r>
          <rPr>
            <b/>
            <sz val="9"/>
            <color indexed="81"/>
            <rFont val="Tahoma"/>
            <family val="2"/>
          </rPr>
          <t>Chu, Dylan [GIR]:</t>
        </r>
        <r>
          <rPr>
            <sz val="9"/>
            <color indexed="81"/>
            <rFont val="Tahoma"/>
            <family val="2"/>
          </rPr>
          <t xml:space="preserve">
From 99 fin rep, as disclosure discontinued at this point</t>
        </r>
      </text>
    </comment>
    <comment ref="X400" authorId="7" shapeId="0" xr:uid="{00000000-0006-0000-0B00-000056000000}">
      <text>
        <r>
          <rPr>
            <b/>
            <sz val="8"/>
            <color indexed="81"/>
            <rFont val="Tahoma"/>
            <family val="2"/>
          </rPr>
          <t>J-Lo:</t>
        </r>
        <r>
          <rPr>
            <sz val="8"/>
            <color indexed="81"/>
            <rFont val="Tahoma"/>
            <family val="2"/>
          </rPr>
          <t xml:space="preserve">
restated</t>
        </r>
      </text>
    </comment>
    <comment ref="Y400" authorId="7" shapeId="0" xr:uid="{00000000-0006-0000-0B00-000057000000}">
      <text>
        <r>
          <rPr>
            <b/>
            <sz val="8"/>
            <color indexed="81"/>
            <rFont val="Tahoma"/>
            <family val="2"/>
          </rPr>
          <t>J-Lo:</t>
        </r>
        <r>
          <rPr>
            <sz val="8"/>
            <color indexed="81"/>
            <rFont val="Tahoma"/>
            <family val="2"/>
          </rPr>
          <t xml:space="preserve">
restated</t>
        </r>
      </text>
    </comment>
    <comment ref="Z400" authorId="3" shapeId="0" xr:uid="{00000000-0006-0000-0B00-000058000000}">
      <text>
        <r>
          <rPr>
            <b/>
            <sz val="9"/>
            <color indexed="81"/>
            <rFont val="Tahoma"/>
            <family val="2"/>
          </rPr>
          <t>Jien Goh:</t>
        </r>
        <r>
          <rPr>
            <sz val="9"/>
            <color indexed="81"/>
            <rFont val="Tahoma"/>
            <family val="2"/>
          </rPr>
          <t xml:space="preserve">
restated at 1H14</t>
        </r>
      </text>
    </comment>
    <comment ref="AA400" authorId="3" shapeId="0" xr:uid="{00000000-0006-0000-0B00-000059000000}">
      <text>
        <r>
          <rPr>
            <b/>
            <sz val="9"/>
            <color indexed="81"/>
            <rFont val="Tahoma"/>
            <family val="2"/>
          </rPr>
          <t>Jien Goh:</t>
        </r>
        <r>
          <rPr>
            <sz val="9"/>
            <color indexed="81"/>
            <rFont val="Tahoma"/>
            <family val="2"/>
          </rPr>
          <t xml:space="preserve">
restated at 1H14</t>
        </r>
      </text>
    </comment>
    <comment ref="AB400" authorId="3" shapeId="0" xr:uid="{00000000-0006-0000-0B00-00005A000000}">
      <text>
        <r>
          <rPr>
            <b/>
            <sz val="9"/>
            <color indexed="81"/>
            <rFont val="Tahoma"/>
            <family val="2"/>
          </rPr>
          <t>Jien Goh:</t>
        </r>
        <r>
          <rPr>
            <sz val="9"/>
            <color indexed="81"/>
            <rFont val="Tahoma"/>
            <family val="2"/>
          </rPr>
          <t xml:space="preserve">
restated at 1H15
</t>
        </r>
      </text>
    </comment>
    <comment ref="AC400" authorId="3" shapeId="0" xr:uid="{00000000-0006-0000-0B00-00005B000000}">
      <text>
        <r>
          <rPr>
            <b/>
            <sz val="9"/>
            <color indexed="81"/>
            <rFont val="Tahoma"/>
            <family val="2"/>
          </rPr>
          <t>Jien Goh:</t>
        </r>
        <r>
          <rPr>
            <sz val="9"/>
            <color indexed="81"/>
            <rFont val="Tahoma"/>
            <family val="2"/>
          </rPr>
          <t xml:space="preserve">
restated at 1H15
</t>
        </r>
      </text>
    </comment>
    <comment ref="AF400" authorId="9" shapeId="0" xr:uid="{00000000-0006-0000-0B00-00005C000000}">
      <text>
        <r>
          <rPr>
            <b/>
            <sz val="9"/>
            <color indexed="81"/>
            <rFont val="Tahoma"/>
            <family val="2"/>
          </rPr>
          <t>Leong, YuChuan [GIR]:</t>
        </r>
        <r>
          <rPr>
            <sz val="9"/>
            <color indexed="81"/>
            <rFont val="Tahoma"/>
            <family val="2"/>
          </rPr>
          <t xml:space="preserve">
Restated FY16</t>
        </r>
      </text>
    </comment>
    <comment ref="AH400" authorId="2" shapeId="0" xr:uid="{00000000-0006-0000-0B00-00005D000000}">
      <text>
        <r>
          <rPr>
            <b/>
            <sz val="9"/>
            <color indexed="81"/>
            <rFont val="Tahoma"/>
            <family val="2"/>
          </rPr>
          <t>Andrew Lyons:</t>
        </r>
        <r>
          <rPr>
            <sz val="9"/>
            <color indexed="81"/>
            <rFont val="Tahoma"/>
            <family val="2"/>
          </rPr>
          <t xml:space="preserve">
Restated as at 1H18, post moving Wealth and Life into discontinued operations</t>
        </r>
      </text>
    </comment>
    <comment ref="P407" authorId="7" shapeId="0" xr:uid="{00000000-0006-0000-0B00-00005E000000}">
      <text>
        <r>
          <rPr>
            <b/>
            <sz val="8"/>
            <color indexed="81"/>
            <rFont val="Tahoma"/>
            <family val="2"/>
          </rPr>
          <t>J-Lo:</t>
        </r>
        <r>
          <rPr>
            <sz val="8"/>
            <color indexed="81"/>
            <rFont val="Tahoma"/>
            <family val="2"/>
          </rPr>
          <t xml:space="preserve">
includes A$353 mn gain on Visa shares</t>
        </r>
      </text>
    </comment>
    <comment ref="Y407" authorId="7" shapeId="0" xr:uid="{00000000-0006-0000-0B00-00005F000000}">
      <text>
        <r>
          <rPr>
            <b/>
            <sz val="8"/>
            <color indexed="81"/>
            <rFont val="Tahoma"/>
            <family val="2"/>
          </rPr>
          <t>J-Lo:</t>
        </r>
        <r>
          <rPr>
            <sz val="8"/>
            <color indexed="81"/>
            <rFont val="Tahoma"/>
            <family val="2"/>
          </rPr>
          <t xml:space="preserve">
includes A$291 mn gain on sale of Visa shares</t>
        </r>
      </text>
    </comment>
    <comment ref="AC407" authorId="3" shapeId="0" xr:uid="{00000000-0006-0000-0B00-000060000000}">
      <text>
        <r>
          <rPr>
            <b/>
            <sz val="9"/>
            <color indexed="81"/>
            <rFont val="Tahoma"/>
            <family val="2"/>
          </rPr>
          <t>Jien Goh:</t>
        </r>
        <r>
          <rPr>
            <sz val="9"/>
            <color indexed="81"/>
            <rFont val="Tahoma"/>
            <family val="2"/>
          </rPr>
          <t xml:space="preserve">
2H14 res: On 4 July 2014, the Group disposed of its ownership interest in ANZ Trustees Limited. The contribution to Group profit after tax for the period (1 October 2013 to 4 July 2014) from ordinary activities was $3.7 million (for the year ended 30 September 2013 was $4.7 million). There were no other material entities acquired or disposed of during the years ended 30 September 2014 and 2013.
+ A$125mn gain on sale from ANZ Trustees sale</t>
        </r>
      </text>
    </comment>
    <comment ref="AF407" authorId="9" shapeId="0" xr:uid="{00000000-0006-0000-0B00-000061000000}">
      <text>
        <r>
          <rPr>
            <b/>
            <sz val="9"/>
            <color indexed="81"/>
            <rFont val="Tahoma"/>
            <family val="2"/>
          </rPr>
          <t>Leong, YuChuan [GIR]:</t>
        </r>
        <r>
          <rPr>
            <sz val="9"/>
            <color indexed="81"/>
            <rFont val="Tahoma"/>
            <family val="2"/>
          </rPr>
          <t xml:space="preserve">
A78mn gain on Esanda
-A231mn Asian minority adjusment</t>
        </r>
      </text>
    </comment>
    <comment ref="AG407" authorId="9" shapeId="0" xr:uid="{00000000-0006-0000-0B00-000062000000}">
      <text>
        <r>
          <rPr>
            <b/>
            <sz val="9"/>
            <color indexed="81"/>
            <rFont val="Tahoma"/>
            <family val="2"/>
          </rPr>
          <t>Leong, YuChuan [GIR]:</t>
        </r>
        <r>
          <rPr>
            <sz val="9"/>
            <color indexed="81"/>
            <rFont val="Tahoma"/>
            <family val="2"/>
          </rPr>
          <t xml:space="preserve">
-A237mn CVA methodology change</t>
        </r>
      </text>
    </comment>
    <comment ref="AH407" authorId="9" shapeId="0" xr:uid="{00000000-0006-0000-0B00-000063000000}">
      <text>
        <r>
          <rPr>
            <b/>
            <sz val="9"/>
            <color indexed="81"/>
            <rFont val="Tahoma"/>
            <family val="2"/>
          </rPr>
          <t>Leong, YuChuan [GIR]:</t>
        </r>
        <r>
          <rPr>
            <sz val="9"/>
            <color indexed="81"/>
            <rFont val="Tahoma"/>
            <family val="2"/>
          </rPr>
          <t xml:space="preserve">
Reclassification of Asia Retail and Wealth to held for sale A$324mn; 100 Queens A$114mn; A$162mn valuation adjustments</t>
        </r>
      </text>
    </comment>
    <comment ref="AI407" authorId="4" shapeId="0" xr:uid="{00000000-0006-0000-0B00-000064000000}">
      <text>
        <r>
          <rPr>
            <b/>
            <sz val="9"/>
            <color indexed="81"/>
            <rFont val="Tahoma"/>
            <family val="2"/>
          </rPr>
          <t>Tsao, Desmond [GIR]:</t>
        </r>
        <r>
          <rPr>
            <sz val="9"/>
            <color indexed="81"/>
            <rFont val="Tahoma"/>
            <family val="2"/>
          </rPr>
          <t xml:space="preserve">
page 88 FY17
sale of asia retail+wealth: +14mn
</t>
        </r>
      </text>
    </comment>
    <comment ref="AM407" authorId="4" shapeId="0" xr:uid="{00000000-0006-0000-0B00-000065000000}">
      <text>
        <r>
          <rPr>
            <b/>
            <sz val="9"/>
            <color indexed="81"/>
            <rFont val="Tahoma"/>
            <family val="2"/>
          </rPr>
          <t>Tsao, Desmond [GIR]:</t>
        </r>
        <r>
          <rPr>
            <sz val="9"/>
            <color indexed="81"/>
            <rFont val="Tahoma"/>
            <family val="2"/>
          </rPr>
          <t xml:space="preserve">
PG 19 4d: large/notable items
G/L from divestment +18mn
divested business results +14mn
customer remediation -29mn
</t>
        </r>
      </text>
    </comment>
    <comment ref="AN407" authorId="4" shapeId="0" xr:uid="{00000000-0006-0000-0B00-000066000000}">
      <text>
        <r>
          <rPr>
            <b/>
            <sz val="9"/>
            <color indexed="81"/>
            <rFont val="Tahoma"/>
            <family val="2"/>
          </rPr>
          <t>Tsao, Desmond [GIR]:</t>
        </r>
        <r>
          <rPr>
            <sz val="9"/>
            <color indexed="81"/>
            <rFont val="Tahoma"/>
            <family val="2"/>
          </rPr>
          <t xml:space="preserve">
pg 15 4D:
36mn customer remediation
+12mn lease related items - included as will be in base
-815mn asian associates
</t>
        </r>
      </text>
    </comment>
    <comment ref="AO407" authorId="0" shapeId="0" xr:uid="{00000000-0006-0000-0B00-000067000000}">
      <text>
        <r>
          <rPr>
            <b/>
            <sz val="9"/>
            <color indexed="81"/>
            <rFont val="Tahoma"/>
            <family val="2"/>
          </rPr>
          <t>Lyons, Andrew [GIR]:</t>
        </r>
        <r>
          <rPr>
            <sz val="9"/>
            <color indexed="81"/>
            <rFont val="Tahoma"/>
            <family val="2"/>
          </rPr>
          <t xml:space="preserve">
Per Page 17 of 4E</t>
        </r>
      </text>
    </comment>
    <comment ref="AQ407" authorId="10" shapeId="0" xr:uid="{00000000-0006-0000-0B00-000068000000}">
      <text>
        <r>
          <rPr>
            <b/>
            <sz val="9"/>
            <color indexed="81"/>
            <rFont val="Tahoma"/>
            <family val="2"/>
          </rPr>
          <t>Li, John Y [GIR]:</t>
        </r>
        <r>
          <rPr>
            <sz val="9"/>
            <color indexed="81"/>
            <rFont val="Tahoma"/>
            <family val="2"/>
          </rPr>
          <t xml:space="preserve">
p18 4E</t>
        </r>
      </text>
    </comment>
    <comment ref="AR407" authorId="10" shapeId="0" xr:uid="{00000000-0006-0000-0B00-000069000000}">
      <text>
        <r>
          <rPr>
            <b/>
            <sz val="9"/>
            <color indexed="81"/>
            <rFont val="Tahoma"/>
            <family val="2"/>
          </rPr>
          <t>Li, John Y [GIR]:</t>
        </r>
        <r>
          <rPr>
            <sz val="9"/>
            <color indexed="81"/>
            <rFont val="Tahoma"/>
            <family val="2"/>
          </rPr>
          <t xml:space="preserve">
p15 4E</t>
        </r>
      </text>
    </comment>
    <comment ref="AS407" authorId="0" shapeId="0" xr:uid="{8D9C0FFD-21B6-4BC3-9966-FDD4F411F017}">
      <text>
        <r>
          <rPr>
            <b/>
            <sz val="9"/>
            <color indexed="81"/>
            <rFont val="Tahoma"/>
            <family val="2"/>
          </rPr>
          <t>Lyons, Andrew [GIR]:</t>
        </r>
        <r>
          <rPr>
            <sz val="9"/>
            <color indexed="81"/>
            <rFont val="Tahoma"/>
            <family val="2"/>
          </rPr>
          <t xml:space="preserve">
Business divestments, remediation, lease modification</t>
        </r>
      </text>
    </comment>
    <comment ref="AT407" authorId="10" shapeId="0" xr:uid="{425A4B0C-E9A4-4579-9E49-A6D01A8DD146}">
      <text>
        <r>
          <rPr>
            <b/>
            <sz val="9"/>
            <color indexed="81"/>
            <rFont val="Tahoma"/>
            <family val="2"/>
          </rPr>
          <t>Li, John Y [GIR]:</t>
        </r>
        <r>
          <rPr>
            <sz val="9"/>
            <color indexed="81"/>
            <rFont val="Tahoma"/>
            <family val="2"/>
          </rPr>
          <t xml:space="preserve">
p15 4E</t>
        </r>
      </text>
    </comment>
    <comment ref="AU407" authorId="0" shapeId="0" xr:uid="{6AB298CF-6E14-47C9-8499-3E89E6C75EA0}">
      <text>
        <r>
          <rPr>
            <b/>
            <sz val="9"/>
            <color indexed="81"/>
            <rFont val="Tahoma"/>
            <family val="2"/>
          </rPr>
          <t>Lyons, Andrew [GIR]:</t>
        </r>
        <r>
          <rPr>
            <sz val="9"/>
            <color indexed="81"/>
            <rFont val="Tahoma"/>
            <family val="2"/>
          </rPr>
          <t xml:space="preserve">
Refer 8/11 announcement</t>
        </r>
      </text>
    </comment>
    <comment ref="AV407" authorId="10" shapeId="0" xr:uid="{AD6F3BEF-5A80-46C7-B310-BAAC009820DC}">
      <text>
        <r>
          <rPr>
            <b/>
            <sz val="9"/>
            <color indexed="81"/>
            <rFont val="Tahoma"/>
            <family val="2"/>
          </rPr>
          <t>Li, John Y [GIR]:</t>
        </r>
        <r>
          <rPr>
            <sz val="9"/>
            <color indexed="81"/>
            <rFont val="Tahoma"/>
            <family val="2"/>
          </rPr>
          <t xml:space="preserve">
look at p81 in 1H24 4D</t>
        </r>
      </text>
    </comment>
    <comment ref="P413" authorId="7" shapeId="0" xr:uid="{00000000-0006-0000-0B00-00006A000000}">
      <text>
        <r>
          <rPr>
            <b/>
            <sz val="8"/>
            <color indexed="81"/>
            <rFont val="Tahoma"/>
            <family val="2"/>
          </rPr>
          <t>J-Lo:</t>
        </r>
        <r>
          <rPr>
            <sz val="8"/>
            <color indexed="81"/>
            <rFont val="Tahoma"/>
            <family val="2"/>
          </rPr>
          <t xml:space="preserve">
adjusted for A$353 mn Visa gain on shares (wasn't cash then but 2013 defn becomes cash)</t>
        </r>
      </text>
    </comment>
    <comment ref="Z414" authorId="2" shapeId="0" xr:uid="{00000000-0006-0000-0B00-00006B000000}">
      <text>
        <r>
          <rPr>
            <b/>
            <sz val="9"/>
            <color indexed="81"/>
            <rFont val="Tahoma"/>
            <family val="2"/>
          </rPr>
          <t>Andrew Lyons:</t>
        </r>
        <r>
          <rPr>
            <sz val="9"/>
            <color indexed="81"/>
            <rFont val="Tahoma"/>
            <family val="2"/>
          </rPr>
          <t xml:space="preserve">
Restated at 1H14 result</t>
        </r>
      </text>
    </comment>
    <comment ref="AD414" authorId="9" shapeId="0" xr:uid="{00000000-0006-0000-0B00-00006C000000}">
      <text>
        <r>
          <rPr>
            <b/>
            <sz val="9"/>
            <color indexed="81"/>
            <rFont val="Tahoma"/>
            <family val="2"/>
          </rPr>
          <t>Leong, YuChuan [GIR]:</t>
        </r>
        <r>
          <rPr>
            <sz val="9"/>
            <color indexed="81"/>
            <rFont val="Tahoma"/>
            <family val="2"/>
          </rPr>
          <t xml:space="preserve">
Restated 1H16</t>
        </r>
      </text>
    </comment>
    <comment ref="AE414" authorId="9" shapeId="0" xr:uid="{00000000-0006-0000-0B00-00006D000000}">
      <text>
        <r>
          <rPr>
            <b/>
            <sz val="9"/>
            <color indexed="81"/>
            <rFont val="Tahoma"/>
            <family val="2"/>
          </rPr>
          <t>Leong, YuChuan [GIR]:</t>
        </r>
        <r>
          <rPr>
            <sz val="9"/>
            <color indexed="81"/>
            <rFont val="Tahoma"/>
            <family val="2"/>
          </rPr>
          <t xml:space="preserve">
Restated 1H16</t>
        </r>
      </text>
    </comment>
    <comment ref="AJ414" authorId="2" shapeId="0" xr:uid="{00000000-0006-0000-0B00-00006E000000}">
      <text>
        <r>
          <rPr>
            <b/>
            <sz val="9"/>
            <color indexed="81"/>
            <rFont val="Tahoma"/>
            <family val="2"/>
          </rPr>
          <t>Andrew Lyons:</t>
        </r>
        <r>
          <rPr>
            <sz val="9"/>
            <color indexed="81"/>
            <rFont val="Tahoma"/>
            <family val="2"/>
          </rPr>
          <t xml:space="preserve">
Restatement for AASB 15</t>
        </r>
      </text>
    </comment>
    <comment ref="AK414" authorId="2" shapeId="0" xr:uid="{00000000-0006-0000-0B00-00006F000000}">
      <text>
        <r>
          <rPr>
            <b/>
            <sz val="9"/>
            <color indexed="81"/>
            <rFont val="Tahoma"/>
            <family val="2"/>
          </rPr>
          <t>Andrew Lyons:</t>
        </r>
        <r>
          <rPr>
            <sz val="9"/>
            <color indexed="81"/>
            <rFont val="Tahoma"/>
            <family val="2"/>
          </rPr>
          <t xml:space="preserve">
Restatement for AASB 15</t>
        </r>
      </text>
    </comment>
    <comment ref="AJ415" authorId="2" shapeId="0" xr:uid="{00000000-0006-0000-0B00-000070000000}">
      <text>
        <r>
          <rPr>
            <b/>
            <sz val="9"/>
            <color indexed="81"/>
            <rFont val="Tahoma"/>
            <family val="2"/>
          </rPr>
          <t>Andrew Lyons:</t>
        </r>
        <r>
          <rPr>
            <sz val="9"/>
            <color indexed="81"/>
            <rFont val="Tahoma"/>
            <family val="2"/>
          </rPr>
          <t xml:space="preserve">
Adjustment for Life and Wealth business.</t>
        </r>
      </text>
    </comment>
    <comment ref="AK415" authorId="2" shapeId="0" xr:uid="{00000000-0006-0000-0B00-000071000000}">
      <text>
        <r>
          <rPr>
            <b/>
            <sz val="9"/>
            <color indexed="81"/>
            <rFont val="Tahoma"/>
            <family val="2"/>
          </rPr>
          <t>Desmond Tsao:</t>
        </r>
        <r>
          <rPr>
            <sz val="9"/>
            <color indexed="81"/>
            <rFont val="Tahoma"/>
            <family val="2"/>
          </rPr>
          <t xml:space="preserve">
Adjustment for Life and Wealth business.</t>
        </r>
      </text>
    </comment>
    <comment ref="AL415" authorId="2" shapeId="0" xr:uid="{00000000-0006-0000-0B00-000072000000}">
      <text>
        <r>
          <rPr>
            <b/>
            <sz val="9"/>
            <color indexed="81"/>
            <rFont val="Tahoma"/>
            <family val="2"/>
          </rPr>
          <t>Desmond Tsao:</t>
        </r>
        <r>
          <rPr>
            <sz val="9"/>
            <color indexed="81"/>
            <rFont val="Tahoma"/>
            <family val="2"/>
          </rPr>
          <t xml:space="preserve">
Adjustment for Life and Wealth business.</t>
        </r>
      </text>
    </comment>
    <comment ref="AM415" authorId="2" shapeId="0" xr:uid="{00000000-0006-0000-0B00-000073000000}">
      <text>
        <r>
          <rPr>
            <b/>
            <sz val="9"/>
            <color indexed="81"/>
            <rFont val="Tahoma"/>
            <family val="2"/>
          </rPr>
          <t>Desmond Tsao:</t>
        </r>
        <r>
          <rPr>
            <sz val="9"/>
            <color indexed="81"/>
            <rFont val="Tahoma"/>
            <family val="2"/>
          </rPr>
          <t xml:space="preserve">
Adjustment for Life and Wealth business.</t>
        </r>
      </text>
    </comment>
    <comment ref="AN415" authorId="2" shapeId="0" xr:uid="{00000000-0006-0000-0B00-000074000000}">
      <text>
        <r>
          <rPr>
            <b/>
            <sz val="9"/>
            <color indexed="81"/>
            <rFont val="Tahoma"/>
            <family val="2"/>
          </rPr>
          <t>Desmond Tsao:</t>
        </r>
        <r>
          <rPr>
            <sz val="9"/>
            <color indexed="81"/>
            <rFont val="Tahoma"/>
            <family val="2"/>
          </rPr>
          <t xml:space="preserve">
Adjustment for Life and Wealth business.</t>
        </r>
      </text>
    </comment>
    <comment ref="Z416" authorId="2" shapeId="0" xr:uid="{00000000-0006-0000-0B00-000075000000}">
      <text>
        <r>
          <rPr>
            <b/>
            <sz val="9"/>
            <color indexed="81"/>
            <rFont val="Tahoma"/>
            <family val="2"/>
          </rPr>
          <t>Andrew Lyons:</t>
        </r>
        <r>
          <rPr>
            <sz val="9"/>
            <color indexed="81"/>
            <rFont val="Tahoma"/>
            <family val="2"/>
          </rPr>
          <t xml:space="preserve">
Restated at 1H14 result</t>
        </r>
      </text>
    </comment>
    <comment ref="AB416" authorId="3" shapeId="0" xr:uid="{00000000-0006-0000-0B00-000076000000}">
      <text>
        <r>
          <rPr>
            <b/>
            <sz val="9"/>
            <color indexed="81"/>
            <rFont val="Tahoma"/>
            <family val="2"/>
          </rPr>
          <t>Jien Goh:</t>
        </r>
        <r>
          <rPr>
            <sz val="9"/>
            <color indexed="81"/>
            <rFont val="Tahoma"/>
            <family val="2"/>
          </rPr>
          <t xml:space="preserve">
restated at 2H14</t>
        </r>
      </text>
    </comment>
    <comment ref="AD416" authorId="9" shapeId="0" xr:uid="{00000000-0006-0000-0B00-000077000000}">
      <text>
        <r>
          <rPr>
            <b/>
            <sz val="9"/>
            <color indexed="81"/>
            <rFont val="Tahoma"/>
            <family val="2"/>
          </rPr>
          <t>Leong, YuChuan [GIR]:</t>
        </r>
        <r>
          <rPr>
            <sz val="9"/>
            <color indexed="81"/>
            <rFont val="Tahoma"/>
            <family val="2"/>
          </rPr>
          <t xml:space="preserve">
Restated 1H16</t>
        </r>
      </text>
    </comment>
    <comment ref="AE416" authorId="9" shapeId="0" xr:uid="{00000000-0006-0000-0B00-000078000000}">
      <text>
        <r>
          <rPr>
            <b/>
            <sz val="9"/>
            <color indexed="81"/>
            <rFont val="Tahoma"/>
            <family val="2"/>
          </rPr>
          <t>Leong, YuChuan [GIR]:</t>
        </r>
        <r>
          <rPr>
            <sz val="9"/>
            <color indexed="81"/>
            <rFont val="Tahoma"/>
            <family val="2"/>
          </rPr>
          <t xml:space="preserve">
Restated 1H16</t>
        </r>
      </text>
    </comment>
    <comment ref="AJ416" authorId="2" shapeId="0" xr:uid="{00000000-0006-0000-0B00-000079000000}">
      <text>
        <r>
          <rPr>
            <b/>
            <sz val="9"/>
            <color indexed="81"/>
            <rFont val="Tahoma"/>
            <family val="2"/>
          </rPr>
          <t>Andrew Lyons:</t>
        </r>
        <r>
          <rPr>
            <sz val="9"/>
            <color indexed="81"/>
            <rFont val="Tahoma"/>
            <family val="2"/>
          </rPr>
          <t xml:space="preserve">
Restatement for AASB 15</t>
        </r>
      </text>
    </comment>
    <comment ref="AK416" authorId="2" shapeId="0" xr:uid="{00000000-0006-0000-0B00-00007A000000}">
      <text>
        <r>
          <rPr>
            <b/>
            <sz val="9"/>
            <color indexed="81"/>
            <rFont val="Tahoma"/>
            <family val="2"/>
          </rPr>
          <t>Andrew Lyons:</t>
        </r>
        <r>
          <rPr>
            <sz val="9"/>
            <color indexed="81"/>
            <rFont val="Tahoma"/>
            <family val="2"/>
          </rPr>
          <t xml:space="preserve">
Restatement for AASB 15</t>
        </r>
      </text>
    </comment>
    <comment ref="Z432" authorId="3" shapeId="0" xr:uid="{00000000-0006-0000-0B00-00007B000000}">
      <text>
        <r>
          <rPr>
            <b/>
            <sz val="9"/>
            <color indexed="81"/>
            <rFont val="Tahoma"/>
            <family val="2"/>
          </rPr>
          <t>Jien Goh:</t>
        </r>
        <r>
          <rPr>
            <sz val="9"/>
            <color indexed="81"/>
            <rFont val="Tahoma"/>
            <family val="2"/>
          </rPr>
          <t xml:space="preserve">
restated at 1H14</t>
        </r>
      </text>
    </comment>
    <comment ref="AA432" authorId="3" shapeId="0" xr:uid="{00000000-0006-0000-0B00-00007C000000}">
      <text>
        <r>
          <rPr>
            <b/>
            <sz val="9"/>
            <color indexed="81"/>
            <rFont val="Tahoma"/>
            <family val="2"/>
          </rPr>
          <t>Jien Goh:</t>
        </r>
        <r>
          <rPr>
            <sz val="9"/>
            <color indexed="81"/>
            <rFont val="Tahoma"/>
            <family val="2"/>
          </rPr>
          <t xml:space="preserve">
restated at 1H14</t>
        </r>
      </text>
    </comment>
    <comment ref="AB432" authorId="3" shapeId="0" xr:uid="{00000000-0006-0000-0B00-00007D000000}">
      <text>
        <r>
          <rPr>
            <b/>
            <sz val="9"/>
            <color indexed="81"/>
            <rFont val="Tahoma"/>
            <family val="2"/>
          </rPr>
          <t>Jien Goh:</t>
        </r>
        <r>
          <rPr>
            <sz val="9"/>
            <color indexed="81"/>
            <rFont val="Tahoma"/>
            <family val="2"/>
          </rPr>
          <t xml:space="preserve">
restated 2H14 result</t>
        </r>
      </text>
    </comment>
    <comment ref="X433" authorId="7" shapeId="0" xr:uid="{00000000-0006-0000-0B00-00007E000000}">
      <text>
        <r>
          <rPr>
            <b/>
            <sz val="8"/>
            <color indexed="81"/>
            <rFont val="Tahoma"/>
            <family val="2"/>
          </rPr>
          <t>J-Lo:</t>
        </r>
        <r>
          <rPr>
            <sz val="8"/>
            <color indexed="81"/>
            <rFont val="Tahoma"/>
            <family val="2"/>
          </rPr>
          <t xml:space="preserve">
restated</t>
        </r>
      </text>
    </comment>
    <comment ref="Y433" authorId="7" shapeId="0" xr:uid="{00000000-0006-0000-0B00-00007F000000}">
      <text>
        <r>
          <rPr>
            <b/>
            <sz val="8"/>
            <color indexed="81"/>
            <rFont val="Tahoma"/>
            <family val="2"/>
          </rPr>
          <t>J-Lo:</t>
        </r>
        <r>
          <rPr>
            <sz val="8"/>
            <color indexed="81"/>
            <rFont val="Tahoma"/>
            <family val="2"/>
          </rPr>
          <t xml:space="preserve">
restated</t>
        </r>
      </text>
    </comment>
    <comment ref="AB433" authorId="3" shapeId="0" xr:uid="{00000000-0006-0000-0B00-000080000000}">
      <text>
        <r>
          <rPr>
            <b/>
            <sz val="9"/>
            <color indexed="81"/>
            <rFont val="Tahoma"/>
            <family val="2"/>
          </rPr>
          <t>Jien Goh:</t>
        </r>
        <r>
          <rPr>
            <sz val="9"/>
            <color indexed="81"/>
            <rFont val="Tahoma"/>
            <family val="2"/>
          </rPr>
          <t xml:space="preserve">
restated 1H15</t>
        </r>
      </text>
    </comment>
    <comment ref="AC433" authorId="3" shapeId="0" xr:uid="{00000000-0006-0000-0B00-000081000000}">
      <text>
        <r>
          <rPr>
            <b/>
            <sz val="9"/>
            <color indexed="81"/>
            <rFont val="Tahoma"/>
            <family val="2"/>
          </rPr>
          <t>Jien Goh:</t>
        </r>
        <r>
          <rPr>
            <sz val="9"/>
            <color indexed="81"/>
            <rFont val="Tahoma"/>
            <family val="2"/>
          </rPr>
          <t xml:space="preserve">
restated 1H15</t>
        </r>
      </text>
    </comment>
    <comment ref="AD433" authorId="9" shapeId="0" xr:uid="{00000000-0006-0000-0B00-000082000000}">
      <text>
        <r>
          <rPr>
            <b/>
            <sz val="9"/>
            <color indexed="81"/>
            <rFont val="Tahoma"/>
            <family val="2"/>
          </rPr>
          <t>Leong, YuChuan [GIR]:</t>
        </r>
        <r>
          <rPr>
            <sz val="9"/>
            <color indexed="81"/>
            <rFont val="Tahoma"/>
            <family val="2"/>
          </rPr>
          <t xml:space="preserve">
Restated 1H16</t>
        </r>
      </text>
    </comment>
    <comment ref="AE433" authorId="9" shapeId="0" xr:uid="{00000000-0006-0000-0B00-000083000000}">
      <text>
        <r>
          <rPr>
            <b/>
            <sz val="9"/>
            <color indexed="81"/>
            <rFont val="Tahoma"/>
            <family val="2"/>
          </rPr>
          <t>Leong, YuChuan [GIR]:</t>
        </r>
        <r>
          <rPr>
            <sz val="9"/>
            <color indexed="81"/>
            <rFont val="Tahoma"/>
            <family val="2"/>
          </rPr>
          <t xml:space="preserve">
Restated 1H16</t>
        </r>
      </text>
    </comment>
    <comment ref="AF433" authorId="9" shapeId="0" xr:uid="{00000000-0006-0000-0B00-000084000000}">
      <text>
        <r>
          <rPr>
            <b/>
            <sz val="9"/>
            <color indexed="81"/>
            <rFont val="Tahoma"/>
            <family val="2"/>
          </rPr>
          <t>Leong, YuChuan [GIR]:</t>
        </r>
        <r>
          <rPr>
            <sz val="9"/>
            <color indexed="81"/>
            <rFont val="Tahoma"/>
            <family val="2"/>
          </rPr>
          <t xml:space="preserve">
Restated to Wealth Australia, was 521 previously</t>
        </r>
      </text>
    </comment>
    <comment ref="AG433" authorId="9" shapeId="0" xr:uid="{00000000-0006-0000-0B00-000085000000}">
      <text>
        <r>
          <rPr>
            <b/>
            <sz val="9"/>
            <color indexed="81"/>
            <rFont val="Tahoma"/>
            <family val="2"/>
          </rPr>
          <t>Leong, YuChuan [GIR]:</t>
        </r>
        <r>
          <rPr>
            <sz val="9"/>
            <color indexed="81"/>
            <rFont val="Tahoma"/>
            <family val="2"/>
          </rPr>
          <t xml:space="preserve">
Restated 1H17</t>
        </r>
      </text>
    </comment>
    <comment ref="AH433" authorId="9" shapeId="0" xr:uid="{00000000-0006-0000-0B00-000086000000}">
      <text>
        <r>
          <rPr>
            <b/>
            <sz val="9"/>
            <color indexed="81"/>
            <rFont val="Tahoma"/>
            <family val="2"/>
          </rPr>
          <t>Leong, YuChuan [GIR]:</t>
        </r>
        <r>
          <rPr>
            <sz val="9"/>
            <color indexed="81"/>
            <rFont val="Tahoma"/>
            <family val="2"/>
          </rPr>
          <t xml:space="preserve">
Restated 1H17</t>
        </r>
      </text>
    </comment>
    <comment ref="AJ433" authorId="2" shapeId="0" xr:uid="{00000000-0006-0000-0B00-000087000000}">
      <text>
        <r>
          <rPr>
            <b/>
            <sz val="9"/>
            <color indexed="81"/>
            <rFont val="Tahoma"/>
            <family val="2"/>
          </rPr>
          <t>Andrew Lyons:</t>
        </r>
        <r>
          <rPr>
            <sz val="9"/>
            <color indexed="81"/>
            <rFont val="Tahoma"/>
            <family val="2"/>
          </rPr>
          <t xml:space="preserve">
Restated at 1H19</t>
        </r>
      </text>
    </comment>
    <comment ref="AL433" authorId="0" shapeId="0" xr:uid="{00000000-0006-0000-0B00-000088000000}">
      <text>
        <r>
          <rPr>
            <b/>
            <sz val="9"/>
            <color indexed="81"/>
            <rFont val="Tahoma"/>
            <family val="2"/>
          </rPr>
          <t>Lyons, Andrew [GIR]:</t>
        </r>
        <r>
          <rPr>
            <sz val="9"/>
            <color indexed="81"/>
            <rFont val="Tahoma"/>
            <family val="2"/>
          </rPr>
          <t xml:space="preserve">
No longer disclosed</t>
        </r>
      </text>
    </comment>
    <comment ref="AC442" authorId="3" shapeId="0" xr:uid="{00000000-0006-0000-0B00-000089000000}">
      <text>
        <r>
          <rPr>
            <b/>
            <sz val="9"/>
            <color indexed="81"/>
            <rFont val="Tahoma"/>
            <family val="2"/>
          </rPr>
          <t>Jien Goh:</t>
        </r>
        <r>
          <rPr>
            <sz val="9"/>
            <color indexed="81"/>
            <rFont val="Tahoma"/>
            <family val="2"/>
          </rPr>
          <t xml:space="preserve">
expenses from ANZ Trusteets sold 4th July 2014)</t>
        </r>
      </text>
    </comment>
    <comment ref="AF442" authorId="9" shapeId="0" xr:uid="{00000000-0006-0000-0B00-00008A000000}">
      <text>
        <r>
          <rPr>
            <b/>
            <sz val="9"/>
            <color indexed="81"/>
            <rFont val="Tahoma"/>
            <family val="2"/>
          </rPr>
          <t>Leong, YuChuan [GIR]:</t>
        </r>
        <r>
          <rPr>
            <sz val="9"/>
            <color indexed="81"/>
            <rFont val="Tahoma"/>
            <family val="2"/>
          </rPr>
          <t xml:space="preserve">
556mn software cap
138 restructuring
11 esanda</t>
        </r>
      </text>
    </comment>
    <comment ref="AG442" authorId="9" shapeId="0" xr:uid="{00000000-0006-0000-0B00-00008B000000}">
      <text>
        <r>
          <rPr>
            <b/>
            <sz val="9"/>
            <color indexed="81"/>
            <rFont val="Tahoma"/>
            <family val="2"/>
          </rPr>
          <t>Leong, YuChuan [GIR]:</t>
        </r>
        <r>
          <rPr>
            <sz val="9"/>
            <color indexed="81"/>
            <rFont val="Tahoma"/>
            <family val="2"/>
          </rPr>
          <t xml:space="preserve">
140 restructuring
6 esanda</t>
        </r>
      </text>
    </comment>
    <comment ref="AK442" authorId="4" shapeId="0" xr:uid="{00000000-0006-0000-0B00-00008C000000}">
      <text>
        <r>
          <rPr>
            <b/>
            <sz val="9"/>
            <color indexed="81"/>
            <rFont val="Tahoma"/>
            <family val="2"/>
          </rPr>
          <t>Tsao, Desmond [GIR]:</t>
        </r>
        <r>
          <rPr>
            <sz val="9"/>
            <color indexed="81"/>
            <rFont val="Tahoma"/>
            <family val="2"/>
          </rPr>
          <t xml:space="preserve">
pg 18
customer remediation 156mn
accel. Software amortisation 251mn
RC cost 39mn
restructuring charge 149mn</t>
        </r>
      </text>
    </comment>
    <comment ref="AL442" authorId="4" shapeId="0" xr:uid="{00000000-0006-0000-0B00-00008D000000}">
      <text>
        <r>
          <rPr>
            <b/>
            <sz val="9"/>
            <color indexed="81"/>
            <rFont val="Tahoma"/>
            <family val="2"/>
          </rPr>
          <t>Tsao, Desmond [GIR]:</t>
        </r>
        <r>
          <rPr>
            <sz val="9"/>
            <color indexed="81"/>
            <rFont val="Tahoma"/>
            <family val="2"/>
          </rPr>
          <t xml:space="preserve">
pg 17
divested business -5mn
customer remediation -36mn
royal commission -13mn
restructuring -51mn
</t>
        </r>
      </text>
    </comment>
    <comment ref="AM442" authorId="4" shapeId="0" xr:uid="{00000000-0006-0000-0B00-00008E000000}">
      <text>
        <r>
          <rPr>
            <b/>
            <sz val="9"/>
            <color indexed="81"/>
            <rFont val="Tahoma"/>
            <family val="2"/>
          </rPr>
          <t>Tsao, Desmond [GIR]:</t>
        </r>
        <r>
          <rPr>
            <sz val="9"/>
            <color indexed="81"/>
            <rFont val="Tahoma"/>
            <family val="2"/>
          </rPr>
          <t xml:space="preserve">
pg 19 4E
divested business -19mn
customer remediation -337mn
royal commission -2mn
restructuring -26mn
</t>
        </r>
      </text>
    </comment>
    <comment ref="AN442" authorId="4" shapeId="0" xr:uid="{00000000-0006-0000-0B00-00008F000000}">
      <text>
        <r>
          <rPr>
            <b/>
            <sz val="9"/>
            <color indexed="81"/>
            <rFont val="Tahoma"/>
            <family val="2"/>
          </rPr>
          <t>Tsao, Desmond [GIR]:</t>
        </r>
        <r>
          <rPr>
            <sz val="9"/>
            <color indexed="81"/>
            <rFont val="Tahoma"/>
            <family val="2"/>
          </rPr>
          <t xml:space="preserve">
Pg 15
-71mn customer rem
-105 restrcuturing
-74 lease related items - included as will be in base</t>
        </r>
      </text>
    </comment>
    <comment ref="AO442" authorId="0" shapeId="0" xr:uid="{00000000-0006-0000-0B00-000090000000}">
      <text>
        <r>
          <rPr>
            <b/>
            <sz val="9"/>
            <color indexed="81"/>
            <rFont val="Tahoma"/>
            <family val="2"/>
          </rPr>
          <t>Lyons, Andrew [GIR]:</t>
        </r>
        <r>
          <rPr>
            <sz val="9"/>
            <color indexed="81"/>
            <rFont val="Tahoma"/>
            <family val="2"/>
          </rPr>
          <t xml:space="preserve">
Per Page 17 of 4E</t>
        </r>
      </text>
    </comment>
    <comment ref="AQ442" authorId="10" shapeId="0" xr:uid="{00000000-0006-0000-0B00-000091000000}">
      <text>
        <r>
          <rPr>
            <b/>
            <sz val="9"/>
            <color indexed="81"/>
            <rFont val="Tahoma"/>
            <family val="2"/>
          </rPr>
          <t>Li, John Y [GIR]:</t>
        </r>
        <r>
          <rPr>
            <sz val="9"/>
            <color indexed="81"/>
            <rFont val="Tahoma"/>
            <family val="2"/>
          </rPr>
          <t xml:space="preserve">
p18 4E</t>
        </r>
      </text>
    </comment>
    <comment ref="AS442" authorId="0" shapeId="0" xr:uid="{614A385C-9FA3-43D1-B051-C34FFCBF229F}">
      <text>
        <r>
          <rPr>
            <b/>
            <sz val="9"/>
            <color indexed="81"/>
            <rFont val="Tahoma"/>
            <family val="2"/>
          </rPr>
          <t>Lyons, Andrew [GIR]:</t>
        </r>
        <r>
          <rPr>
            <sz val="9"/>
            <color indexed="81"/>
            <rFont val="Tahoma"/>
            <family val="2"/>
          </rPr>
          <t xml:space="preserve">
Divestments, M&amp;A, remediation, restructuring, lease modification</t>
        </r>
      </text>
    </comment>
    <comment ref="AT442" authorId="10" shapeId="0" xr:uid="{40148C07-17CD-4D44-A23B-251724366856}">
      <text>
        <r>
          <rPr>
            <b/>
            <sz val="9"/>
            <color indexed="81"/>
            <rFont val="Tahoma"/>
            <family val="2"/>
          </rPr>
          <t>Li, John Y [GIR]:</t>
        </r>
        <r>
          <rPr>
            <sz val="9"/>
            <color indexed="81"/>
            <rFont val="Tahoma"/>
            <family val="2"/>
          </rPr>
          <t xml:space="preserve">
p15 4E</t>
        </r>
      </text>
    </comment>
    <comment ref="AU442" authorId="0" shapeId="0" xr:uid="{BA957489-ACEB-4D59-A08E-F704EC8ED14F}">
      <text>
        <r>
          <rPr>
            <b/>
            <sz val="9"/>
            <color indexed="81"/>
            <rFont val="Tahoma"/>
            <family val="2"/>
          </rPr>
          <t>Lyons, Andrew [GIR]:</t>
        </r>
        <r>
          <rPr>
            <sz val="9"/>
            <color indexed="81"/>
            <rFont val="Tahoma"/>
            <family val="2"/>
          </rPr>
          <t xml:space="preserve">
Refer 8/11 announcement</t>
        </r>
      </text>
    </comment>
    <comment ref="AI443" authorId="2" shapeId="0" xr:uid="{00000000-0006-0000-0B00-000092000000}">
      <text>
        <r>
          <rPr>
            <b/>
            <sz val="9"/>
            <color indexed="81"/>
            <rFont val="Tahoma"/>
            <family val="2"/>
          </rPr>
          <t>Andrew Lyons:</t>
        </r>
        <r>
          <rPr>
            <sz val="9"/>
            <color indexed="81"/>
            <rFont val="Tahoma"/>
            <family val="2"/>
          </rPr>
          <t xml:space="preserve">
Cam Davis on 27/4 said guidance that costs will fall is off a continuing cash profit basis, adjusted for divested busienss results.
For FY17 we calculate this as 1H: 4487-120 and 2H: 4480-97 = FY:8750.  
In FY18, it should include royal commission costs and restructuring costs</t>
        </r>
      </text>
    </comment>
    <comment ref="R448" authorId="7" shapeId="0" xr:uid="{00000000-0006-0000-0B00-000093000000}">
      <text>
        <r>
          <rPr>
            <b/>
            <sz val="8"/>
            <color indexed="81"/>
            <rFont val="Tahoma"/>
            <family val="2"/>
          </rPr>
          <t>J-Lo:</t>
        </r>
        <r>
          <rPr>
            <sz val="8"/>
            <color indexed="81"/>
            <rFont val="Tahoma"/>
            <family val="2"/>
          </rPr>
          <t xml:space="preserve">
A$24 mn removed as only A$113 mn of A$137 mn of transformational costs - OneANZ - taken in cash earnings(2H09 accs show treated in cash earnings)</t>
        </r>
      </text>
    </comment>
    <comment ref="Z449" authorId="2" shapeId="0" xr:uid="{00000000-0006-0000-0B00-000094000000}">
      <text>
        <r>
          <rPr>
            <b/>
            <sz val="9"/>
            <color indexed="81"/>
            <rFont val="Tahoma"/>
            <family val="2"/>
          </rPr>
          <t>Andrew Lyons:</t>
        </r>
        <r>
          <rPr>
            <sz val="9"/>
            <color indexed="81"/>
            <rFont val="Tahoma"/>
            <family val="2"/>
          </rPr>
          <t xml:space="preserve">
Restated at 1H14 results</t>
        </r>
      </text>
    </comment>
    <comment ref="AD449" authorId="9" shapeId="0" xr:uid="{00000000-0006-0000-0B00-000095000000}">
      <text>
        <r>
          <rPr>
            <b/>
            <sz val="9"/>
            <color indexed="81"/>
            <rFont val="Tahoma"/>
            <family val="2"/>
          </rPr>
          <t>Leong, YuChuan [GIR]:</t>
        </r>
        <r>
          <rPr>
            <sz val="9"/>
            <color indexed="81"/>
            <rFont val="Tahoma"/>
            <family val="2"/>
          </rPr>
          <t xml:space="preserve">
Restated 1H16</t>
        </r>
      </text>
    </comment>
    <comment ref="AE449" authorId="9" shapeId="0" xr:uid="{00000000-0006-0000-0B00-000096000000}">
      <text>
        <r>
          <rPr>
            <b/>
            <sz val="9"/>
            <color indexed="81"/>
            <rFont val="Tahoma"/>
            <family val="2"/>
          </rPr>
          <t>Leong, YuChuan [GIR]:</t>
        </r>
        <r>
          <rPr>
            <sz val="9"/>
            <color indexed="81"/>
            <rFont val="Tahoma"/>
            <family val="2"/>
          </rPr>
          <t xml:space="preserve">
Restated 1H16</t>
        </r>
      </text>
    </comment>
    <comment ref="AJ449" authorId="2" shapeId="0" xr:uid="{00000000-0006-0000-0B00-000097000000}">
      <text>
        <r>
          <rPr>
            <b/>
            <sz val="9"/>
            <color indexed="81"/>
            <rFont val="Tahoma"/>
            <family val="2"/>
          </rPr>
          <t>Andrew Lyons:</t>
        </r>
        <r>
          <rPr>
            <sz val="9"/>
            <color indexed="81"/>
            <rFont val="Tahoma"/>
            <family val="2"/>
          </rPr>
          <t xml:space="preserve">
Restatement for AASB 15</t>
        </r>
      </text>
    </comment>
    <comment ref="AK449" authorId="2" shapeId="0" xr:uid="{00000000-0006-0000-0B00-000098000000}">
      <text>
        <r>
          <rPr>
            <b/>
            <sz val="9"/>
            <color indexed="81"/>
            <rFont val="Tahoma"/>
            <family val="2"/>
          </rPr>
          <t>Andrew Lyons:</t>
        </r>
        <r>
          <rPr>
            <sz val="9"/>
            <color indexed="81"/>
            <rFont val="Tahoma"/>
            <family val="2"/>
          </rPr>
          <t xml:space="preserve">
Restatement for AASB 15</t>
        </r>
      </text>
    </comment>
    <comment ref="AJ450" authorId="2" shapeId="0" xr:uid="{00000000-0006-0000-0B00-000099000000}">
      <text>
        <r>
          <rPr>
            <b/>
            <sz val="9"/>
            <color indexed="81"/>
            <rFont val="Tahoma"/>
            <family val="2"/>
          </rPr>
          <t>Andrew Lyons:</t>
        </r>
        <r>
          <rPr>
            <sz val="9"/>
            <color indexed="81"/>
            <rFont val="Tahoma"/>
            <family val="2"/>
          </rPr>
          <t xml:space="preserve">
Adjustment for Life and Wealth business.</t>
        </r>
      </text>
    </comment>
    <comment ref="AL450" authorId="4" shapeId="0" xr:uid="{00000000-0006-0000-0B00-00009A000000}">
      <text>
        <r>
          <rPr>
            <b/>
            <sz val="9"/>
            <color indexed="81"/>
            <rFont val="Tahoma"/>
            <family val="2"/>
          </rPr>
          <t>Tsao, Desmond [GIR]:</t>
        </r>
        <r>
          <rPr>
            <sz val="9"/>
            <color indexed="81"/>
            <rFont val="Tahoma"/>
            <family val="2"/>
          </rPr>
          <t xml:space="preserve">
Includes customer remediation of $127 million post-tax recognised in the September 2018 half (Mar 18 half: nil; Sep 17 full year: nil) comprising $106 million of customer remediation
recognised in Net funds management and insurance income, $75 million of remediation costs recognised in Operating expenses, and a $54 million benefit in Income tax expense.</t>
        </r>
      </text>
    </comment>
    <comment ref="AM450" authorId="4" shapeId="0" xr:uid="{00000000-0006-0000-0B00-00009B000000}">
      <text>
        <r>
          <rPr>
            <b/>
            <sz val="9"/>
            <color indexed="81"/>
            <rFont val="Tahoma"/>
            <family val="2"/>
          </rPr>
          <t>Tsao, Desmond [GIR]:</t>
        </r>
        <r>
          <rPr>
            <sz val="9"/>
            <color indexed="81"/>
            <rFont val="Tahoma"/>
            <family val="2"/>
          </rPr>
          <t xml:space="preserve">
228mn of discountined operations opex - page 104</t>
        </r>
      </text>
    </comment>
    <comment ref="AN450" authorId="4" shapeId="0" xr:uid="{00000000-0006-0000-0B00-00009C000000}">
      <text>
        <r>
          <rPr>
            <b/>
            <sz val="9"/>
            <color indexed="81"/>
            <rFont val="Tahoma"/>
            <family val="2"/>
          </rPr>
          <t>Tsao, Desmond [GIR]:</t>
        </r>
        <r>
          <rPr>
            <sz val="9"/>
            <color indexed="81"/>
            <rFont val="Tahoma"/>
            <family val="2"/>
          </rPr>
          <t xml:space="preserve">
228mn of discountined operations opex - page 104</t>
        </r>
      </text>
    </comment>
    <comment ref="Z451" authorId="2" shapeId="0" xr:uid="{00000000-0006-0000-0B00-00009D000000}">
      <text>
        <r>
          <rPr>
            <b/>
            <sz val="9"/>
            <color indexed="81"/>
            <rFont val="Tahoma"/>
            <family val="2"/>
          </rPr>
          <t>Andrew Lyons:</t>
        </r>
        <r>
          <rPr>
            <sz val="9"/>
            <color indexed="81"/>
            <rFont val="Tahoma"/>
            <family val="2"/>
          </rPr>
          <t xml:space="preserve">
Restated at 1H14 results</t>
        </r>
      </text>
    </comment>
    <comment ref="AD451" authorId="9" shapeId="0" xr:uid="{00000000-0006-0000-0B00-00009E000000}">
      <text>
        <r>
          <rPr>
            <b/>
            <sz val="9"/>
            <color indexed="81"/>
            <rFont val="Tahoma"/>
            <family val="2"/>
          </rPr>
          <t>Leong, YuChuan [GIR]:</t>
        </r>
        <r>
          <rPr>
            <sz val="9"/>
            <color indexed="81"/>
            <rFont val="Tahoma"/>
            <family val="2"/>
          </rPr>
          <t xml:space="preserve">
Restated 1H16</t>
        </r>
      </text>
    </comment>
    <comment ref="AE451" authorId="9" shapeId="0" xr:uid="{00000000-0006-0000-0B00-00009F000000}">
      <text>
        <r>
          <rPr>
            <b/>
            <sz val="9"/>
            <color indexed="81"/>
            <rFont val="Tahoma"/>
            <family val="2"/>
          </rPr>
          <t>Leong, YuChuan [GIR]:</t>
        </r>
        <r>
          <rPr>
            <sz val="9"/>
            <color indexed="81"/>
            <rFont val="Tahoma"/>
            <family val="2"/>
          </rPr>
          <t xml:space="preserve">
Restated 1H16</t>
        </r>
      </text>
    </comment>
    <comment ref="AJ451" authorId="2" shapeId="0" xr:uid="{00000000-0006-0000-0B00-0000A0000000}">
      <text>
        <r>
          <rPr>
            <b/>
            <sz val="9"/>
            <color indexed="81"/>
            <rFont val="Tahoma"/>
            <family val="2"/>
          </rPr>
          <t>Andrew Lyons:</t>
        </r>
        <r>
          <rPr>
            <sz val="9"/>
            <color indexed="81"/>
            <rFont val="Tahoma"/>
            <family val="2"/>
          </rPr>
          <t xml:space="preserve">
Restatement for AASB 15</t>
        </r>
      </text>
    </comment>
    <comment ref="AK451" authorId="2" shapeId="0" xr:uid="{00000000-0006-0000-0B00-0000A1000000}">
      <text>
        <r>
          <rPr>
            <b/>
            <sz val="9"/>
            <color indexed="81"/>
            <rFont val="Tahoma"/>
            <family val="2"/>
          </rPr>
          <t>Andrew Lyons:</t>
        </r>
        <r>
          <rPr>
            <sz val="9"/>
            <color indexed="81"/>
            <rFont val="Tahoma"/>
            <family val="2"/>
          </rPr>
          <t xml:space="preserve">
Restatement for AASB 15</t>
        </r>
      </text>
    </comment>
    <comment ref="AP469" authorId="10" shapeId="0" xr:uid="{00000000-0006-0000-0B00-0000A2000000}">
      <text>
        <r>
          <rPr>
            <b/>
            <sz val="9"/>
            <color indexed="81"/>
            <rFont val="Tahoma"/>
            <family val="2"/>
          </rPr>
          <t>Li, John Y [GIR]:</t>
        </r>
        <r>
          <rPr>
            <sz val="9"/>
            <color indexed="81"/>
            <rFont val="Tahoma"/>
            <family val="2"/>
          </rPr>
          <t xml:space="preserve">
not sure what the 115 is</t>
        </r>
      </text>
    </comment>
    <comment ref="AT469" authorId="10" shapeId="0" xr:uid="{706FD6F0-F5FF-40AF-8851-4BDDD8696405}">
      <text>
        <r>
          <rPr>
            <b/>
            <sz val="9"/>
            <color indexed="81"/>
            <rFont val="Tahoma"/>
            <family val="2"/>
          </rPr>
          <t>Li, John Y [GIR]:</t>
        </r>
        <r>
          <rPr>
            <sz val="9"/>
            <color indexed="81"/>
            <rFont val="Tahoma"/>
            <family val="2"/>
          </rPr>
          <t xml:space="preserve">
the 101 is Recoveries of amounts previously written off in 4E..
42 , 23 both in pillar 3</t>
        </r>
      </text>
    </comment>
    <comment ref="AU469" authorId="10" shapeId="0" xr:uid="{53B13584-293C-4996-A2A7-9897EB15B191}">
      <text>
        <r>
          <rPr>
            <b/>
            <sz val="9"/>
            <color indexed="81"/>
            <rFont val="Tahoma"/>
            <family val="2"/>
          </rPr>
          <t>Li, John Y [GIR]:</t>
        </r>
        <r>
          <rPr>
            <sz val="9"/>
            <color indexed="81"/>
            <rFont val="Tahoma"/>
            <family val="2"/>
          </rPr>
          <t xml:space="preserve">
the 66 is Recoveries of amounts previously written off in 4E..
42 , 23 both in pillar 3</t>
        </r>
      </text>
    </comment>
    <comment ref="AV469" authorId="10" shapeId="0" xr:uid="{B588393B-87EF-4EB1-956B-D7A9FFCD15F1}">
      <text>
        <r>
          <rPr>
            <b/>
            <sz val="9"/>
            <color indexed="81"/>
            <rFont val="Tahoma"/>
            <family val="2"/>
          </rPr>
          <t>Li, John Y [GIR]:</t>
        </r>
        <r>
          <rPr>
            <sz val="9"/>
            <color indexed="81"/>
            <rFont val="Tahoma"/>
            <family val="2"/>
          </rPr>
          <t xml:space="preserve">
the 78 is Recoveries of amounts previously written off in 4E..
43 , 25 both in pillar 3</t>
        </r>
      </text>
    </comment>
    <comment ref="AW469" authorId="10" shapeId="0" xr:uid="{362BB69F-1073-425C-9A7D-6167A199098D}">
      <text>
        <r>
          <rPr>
            <b/>
            <sz val="9"/>
            <color indexed="81"/>
            <rFont val="Tahoma"/>
            <family val="2"/>
          </rPr>
          <t>Li, John Y [GIR]:</t>
        </r>
        <r>
          <rPr>
            <sz val="9"/>
            <color indexed="81"/>
            <rFont val="Tahoma"/>
            <family val="2"/>
          </rPr>
          <t xml:space="preserve">
the 59 is Recoveries of amounts previously written off in 4E..
46 , 29 both in pillar 3</t>
        </r>
      </text>
    </comment>
    <comment ref="AW471" authorId="0" shapeId="0" xr:uid="{96CB91E6-16DE-4FB7-890D-92B4561B9233}">
      <text>
        <r>
          <rPr>
            <b/>
            <sz val="9"/>
            <color indexed="81"/>
            <rFont val="Tahoma"/>
            <family val="2"/>
          </rPr>
          <t>Lyons, Andrew [GIR]:</t>
        </r>
        <r>
          <rPr>
            <sz val="9"/>
            <color indexed="81"/>
            <rFont val="Tahoma"/>
            <family val="2"/>
          </rPr>
          <t xml:space="preserve">
SUN</t>
        </r>
      </text>
    </comment>
    <comment ref="P497" authorId="7" shapeId="0" xr:uid="{00000000-0006-0000-0B00-0000A3000000}">
      <text>
        <r>
          <rPr>
            <b/>
            <sz val="8"/>
            <color indexed="81"/>
            <rFont val="Tahoma"/>
            <family val="2"/>
          </rPr>
          <t>J-Lo:</t>
        </r>
        <r>
          <rPr>
            <sz val="8"/>
            <color indexed="81"/>
            <rFont val="Tahoma"/>
            <family val="2"/>
          </rPr>
          <t xml:space="preserve">
adjusted for gain on Visa shares</t>
        </r>
      </text>
    </comment>
    <comment ref="R497" authorId="7" shapeId="0" xr:uid="{00000000-0006-0000-0B00-0000A4000000}">
      <text>
        <r>
          <rPr>
            <b/>
            <sz val="8"/>
            <color indexed="81"/>
            <rFont val="Tahoma"/>
            <family val="2"/>
          </rPr>
          <t>J-Lo:</t>
        </r>
        <r>
          <rPr>
            <sz val="8"/>
            <color indexed="81"/>
            <rFont val="Tahoma"/>
            <family val="2"/>
          </rPr>
          <t xml:space="preserve">
A$7 mn added as only A$113 mn of A$137 mn of transformational costs - OneANZ - taken in cash earnings (2H09 accs show treated in cash earnings)</t>
        </r>
      </text>
    </comment>
    <comment ref="K499" authorId="5" shapeId="0" xr:uid="{00000000-0006-0000-0B00-0000A5000000}">
      <text>
        <r>
          <rPr>
            <b/>
            <sz val="9"/>
            <color indexed="81"/>
            <rFont val="Tahoma"/>
            <family val="2"/>
          </rPr>
          <t>Chu, Dylan [GIR]:</t>
        </r>
        <r>
          <rPr>
            <sz val="9"/>
            <color indexed="81"/>
            <rFont val="Tahoma"/>
            <family val="2"/>
          </rPr>
          <t xml:space="preserve">
on fully comparable AIFRS basis</t>
        </r>
      </text>
    </comment>
    <comment ref="R505" authorId="7" shapeId="0" xr:uid="{00000000-0006-0000-0B00-0000A6000000}">
      <text>
        <r>
          <rPr>
            <b/>
            <sz val="8"/>
            <color indexed="81"/>
            <rFont val="Tahoma"/>
            <family val="2"/>
          </rPr>
          <t>J-Lo:</t>
        </r>
        <r>
          <rPr>
            <sz val="8"/>
            <color indexed="81"/>
            <rFont val="Tahoma"/>
            <family val="2"/>
          </rPr>
          <t xml:space="preserve">
A$7 mn added as only A$113 mn of A$137 mn of transformational costs - OneANZ - taken in cash earnings (2H09 accs show treated in cash earnings)</t>
        </r>
      </text>
    </comment>
    <comment ref="Z506" authorId="2" shapeId="0" xr:uid="{00000000-0006-0000-0B00-0000A7000000}">
      <text>
        <r>
          <rPr>
            <b/>
            <sz val="9"/>
            <color indexed="81"/>
            <rFont val="Tahoma"/>
            <family val="2"/>
          </rPr>
          <t>Andrew Lyons:</t>
        </r>
        <r>
          <rPr>
            <sz val="9"/>
            <color indexed="81"/>
            <rFont val="Tahoma"/>
            <family val="2"/>
          </rPr>
          <t xml:space="preserve">
Restated at 1H14 result</t>
        </r>
      </text>
    </comment>
    <comment ref="AJ507" authorId="2" shapeId="0" xr:uid="{00000000-0006-0000-0B00-0000A8000000}">
      <text>
        <r>
          <rPr>
            <b/>
            <sz val="9"/>
            <color indexed="81"/>
            <rFont val="Tahoma"/>
            <family val="2"/>
          </rPr>
          <t>Andrew Lyons:</t>
        </r>
        <r>
          <rPr>
            <sz val="9"/>
            <color indexed="81"/>
            <rFont val="Tahoma"/>
            <family val="2"/>
          </rPr>
          <t xml:space="preserve">
Adjustment for Life and Wealth business.</t>
        </r>
      </text>
    </comment>
    <comment ref="AK507" authorId="4" shapeId="0" xr:uid="{00000000-0006-0000-0B00-0000A9000000}">
      <text>
        <r>
          <rPr>
            <b/>
            <sz val="9"/>
            <color indexed="81"/>
            <rFont val="Tahoma"/>
            <family val="2"/>
          </rPr>
          <t>Tsao, Desmond [GIR]:</t>
        </r>
        <r>
          <rPr>
            <sz val="9"/>
            <color indexed="81"/>
            <rFont val="Tahoma"/>
            <family val="2"/>
          </rPr>
          <t xml:space="preserve">
Adjustment for Life and Wealth business.</t>
        </r>
      </text>
    </comment>
    <comment ref="AL507" authorId="4" shapeId="0" xr:uid="{00000000-0006-0000-0B00-0000AA000000}">
      <text>
        <r>
          <rPr>
            <b/>
            <sz val="9"/>
            <color indexed="81"/>
            <rFont val="Tahoma"/>
            <family val="2"/>
          </rPr>
          <t>Tsao, Desmond [GIR]:</t>
        </r>
        <r>
          <rPr>
            <sz val="9"/>
            <color indexed="81"/>
            <rFont val="Tahoma"/>
            <family val="2"/>
          </rPr>
          <t xml:space="preserve">
Adjustment for Life and Wealth business.</t>
        </r>
      </text>
    </comment>
    <comment ref="Z509" authorId="2" shapeId="0" xr:uid="{00000000-0006-0000-0B00-0000AB000000}">
      <text>
        <r>
          <rPr>
            <b/>
            <sz val="9"/>
            <color indexed="81"/>
            <rFont val="Tahoma"/>
            <family val="2"/>
          </rPr>
          <t>Andrew Lyons:</t>
        </r>
        <r>
          <rPr>
            <sz val="9"/>
            <color indexed="81"/>
            <rFont val="Tahoma"/>
            <family val="2"/>
          </rPr>
          <t xml:space="preserve">
Restated at 1H14 result</t>
        </r>
      </text>
    </comment>
    <comment ref="AB509" authorId="3" shapeId="0" xr:uid="{00000000-0006-0000-0B00-0000AC000000}">
      <text>
        <r>
          <rPr>
            <b/>
            <sz val="9"/>
            <color indexed="81"/>
            <rFont val="Tahoma"/>
            <family val="2"/>
          </rPr>
          <t>Jien Goh:</t>
        </r>
        <r>
          <rPr>
            <sz val="9"/>
            <color indexed="81"/>
            <rFont val="Tahoma"/>
            <family val="2"/>
          </rPr>
          <t xml:space="preserve">
restated 2H14 result</t>
        </r>
      </text>
    </comment>
    <comment ref="AC509" authorId="3" shapeId="0" xr:uid="{00000000-0006-0000-0B00-0000AD000000}">
      <text>
        <r>
          <rPr>
            <b/>
            <sz val="9"/>
            <color indexed="81"/>
            <rFont val="Tahoma"/>
            <family val="2"/>
          </rPr>
          <t>Jien Goh:</t>
        </r>
        <r>
          <rPr>
            <sz val="9"/>
            <color indexed="81"/>
            <rFont val="Tahoma"/>
            <family val="2"/>
          </rPr>
          <t xml:space="preserve">
restated 2H14 result</t>
        </r>
      </text>
    </comment>
    <comment ref="AM509" authorId="4" shapeId="0" xr:uid="{00000000-0006-0000-0B00-0000AE000000}">
      <text>
        <r>
          <rPr>
            <b/>
            <sz val="9"/>
            <color indexed="81"/>
            <rFont val="Tahoma"/>
            <family val="2"/>
          </rPr>
          <t>Tsao, Desmond [GIR]:</t>
        </r>
        <r>
          <rPr>
            <sz val="9"/>
            <color indexed="81"/>
            <rFont val="Tahoma"/>
            <family val="2"/>
          </rPr>
          <t xml:space="preserve">
72mn income tax exp from discontinued ops (4E page 104)</t>
        </r>
      </text>
    </comment>
    <comment ref="AN509" authorId="4" shapeId="0" xr:uid="{00000000-0006-0000-0B00-0000AF000000}">
      <text>
        <r>
          <rPr>
            <b/>
            <sz val="9"/>
            <color indexed="81"/>
            <rFont val="Tahoma"/>
            <family val="2"/>
          </rPr>
          <t>Tsao, Desmond [GIR]:</t>
        </r>
        <r>
          <rPr>
            <sz val="9"/>
            <color indexed="81"/>
            <rFont val="Tahoma"/>
            <family val="2"/>
          </rPr>
          <t xml:space="preserve">
Pg 105: 144mn tax benefit from discont </t>
        </r>
      </text>
    </comment>
    <comment ref="AQ509" authorId="0" shapeId="0" xr:uid="{00000000-0006-0000-0B00-0000B0000000}">
      <text>
        <r>
          <rPr>
            <b/>
            <sz val="9"/>
            <color indexed="81"/>
            <rFont val="Tahoma"/>
            <family val="2"/>
          </rPr>
          <t>Lyons, Andrew [GIR]:</t>
        </r>
        <r>
          <rPr>
            <sz val="9"/>
            <color indexed="81"/>
            <rFont val="Tahoma"/>
            <family val="2"/>
          </rPr>
          <t xml:space="preserve">
Full dicontinued oeprations P&amp;L no longer disclosed, so all NPAT put into this line</t>
        </r>
      </text>
    </comment>
    <comment ref="V521" authorId="7" shapeId="0" xr:uid="{00000000-0006-0000-0B00-0000B1000000}">
      <text>
        <r>
          <rPr>
            <b/>
            <sz val="8"/>
            <color indexed="81"/>
            <rFont val="Tahoma"/>
            <family val="2"/>
          </rPr>
          <t>J-Lo:</t>
        </r>
        <r>
          <rPr>
            <sz val="8"/>
            <color indexed="81"/>
            <rFont val="Tahoma"/>
            <family val="2"/>
          </rPr>
          <t xml:space="preserve">
changed from ANZ underlying to ANZ cash</t>
        </r>
      </text>
    </comment>
    <comment ref="R523" authorId="7" shapeId="0" xr:uid="{00000000-0006-0000-0B00-0000B2000000}">
      <text>
        <r>
          <rPr>
            <b/>
            <sz val="8"/>
            <color indexed="81"/>
            <rFont val="Tahoma"/>
            <family val="2"/>
          </rPr>
          <t>J-Lo:</t>
        </r>
        <r>
          <rPr>
            <sz val="8"/>
            <color indexed="81"/>
            <rFont val="Tahoma"/>
            <family val="2"/>
          </rPr>
          <t xml:space="preserve">
org transformational costs (A$17 mn) - the other A$79 mn related to OneANZ in cash earnings</t>
        </r>
      </text>
    </comment>
    <comment ref="AB523" authorId="3" shapeId="0" xr:uid="{00000000-0006-0000-0B00-0000B3000000}">
      <text>
        <r>
          <rPr>
            <b/>
            <sz val="9"/>
            <color indexed="81"/>
            <rFont val="Tahoma"/>
            <family val="2"/>
          </rPr>
          <t>Jien Goh:</t>
        </r>
        <r>
          <rPr>
            <sz val="9"/>
            <color indexed="81"/>
            <rFont val="Tahoma"/>
            <family val="2"/>
          </rPr>
          <t xml:space="preserve">
restated in 2H14 result</t>
        </r>
      </text>
    </comment>
    <comment ref="AH523" authorId="9" shapeId="0" xr:uid="{00000000-0006-0000-0B00-0000B4000000}">
      <text>
        <r>
          <rPr>
            <b/>
            <sz val="9"/>
            <color indexed="81"/>
            <rFont val="Tahoma"/>
            <family val="2"/>
          </rPr>
          <t>Leong, YuChuan [GIR]:</t>
        </r>
        <r>
          <rPr>
            <sz val="9"/>
            <color indexed="81"/>
            <rFont val="Tahoma"/>
            <family val="2"/>
          </rPr>
          <t xml:space="preserve">
Reclassification of SRCB held for sale c.$316mn, plus Wealth and Life</t>
        </r>
      </text>
    </comment>
    <comment ref="AI523" authorId="4" shapeId="0" xr:uid="{00000000-0006-0000-0B00-0000B5000000}">
      <text>
        <r>
          <rPr>
            <b/>
            <sz val="9"/>
            <color indexed="81"/>
            <rFont val="Tahoma"/>
            <family val="2"/>
          </rPr>
          <t>Tsao, Desmond [GIR]:</t>
        </r>
        <r>
          <rPr>
            <sz val="9"/>
            <color indexed="81"/>
            <rFont val="Tahoma"/>
            <family val="2"/>
          </rPr>
          <t xml:space="preserve">
total adjustment btw stat and cash profit : pg 20
$32MN, plus Wealth and Life</t>
        </r>
      </text>
    </comment>
    <comment ref="AJ523" authorId="2" shapeId="0" xr:uid="{00000000-0006-0000-0B00-0000B6000000}">
      <text>
        <r>
          <rPr>
            <b/>
            <sz val="9"/>
            <color indexed="81"/>
            <rFont val="Tahoma"/>
            <family val="2"/>
          </rPr>
          <t>Andrew Lyons:</t>
        </r>
        <r>
          <rPr>
            <sz val="9"/>
            <color indexed="81"/>
            <rFont val="Tahoma"/>
            <family val="2"/>
          </rPr>
          <t xml:space="preserve">
Discontinued operations, plus loss on sale</t>
        </r>
      </text>
    </comment>
    <comment ref="AK523" authorId="4" shapeId="0" xr:uid="{00000000-0006-0000-0B00-0000B7000000}">
      <text>
        <r>
          <rPr>
            <b/>
            <sz val="9"/>
            <color indexed="81"/>
            <rFont val="Tahoma"/>
            <family val="2"/>
          </rPr>
          <t>Tsao, Desmond [GIR]:</t>
        </r>
        <r>
          <rPr>
            <sz val="9"/>
            <color indexed="81"/>
            <rFont val="Tahoma"/>
            <family val="2"/>
          </rPr>
          <t xml:space="preserve">
Discontinued operations, plus loss on sale</t>
        </r>
      </text>
    </comment>
    <comment ref="AL523" authorId="4" shapeId="0" xr:uid="{00000000-0006-0000-0B00-0000B8000000}">
      <text>
        <r>
          <rPr>
            <b/>
            <sz val="9"/>
            <color indexed="81"/>
            <rFont val="Tahoma"/>
            <family val="2"/>
          </rPr>
          <t>Tsao, Desmond [GIR]:</t>
        </r>
        <r>
          <rPr>
            <sz val="9"/>
            <color indexed="81"/>
            <rFont val="Tahoma"/>
            <family val="2"/>
          </rPr>
          <t xml:space="preserve">
pg 76 4D adjustments to stat profit</t>
        </r>
      </text>
    </comment>
    <comment ref="AM523" authorId="4" shapeId="0" xr:uid="{00000000-0006-0000-0B00-0000B9000000}">
      <text>
        <r>
          <rPr>
            <b/>
            <sz val="9"/>
            <color indexed="81"/>
            <rFont val="Tahoma"/>
            <family val="2"/>
          </rPr>
          <t>Tsao, Desmond [GIR]:</t>
        </r>
        <r>
          <rPr>
            <sz val="9"/>
            <color indexed="81"/>
            <rFont val="Tahoma"/>
            <family val="2"/>
          </rPr>
          <t xml:space="preserve">
pg 24 4D adjustments to stat profit
A$273 mn cash profit from discontinued ops page 78 4E</t>
        </r>
      </text>
    </comment>
    <comment ref="AN523" authorId="4" shapeId="0" xr:uid="{00000000-0006-0000-0B00-0000BA000000}">
      <text>
        <r>
          <rPr>
            <b/>
            <sz val="9"/>
            <color indexed="81"/>
            <rFont val="Tahoma"/>
            <family val="2"/>
          </rPr>
          <t>Tsao, Desmond [GIR]:</t>
        </r>
        <r>
          <rPr>
            <sz val="9"/>
            <color indexed="81"/>
            <rFont val="Tahoma"/>
            <family val="2"/>
          </rPr>
          <t xml:space="preserve">
pg 20 OF 4d
A$90mn cash profit from discontinued ops page 72 4E</t>
        </r>
      </text>
    </comment>
    <comment ref="AP523" authorId="10" shapeId="0" xr:uid="{00000000-0006-0000-0B00-0000BB000000}">
      <text>
        <r>
          <rPr>
            <b/>
            <sz val="9"/>
            <color indexed="81"/>
            <rFont val="Tahoma"/>
            <family val="2"/>
          </rPr>
          <t>Li, John Y [GIR]:</t>
        </r>
        <r>
          <rPr>
            <sz val="9"/>
            <color indexed="81"/>
            <rFont val="Tahoma"/>
            <family val="2"/>
          </rPr>
          <t xml:space="preserve">
Adjustments between statutory profit and cash profit - 4D - p72</t>
        </r>
      </text>
    </comment>
    <comment ref="Y524" authorId="7" shapeId="0" xr:uid="{00000000-0006-0000-0B00-0000BC000000}">
      <text>
        <r>
          <rPr>
            <b/>
            <sz val="8"/>
            <color indexed="81"/>
            <rFont val="Tahoma"/>
            <family val="2"/>
          </rPr>
          <t>J-Lo:</t>
        </r>
        <r>
          <rPr>
            <sz val="8"/>
            <color indexed="81"/>
            <rFont val="Tahoma"/>
            <family val="2"/>
          </rPr>
          <t xml:space="preserve">
Visa gain treated as cash earnings in ANZ's restated definition</t>
        </r>
      </text>
    </comment>
    <comment ref="AJ524" authorId="4" shapeId="0" xr:uid="{00000000-0006-0000-0B00-0000BD000000}">
      <text>
        <r>
          <rPr>
            <b/>
            <sz val="9"/>
            <color indexed="81"/>
            <rFont val="Tahoma"/>
            <family val="2"/>
          </rPr>
          <t>Tsao, Desmond [GIR]:</t>
        </r>
        <r>
          <rPr>
            <sz val="9"/>
            <color indexed="81"/>
            <rFont val="Tahoma"/>
            <family val="2"/>
          </rPr>
          <t xml:space="preserve">
sale of SRCB</t>
        </r>
      </text>
    </comment>
    <comment ref="AI526" authorId="4" shapeId="0" xr:uid="{00000000-0006-0000-0B00-0000BE000000}">
      <text>
        <r>
          <rPr>
            <b/>
            <sz val="9"/>
            <color indexed="81"/>
            <rFont val="Tahoma"/>
            <family val="2"/>
          </rPr>
          <t>Tsao, Desmond [GIR]:</t>
        </r>
        <r>
          <rPr>
            <sz val="9"/>
            <color indexed="81"/>
            <rFont val="Tahoma"/>
            <family val="2"/>
          </rPr>
          <t xml:space="preserve">
PG 83</t>
        </r>
      </text>
    </comment>
    <comment ref="AL526" authorId="4" shapeId="0" xr:uid="{00000000-0006-0000-0B00-0000BF000000}">
      <text>
        <r>
          <rPr>
            <b/>
            <sz val="9"/>
            <color indexed="81"/>
            <rFont val="Tahoma"/>
            <family val="2"/>
          </rPr>
          <t>Tsao, Desmond [GIR]:</t>
        </r>
        <r>
          <rPr>
            <sz val="9"/>
            <color indexed="81"/>
            <rFont val="Tahoma"/>
            <family val="2"/>
          </rPr>
          <t xml:space="preserve">
restated in 2H19</t>
        </r>
      </text>
    </comment>
    <comment ref="AX526" authorId="8" shapeId="0" xr:uid="{418F78DC-6874-4713-A876-B49E51D46240}">
      <text>
        <r>
          <rPr>
            <b/>
            <sz val="9"/>
            <color indexed="81"/>
            <rFont val="Tahoma"/>
            <family val="2"/>
          </rPr>
          <t>Lim, Nicholas [GIR]:</t>
        </r>
        <r>
          <rPr>
            <sz val="9"/>
            <color indexed="81"/>
            <rFont val="Tahoma"/>
            <family val="2"/>
          </rPr>
          <t xml:space="preserve">
pack. p80</t>
        </r>
      </text>
    </comment>
    <comment ref="Z527" authorId="2" shapeId="0" xr:uid="{00000000-0006-0000-0B00-0000C0000000}">
      <text>
        <r>
          <rPr>
            <b/>
            <sz val="9"/>
            <color indexed="81"/>
            <rFont val="Tahoma"/>
            <family val="2"/>
          </rPr>
          <t>Andrew Lyons:</t>
        </r>
        <r>
          <rPr>
            <sz val="9"/>
            <color indexed="81"/>
            <rFont val="Tahoma"/>
            <family val="2"/>
          </rPr>
          <t xml:space="preserve">
Restated at 1H14 result</t>
        </r>
      </text>
    </comment>
    <comment ref="AK527" authorId="4" shapeId="0" xr:uid="{00000000-0006-0000-0B00-0000C1000000}">
      <text>
        <r>
          <rPr>
            <b/>
            <sz val="9"/>
            <color indexed="81"/>
            <rFont val="Tahoma"/>
            <family val="2"/>
          </rPr>
          <t>Tsao, Desmond [GIR]:</t>
        </r>
        <r>
          <rPr>
            <sz val="9"/>
            <color indexed="81"/>
            <rFont val="Tahoma"/>
            <family val="2"/>
          </rPr>
          <t xml:space="preserve">
shareholder equity restated in 1H19</t>
        </r>
      </text>
    </comment>
    <comment ref="AJ528" authorId="2" shapeId="0" xr:uid="{00000000-0006-0000-0B00-0000C2000000}">
      <text>
        <r>
          <rPr>
            <b/>
            <sz val="9"/>
            <color indexed="81"/>
            <rFont val="Tahoma"/>
            <family val="2"/>
          </rPr>
          <t>Andrew Lyons:</t>
        </r>
        <r>
          <rPr>
            <sz val="9"/>
            <color indexed="81"/>
            <rFont val="Tahoma"/>
            <family val="2"/>
          </rPr>
          <t xml:space="preserve">
- Asset sale adjustments</t>
        </r>
      </text>
    </comment>
    <comment ref="AW528" authorId="0" shapeId="0" xr:uid="{4BB17207-A9A4-47C6-87F3-114128E3EC46}">
      <text>
        <r>
          <rPr>
            <b/>
            <sz val="9"/>
            <color indexed="81"/>
            <rFont val="Tahoma"/>
            <family val="2"/>
          </rPr>
          <t>Lyons, Andrew [GIR]:</t>
        </r>
        <r>
          <rPr>
            <sz val="9"/>
            <color indexed="81"/>
            <rFont val="Tahoma"/>
            <family val="2"/>
          </rPr>
          <t xml:space="preserve">
SUN</t>
        </r>
      </text>
    </comment>
    <comment ref="AI537" authorId="4" shapeId="0" xr:uid="{00000000-0006-0000-0B00-0000C3000000}">
      <text>
        <r>
          <rPr>
            <b/>
            <sz val="9"/>
            <color indexed="81"/>
            <rFont val="Tahoma"/>
            <family val="2"/>
          </rPr>
          <t>Tsao, Desmond [GIR]:</t>
        </r>
        <r>
          <rPr>
            <sz val="9"/>
            <color indexed="81"/>
            <rFont val="Tahoma"/>
            <family val="2"/>
          </rPr>
          <t xml:space="preserve">
page86
given on a FY basis</t>
        </r>
      </text>
    </comment>
    <comment ref="AK537" authorId="4" shapeId="0" xr:uid="{00000000-0006-0000-0B00-0000C4000000}">
      <text>
        <r>
          <rPr>
            <b/>
            <sz val="9"/>
            <color indexed="81"/>
            <rFont val="Tahoma"/>
            <family val="2"/>
          </rPr>
          <t>Tsao, Desmond [GIR]:</t>
        </r>
        <r>
          <rPr>
            <sz val="9"/>
            <color indexed="81"/>
            <rFont val="Tahoma"/>
            <family val="2"/>
          </rPr>
          <t xml:space="preserve">
page84
given on a FY basis</t>
        </r>
      </text>
    </comment>
    <comment ref="AL537" authorId="4" shapeId="0" xr:uid="{00000000-0006-0000-0B00-0000C5000000}">
      <text>
        <r>
          <rPr>
            <b/>
            <sz val="9"/>
            <color indexed="81"/>
            <rFont val="Tahoma"/>
            <family val="2"/>
          </rPr>
          <t>Tsao, Desmond [GIR]:</t>
        </r>
        <r>
          <rPr>
            <sz val="9"/>
            <color indexed="81"/>
            <rFont val="Tahoma"/>
            <family val="2"/>
          </rPr>
          <t xml:space="preserve">
page 85</t>
        </r>
      </text>
    </comment>
    <comment ref="AS540" authorId="11" shapeId="0" xr:uid="{0D85BC41-2C45-426A-B37C-3182A6EBBDF9}">
      <text>
        <t>[Threaded comment]
Your version of Excel allows you to read this threaded comment; however, any edits to it will get removed if the file is opened in a newer version of Excel. Learn more: https://go.microsoft.com/fwlink/?linkid=870924
Comment:
    ANZ Bank New Zealand Perpetual Preference Shares issued</t>
      </text>
    </comment>
    <comment ref="G546" authorId="5" shapeId="0" xr:uid="{00000000-0006-0000-0B00-0000C6000000}">
      <text>
        <r>
          <rPr>
            <b/>
            <sz val="9"/>
            <color indexed="81"/>
            <rFont val="Tahoma"/>
            <family val="2"/>
          </rPr>
          <t>Chu, Dylan [GIR]:</t>
        </r>
        <r>
          <rPr>
            <sz val="9"/>
            <color indexed="81"/>
            <rFont val="Tahoma"/>
            <family val="2"/>
          </rPr>
          <t xml:space="preserve">
US hybrid securities were issued in Nov 2003</t>
        </r>
      </text>
    </comment>
    <comment ref="O548" authorId="7" shapeId="0" xr:uid="{00000000-0006-0000-0B00-0000C7000000}">
      <text>
        <r>
          <rPr>
            <b/>
            <sz val="8"/>
            <color indexed="81"/>
            <rFont val="Tahoma"/>
            <family val="2"/>
          </rPr>
          <t>J-Lo:</t>
        </r>
        <r>
          <rPr>
            <sz val="8"/>
            <color indexed="81"/>
            <rFont val="Tahoma"/>
            <family val="2"/>
          </rPr>
          <t xml:space="preserve">
Basel I</t>
        </r>
      </text>
    </comment>
    <comment ref="P548" authorId="7" shapeId="0" xr:uid="{00000000-0006-0000-0B00-0000C8000000}">
      <text>
        <r>
          <rPr>
            <b/>
            <sz val="8"/>
            <color indexed="81"/>
            <rFont val="Tahoma"/>
            <family val="2"/>
          </rPr>
          <t>J-Lo:</t>
        </r>
        <r>
          <rPr>
            <sz val="8"/>
            <color indexed="81"/>
            <rFont val="Tahoma"/>
            <family val="2"/>
          </rPr>
          <t xml:space="preserve">
Disclosure moved from Basel I to Basel II</t>
        </r>
      </text>
    </comment>
    <comment ref="Z553" authorId="7" shapeId="0" xr:uid="{00000000-0006-0000-0B00-0000C9000000}">
      <text>
        <r>
          <rPr>
            <b/>
            <sz val="8"/>
            <color indexed="81"/>
            <rFont val="Tahoma"/>
            <family val="2"/>
          </rPr>
          <t>J-Lo:</t>
        </r>
        <r>
          <rPr>
            <sz val="8"/>
            <color indexed="81"/>
            <rFont val="Tahoma"/>
            <family val="2"/>
          </rPr>
          <t xml:space="preserve">
move to Basel III</t>
        </r>
      </text>
    </comment>
    <comment ref="AQ562" authorId="10" shapeId="0" xr:uid="{00000000-0006-0000-0B00-0000CA000000}">
      <text>
        <r>
          <rPr>
            <b/>
            <sz val="9"/>
            <color indexed="81"/>
            <rFont val="Tahoma"/>
            <family val="2"/>
          </rPr>
          <t>Li, John Y [GIR]:</t>
        </r>
        <r>
          <rPr>
            <sz val="9"/>
            <color indexed="81"/>
            <rFont val="Tahoma"/>
            <family val="2"/>
          </rPr>
          <t xml:space="preserve">
Prudential adjustments to shareholders' equity
4E</t>
        </r>
      </text>
    </comment>
    <comment ref="AR562" authorId="10" shapeId="0" xr:uid="{00000000-0006-0000-0B00-0000CB000000}">
      <text>
        <r>
          <rPr>
            <b/>
            <sz val="9"/>
            <color indexed="81"/>
            <rFont val="Tahoma"/>
            <family val="2"/>
          </rPr>
          <t>Li, John Y [GIR]:</t>
        </r>
        <r>
          <rPr>
            <sz val="9"/>
            <color indexed="81"/>
            <rFont val="Tahoma"/>
            <family val="2"/>
          </rPr>
          <t xml:space="preserve">
Prudential adjustments to shareholders' equity
4E</t>
        </r>
      </text>
    </comment>
    <comment ref="AS562" authorId="10" shapeId="0" xr:uid="{43F55D2B-5BA4-4EBA-8058-7A13F55201F5}">
      <text>
        <r>
          <rPr>
            <b/>
            <sz val="9"/>
            <color indexed="81"/>
            <rFont val="Tahoma"/>
            <family val="2"/>
          </rPr>
          <t>Li, John Y [GIR]:</t>
        </r>
        <r>
          <rPr>
            <sz val="9"/>
            <color indexed="81"/>
            <rFont val="Tahoma"/>
            <family val="2"/>
          </rPr>
          <t xml:space="preserve">
Prudential adjustments to shareholders' equity
4E</t>
        </r>
      </text>
    </comment>
    <comment ref="AT562" authorId="10" shapeId="0" xr:uid="{142869E1-5A1D-4B3B-867F-05E9FC9A621A}">
      <text>
        <r>
          <rPr>
            <b/>
            <sz val="9"/>
            <color indexed="81"/>
            <rFont val="Tahoma"/>
            <family val="2"/>
          </rPr>
          <t>Li, John Y [GIR]:</t>
        </r>
        <r>
          <rPr>
            <sz val="9"/>
            <color indexed="81"/>
            <rFont val="Tahoma"/>
            <family val="2"/>
          </rPr>
          <t xml:space="preserve">
Prudential adjustments to shareholders' equity
4E</t>
        </r>
      </text>
    </comment>
    <comment ref="Z568" authorId="7" shapeId="0" xr:uid="{00000000-0006-0000-0B00-0000CC000000}">
      <text>
        <r>
          <rPr>
            <b/>
            <sz val="8"/>
            <color indexed="81"/>
            <rFont val="Tahoma"/>
            <family val="2"/>
          </rPr>
          <t>J-Lo:</t>
        </r>
        <r>
          <rPr>
            <sz val="8"/>
            <color indexed="81"/>
            <rFont val="Tahoma"/>
            <family val="2"/>
          </rPr>
          <t xml:space="preserve">
move to Basel III</t>
        </r>
      </text>
    </comment>
    <comment ref="B576" authorId="2" shapeId="0" xr:uid="{00000000-0006-0000-0B00-0000CD000000}">
      <text>
        <r>
          <rPr>
            <b/>
            <sz val="9"/>
            <color indexed="81"/>
            <rFont val="Tahoma"/>
            <family val="2"/>
          </rPr>
          <t>Andrew Lyons:</t>
        </r>
        <r>
          <rPr>
            <sz val="9"/>
            <color indexed="81"/>
            <rFont val="Tahoma"/>
            <family val="2"/>
          </rPr>
          <t xml:space="preserve">
Growth equates to c. 20% retention of wealth and life profits</t>
        </r>
      </text>
    </comment>
    <comment ref="AV577" authorId="0" shapeId="0" xr:uid="{3390EA53-1417-4ADA-9A11-C9D7F0E9E7AE}">
      <text>
        <r>
          <rPr>
            <b/>
            <sz val="9"/>
            <color indexed="81"/>
            <rFont val="Tahoma"/>
            <family val="2"/>
          </rPr>
          <t>Lyons, Andrew [GIR]:</t>
        </r>
        <r>
          <rPr>
            <sz val="9"/>
            <color indexed="81"/>
            <rFont val="Tahoma"/>
            <family val="2"/>
          </rPr>
          <t xml:space="preserve">
AMMB stake</t>
        </r>
      </text>
    </comment>
    <comment ref="AB578" authorId="3" shapeId="0" xr:uid="{00000000-0006-0000-0B00-0000CE000000}">
      <text>
        <r>
          <rPr>
            <b/>
            <sz val="9"/>
            <color indexed="81"/>
            <rFont val="Tahoma"/>
            <family val="2"/>
          </rPr>
          <t>Jien Goh:</t>
        </r>
        <r>
          <rPr>
            <sz val="9"/>
            <color indexed="81"/>
            <rFont val="Tahoma"/>
            <family val="2"/>
          </rPr>
          <t xml:space="preserve">
restated in 2H14 result</t>
        </r>
      </text>
    </comment>
    <comment ref="AU578" authorId="10" shapeId="0" xr:uid="{B12C338C-9911-4455-98AE-E52929D6D4EB}">
      <text>
        <r>
          <rPr>
            <b/>
            <sz val="9"/>
            <color indexed="81"/>
            <rFont val="Tahoma"/>
            <family val="2"/>
          </rPr>
          <t>Li, John Y [GIR]:</t>
        </r>
        <r>
          <rPr>
            <sz val="9"/>
            <color indexed="81"/>
            <rFont val="Tahoma"/>
            <family val="2"/>
          </rPr>
          <t xml:space="preserve">
272 is correct</t>
        </r>
      </text>
    </comment>
    <comment ref="AJ583" authorId="2" shapeId="0" xr:uid="{00000000-0006-0000-0B00-0000CF000000}">
      <text>
        <r>
          <rPr>
            <b/>
            <sz val="9"/>
            <color indexed="81"/>
            <rFont val="Tahoma"/>
            <family val="2"/>
          </rPr>
          <t>Andrew Lyons:</t>
        </r>
        <r>
          <rPr>
            <sz val="9"/>
            <color indexed="81"/>
            <rFont val="Tahoma"/>
            <family val="2"/>
          </rPr>
          <t xml:space="preserve">
Offset loss from life here as it is capital neutral until monies received</t>
        </r>
      </text>
    </comment>
    <comment ref="AW584" authorId="0" shapeId="0" xr:uid="{EE91465D-E3BC-482A-8EC8-CB944C5B31B9}">
      <text>
        <r>
          <rPr>
            <b/>
            <sz val="9"/>
            <color indexed="81"/>
            <rFont val="Tahoma"/>
            <family val="2"/>
          </rPr>
          <t>Lyons, Andrew [GIR]:</t>
        </r>
        <r>
          <rPr>
            <sz val="9"/>
            <color indexed="81"/>
            <rFont val="Tahoma"/>
            <family val="2"/>
          </rPr>
          <t xml:space="preserve">
This is the bring forward of the buyback, given the banks (which is the CET1 ratio we see reported) has transferred the capital into the holding company</t>
        </r>
      </text>
    </comment>
    <comment ref="AX584" authorId="0" shapeId="0" xr:uid="{C79F78F0-FF8E-4833-9E62-046552D4114A}">
      <text>
        <r>
          <rPr>
            <b/>
            <sz val="9"/>
            <color indexed="81"/>
            <rFont val="Tahoma"/>
            <family val="2"/>
          </rPr>
          <t>Lyons, Andrew [GIR]:</t>
        </r>
        <r>
          <rPr>
            <sz val="9"/>
            <color indexed="81"/>
            <rFont val="Tahoma"/>
            <family val="2"/>
          </rPr>
          <t xml:space="preserve">
This is a reversal of the cell note in AW584, given book equity follows the holding company, while CET1 ratio follows the bank</t>
        </r>
      </text>
    </comment>
    <comment ref="M585" authorId="7" shapeId="0" xr:uid="{00000000-0006-0000-0B00-0000D0000000}">
      <text>
        <r>
          <rPr>
            <b/>
            <sz val="8"/>
            <color indexed="81"/>
            <rFont val="Tahoma"/>
            <family val="2"/>
          </rPr>
          <t>J-Lo:</t>
        </r>
        <r>
          <rPr>
            <sz val="8"/>
            <color indexed="81"/>
            <rFont val="Tahoma"/>
            <family val="2"/>
          </rPr>
          <t xml:space="preserve">
includes A$716 mn transitional tier 1 capital relief</t>
        </r>
      </text>
    </comment>
    <comment ref="N585" authorId="7" shapeId="0" xr:uid="{00000000-0006-0000-0B00-0000D1000000}">
      <text>
        <r>
          <rPr>
            <b/>
            <sz val="8"/>
            <color indexed="81"/>
            <rFont val="Tahoma"/>
            <family val="2"/>
          </rPr>
          <t>J-Lo:</t>
        </r>
        <r>
          <rPr>
            <sz val="8"/>
            <color indexed="81"/>
            <rFont val="Tahoma"/>
            <family val="2"/>
          </rPr>
          <t xml:space="preserve">
includes A$716 mn transitional tier 1 capital relief</t>
        </r>
      </text>
    </comment>
    <comment ref="O585" authorId="7" shapeId="0" xr:uid="{00000000-0006-0000-0B00-0000D2000000}">
      <text>
        <r>
          <rPr>
            <b/>
            <sz val="8"/>
            <color indexed="81"/>
            <rFont val="Tahoma"/>
            <family val="2"/>
          </rPr>
          <t>J-Lo:</t>
        </r>
        <r>
          <rPr>
            <sz val="8"/>
            <color indexed="81"/>
            <rFont val="Tahoma"/>
            <family val="2"/>
          </rPr>
          <t xml:space="preserve">
includes A$716 mn transitional tier 1 capital relief</t>
        </r>
      </text>
    </comment>
    <comment ref="AB585" authorId="3" shapeId="0" xr:uid="{00000000-0006-0000-0B00-0000D3000000}">
      <text>
        <r>
          <rPr>
            <b/>
            <sz val="9"/>
            <color indexed="81"/>
            <rFont val="Tahoma"/>
            <family val="2"/>
          </rPr>
          <t>Jien Goh:</t>
        </r>
        <r>
          <rPr>
            <sz val="9"/>
            <color indexed="81"/>
            <rFont val="Tahoma"/>
            <family val="2"/>
          </rPr>
          <t xml:space="preserve">
restated at 2H14 result</t>
        </r>
      </text>
    </comment>
    <comment ref="AN585" authorId="10" shapeId="0" xr:uid="{00000000-0006-0000-0B00-0000D4000000}">
      <text>
        <r>
          <rPr>
            <b/>
            <sz val="9"/>
            <color indexed="81"/>
            <rFont val="Tahoma"/>
            <family val="2"/>
          </rPr>
          <t>Li, John Y [GIR]:</t>
        </r>
        <r>
          <rPr>
            <sz val="9"/>
            <color indexed="81"/>
            <rFont val="Tahoma"/>
            <family val="2"/>
          </rPr>
          <t xml:space="preserve">
restatement in 1H21</t>
        </r>
      </text>
    </comment>
    <comment ref="B592" authorId="7" shapeId="0" xr:uid="{00000000-0006-0000-0B00-0000D5000000}">
      <text>
        <r>
          <rPr>
            <b/>
            <sz val="9"/>
            <color indexed="81"/>
            <rFont val="Tahoma"/>
            <family val="2"/>
          </rPr>
          <t>J-Lo:</t>
        </r>
        <r>
          <rPr>
            <sz val="9"/>
            <color indexed="81"/>
            <rFont val="Tahoma"/>
            <family val="2"/>
          </rPr>
          <t xml:space="preserve">
This includes WM NTAs, DTA, Equity Investments &amp; Other</t>
        </r>
      </text>
    </comment>
    <comment ref="AW610" authorId="12" shapeId="0" xr:uid="{7D239FEA-381C-4460-93DF-5F671E3A3BC3}">
      <text>
        <t>[Threaded comment]
Your version of Excel allows you to read this threaded comment; however, any edits to it will get removed if the file is opened in a newer version of Excel. Learn more: https://go.microsoft.com/fwlink/?linkid=870924
Comment:
    Uptick from SUN acquisition</t>
      </text>
    </comment>
    <comment ref="B615" authorId="7" shapeId="0" xr:uid="{00000000-0006-0000-0B00-0000D6000000}">
      <text>
        <r>
          <rPr>
            <b/>
            <sz val="9"/>
            <color indexed="81"/>
            <rFont val="Tahoma"/>
            <family val="2"/>
          </rPr>
          <t>J-Lo:</t>
        </r>
        <r>
          <rPr>
            <sz val="9"/>
            <color indexed="81"/>
            <rFont val="Tahoma"/>
            <family val="2"/>
          </rPr>
          <t xml:space="preserve">
This includes mortgage LGDs normalised to min 10% and other diff incl. treatment of spec. lending</t>
        </r>
      </text>
    </comment>
    <comment ref="AB616" authorId="3" shapeId="0" xr:uid="{00000000-0006-0000-0B00-0000D7000000}">
      <text>
        <r>
          <rPr>
            <b/>
            <sz val="9"/>
            <color indexed="81"/>
            <rFont val="Tahoma"/>
            <family val="2"/>
          </rPr>
          <t>Jien Goh:</t>
        </r>
        <r>
          <rPr>
            <sz val="9"/>
            <color indexed="81"/>
            <rFont val="Tahoma"/>
            <family val="2"/>
          </rPr>
          <t xml:space="preserve">
reflects 10.5% CET1 harmonised basis</t>
        </r>
      </text>
    </comment>
    <comment ref="AI616" authorId="4" shapeId="0" xr:uid="{00000000-0006-0000-0B00-0000D8000000}">
      <text>
        <r>
          <rPr>
            <b/>
            <sz val="9"/>
            <color indexed="81"/>
            <rFont val="Tahoma"/>
            <family val="2"/>
          </rPr>
          <t>Tsao, Desmond [GIR]:</t>
        </r>
        <r>
          <rPr>
            <sz val="9"/>
            <color indexed="81"/>
            <rFont val="Tahoma"/>
            <family val="2"/>
          </rPr>
          <t xml:space="preserve">
preso slide 94</t>
        </r>
      </text>
    </comment>
    <comment ref="AK660" authorId="4" shapeId="0" xr:uid="{00000000-0006-0000-0B00-0000D9000000}">
      <text>
        <r>
          <rPr>
            <b/>
            <sz val="9"/>
            <color indexed="81"/>
            <rFont val="Tahoma"/>
            <family val="2"/>
          </rPr>
          <t>Tsao, Desmond [GIR]:</t>
        </r>
        <r>
          <rPr>
            <sz val="9"/>
            <color indexed="81"/>
            <rFont val="Tahoma"/>
            <family val="2"/>
          </rPr>
          <t xml:space="preserve">
restated in 1H19</t>
        </r>
      </text>
    </comment>
    <comment ref="B661" authorId="7" shapeId="0" xr:uid="{00000000-0006-0000-0B00-0000DA000000}">
      <text>
        <r>
          <rPr>
            <b/>
            <sz val="8"/>
            <color indexed="81"/>
            <rFont val="Tahoma"/>
            <family val="2"/>
          </rPr>
          <t>J-Lo:</t>
        </r>
        <r>
          <rPr>
            <sz val="8"/>
            <color indexed="81"/>
            <rFont val="Tahoma"/>
            <family val="2"/>
          </rPr>
          <t xml:space="preserve">
GS defn excludes capitalised software from intangibles</t>
        </r>
      </text>
    </comment>
    <comment ref="H661" authorId="5" shapeId="0" xr:uid="{00000000-0006-0000-0B00-0000DB000000}">
      <text>
        <r>
          <rPr>
            <b/>
            <sz val="9"/>
            <color indexed="81"/>
            <rFont val="Tahoma"/>
            <family val="2"/>
          </rPr>
          <t>Chu, Dylan [GIR]:</t>
        </r>
        <r>
          <rPr>
            <sz val="9"/>
            <color indexed="81"/>
            <rFont val="Tahoma"/>
            <family val="2"/>
          </rPr>
          <t xml:space="preserve">
Purchased goodwill on the acquisition of NBNZ of $3.1 billion - pdf p.22 of 1H04 result</t>
        </r>
      </text>
    </comment>
    <comment ref="BZ661" authorId="5" shapeId="0" xr:uid="{00000000-0006-0000-0B00-0000DC000000}">
      <text>
        <r>
          <rPr>
            <b/>
            <sz val="9"/>
            <color indexed="81"/>
            <rFont val="Tahoma"/>
            <family val="2"/>
          </rPr>
          <t>Chu, Dylan [GIR]:</t>
        </r>
        <r>
          <rPr>
            <sz val="9"/>
            <color indexed="81"/>
            <rFont val="Tahoma"/>
            <family val="2"/>
          </rPr>
          <t xml:space="preserve">
Goodwill disclosure discontinued - we used equity less company disclosed net tangible assets.</t>
        </r>
      </text>
    </comment>
    <comment ref="AI662" authorId="4" shapeId="0" xr:uid="{00000000-0006-0000-0B00-0000DD000000}">
      <text>
        <r>
          <rPr>
            <b/>
            <sz val="9"/>
            <color indexed="81"/>
            <rFont val="Tahoma"/>
            <family val="2"/>
          </rPr>
          <t xml:space="preserve">Tsao, Desmond [GIR]:
</t>
        </r>
        <r>
          <rPr>
            <sz val="9"/>
            <color indexed="81"/>
            <rFont val="Tahoma"/>
            <family val="2"/>
          </rPr>
          <t>reallocated into cash and cash equiv</t>
        </r>
      </text>
    </comment>
    <comment ref="I663" authorId="5" shapeId="0" xr:uid="{00000000-0006-0000-0B00-0000DE000000}">
      <text>
        <r>
          <rPr>
            <b/>
            <sz val="9"/>
            <color indexed="81"/>
            <rFont val="Tahoma"/>
            <family val="2"/>
          </rPr>
          <t>Chu, Dylan [GIR]:</t>
        </r>
        <r>
          <rPr>
            <sz val="9"/>
            <color indexed="81"/>
            <rFont val="Tahoma"/>
            <family val="2"/>
          </rPr>
          <t xml:space="preserve">
Available for sales in 06 - investment securities for prior periods</t>
        </r>
      </text>
    </comment>
    <comment ref="AJ663" authorId="2" shapeId="0" xr:uid="{00000000-0006-0000-0B00-0000DF000000}">
      <text>
        <r>
          <rPr>
            <b/>
            <sz val="9"/>
            <color indexed="81"/>
            <rFont val="Tahoma"/>
            <family val="2"/>
          </rPr>
          <t>Andrew Lyons:</t>
        </r>
        <r>
          <rPr>
            <sz val="9"/>
            <color indexed="81"/>
            <rFont val="Tahoma"/>
            <family val="2"/>
          </rPr>
          <t xml:space="preserve">
SRCB</t>
        </r>
      </text>
    </comment>
    <comment ref="AL663" authorId="4" shapeId="0" xr:uid="{00000000-0006-0000-0B00-0000E0000000}">
      <text>
        <r>
          <rPr>
            <b/>
            <sz val="9"/>
            <color indexed="81"/>
            <rFont val="Tahoma"/>
            <family val="2"/>
          </rPr>
          <t>Tsao, Desmond [GIR]:</t>
        </r>
        <r>
          <rPr>
            <sz val="9"/>
            <color indexed="81"/>
            <rFont val="Tahoma"/>
            <family val="2"/>
          </rPr>
          <t xml:space="preserve">
</t>
        </r>
      </text>
    </comment>
    <comment ref="AM663" authorId="4" shapeId="0" xr:uid="{00000000-0006-0000-0B00-0000E1000000}">
      <text>
        <r>
          <rPr>
            <b/>
            <sz val="9"/>
            <color indexed="81"/>
            <rFont val="Tahoma"/>
            <family val="2"/>
          </rPr>
          <t>Tsao, Desmond [GIR]:</t>
        </r>
        <r>
          <rPr>
            <sz val="9"/>
            <color indexed="81"/>
            <rFont val="Tahoma"/>
            <family val="2"/>
          </rPr>
          <t xml:space="preserve">
</t>
        </r>
      </text>
    </comment>
    <comment ref="I664" authorId="5" shapeId="0" xr:uid="{00000000-0006-0000-0B00-0000E2000000}">
      <text>
        <r>
          <rPr>
            <b/>
            <sz val="9"/>
            <color indexed="81"/>
            <rFont val="Tahoma"/>
            <family val="2"/>
          </rPr>
          <t>Chu, Dylan [GIR]:</t>
        </r>
        <r>
          <rPr>
            <sz val="9"/>
            <color indexed="81"/>
            <rFont val="Tahoma"/>
            <family val="2"/>
          </rPr>
          <t xml:space="preserve">
no direct disclosure</t>
        </r>
      </text>
    </comment>
    <comment ref="K665" authorId="5" shapeId="0" xr:uid="{00000000-0006-0000-0B00-0000E3000000}">
      <text>
        <r>
          <rPr>
            <b/>
            <sz val="9"/>
            <color indexed="81"/>
            <rFont val="Tahoma"/>
            <family val="2"/>
          </rPr>
          <t>Chu, Dylan [GIR]:</t>
        </r>
        <r>
          <rPr>
            <sz val="9"/>
            <color indexed="81"/>
            <rFont val="Tahoma"/>
            <family val="2"/>
          </rPr>
          <t xml:space="preserve">
No disclosure on mortgage origination fees</t>
        </r>
      </text>
    </comment>
    <comment ref="AI668" authorId="4" shapeId="0" xr:uid="{00000000-0006-0000-0B00-0000E4000000}">
      <text>
        <r>
          <rPr>
            <b/>
            <sz val="9"/>
            <color indexed="81"/>
            <rFont val="Tahoma"/>
            <family val="2"/>
          </rPr>
          <t>Tsao, Desmond [GIR]:</t>
        </r>
        <r>
          <rPr>
            <sz val="9"/>
            <color indexed="81"/>
            <rFont val="Tahoma"/>
            <family val="2"/>
          </rPr>
          <t xml:space="preserve">
note 68,048  rellocated from settlement balances owned to anz (loans to banks)
</t>
        </r>
      </text>
    </comment>
    <comment ref="AK672" authorId="4" shapeId="0" xr:uid="{00000000-0006-0000-0B00-0000E5000000}">
      <text>
        <r>
          <rPr>
            <b/>
            <sz val="9"/>
            <color indexed="81"/>
            <rFont val="Tahoma"/>
            <family val="2"/>
          </rPr>
          <t>Tsao, Desmond [GIR]:</t>
        </r>
        <r>
          <rPr>
            <sz val="9"/>
            <color indexed="81"/>
            <rFont val="Tahoma"/>
            <family val="2"/>
          </rPr>
          <t xml:space="preserve">
pg 412 4D</t>
        </r>
      </text>
    </comment>
    <comment ref="AY672" authorId="8" shapeId="0" xr:uid="{0CD0DDF5-E509-4853-8C7B-7DFBA4665E28}">
      <text>
        <r>
          <rPr>
            <b/>
            <sz val="9"/>
            <color indexed="81"/>
            <rFont val="Tahoma"/>
            <family val="2"/>
          </rPr>
          <t>Lim, Nicholas [GIR]:</t>
        </r>
        <r>
          <rPr>
            <sz val="9"/>
            <color indexed="81"/>
            <rFont val="Tahoma"/>
            <family val="2"/>
          </rPr>
          <t xml:space="preserve">
pack p.40</t>
        </r>
      </text>
    </comment>
    <comment ref="AK673" authorId="4" shapeId="0" xr:uid="{00000000-0006-0000-0B00-0000E6000000}">
      <text>
        <r>
          <rPr>
            <b/>
            <sz val="9"/>
            <color indexed="81"/>
            <rFont val="Tahoma"/>
            <family val="2"/>
          </rPr>
          <t>Tsao, Desmond [GIR]:</t>
        </r>
        <r>
          <rPr>
            <sz val="9"/>
            <color indexed="81"/>
            <rFont val="Tahoma"/>
            <family val="2"/>
          </rPr>
          <t xml:space="preserve">
restated in 1H19
</t>
        </r>
      </text>
    </comment>
    <comment ref="AL673" authorId="4" shapeId="0" xr:uid="{00000000-0006-0000-0B00-0000E7000000}">
      <text>
        <r>
          <rPr>
            <b/>
            <sz val="9"/>
            <color indexed="81"/>
            <rFont val="Tahoma"/>
            <family val="2"/>
          </rPr>
          <t>Tsao, Desmond [GIR]:</t>
        </r>
        <r>
          <rPr>
            <sz val="9"/>
            <color indexed="81"/>
            <rFont val="Tahoma"/>
            <family val="2"/>
          </rPr>
          <t xml:space="preserve">
restated 2H19</t>
        </r>
      </text>
    </comment>
    <comment ref="AK676" authorId="4" shapeId="0" xr:uid="{00000000-0006-0000-0B00-0000E8000000}">
      <text>
        <r>
          <rPr>
            <b/>
            <sz val="9"/>
            <color indexed="81"/>
            <rFont val="Tahoma"/>
            <family val="2"/>
          </rPr>
          <t>Tsao, Desmond [GIR]:</t>
        </r>
        <r>
          <rPr>
            <sz val="9"/>
            <color indexed="81"/>
            <rFont val="Tahoma"/>
            <family val="2"/>
          </rPr>
          <t xml:space="preserve">
restated in 1h19</t>
        </r>
      </text>
    </comment>
    <comment ref="AI680" authorId="4" shapeId="0" xr:uid="{00000000-0006-0000-0B00-0000E9000000}">
      <text>
        <r>
          <rPr>
            <b/>
            <sz val="9"/>
            <color indexed="81"/>
            <rFont val="Tahoma"/>
            <family val="2"/>
          </rPr>
          <t>Tsao, Desmond [GIR]:</t>
        </r>
        <r>
          <rPr>
            <sz val="9"/>
            <color indexed="81"/>
            <rFont val="Tahoma"/>
            <family val="2"/>
          </rPr>
          <t xml:space="preserve">
page 98</t>
        </r>
      </text>
    </comment>
    <comment ref="AK697" authorId="4" shapeId="0" xr:uid="{00000000-0006-0000-0B00-0000EA000000}">
      <text>
        <r>
          <rPr>
            <b/>
            <sz val="9"/>
            <color indexed="81"/>
            <rFont val="Tahoma"/>
            <family val="2"/>
          </rPr>
          <t>Tsao, Desmond [GIR]:</t>
        </r>
        <r>
          <rPr>
            <sz val="9"/>
            <color indexed="81"/>
            <rFont val="Tahoma"/>
            <family val="2"/>
          </rPr>
          <t xml:space="preserve">
restated in 1h19</t>
        </r>
      </text>
    </comment>
    <comment ref="AL697" authorId="4" shapeId="0" xr:uid="{00000000-0006-0000-0B00-0000EB000000}">
      <text>
        <r>
          <rPr>
            <b/>
            <sz val="9"/>
            <color indexed="81"/>
            <rFont val="Tahoma"/>
            <family val="2"/>
          </rPr>
          <t>Tsao, Desmond [GIR]:</t>
        </r>
        <r>
          <rPr>
            <sz val="9"/>
            <color indexed="81"/>
            <rFont val="Tahoma"/>
            <family val="2"/>
          </rPr>
          <t xml:space="preserve">
continuing operations</t>
        </r>
      </text>
    </comment>
    <comment ref="AM697" authorId="4" shapeId="0" xr:uid="{00000000-0006-0000-0B00-0000EC000000}">
      <text>
        <r>
          <rPr>
            <b/>
            <sz val="9"/>
            <color indexed="81"/>
            <rFont val="Tahoma"/>
            <family val="2"/>
          </rPr>
          <t>Tsao, Desmond [GIR]:</t>
        </r>
        <r>
          <rPr>
            <sz val="9"/>
            <color indexed="81"/>
            <rFont val="Tahoma"/>
            <family val="2"/>
          </rPr>
          <t xml:space="preserve">
continuing operations</t>
        </r>
      </text>
    </comment>
    <comment ref="AN697" authorId="4" shapeId="0" xr:uid="{00000000-0006-0000-0B00-0000ED000000}">
      <text>
        <r>
          <rPr>
            <b/>
            <sz val="9"/>
            <color indexed="81"/>
            <rFont val="Tahoma"/>
            <family val="2"/>
          </rPr>
          <t>Tsao, Desmond [GIR]:</t>
        </r>
        <r>
          <rPr>
            <sz val="9"/>
            <color indexed="81"/>
            <rFont val="Tahoma"/>
            <family val="2"/>
          </rPr>
          <t xml:space="preserve">
continuing operations</t>
        </r>
      </text>
    </comment>
    <comment ref="CS697" authorId="0" shapeId="0" xr:uid="{00000000-0006-0000-0B00-0000EE000000}">
      <text>
        <r>
          <rPr>
            <b/>
            <sz val="9"/>
            <color indexed="81"/>
            <rFont val="Tahoma"/>
            <family val="2"/>
          </rPr>
          <t>Lyons, Andrew [GIR]:</t>
        </r>
        <r>
          <rPr>
            <sz val="9"/>
            <color indexed="81"/>
            <rFont val="Tahoma"/>
            <family val="2"/>
          </rPr>
          <t xml:space="preserve">
Continuing operations</t>
        </r>
      </text>
    </comment>
    <comment ref="AK700" authorId="4" shapeId="0" xr:uid="{00000000-0006-0000-0B00-0000EF000000}">
      <text>
        <r>
          <rPr>
            <b/>
            <sz val="9"/>
            <color indexed="81"/>
            <rFont val="Tahoma"/>
            <family val="2"/>
          </rPr>
          <t>Tsao, Desmond [GIR]:</t>
        </r>
        <r>
          <rPr>
            <sz val="9"/>
            <color indexed="81"/>
            <rFont val="Tahoma"/>
            <family val="2"/>
          </rPr>
          <t xml:space="preserve">
restated 1h19</t>
        </r>
      </text>
    </comment>
    <comment ref="CS700" authorId="0" shapeId="0" xr:uid="{00000000-0006-0000-0B00-0000F0000000}">
      <text>
        <r>
          <rPr>
            <b/>
            <sz val="9"/>
            <color indexed="81"/>
            <rFont val="Tahoma"/>
            <family val="2"/>
          </rPr>
          <t>Lyons, Andrew [GIR]:</t>
        </r>
        <r>
          <rPr>
            <sz val="9"/>
            <color indexed="81"/>
            <rFont val="Tahoma"/>
            <family val="2"/>
          </rPr>
          <t xml:space="preserve">
Continuing operations</t>
        </r>
      </text>
    </comment>
    <comment ref="AF704" authorId="9" shapeId="0" xr:uid="{00000000-0006-0000-0B00-0000F1000000}">
      <text>
        <r>
          <rPr>
            <b/>
            <sz val="9"/>
            <color indexed="81"/>
            <rFont val="Tahoma"/>
            <family val="2"/>
          </rPr>
          <t>Leong, YuChuan [GIR]:</t>
        </r>
        <r>
          <rPr>
            <sz val="9"/>
            <color indexed="81"/>
            <rFont val="Tahoma"/>
            <family val="2"/>
          </rPr>
          <t xml:space="preserve">
Restated 1H17</t>
        </r>
      </text>
    </comment>
    <comment ref="AI704" authorId="2" shapeId="0" xr:uid="{00000000-0006-0000-0B00-0000F2000000}">
      <text>
        <r>
          <rPr>
            <b/>
            <sz val="9"/>
            <color indexed="81"/>
            <rFont val="Tahoma"/>
            <family val="2"/>
          </rPr>
          <t>Andrew Lyons:</t>
        </r>
        <r>
          <rPr>
            <sz val="9"/>
            <color indexed="81"/>
            <rFont val="Tahoma"/>
            <family val="2"/>
          </rPr>
          <t xml:space="preserve">
Check annual report</t>
        </r>
      </text>
    </comment>
    <comment ref="AK704" authorId="4" shapeId="0" xr:uid="{00000000-0006-0000-0B00-0000F3000000}">
      <text>
        <r>
          <rPr>
            <b/>
            <sz val="9"/>
            <color indexed="81"/>
            <rFont val="Tahoma"/>
            <family val="2"/>
          </rPr>
          <t>Tsao, Desmond [GIR]:</t>
        </r>
        <r>
          <rPr>
            <sz val="9"/>
            <color indexed="81"/>
            <rFont val="Tahoma"/>
            <family val="2"/>
          </rPr>
          <t xml:space="preserve">
restated in 1h19</t>
        </r>
      </text>
    </comment>
    <comment ref="AI705" authorId="4" shapeId="0" xr:uid="{00000000-0006-0000-0B00-0000F4000000}">
      <text>
        <r>
          <rPr>
            <b/>
            <sz val="9"/>
            <color indexed="81"/>
            <rFont val="Tahoma"/>
            <family val="2"/>
          </rPr>
          <t>Tsao, Desmond [GIR]:</t>
        </r>
        <r>
          <rPr>
            <sz val="9"/>
            <color indexed="81"/>
            <rFont val="Tahoma"/>
            <family val="2"/>
          </rPr>
          <t xml:space="preserve">
Have had to use different disclosure</t>
        </r>
      </text>
    </comment>
    <comment ref="AJ705" authorId="4" shapeId="0" xr:uid="{00000000-0006-0000-0B00-0000F5000000}">
      <text>
        <r>
          <rPr>
            <b/>
            <sz val="9"/>
            <color indexed="81"/>
            <rFont val="Tahoma"/>
            <family val="2"/>
          </rPr>
          <t>Tsao, Desmond [GIR]:</t>
        </r>
        <r>
          <rPr>
            <sz val="9"/>
            <color indexed="81"/>
            <rFont val="Tahoma"/>
            <family val="2"/>
          </rPr>
          <t xml:space="preserve">
Includes fair value movements (excluding realised and accrued interest) on derivatives not designated as accounting hedges entered into to manage interest rate and foreign exchange risk on funding instruments, ineffective portions of cash flow hedges, and fair value movements in financial assets and liabilities designated at fair value through profit and loss.</t>
        </r>
      </text>
    </comment>
    <comment ref="AB708" authorId="3" shapeId="0" xr:uid="{00000000-0006-0000-0B00-0000F6000000}">
      <text>
        <r>
          <rPr>
            <b/>
            <sz val="9"/>
            <color indexed="81"/>
            <rFont val="Tahoma"/>
            <family val="2"/>
          </rPr>
          <t>Jien Goh:</t>
        </r>
        <r>
          <rPr>
            <sz val="9"/>
            <color indexed="81"/>
            <rFont val="Tahoma"/>
            <family val="2"/>
          </rPr>
          <t xml:space="preserve">
restated 2H14 result</t>
        </r>
      </text>
    </comment>
    <comment ref="AF708" authorId="9" shapeId="0" xr:uid="{00000000-0006-0000-0B00-0000F7000000}">
      <text>
        <r>
          <rPr>
            <b/>
            <sz val="9"/>
            <color indexed="81"/>
            <rFont val="Tahoma"/>
            <family val="2"/>
          </rPr>
          <t>Leong, YuChuan [GIR]:</t>
        </r>
        <r>
          <rPr>
            <sz val="9"/>
            <color indexed="81"/>
            <rFont val="Tahoma"/>
            <family val="2"/>
          </rPr>
          <t xml:space="preserve">
Restated FY16</t>
        </r>
      </text>
    </comment>
    <comment ref="AH709" authorId="9" shapeId="0" xr:uid="{00000000-0006-0000-0B00-0000F8000000}">
      <text>
        <r>
          <rPr>
            <b/>
            <sz val="9"/>
            <color indexed="81"/>
            <rFont val="Tahoma"/>
            <family val="2"/>
          </rPr>
          <t>Leong, YuChuan [GIR]:</t>
        </r>
        <r>
          <rPr>
            <sz val="9"/>
            <color indexed="81"/>
            <rFont val="Tahoma"/>
            <family val="2"/>
          </rPr>
          <t xml:space="preserve">
Reclassfied into 'Other', pg 83 1H17</t>
        </r>
      </text>
    </comment>
    <comment ref="AI709" authorId="4" shapeId="0" xr:uid="{00000000-0006-0000-0B00-0000F9000000}">
      <text>
        <r>
          <rPr>
            <b/>
            <sz val="9"/>
            <color indexed="81"/>
            <rFont val="Tahoma"/>
            <family val="2"/>
          </rPr>
          <t>Tsao, Desmond [GIR]:</t>
        </r>
        <r>
          <rPr>
            <sz val="9"/>
            <color indexed="81"/>
            <rFont val="Tahoma"/>
            <family val="2"/>
          </rPr>
          <t xml:space="preserve">
reclass into other.. Page 89</t>
        </r>
      </text>
    </comment>
    <comment ref="AB710" authorId="3" shapeId="0" xr:uid="{00000000-0006-0000-0B00-0000FA000000}">
      <text>
        <r>
          <rPr>
            <b/>
            <sz val="9"/>
            <color indexed="81"/>
            <rFont val="Tahoma"/>
            <family val="2"/>
          </rPr>
          <t>Jien Goh:</t>
        </r>
        <r>
          <rPr>
            <sz val="9"/>
            <color indexed="81"/>
            <rFont val="Tahoma"/>
            <family val="2"/>
          </rPr>
          <t xml:space="preserve">
restated 2H14 result</t>
        </r>
      </text>
    </comment>
    <comment ref="AC710" authorId="3" shapeId="0" xr:uid="{00000000-0006-0000-0B00-0000FB000000}">
      <text>
        <r>
          <rPr>
            <b/>
            <sz val="9"/>
            <color indexed="81"/>
            <rFont val="Tahoma"/>
            <family val="2"/>
          </rPr>
          <t>Jien Goh:</t>
        </r>
        <r>
          <rPr>
            <sz val="9"/>
            <color indexed="81"/>
            <rFont val="Tahoma"/>
            <family val="2"/>
          </rPr>
          <t xml:space="preserve">
restated 1H15</t>
        </r>
      </text>
    </comment>
    <comment ref="AL712" authorId="4" shapeId="0" xr:uid="{00000000-0006-0000-0B00-0000FC000000}">
      <text>
        <r>
          <rPr>
            <b/>
            <sz val="9"/>
            <color indexed="81"/>
            <rFont val="Tahoma"/>
            <family val="2"/>
          </rPr>
          <t>Tsao, Desmond [GIR]:</t>
        </r>
        <r>
          <rPr>
            <sz val="9"/>
            <color indexed="81"/>
            <rFont val="Tahoma"/>
            <family val="2"/>
          </rPr>
          <t xml:space="preserve">
pf 32 of 4D: </t>
        </r>
      </text>
    </comment>
    <comment ref="AM712" authorId="4" shapeId="0" xr:uid="{00000000-0006-0000-0B00-0000FD000000}">
      <text>
        <r>
          <rPr>
            <b/>
            <sz val="9"/>
            <color indexed="81"/>
            <rFont val="Tahoma"/>
            <family val="2"/>
          </rPr>
          <t>Tsao, Desmond [GIR]:</t>
        </r>
        <r>
          <rPr>
            <sz val="9"/>
            <color indexed="81"/>
            <rFont val="Tahoma"/>
            <family val="2"/>
          </rPr>
          <t xml:space="preserve">
pg 32 of 4D: </t>
        </r>
      </text>
    </comment>
    <comment ref="AN712" authorId="4" shapeId="0" xr:uid="{00000000-0006-0000-0B00-0000FE000000}">
      <text>
        <r>
          <rPr>
            <b/>
            <sz val="9"/>
            <color indexed="81"/>
            <rFont val="Tahoma"/>
            <family val="2"/>
          </rPr>
          <t>Tsao, Desmond [GIR]:</t>
        </r>
        <r>
          <rPr>
            <sz val="9"/>
            <color indexed="81"/>
            <rFont val="Tahoma"/>
            <family val="2"/>
          </rPr>
          <t xml:space="preserve">
pg 32 of 4D: </t>
        </r>
      </text>
    </comment>
    <comment ref="Y834" authorId="7" shapeId="0" xr:uid="{00000000-0006-0000-0B00-0000FF000000}">
      <text>
        <r>
          <rPr>
            <b/>
            <sz val="8"/>
            <color indexed="81"/>
            <rFont val="Tahoma"/>
            <family val="2"/>
          </rPr>
          <t>J-Lo:</t>
        </r>
        <r>
          <rPr>
            <sz val="8"/>
            <color indexed="81"/>
            <rFont val="Tahoma"/>
            <family val="2"/>
          </rPr>
          <t xml:space="preserve">
Basel II</t>
        </r>
      </text>
    </comment>
    <comment ref="Z834" authorId="7" shapeId="0" xr:uid="{00000000-0006-0000-0B00-000000010000}">
      <text>
        <r>
          <rPr>
            <b/>
            <sz val="8"/>
            <color indexed="81"/>
            <rFont val="Tahoma"/>
            <family val="2"/>
          </rPr>
          <t>J-Lo:</t>
        </r>
        <r>
          <rPr>
            <sz val="8"/>
            <color indexed="81"/>
            <rFont val="Tahoma"/>
            <family val="2"/>
          </rPr>
          <t xml:space="preserve">
Basel III</t>
        </r>
      </text>
    </comment>
    <comment ref="B857" authorId="2" shapeId="0" xr:uid="{00000000-0006-0000-0B00-000001010000}">
      <text>
        <r>
          <rPr>
            <b/>
            <sz val="9"/>
            <color indexed="81"/>
            <rFont val="Tahoma"/>
            <family val="2"/>
          </rPr>
          <t>Andrew Lyons:</t>
        </r>
        <r>
          <rPr>
            <sz val="9"/>
            <color indexed="81"/>
            <rFont val="Tahoma"/>
            <family val="2"/>
          </rPr>
          <t xml:space="preserve">
We need to put this into the capital section for all our models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Lyons</author>
  </authors>
  <commentList>
    <comment ref="AH407" authorId="0" shapeId="0" xr:uid="{00000000-0006-0000-0E00-000001000000}">
      <text>
        <r>
          <rPr>
            <b/>
            <sz val="9"/>
            <color indexed="81"/>
            <rFont val="Tahoma"/>
            <family val="2"/>
          </rPr>
          <t>Andrew Lyons:</t>
        </r>
        <r>
          <rPr>
            <sz val="9"/>
            <color indexed="81"/>
            <rFont val="Tahoma"/>
            <family val="2"/>
          </rPr>
          <t xml:space="preserve">
1Q17 C/FVA + 100 Queen St sale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<sst xmlns="http://schemas.openxmlformats.org/spreadsheetml/2006/main" count="7363" uniqueCount="2560">
  <si>
    <t>OE_NonRecurring</t>
  </si>
  <si>
    <t>OE_Total</t>
  </si>
  <si>
    <t>OE_NIIAdjustment</t>
  </si>
  <si>
    <t>OE_BDDAdjustment</t>
  </si>
  <si>
    <t>OE_TXandOtherAdjustment</t>
  </si>
  <si>
    <t>OE_CashAdjustment</t>
  </si>
  <si>
    <t>DCF_DistCFTotalTerminal</t>
  </si>
  <si>
    <t>AD_CapitalAdd7</t>
  </si>
  <si>
    <t>AD_CapitalAdd8</t>
  </si>
  <si>
    <t>AD_CapitalAdd9</t>
  </si>
  <si>
    <t>AD_CapitalAdd10</t>
  </si>
  <si>
    <t>CET1_DednAdd4</t>
  </si>
  <si>
    <t>AD_PSAdd6</t>
  </si>
  <si>
    <t>AD_PSAdd7</t>
  </si>
  <si>
    <t>AD_PSAdd8</t>
  </si>
  <si>
    <t>AD_PSAdd9</t>
  </si>
  <si>
    <t>AD_PSAdd10</t>
  </si>
  <si>
    <t>AD_RatioDistCFTotal</t>
  </si>
  <si>
    <t>AD_RatioDistCFTotalandFranking</t>
  </si>
  <si>
    <t>AD_RatioFCFTotal</t>
  </si>
  <si>
    <t>DistCF_TotalEquEarnings</t>
  </si>
  <si>
    <t>DistCF_DednRWA</t>
  </si>
  <si>
    <t>DistCF_DednWM</t>
  </si>
  <si>
    <t>DistCF_DednGoodwill</t>
  </si>
  <si>
    <t>DistCF_DednOther</t>
  </si>
  <si>
    <t>DistCF_ReleaseofSurplus</t>
  </si>
  <si>
    <t>DistCF</t>
  </si>
  <si>
    <t>AD_RatioFCFTotalandFranking</t>
  </si>
  <si>
    <t>AD_RatioAdd2</t>
  </si>
  <si>
    <t>AD_RatioAdd3</t>
  </si>
  <si>
    <t>AD_RatioAdd4</t>
  </si>
  <si>
    <t>AD_RatioAdd5</t>
  </si>
  <si>
    <t>AD_RatioAdd6</t>
  </si>
  <si>
    <t>AD_RatioAdd7</t>
  </si>
  <si>
    <t>AD_PSAdd2</t>
  </si>
  <si>
    <t>AD_PSAdd3</t>
  </si>
  <si>
    <t>AD_PSAdd4</t>
  </si>
  <si>
    <t>AD_PSAdd5</t>
  </si>
  <si>
    <t>NIM_AUTimeDeposits</t>
  </si>
  <si>
    <t>NIM_AUTotalDeposits</t>
  </si>
  <si>
    <t>AD_RatioAdd8</t>
  </si>
  <si>
    <t>AD_RatioAdd9</t>
  </si>
  <si>
    <t>AD_RatioAdd10</t>
  </si>
  <si>
    <t>AD_ProfitabilityAdd2</t>
  </si>
  <si>
    <t>AD_ProfitabilityAdd3</t>
  </si>
  <si>
    <t>AD_ProfitabilityAdd4</t>
  </si>
  <si>
    <t>AD_ProfitabilityAdd5</t>
  </si>
  <si>
    <t>AD_ProfitabilityAdd6</t>
  </si>
  <si>
    <t>AD_ProfitabilityAdd7</t>
  </si>
  <si>
    <t>AD_PEAdd8</t>
  </si>
  <si>
    <t>AD_PEAdd9</t>
  </si>
  <si>
    <t>OE_Add2</t>
  </si>
  <si>
    <t>OE_Add3</t>
  </si>
  <si>
    <t>NII_GroupNonLendingEarningAssets</t>
  </si>
  <si>
    <t>OE_Add4</t>
  </si>
  <si>
    <t>Earnings per share (underlying | basic)</t>
  </si>
  <si>
    <t>TXandOther_OIAdjustment</t>
  </si>
  <si>
    <t>TXandOther_OEAdjustment</t>
  </si>
  <si>
    <t>TXandOther_CashAdjustment</t>
  </si>
  <si>
    <t>TXandOther_TotalCoyCash</t>
  </si>
  <si>
    <t>DistCF_CE</t>
  </si>
  <si>
    <t>DistCF_MoveinFCTR</t>
  </si>
  <si>
    <t>DistCF_MoveinAccounting</t>
  </si>
  <si>
    <t>DistCF_NRI</t>
  </si>
  <si>
    <t>CET1_PAAdd2</t>
  </si>
  <si>
    <t>CET1_PAAdd3</t>
  </si>
  <si>
    <t>CET1_PAAdd4</t>
  </si>
  <si>
    <t>CET1_DednAdd2</t>
  </si>
  <si>
    <t>CET1_DednAdd3</t>
  </si>
  <si>
    <t>NIM_GroupTotalLoans</t>
  </si>
  <si>
    <t>NIM_GroupAcceptances</t>
  </si>
  <si>
    <t>NIM_GroupSecuritisation</t>
  </si>
  <si>
    <t>NIM_GroupTotalLending</t>
  </si>
  <si>
    <t>NIM_GroupNonLendingEarningAssets</t>
  </si>
  <si>
    <t>NIM_GroupTotalEarningAssets</t>
  </si>
  <si>
    <t>NIM_AUCoreDeposits</t>
  </si>
  <si>
    <t>TAXATION, OEIs and PREFERENCE DIVIDENDS</t>
  </si>
  <si>
    <t>Tax</t>
  </si>
  <si>
    <t>NIM_NZCoreDeposits</t>
  </si>
  <si>
    <t>NIM_NZTimeDeposits</t>
  </si>
  <si>
    <t>NIM_NZTotalDeposits</t>
  </si>
  <si>
    <t>NIM_OOCoreDeposits</t>
  </si>
  <si>
    <t>NIM_OOTimeDeposits</t>
  </si>
  <si>
    <t>NIM_OOTotalDeposits</t>
  </si>
  <si>
    <t>OE_TotalCoyCash</t>
  </si>
  <si>
    <t>OE_NonCashAdjustment</t>
  </si>
  <si>
    <t>OE_TotalCoyStat</t>
  </si>
  <si>
    <t>OE_Recurring</t>
  </si>
  <si>
    <t>TR_BDDAdjustment</t>
  </si>
  <si>
    <t>TR_TXandOtherAdjustment</t>
  </si>
  <si>
    <t>TR_CashAdjustment</t>
  </si>
  <si>
    <t>TR_TotalCoyCash</t>
  </si>
  <si>
    <t>TR_NonCashAdjustment</t>
  </si>
  <si>
    <t>TR_TotalCoyStat</t>
  </si>
  <si>
    <t>TR_NIIAdjustment</t>
  </si>
  <si>
    <t>UE_TXandOtherAdjustment</t>
  </si>
  <si>
    <t>UE_CashAdjustment</t>
  </si>
  <si>
    <t>UE_TotalCoyCash</t>
  </si>
  <si>
    <t>UE_NonCashAdjustment</t>
  </si>
  <si>
    <t>UE_TotalCoyStat</t>
  </si>
  <si>
    <t>UE</t>
  </si>
  <si>
    <t>BDD_TXandOtherAdjustment</t>
  </si>
  <si>
    <t>BDD_CashAdjustment</t>
  </si>
  <si>
    <t>BDD_TotalCoyCash</t>
  </si>
  <si>
    <t>BDD_NonCashAdjustment</t>
  </si>
  <si>
    <t>BDD_TotalCoyStat</t>
  </si>
  <si>
    <t>BDD_Total</t>
  </si>
  <si>
    <t>PreTax_NIIAdjustment</t>
  </si>
  <si>
    <t>AD_PSEPSCashDilutedGrowth</t>
  </si>
  <si>
    <t>AD_PSEPSCashDiluted</t>
  </si>
  <si>
    <t>OI_Add2</t>
  </si>
  <si>
    <t>OI_Add3</t>
  </si>
  <si>
    <t>OI_Add4</t>
  </si>
  <si>
    <t>OI_OEAdjustment</t>
  </si>
  <si>
    <t>OI_BDDAdjustment</t>
  </si>
  <si>
    <t>OI_TXandOtherAdjustment</t>
  </si>
  <si>
    <t>OI_CashAdjustment</t>
  </si>
  <si>
    <t>OI_TotalCoyCash</t>
  </si>
  <si>
    <t>OI_NonCashAdjustment</t>
  </si>
  <si>
    <t>OI_TotalCoyStat</t>
  </si>
  <si>
    <t>OI_Total</t>
  </si>
  <si>
    <t>NII_OONonHousingLoans</t>
  </si>
  <si>
    <t>NII_OOTotalLoans</t>
  </si>
  <si>
    <t>NII_GroupHousingLoans</t>
  </si>
  <si>
    <t>NII_GroupNonHousingLoans</t>
  </si>
  <si>
    <t>NII_GroupTotalLoans</t>
  </si>
  <si>
    <t>NII_GroupAcceptances</t>
  </si>
  <si>
    <t>NII_GroupSecuritisation</t>
  </si>
  <si>
    <t>NII_GroupTotalLending</t>
  </si>
  <si>
    <t>Earnings per share (cash | diluted) growth (sequential)</t>
  </si>
  <si>
    <t>Share price</t>
  </si>
  <si>
    <t>Risk free rate (Rf)</t>
  </si>
  <si>
    <t>2H01A</t>
  </si>
  <si>
    <t>ASSUMPTIONS</t>
  </si>
  <si>
    <t>NII_GroupTotalEarningAssets</t>
  </si>
  <si>
    <t>NII_AUCoreDeposits</t>
  </si>
  <si>
    <t>NII_AUTimeDeposits</t>
  </si>
  <si>
    <t>NII_AUTotalDeposits</t>
  </si>
  <si>
    <t>NII_NZCoreDeposits</t>
  </si>
  <si>
    <t>NII_NZTimeDeposits</t>
  </si>
  <si>
    <t>NII_NZTotalDeposits</t>
  </si>
  <si>
    <t>AD_ProfitabilityAdd8</t>
  </si>
  <si>
    <t>AD_ProfitabilityAdd9</t>
  </si>
  <si>
    <t>AD_ProfitabilityAdd10</t>
  </si>
  <si>
    <t>NIM_NZHousingLoans</t>
  </si>
  <si>
    <t>NIM_NZNonHousingLoans</t>
  </si>
  <si>
    <t>NIM_NZTotalLoans</t>
  </si>
  <si>
    <t>NIM_OOHousingLoans</t>
  </si>
  <si>
    <t>NIM_OONonHousingLoans</t>
  </si>
  <si>
    <t>NIM_OOTotalLoans</t>
  </si>
  <si>
    <t>NIM_GroupHousingLoans</t>
  </si>
  <si>
    <t>NIM_GroupNonHousingLoans</t>
  </si>
  <si>
    <t>Ordinary shareholder`s equity - EOP</t>
  </si>
  <si>
    <t>Preference shares</t>
  </si>
  <si>
    <t>Total equity - EOP</t>
  </si>
  <si>
    <t>Shares on issue - EOP</t>
  </si>
  <si>
    <t>Average shares on issue - basic</t>
  </si>
  <si>
    <t>Company reported statutory pre-tax earnings (post abnormals)</t>
  </si>
  <si>
    <t>AvBS_OOTimeDeposits</t>
  </si>
  <si>
    <t>AvBS_OOTotalDeposits</t>
  </si>
  <si>
    <t>OEIs</t>
  </si>
  <si>
    <t>Target capital ratio</t>
  </si>
  <si>
    <t>Life insurance NTA / investments</t>
  </si>
  <si>
    <t>PERIOD END BALANCE SHEET</t>
  </si>
  <si>
    <t>Housing</t>
  </si>
  <si>
    <t>SME</t>
  </si>
  <si>
    <t>Institutional</t>
  </si>
  <si>
    <t>Personal</t>
  </si>
  <si>
    <t>Total</t>
  </si>
  <si>
    <t>NIM_GroupCoreDeposits</t>
  </si>
  <si>
    <t>NIM_GroupTimeDeposits</t>
  </si>
  <si>
    <t>NIM_GroupTotalDeposits</t>
  </si>
  <si>
    <t>NIM_GroupWholesaleFunding</t>
  </si>
  <si>
    <t>NIM_GroupFreeFunds</t>
  </si>
  <si>
    <t>NIM_GroupTotalEarningLiabilities</t>
  </si>
  <si>
    <t>NIM_AUHousingLoans</t>
  </si>
  <si>
    <t>UE_NIIAdjustment</t>
  </si>
  <si>
    <t>UE_BDDAdjustment</t>
  </si>
  <si>
    <t>Core Tier 1</t>
  </si>
  <si>
    <t>Other offshore housing (local currency)</t>
  </si>
  <si>
    <t>Other offshore non-housing (local currency)</t>
  </si>
  <si>
    <t>PreTax_OIAdjustment</t>
  </si>
  <si>
    <t>AD_AQAdd7</t>
  </si>
  <si>
    <t>AD_AQAdd8</t>
  </si>
  <si>
    <t>AD_AQAdd9</t>
  </si>
  <si>
    <t>AD_AQAdd10</t>
  </si>
  <si>
    <t>AD_CapitalAdd2</t>
  </si>
  <si>
    <t>AD_CapitalAdd3</t>
  </si>
  <si>
    <t>AD_CapitalAdd4</t>
  </si>
  <si>
    <t>AD_CapitalAdd5</t>
  </si>
  <si>
    <t>AD_CapitalAdd6</t>
  </si>
  <si>
    <t>AvBS_AUHousingLoans</t>
  </si>
  <si>
    <t>NII_AUBusinessLoansSME</t>
  </si>
  <si>
    <t>NII_AUBusinessLoansInstitutional</t>
  </si>
  <si>
    <t>NII_AUPersonalLoans</t>
  </si>
  <si>
    <t>NII_AUTotalLoans</t>
  </si>
  <si>
    <t>NII_NZHousingLoans</t>
  </si>
  <si>
    <t>NII_NZNonHousingLoans</t>
  </si>
  <si>
    <t>NII_NZTotalLoans</t>
  </si>
  <si>
    <t>NII_OOHousingLoans</t>
  </si>
  <si>
    <t>Earnings per share (reported | basic)</t>
  </si>
  <si>
    <t>Earnings per share (reported | diluted)</t>
  </si>
  <si>
    <t>Earnings per share (cash | basic)</t>
  </si>
  <si>
    <t>Earnings per share (cash | basic) growth (sequential)</t>
  </si>
  <si>
    <t>Earnings per share (cash | diluted)</t>
  </si>
  <si>
    <t>Terminal valuation forecast year</t>
  </si>
  <si>
    <t>Reuters code</t>
  </si>
  <si>
    <t>Terminal growth rate</t>
  </si>
  <si>
    <t>FY92A</t>
  </si>
  <si>
    <t>FY00A</t>
  </si>
  <si>
    <t>Period end exchange rates</t>
  </si>
  <si>
    <t>British pounds</t>
  </si>
  <si>
    <t>US dollars</t>
  </si>
  <si>
    <t>NZ dollars</t>
  </si>
  <si>
    <t>Euros</t>
  </si>
  <si>
    <t>n.a.</t>
  </si>
  <si>
    <t>Average exchange rates</t>
  </si>
  <si>
    <t>System volume growth (sequential)</t>
  </si>
  <si>
    <t>Australian housing</t>
  </si>
  <si>
    <t>Australian business</t>
  </si>
  <si>
    <t>Australian personal</t>
  </si>
  <si>
    <t>New Zealand housing</t>
  </si>
  <si>
    <t>NII_OOCoreDeposits</t>
  </si>
  <si>
    <t>NII_OOTimeDeposits</t>
  </si>
  <si>
    <t>NII_OOTotalDeposits</t>
  </si>
  <si>
    <t>NII_GroupFreeFunds</t>
  </si>
  <si>
    <t>NII_GroupTotalEarningLiabilities</t>
  </si>
  <si>
    <t>NII_AUHousingLoans</t>
  </si>
  <si>
    <t>NIM_AUBusinessLoansSME</t>
  </si>
  <si>
    <t>NIM_AUBusinessLoansInstitutional</t>
  </si>
  <si>
    <t>NIM_AUPersonalLoans</t>
  </si>
  <si>
    <t>NIM_AUTotalLoans</t>
  </si>
  <si>
    <t>Market risk premium (Rm)</t>
  </si>
  <si>
    <t>Equity Beta (B)</t>
  </si>
  <si>
    <t>Today</t>
  </si>
  <si>
    <t>Ke = Rf + B * Rm</t>
  </si>
  <si>
    <t>Last result</t>
  </si>
  <si>
    <t>Current year</t>
  </si>
  <si>
    <t>NII_InterestIncome</t>
  </si>
  <si>
    <t>NII_InterestExpense</t>
  </si>
  <si>
    <t>NII_Total</t>
  </si>
  <si>
    <t>NII</t>
  </si>
  <si>
    <t>Equity earnings</t>
  </si>
  <si>
    <t>ORDINARY SHAREHOLDERS EQUITY</t>
  </si>
  <si>
    <t>Ordinary shareholder`s equity - BOP</t>
  </si>
  <si>
    <t>Ordinary dividend</t>
  </si>
  <si>
    <t>PEBS_OOTimeDeposits</t>
  </si>
  <si>
    <t>PEBS_OOTotalDeposits</t>
  </si>
  <si>
    <t>PEBS_OOCoreDeposits</t>
  </si>
  <si>
    <t>PEBS_NZTimeDeposits</t>
  </si>
  <si>
    <t>PEBS_NZTotalDeposits</t>
  </si>
  <si>
    <t>PEBS_NZCoreDeposits</t>
  </si>
  <si>
    <t>Abnormals (pre-tax)</t>
  </si>
  <si>
    <t>AvBS_AUTotalDeposits</t>
  </si>
  <si>
    <t>AvBS_NZCoreDeposits</t>
  </si>
  <si>
    <t>AvBS_NZTimeDeposits</t>
  </si>
  <si>
    <t>AvBS_NZTotalDeposits</t>
  </si>
  <si>
    <t>AvBS_OOCoreDeposits</t>
  </si>
  <si>
    <t>Preference dividend</t>
  </si>
  <si>
    <t>Risk weight on non-housing loans</t>
  </si>
  <si>
    <t>Risk weight on non-lending assets</t>
  </si>
  <si>
    <t>Normalised growth in risk weighted assets</t>
  </si>
  <si>
    <t>Australian term deposits</t>
  </si>
  <si>
    <t>Collective provisions / risk weighted assets</t>
  </si>
  <si>
    <t>Total provisions / non-housing loans</t>
  </si>
  <si>
    <t>Company reported taxation, OEIs and preference dividends</t>
  </si>
  <si>
    <t>Abnormals (tax)</t>
  </si>
  <si>
    <t>Total tangible assets</t>
  </si>
  <si>
    <t>Non-interest bearing liabilities (ex NIBD)</t>
  </si>
  <si>
    <t>Reclassification of preference shares</t>
  </si>
  <si>
    <t>Deconsolidation of wealth management profits</t>
  </si>
  <si>
    <t>Other</t>
  </si>
  <si>
    <t>Capital ratio</t>
  </si>
  <si>
    <t>New Zealand lending</t>
  </si>
  <si>
    <t>New Zealand deposits</t>
  </si>
  <si>
    <t>Other offshore lending</t>
  </si>
  <si>
    <t>Other offshore deposits</t>
  </si>
  <si>
    <t>Wholesale funding</t>
  </si>
  <si>
    <t>Free funds</t>
  </si>
  <si>
    <t>Company reported cash earnings</t>
  </si>
  <si>
    <t>Non-recurring items</t>
  </si>
  <si>
    <t>Other offshore loan-to-deposit ratio</t>
  </si>
  <si>
    <t>PreTax_OEAdjustment</t>
  </si>
  <si>
    <t>PreTax_BDDAdjustment</t>
  </si>
  <si>
    <t>PreTax_CashAdjustment</t>
  </si>
  <si>
    <t>PreTax_TotalCoyCash</t>
  </si>
  <si>
    <t>PreTax_NonCashAdjustment</t>
  </si>
  <si>
    <t>PreTax_TotalCoyStat</t>
  </si>
  <si>
    <t>PreTax</t>
  </si>
  <si>
    <t>AvBS_GroupCoreDeposits</t>
  </si>
  <si>
    <t>AvBS_GroupTimeDeposits</t>
  </si>
  <si>
    <t>AvBS_GroupTotalDeposits</t>
  </si>
  <si>
    <t>AvBS_LifeInvestments</t>
  </si>
  <si>
    <t>AvBS_FUM</t>
  </si>
  <si>
    <t>AvBS_FUMA</t>
  </si>
  <si>
    <t>Market capitalisation</t>
  </si>
  <si>
    <t>Problem loans / risk weighted assets</t>
  </si>
  <si>
    <t>Collective provisions / credit risk weighted assets</t>
  </si>
  <si>
    <t>ASX code</t>
  </si>
  <si>
    <t>ANZ</t>
  </si>
  <si>
    <t>Valuation as at date</t>
  </si>
  <si>
    <t>Bloomberg code</t>
  </si>
  <si>
    <t>Other capitalised expenses</t>
  </si>
  <si>
    <t>Applicable deferred tax assets</t>
  </si>
  <si>
    <t>Tangible ordinary equity</t>
  </si>
  <si>
    <t>Actuals</t>
  </si>
  <si>
    <t>Assumptions</t>
  </si>
  <si>
    <t>External links</t>
  </si>
  <si>
    <t>ASS_6MoBankOONHCg</t>
  </si>
  <si>
    <t>ASS_6MoBankAUBCgvsSystem</t>
  </si>
  <si>
    <t>ASS_6MoBankAUPCgvsSystem</t>
  </si>
  <si>
    <t>ASS_6MoBankNZHCgvsSystem</t>
  </si>
  <si>
    <t>ASS_6MoBankNZNHCgvsSystem</t>
  </si>
  <si>
    <t>ASS_6MoBankOOHCgvsSystem</t>
  </si>
  <si>
    <t>NII_GroupCoreDeposits</t>
  </si>
  <si>
    <t>NII_GroupTimeDeposits</t>
  </si>
  <si>
    <t>NII_GroupTotalDeposits</t>
  </si>
  <si>
    <t>NII_GroupWholesaleFunding</t>
  </si>
  <si>
    <t>New Zealand non-housing</t>
  </si>
  <si>
    <t>Other offshore housing</t>
  </si>
  <si>
    <t>Other offshore non-housing</t>
  </si>
  <si>
    <t>Company reported cash underlying earnings</t>
  </si>
  <si>
    <t>Other income / total footings</t>
  </si>
  <si>
    <t>Non-interest expenses</t>
  </si>
  <si>
    <t>Market performance (sequential)</t>
  </si>
  <si>
    <t>ASX-200 Accumulation Index return</t>
  </si>
  <si>
    <t>Fixed income return</t>
  </si>
  <si>
    <t>Cash return</t>
  </si>
  <si>
    <t>TXandOther_NonCashAdjustment</t>
  </si>
  <si>
    <t>TXandOther_TotalCoyStat</t>
  </si>
  <si>
    <t>TXandOther_Total</t>
  </si>
  <si>
    <t>CE_OEAdjustment</t>
  </si>
  <si>
    <t>CE_BDDAdjustment</t>
  </si>
  <si>
    <t>CE_TotalCoyCash</t>
  </si>
  <si>
    <t>CE_Total</t>
  </si>
  <si>
    <t>AvBS_GroupNonHousingLoans</t>
  </si>
  <si>
    <t>AvBS_GroupTotalLoans</t>
  </si>
  <si>
    <t>AvBS_GroupAcceptances</t>
  </si>
  <si>
    <t>AvBS_GroupSecuritisation</t>
  </si>
  <si>
    <t>AvBS_GroupTotalLending</t>
  </si>
  <si>
    <t>AvBS_AUCoreDeposits</t>
  </si>
  <si>
    <t>AvBS_AUTimeDeposits</t>
  </si>
  <si>
    <t>Other overseas loans</t>
  </si>
  <si>
    <t>Total loans</t>
  </si>
  <si>
    <t>Non-housing</t>
  </si>
  <si>
    <t>Acceptances</t>
  </si>
  <si>
    <t>Price ratios (period end)</t>
  </si>
  <si>
    <t>Price / earnings (reported | basic)</t>
  </si>
  <si>
    <t>Problem loans / total loans</t>
  </si>
  <si>
    <t>PRE-TAX EARNINGS</t>
  </si>
  <si>
    <t>Company reported cash pre-tax earnings</t>
  </si>
  <si>
    <t>Collective provisions / non-housing loans</t>
  </si>
  <si>
    <t>BDDs / total loans</t>
  </si>
  <si>
    <t>BDDs / non-housing loans</t>
  </si>
  <si>
    <t>Individual provisions</t>
  </si>
  <si>
    <t>Test</t>
  </si>
  <si>
    <t>CASH EARNINGS</t>
  </si>
  <si>
    <t>Cash earnings</t>
  </si>
  <si>
    <t>Average data</t>
  </si>
  <si>
    <t>Non-interest earning assets</t>
  </si>
  <si>
    <t>Australian deposits</t>
  </si>
  <si>
    <t>Taxation, OEIs and preference dividend adjustments</t>
  </si>
  <si>
    <t>TXandOther</t>
  </si>
  <si>
    <t>BDD_NIIAdjustment</t>
  </si>
  <si>
    <t>BDD_OIAdjustment</t>
  </si>
  <si>
    <t>Australian core depsoits</t>
  </si>
  <si>
    <t>Gross dividend yield</t>
  </si>
  <si>
    <t>Distributed cash flow yield (net)</t>
  </si>
  <si>
    <t>Unamortised goodwill and other intangibles</t>
  </si>
  <si>
    <t>Capitalised software</t>
  </si>
  <si>
    <t>Non interest expense adjustments</t>
  </si>
  <si>
    <t>Bad debt expense adjustments</t>
  </si>
  <si>
    <t>Total provisions / credit risk weighted assets</t>
  </si>
  <si>
    <t>Total provisions / risk weighted assets</t>
  </si>
  <si>
    <t>Total liabilities</t>
  </si>
  <si>
    <t>Ordinary equity</t>
  </si>
  <si>
    <t>Recurring expenses</t>
  </si>
  <si>
    <t>Non-recurring expenses</t>
  </si>
  <si>
    <t>Error check #5</t>
  </si>
  <si>
    <t>Per share data</t>
  </si>
  <si>
    <t>Company reported statutory operating expenses</t>
  </si>
  <si>
    <t>UNDERLYING EARNINGS</t>
  </si>
  <si>
    <t>ASS_NIMOOTotalLoans</t>
  </si>
  <si>
    <t>ASS_6MoBankOONHCgvsSystem</t>
  </si>
  <si>
    <t>ASS_6MoBankAUHCgvsSystem</t>
  </si>
  <si>
    <t>Life operating margins / life investments</t>
  </si>
  <si>
    <t>New Zealand housing (local currency)</t>
  </si>
  <si>
    <t>Funds under management and administration</t>
  </si>
  <si>
    <t>AVERAGE BALANCE SHEET</t>
  </si>
  <si>
    <t>Non-lending interest earning assets</t>
  </si>
  <si>
    <t>Bank volume growth versus system</t>
  </si>
  <si>
    <t>Bank volume growth (sequential)</t>
  </si>
  <si>
    <t>Net dividends per share</t>
  </si>
  <si>
    <t>Gross dividends per share</t>
  </si>
  <si>
    <t>Distributed cash flow per share</t>
  </si>
  <si>
    <t>AvBS_AUBusinessLoansSME</t>
  </si>
  <si>
    <t>AvBS_AUBusinessLoansInstitutional</t>
  </si>
  <si>
    <t>AvBS_AUPersonalLoans</t>
  </si>
  <si>
    <t>CE_NIIAdjustment</t>
  </si>
  <si>
    <t>CE_OIAdjustment</t>
  </si>
  <si>
    <t>AvBS_NZTotalLoans</t>
  </si>
  <si>
    <t>AvBS_OOHousingLoans</t>
  </si>
  <si>
    <t>AvBS_OOTotalLoans</t>
  </si>
  <si>
    <t>Free cash flow and franking value per share</t>
  </si>
  <si>
    <t>Book value per share</t>
  </si>
  <si>
    <t>AvBS_GroupHousingLoans</t>
  </si>
  <si>
    <t>General provision for BDD (net of FITB)</t>
  </si>
  <si>
    <t>Residual capital in excess of prescribed limits transferred from Tier One Capital</t>
  </si>
  <si>
    <t>New Zealand loans</t>
  </si>
  <si>
    <t>Business</t>
  </si>
  <si>
    <t>Revenue less cost growth "jaws"</t>
  </si>
  <si>
    <t>DRP participation</t>
  </si>
  <si>
    <t>Net shares issued</t>
  </si>
  <si>
    <t>Period end share price</t>
  </si>
  <si>
    <t>Risk weighted assets on non-lending assets</t>
  </si>
  <si>
    <t>DISTRIBUTED CASH FLOW</t>
  </si>
  <si>
    <t>Equity cash earnings</t>
  </si>
  <si>
    <t>Loans past 90-days due</t>
  </si>
  <si>
    <t>Taxation</t>
  </si>
  <si>
    <t>Average net issuance share price</t>
  </si>
  <si>
    <t>Risk weight on housing loans</t>
  </si>
  <si>
    <t>Collective provisions</t>
  </si>
  <si>
    <t>Total provisions</t>
  </si>
  <si>
    <t>Impaired assets</t>
  </si>
  <si>
    <t>Net write-offs / non-housing loans</t>
  </si>
  <si>
    <t>Cash earnings adjustments</t>
  </si>
  <si>
    <t>Company reported cash net interest income</t>
  </si>
  <si>
    <t>Reported earnings</t>
  </si>
  <si>
    <t>Move in foreign currency translation reserve</t>
  </si>
  <si>
    <t>Net effect of change in accounting policies</t>
  </si>
  <si>
    <t>Other adjustments</t>
  </si>
  <si>
    <t>Price / earnings (underlying | basic)</t>
  </si>
  <si>
    <t>Net dividend yield</t>
  </si>
  <si>
    <t>TXandOther_NIIAdjustment</t>
  </si>
  <si>
    <t>Wealth management income</t>
  </si>
  <si>
    <t>Life insurance investment assets</t>
  </si>
  <si>
    <t>Funds under management</t>
  </si>
  <si>
    <t>Net interest margins</t>
  </si>
  <si>
    <t>Australian SME</t>
  </si>
  <si>
    <t>Australian institutional</t>
  </si>
  <si>
    <t>Average shares on issue - diluted</t>
  </si>
  <si>
    <t>Dilution adjustment</t>
  </si>
  <si>
    <t>Australian loans</t>
  </si>
  <si>
    <t>Error check #4</t>
  </si>
  <si>
    <t>CORE TIER 1 EQUITY</t>
  </si>
  <si>
    <t>Estimated dividend</t>
  </si>
  <si>
    <t>Estimated reinvestment under DRP</t>
  </si>
  <si>
    <t>Non interest income adjustments</t>
  </si>
  <si>
    <t>ADDITIONAL DATA</t>
  </si>
  <si>
    <t>Period end data</t>
  </si>
  <si>
    <t>Wealth management expenses</t>
  </si>
  <si>
    <t>Restructuring benefits</t>
  </si>
  <si>
    <t>Other expenses</t>
  </si>
  <si>
    <t>Company reported cash operating expenses</t>
  </si>
  <si>
    <t>ASS_NIMOOTotalDeposits</t>
  </si>
  <si>
    <t>ASS_6MoBankAUBCg</t>
  </si>
  <si>
    <t>ASS_6MoBankAUPCg</t>
  </si>
  <si>
    <t>ASS_6MoBankNZHCg</t>
  </si>
  <si>
    <t>ASS_6MoBankNZNHCg</t>
  </si>
  <si>
    <t>ASS_6MoBankOOHCg</t>
  </si>
  <si>
    <t>Total New Zealand customer deposits</t>
  </si>
  <si>
    <t>FTEs</t>
  </si>
  <si>
    <t>Capitalised expenses - EOP</t>
  </si>
  <si>
    <t>ASS_AQHNCOratio</t>
  </si>
  <si>
    <t>ASS_AQBNCOratio</t>
  </si>
  <si>
    <t>ASS_AQPNCOratio</t>
  </si>
  <si>
    <t>ASS_AQTotalNCOAvTotalLoans</t>
  </si>
  <si>
    <t>ASS_AQTotalNCOAvNHL</t>
  </si>
  <si>
    <t>ASS_AQIANHL</t>
  </si>
  <si>
    <t>ASS_AQIPIA</t>
  </si>
  <si>
    <t>ASS_AQCPNHL</t>
  </si>
  <si>
    <t>Total Other Offshore customer deposits</t>
  </si>
  <si>
    <t>Average interest earning assets</t>
  </si>
  <si>
    <t>Term deposits</t>
  </si>
  <si>
    <t>Cost-to-income ratio</t>
  </si>
  <si>
    <t>Australian loan-to-deposit ratio</t>
  </si>
  <si>
    <t>Expected loss in excess of provisions</t>
  </si>
  <si>
    <t>Other 100% deductions</t>
  </si>
  <si>
    <t>Company reported statutory underlying earnings</t>
  </si>
  <si>
    <t>BAD DEBT EXPENSE</t>
  </si>
  <si>
    <t>Total net write-offs</t>
  </si>
  <si>
    <t>Movement in provisions</t>
  </si>
  <si>
    <t>AvBS_AUTotalLoans</t>
  </si>
  <si>
    <t>AvBS_NZHousingLoans</t>
  </si>
  <si>
    <t>Interest expense</t>
  </si>
  <si>
    <t>Net interest income</t>
  </si>
  <si>
    <t>Error check #1</t>
  </si>
  <si>
    <t>NET INTEREST INCOME</t>
  </si>
  <si>
    <t>Reported capital ratio</t>
  </si>
  <si>
    <t>Housing net write-offs</t>
  </si>
  <si>
    <t>Personal net write-offs</t>
  </si>
  <si>
    <t>Business net write-offs</t>
  </si>
  <si>
    <t>Distributed cash flow and franking value per share</t>
  </si>
  <si>
    <t>Free cash flow per share</t>
  </si>
  <si>
    <t>Other offshore customer deposits</t>
  </si>
  <si>
    <t>Net tangible assets per share</t>
  </si>
  <si>
    <t>Total assets</t>
  </si>
  <si>
    <t>Intangibles</t>
  </si>
  <si>
    <t>Company reported cash bad debt expense</t>
  </si>
  <si>
    <t>Total customer deposits</t>
  </si>
  <si>
    <t>Wealth</t>
  </si>
  <si>
    <t>Return on assets (cash)</t>
  </si>
  <si>
    <t>Return on tangible assets (cash)</t>
  </si>
  <si>
    <t>Non-interest income / total income</t>
  </si>
  <si>
    <t>TOTAL REVENUES</t>
  </si>
  <si>
    <t>Company reported cash revenues</t>
  </si>
  <si>
    <t>ASS_TXBankRateGS</t>
  </si>
  <si>
    <t>Company reported statutory bad debt expense</t>
  </si>
  <si>
    <t>Tax rate foregone (company basis)</t>
  </si>
  <si>
    <t>Corporate tax rate</t>
  </si>
  <si>
    <t>New Zealand non-housing (local currency)</t>
  </si>
  <si>
    <t>New Zealand loan-to-deposit ratio</t>
  </si>
  <si>
    <t>2H11A</t>
  </si>
  <si>
    <t>1H12A</t>
  </si>
  <si>
    <t>2H12A</t>
  </si>
  <si>
    <t>Individual provisions / impaired assets</t>
  </si>
  <si>
    <t>1H06A</t>
  </si>
  <si>
    <t>2H06A</t>
  </si>
  <si>
    <t>1H07A</t>
  </si>
  <si>
    <t>2H07A</t>
  </si>
  <si>
    <t>1H08A</t>
  </si>
  <si>
    <t>2H08A</t>
  </si>
  <si>
    <t>1H09A</t>
  </si>
  <si>
    <t>2H09A</t>
  </si>
  <si>
    <t>1H10A</t>
  </si>
  <si>
    <t>2H10A</t>
  </si>
  <si>
    <t>1H11A</t>
  </si>
  <si>
    <t>- Residual capital in excess of prescribed limits transferred to Upper Tier Two Capital</t>
  </si>
  <si>
    <t>Average interest earnings assets</t>
  </si>
  <si>
    <t>Company non-cash adjustments</t>
  </si>
  <si>
    <t>Company reported statutory net interest income</t>
  </si>
  <si>
    <t>Net interest margin</t>
  </si>
  <si>
    <t>Non-interest income</t>
  </si>
  <si>
    <t>Lending fees / non-housing lending</t>
  </si>
  <si>
    <t>Non-lending fees / total deposits</t>
  </si>
  <si>
    <t>Trading income / non-housing lending</t>
  </si>
  <si>
    <t>Lending fees</t>
  </si>
  <si>
    <t>Non-lending fees</t>
  </si>
  <si>
    <t>Trading income</t>
  </si>
  <si>
    <t>Price / earnings (cash | diluted)</t>
  </si>
  <si>
    <t>Master check</t>
  </si>
  <si>
    <t>Half-year annualiser</t>
  </si>
  <si>
    <t>COLOUR CODING</t>
  </si>
  <si>
    <t>Calculations</t>
  </si>
  <si>
    <t>Capital deduction for risk weighted asset growth</t>
  </si>
  <si>
    <t>Capital deduction for wealth management</t>
  </si>
  <si>
    <t>Core tier 1 ratio</t>
  </si>
  <si>
    <t>Tier 1 ratio</t>
  </si>
  <si>
    <t>Internal rate of capital generation</t>
  </si>
  <si>
    <t>Terminal value of franking credits</t>
  </si>
  <si>
    <t>Equity value</t>
  </si>
  <si>
    <t>Equity value per share</t>
  </si>
  <si>
    <t>Company reported statutory revenues</t>
  </si>
  <si>
    <t>NON INTEREST EXPENSE</t>
  </si>
  <si>
    <t>Staff expenses</t>
  </si>
  <si>
    <t>Other reserves</t>
  </si>
  <si>
    <t>Accumulated retained earnings / revenue reserve</t>
  </si>
  <si>
    <t>Diluted shares on issue</t>
  </si>
  <si>
    <t xml:space="preserve">Cash earnings per share (c) </t>
  </si>
  <si>
    <t>Cash earnings per share growth (%)</t>
  </si>
  <si>
    <t xml:space="preserve">Dividends per share (c) </t>
  </si>
  <si>
    <t>Total Australian customer deposits</t>
  </si>
  <si>
    <t>Proportion of other costs fixed</t>
  </si>
  <si>
    <t>Cost inflation (sequential)</t>
  </si>
  <si>
    <t>Capilised expenses written down during the period</t>
  </si>
  <si>
    <t>Expenses capitalised / previous period total expenses (ex-amortisation)</t>
  </si>
  <si>
    <t>Average amortisation period (years)</t>
  </si>
  <si>
    <t>ASS_OETotalg</t>
  </si>
  <si>
    <t>ASS_OECosttoIncome</t>
  </si>
  <si>
    <t>Capitalised expenses - BOP</t>
  </si>
  <si>
    <t>Neutral</t>
  </si>
  <si>
    <t>ASS_AvAUDGBP</t>
  </si>
  <si>
    <t>Total risk weighted assets</t>
  </si>
  <si>
    <t>Asset quality</t>
  </si>
  <si>
    <t>Recurring income</t>
  </si>
  <si>
    <t>Other 50% deductions</t>
  </si>
  <si>
    <t>+ Non-qualifying preference shares</t>
  </si>
  <si>
    <t>+ Eligible loan capital</t>
  </si>
  <si>
    <t>= Core tier 1 capital</t>
  </si>
  <si>
    <t>Surplus / (deficit) capital</t>
  </si>
  <si>
    <t>Tier 2 capital</t>
  </si>
  <si>
    <t>Company reported cash non interest income</t>
  </si>
  <si>
    <t>Total average funding requirements</t>
  </si>
  <si>
    <t>NET INTEREST MARGINS</t>
  </si>
  <si>
    <t>Gross loans</t>
  </si>
  <si>
    <t>Interest income</t>
  </si>
  <si>
    <t>Free cash flow yield (gross)</t>
  </si>
  <si>
    <t>Price / book value</t>
  </si>
  <si>
    <t>Price / NTA</t>
  </si>
  <si>
    <t>Securitised loans</t>
  </si>
  <si>
    <t>Total lending</t>
  </si>
  <si>
    <t>Australian customer deposits</t>
  </si>
  <si>
    <t>Core deposits</t>
  </si>
  <si>
    <t>Time deposits (includes CDs)</t>
  </si>
  <si>
    <t>New Zealand customer deposits</t>
  </si>
  <si>
    <t>Return on equity (cash)</t>
  </si>
  <si>
    <t>Return on tangible equity (cash)</t>
  </si>
  <si>
    <t>Return on risk weighted assets (cash)</t>
  </si>
  <si>
    <t>Other operating income</t>
  </si>
  <si>
    <t>PEBS_OOPersonalLoans</t>
  </si>
  <si>
    <t>PEBS_OOTotalLoans</t>
  </si>
  <si>
    <t>PEBS_GroupHousingLoans</t>
  </si>
  <si>
    <t>PEBS_NZHousingLoans</t>
  </si>
  <si>
    <t>PEBS_NZBusinessLoans</t>
  </si>
  <si>
    <t>PEBS_NZPersonalLoans</t>
  </si>
  <si>
    <t>PEBS_NZTotalLoans</t>
  </si>
  <si>
    <t>PEBS_OOHousingLoans</t>
  </si>
  <si>
    <t>DistCF_OrdDiv</t>
  </si>
  <si>
    <t>PEBS_GroupNonHousingLoans</t>
  </si>
  <si>
    <t>PEBS_GroupTotalLoans</t>
  </si>
  <si>
    <t>PEBS_GroupAcceptances</t>
  </si>
  <si>
    <t>PEBS_GroupSecuritisation</t>
  </si>
  <si>
    <t>PEBS_GroupTotalLending</t>
  </si>
  <si>
    <t>PEBS_AUCoreDeposits</t>
  </si>
  <si>
    <t>PEBS_AUTimeDeposits</t>
  </si>
  <si>
    <t>PEBS_AUTotalDeposits</t>
  </si>
  <si>
    <t>PEBS_AUCertificateDeposits</t>
  </si>
  <si>
    <t>Of which certificates of deposits (CDs)</t>
  </si>
  <si>
    <t>PEBS_NZCertificateDeposits</t>
  </si>
  <si>
    <t>PEBS_OOCertificateDeposits</t>
  </si>
  <si>
    <t>PEBS_GroupCoreDeposits</t>
  </si>
  <si>
    <t>PEBS_GroupTimeDeposits</t>
  </si>
  <si>
    <t>Proportion of franking credits valued</t>
  </si>
  <si>
    <t>Capital</t>
  </si>
  <si>
    <t>DPS</t>
  </si>
  <si>
    <t>Impaired assets / non-housing loans</t>
  </si>
  <si>
    <t>Credit risk weighted assets on non-housing loans</t>
  </si>
  <si>
    <t>1H02A</t>
  </si>
  <si>
    <t>2H02A</t>
  </si>
  <si>
    <t>1H03A</t>
  </si>
  <si>
    <t>2H03A</t>
  </si>
  <si>
    <t>1H04A</t>
  </si>
  <si>
    <t>2H04A</t>
  </si>
  <si>
    <t>1H05A</t>
  </si>
  <si>
    <t>2H05A</t>
  </si>
  <si>
    <t>ASS_CapitalAvShareIssuancePrice</t>
  </si>
  <si>
    <t>= Gross tier 1 capital</t>
  </si>
  <si>
    <t>+ Tier 1 deductions</t>
  </si>
  <si>
    <t>= Total Tier 1 capital</t>
  </si>
  <si>
    <t>Total revenue</t>
  </si>
  <si>
    <t>Operating expenses</t>
  </si>
  <si>
    <t>Underlying earnings</t>
  </si>
  <si>
    <t>Bad and doubtful debt expense</t>
  </si>
  <si>
    <t>Error check #2</t>
  </si>
  <si>
    <t>NON INTEREST INCOME</t>
  </si>
  <si>
    <t>Expense growth (pcp)</t>
  </si>
  <si>
    <t>Period</t>
  </si>
  <si>
    <t>Period end</t>
  </si>
  <si>
    <t>Pre-tax earnings</t>
  </si>
  <si>
    <t>Tax expense</t>
  </si>
  <si>
    <t>Wealth management fees / FUM&amp;A</t>
  </si>
  <si>
    <t>Price / earnings (reported | diluted)</t>
  </si>
  <si>
    <t>Price / earnings (cash | basic)</t>
  </si>
  <si>
    <t>Distributed cash flow</t>
  </si>
  <si>
    <t>Dividends</t>
  </si>
  <si>
    <t>Total capital ratio</t>
  </si>
  <si>
    <t>Dividend payout ratio</t>
  </si>
  <si>
    <t>Distributed cash payout ratio</t>
  </si>
  <si>
    <t>Other income</t>
  </si>
  <si>
    <t>Value of franking credits distributed</t>
  </si>
  <si>
    <t>Error check #3</t>
  </si>
  <si>
    <t>DCF VALUATION</t>
  </si>
  <si>
    <t>Value of cash flows</t>
  </si>
  <si>
    <t>Terminal value of cash flows</t>
  </si>
  <si>
    <t>Value of franking credits</t>
  </si>
  <si>
    <t>Other provisions</t>
  </si>
  <si>
    <t>Other non-interest bearing liabilities</t>
  </si>
  <si>
    <t>Bank deposits</t>
  </si>
  <si>
    <t>Other interest-bearing liabilities</t>
  </si>
  <si>
    <t>TR_OIAdjustment</t>
  </si>
  <si>
    <t>TR_OEAdjustment</t>
  </si>
  <si>
    <t>OE</t>
  </si>
  <si>
    <t>OE_StaffCosts</t>
  </si>
  <si>
    <t>OE_WMCosts</t>
  </si>
  <si>
    <t>OE_Amortisation</t>
  </si>
  <si>
    <t>OE_Restructuring</t>
  </si>
  <si>
    <t>OE_Add1</t>
  </si>
  <si>
    <t>AD_ProfitabilityCapitalisedtoTotal</t>
  </si>
  <si>
    <t>OE_OtherCosts</t>
  </si>
  <si>
    <t>OE_OIAdjustment</t>
  </si>
  <si>
    <t>UE_OIAdjustment</t>
  </si>
  <si>
    <t>UE_OEAdjustment</t>
  </si>
  <si>
    <t>BDD</t>
  </si>
  <si>
    <t>BDD_HousingNCO</t>
  </si>
  <si>
    <t>BDD_BusinessNCO</t>
  </si>
  <si>
    <t>BDD_PersonalNCO</t>
  </si>
  <si>
    <t>BDD_TotalNCO</t>
  </si>
  <si>
    <t>BDD_ProvisionsMoves</t>
  </si>
  <si>
    <t>BDD_OEAdjustment</t>
  </si>
  <si>
    <t>PreTax_TXandOtherAdjustment</t>
  </si>
  <si>
    <t>PreTax_Abnormals</t>
  </si>
  <si>
    <t>TXandOther_Tax</t>
  </si>
  <si>
    <t>TXandOther_OEI</t>
  </si>
  <si>
    <t>TXandOther_Pref</t>
  </si>
  <si>
    <t>TXandOther_BDDAdjustment</t>
  </si>
  <si>
    <t>TXandOther_Abnormals</t>
  </si>
  <si>
    <t>Expenses capitalised during the period</t>
  </si>
  <si>
    <t>Amortisation expense</t>
  </si>
  <si>
    <t>ASS_NIMTotal</t>
  </si>
  <si>
    <t>ASS_OILendingFeesAvNHL</t>
  </si>
  <si>
    <t>ASS_OINonLendingFeesAvTotalDeposits</t>
  </si>
  <si>
    <t>ASS_OITradingIncomeAvNHL</t>
  </si>
  <si>
    <t>ASS_OIWealthFeesAvFUMA</t>
  </si>
  <si>
    <t>ASS_OILifeFeesAvLife</t>
  </si>
  <si>
    <t>ASS_OIOtherIncomeAvTotalFootings</t>
  </si>
  <si>
    <t>ASS_AvAUDUSD</t>
  </si>
  <si>
    <t>ASS_6MoSystemAUHCg</t>
  </si>
  <si>
    <t>ASS_6MoSystemAUBCg</t>
  </si>
  <si>
    <t>1. Multiple based valuation</t>
  </si>
  <si>
    <t xml:space="preserve">12-month </t>
  </si>
  <si>
    <t>Discount</t>
  </si>
  <si>
    <t>ASS_AQBDDAvTotalLoans</t>
  </si>
  <si>
    <t>ASS_AQBDDAvNHL</t>
  </si>
  <si>
    <t>ASS_AQIP</t>
  </si>
  <si>
    <t>ASS_AQCP</t>
  </si>
  <si>
    <t>Non-recurring income</t>
  </si>
  <si>
    <t>Company reported statutory non interest income</t>
  </si>
  <si>
    <t>Distributed cash flow yield (gross)</t>
  </si>
  <si>
    <t>Free cash flow yield (net)</t>
  </si>
  <si>
    <t>Subordinated debt</t>
  </si>
  <si>
    <t>Deductions</t>
  </si>
  <si>
    <t>Total capital deductions</t>
  </si>
  <si>
    <t>Total Capital</t>
  </si>
  <si>
    <t>Risk weighted assets</t>
  </si>
  <si>
    <t>Profitability</t>
  </si>
  <si>
    <t>Return on equity (reported)</t>
  </si>
  <si>
    <t>3. Valuation summary</t>
  </si>
  <si>
    <t>Discounted cashflow</t>
  </si>
  <si>
    <t>Average</t>
  </si>
  <si>
    <t>Premium / (discount) to current price</t>
  </si>
  <si>
    <t>ASS_TXCorpRate</t>
  </si>
  <si>
    <t>Price / underlying earnings</t>
  </si>
  <si>
    <t>Price / net tangible assets</t>
  </si>
  <si>
    <t>2. Discounted cashflow valuation</t>
  </si>
  <si>
    <t>12-month forward ratio</t>
  </si>
  <si>
    <t>PEBS_OOBusinessLoans</t>
  </si>
  <si>
    <t>PEBS_AUBusinessLoansSME</t>
  </si>
  <si>
    <t>PEBS_AUBusinessLoansInstitutional</t>
  </si>
  <si>
    <t>PEBS_AUPersonalLoans</t>
  </si>
  <si>
    <t>PEBS_AUTotalLoans</t>
  </si>
  <si>
    <t>CET1_T2SubDebt</t>
  </si>
  <si>
    <t>CET1_T2Dedn</t>
  </si>
  <si>
    <t>CET1_T2Other</t>
  </si>
  <si>
    <t>CET1_T2Total</t>
  </si>
  <si>
    <t>CET1_TCDedn</t>
  </si>
  <si>
    <t>CET1_TCTotal</t>
  </si>
  <si>
    <t>CET1_RWAHousing</t>
  </si>
  <si>
    <t>DistCF_ShareIssuance</t>
  </si>
  <si>
    <t>DistCF_ValueofFranking</t>
  </si>
  <si>
    <t>DistCF_TotalandFranking</t>
  </si>
  <si>
    <t>DCF</t>
  </si>
  <si>
    <t>DCF_DistCFTotal</t>
  </si>
  <si>
    <t>DCF_DistCFTotalTotal</t>
  </si>
  <si>
    <t>DCF_DistCFValueofFranking</t>
  </si>
  <si>
    <t>DCF_DistCFValueofFrankingTerminal</t>
  </si>
  <si>
    <t>DCF_DistCFValueofFrankingTotal</t>
  </si>
  <si>
    <t>DCF_EquityValue</t>
  </si>
  <si>
    <t>DCF_SOIEOP</t>
  </si>
  <si>
    <t>DCF_Total</t>
  </si>
  <si>
    <t>AD</t>
  </si>
  <si>
    <t>AD_PEAssetsTotal</t>
  </si>
  <si>
    <t>AD_PEAssetsIntangible</t>
  </si>
  <si>
    <t>AD_PEAssetsOtherBank</t>
  </si>
  <si>
    <t>AD_PEAssetsTrading</t>
  </si>
  <si>
    <t>Payout ratio</t>
  </si>
  <si>
    <t>Credit risk weighted assets on housing loans</t>
  </si>
  <si>
    <t>ASS_TXAustralia</t>
  </si>
  <si>
    <t>Proportion of tax paid in Australia</t>
  </si>
  <si>
    <t>ASS_TXFrankingValued</t>
  </si>
  <si>
    <t>ASS_CapitalDPS</t>
  </si>
  <si>
    <t>ASS_CapitalDPSPayout</t>
  </si>
  <si>
    <t>ASS_CapitalDPSFranking</t>
  </si>
  <si>
    <t>Franking balance</t>
  </si>
  <si>
    <t>OK</t>
  </si>
  <si>
    <t>+ Prudential adjustments</t>
  </si>
  <si>
    <t>Distributed cash flow and value of franking credits</t>
  </si>
  <si>
    <t>Capitalised expenses / total expenses + capitalised expenses</t>
  </si>
  <si>
    <t>ASS_OECapitalised</t>
  </si>
  <si>
    <t>ASS_OEAmortisation</t>
  </si>
  <si>
    <t>FY93A</t>
  </si>
  <si>
    <t>FY94A</t>
  </si>
  <si>
    <t>Preference dividends</t>
  </si>
  <si>
    <t>Dilutive adjustments</t>
  </si>
  <si>
    <t>Life insurance income</t>
  </si>
  <si>
    <t>Capital deduction for goodwill</t>
  </si>
  <si>
    <t>Other capital requirements</t>
  </si>
  <si>
    <t>Free cash flow</t>
  </si>
  <si>
    <t>Release of surplus capital</t>
  </si>
  <si>
    <t>FY03A</t>
  </si>
  <si>
    <t>FY04A</t>
  </si>
  <si>
    <t>FY05A</t>
  </si>
  <si>
    <t>FY06A</t>
  </si>
  <si>
    <t>FY07A</t>
  </si>
  <si>
    <t>FY08A</t>
  </si>
  <si>
    <t>FY09A</t>
  </si>
  <si>
    <t>FY10A</t>
  </si>
  <si>
    <t>FY11A</t>
  </si>
  <si>
    <t>FY12A</t>
  </si>
  <si>
    <t>Actual (A) / forecast (F)</t>
  </si>
  <si>
    <t>A</t>
  </si>
  <si>
    <t>Ok</t>
  </si>
  <si>
    <t>ASS_PEAUDGBP</t>
  </si>
  <si>
    <t>ASS_PEAUDUSD</t>
  </si>
  <si>
    <t>Life insurance earnings on shareholder funds</t>
  </si>
  <si>
    <t>&lt;insert more as required&gt;</t>
  </si>
  <si>
    <t>Cash and marketable securities</t>
  </si>
  <si>
    <t>Long term investments</t>
  </si>
  <si>
    <t>OI_EarningsonSHF</t>
  </si>
  <si>
    <t>OI_Add1</t>
  </si>
  <si>
    <t>OI_OtherIncome</t>
  </si>
  <si>
    <t>OI_Recurring</t>
  </si>
  <si>
    <t>OI_NonRecurring</t>
  </si>
  <si>
    <t>OI_NIIAdjustment</t>
  </si>
  <si>
    <t>TR</t>
  </si>
  <si>
    <t>AD_ProfitabilityOItoTR</t>
  </si>
  <si>
    <t>AD_ProfitabilityOEtoTR</t>
  </si>
  <si>
    <t>AD_ProfitabilityTRvsOEGrowth</t>
  </si>
  <si>
    <t>AD_ProfitabilityAdd1</t>
  </si>
  <si>
    <t>AD_AQTotalNCOAvNHL</t>
  </si>
  <si>
    <t>AD_AQTotalNCOAvTotalLoans</t>
  </si>
  <si>
    <t>AD_AQBDDAvNHL</t>
  </si>
  <si>
    <t>AD_AQBDDAvTotalLoans</t>
  </si>
  <si>
    <t>AD_AQIANHL</t>
  </si>
  <si>
    <t>AD_AQPLTotalLoans</t>
  </si>
  <si>
    <t>AD_AQPLRWA</t>
  </si>
  <si>
    <t>AD_AQIPIA</t>
  </si>
  <si>
    <t>AD_AQCPNHL</t>
  </si>
  <si>
    <t>AD_AQCPCRWA</t>
  </si>
  <si>
    <t>AD_AQCPRWA</t>
  </si>
  <si>
    <t>AD_AQTPNHL</t>
  </si>
  <si>
    <t>AD_AQTPCRWA</t>
  </si>
  <si>
    <t>AD_AQTPRWA</t>
  </si>
  <si>
    <t>ASS_NIMNZTotalDeposits</t>
  </si>
  <si>
    <t>ASS_NIMWholesaleFunding</t>
  </si>
  <si>
    <t>CE_NonRecurring</t>
  </si>
  <si>
    <t>CE_AIFRSAdjustment</t>
  </si>
  <si>
    <t>CE_TotalCoyStat</t>
  </si>
  <si>
    <t>CE_MoveinFCTR</t>
  </si>
  <si>
    <t>CE_MoveinAccounting</t>
  </si>
  <si>
    <t>CE_OtherAdjustment</t>
  </si>
  <si>
    <t>CE_TotalEquEarnings</t>
  </si>
  <si>
    <t>OrdEqu</t>
  </si>
  <si>
    <t>OrdEqu_BOP</t>
  </si>
  <si>
    <t>ASS_OEFTE</t>
  </si>
  <si>
    <t>ASS_OEStaffCostsAvFTE</t>
  </si>
  <si>
    <t>ASS_6MoSystemAUPCg</t>
  </si>
  <si>
    <t>ASS_6MoSystemNZHCg</t>
  </si>
  <si>
    <t>ASS_6MoSystemNZNHCg</t>
  </si>
  <si>
    <t>ASS_6MoSystemOOHCg</t>
  </si>
  <si>
    <t>ASS_6MoSystemOONHCg</t>
  </si>
  <si>
    <t>ASS_6MoASX200AIg</t>
  </si>
  <si>
    <t>ASS_6MoFIg</t>
  </si>
  <si>
    <t>ASS_6MoCASHg</t>
  </si>
  <si>
    <t>ASS_6MoBankAUHCg</t>
  </si>
  <si>
    <t>ASS_BankAULDR</t>
  </si>
  <si>
    <t>ASS_BankNZLDR</t>
  </si>
  <si>
    <t>ASS_BankOOLDR</t>
  </si>
  <si>
    <t>Net interest income adjustments</t>
  </si>
  <si>
    <t>forward EPS</t>
  </si>
  <si>
    <t>Valuation</t>
  </si>
  <si>
    <t>Comment</t>
  </si>
  <si>
    <t>Price / earnings</t>
  </si>
  <si>
    <t>Net write-offs / total loans</t>
  </si>
  <si>
    <t>Tier 2 hybrids</t>
  </si>
  <si>
    <t>ASS_OECapitalisedOther</t>
  </si>
  <si>
    <t>ASS_OECapitalisedTotalEOP</t>
  </si>
  <si>
    <t>ASS_CapitalRWHousing</t>
  </si>
  <si>
    <t>ASS_6MoLifeg</t>
  </si>
  <si>
    <t>ASS_6MoFUMAg</t>
  </si>
  <si>
    <t>ASS_NIMAUHousing</t>
  </si>
  <si>
    <t>ASS_NIMAUSME</t>
  </si>
  <si>
    <t>ASS_NIMAUInsto</t>
  </si>
  <si>
    <t>ASS_NIMAUPersonal</t>
  </si>
  <si>
    <t>ASS_NIMAUTotalLoans</t>
  </si>
  <si>
    <t>ASS_NIMAUCoreDeposits</t>
  </si>
  <si>
    <t>ASS_NIMAUTermDeposits</t>
  </si>
  <si>
    <t>ASS_NIMAUTotalDeposits</t>
  </si>
  <si>
    <t>ASS_NIMNZTotalLoans</t>
  </si>
  <si>
    <t>ASS_AQTP</t>
  </si>
  <si>
    <t>ASS_AQIA</t>
  </si>
  <si>
    <t>ASS_AQ90DPD</t>
  </si>
  <si>
    <t>ASS_CapitalRWNonHousing</t>
  </si>
  <si>
    <t>ASS_CapitalRWNonLending</t>
  </si>
  <si>
    <t>ASS_CapitalNormalisedRWGrowth</t>
  </si>
  <si>
    <t>ASS_CapitalCapitalRatio</t>
  </si>
  <si>
    <t>ASS_CapitalReportedRatio</t>
  </si>
  <si>
    <t>ASS_CapitalTargetRatio</t>
  </si>
  <si>
    <t>ASS_CapitalLINTAtoInvestments</t>
  </si>
  <si>
    <t>PEBS</t>
  </si>
  <si>
    <t>PEBS_AUHousingLoans</t>
  </si>
  <si>
    <t>AD_ProfitabilityRORWACash</t>
  </si>
  <si>
    <t>AD_ProfitabilityROACash</t>
  </si>
  <si>
    <t>AD_ProfitabilityROTACash</t>
  </si>
  <si>
    <t>CET1_RWANonHousing</t>
  </si>
  <si>
    <t>CET1_RWANonLending</t>
  </si>
  <si>
    <t>CET1_RWATotal</t>
  </si>
  <si>
    <t>DistCF_FCF</t>
  </si>
  <si>
    <t>DistCF_Total</t>
  </si>
  <si>
    <t>AD_PEAssetsAccuredInterest</t>
  </si>
  <si>
    <t>AD_PEAssetsPPE</t>
  </si>
  <si>
    <t>Tax rate foregone (GS basis)</t>
  </si>
  <si>
    <t>ASS_TXBankRateCoy</t>
  </si>
  <si>
    <t>Australian business loans</t>
  </si>
  <si>
    <t>AD_PEAssetsOtherNonIE</t>
  </si>
  <si>
    <t>AD_PEAssetsCash</t>
  </si>
  <si>
    <t>AD_PEAssetsOther</t>
  </si>
  <si>
    <t>AD_PELiabilitiesOtherBank</t>
  </si>
  <si>
    <t>ASS_CapitalDPSFrankingRate</t>
  </si>
  <si>
    <t>Franking rate</t>
  </si>
  <si>
    <t>= Fundamental tier 1 capital</t>
  </si>
  <si>
    <t>+ Non-innovative tier 1 capital</t>
  </si>
  <si>
    <t>+ Innovative tier 1 capital</t>
  </si>
  <si>
    <t>Loans to banks</t>
  </si>
  <si>
    <t>Accrued interest</t>
  </si>
  <si>
    <t>Property, plant &amp; equipment</t>
  </si>
  <si>
    <t>FY95A</t>
  </si>
  <si>
    <t>FY96A</t>
  </si>
  <si>
    <t>FY97A</t>
  </si>
  <si>
    <t>FY98A</t>
  </si>
  <si>
    <t>FY99A</t>
  </si>
  <si>
    <t>FY01A</t>
  </si>
  <si>
    <t>FY02A</t>
  </si>
  <si>
    <t>AvBS_GroupNonLendingEarningAssets</t>
  </si>
  <si>
    <t>AvBS_GroupTotalEarningAssets</t>
  </si>
  <si>
    <t>AvBS_GroupWholesaleFunding</t>
  </si>
  <si>
    <t>AvBS_GroupFreeFunds</t>
  </si>
  <si>
    <t>AvBS_GroupTotalEarningLiabilities</t>
  </si>
  <si>
    <t>NIM</t>
  </si>
  <si>
    <t>NIM_InterestIncome</t>
  </si>
  <si>
    <t>NIM_InterestExpense</t>
  </si>
  <si>
    <t>NIM_Total</t>
  </si>
  <si>
    <t>NII_OIAdjustment</t>
  </si>
  <si>
    <t>NII_OEAdjustment</t>
  </si>
  <si>
    <t>NII_BDDAdjustment</t>
  </si>
  <si>
    <t>Other non-interest earning assets</t>
  </si>
  <si>
    <t>CET1_Total</t>
  </si>
  <si>
    <t>CET1_Surplus</t>
  </si>
  <si>
    <t>CET1_T2GP</t>
  </si>
  <si>
    <t>CET1_T2Residual</t>
  </si>
  <si>
    <t>CET1_T2Hybrid</t>
  </si>
  <si>
    <t>AD_PELiabilitiesOtherProvisions</t>
  </si>
  <si>
    <t>AD_PELiabilitiesOtherNonIB</t>
  </si>
  <si>
    <t>AD_PEEquOtherReserves</t>
  </si>
  <si>
    <t>AD_PEEquAccRE</t>
  </si>
  <si>
    <t>AD_AvAssetsTangible</t>
  </si>
  <si>
    <t>AD_AvLiabilitiesNonIB</t>
  </si>
  <si>
    <t>AD_AvLiabilitiesTotal</t>
  </si>
  <si>
    <t>AD_AvOrdEquTotal</t>
  </si>
  <si>
    <t>AD_AvOrdEquTangible</t>
  </si>
  <si>
    <t>AD_AvRWA</t>
  </si>
  <si>
    <t>AD_PSEPSReportedBasic</t>
  </si>
  <si>
    <t>AD_PSEPSReportedDiluted</t>
  </si>
  <si>
    <t>AD_PSEPSCashBasic</t>
  </si>
  <si>
    <t>AD_PSEPSCashBasicGrowth</t>
  </si>
  <si>
    <t>AD_PSUEPSCashBasic</t>
  </si>
  <si>
    <t>AD_PSDPSGross</t>
  </si>
  <si>
    <t>AD_PSDistCFTotal</t>
  </si>
  <si>
    <t>AD_CapitalCET1</t>
  </si>
  <si>
    <t>AD_CapitalT1</t>
  </si>
  <si>
    <t>AD_CapitalTC</t>
  </si>
  <si>
    <t>CE_TXandOtherAdjustment</t>
  </si>
  <si>
    <t>CE_Pref</t>
  </si>
  <si>
    <t>AD_PSDistCFTotalandFranking</t>
  </si>
  <si>
    <t>AD_PSFCFTotal</t>
  </si>
  <si>
    <t>AD_PSFCFTotalandFranking</t>
  </si>
  <si>
    <t>AD_PSBPS</t>
  </si>
  <si>
    <t>AD_PSNTAPS</t>
  </si>
  <si>
    <t>AD_PSAdd1</t>
  </si>
  <si>
    <t>AD_RatioEPSReportedBasic</t>
  </si>
  <si>
    <t>AD_RatioEPSReportedDiluted</t>
  </si>
  <si>
    <t>AD_RatioEPSCashBasic</t>
  </si>
  <si>
    <t>AD_RatioEPSCashDiluted</t>
  </si>
  <si>
    <t>AD_RatioUEPSCashBasic</t>
  </si>
  <si>
    <t>AD_RatioDPS</t>
  </si>
  <si>
    <t>AD_RatioDPSGross</t>
  </si>
  <si>
    <t>AD_RatioBPS</t>
  </si>
  <si>
    <t>AD_RatioNTAPS</t>
  </si>
  <si>
    <t>AD_RatioAdd1</t>
  </si>
  <si>
    <t>OrdEqu_TotalEquEarnings</t>
  </si>
  <si>
    <t>Staff costs / average FTEs</t>
  </si>
  <si>
    <t>ASS_OEFixed</t>
  </si>
  <si>
    <t>ASS_OEInflationg</t>
  </si>
  <si>
    <t>OrdEqu_TotalEquity</t>
  </si>
  <si>
    <t>CE</t>
  </si>
  <si>
    <t>AD_PSDPS</t>
  </si>
  <si>
    <t>ASS</t>
  </si>
  <si>
    <t>ASS_OECapitalisedtoTotal</t>
  </si>
  <si>
    <t>ASS_OEAmortisationPeriod</t>
  </si>
  <si>
    <t>ASS_OECapitalisedTotalBOP</t>
  </si>
  <si>
    <t>ASS_OECapitalisedWritedown</t>
  </si>
  <si>
    <t>NII_TXandOtherAdjustment</t>
  </si>
  <si>
    <t>NII_CashAdjustment</t>
  </si>
  <si>
    <t>NII_TotalCoyCash</t>
  </si>
  <si>
    <t>NII_NonCashAdjustment</t>
  </si>
  <si>
    <t>NII_TotalCoyStat</t>
  </si>
  <si>
    <t>OI</t>
  </si>
  <si>
    <t>OI_LendingFees</t>
  </si>
  <si>
    <t>OI_NonLendingFees</t>
  </si>
  <si>
    <t>OI_TradingIncome</t>
  </si>
  <si>
    <t>OI_WealthFees</t>
  </si>
  <si>
    <t>OI_LifeFees</t>
  </si>
  <si>
    <t>AD_ProfitabilityROEReported</t>
  </si>
  <si>
    <t>AD_ProfitabilityROECash</t>
  </si>
  <si>
    <t>AD_ProfitabilityROTECash</t>
  </si>
  <si>
    <t>OrdEqu_OrdDiv</t>
  </si>
  <si>
    <t>OrdEqu_PrefDiv</t>
  </si>
  <si>
    <t>OrdEqu_SharesIssued</t>
  </si>
  <si>
    <t>OrdEqu_EOP</t>
  </si>
  <si>
    <t>OrdEqu_Pref</t>
  </si>
  <si>
    <t>OrdEqu_OEI</t>
  </si>
  <si>
    <t>OrdEqu_SOIEOP</t>
  </si>
  <si>
    <t>OrdEqu_AvSOIBasic</t>
  </si>
  <si>
    <t>AD_ProfitabilityAmortisationPeriod</t>
  </si>
  <si>
    <t>AD_CapitalDPSPayout</t>
  </si>
  <si>
    <t>AD_CapitalDistCashPayout</t>
  </si>
  <si>
    <t>AD_CapitalIRCG</t>
  </si>
  <si>
    <t>AD_CapitalAdd1</t>
  </si>
  <si>
    <t>Annualiser</t>
  </si>
  <si>
    <t>OrdEqu_AvSOIDiluted</t>
  </si>
  <si>
    <t>OrdEqu_DilutionAdj</t>
  </si>
  <si>
    <t>CET1</t>
  </si>
  <si>
    <t>CET1_TotalEquity</t>
  </si>
  <si>
    <t>CET1_PAOrdDiv</t>
  </si>
  <si>
    <t>CET1_PADRP</t>
  </si>
  <si>
    <t>CET1_PAPrefReclass</t>
  </si>
  <si>
    <t>CET1_PAWMDecons</t>
  </si>
  <si>
    <t>CET1_PAAdd1</t>
  </si>
  <si>
    <t>CET1_PAOther</t>
  </si>
  <si>
    <t>CET1_PATotal</t>
  </si>
  <si>
    <t>CET1_T1Fund</t>
  </si>
  <si>
    <t>CET1_T1NonInn</t>
  </si>
  <si>
    <t>CET1_T1Inn</t>
  </si>
  <si>
    <t>CET1_T1Residual</t>
  </si>
  <si>
    <t>CET1_T1Gross</t>
  </si>
  <si>
    <t>CET1_DednGoodwill</t>
  </si>
  <si>
    <t>CET1_DednCapitalisedTotalEOP</t>
  </si>
  <si>
    <t>CET1_DednOtherCapitalisedTotal</t>
  </si>
  <si>
    <t>CET1_DednDTA</t>
  </si>
  <si>
    <t>CET1_DednCaptive</t>
  </si>
  <si>
    <t>CET1_DednNonADI</t>
  </si>
  <si>
    <t>CET1_DednADI</t>
  </si>
  <si>
    <t>CET1_DednEL</t>
  </si>
  <si>
    <t>CET1_DednAdd1</t>
  </si>
  <si>
    <t>CET1_Dedn100Other</t>
  </si>
  <si>
    <t>CET1_Dedn50Other</t>
  </si>
  <si>
    <t>CET1_DednTotal</t>
  </si>
  <si>
    <t>CET1_T1Total</t>
  </si>
  <si>
    <t>CET1_NonQualPref</t>
  </si>
  <si>
    <t>CET1_ELC</t>
  </si>
  <si>
    <t>AD_PELiabilitiesOtherIB</t>
  </si>
  <si>
    <t>ASS_CapitalDRPParticipation</t>
  </si>
  <si>
    <t>ASS_CapitalShareIssuance</t>
  </si>
  <si>
    <t>ASS_CapitalPESharePrice</t>
  </si>
  <si>
    <t>AD_PEAdd10</t>
  </si>
  <si>
    <t>AD_AvAssetsNonIE</t>
  </si>
  <si>
    <t>AD_AvAssetsTotal</t>
  </si>
  <si>
    <t>PEBS_GroupTotalDeposits</t>
  </si>
  <si>
    <t>PEBS_GroupCertificateDeposits</t>
  </si>
  <si>
    <t>PEBS_LifeInvestments</t>
  </si>
  <si>
    <t>PEBS_FUM</t>
  </si>
  <si>
    <t>PEBS_FUMA</t>
  </si>
  <si>
    <t>AvBS</t>
  </si>
  <si>
    <t>AvBS_NZNonHousingLoans</t>
  </si>
  <si>
    <t>AvBS_OONonHousingLoans</t>
  </si>
  <si>
    <t>Australian personal loans</t>
  </si>
  <si>
    <t>Total Australian loans</t>
  </si>
  <si>
    <t>Total New Zealand loans</t>
  </si>
  <si>
    <t>Total Other Offshore loans</t>
  </si>
  <si>
    <t>Australian housing loans</t>
  </si>
  <si>
    <t>Free funds / transfer price</t>
  </si>
  <si>
    <t>Non-cash adjustments</t>
  </si>
  <si>
    <t>AD_PEAssetsDerivative</t>
  </si>
  <si>
    <t>Derivative financial instruments</t>
  </si>
  <si>
    <t>AD_PELiabilitiesNonCustomerDeposits</t>
  </si>
  <si>
    <t>Non-customer deposits</t>
  </si>
  <si>
    <t>AD_CapitalDPSFranking</t>
  </si>
  <si>
    <t>Buy</t>
  </si>
  <si>
    <t>Sell</t>
  </si>
  <si>
    <t>GS recommendation</t>
  </si>
  <si>
    <t>KEY DATA</t>
  </si>
  <si>
    <t>Key data</t>
  </si>
  <si>
    <t>NPAT preNRIs (A$mn)</t>
  </si>
  <si>
    <t>EPS adj (A¢)</t>
  </si>
  <si>
    <t>EPS revision (%)</t>
  </si>
  <si>
    <t>EPS growth (%)</t>
  </si>
  <si>
    <t>PER (X)</t>
  </si>
  <si>
    <t>DPS (A¢)</t>
  </si>
  <si>
    <t>Dividend yield (%)</t>
  </si>
  <si>
    <t>Frank/Imput (%)</t>
  </si>
  <si>
    <t>P/BV (X)</t>
  </si>
  <si>
    <t>Avg shares (fd) (mn)</t>
  </si>
  <si>
    <t>Debt/equity (%)</t>
  </si>
  <si>
    <t>-</t>
  </si>
  <si>
    <t>SUMMARY PROFIT AND LOSS</t>
  </si>
  <si>
    <t>Summary profit and loss</t>
  </si>
  <si>
    <t>Net interest margin (%)</t>
  </si>
  <si>
    <t>SUMMARY BALANCE SHEET</t>
  </si>
  <si>
    <t>Summary balance sheet</t>
  </si>
  <si>
    <t>Total Australian loan growth (%)</t>
  </si>
  <si>
    <t>Total New Zealand loan growth (%)</t>
  </si>
  <si>
    <t>Total Other Offshore loan growth (%)</t>
  </si>
  <si>
    <t>Total loans and acceptances</t>
  </si>
  <si>
    <t>Total loans and acceptances growth (%)</t>
  </si>
  <si>
    <t>RATIO ANALYSIS</t>
  </si>
  <si>
    <t>Ratio analysis</t>
  </si>
  <si>
    <t>Franking balance (A$m)</t>
  </si>
  <si>
    <t>VALUATION</t>
  </si>
  <si>
    <t>Historic/implied</t>
  </si>
  <si>
    <t>Value of</t>
  </si>
  <si>
    <t>multiple</t>
  </si>
  <si>
    <t>factor</t>
  </si>
  <si>
    <t>franking</t>
  </si>
  <si>
    <t>Value of cash flows per share</t>
  </si>
  <si>
    <t>Interest earning assets</t>
  </si>
  <si>
    <t>Transitional tier 1 capital relief</t>
  </si>
  <si>
    <t>Return on equity (cash) - optimised</t>
  </si>
  <si>
    <t>Return on tangible equity (cash) - optimised</t>
  </si>
  <si>
    <t>AD_ProfitabilityROTECashOptimised</t>
  </si>
  <si>
    <t>AD_ProfitabilityROECashOptimised</t>
  </si>
  <si>
    <t>ASS_PEAUDNZD</t>
  </si>
  <si>
    <t>ASS_PEAUDEUR</t>
  </si>
  <si>
    <t>Valn_AsAtDate</t>
  </si>
  <si>
    <t>Valn_TerminalGrowth</t>
  </si>
  <si>
    <t>Valn_RiskFreeRate</t>
  </si>
  <si>
    <t>Valn_MRP</t>
  </si>
  <si>
    <t>Valn_Beta</t>
  </si>
  <si>
    <t>au_bbsw3m_avg_6m</t>
  </si>
  <si>
    <t>Actual</t>
  </si>
  <si>
    <t>Estimate</t>
  </si>
  <si>
    <t>Reference data</t>
  </si>
  <si>
    <t>Ticker</t>
  </si>
  <si>
    <t>Ticker_1</t>
  </si>
  <si>
    <t>Company name</t>
  </si>
  <si>
    <t>Interim type</t>
  </si>
  <si>
    <t>Semiannual</t>
  </si>
  <si>
    <t>Reporting currency</t>
  </si>
  <si>
    <t>AUD</t>
  </si>
  <si>
    <t>Publishing currency</t>
  </si>
  <si>
    <t>Pricing currency</t>
  </si>
  <si>
    <t>Pricing currency_1</t>
  </si>
  <si>
    <t>General Information</t>
  </si>
  <si>
    <t>Australia/NZ Investment List</t>
  </si>
  <si>
    <t>ANZ_LIST</t>
  </si>
  <si>
    <t>Australia/NZ Conviction List</t>
  </si>
  <si>
    <t>ANZ_CONVICTION</t>
  </si>
  <si>
    <t>Legal rating</t>
  </si>
  <si>
    <t>LEGAL_RATING</t>
  </si>
  <si>
    <t>Target price</t>
  </si>
  <si>
    <t>TARGET_PRICE</t>
  </si>
  <si>
    <t>Target price period</t>
  </si>
  <si>
    <t>TP_PERIOD</t>
  </si>
  <si>
    <t>12 months</t>
  </si>
  <si>
    <t>Current shares outstanding (mn)</t>
  </si>
  <si>
    <t>NUM_SH1</t>
  </si>
  <si>
    <t>Free float</t>
  </si>
  <si>
    <t>FREE_FLOAT</t>
  </si>
  <si>
    <t>Foreign ownership</t>
  </si>
  <si>
    <t>FOREIGN_HOLDNG</t>
  </si>
  <si>
    <t>Catalyst 1 date</t>
  </si>
  <si>
    <t>CATALYST1_DATE</t>
  </si>
  <si>
    <t>Catalyst 1 description</t>
  </si>
  <si>
    <t>CATALYST1_EVENT</t>
  </si>
  <si>
    <t>Catalyst 2 date</t>
  </si>
  <si>
    <t>CATALYST2_DATE</t>
  </si>
  <si>
    <t>Catalyst 2 description</t>
  </si>
  <si>
    <t>CATALYST2_EVENT</t>
  </si>
  <si>
    <t>Catalyst 3 date</t>
  </si>
  <si>
    <t>CATALYST3_DATE</t>
  </si>
  <si>
    <t>Catalyst 3 description</t>
  </si>
  <si>
    <t>CATALYST3_EVENT</t>
  </si>
  <si>
    <t>Catalyst 4 date</t>
  </si>
  <si>
    <t>CATALYST4_DATE</t>
  </si>
  <si>
    <t>Catalyst 4 description</t>
  </si>
  <si>
    <t>CATALYST4_EVENT</t>
  </si>
  <si>
    <t>Catalyst 5 date</t>
  </si>
  <si>
    <t>CATALYST5_DATE</t>
  </si>
  <si>
    <t>Catalyst 5 description</t>
  </si>
  <si>
    <t>CATALYST5_EVENT</t>
  </si>
  <si>
    <t>Target price multiple</t>
  </si>
  <si>
    <t>PRI_TARG_MULT</t>
  </si>
  <si>
    <t>Target price methodology</t>
  </si>
  <si>
    <t>PRI_TARG_METH</t>
  </si>
  <si>
    <t>Publishing Items</t>
  </si>
  <si>
    <t>Book value per share, BVPS (Pub)</t>
  </si>
  <si>
    <t>BVPS_PUB</t>
  </si>
  <si>
    <t>DPS, dividend per share (Pub)</t>
  </si>
  <si>
    <t>DPS_PUB</t>
  </si>
  <si>
    <t>EBITDA (Pub)</t>
  </si>
  <si>
    <t>EBITDA_PUB</t>
  </si>
  <si>
    <t>EPS (Pub)</t>
  </si>
  <si>
    <t>EPS_PUB</t>
  </si>
  <si>
    <t>EV adjustment (Pub)</t>
  </si>
  <si>
    <t>EV_ADJ_PUB</t>
  </si>
  <si>
    <t>Net debt (Pub)</t>
  </si>
  <si>
    <t>NET_DEBT_PUB</t>
  </si>
  <si>
    <t>Net income (Pub)</t>
  </si>
  <si>
    <t>NI_PUB</t>
  </si>
  <si>
    <t>EBIT, operating profit (Pub)</t>
  </si>
  <si>
    <t>EBIT_PUB</t>
  </si>
  <si>
    <t>Pre-tax profit (Pub)</t>
  </si>
  <si>
    <t>PTP_PUB</t>
  </si>
  <si>
    <t>Sales, revenue (Pub)</t>
  </si>
  <si>
    <t>REVS_PUB</t>
  </si>
  <si>
    <t>Total shareholders' equity (Pub)</t>
  </si>
  <si>
    <t>EQ_PUB</t>
  </si>
  <si>
    <t>EPS (consensus)</t>
  </si>
  <si>
    <t>EPS_CONS_PUB</t>
  </si>
  <si>
    <t>ANZ Publishing Items</t>
  </si>
  <si>
    <t>Risk to Earnings (+,0,-)</t>
  </si>
  <si>
    <t>RISK_TO_EARNINGS</t>
  </si>
  <si>
    <t>DCF_CASH_FLOW</t>
  </si>
  <si>
    <t>Cost of equity</t>
  </si>
  <si>
    <t>COST_OF_EQUITY_DCF</t>
  </si>
  <si>
    <t>Risk Margin of Debt</t>
  </si>
  <si>
    <t>DEBT_RISK_MARGIN_DCF</t>
  </si>
  <si>
    <t>Perpetuity Growth Rate</t>
  </si>
  <si>
    <t>PERPETUITY_GROWTH_RATE_DCF</t>
  </si>
  <si>
    <t>Discount Factor</t>
  </si>
  <si>
    <t>DISCOUNT_FACTOR_DCF</t>
  </si>
  <si>
    <t>Present Value of Cash Flow</t>
  </si>
  <si>
    <t>PRESENT_VALUE_OF_CASH_FLOW_DCF</t>
  </si>
  <si>
    <t>Cumulative Present Value of Cash Flows</t>
  </si>
  <si>
    <t>CUM_PRESENT_VAL_CASH_FLOWS_DCF</t>
  </si>
  <si>
    <t>Terminal Year</t>
  </si>
  <si>
    <t>TERMINAL_YEAR_DCF</t>
  </si>
  <si>
    <t>Market Value of Investments</t>
  </si>
  <si>
    <t>MARKET_VALUE_OF_INVESTMENTS_DCF</t>
  </si>
  <si>
    <t>Net debt/(net cash) including options in the money</t>
  </si>
  <si>
    <t>NET_DEBT_NET_CASH_DCF</t>
  </si>
  <si>
    <t>Equity Value</t>
  </si>
  <si>
    <t>EQUITY_VALUE_DCF</t>
  </si>
  <si>
    <t>Value of Imputation Credits per Share</t>
  </si>
  <si>
    <t>IMP_CREDITS_PER_SHARE_DCF</t>
  </si>
  <si>
    <t>Base case valuation</t>
  </si>
  <si>
    <t>BASE_CASE_VAL_DCF</t>
  </si>
  <si>
    <t>Risk adjusted option value</t>
  </si>
  <si>
    <t>RISK_ADJ_OPTION_VALUE_DCF</t>
  </si>
  <si>
    <t>Intrinsic per Share Value (pre Imputation Credits)</t>
  </si>
  <si>
    <t>INTRINSIC_PER_SHARE_VALUE_DCF</t>
  </si>
  <si>
    <t>Capital at End of Year</t>
  </si>
  <si>
    <t>YEAR_END_CAPITAL_EVA</t>
  </si>
  <si>
    <t>Net Profit - Reported</t>
  </si>
  <si>
    <t>NI_REPT_PUB</t>
  </si>
  <si>
    <t>NTA Per Share</t>
  </si>
  <si>
    <t>NTA_PER_SHARE</t>
  </si>
  <si>
    <t>Franking (Pub)</t>
  </si>
  <si>
    <t>FRANKING_ANZPUB</t>
  </si>
  <si>
    <t>Debt to equity</t>
  </si>
  <si>
    <t>DEBT_EQUITY</t>
  </si>
  <si>
    <t>Income Statement</t>
  </si>
  <si>
    <t>INT_INC</t>
  </si>
  <si>
    <t>INT_EXP</t>
  </si>
  <si>
    <t>B_PL_NETINTINC</t>
  </si>
  <si>
    <t>B_PL_NETINTINC = INT_INC + INT_EXP</t>
  </si>
  <si>
    <t>Dividend income</t>
  </si>
  <si>
    <t>DIVID_INC</t>
  </si>
  <si>
    <t>Contribution from life assurance</t>
  </si>
  <si>
    <t>LIFE_INC</t>
  </si>
  <si>
    <t>General insurance income</t>
  </si>
  <si>
    <t>GEN_INS_INC</t>
  </si>
  <si>
    <t>Trading profit</t>
  </si>
  <si>
    <t>FIN_TRANS_INC</t>
  </si>
  <si>
    <t>Net fees</t>
  </si>
  <si>
    <t>NET_FEE</t>
  </si>
  <si>
    <t>OTH_INC</t>
  </si>
  <si>
    <t>NON_INT_INC</t>
  </si>
  <si>
    <t>NON_INT_INC = DIVID_INC + LIFE_INC + GEN_INS_INC + FIN_TRANS_INC + NET_FEE + OTH_INC</t>
  </si>
  <si>
    <t>Sales, net revenue</t>
  </si>
  <si>
    <t>SALES</t>
  </si>
  <si>
    <t>SALES = B_PL_NETINTINC + NON_INT_INC + B_GAIN_SALE_SEC.</t>
  </si>
  <si>
    <t>Compensation &amp; benfits expense</t>
  </si>
  <si>
    <t>PERSONNEL</t>
  </si>
  <si>
    <t>Other administration costs</t>
  </si>
  <si>
    <t>OTH_ADMIN</t>
  </si>
  <si>
    <t>Total operating expense</t>
  </si>
  <si>
    <t>OP_COST</t>
  </si>
  <si>
    <t>OP_COST = PERSONNEL + OTH_ADMIN + DEPREC + OTH_COST + GOODWILL_AMORT + INS_CLAIMS + ESO_PRE_TAX</t>
  </si>
  <si>
    <t>Depreciation</t>
  </si>
  <si>
    <t>DEPREC</t>
  </si>
  <si>
    <t>Amortization</t>
  </si>
  <si>
    <t>GOODWILL_AMORT</t>
  </si>
  <si>
    <t>Other costs</t>
  </si>
  <si>
    <t>OTH_COST</t>
  </si>
  <si>
    <t>Provision for loans</t>
  </si>
  <si>
    <t>B_PL_LOANPRV</t>
  </si>
  <si>
    <t>Other P&amp;L provisions</t>
  </si>
  <si>
    <t>OTH_PROVS</t>
  </si>
  <si>
    <t>General insurance claims</t>
  </si>
  <si>
    <t>INS_CLAIMS</t>
  </si>
  <si>
    <t>Provisions and write-offs</t>
  </si>
  <si>
    <t>TOT_PROVS</t>
  </si>
  <si>
    <t>TOT_PROVS = B_PL_LOANPRV + OTH_PROVS</t>
  </si>
  <si>
    <t>Gross operating profit</t>
  </si>
  <si>
    <t>GROSS_OP_PROF</t>
  </si>
  <si>
    <t>GROSS_OP_PROF = SALES + OP_COST</t>
  </si>
  <si>
    <t>Net operating profit</t>
  </si>
  <si>
    <t>NET_OP_PROF</t>
  </si>
  <si>
    <t>NET_OP_PROF = GROSS_OP_PROFIT + TOT_PROVS</t>
  </si>
  <si>
    <t>Income/(loss) from unconsolidated subs &amp; associates</t>
  </si>
  <si>
    <t>ASSOCIATE</t>
  </si>
  <si>
    <t>Profit/(loss) on disposals of assets, pre-tax</t>
  </si>
  <si>
    <t>PROFIT_ON_DISP</t>
  </si>
  <si>
    <t>OTH_NONOP_INC</t>
  </si>
  <si>
    <t>Other expense</t>
  </si>
  <si>
    <t>OTH_NONOP_EXP</t>
  </si>
  <si>
    <t>Other non-ops income/(expense)</t>
  </si>
  <si>
    <t>OTH_COST_INC</t>
  </si>
  <si>
    <t>OTH_COST_INC = OTH_NONOP_INC + OTH_NONOPEXP</t>
  </si>
  <si>
    <t>Profit before tax &amp; exceptionals</t>
  </si>
  <si>
    <t>PROF_BTE</t>
  </si>
  <si>
    <t>PROF_BTE = NET_OP_PROF + ASSOCIATE + OTH_COST_INC</t>
  </si>
  <si>
    <t>Exceptional income/(expense)</t>
  </si>
  <si>
    <t>TOT_EXCEPTS</t>
  </si>
  <si>
    <t>Pre-tax profit</t>
  </si>
  <si>
    <t>PT_PROF</t>
  </si>
  <si>
    <t>PT_PROF = PROF_BTE + TOT_EXCEPTS</t>
  </si>
  <si>
    <t>Provision for income tax</t>
  </si>
  <si>
    <t>PROV_INC_TAX</t>
  </si>
  <si>
    <t>Profit after-tax</t>
  </si>
  <si>
    <t>PROF_AT</t>
  </si>
  <si>
    <t>PROF_AT = PT_PROF + PROV_INC_TAX</t>
  </si>
  <si>
    <t>Minority interest</t>
  </si>
  <si>
    <t>INC_MINORITY</t>
  </si>
  <si>
    <t>Net income (pre-exceptionals)</t>
  </si>
  <si>
    <t>NET_EARNING</t>
  </si>
  <si>
    <t>Post-tax exceptionals</t>
  </si>
  <si>
    <t>TAX_EXC</t>
  </si>
  <si>
    <t>Post-tax other</t>
  </si>
  <si>
    <t>B_PL_PTASSOC</t>
  </si>
  <si>
    <t>MINOR_EQUITY</t>
  </si>
  <si>
    <t>Preferred dividends (non-equity)</t>
  </si>
  <si>
    <t>MINOR_NON_EQUITY</t>
  </si>
  <si>
    <t>Net income (post-exceptionals)</t>
  </si>
  <si>
    <t>NET_INC</t>
  </si>
  <si>
    <t>NET_INC = PROF_AT + TAX_EXC + INC_MINORITY + B_PL_PTASSOC + MINOR_EQUITY + MINOR_NON_EQUITY</t>
  </si>
  <si>
    <t>EPS (pre-exceptionals, basic)</t>
  </si>
  <si>
    <t>EPS</t>
  </si>
  <si>
    <t>EPS = NET_EARNING / SH1</t>
  </si>
  <si>
    <t>EPS (post-exceptionals, diluted)</t>
  </si>
  <si>
    <t>FULLY_DIL_EPS</t>
  </si>
  <si>
    <t>Common dividends paid</t>
  </si>
  <si>
    <t>COMMON_DIV_PAID</t>
  </si>
  <si>
    <t>DPS, dividend per share</t>
  </si>
  <si>
    <t>Weighted average shares outstanding, basic</t>
  </si>
  <si>
    <t>SH1</t>
  </si>
  <si>
    <t>Diluted average shares outstanding (mn)</t>
  </si>
  <si>
    <t>DILUTE_SHARES</t>
  </si>
  <si>
    <t>Period-end shares outstanding</t>
  </si>
  <si>
    <t>NON_OP_ADD</t>
  </si>
  <si>
    <t>ANZ Income Statement</t>
  </si>
  <si>
    <t>Lending Fees</t>
  </si>
  <si>
    <t>LENDING_FEES</t>
  </si>
  <si>
    <t>Other Fees/Commission</t>
  </si>
  <si>
    <t>OTHER_FEES</t>
  </si>
  <si>
    <t>Money transfer fees</t>
  </si>
  <si>
    <t>MONEY_TRANSFER_FEES</t>
  </si>
  <si>
    <t>Financial Services Income</t>
  </si>
  <si>
    <t>FINANCE_SERVICES_INCOME</t>
  </si>
  <si>
    <t>Foreign Exchange Income</t>
  </si>
  <si>
    <t>FOREIGN_EXCH_INCOME</t>
  </si>
  <si>
    <t>Trading Securities Income</t>
  </si>
  <si>
    <t>TRADING_SECS_INCOME</t>
  </si>
  <si>
    <t>Investment Security Income</t>
  </si>
  <si>
    <t>INVESTMENT_SECS_INCOME</t>
  </si>
  <si>
    <t>Rental Income</t>
  </si>
  <si>
    <t>RENTAL_INCOME</t>
  </si>
  <si>
    <t>Development Ventures</t>
  </si>
  <si>
    <t>DEVELOPMENT_VENTURES</t>
  </si>
  <si>
    <t>Other Income</t>
  </si>
  <si>
    <t>OTHER_INCOME</t>
  </si>
  <si>
    <t>Selling, General &amp; Admin</t>
  </si>
  <si>
    <t>SEL_GL_AD_OTHER</t>
  </si>
  <si>
    <t>Labour</t>
  </si>
  <si>
    <t>LABOUR</t>
  </si>
  <si>
    <t>Other Staff Costs</t>
  </si>
  <si>
    <t>OTHER_STAFF_COSTS</t>
  </si>
  <si>
    <t>Share Based Payments</t>
  </si>
  <si>
    <t>SHARE_BASED_PAYMENTS</t>
  </si>
  <si>
    <t>Equipment Costs</t>
  </si>
  <si>
    <t>EQUIP_COSTS</t>
  </si>
  <si>
    <t>Occupancy Costs</t>
  </si>
  <si>
    <t>OCCUPANCY_COSTS</t>
  </si>
  <si>
    <t>Other Expenses</t>
  </si>
  <si>
    <t>OTHER_EXPENSES</t>
  </si>
  <si>
    <t>Amortisation of Intangibles</t>
  </si>
  <si>
    <t>AMORT_OF_INTANGIBLES</t>
  </si>
  <si>
    <t>Amortisation of Goodwill</t>
  </si>
  <si>
    <t>AMORT_OF_INTANGIBLES_ADJ</t>
  </si>
  <si>
    <t>Total Depreciation/Amortisation</t>
  </si>
  <si>
    <t>TOTAL_DEPREC_AMORT</t>
  </si>
  <si>
    <t>Underlying Earnings (pre-goodwill amortisation)</t>
  </si>
  <si>
    <t>EBIT_UNDERLYING_PRE_GWILL</t>
  </si>
  <si>
    <t>New Specific Provisions</t>
  </si>
  <si>
    <t>NEW_SPECIFIC_PROV</t>
  </si>
  <si>
    <t>Writebacks/Recoveries</t>
  </si>
  <si>
    <t>WRITEBACK_RECOVERIES</t>
  </si>
  <si>
    <t>General Provisions</t>
  </si>
  <si>
    <t>GENERAL_PROV</t>
  </si>
  <si>
    <t>Profit or loss before tax on abnormal items</t>
  </si>
  <si>
    <t>PL_BTAX_ON_AB</t>
  </si>
  <si>
    <t>Income tax attributable to profit or loss on abnormal items</t>
  </si>
  <si>
    <t>INCTAX_PL_ON_AB</t>
  </si>
  <si>
    <t>Profit/Loss on defined benefit plan contribution (Pre Tax)</t>
  </si>
  <si>
    <t>PROFIT_DEFBEN_PLAN_PRE_TAX</t>
  </si>
  <si>
    <t>Goodwill Asset impairment Charge (Pre Tax)</t>
  </si>
  <si>
    <t>GWILL_ASSET_IMPAIR_CHG_PRE_TAX</t>
  </si>
  <si>
    <t>Other Asset impairment Charge (Pre Tax)</t>
  </si>
  <si>
    <t>OTHER_ASSET_IMPAIR_CHG_PRE_TAX</t>
  </si>
  <si>
    <t>Financial instruments/hedging (Pre Tax)</t>
  </si>
  <si>
    <t>FIN_INSTRUMENT_HEDGE_PRE_TAX</t>
  </si>
  <si>
    <t>Effective Interest Rate Impact (Pre Tax)</t>
  </si>
  <si>
    <t>EFFECT_INT_RATE_IMPACT_PRE_TAX</t>
  </si>
  <si>
    <t>Other IFRS adjustments (Pre Tax)</t>
  </si>
  <si>
    <t>OTHER_IFRS_ADJUST_PRE_TAX</t>
  </si>
  <si>
    <t>Total IFRS Adjustments (Pre Tax)</t>
  </si>
  <si>
    <t>TOTAL_IFRS_ADJUST_PRE_TAX</t>
  </si>
  <si>
    <t>Profit/Loss on defined benefit plan contribution (Post Tax)</t>
  </si>
  <si>
    <t>PROFIT_DEFBEN_PLAN_POST_TAX</t>
  </si>
  <si>
    <t>Goodwill Asset impairment Charge (Post Tax)</t>
  </si>
  <si>
    <t>GWILL_ASSET_IMP_CHG_POST_TAX</t>
  </si>
  <si>
    <t>Other Asset impairment Charge (Post Tax)</t>
  </si>
  <si>
    <t>OTH_ASSET_IMPAIR_CHG_POST_TAX</t>
  </si>
  <si>
    <t>Financial instruments/hedging (Post Tax)</t>
  </si>
  <si>
    <t>FIN_INSTRUMENT_HEDGE_POST_TAX</t>
  </si>
  <si>
    <t>Effective Interest Rate Impact (Post Tax)</t>
  </si>
  <si>
    <t>EFF_INT_RATE_IMPACT_POST_TAX</t>
  </si>
  <si>
    <t>Other IFRS adjustments (Post Tax)</t>
  </si>
  <si>
    <t>OTHER_IFRS_ADJUST_POST_TAX</t>
  </si>
  <si>
    <t>Total IFRS Adjustments (Post Tax)</t>
  </si>
  <si>
    <t>TOTAL_IFRS_ADJUST_POST_TAX</t>
  </si>
  <si>
    <t>Operating profit or loss before tax (post abnormals)</t>
  </si>
  <si>
    <t>OPPL_BTAX_POST_AB</t>
  </si>
  <si>
    <t>Income tax attributable to operating profit or loss (post abnormals)</t>
  </si>
  <si>
    <t>INCTAX_PL_POST_AB</t>
  </si>
  <si>
    <t>Operating profit or loss after income tax (post abnormals)</t>
  </si>
  <si>
    <t>OPPL_ATAX_POST_AB</t>
  </si>
  <si>
    <t>Net Profit - GS&amp;PA (NPAT after pref dividends, but before Abnormals, and Goodwill Amortisation)</t>
  </si>
  <si>
    <t>NET_PROFIT</t>
  </si>
  <si>
    <t>Foreign Exchange (gains/losses)</t>
  </si>
  <si>
    <t>FOREIGN_EXCHANGE_GAIN_LOSS</t>
  </si>
  <si>
    <t>Asset Sales (gains/losses)</t>
  </si>
  <si>
    <t>ASSET_SALES_GAIN_LOSS</t>
  </si>
  <si>
    <t>Restructuring Costs</t>
  </si>
  <si>
    <t>RESTRUC_COSTS</t>
  </si>
  <si>
    <t>Other Abnormal Items</t>
  </si>
  <si>
    <t>OTHER_ABNORMAL_ITEMS</t>
  </si>
  <si>
    <t>Profit Adjustment for EPS</t>
  </si>
  <si>
    <t>PROF_ADJUST_EPS</t>
  </si>
  <si>
    <t>EPS - GS&amp;PA</t>
  </si>
  <si>
    <t>EPS_PRE_GWILL</t>
  </si>
  <si>
    <t>EPS - Reported</t>
  </si>
  <si>
    <t>EPS_REPORTED</t>
  </si>
  <si>
    <t>Franking</t>
  </si>
  <si>
    <t>FRANKING</t>
  </si>
  <si>
    <t>Franking Tax Rate</t>
  </si>
  <si>
    <t>FRANK_TAX_RATE</t>
  </si>
  <si>
    <t>Next Interim Dividend Amount</t>
  </si>
  <si>
    <t>INT_DIV_AMOUNT</t>
  </si>
  <si>
    <t>Next Interim Dividend Ex-date</t>
  </si>
  <si>
    <t>INT_DIV_EXDATE</t>
  </si>
  <si>
    <t>Next Interim Dividend Franking</t>
  </si>
  <si>
    <t>INT_DIV_FRANK</t>
  </si>
  <si>
    <t>Next Int. Div. Frank Tax Rate</t>
  </si>
  <si>
    <t>INT_DIV_TAXRATE</t>
  </si>
  <si>
    <t>Next Final Dividend Amount</t>
  </si>
  <si>
    <t>FINAL_DIV_AMOUNT</t>
  </si>
  <si>
    <t>Next Final Dividend Ex-date</t>
  </si>
  <si>
    <t>FINAL_DIV_EXDATE</t>
  </si>
  <si>
    <t>Next Final Dividend Franking</t>
  </si>
  <si>
    <t>FINAL_DIV_FRANK</t>
  </si>
  <si>
    <t>Next Final Div. Frank Tax Rate</t>
  </si>
  <si>
    <t>FINAL_DIV_TAXRATE</t>
  </si>
  <si>
    <t>Total Annual Dividend</t>
  </si>
  <si>
    <t>TOTAL_ANNUAL_DIV_AMOUNT</t>
  </si>
  <si>
    <t>DRP Participation</t>
  </si>
  <si>
    <t>DRP_PARTICIPATION</t>
  </si>
  <si>
    <t>DRP Discount</t>
  </si>
  <si>
    <t>DRP_DISCOUNT</t>
  </si>
  <si>
    <t>Convertible Notes  at End of year</t>
  </si>
  <si>
    <t>CONVERTIBLE_NOTES</t>
  </si>
  <si>
    <t>Preference Shares at End of year</t>
  </si>
  <si>
    <t>PREFERENCE_SHARES</t>
  </si>
  <si>
    <t>Partly Paid Shares at End of year</t>
  </si>
  <si>
    <t>PARTLY_PAID_SHARES</t>
  </si>
  <si>
    <t>Options at End of year</t>
  </si>
  <si>
    <t>OPTIONS</t>
  </si>
  <si>
    <t>Other at End of year</t>
  </si>
  <si>
    <t>OTHER_CAPITAL</t>
  </si>
  <si>
    <t>Ordinary Shares (diluted for convertibles/options in the money) on issue at end of period ; Share Base For NTA Calculation</t>
  </si>
  <si>
    <t>EFPO</t>
  </si>
  <si>
    <t>Weighted average ordinary shares (diluted for convertibles/options in the money) on issue at end of period</t>
  </si>
  <si>
    <t>EFPOWA</t>
  </si>
  <si>
    <t>Total Capital (EFPO)</t>
  </si>
  <si>
    <t>TOTAL_CAPITAL_EFPO</t>
  </si>
  <si>
    <t>Total Capital (EFPOWA)</t>
  </si>
  <si>
    <t>TOTAL_CAPITAL_EFPOWA</t>
  </si>
  <si>
    <t>Risk Weighted Assets</t>
  </si>
  <si>
    <t>RISK_WEIGHTED_ASSET_APRA</t>
  </si>
  <si>
    <t>Additional Income Statement Items</t>
  </si>
  <si>
    <t>Dilution impact to earnings</t>
  </si>
  <si>
    <t>DILUTE_NI_IMPAC</t>
  </si>
  <si>
    <t>GS EPS</t>
  </si>
  <si>
    <t>B_PL_GSEPS</t>
  </si>
  <si>
    <t>GS net income</t>
  </si>
  <si>
    <t>B_PL_GSINCOME</t>
  </si>
  <si>
    <t>Lease payments</t>
  </si>
  <si>
    <t>LEASE_PAY</t>
  </si>
  <si>
    <t>Marginal tax rate</t>
  </si>
  <si>
    <t>MARGIN_TAX_RATE</t>
  </si>
  <si>
    <t>Net income (consensus) (Pub)</t>
  </si>
  <si>
    <t>NI_CONS</t>
  </si>
  <si>
    <t>Balance Sheet</t>
  </si>
  <si>
    <t>Cash &amp; cash equivalents</t>
  </si>
  <si>
    <t>CASH_EQ</t>
  </si>
  <si>
    <t>Interbank loans</t>
  </si>
  <si>
    <t>B_BS_A_LNBNK</t>
  </si>
  <si>
    <t>Net customer loans and advances</t>
  </si>
  <si>
    <t>B_BS_A_NETLOANS</t>
  </si>
  <si>
    <t>Total debt securities</t>
  </si>
  <si>
    <t>B_BS_A_DEBTTOT</t>
  </si>
  <si>
    <t>Other interest earning assets</t>
  </si>
  <si>
    <t>B_BS_A_OTHINT1</t>
  </si>
  <si>
    <t>B_BS_A_PERIOD</t>
  </si>
  <si>
    <t xml:space="preserve">B_BS_A_PERIOD = B_BS_A_LNBNK + B_BS_A_NETLOANS + B_BS_A_DEBTTOT  +  B_BS_A_OTHINT1 </t>
  </si>
  <si>
    <t>Net PP&amp;E</t>
  </si>
  <si>
    <t>NET_FIX_ASS</t>
  </si>
  <si>
    <t>Goodwill, net book value</t>
  </si>
  <si>
    <t>GOODWILL</t>
  </si>
  <si>
    <t>Intangible assets</t>
  </si>
  <si>
    <t>OTH_INTANG</t>
  </si>
  <si>
    <t>Net intangible assets</t>
  </si>
  <si>
    <t>NET_INTANG</t>
  </si>
  <si>
    <t>NET_INTANG = GOODWILL + OTH_INTANG</t>
  </si>
  <si>
    <t>Pre-payments &amp; accrued income</t>
  </si>
  <si>
    <t>PRE_PAYMNTS</t>
  </si>
  <si>
    <t>Equity method investments</t>
  </si>
  <si>
    <t>FIX_ASS_INV</t>
  </si>
  <si>
    <t>Investments in securities</t>
  </si>
  <si>
    <t>INV_SECUR</t>
  </si>
  <si>
    <t>Life assurance business attributable to shareholders</t>
  </si>
  <si>
    <t>LIFE_SHARE</t>
  </si>
  <si>
    <t>Life assurance assets attributable to policyholders</t>
  </si>
  <si>
    <t>LIFE_POLICY_ASS</t>
  </si>
  <si>
    <t>Other assets</t>
  </si>
  <si>
    <t>OTH_ASSET</t>
  </si>
  <si>
    <t>TOT_ASSET</t>
  </si>
  <si>
    <t>TOT_ASSET = CASH_EQ + B_BS_A_PERIOD + FIX_ASS_INV + INV_SECUR + NET_FIX_ASS + NET_INTANG + PRE_PAYMNTS +  LIFE_SHARE + LIFE_POLICY_ASS + OTH_ASSET</t>
  </si>
  <si>
    <t>B_BS_L_BANKDEP</t>
  </si>
  <si>
    <t>Customer deposits</t>
  </si>
  <si>
    <t>B_BS_L_CUSTDEP</t>
  </si>
  <si>
    <t>Debt instruments and securities</t>
  </si>
  <si>
    <t>DEBT_SECUR</t>
  </si>
  <si>
    <t>Other paying liabilities</t>
  </si>
  <si>
    <t>OTH_PAY_LIABS</t>
  </si>
  <si>
    <t>Subordinated liabilities (long-term debt)</t>
  </si>
  <si>
    <t>SUB_ORD_LIABS</t>
  </si>
  <si>
    <t>Interest bearing liabilities</t>
  </si>
  <si>
    <t>B_BS_L_PERIOD</t>
  </si>
  <si>
    <t>B_BS_L_PERIOD = B_BS_L_BANKDEP + B_BS_L_CUSTDEP + DEBT_SECUR + OTH_PAY_LIABS + SUB_ORD_LIABS</t>
  </si>
  <si>
    <t>Preference share capital, non-equity</t>
  </si>
  <si>
    <t>PREF_SHARE_CAP</t>
  </si>
  <si>
    <t>Provisions for liabilities &amp; charges</t>
  </si>
  <si>
    <t>PROV_BS</t>
  </si>
  <si>
    <t>Accruals &amp; deferred income</t>
  </si>
  <si>
    <t>ACCRUAL</t>
  </si>
  <si>
    <t>Life assurance liabilities attributable to policyholders</t>
  </si>
  <si>
    <t>LIFE_POLICY_LIABS</t>
  </si>
  <si>
    <t>Other liabilities</t>
  </si>
  <si>
    <t>OTH_LIABS</t>
  </si>
  <si>
    <t>TOT_LIAB</t>
  </si>
  <si>
    <t>TOT_LIABS =  B_BS_L_PERIOD + PREF_SHARE_CAP + PROV_BS + ACCRUAL + LIFE_POLICY_LIABS + OTH_LIABS</t>
  </si>
  <si>
    <t>Preferred shares</t>
  </si>
  <si>
    <t>PREF_SH</t>
  </si>
  <si>
    <t>Total common equity</t>
  </si>
  <si>
    <t>ORD_SH_FUND</t>
  </si>
  <si>
    <t>MINOR_EQUITY_BS</t>
  </si>
  <si>
    <t>MINORITIES</t>
  </si>
  <si>
    <t>Total shareholders' equity</t>
  </si>
  <si>
    <t>EQ</t>
  </si>
  <si>
    <t>TOT_LIAB_EQ = TOT_LIAB + EQ</t>
  </si>
  <si>
    <t>Total liabilities and equity</t>
  </si>
  <si>
    <t>TOT_LIAB_EQ</t>
  </si>
  <si>
    <t>TOT_ASSET = TOT_LIAB_EQ</t>
  </si>
  <si>
    <t>BVPS, book value per share</t>
  </si>
  <si>
    <t>BVPS</t>
  </si>
  <si>
    <t>BVPS = ORD_SH_FUND / NON_OP_ADD</t>
  </si>
  <si>
    <t>GS BVPS, book value per share</t>
  </si>
  <si>
    <t>B_PL_GSBVPS</t>
  </si>
  <si>
    <t>B_PL_GSBVPS = B_BS_L_GSEQUITY / NON_OP_ADD</t>
  </si>
  <si>
    <t>Tangible BVPS</t>
  </si>
  <si>
    <t>TANG_BVPS</t>
  </si>
  <si>
    <t>TBVPS, last reported</t>
  </si>
  <si>
    <t>TBVPS_LAST</t>
  </si>
  <si>
    <t>ANZ Balance Sheet</t>
  </si>
  <si>
    <t>Average Loans and Advances</t>
  </si>
  <si>
    <t>AVG_LOANS_ADVANCES</t>
  </si>
  <si>
    <t>Average Other Productive Assets</t>
  </si>
  <si>
    <t>AVG_OTH_PROD_ASSETS</t>
  </si>
  <si>
    <t>Average Productive Interest Earning Assets</t>
  </si>
  <si>
    <t>AVG_PROD_INT_EARN_ASSETS</t>
  </si>
  <si>
    <t>Average Gross Non-Performing Assets</t>
  </si>
  <si>
    <t>AVG_GROSS_NON_PERF_ASSETS</t>
  </si>
  <si>
    <t>Average Interest Earning Assets</t>
  </si>
  <si>
    <t>AVG_INT_EARN_ASSETS</t>
  </si>
  <si>
    <t>Average Provisions for Bad Debts</t>
  </si>
  <si>
    <t>AVG_PROV_BAD_DEBT</t>
  </si>
  <si>
    <t>Average Acceptances</t>
  </si>
  <si>
    <t>AVG_ACCEPTANCES</t>
  </si>
  <si>
    <t>Average Other Assets</t>
  </si>
  <si>
    <t>AVG_OTHER_ASSETS</t>
  </si>
  <si>
    <t>Average Total Assets</t>
  </si>
  <si>
    <t>AVG_TOTAL_ASSETS</t>
  </si>
  <si>
    <t>Average Interest Bearing Liabilities</t>
  </si>
  <si>
    <t>AVG_INT_BEARING_LIABS</t>
  </si>
  <si>
    <t>Average Non-Interest Bearing Liabilities</t>
  </si>
  <si>
    <t>AVG_NON_INT_BEARING_LIABS</t>
  </si>
  <si>
    <t>Average Other Liabilities</t>
  </si>
  <si>
    <t>AVG_OTHER_LIABS</t>
  </si>
  <si>
    <t>Average Preference Capital</t>
  </si>
  <si>
    <t>AVG_PREF_CAPITAL</t>
  </si>
  <si>
    <t>Average Ordinary Shareholders Equity</t>
  </si>
  <si>
    <t>AVG_ORD_SHOLDERS_EQUITY</t>
  </si>
  <si>
    <t>Net Free Funds</t>
  </si>
  <si>
    <t>NET_FREE_FUNDS</t>
  </si>
  <si>
    <t>Gross Loans &amp; Advances</t>
  </si>
  <si>
    <t>GROSS_LOANS_ADVANCES</t>
  </si>
  <si>
    <t>Specific Provision For Doubtful Debts</t>
  </si>
  <si>
    <t>SPECIFIC_PROV_DOUBTFUL</t>
  </si>
  <si>
    <t>General Provision For Doubtful Debts</t>
  </si>
  <si>
    <t>GENERAL_PROV_DOUBTFUL</t>
  </si>
  <si>
    <t>Unearned income</t>
  </si>
  <si>
    <t>UNEARNED_INCOME</t>
  </si>
  <si>
    <t>ACCEPTANCES_ASSETS</t>
  </si>
  <si>
    <t>Liquid Assets (incl. regulatory deposits)</t>
  </si>
  <si>
    <t>LIQUID_ASSETS</t>
  </si>
  <si>
    <t>Investments (Current assets)</t>
  </si>
  <si>
    <t>INVESTMENTS</t>
  </si>
  <si>
    <t>Other Intangibles - Depreciable (Net of Amort)</t>
  </si>
  <si>
    <t>OTHER_INTANGIBLES_DEPREC</t>
  </si>
  <si>
    <t>Other Intangibles - Non-Depreciable (Net of Amort)</t>
  </si>
  <si>
    <t>OTHER_INTANGIBLES_NON_DEPREC</t>
  </si>
  <si>
    <t>Defined Benefit Surplus</t>
  </si>
  <si>
    <t>DEFINED_BENEFIT_SURPLUS</t>
  </si>
  <si>
    <t>Financial Instruments/Hedging (Non current assets)</t>
  </si>
  <si>
    <t>Other Assets</t>
  </si>
  <si>
    <t>ASSET_MISC</t>
  </si>
  <si>
    <t>Bonds, notes &amp; subordinated debt</t>
  </si>
  <si>
    <t>BONDS_NOTES_SUBORD_DEBT</t>
  </si>
  <si>
    <t>ACCEPTANCES_LIABS</t>
  </si>
  <si>
    <t>Loan capital</t>
  </si>
  <si>
    <t>LOAN_CAPITAL</t>
  </si>
  <si>
    <t>Financial Instruments/Hedging (Current liab)</t>
  </si>
  <si>
    <t>FIN_INSTR_HEDGE_CURR_LIABILITY</t>
  </si>
  <si>
    <t>Defined Benefit Obligation</t>
  </si>
  <si>
    <t>DEFINED_BENEFIT_OBLIGATION</t>
  </si>
  <si>
    <t>Other Liabilities</t>
  </si>
  <si>
    <t>LIAB_MISC</t>
  </si>
  <si>
    <t>Ordinary Capital</t>
  </si>
  <si>
    <t>ORD_SHARE_CAPITAL</t>
  </si>
  <si>
    <t>Reserves</t>
  </si>
  <si>
    <t>RESERVES</t>
  </si>
  <si>
    <t>Retained profits or accumulated losses</t>
  </si>
  <si>
    <t>RETAIN_PROFIT_LOSS</t>
  </si>
  <si>
    <t>Shareholders' equity attributable to members of the chief entity</t>
  </si>
  <si>
    <t>SHOLDERS_EQUITY_MBRS</t>
  </si>
  <si>
    <t>Net Assets</t>
  </si>
  <si>
    <t>NET_ASSETS</t>
  </si>
  <si>
    <t>Net Tangible Assets</t>
  </si>
  <si>
    <t>NET_TANGIBLE_ASSETS</t>
  </si>
  <si>
    <t>Gross Non-Accrual Loans</t>
  </si>
  <si>
    <t>GROSS_NON_ACCRUAL</t>
  </si>
  <si>
    <t>Adjusted Net Tangible Assets (NZ)</t>
  </si>
  <si>
    <t>NET_TANGIBLE_ASSETS_ADJUSTED_NZ</t>
  </si>
  <si>
    <t>Additional Balance Sheet Items</t>
  </si>
  <si>
    <t>COE</t>
  </si>
  <si>
    <t>GS equity</t>
  </si>
  <si>
    <t>B_BS_L_GSEQUITY</t>
  </si>
  <si>
    <t>GS tangible equity</t>
  </si>
  <si>
    <t>B_BS_L_GSTANGEQ</t>
  </si>
  <si>
    <t>Capitalized leases</t>
  </si>
  <si>
    <t>CAP_LEASES</t>
  </si>
  <si>
    <t>Associates (mkt value) used in EV calculation</t>
  </si>
  <si>
    <t>MV_ASSOCIATES</t>
  </si>
  <si>
    <t>Unfunded pensions &amp; other provisions</t>
  </si>
  <si>
    <t>UNF_PENS</t>
  </si>
  <si>
    <t>Unfunded pension liabilities (off balance sheet)</t>
  </si>
  <si>
    <t>UNF_PENS_OFF</t>
  </si>
  <si>
    <t>Unfunded pension liabilities &amp; other, used in EV</t>
  </si>
  <si>
    <t>UNF_PENS_LIAB_OTH</t>
  </si>
  <si>
    <t>Other GCI adjustments</t>
  </si>
  <si>
    <t>OTH_GCI_ADJ</t>
  </si>
  <si>
    <t>BAL_MINO_INT</t>
  </si>
  <si>
    <t>Cash Flow Statement</t>
  </si>
  <si>
    <t>Dividends paid</t>
  </si>
  <si>
    <t>DIV_PAID</t>
  </si>
  <si>
    <t>Additional Cash Flow Items</t>
  </si>
  <si>
    <t>Other DACF adjustments</t>
  </si>
  <si>
    <t>OTH_DACF_ADJ</t>
  </si>
  <si>
    <t>Other Items</t>
  </si>
  <si>
    <t>Number of employees</t>
  </si>
  <si>
    <t>EMPLOYEES</t>
  </si>
  <si>
    <t>Beta</t>
  </si>
  <si>
    <t>BETA_ANALYST</t>
  </si>
  <si>
    <t>Number of branches</t>
  </si>
  <si>
    <t>BRANCHES</t>
  </si>
  <si>
    <t>Market equity risk premium</t>
  </si>
  <si>
    <t>MKT_EQ_RISK_PREM</t>
  </si>
  <si>
    <t>Risk-free rate</t>
  </si>
  <si>
    <t>RISK_FR_RATE</t>
  </si>
  <si>
    <t>ANZ Other Items</t>
  </si>
  <si>
    <t>Balance Of Franking Credits</t>
  </si>
  <si>
    <t>BAL_OF_FRANK_CREDITS</t>
  </si>
  <si>
    <t>In the Money Options</t>
  </si>
  <si>
    <t>OPTIONS_IN_MONEY</t>
  </si>
  <si>
    <t>INT_EARN_ASSETS</t>
  </si>
  <si>
    <t>Cash Earnings - Coy Basis</t>
  </si>
  <si>
    <t>CASH_EARNINGS_COMPANY</t>
  </si>
  <si>
    <t>Pre-tax hybrid distributions</t>
  </si>
  <si>
    <t>HYBRID_DIST_PRE_TAX</t>
  </si>
  <si>
    <t>Present Value Of Benefits From Tax Losses</t>
  </si>
  <si>
    <t>BENEFITS_TAX_LOSSES</t>
  </si>
  <si>
    <t>Tax Rate</t>
  </si>
  <si>
    <t>TAX_RATE_DCF</t>
  </si>
  <si>
    <t>Cost of Debt</t>
  </si>
  <si>
    <t>COST_OF_DEBT_DCF</t>
  </si>
  <si>
    <t>Debt to Equity (Market Values)</t>
  </si>
  <si>
    <t>DEBT_TO_EQUITY_MKT_VALUES_DCF</t>
  </si>
  <si>
    <t>WACC</t>
  </si>
  <si>
    <t>WACC_DCF</t>
  </si>
  <si>
    <t>Standard Free Operating Cash Flow</t>
  </si>
  <si>
    <t>STD_FREE_OP_CASH_FLOW_DCF</t>
  </si>
  <si>
    <t>Net Operating Profit After Tax (NOPAT)</t>
  </si>
  <si>
    <t>NOPAT</t>
  </si>
  <si>
    <t>Capital at End of Year - Adjusted total capital employed</t>
  </si>
  <si>
    <t>TOTAL_CAPITAL_EMPLOYED_ADJ</t>
  </si>
  <si>
    <t>Average Capital Employed</t>
  </si>
  <si>
    <t>AVG_CAPITAL_EMPLOYED_ADJ</t>
  </si>
  <si>
    <t>Return on Capital Employed (ROCE)</t>
  </si>
  <si>
    <t>ROCE_ANZ</t>
  </si>
  <si>
    <t>Operating Metrics</t>
  </si>
  <si>
    <t>GS CAMELOT implied P/B</t>
  </si>
  <si>
    <t>B_CAMELOT_PB</t>
  </si>
  <si>
    <t>GS CAMELOT implied P/E</t>
  </si>
  <si>
    <t>B_CAMELOT_PE</t>
  </si>
  <si>
    <t>CAMELOT beta</t>
  </si>
  <si>
    <t>B_CAMELOT_BETA</t>
  </si>
  <si>
    <t>3-yr adjusted DPS CAGR for CAMELOT</t>
  </si>
  <si>
    <t>B_CAMELOT_CAGR_DPS</t>
  </si>
  <si>
    <t>Sustainable ROE estimate</t>
  </si>
  <si>
    <t>B_CAMELOT_SUST_ROE</t>
  </si>
  <si>
    <t>Long-term dividend payout estimate</t>
  </si>
  <si>
    <t>B_LT_DIV_PAYOUT</t>
  </si>
  <si>
    <t>NPLs (Gross)</t>
  </si>
  <si>
    <t>Total NPLs, gross</t>
  </si>
  <si>
    <t>B_NPL_TOTNPL</t>
  </si>
  <si>
    <t>Other impaired loans</t>
  </si>
  <si>
    <t>B_NPL_PROBLN</t>
  </si>
  <si>
    <t>Capital Adequacy</t>
  </si>
  <si>
    <t>Tier 1 capital</t>
  </si>
  <si>
    <t>B_CA_T1CAP</t>
  </si>
  <si>
    <t>Tier 1 core equity</t>
  </si>
  <si>
    <t>B_CA_CORECAP</t>
  </si>
  <si>
    <t>Tier 1 preference share capital</t>
  </si>
  <si>
    <t>B_CA_PREFCAP</t>
  </si>
  <si>
    <t>Tier 1 capital ratio</t>
  </si>
  <si>
    <t>B_CA_T1RATIO</t>
  </si>
  <si>
    <t>B_CA_T2CAP</t>
  </si>
  <si>
    <t>Tier 2 ratio</t>
  </si>
  <si>
    <t>B_CA_T2RATIO</t>
  </si>
  <si>
    <t>Total BIS capital</t>
  </si>
  <si>
    <t>B_CA_CAPBASE</t>
  </si>
  <si>
    <t>Total capital (BIS) ratio</t>
  </si>
  <si>
    <t>B_CA_BISRATIO</t>
  </si>
  <si>
    <t>B_CA_BISRATIO = B_CA_CAPBASE / B_CA_RWA</t>
  </si>
  <si>
    <t>B_CA_RWA</t>
  </si>
  <si>
    <t>Loan Book (Gross)</t>
  </si>
  <si>
    <t>Mortgages</t>
  </si>
  <si>
    <t>B_LB_MORTG</t>
  </si>
  <si>
    <t>Other personal secured loans</t>
  </si>
  <si>
    <t>B_LB_OTHSECURE</t>
  </si>
  <si>
    <t>Personal unsecured loans and other</t>
  </si>
  <si>
    <t>B_LB_PERSON</t>
  </si>
  <si>
    <t>Total personal lending</t>
  </si>
  <si>
    <t>B_LB_TOTPERSNL</t>
  </si>
  <si>
    <t>Commercial &amp; industrial loans</t>
  </si>
  <si>
    <t>B_LB_FINANCL</t>
  </si>
  <si>
    <t>Construction &amp; real estate loans</t>
  </si>
  <si>
    <t>B_LB_CONSTRUCT</t>
  </si>
  <si>
    <t>Other commercial loans</t>
  </si>
  <si>
    <t>B_LB_COMMCL</t>
  </si>
  <si>
    <t>Total commercial lending</t>
  </si>
  <si>
    <t>B_LB_TOTCORP</t>
  </si>
  <si>
    <t>Finance leases</t>
  </si>
  <si>
    <t>B_LB_FINLEASE</t>
  </si>
  <si>
    <t>Government &amp; public authorities loans</t>
  </si>
  <si>
    <t>B_LB_GOVERNMT</t>
  </si>
  <si>
    <t>Other loans</t>
  </si>
  <si>
    <t>B_LB_OTHER</t>
  </si>
  <si>
    <t>Total other lending</t>
  </si>
  <si>
    <t>B_LB_OTHLEND</t>
  </si>
  <si>
    <t>Gross loans to customers</t>
  </si>
  <si>
    <t>B_LB_GROSSLOANS</t>
  </si>
  <si>
    <t>Total overseas lending, gross</t>
  </si>
  <si>
    <t>B_LB_OVSEASLEND</t>
  </si>
  <si>
    <t>Commitments</t>
  </si>
  <si>
    <t>COMMITMENTS</t>
  </si>
  <si>
    <t>Contingent liabilities</t>
  </si>
  <si>
    <t>CONTINGENCIES</t>
  </si>
  <si>
    <t>Provisions &amp; Reserves</t>
  </si>
  <si>
    <t>Specific loan loss reserve against customers</t>
  </si>
  <si>
    <t>B_PV_SLLRCUST</t>
  </si>
  <si>
    <t>General loan loss reserve against customers</t>
  </si>
  <si>
    <t>B_PV_GLLRCUST</t>
  </si>
  <si>
    <t>Total loan loss reserve against customers</t>
  </si>
  <si>
    <t>B_PV_TOTLLRCUST</t>
  </si>
  <si>
    <t>Write-offs</t>
  </si>
  <si>
    <t>WRITE_OFFS_BS</t>
  </si>
  <si>
    <t>Recoveries</t>
  </si>
  <si>
    <t>RECOVERIES_BS</t>
  </si>
  <si>
    <t>Net write-offs/(net charge-offs)</t>
  </si>
  <si>
    <t>NETCHGOFF_BS</t>
  </si>
  <si>
    <t>Margin Analysis</t>
  </si>
  <si>
    <t>Average interest-earning assets</t>
  </si>
  <si>
    <t>B_MA_REPINTAST</t>
  </si>
  <si>
    <t>Gross yield on interest-earning assets</t>
  </si>
  <si>
    <t>B_MA_REPGYLD</t>
  </si>
  <si>
    <t>Average interest-bearing liabilities</t>
  </si>
  <si>
    <t>B_MA_REPINTLIB</t>
  </si>
  <si>
    <t>Cost of interest-bearing liabilities</t>
  </si>
  <si>
    <t>B_MA_REPCOSTLIB</t>
  </si>
  <si>
    <t>B_MA_REPCOSTLIB = INT_EXP / B_MA_REPINTLIB</t>
  </si>
  <si>
    <t>Spread (gross yield less % cost of liabilites)</t>
  </si>
  <si>
    <t>B_MA_REPIMPSPD</t>
  </si>
  <si>
    <t>B_MA_REPIMPSPD = B_MA_REPGYLD - B_MA_REPCOSTLIB</t>
  </si>
  <si>
    <t>B_MA_REPNIM</t>
  </si>
  <si>
    <t>Deposits</t>
  </si>
  <si>
    <t>Demand deposits</t>
  </si>
  <si>
    <t>B_DE_DEMAND</t>
  </si>
  <si>
    <t>Time deposits</t>
  </si>
  <si>
    <t>B_DE_TIME</t>
  </si>
  <si>
    <t>Other deposits</t>
  </si>
  <si>
    <t>B_DE_OTHERS</t>
  </si>
  <si>
    <t>Total deposits</t>
  </si>
  <si>
    <t>B_DE_TOTDEPOSIT</t>
  </si>
  <si>
    <t>Industrial Holdings</t>
  </si>
  <si>
    <t>Market value of holding portfolio</t>
  </si>
  <si>
    <t>B_IH_MKTVALUE</t>
  </si>
  <si>
    <t>Book value of holding portfolio</t>
  </si>
  <si>
    <t>B_IH_BKVALUE</t>
  </si>
  <si>
    <t>Gross unrealized gains on holding portfolio</t>
  </si>
  <si>
    <t>B_IH_UNREALISE</t>
  </si>
  <si>
    <t>% Tax on unrealized gains</t>
  </si>
  <si>
    <t>B_IH_TAX</t>
  </si>
  <si>
    <t>Post-tax value of unrealized gains</t>
  </si>
  <si>
    <t>B_IH_PTAXVALUE</t>
  </si>
  <si>
    <t>Revenue Breakdown</t>
  </si>
  <si>
    <t>Revenue from Domestic Market</t>
  </si>
  <si>
    <t>DOM_SALES</t>
  </si>
  <si>
    <t>Revenue from emerging markets</t>
  </si>
  <si>
    <t>EMER_SALES</t>
  </si>
  <si>
    <t>Revenue from Europe</t>
  </si>
  <si>
    <t>EURO_SALES</t>
  </si>
  <si>
    <t>Revenue from North America</t>
  </si>
  <si>
    <t>NAM_SALES</t>
  </si>
  <si>
    <t>Revenue from Latin America</t>
  </si>
  <si>
    <t>LATAM_SALES</t>
  </si>
  <si>
    <t>Revenue from Asia</t>
  </si>
  <si>
    <t>ASIA_SALES</t>
  </si>
  <si>
    <t>Other revenue</t>
  </si>
  <si>
    <t>OTH_SALES</t>
  </si>
  <si>
    <t>TOT_SALES</t>
  </si>
  <si>
    <t>% Revenue from Domestic Market</t>
  </si>
  <si>
    <t>PCT_DOM_SALES</t>
  </si>
  <si>
    <t>% Revenue from Emerging Markets</t>
  </si>
  <si>
    <t>PCT_EMER_SALES</t>
  </si>
  <si>
    <t>% Revenue from Europe</t>
  </si>
  <si>
    <t>PCT_EURO_SALES</t>
  </si>
  <si>
    <t>% Revenue from North America</t>
  </si>
  <si>
    <t>PCT_NAM_SALES</t>
  </si>
  <si>
    <t>% Revenue from Latin America</t>
  </si>
  <si>
    <t>PCT_LATAM_SALES</t>
  </si>
  <si>
    <t>% Revenue from Asia</t>
  </si>
  <si>
    <t>PCT_ASIA_SALES</t>
  </si>
  <si>
    <t>% Revenue from other Markets</t>
  </si>
  <si>
    <t>PCT_OTH_SALES</t>
  </si>
  <si>
    <t>Operating Profits Breakdown</t>
  </si>
  <si>
    <t>Operating profits from domestic markets</t>
  </si>
  <si>
    <t>DOM_OP</t>
  </si>
  <si>
    <t>Operating profits from emerging markets</t>
  </si>
  <si>
    <t>EMER_OP</t>
  </si>
  <si>
    <t>Operating profits from Europe</t>
  </si>
  <si>
    <t>EURO_OP</t>
  </si>
  <si>
    <t>Operating profits from North America</t>
  </si>
  <si>
    <t>NAM_OP</t>
  </si>
  <si>
    <t>Operating profit from Latin America</t>
  </si>
  <si>
    <t>LATAM_OP</t>
  </si>
  <si>
    <t>Operating profits from Asia</t>
  </si>
  <si>
    <t>ASIA_OP</t>
  </si>
  <si>
    <t>Operating profits from other markets</t>
  </si>
  <si>
    <t>OTH_OP</t>
  </si>
  <si>
    <t>Total operating profit</t>
  </si>
  <si>
    <t>TOT_OP</t>
  </si>
  <si>
    <t>% Operating profits from Domestic Markets</t>
  </si>
  <si>
    <t>PCT_DOM_OP</t>
  </si>
  <si>
    <t>% Operating profits from Emerging Markets</t>
  </si>
  <si>
    <t>PCT_EMER_OP</t>
  </si>
  <si>
    <t>% Operating profits from Europe</t>
  </si>
  <si>
    <t>PCT_EURO_OP</t>
  </si>
  <si>
    <t>% Operating profits from North America</t>
  </si>
  <si>
    <t>PCT_NAM_OP</t>
  </si>
  <si>
    <t>% Operating profits from Latin America</t>
  </si>
  <si>
    <t>PCT_LATAM_OP</t>
  </si>
  <si>
    <t>% Operating profits from Asia</t>
  </si>
  <si>
    <t>PCT_ASIA_OP</t>
  </si>
  <si>
    <t>% Operating profits from other Markets</t>
  </si>
  <si>
    <t>PCT_OTH_OP</t>
  </si>
  <si>
    <t>Assets Breakdown</t>
  </si>
  <si>
    <t>Assets from domestic market</t>
  </si>
  <si>
    <t>DOM_ASS</t>
  </si>
  <si>
    <t>Assets from emerging markets</t>
  </si>
  <si>
    <t>EMER_ASS</t>
  </si>
  <si>
    <t>Assets from Europe</t>
  </si>
  <si>
    <t>EUR_ASS</t>
  </si>
  <si>
    <t>Assets from North America</t>
  </si>
  <si>
    <t>NAM_ASS</t>
  </si>
  <si>
    <t>Assets from Latin America</t>
  </si>
  <si>
    <t>LATAM_ASS</t>
  </si>
  <si>
    <t>Assets from Asia</t>
  </si>
  <si>
    <t>ASIA_ASS</t>
  </si>
  <si>
    <t>Assets from other markets</t>
  </si>
  <si>
    <t>OTH_ASS</t>
  </si>
  <si>
    <t>TOT_ASS</t>
  </si>
  <si>
    <t>% Assets from Domestic markets</t>
  </si>
  <si>
    <t>PCT_DOM_ASS</t>
  </si>
  <si>
    <t>% Assets from Emerging markets</t>
  </si>
  <si>
    <t>PCT_EMER_ASS</t>
  </si>
  <si>
    <t>% Assets from Europe</t>
  </si>
  <si>
    <t>PCT_EURO_ASS</t>
  </si>
  <si>
    <t>% Assets from North America</t>
  </si>
  <si>
    <t>PCT_NAM_ASS</t>
  </si>
  <si>
    <t>% Assets from Latin America</t>
  </si>
  <si>
    <t>PCT_LATAM_ASS</t>
  </si>
  <si>
    <t>% Assets from Asia</t>
  </si>
  <si>
    <t>PCT_ASIA_ASS</t>
  </si>
  <si>
    <t>% Assets from other markets</t>
  </si>
  <si>
    <t>PCT_OTH_ASS</t>
  </si>
  <si>
    <t>Geographical Breakdown</t>
  </si>
  <si>
    <t>Sales - % Total Americas</t>
  </si>
  <si>
    <t>SALES_TOT_AM</t>
  </si>
  <si>
    <t>Sales - % United States</t>
  </si>
  <si>
    <t>SALES_US</t>
  </si>
  <si>
    <t>Sales - % Canada</t>
  </si>
  <si>
    <t>SALES_CANADA</t>
  </si>
  <si>
    <t>Sales - % Brazil</t>
  </si>
  <si>
    <t>SALES_BRAZIL</t>
  </si>
  <si>
    <t>Sales - % Other Americas</t>
  </si>
  <si>
    <t>SALES_OTH_AM</t>
  </si>
  <si>
    <t>Sales - Total % EMEA</t>
  </si>
  <si>
    <t>SALES_TOT_EMEA</t>
  </si>
  <si>
    <t>Sales - % UK</t>
  </si>
  <si>
    <t>SALES_UK</t>
  </si>
  <si>
    <t>Sales - % Europe-Ex UK</t>
  </si>
  <si>
    <t>SALES_EU_EX_UK</t>
  </si>
  <si>
    <t>Sales - % Austria</t>
  </si>
  <si>
    <t>SALES_AUSTRIA</t>
  </si>
  <si>
    <t>Sales - % Belgium</t>
  </si>
  <si>
    <t>SALES_BEL</t>
  </si>
  <si>
    <t>Sales - % Denmark</t>
  </si>
  <si>
    <t>SALES_DEN</t>
  </si>
  <si>
    <t>Sales - % Finland</t>
  </si>
  <si>
    <t>SALES_FIN</t>
  </si>
  <si>
    <t>Sales - % France</t>
  </si>
  <si>
    <t>SALES_FRA</t>
  </si>
  <si>
    <t>Sales - % Germany</t>
  </si>
  <si>
    <t>SALES_GER</t>
  </si>
  <si>
    <t>Sales - % Greece</t>
  </si>
  <si>
    <t>SALES_GRE</t>
  </si>
  <si>
    <t>Sales - % Iceland</t>
  </si>
  <si>
    <t>SALES_ICE</t>
  </si>
  <si>
    <t>Sales - % Ireland</t>
  </si>
  <si>
    <t>SALES_IRE</t>
  </si>
  <si>
    <t>Sales - % Italy</t>
  </si>
  <si>
    <t>SALES_ITA</t>
  </si>
  <si>
    <t>Sales - % Netherlands</t>
  </si>
  <si>
    <t>SALES_NETH</t>
  </si>
  <si>
    <t>Sales - % Norway</t>
  </si>
  <si>
    <t>SALES_NOR</t>
  </si>
  <si>
    <t>Sales - % Portugal</t>
  </si>
  <si>
    <t>SALES_POR</t>
  </si>
  <si>
    <t>Sales - % Spain</t>
  </si>
  <si>
    <t>SALES_SPA</t>
  </si>
  <si>
    <t>Sales - % Sweden</t>
  </si>
  <si>
    <t>SALES_SWE</t>
  </si>
  <si>
    <t>Sales - % Switzerland</t>
  </si>
  <si>
    <t>SALES_SWIT</t>
  </si>
  <si>
    <t>Sales - % Central &amp; Eastern Europe</t>
  </si>
  <si>
    <t>SALES_CEE</t>
  </si>
  <si>
    <t>Sales - % Middle East</t>
  </si>
  <si>
    <t>SALES_ME</t>
  </si>
  <si>
    <t>Sales - % Russia</t>
  </si>
  <si>
    <t>SALES_RUSSIA</t>
  </si>
  <si>
    <t>Sales - % Other EMEA</t>
  </si>
  <si>
    <t>SALES_OTH_EMEA</t>
  </si>
  <si>
    <t>Sales - Total % Asia (incl Australia &amp; New Zealand)</t>
  </si>
  <si>
    <t>SALES_TOT_ASIA</t>
  </si>
  <si>
    <t>Sales - % Japan</t>
  </si>
  <si>
    <t>SALES_JAPAN</t>
  </si>
  <si>
    <t>Sales - % Greater China (incl HK)</t>
  </si>
  <si>
    <t>SALES_CHINA</t>
  </si>
  <si>
    <t>Sales - % India</t>
  </si>
  <si>
    <t>SALES_INDIA</t>
  </si>
  <si>
    <t>Sales - % South Korea</t>
  </si>
  <si>
    <t>SALES_SK</t>
  </si>
  <si>
    <t>Sales - % Australia</t>
  </si>
  <si>
    <t>SALES_AUSTRA</t>
  </si>
  <si>
    <t>Sales - % New Zealand</t>
  </si>
  <si>
    <t>SALES_NZ</t>
  </si>
  <si>
    <t>Sales - % Other AEJ (incl Taiwan)</t>
  </si>
  <si>
    <t>SALES_OTH_AEJ</t>
  </si>
  <si>
    <t>Sales - % Others</t>
  </si>
  <si>
    <t>SALES_OTHER</t>
  </si>
  <si>
    <t>Operating Profit - % Total Americas</t>
  </si>
  <si>
    <t>OP_TOT_AM</t>
  </si>
  <si>
    <t>Operating Profit - % United States</t>
  </si>
  <si>
    <t>OP_US</t>
  </si>
  <si>
    <t>Operating Profit - % Canada</t>
  </si>
  <si>
    <t>OP_CANADA</t>
  </si>
  <si>
    <t>Operating Profit - % Brazil</t>
  </si>
  <si>
    <t>OP_BRAZIL</t>
  </si>
  <si>
    <t>Operating Profit - % Other Americas</t>
  </si>
  <si>
    <t>OP_OTH_AM</t>
  </si>
  <si>
    <t>Operating Profit - Total % EMEA</t>
  </si>
  <si>
    <t>OP_TOT_EMEA</t>
  </si>
  <si>
    <t>Operating Profit - % UK</t>
  </si>
  <si>
    <t>OP_UK</t>
  </si>
  <si>
    <t>Operating Profit - % Europe-Ex UK</t>
  </si>
  <si>
    <t>OP_EU_EX_UK</t>
  </si>
  <si>
    <t>OP_AUSTRIA</t>
  </si>
  <si>
    <t>OP_BEL</t>
  </si>
  <si>
    <t>OP_DEN</t>
  </si>
  <si>
    <t>OP_FIN</t>
  </si>
  <si>
    <t>OP_FRA</t>
  </si>
  <si>
    <t>OP_GER</t>
  </si>
  <si>
    <t>OP_GRE</t>
  </si>
  <si>
    <t>OP_ICE</t>
  </si>
  <si>
    <t>OP_IRE</t>
  </si>
  <si>
    <t>OP_ITA</t>
  </si>
  <si>
    <t>OP_NETH</t>
  </si>
  <si>
    <t>OP_NOR</t>
  </si>
  <si>
    <t>OP_POR</t>
  </si>
  <si>
    <t>OP_SPA</t>
  </si>
  <si>
    <t>OP_SWE</t>
  </si>
  <si>
    <t>OP_SWIT</t>
  </si>
  <si>
    <t>Operating Profit - % Central &amp; Eastern Europe</t>
  </si>
  <si>
    <t>OP_CEE</t>
  </si>
  <si>
    <t>Operating Profit - % Middle East</t>
  </si>
  <si>
    <t>OP_ME</t>
  </si>
  <si>
    <t>Operating Profit - % Russia</t>
  </si>
  <si>
    <t>OP_RUSSIA</t>
  </si>
  <si>
    <t>Operating Profit - % Other EMEA</t>
  </si>
  <si>
    <t>OP_OTH_EMEA</t>
  </si>
  <si>
    <t>Operating Profit - Total % Asia (incl Australia &amp; New Zealand)</t>
  </si>
  <si>
    <t>OP_TOT_ASIA</t>
  </si>
  <si>
    <t>Operating Profit - % Japan</t>
  </si>
  <si>
    <t>OP_JAPAN</t>
  </si>
  <si>
    <t>Operating Profit - % Greater China (incl HK)</t>
  </si>
  <si>
    <t>OP_CHINA</t>
  </si>
  <si>
    <t>Operating Profit - % India</t>
  </si>
  <si>
    <t>OP_INDIA</t>
  </si>
  <si>
    <t>Operating Profit - % South Korea</t>
  </si>
  <si>
    <t>OP_SK</t>
  </si>
  <si>
    <t>Operating Profit - % Australia</t>
  </si>
  <si>
    <t>OP_AUSTRA</t>
  </si>
  <si>
    <t>Operating Profit - % New Zealand</t>
  </si>
  <si>
    <t>OP_NZ</t>
  </si>
  <si>
    <t>Operating Profit - % Other AEJ (incl Taiwan)</t>
  </si>
  <si>
    <t>OP_OTH_AEJ</t>
  </si>
  <si>
    <t>Operating Profit - % Others</t>
  </si>
  <si>
    <t>OP_OTHER</t>
  </si>
  <si>
    <t>Sales -% Consumer (C)</t>
  </si>
  <si>
    <t>SALES_CONS</t>
  </si>
  <si>
    <t>Sales -% Industry (I)</t>
  </si>
  <si>
    <t>SALES_IND</t>
  </si>
  <si>
    <t>Sales -% Government (G)</t>
  </si>
  <si>
    <t>SALES_GOV</t>
  </si>
  <si>
    <t>Operating Profit - % Consumer (C)</t>
  </si>
  <si>
    <t>OP_CONS</t>
  </si>
  <si>
    <t>Operating Profit - % Industry (I)</t>
  </si>
  <si>
    <t>OP_IND</t>
  </si>
  <si>
    <t>Operating Profit - % Government (G)</t>
  </si>
  <si>
    <t>OP_GOV</t>
  </si>
  <si>
    <t>Net debt</t>
  </si>
  <si>
    <t>NET_DEBT</t>
  </si>
  <si>
    <t>ANZ.AX</t>
  </si>
  <si>
    <t>ANZ Banking Group Limited</t>
  </si>
  <si>
    <t>Quantum submission sheet for ANZ.AX</t>
  </si>
  <si>
    <t>AUTO-GENERATED BY TIGR NUMBERS SUBMISSION. DO NOT MODIFY OR DELETE!</t>
  </si>
  <si>
    <t>CURRENCY_ISO</t>
  </si>
  <si>
    <t>PRICE_CURRENCY_ISO</t>
  </si>
  <si>
    <t>PUB_CURRENCY_ISO</t>
  </si>
  <si>
    <t>PT weighting</t>
  </si>
  <si>
    <t>Loan (ex-acceptances) to deposit (ex-CDs) ratio</t>
  </si>
  <si>
    <t>AD_ProfitabilityLoanstoDeposit</t>
  </si>
  <si>
    <t>Loan-to-deposit ratio</t>
  </si>
  <si>
    <t>Gordon`s Growth model</t>
  </si>
  <si>
    <t>Profit &amp; loss (A$ mn)</t>
  </si>
  <si>
    <t>Rating</t>
  </si>
  <si>
    <t>Terminal year</t>
  </si>
  <si>
    <t>Valuation date</t>
  </si>
  <si>
    <t>Current share price</t>
  </si>
  <si>
    <t>Market capitalisation (A$ mn)</t>
  </si>
  <si>
    <t>12m price target</t>
  </si>
  <si>
    <t>Share on issue (mn)</t>
  </si>
  <si>
    <t>Upside/(downside)</t>
  </si>
  <si>
    <t>Year end</t>
  </si>
  <si>
    <t>September</t>
  </si>
  <si>
    <t>Implied cash PE</t>
  </si>
  <si>
    <t>Earnings statistics</t>
  </si>
  <si>
    <t>Pre-provision operating profit (A$ mn)</t>
  </si>
  <si>
    <t>Operating revenue</t>
  </si>
  <si>
    <t>PPOP per share (A¢)</t>
  </si>
  <si>
    <t>Non-interest expense</t>
  </si>
  <si>
    <t>- Growth (%)</t>
  </si>
  <si>
    <t>Pre-provision operating profit</t>
  </si>
  <si>
    <t>Cash earnings (A$ mn)</t>
  </si>
  <si>
    <t>Net write-offs</t>
  </si>
  <si>
    <t>Cash EPS - basic (A¢)</t>
  </si>
  <si>
    <t>Cash EPS - diluted (A¢)</t>
  </si>
  <si>
    <t>Minorities</t>
  </si>
  <si>
    <t>Hybrid distributions</t>
  </si>
  <si>
    <t>Cash earnings (pre-NRIs)</t>
  </si>
  <si>
    <t>Reported EPS (A¢)</t>
  </si>
  <si>
    <t>Non-cash items</t>
  </si>
  <si>
    <t>Dividend per share (A¢)</t>
  </si>
  <si>
    <t>Reported profit (pre-hybrids)</t>
  </si>
  <si>
    <t>Franking (%)</t>
  </si>
  <si>
    <t>Payout ratio (%)</t>
  </si>
  <si>
    <t>Balance sheet (A$ bn)</t>
  </si>
  <si>
    <t>NTA per share (A$)</t>
  </si>
  <si>
    <t>Book value per share (A$)</t>
  </si>
  <si>
    <t>AU housing lending</t>
  </si>
  <si>
    <t>Shares on issue (mn)</t>
  </si>
  <si>
    <t>AU business lending</t>
  </si>
  <si>
    <t>Weighted average shares (mn) - diluted</t>
  </si>
  <si>
    <t>AU personal lending</t>
  </si>
  <si>
    <t>AU lending</t>
  </si>
  <si>
    <t>Valuation statistics</t>
  </si>
  <si>
    <t>AU deposits</t>
  </si>
  <si>
    <t>Price / PPOP</t>
  </si>
  <si>
    <t>NZ lending</t>
  </si>
  <si>
    <t>NZ deposits</t>
  </si>
  <si>
    <t>Dividend yield - nominal (%)</t>
  </si>
  <si>
    <t>Other lending (non-ANZ)</t>
  </si>
  <si>
    <t>ROE - cash (%)</t>
  </si>
  <si>
    <t>ROTE - cash (%)</t>
  </si>
  <si>
    <t>Other deposits (non-ANZ)</t>
  </si>
  <si>
    <t>Profit drivers</t>
  </si>
  <si>
    <t>Non-interest income / operating revenue</t>
  </si>
  <si>
    <t>Cost / income</t>
  </si>
  <si>
    <t>Cost / assets</t>
  </si>
  <si>
    <t>Equity</t>
  </si>
  <si>
    <t>Jaws (revenue less cost growth)</t>
  </si>
  <si>
    <t>Ordinary shareholder's equity</t>
  </si>
  <si>
    <t>ROE - reported</t>
  </si>
  <si>
    <t>ROE - cash</t>
  </si>
  <si>
    <t>ROA - cash</t>
  </si>
  <si>
    <t>Average ordinary equity</t>
  </si>
  <si>
    <t>Leverage</t>
  </si>
  <si>
    <t>RORWA - cash</t>
  </si>
  <si>
    <t>ROTE - cash</t>
  </si>
  <si>
    <t>ROTA - cash</t>
  </si>
  <si>
    <t>Goldman Sachs valuation summary</t>
  </si>
  <si>
    <t>Net charge-offs / Non-housing loans</t>
  </si>
  <si>
    <t>Net charge-offs / Gross loans</t>
  </si>
  <si>
    <t>BDD / Non-housing loans</t>
  </si>
  <si>
    <t>Methodology</t>
  </si>
  <si>
    <t>Output</t>
  </si>
  <si>
    <t>Weight</t>
  </si>
  <si>
    <t>Input</t>
  </si>
  <si>
    <t>BDD / Gross loans</t>
  </si>
  <si>
    <t>Gross impaired assets / Non-housing loans</t>
  </si>
  <si>
    <t>Non-performing loans / Gross loans</t>
  </si>
  <si>
    <t>Non-performing loans / RWA</t>
  </si>
  <si>
    <t>Specific provisions / Gross impaired assets</t>
  </si>
  <si>
    <t>Weighted average</t>
  </si>
  <si>
    <t>Collective provisions / Non-housing loans</t>
  </si>
  <si>
    <t>Collective provisions / Credit RWA</t>
  </si>
  <si>
    <t>Discounted cashflow inputs</t>
  </si>
  <si>
    <t>Collective provisions / RWA</t>
  </si>
  <si>
    <t>Total provisions / Non-housing loans</t>
  </si>
  <si>
    <t>Total provisions / Credit RWA</t>
  </si>
  <si>
    <t>Market risk premium</t>
  </si>
  <si>
    <t>Total provisions / RWA</t>
  </si>
  <si>
    <t>Equity beta (B)</t>
  </si>
  <si>
    <t>Shares on issue</t>
  </si>
  <si>
    <t>CET1 ratio (APRA, Basel II)</t>
  </si>
  <si>
    <t>ASS_AQGRCL</t>
  </si>
  <si>
    <t>GRCL top-up (pre-tax)</t>
  </si>
  <si>
    <t>AD_AQCPGRCLNHL</t>
  </si>
  <si>
    <t>AD_AQCPGRCLCRWA</t>
  </si>
  <si>
    <t>AD_AQCPGRCLRWA</t>
  </si>
  <si>
    <t>Collective provisions + GRCL (pre-tax) / non-housing loans</t>
  </si>
  <si>
    <t>Collective provisions + GRCL (pre-tax) / credit risk weighted assets</t>
  </si>
  <si>
    <t>Collective provisions + GRCL (pre-tax) / risk weighted assets</t>
  </si>
  <si>
    <t>Total provisions + GRCL (pre-tax) / non-housing loans</t>
  </si>
  <si>
    <t>Total provisions + GRCL (pre-tax) / credit risk weighted assets</t>
  </si>
  <si>
    <t>Total provisions + GRCL (pre-tax) / risk weighted assets</t>
  </si>
  <si>
    <t>AD_AQTPGRCLNHL</t>
  </si>
  <si>
    <t>AD_AQTPGRCLCRWA</t>
  </si>
  <si>
    <t>AD_AQTPGRCLRWA</t>
  </si>
  <si>
    <t xml:space="preserve">Loan-to-deposit ratio </t>
  </si>
  <si>
    <t>Effective tax rate</t>
  </si>
  <si>
    <t>Franking balance (A$ mn)</t>
  </si>
  <si>
    <t>AD_PEAssetsUnearnedIncome</t>
  </si>
  <si>
    <t>AD_PELiabilitiesAcceptances</t>
  </si>
  <si>
    <t>Liability on acceptances</t>
  </si>
  <si>
    <t>AD_PEGNAL</t>
  </si>
  <si>
    <t>Gross non-accrual loans</t>
  </si>
  <si>
    <t>AD_OrdEqu_EFPO</t>
  </si>
  <si>
    <t>AD_OrdEquConvertibles</t>
  </si>
  <si>
    <t>Convertible notes</t>
  </si>
  <si>
    <t>AD_OrdEquOptions</t>
  </si>
  <si>
    <t>Options (year end)</t>
  </si>
  <si>
    <t>AD_Dummy</t>
  </si>
  <si>
    <t>zero_fill</t>
  </si>
  <si>
    <t>AD_FXIncome</t>
  </si>
  <si>
    <t>Foreign exchange income</t>
  </si>
  <si>
    <t>AD_AssetSales</t>
  </si>
  <si>
    <t>Gross proceeds from asset sales</t>
  </si>
  <si>
    <t>AD_RentalIncome</t>
  </si>
  <si>
    <t>Rental income</t>
  </si>
  <si>
    <t>AD_Salaries</t>
  </si>
  <si>
    <t>Salaries</t>
  </si>
  <si>
    <t>AD_ShareComp</t>
  </si>
  <si>
    <t>Share based comp</t>
  </si>
  <si>
    <t>AD_Occupancy</t>
  </si>
  <si>
    <t>Occupancy cost</t>
  </si>
  <si>
    <t>AD_BDDSpecific</t>
  </si>
  <si>
    <t>Specific provision charge</t>
  </si>
  <si>
    <t>AD_BDDCollective</t>
  </si>
  <si>
    <t>Collective provision charge</t>
  </si>
  <si>
    <t>AD_BDDTotalGCO</t>
  </si>
  <si>
    <t>Gross write-offs</t>
  </si>
  <si>
    <t>AD_AvLiabilitiesNonIBD</t>
  </si>
  <si>
    <t>Deposits not bearing interest</t>
  </si>
  <si>
    <t>Shares on issue - EOP (mn)</t>
  </si>
  <si>
    <t>Value of cash flows (A$ mn)</t>
  </si>
  <si>
    <t>Terminal value of cash flows (A$ mn)</t>
  </si>
  <si>
    <t>Total (A$ mn)</t>
  </si>
  <si>
    <t>Value of franking credits (A$ mn)</t>
  </si>
  <si>
    <t>Terminal value of franking credits (A$ mn)</t>
  </si>
  <si>
    <t>Value of franking credits per share (A$)</t>
  </si>
  <si>
    <t>Total equity value (A$ mn)</t>
  </si>
  <si>
    <t>Total equity value per share (A$)</t>
  </si>
  <si>
    <t>12-month forward DCF (A$)</t>
  </si>
  <si>
    <t>E</t>
  </si>
  <si>
    <t>1H13A</t>
  </si>
  <si>
    <t>Operating Profit - % Austria</t>
  </si>
  <si>
    <t>Operating Profit - % Belgium</t>
  </si>
  <si>
    <t>Operating Profit - % Denmark</t>
  </si>
  <si>
    <t>Operating Profit - % Finland</t>
  </si>
  <si>
    <t>Operating Profit - % France</t>
  </si>
  <si>
    <t>Operating Profit - % Germany</t>
  </si>
  <si>
    <t>Operating Profit - % Greece</t>
  </si>
  <si>
    <t>Operating Profit - % Iceland</t>
  </si>
  <si>
    <t>Operating Profit - % Ireland</t>
  </si>
  <si>
    <t>Operating Profit - % Italy</t>
  </si>
  <si>
    <t>Operating Profit - % Netherlands</t>
  </si>
  <si>
    <t>Operating Profit - % Norway</t>
  </si>
  <si>
    <t>Operating Profit - % Portugal</t>
  </si>
  <si>
    <t>Operating Profit - % Spain</t>
  </si>
  <si>
    <t>Operating Profit - % Sweden</t>
  </si>
  <si>
    <t>Operating Profit - % Switzerland</t>
  </si>
  <si>
    <t>CET1_TCAdjEquity</t>
  </si>
  <si>
    <t>Concessional threshold - equity invst</t>
  </si>
  <si>
    <t>CET1_TCAdjOther</t>
  </si>
  <si>
    <t>Other adj APRA -&gt; harmonised</t>
  </si>
  <si>
    <t>CET1_TCHarmonisedTotal</t>
  </si>
  <si>
    <t>Total Capital (B3, harmonised)</t>
  </si>
  <si>
    <t>CET1_RWAAdjIRRBB</t>
  </si>
  <si>
    <t>IRRBB RWA</t>
  </si>
  <si>
    <t>CET1_RWAAdjOther</t>
  </si>
  <si>
    <t>CET1_RWAHarmonisedTotal</t>
  </si>
  <si>
    <t>Total RWA (B3, harmonsied)</t>
  </si>
  <si>
    <t>AD_PEAdd2</t>
  </si>
  <si>
    <t>AD_PEAdd3</t>
  </si>
  <si>
    <t>AD_PEAdd4</t>
  </si>
  <si>
    <t>AD_PEAdd5</t>
  </si>
  <si>
    <t>AD_PEAdd6</t>
  </si>
  <si>
    <t>AD_PEAdd7</t>
  </si>
  <si>
    <t>AD_AvAdd10</t>
  </si>
  <si>
    <t>AD_AvAdd2</t>
  </si>
  <si>
    <t>AD_AvAdd3</t>
  </si>
  <si>
    <t>AD_AvAdd4</t>
  </si>
  <si>
    <t>AD_AvAdd5</t>
  </si>
  <si>
    <t>AD_AvAdd6</t>
  </si>
  <si>
    <t>AD_AvAdd7</t>
  </si>
  <si>
    <t>AD_AvAdd8</t>
  </si>
  <si>
    <t>AD_AvAdd9</t>
  </si>
  <si>
    <t>AD_PSNTAPSOptimised</t>
  </si>
  <si>
    <t>Net tangible asset per share (optimised)</t>
  </si>
  <si>
    <t>AD_CapitalCET1Harmonised</t>
  </si>
  <si>
    <t>Core tier 1 ratio (B3 fully harmonised)</t>
  </si>
  <si>
    <t>Congratulations! You have successfully migrated</t>
  </si>
  <si>
    <t>Final cleanup Items</t>
  </si>
  <si>
    <t>Keyword</t>
  </si>
  <si>
    <t>Description</t>
  </si>
  <si>
    <t xml:space="preserve">Action </t>
  </si>
  <si>
    <t>Please review non-migrated data on:</t>
  </si>
  <si>
    <t>Residual growth model</t>
  </si>
  <si>
    <t>Start year</t>
  </si>
  <si>
    <t>Year</t>
  </si>
  <si>
    <t>Terminal</t>
  </si>
  <si>
    <t>Risk free rate (%)</t>
  </si>
  <si>
    <t>Beta (x)</t>
  </si>
  <si>
    <t>Avg of 3/5 years, modifiy this for quality</t>
  </si>
  <si>
    <t>Risk premium (%)</t>
  </si>
  <si>
    <t>COE (%)</t>
  </si>
  <si>
    <t>Total Assets (Local currency bn)</t>
  </si>
  <si>
    <t xml:space="preserve">In this model we need to project Total assets </t>
  </si>
  <si>
    <t>% growth</t>
  </si>
  <si>
    <t>cannot grow too fast if the leverage (given below) increases</t>
  </si>
  <si>
    <t>ROA (%)</t>
  </si>
  <si>
    <t>instead of assuming sustainable RoE, assumes RoA</t>
  </si>
  <si>
    <t>PAT (Local currency bn) (a)</t>
  </si>
  <si>
    <t>Avg total assets X RoA.
Terminal year is FY2025 PAT X terminal year growth</t>
  </si>
  <si>
    <t>Dividends (Local currency bn)</t>
  </si>
  <si>
    <t>Dividend payout (%)</t>
  </si>
  <si>
    <t>Dividend tax (Local currency bn)</t>
  </si>
  <si>
    <t>Networth (Local currency bn)</t>
  </si>
  <si>
    <t xml:space="preserve">Prev Yr NW + PAT-dividend-dividend tax Terminal year = PAT / RoE </t>
  </si>
  <si>
    <t>Re*Networth (Local currency bn) (b)</t>
  </si>
  <si>
    <t>Avg NW X CoE</t>
  </si>
  <si>
    <t>Residual income (Local currency bn) = (c) = (a) - (b)</t>
  </si>
  <si>
    <t>PAT - ReX NW
Terminal year = Residual income / (COE - growth)</t>
  </si>
  <si>
    <t>PV of residual income (Local currency bn)</t>
  </si>
  <si>
    <t>Avg RoE (%)</t>
  </si>
  <si>
    <t>Risk Weighted Assets (Local currency bn)</t>
  </si>
  <si>
    <t>RWA/Total Assets</t>
  </si>
  <si>
    <t>Leverage (X) TA/NW</t>
  </si>
  <si>
    <t>Keep an eye on this</t>
  </si>
  <si>
    <t>Tier I ratio (%)</t>
  </si>
  <si>
    <t>Calculated</t>
  </si>
  <si>
    <t>Proportion</t>
  </si>
  <si>
    <t>% of total value</t>
  </si>
  <si>
    <t>NW 12-month forward from valuation date (Local currency bn)</t>
  </si>
  <si>
    <t>PV of residual income (Local currency bn) (12 month forward from valuation date to FY2033)</t>
  </si>
  <si>
    <t>FY2015 to terminal year</t>
  </si>
  <si>
    <t xml:space="preserve">Terminal year </t>
  </si>
  <si>
    <t>Target Market Cap (Networth + PV of Residual income)</t>
  </si>
  <si>
    <t>Target price (Local currency)</t>
  </si>
  <si>
    <t>Current price per share (Local currency)</t>
  </si>
  <si>
    <t>Potential upside/(downside) (%)</t>
  </si>
  <si>
    <t>Target PBR (core) 12-m fw (X)</t>
  </si>
  <si>
    <t>Current no of shares (mn)</t>
  </si>
  <si>
    <t xml:space="preserve">Present value of imputation credit </t>
  </si>
  <si>
    <t xml:space="preserve">% valued by the market </t>
  </si>
  <si>
    <t xml:space="preserve">PV of valued imputation credit </t>
  </si>
  <si>
    <t>NW roller years</t>
  </si>
  <si>
    <t>NW roller ratios</t>
  </si>
  <si>
    <t>Residual income model</t>
  </si>
  <si>
    <t>excess K</t>
  </si>
  <si>
    <t>2H13A</t>
  </si>
  <si>
    <t>FY13A</t>
  </si>
  <si>
    <t>Source: Company data, IRESS, Goldman Sachs Global Investment Research.</t>
  </si>
  <si>
    <t>Special dividend per share</t>
  </si>
  <si>
    <t>DPS_SPECIAL_PUB</t>
  </si>
  <si>
    <t>Special dividends per share</t>
  </si>
  <si>
    <t>AD_PSDPSSpecial</t>
  </si>
  <si>
    <t>1H14A</t>
  </si>
  <si>
    <t>Price / net tangible assets - GG</t>
  </si>
  <si>
    <t>Price / net tangible assets - market</t>
  </si>
  <si>
    <t>ASS_AvAUDNZD</t>
  </si>
  <si>
    <t>DCF &amp; P/NTA vs. ROTE</t>
  </si>
  <si>
    <t xml:space="preserve"> </t>
  </si>
  <si>
    <t>2H14A</t>
  </si>
  <si>
    <t>2H24E</t>
  </si>
  <si>
    <t>FY14A</t>
  </si>
  <si>
    <t>FY24E</t>
  </si>
  <si>
    <t>1H15A</t>
  </si>
  <si>
    <t>Valuation methodology:</t>
  </si>
  <si>
    <t>FY15A</t>
  </si>
  <si>
    <t>2H15A</t>
  </si>
  <si>
    <t>1H25E</t>
  </si>
  <si>
    <t>2H25E</t>
  </si>
  <si>
    <t>FY25E</t>
  </si>
  <si>
    <t>Core Tier 2</t>
  </si>
  <si>
    <t>1H16A</t>
  </si>
  <si>
    <t>Basel 3 CET1 ratio (CRD4 - fully loaded)</t>
  </si>
  <si>
    <t>B_CA_B3T1RATIO</t>
  </si>
  <si>
    <t>Investments - captive insurance</t>
  </si>
  <si>
    <t>Investments - non-consolidated subs</t>
  </si>
  <si>
    <t>Investments - other</t>
  </si>
  <si>
    <t>EPS (pre-exceptionals, diluted)</t>
  </si>
  <si>
    <t>EPS_FUL_DIL</t>
  </si>
  <si>
    <t>EPS (post-exceptionals, basic)</t>
  </si>
  <si>
    <t>EPS_POST_BASIC</t>
  </si>
  <si>
    <t>FY16A</t>
  </si>
  <si>
    <t>2H16A</t>
  </si>
  <si>
    <t>1H26E</t>
  </si>
  <si>
    <t>2H26E</t>
  </si>
  <si>
    <t>FY26E</t>
  </si>
  <si>
    <t>1H17A</t>
  </si>
  <si>
    <t>M&amp;A probability (1 = high, 3 = low)</t>
  </si>
  <si>
    <t>FY17A</t>
  </si>
  <si>
    <t>2H17A</t>
  </si>
  <si>
    <t>1H27E</t>
  </si>
  <si>
    <t>2H27E</t>
  </si>
  <si>
    <t>FY27E</t>
  </si>
  <si>
    <t>1H18A</t>
  </si>
  <si>
    <t>FY18A</t>
  </si>
  <si>
    <t>2H18A</t>
  </si>
  <si>
    <t>1H28E</t>
  </si>
  <si>
    <t>2H28E</t>
  </si>
  <si>
    <t>FY28E</t>
  </si>
  <si>
    <t>1H19A</t>
  </si>
  <si>
    <t>FY19A</t>
  </si>
  <si>
    <t>2H19A</t>
  </si>
  <si>
    <t>1H29E</t>
  </si>
  <si>
    <t>2H29E</t>
  </si>
  <si>
    <t>FY29E</t>
  </si>
  <si>
    <t>GFC trough</t>
  </si>
  <si>
    <t>1H20A</t>
  </si>
  <si>
    <t>FY20A</t>
  </si>
  <si>
    <t>2H20A</t>
  </si>
  <si>
    <t>1H30E</t>
  </si>
  <si>
    <t>2H30E</t>
  </si>
  <si>
    <t>FY30E</t>
  </si>
  <si>
    <t>1H21A</t>
  </si>
  <si>
    <t>2H21A</t>
  </si>
  <si>
    <t>1H31E</t>
  </si>
  <si>
    <t>2H31E</t>
  </si>
  <si>
    <t>FY21A</t>
  </si>
  <si>
    <t>FY31E</t>
  </si>
  <si>
    <t>Australian Banks Team</t>
  </si>
  <si>
    <t>ANZ Banking Group (ANZ.AX)</t>
  </si>
  <si>
    <t>12 Month Target Price (A$p/s)</t>
  </si>
  <si>
    <t>Market Cap (A$ mn)</t>
  </si>
  <si>
    <t>Current shares outstanding (mn):</t>
  </si>
  <si>
    <t>Currency:</t>
  </si>
  <si>
    <t xml:space="preserve">Team Contacts: </t>
  </si>
  <si>
    <t>Andrew Lyons</t>
  </si>
  <si>
    <t>+61 2 9321-8543</t>
  </si>
  <si>
    <t>andrew.lyons@gs.com</t>
  </si>
  <si>
    <t>John Li</t>
  </si>
  <si>
    <t>+61 2 9321-8490</t>
  </si>
  <si>
    <t>john.y.li@gs.com</t>
  </si>
  <si>
    <t>1H22A</t>
  </si>
  <si>
    <t>Adjustment factor</t>
  </si>
  <si>
    <t>2H22A</t>
  </si>
  <si>
    <t>1H32E</t>
  </si>
  <si>
    <t>2H32E</t>
  </si>
  <si>
    <t>FY22A</t>
  </si>
  <si>
    <t>FY32E</t>
  </si>
  <si>
    <t>1H23A</t>
  </si>
  <si>
    <t>Non-bank capital</t>
  </si>
  <si>
    <t>2H23A</t>
  </si>
  <si>
    <t>1H33E</t>
  </si>
  <si>
    <t>2H33E</t>
  </si>
  <si>
    <t>FY23A</t>
  </si>
  <si>
    <t>FY33E</t>
  </si>
  <si>
    <t>1H24A</t>
  </si>
  <si>
    <t>Error</t>
  </si>
  <si>
    <t>Reported profit (A$ mn)</t>
  </si>
  <si>
    <t>P/TBV</t>
  </si>
  <si>
    <t>P/BV</t>
  </si>
  <si>
    <t>Weighted ave shares (m) - diluted</t>
  </si>
  <si>
    <t>Weighted ave shares (m) - basic</t>
  </si>
  <si>
    <t>CET 1 ratio</t>
  </si>
  <si>
    <t>Shares on issue (m)</t>
  </si>
  <si>
    <t>NTA per share</t>
  </si>
  <si>
    <t>Non-performing loans / total loans</t>
  </si>
  <si>
    <t>Dividend payout ratio (%)</t>
  </si>
  <si>
    <t>BDD as % of ave loans (bps)</t>
  </si>
  <si>
    <t>Dividend per share - diluted</t>
  </si>
  <si>
    <t>Loan-to-deposit ratio (%)</t>
  </si>
  <si>
    <t>Tax rate (%)</t>
  </si>
  <si>
    <t>Reported EPS - diluted</t>
  </si>
  <si>
    <t>Cost-to-assets (bpts)</t>
  </si>
  <si>
    <t>Cost-to-income</t>
  </si>
  <si>
    <t>Reported EPS - basic</t>
  </si>
  <si>
    <t>Earnings drivers</t>
  </si>
  <si>
    <t>Cash EPS - diluted</t>
  </si>
  <si>
    <t>RORWA</t>
  </si>
  <si>
    <t>ROA</t>
  </si>
  <si>
    <t>Cash EPS - basic</t>
  </si>
  <si>
    <t>ROTE</t>
  </si>
  <si>
    <t>FY24A</t>
  </si>
  <si>
    <t>Per share</t>
  </si>
  <si>
    <t>ROE</t>
  </si>
  <si>
    <t>Profitability, on reported basis</t>
  </si>
  <si>
    <t>Profitability, on cash basis</t>
  </si>
  <si>
    <t>Average balances</t>
  </si>
  <si>
    <t>CET 1 capital</t>
  </si>
  <si>
    <t>Price-to-NTA</t>
  </si>
  <si>
    <t>Total equity</t>
  </si>
  <si>
    <t>Price-to-book</t>
  </si>
  <si>
    <t>Price-to-PPOP</t>
  </si>
  <si>
    <t>Price-to-earnings</t>
  </si>
  <si>
    <t>At target price</t>
  </si>
  <si>
    <t>Balance Sheet (A$m)</t>
  </si>
  <si>
    <t>Reported profit</t>
  </si>
  <si>
    <t>At current price</t>
  </si>
  <si>
    <t>Trading multiples</t>
  </si>
  <si>
    <t xml:space="preserve">Preference dividend </t>
  </si>
  <si>
    <t>Tax &amp; NCI</t>
  </si>
  <si>
    <t>Equity beta</t>
  </si>
  <si>
    <t>Avg valuation</t>
  </si>
  <si>
    <t>BDD expense</t>
  </si>
  <si>
    <t>3.5% / 6.0%</t>
  </si>
  <si>
    <t>Rf / MRP</t>
  </si>
  <si>
    <t>Pre-provision profit</t>
  </si>
  <si>
    <t>Terminal growth</t>
  </si>
  <si>
    <t>Operating costs</t>
  </si>
  <si>
    <t>DCF Inputs</t>
  </si>
  <si>
    <t>A$ps</t>
  </si>
  <si>
    <t>Valuation Methodology</t>
  </si>
  <si>
    <t>Market capitalisation (A$m)</t>
  </si>
  <si>
    <t>Fee income</t>
  </si>
  <si>
    <t>Upside / Downside</t>
  </si>
  <si>
    <t>Target Price</t>
  </si>
  <si>
    <t>Share Price</t>
  </si>
  <si>
    <t>Recommendation</t>
  </si>
  <si>
    <t>Share Price / Recommendation / Target Price</t>
  </si>
  <si>
    <t>Profit &amp; loss (A$m)</t>
  </si>
  <si>
    <t>Brendan Sproules | brendan.sproules@gs.com | +61 3 9679 1276</t>
  </si>
  <si>
    <t>Goldman Sachs | ANZ Banking Group Limited | ANZ-AU</t>
  </si>
  <si>
    <t>Income statement</t>
  </si>
  <si>
    <t>Net Interest Income</t>
  </si>
  <si>
    <t>Net fee &amp; commission income</t>
  </si>
  <si>
    <t>Markets</t>
  </si>
  <si>
    <t>Wealth Management</t>
  </si>
  <si>
    <t>Other operating income, ex notable items</t>
  </si>
  <si>
    <t>Notable items</t>
  </si>
  <si>
    <t>Reported other operating income</t>
  </si>
  <si>
    <t>IT</t>
  </si>
  <si>
    <t>Building occupancy and equipment</t>
  </si>
  <si>
    <t>Operating expenses, ex notable items</t>
  </si>
  <si>
    <t>Reported expenses</t>
  </si>
  <si>
    <t>as % of ave GLAs</t>
  </si>
  <si>
    <t>Pre-tax Profit</t>
  </si>
  <si>
    <t>Non-controlling interests</t>
  </si>
  <si>
    <t>Cash earnings from continuing operations</t>
  </si>
  <si>
    <t>Discontinued businesses</t>
  </si>
  <si>
    <t>Statutory Profit</t>
  </si>
  <si>
    <t>Loans and advances</t>
  </si>
  <si>
    <t xml:space="preserve">RWAs </t>
  </si>
  <si>
    <t>Shareholder equity</t>
  </si>
  <si>
    <t>Implied tax rate (%)</t>
  </si>
  <si>
    <t>Basic cash EPS (cent per share)</t>
  </si>
  <si>
    <t>Diluted cash EPS (cents per share)</t>
  </si>
  <si>
    <t>Personel</t>
  </si>
  <si>
    <t>AIEA</t>
  </si>
  <si>
    <t>AIEA ex liquids</t>
  </si>
  <si>
    <t>Growth %</t>
  </si>
  <si>
    <t>Underlying expense growth %</t>
  </si>
  <si>
    <t>Reported expense growth %</t>
  </si>
  <si>
    <t>COE (Ke)</t>
  </si>
  <si>
    <t>FY25A</t>
  </si>
  <si>
    <t>Based on 20y premium/discount to sector avg, applied to current sector PE (updated 12/02/26)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</si>
</sst>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_-&quot;$&quot;* #,##0.00_-;\-&quot;$&quot;* #,##0.00_-;_-&quot;$&quot;* &quot;-&quot;??_-;_-@_-"/>
    <numFmt numFmtId="165" formatCode="_-* #,##0.00_-;\-* #,##0.00_-;_-* &quot;-&quot;??_-;_-@_-"/>
    <numFmt numFmtId="166" formatCode="0.0000"/>
    <numFmt numFmtId="167" formatCode="0.0%"/>
    <numFmt numFmtId="168" formatCode="&quot;$&quot;#,##0.00"/>
    <numFmt numFmtId="169" formatCode="0.0"/>
    <numFmt numFmtId="170" formatCode="#,##0.0"/>
    <numFmt numFmtId="171" formatCode="&quot;$&quot;#,##0"/>
    <numFmt numFmtId="172" formatCode="[$$-C09]#,##0.00"/>
    <numFmt numFmtId="173" formatCode="0.0&quot;x&quot;"/>
    <numFmt numFmtId="174" formatCode="&quot;$&quot;#,##0.0"/>
    <numFmt numFmtId="175" formatCode=";;;"/>
    <numFmt numFmtId="176" formatCode="#,##0.0%"/>
    <numFmt numFmtId="177" formatCode="#,##0.00_ ;\-#,##0.00\ "/>
    <numFmt numFmtId="178" formatCode="#,##0.00%"/>
    <numFmt numFmtId="179" formatCode="&quot;$&quot;#,##0.0\ \ \ ;\(&quot;$&quot;#,##0.0\)\ \ "/>
    <numFmt numFmtId="180" formatCode="##0.00"/>
    <numFmt numFmtId="181" formatCode="#,##0.0\ \ \ ;\(#,##0.0\)\ \ "/>
    <numFmt numFmtId="182" formatCode="#,##0.000;\(#,##0.000\)"/>
    <numFmt numFmtId="183" formatCode="mm/yy"/>
    <numFmt numFmtId="184" formatCode="\A&quot;$&quot;#.00"/>
    <numFmt numFmtId="185" formatCode="#,##0__;"/>
    <numFmt numFmtId="186" formatCode="\A&quot;$&quot;#.00__;"/>
    <numFmt numFmtId="187" formatCode="#,##0__;\(#,##0\)__;#,##0__;"/>
    <numFmt numFmtId="188" formatCode="0.00%__;\(0.00%\)__;0.00%__;"/>
    <numFmt numFmtId="189" formatCode="0.00%__;\(0.00%\)__;\(0.00%\)__;"/>
    <numFmt numFmtId="190" formatCode="0.0%__;\(0.0%\)__;\(0.0%\)__;"/>
    <numFmt numFmtId="191" formatCode="0.0\x__;\(0.0\x\)__;0.0\x__;"/>
    <numFmt numFmtId="192" formatCode="0%__;\(0%\)__;\(0%\)__;"/>
    <numFmt numFmtId="193" formatCode="0\ &quot;bp&quot;__;\(0\)\ &quot;bp&quot;__;0\ &quot;bp&quot;__;"/>
    <numFmt numFmtId="194" formatCode="#,##0.0__;\(#,##0.0\)__;#,##0.0;"/>
    <numFmt numFmtId="195" formatCode="#,##0.00__;\(#,##0.00\)__;#,##0.00;"/>
    <numFmt numFmtId="196" formatCode="0.0&quot;x&quot;__;\(0.0\)&quot;x&quot;__;0.0&quot;x&quot;__;"/>
    <numFmt numFmtId="197" formatCode="General__;"/>
    <numFmt numFmtId="198" formatCode="dd\-mmm\-yy__;"/>
    <numFmt numFmtId="199" formatCode="\A&quot;$&quot;#.00__;\(\A&quot;$&quot;#.00\)__;\A&quot;$&quot;#.00__;"/>
    <numFmt numFmtId="200" formatCode="0.0%__;\(0.0%\)__;0.0%__;"/>
    <numFmt numFmtId="201" formatCode="\A&quot;$&quot;#,##0.00"/>
    <numFmt numFmtId="202" formatCode="0.0000000000000000%"/>
    <numFmt numFmtId="203" formatCode="0.0_)\%;\(0.0\)\%;0.0_)\%;@_)_%"/>
    <numFmt numFmtId="204" formatCode="#,##0.0_)_%;\(#,##0.0\)_%;0.0_)_%;@_)_%"/>
    <numFmt numFmtId="205" formatCode="#,##0.0_);\(#,##0.0\);#,##0.0_);@_)"/>
    <numFmt numFmtId="206" formatCode="#,##0.0_);\(#,##0.0\)"/>
    <numFmt numFmtId="207" formatCode="&quot;$&quot;_(#,##0.00_);&quot;$&quot;\(#,##0.00\)"/>
    <numFmt numFmtId="208" formatCode="&quot;$&quot;_(#,##0.00_);&quot;$&quot;\(#,##0.00\);&quot;$&quot;_(0.00_);@_)"/>
    <numFmt numFmtId="209" formatCode="#,##0.00_);\(#,##0.00\);0.00_);@_)"/>
    <numFmt numFmtId="210" formatCode="\€_(#,##0.00_);\€\(#,##0.00\);\€_(0.00_);@_)"/>
    <numFmt numFmtId="211" formatCode="#,##0.0_)\x;\(#,##0.0\)\x"/>
    <numFmt numFmtId="212" formatCode="#,##0_)\x;\(#,##0\)\x;0_)\x;@_)_x"/>
    <numFmt numFmtId="213" formatCode="#,##0.0_)\x;\(#,##0.0\)\x;0.0_)\x;@_)_x"/>
    <numFmt numFmtId="214" formatCode="#,##0.0_)_x;\(#,##0.0\)_x"/>
    <numFmt numFmtId="215" formatCode="#,##0_)_x;\(#,##0\)_x;0_)_x;@_)_x"/>
    <numFmt numFmtId="216" formatCode="#,##0.0_)_x;\(#,##0.0\)_x;0.0_)_x;@_)_x"/>
    <numFmt numFmtId="217" formatCode="0.0_)\%;\(0.0\)\%"/>
    <numFmt numFmtId="218" formatCode="#,##0.0_)_%;\(#,##0.0\)_%"/>
    <numFmt numFmtId="219" formatCode="#,##0;\(#,##0\)"/>
    <numFmt numFmtId="220" formatCode="0\A"/>
    <numFmt numFmtId="221" formatCode="0.00_)"/>
    <numFmt numFmtId="222" formatCode="0\p"/>
    <numFmt numFmtId="223" formatCode="0.0&quot;  &quot;"/>
    <numFmt numFmtId="224" formatCode="_-* #,##0_-;\(#,##0\);_-* &quot;–&quot;_-;_-@_-"/>
    <numFmt numFmtId="225" formatCode="#,##0.00;;;[White]General"/>
    <numFmt numFmtId="226" formatCode="_(* #,##0.00000_);_(* \(#,##0.00000\);_(* &quot;-&quot;??_);_(@_)"/>
    <numFmt numFmtId="227" formatCode="#,##0.000_);[Red]\(#,##0.000\)"/>
    <numFmt numFmtId="228" formatCode="&quot;$&quot;0.0"/>
    <numFmt numFmtId="229" formatCode="#,##0;\(#,##0\);\–;@"/>
    <numFmt numFmtId="230" formatCode="_(&quot;CHF&quot;* #,##0.0_);_(&quot;CHF&quot;* \(#,##0.0\);_(&quot;CHF&quot;* &quot;-&quot;??_);_(@_)"/>
    <numFmt numFmtId="232" formatCode="[$-409]d\-mmm\-yy;@"/>
    <numFmt numFmtId="233" formatCode="_(* #,##0_);_(* \(#,##0\);_(* &quot;-&quot;??_);_(@_)"/>
    <numFmt numFmtId="234" formatCode="_(* #,##0.0_);_(* \(#,##0.0\);_(* &quot;-&quot;??_);_(@_)"/>
    <numFmt numFmtId="236" formatCode="0.000000000000000%"/>
    <numFmt numFmtId="237" formatCode="#,##0.000"/>
    <numFmt numFmtId="238" formatCode="0.000%"/>
    <numFmt numFmtId="239" formatCode="0.000000000000000000%"/>
    <numFmt numFmtId="240" formatCode="0.00000%"/>
    <numFmt numFmtId="241" formatCode="0.0000000%"/>
    <numFmt numFmtId="242" formatCode="0.000"/>
    <numFmt numFmtId="243" formatCode="0.0000000"/>
    <numFmt numFmtId="244" formatCode="mmmm\ dd\.\ yyyy"/>
    <numFmt numFmtId="245" formatCode="#,##0.0000"/>
    <numFmt numFmtId="246" formatCode="0.0\ &quot;bps&quot;"/>
    <numFmt numFmtId="247" formatCode="0\ &quot;bpts&quot;"/>
    <numFmt numFmtId="248" formatCode="0.0\x"/>
    <numFmt numFmtId="249" formatCode="0.00&quot;x&quot;"/>
    <numFmt numFmtId="250" formatCode="0&quot;bpts&quot;"/>
  </numFmts>
  <fonts count="155">
    <font>
      <sz val="10"/>
      <name val="Verdana"/>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Verdana"/>
      <family val="2"/>
    </font>
    <font>
      <sz val="10"/>
      <name val="Verdana"/>
      <family val="2"/>
    </font>
    <font>
      <sz val="8"/>
      <name val="Verdana"/>
      <family val="2"/>
    </font>
    <font>
      <sz val="9"/>
      <color indexed="46"/>
      <name val="Arial"/>
      <family val="2"/>
    </font>
    <font>
      <b/>
      <sz val="9"/>
      <color indexed="9"/>
      <name val="Arial"/>
      <family val="2"/>
    </font>
    <font>
      <b/>
      <sz val="9"/>
      <color indexed="52"/>
      <name val="Arial"/>
      <family val="2"/>
    </font>
    <font>
      <b/>
      <sz val="9"/>
      <name val="Arial"/>
      <family val="2"/>
    </font>
    <font>
      <sz val="9"/>
      <color indexed="52"/>
      <name val="Arial"/>
      <family val="2"/>
    </font>
    <font>
      <sz val="9"/>
      <name val="Arial"/>
      <family val="2"/>
    </font>
    <font>
      <sz val="9"/>
      <color indexed="10"/>
      <name val="Arial"/>
      <family val="2"/>
    </font>
    <font>
      <sz val="9"/>
      <color indexed="14"/>
      <name val="Arial"/>
      <family val="2"/>
    </font>
    <font>
      <sz val="9"/>
      <color indexed="48"/>
      <name val="Arial"/>
      <family val="2"/>
    </font>
    <font>
      <sz val="9"/>
      <color indexed="57"/>
      <name val="Arial"/>
      <family val="2"/>
    </font>
    <font>
      <sz val="9"/>
      <color indexed="11"/>
      <name val="Arial"/>
      <family val="2"/>
    </font>
    <font>
      <b/>
      <sz val="9"/>
      <color indexed="10"/>
      <name val="Arial"/>
      <family val="2"/>
    </font>
    <font>
      <i/>
      <sz val="9"/>
      <name val="Arial"/>
      <family val="2"/>
    </font>
    <font>
      <i/>
      <sz val="9"/>
      <color indexed="10"/>
      <name val="Arial"/>
      <family val="2"/>
    </font>
    <font>
      <sz val="9"/>
      <color indexed="9"/>
      <name val="Arial"/>
      <family val="2"/>
    </font>
    <font>
      <i/>
      <sz val="9"/>
      <color indexed="46"/>
      <name val="Arial"/>
      <family val="2"/>
    </font>
    <font>
      <b/>
      <i/>
      <sz val="9"/>
      <color indexed="46"/>
      <name val="Arial"/>
      <family val="2"/>
    </font>
    <font>
      <b/>
      <i/>
      <sz val="9"/>
      <name val="Arial"/>
      <family val="2"/>
    </font>
    <font>
      <sz val="8"/>
      <color indexed="81"/>
      <name val="Tahoma"/>
      <family val="2"/>
    </font>
    <font>
      <b/>
      <sz val="8"/>
      <color indexed="81"/>
      <name val="Tahoma"/>
      <family val="2"/>
    </font>
    <font>
      <sz val="9"/>
      <color rgb="FFFF0000"/>
      <name val="Arial"/>
      <family val="2"/>
    </font>
    <font>
      <sz val="10"/>
      <color indexed="8"/>
      <name val="Arial"/>
      <family val="2"/>
    </font>
    <font>
      <b/>
      <sz val="12"/>
      <color indexed="9"/>
      <name val="Arial"/>
      <family val="2"/>
    </font>
    <font>
      <b/>
      <sz val="10"/>
      <color indexed="9"/>
      <name val="Arial"/>
      <family val="2"/>
    </font>
    <font>
      <sz val="10"/>
      <name val="Arial"/>
      <family val="2"/>
    </font>
    <font>
      <sz val="9"/>
      <name val="Verdana"/>
      <family val="2"/>
    </font>
    <font>
      <sz val="10"/>
      <color indexed="10"/>
      <name val="Arial"/>
      <family val="2"/>
    </font>
    <font>
      <sz val="10"/>
      <color rgb="FFFF0000"/>
      <name val="Arial"/>
      <family val="2"/>
    </font>
    <font>
      <sz val="8"/>
      <name val="Helv"/>
    </font>
    <font>
      <sz val="10"/>
      <name val="Helv"/>
    </font>
    <font>
      <b/>
      <i/>
      <sz val="12"/>
      <color indexed="39"/>
      <name val="Arial"/>
      <family val="2"/>
    </font>
    <font>
      <sz val="10"/>
      <color indexed="17"/>
      <name val="Arial"/>
      <family val="2"/>
    </font>
    <font>
      <b/>
      <sz val="10"/>
      <color indexed="17"/>
      <name val="Arial"/>
      <family val="2"/>
    </font>
    <font>
      <sz val="8"/>
      <name val="Arial"/>
      <family val="2"/>
    </font>
    <font>
      <sz val="10"/>
      <name val="Geneva"/>
      <family val="2"/>
    </font>
    <font>
      <b/>
      <sz val="10"/>
      <color indexed="8"/>
      <name val="Arial"/>
      <family val="2"/>
    </font>
    <font>
      <sz val="10"/>
      <name val="MS Serif"/>
      <family val="1"/>
    </font>
    <font>
      <sz val="10"/>
      <color indexed="9"/>
      <name val="Arial"/>
      <family val="2"/>
    </font>
    <font>
      <b/>
      <sz val="12"/>
      <name val="Verdana"/>
      <family val="2"/>
    </font>
    <font>
      <sz val="10"/>
      <color indexed="20"/>
      <name val="Arial"/>
      <family val="2"/>
    </font>
    <font>
      <b/>
      <sz val="10"/>
      <color indexed="52"/>
      <name val="Arial"/>
      <family val="2"/>
    </font>
    <font>
      <i/>
      <sz val="10"/>
      <color indexed="23"/>
      <name val="Arial"/>
      <family val="2"/>
    </font>
    <font>
      <b/>
      <sz val="15"/>
      <color indexed="62"/>
      <name val="Arial"/>
      <family val="2"/>
    </font>
    <font>
      <b/>
      <sz val="13"/>
      <color indexed="62"/>
      <name val="Arial"/>
      <family val="2"/>
    </font>
    <font>
      <b/>
      <sz val="11"/>
      <color indexed="62"/>
      <name val="Arial"/>
      <family val="2"/>
    </font>
    <font>
      <sz val="10"/>
      <color indexed="62"/>
      <name val="Arial"/>
      <family val="2"/>
    </font>
    <font>
      <sz val="10"/>
      <color indexed="52"/>
      <name val="Arial"/>
      <family val="2"/>
    </font>
    <font>
      <sz val="10"/>
      <color indexed="60"/>
      <name val="Arial"/>
      <family val="2"/>
    </font>
    <font>
      <b/>
      <sz val="10"/>
      <color indexed="34"/>
      <name val="Arial"/>
      <family val="2"/>
    </font>
    <font>
      <b/>
      <sz val="18"/>
      <color indexed="62"/>
      <name val="Cambria"/>
      <family val="2"/>
    </font>
    <font>
      <b/>
      <sz val="9"/>
      <color rgb="FFFF0000"/>
      <name val="Arial"/>
      <family val="2"/>
    </font>
    <font>
      <i/>
      <sz val="9"/>
      <color rgb="FFFF0000"/>
      <name val="Arial"/>
      <family val="2"/>
    </font>
    <font>
      <sz val="9"/>
      <color theme="1"/>
      <name val="Arial"/>
      <family val="2"/>
    </font>
    <font>
      <sz val="9"/>
      <color rgb="FF0070C0"/>
      <name val="Arial"/>
      <family val="2"/>
    </font>
    <font>
      <b/>
      <sz val="9"/>
      <color indexed="81"/>
      <name val="Tahoma"/>
      <family val="2"/>
    </font>
    <font>
      <sz val="9"/>
      <color indexed="81"/>
      <name val="Tahoma"/>
      <family val="2"/>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20"/>
      <color rgb="FF006100"/>
      <name val="Calibri"/>
      <family val="2"/>
      <scheme val="minor"/>
    </font>
    <font>
      <sz val="18"/>
      <color rgb="FF9C6500"/>
      <name val="Calibri"/>
      <family val="2"/>
      <scheme val="minor"/>
    </font>
    <font>
      <sz val="20"/>
      <color rgb="FF9C6500"/>
      <name val="Calibri"/>
      <family val="2"/>
      <scheme val="minor"/>
    </font>
    <font>
      <sz val="10"/>
      <name val="GS TheSans"/>
      <family val="2"/>
    </font>
    <font>
      <sz val="8"/>
      <name val="Tahoma"/>
      <family val="2"/>
    </font>
    <font>
      <b/>
      <sz val="10"/>
      <name val="MS Sans Serif"/>
      <family val="2"/>
    </font>
    <font>
      <b/>
      <sz val="22"/>
      <color indexed="18"/>
      <name val="Arial"/>
      <family val="2"/>
    </font>
    <font>
      <b/>
      <sz val="14"/>
      <color indexed="18"/>
      <name val="Arial"/>
      <family val="2"/>
    </font>
    <font>
      <sz val="9"/>
      <color indexed="8"/>
      <name val="Arial"/>
      <family val="2"/>
    </font>
    <font>
      <b/>
      <sz val="10"/>
      <color indexed="18"/>
      <name val="Arial"/>
      <family val="2"/>
    </font>
    <font>
      <b/>
      <u val="singleAccounting"/>
      <sz val="10"/>
      <color indexed="18"/>
      <name val="Arial"/>
      <family val="2"/>
    </font>
    <font>
      <sz val="9"/>
      <color indexed="8"/>
      <name val="Times New Roman"/>
      <family val="1"/>
    </font>
    <font>
      <b/>
      <sz val="10"/>
      <color indexed="8"/>
      <name val="Times New Roman"/>
      <family val="1"/>
    </font>
    <font>
      <sz val="8"/>
      <name val="Times"/>
      <family val="1"/>
    </font>
    <font>
      <sz val="8"/>
      <name val="Helvetica"/>
      <family val="2"/>
    </font>
    <font>
      <b/>
      <sz val="12"/>
      <name val="Tms Rmn"/>
    </font>
    <font>
      <sz val="9"/>
      <color indexed="9"/>
      <name val="Times New Roman"/>
      <family val="1"/>
    </font>
    <font>
      <sz val="8"/>
      <color indexed="12"/>
      <name val="Tms Rmn"/>
    </font>
    <font>
      <b/>
      <i/>
      <sz val="8"/>
      <name val="Arial"/>
      <family val="2"/>
    </font>
    <font>
      <b/>
      <sz val="10"/>
      <name val="Bookman"/>
      <family val="1"/>
    </font>
    <font>
      <b/>
      <sz val="24"/>
      <name val="Times New Roman"/>
      <family val="1"/>
    </font>
    <font>
      <b/>
      <sz val="14"/>
      <name val="Book Antiqua"/>
      <family val="1"/>
    </font>
    <font>
      <sz val="11"/>
      <color indexed="12"/>
      <name val="Book Antiqua"/>
      <family val="1"/>
    </font>
    <font>
      <b/>
      <u/>
      <sz val="7"/>
      <name val="Helvetica"/>
      <family val="2"/>
    </font>
    <font>
      <sz val="10"/>
      <name val="Book Antiqua"/>
      <family val="1"/>
    </font>
    <font>
      <sz val="7"/>
      <name val="Arial"/>
      <family val="2"/>
    </font>
    <font>
      <b/>
      <sz val="8.5"/>
      <color indexed="17"/>
      <name val="Arial"/>
      <family val="2"/>
    </font>
    <font>
      <b/>
      <sz val="7"/>
      <color indexed="17"/>
      <name val="Arial"/>
      <family val="2"/>
    </font>
    <font>
      <sz val="8.5"/>
      <color indexed="8"/>
      <name val="Arial"/>
      <family val="2"/>
    </font>
    <font>
      <b/>
      <sz val="8"/>
      <name val="Book Antiqua"/>
      <family val="1"/>
    </font>
    <font>
      <b/>
      <sz val="12"/>
      <name val="Arial"/>
      <family val="2"/>
    </font>
    <font>
      <sz val="10"/>
      <name val="MS Sans Serif"/>
      <family val="2"/>
    </font>
    <font>
      <b/>
      <sz val="10"/>
      <name val="Palatino"/>
      <family val="1"/>
    </font>
    <font>
      <b/>
      <sz val="14"/>
      <name val="Arial"/>
      <family val="2"/>
    </font>
    <font>
      <sz val="8"/>
      <name val="Book Antiqua"/>
      <family val="1"/>
    </font>
    <font>
      <i/>
      <sz val="7"/>
      <name val="Book Antiqua"/>
      <family val="1"/>
    </font>
    <font>
      <sz val="8"/>
      <color indexed="9"/>
      <name val="Arial"/>
      <family val="2"/>
    </font>
    <font>
      <b/>
      <i/>
      <sz val="16"/>
      <name val="Helv"/>
    </font>
    <font>
      <b/>
      <sz val="8"/>
      <name val="Arial"/>
      <family val="2"/>
    </font>
    <font>
      <sz val="10"/>
      <color indexed="72"/>
      <name val="System"/>
      <family val="2"/>
    </font>
    <font>
      <b/>
      <sz val="14"/>
      <name val="Times New Roman"/>
      <family val="1"/>
    </font>
    <font>
      <sz val="10"/>
      <name val="Palatino"/>
      <family val="1"/>
    </font>
    <font>
      <sz val="8"/>
      <name val="Helv"/>
      <family val="2"/>
    </font>
    <font>
      <sz val="10"/>
      <name val="Times New Roman"/>
      <family val="1"/>
    </font>
    <font>
      <sz val="12"/>
      <name val="Helvetica"/>
      <family val="2"/>
    </font>
    <font>
      <b/>
      <sz val="14"/>
      <name val="Bookman"/>
      <family val="1"/>
    </font>
    <font>
      <b/>
      <sz val="8"/>
      <name val="HelveticaNeue Condensed"/>
    </font>
    <font>
      <sz val="8"/>
      <name val="HelveticaNeue LightCond"/>
      <family val="2"/>
    </font>
    <font>
      <b/>
      <sz val="7"/>
      <name val="HelveticaNeue Condensed"/>
      <family val="2"/>
    </font>
    <font>
      <b/>
      <sz val="9"/>
      <name val="Times New Roman"/>
      <family val="1"/>
    </font>
    <font>
      <b/>
      <sz val="10"/>
      <name val="Arial"/>
      <family val="2"/>
    </font>
    <font>
      <b/>
      <sz val="11"/>
      <name val="Times New Roman"/>
      <family val="1"/>
    </font>
    <font>
      <b/>
      <sz val="8.5"/>
      <color indexed="8"/>
      <name val="Arial"/>
      <family val="2"/>
    </font>
    <font>
      <b/>
      <sz val="12"/>
      <color indexed="16"/>
      <name val="Arial"/>
      <family val="2"/>
    </font>
    <font>
      <sz val="7"/>
      <name val="Times New Roman"/>
      <family val="1"/>
    </font>
    <font>
      <b/>
      <u/>
      <sz val="9"/>
      <name val="Arial"/>
      <family val="2"/>
    </font>
    <font>
      <b/>
      <u/>
      <sz val="14"/>
      <name val="Book Antiqua"/>
      <family val="1"/>
    </font>
    <font>
      <b/>
      <sz val="10"/>
      <name val="Book Antiqua"/>
      <family val="1"/>
    </font>
    <font>
      <b/>
      <sz val="7"/>
      <name val="Arial"/>
      <family val="2"/>
    </font>
    <font>
      <b/>
      <sz val="10"/>
      <name val="Times New Roman"/>
      <family val="1"/>
    </font>
    <font>
      <u/>
      <sz val="10"/>
      <color theme="10"/>
      <name val="Verdana"/>
      <family val="2"/>
    </font>
    <font>
      <b/>
      <sz val="10"/>
      <color indexed="12"/>
      <name val="Arial"/>
      <family val="2"/>
    </font>
    <font>
      <b/>
      <sz val="10"/>
      <color rgb="FFFF0000"/>
      <name val="Arial"/>
      <family val="2"/>
    </font>
    <font>
      <b/>
      <sz val="9"/>
      <color theme="1"/>
      <name val="Arial"/>
      <family val="2"/>
    </font>
    <font>
      <b/>
      <sz val="9"/>
      <color theme="0"/>
      <name val="Arial"/>
      <family val="2"/>
    </font>
    <font>
      <sz val="10.5"/>
      <color theme="1"/>
      <name val="Calibri"/>
      <family val="2"/>
    </font>
    <font>
      <b/>
      <sz val="11"/>
      <color theme="1"/>
      <name val="Calibri"/>
      <family val="2"/>
    </font>
    <font>
      <b/>
      <sz val="11.5"/>
      <color theme="0"/>
      <name val="Calibri"/>
      <family val="2"/>
    </font>
    <font>
      <b/>
      <sz val="10.5"/>
      <color theme="1"/>
      <name val="Calibri"/>
      <family val="2"/>
    </font>
    <font>
      <sz val="9"/>
      <color rgb="FFC00000"/>
      <name val="Arial"/>
      <family val="2"/>
    </font>
    <font>
      <sz val="9"/>
      <color rgb="FF7030A0"/>
      <name val="Arial"/>
      <family val="2"/>
    </font>
    <font>
      <sz val="9"/>
      <color theme="4"/>
      <name val="Arial"/>
      <family val="2"/>
    </font>
    <font>
      <b/>
      <sz val="9"/>
      <color indexed="48"/>
      <name val="Arial"/>
      <family val="2"/>
    </font>
    <font>
      <sz val="9"/>
      <color theme="9"/>
      <name val="Arial"/>
      <family val="2"/>
    </font>
    <font>
      <b/>
      <sz val="9"/>
      <color rgb="FF7030A0"/>
      <name val="Arial"/>
      <family val="2"/>
    </font>
    <font>
      <sz val="7"/>
      <color rgb="FF7030A0"/>
      <name val="Arial"/>
      <family val="2"/>
    </font>
    <font>
      <b/>
      <u/>
      <sz val="10"/>
      <name val="Arial"/>
      <family val="2"/>
    </font>
    <font>
      <i/>
      <sz val="9"/>
      <color theme="1"/>
      <name val="Arial"/>
      <family val="2"/>
    </font>
    <font>
      <sz val="10"/>
      <color rgb="FF000000"/>
      <name val="Arial"/>
      <family val="2"/>
    </font>
    <font>
      <sz val="14"/>
      <color rgb="FF000000"/>
      <name val="Arial"/>
      <family val="2"/>
    </font>
    <font>
      <b/>
      <sz val="14"/>
      <color rgb="FF000000"/>
      <name val="Arial"/>
      <family val="2"/>
    </font>
    <font>
      <b/>
      <sz val="14"/>
      <color rgb="FFFFFFFF"/>
      <name val="Arial"/>
      <family val="2"/>
    </font>
  </fonts>
  <fills count="48">
    <fill>
      <patternFill patternType="none"/>
    </fill>
    <fill>
      <patternFill patternType="gray125"/>
    </fill>
    <fill>
      <patternFill patternType="solid">
        <fgColor indexed="24"/>
        <bgColor indexed="64"/>
      </patternFill>
    </fill>
    <fill>
      <patternFill patternType="solid">
        <fgColor indexed="25"/>
        <bgColor indexed="64"/>
      </patternFill>
    </fill>
    <fill>
      <patternFill patternType="solid">
        <fgColor indexed="13"/>
        <bgColor indexed="64"/>
      </patternFill>
    </fill>
    <fill>
      <patternFill patternType="solid">
        <fgColor indexed="42"/>
        <bgColor indexed="64"/>
      </patternFill>
    </fill>
    <fill>
      <patternFill patternType="solid">
        <fgColor indexed="9"/>
        <bgColor indexed="64"/>
      </patternFill>
    </fill>
    <fill>
      <patternFill patternType="solid">
        <fgColor rgb="FFFFFF00"/>
        <bgColor indexed="64"/>
      </patternFill>
    </fill>
    <fill>
      <patternFill patternType="solid">
        <fgColor theme="0"/>
        <bgColor indexed="64"/>
      </patternFill>
    </fill>
    <fill>
      <patternFill patternType="solid">
        <fgColor indexed="33"/>
        <bgColor indexed="64"/>
      </patternFill>
    </fill>
    <fill>
      <patternFill patternType="solid">
        <fgColor rgb="FF00B0F0"/>
        <bgColor indexed="64"/>
      </patternFill>
    </fill>
    <fill>
      <patternFill patternType="solid">
        <fgColor indexed="22"/>
        <bgColor indexed="64"/>
      </patternFill>
    </fill>
    <fill>
      <patternFill patternType="solid">
        <fgColor indexed="30"/>
      </patternFill>
    </fill>
    <fill>
      <patternFill patternType="solid">
        <fgColor indexed="47"/>
      </patternFill>
    </fill>
    <fill>
      <patternFill patternType="solid">
        <fgColor indexed="43"/>
      </patternFill>
    </fill>
    <fill>
      <patternFill patternType="solid">
        <fgColor indexed="38"/>
      </patternFill>
    </fill>
    <fill>
      <patternFill patternType="solid">
        <fgColor indexed="28"/>
      </patternFill>
    </fill>
    <fill>
      <patternFill patternType="solid">
        <fgColor indexed="26"/>
      </patternFill>
    </fill>
    <fill>
      <patternFill patternType="solid">
        <fgColor indexed="33"/>
      </patternFill>
    </fill>
    <fill>
      <patternFill patternType="solid">
        <fgColor indexed="24"/>
      </patternFill>
    </fill>
    <fill>
      <patternFill patternType="solid">
        <fgColor indexed="10"/>
      </patternFill>
    </fill>
    <fill>
      <patternFill patternType="solid">
        <fgColor indexed="57"/>
      </patternFill>
    </fill>
    <fill>
      <patternFill patternType="solid">
        <fgColor indexed="54"/>
      </patternFill>
    </fill>
    <fill>
      <patternFill patternType="solid">
        <fgColor indexed="49"/>
      </patternFill>
    </fill>
    <fill>
      <patternFill patternType="solid">
        <fgColor indexed="53"/>
      </patternFill>
    </fill>
    <fill>
      <patternFill patternType="solid">
        <fgColor indexed="45"/>
      </patternFill>
    </fill>
    <fill>
      <patternFill patternType="solid">
        <fgColor indexed="27"/>
      </patternFill>
    </fill>
    <fill>
      <patternFill patternType="solid">
        <fgColor indexed="42"/>
      </patternFill>
    </fill>
    <fill>
      <patternFill patternType="solid">
        <fgColor theme="0" tint="-0.14999847407452621"/>
        <bgColor indexed="64"/>
      </patternFill>
    </fill>
    <fill>
      <patternFill patternType="solid">
        <fgColor theme="9"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gray0625">
        <fgColor indexed="10"/>
        <bgColor indexed="9"/>
      </patternFill>
    </fill>
    <fill>
      <patternFill patternType="solid">
        <fgColor indexed="18"/>
        <bgColor indexed="64"/>
      </patternFill>
    </fill>
    <fill>
      <patternFill patternType="lightGray">
        <fgColor indexed="14"/>
        <bgColor indexed="9"/>
      </patternFill>
    </fill>
    <fill>
      <patternFill patternType="lightGray">
        <fgColor indexed="15"/>
      </patternFill>
    </fill>
    <fill>
      <patternFill patternType="lightGray">
        <fgColor indexed="12"/>
        <bgColor indexed="9"/>
      </patternFill>
    </fill>
    <fill>
      <patternFill patternType="solid">
        <fgColor indexed="11"/>
        <bgColor indexed="9"/>
      </patternFill>
    </fill>
    <fill>
      <patternFill patternType="solid">
        <fgColor indexed="8"/>
        <bgColor indexed="64"/>
      </patternFill>
    </fill>
    <fill>
      <patternFill patternType="lightGray">
        <fgColor indexed="22"/>
        <bgColor indexed="9"/>
      </patternFill>
    </fill>
    <fill>
      <patternFill patternType="solid">
        <fgColor rgb="FFFFC000"/>
        <bgColor indexed="64"/>
      </patternFill>
    </fill>
    <fill>
      <patternFill patternType="solid">
        <fgColor theme="0" tint="-0.249977111117893"/>
        <bgColor indexed="64"/>
      </patternFill>
    </fill>
    <fill>
      <patternFill patternType="solid">
        <fgColor theme="3" tint="0.39997558519241921"/>
        <bgColor indexed="64"/>
      </patternFill>
    </fill>
    <fill>
      <patternFill patternType="solid">
        <fgColor rgb="FF00355F"/>
        <bgColor indexed="64"/>
      </patternFill>
    </fill>
    <fill>
      <patternFill patternType="solid">
        <fgColor theme="3"/>
        <bgColor indexed="64"/>
      </patternFill>
    </fill>
    <fill>
      <patternFill patternType="solid">
        <fgColor rgb="FF006BC4"/>
        <bgColor indexed="64"/>
      </patternFill>
    </fill>
  </fills>
  <borders count="42">
    <border>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diagonal/>
    </border>
    <border>
      <left/>
      <right/>
      <top style="dotted">
        <color indexed="64"/>
      </top>
      <bottom style="dotted">
        <color indexed="64"/>
      </bottom>
      <diagonal/>
    </border>
    <border>
      <left style="thin">
        <color indexed="9"/>
      </left>
      <right/>
      <top style="thin">
        <color indexed="9"/>
      </top>
      <bottom style="thin">
        <color indexed="23"/>
      </bottom>
      <diagonal/>
    </border>
    <border>
      <left style="thin">
        <color indexed="23"/>
      </left>
      <right style="dashed">
        <color indexed="9"/>
      </right>
      <top/>
      <bottom style="dashed">
        <color indexed="9"/>
      </bottom>
      <diagonal/>
    </border>
    <border>
      <left/>
      <right/>
      <top style="thin">
        <color indexed="24"/>
      </top>
      <bottom style="double">
        <color indexed="24"/>
      </bottom>
      <diagonal/>
    </border>
    <border>
      <left style="thin">
        <color indexed="23"/>
      </left>
      <right style="thin">
        <color indexed="23"/>
      </right>
      <top style="thin">
        <color indexed="23"/>
      </top>
      <bottom style="thin">
        <color indexed="23"/>
      </bottom>
      <diagonal/>
    </border>
    <border>
      <left style="double">
        <color indexed="34"/>
      </left>
      <right style="double">
        <color indexed="34"/>
      </right>
      <top style="double">
        <color indexed="34"/>
      </top>
      <bottom style="double">
        <color indexed="34"/>
      </bottom>
      <diagonal/>
    </border>
    <border>
      <left/>
      <right/>
      <top/>
      <bottom style="thick">
        <color indexed="24"/>
      </bottom>
      <diagonal/>
    </border>
    <border>
      <left/>
      <right/>
      <top/>
      <bottom style="thick">
        <color indexed="31"/>
      </bottom>
      <diagonal/>
    </border>
    <border>
      <left/>
      <right/>
      <top/>
      <bottom style="medium">
        <color indexed="26"/>
      </bottom>
      <diagonal/>
    </border>
    <border>
      <left/>
      <right/>
      <top/>
      <bottom style="double">
        <color indexed="52"/>
      </bottom>
      <diagonal/>
    </border>
    <border>
      <left style="thin">
        <color indexed="33"/>
      </left>
      <right style="thin">
        <color indexed="33"/>
      </right>
      <top style="thin">
        <color indexed="33"/>
      </top>
      <bottom style="thin">
        <color indexed="33"/>
      </bottom>
      <diagonal/>
    </border>
    <border>
      <left style="thin">
        <color indexed="34"/>
      </left>
      <right style="thin">
        <color indexed="34"/>
      </right>
      <top style="thin">
        <color indexed="34"/>
      </top>
      <bottom style="thin">
        <color indexed="34"/>
      </bottom>
      <diagonal/>
    </border>
    <border>
      <left/>
      <right/>
      <top/>
      <bottom style="hair">
        <color auto="1"/>
      </bottom>
      <diagonal/>
    </border>
    <border>
      <left/>
      <right/>
      <top style="thin">
        <color indexed="64"/>
      </top>
      <bottom style="thin">
        <color indexed="64"/>
      </bottom>
      <diagonal/>
    </border>
    <border>
      <left/>
      <right/>
      <top style="hair">
        <color auto="1"/>
      </top>
      <bottom/>
      <diagonal/>
    </border>
    <border>
      <left style="thin">
        <color rgb="FF3F3F3F"/>
      </left>
      <right style="thin">
        <color rgb="FF3F3F3F"/>
      </right>
      <top style="thin">
        <color rgb="FF3F3F3F"/>
      </top>
      <bottom style="thin">
        <color rgb="FF3F3F3F"/>
      </bottom>
      <diagonal/>
    </border>
    <border>
      <left/>
      <right/>
      <top/>
      <bottom style="thin">
        <color rgb="FF3F3F3F"/>
      </bottom>
      <diagonal/>
    </border>
    <border>
      <left style="thin">
        <color indexed="64"/>
      </left>
      <right style="thin">
        <color indexed="64"/>
      </right>
      <top style="thin">
        <color indexed="64"/>
      </top>
      <bottom style="thin">
        <color indexed="64"/>
      </bottom>
      <diagonal/>
    </border>
    <border>
      <left/>
      <right/>
      <top style="thin">
        <color rgb="FF3F3F3F"/>
      </top>
      <bottom style="thin">
        <color rgb="FF3F3F3F"/>
      </bottom>
      <diagonal/>
    </border>
    <border>
      <left/>
      <right style="thin">
        <color rgb="FF3F3F3F"/>
      </right>
      <top style="thin">
        <color rgb="FF3F3F3F"/>
      </top>
      <bottom style="thin">
        <color rgb="FF3F3F3F"/>
      </bottom>
      <diagonal/>
    </border>
    <border>
      <left style="thin">
        <color rgb="FF3F3F3F"/>
      </left>
      <right/>
      <top style="thin">
        <color rgb="FF3F3F3F"/>
      </top>
      <bottom style="thin">
        <color rgb="FF3F3F3F"/>
      </bottom>
      <diagonal/>
    </border>
    <border>
      <left/>
      <right/>
      <top style="thin">
        <color rgb="FF3F3F3F"/>
      </top>
      <bottom/>
      <diagonal/>
    </border>
    <border>
      <left/>
      <right/>
      <top style="hair">
        <color indexed="8"/>
      </top>
      <bottom style="hair">
        <color indexed="8"/>
      </bottom>
      <diagonal/>
    </border>
    <border>
      <left/>
      <right/>
      <top style="thin">
        <color indexed="8"/>
      </top>
      <bottom style="thin">
        <color indexed="8"/>
      </bottom>
      <diagonal/>
    </border>
    <border>
      <left/>
      <right/>
      <top/>
      <bottom style="medium">
        <color indexed="18"/>
      </bottom>
      <diagonal/>
    </border>
    <border>
      <left style="medium">
        <color indexed="9"/>
      </left>
      <right style="medium">
        <color indexed="9"/>
      </right>
      <top/>
      <bottom/>
      <diagonal/>
    </border>
    <border>
      <left/>
      <right style="thin">
        <color indexed="8"/>
      </right>
      <top style="thin">
        <color indexed="8"/>
      </top>
      <bottom/>
      <diagonal/>
    </border>
    <border>
      <left style="thin">
        <color indexed="64"/>
      </left>
      <right style="thin">
        <color indexed="64"/>
      </right>
      <top/>
      <bottom style="thin">
        <color indexed="64"/>
      </bottom>
      <diagonal/>
    </border>
    <border>
      <left style="thick">
        <color indexed="9"/>
      </left>
      <right style="thick">
        <color indexed="9"/>
      </right>
      <top/>
      <bottom style="double">
        <color indexed="64"/>
      </bottom>
      <diagonal/>
    </border>
    <border>
      <left/>
      <right/>
      <top style="thin">
        <color indexed="64"/>
      </top>
      <bottom style="medium">
        <color indexed="64"/>
      </bottom>
      <diagonal/>
    </border>
    <border>
      <left/>
      <right/>
      <top style="hair">
        <color indexed="64"/>
      </top>
      <bottom style="hair">
        <color indexed="64"/>
      </bottom>
      <diagonal/>
    </border>
    <border>
      <left/>
      <right/>
      <top/>
      <bottom style="dashed">
        <color auto="1"/>
      </bottom>
      <diagonal/>
    </border>
  </borders>
  <cellStyleXfs count="511">
    <xf numFmtId="0" fontId="0" fillId="0" borderId="0"/>
    <xf numFmtId="43" fontId="10" fillId="0" borderId="0" applyFont="0" applyFill="0" applyBorder="0" applyAlignment="0" applyProtection="0"/>
    <xf numFmtId="44" fontId="11" fillId="0" borderId="0" applyFont="0" applyFill="0" applyBorder="0" applyAlignment="0" applyProtection="0"/>
    <xf numFmtId="9" fontId="11" fillId="0" borderId="0" applyFont="0" applyFill="0" applyBorder="0" applyAlignment="0" applyProtection="0"/>
    <xf numFmtId="0" fontId="9" fillId="0" borderId="0"/>
    <xf numFmtId="0" fontId="34" fillId="0" borderId="0"/>
    <xf numFmtId="0" fontId="10" fillId="0" borderId="0"/>
    <xf numFmtId="167" fontId="38" fillId="0" borderId="0" applyFont="0" applyFill="0" applyBorder="0" applyAlignment="0" applyProtection="0"/>
    <xf numFmtId="177" fontId="38" fillId="0" borderId="0" applyFont="0" applyFill="0" applyBorder="0" applyAlignment="0" applyProtection="0"/>
    <xf numFmtId="0" fontId="38" fillId="0" borderId="0" applyNumberFormat="0" applyFill="0" applyBorder="0" applyAlignment="0" applyProtection="0"/>
    <xf numFmtId="44" fontId="10" fillId="0" borderId="0" applyFont="0" applyFill="0" applyBorder="0" applyAlignment="0" applyProtection="0"/>
    <xf numFmtId="179" fontId="41" fillId="0" borderId="0"/>
    <xf numFmtId="12" fontId="42" fillId="0" borderId="0">
      <alignment horizontal="center"/>
    </xf>
    <xf numFmtId="0" fontId="43" fillId="11" borderId="0"/>
    <xf numFmtId="180" fontId="44" fillId="0" borderId="9" applyBorder="0">
      <protection locked="0"/>
    </xf>
    <xf numFmtId="0" fontId="45" fillId="0" borderId="0">
      <alignment horizontal="right"/>
    </xf>
    <xf numFmtId="0" fontId="44" fillId="0" borderId="10" applyNumberFormat="0" applyAlignment="0"/>
    <xf numFmtId="0" fontId="8" fillId="0" borderId="0"/>
    <xf numFmtId="0" fontId="8" fillId="0" borderId="0"/>
    <xf numFmtId="0" fontId="8" fillId="0" borderId="0"/>
    <xf numFmtId="0" fontId="8" fillId="0" borderId="0"/>
    <xf numFmtId="0" fontId="8" fillId="0" borderId="0"/>
    <xf numFmtId="181" fontId="41" fillId="0" borderId="0"/>
    <xf numFmtId="9" fontId="10" fillId="0" borderId="0" applyFont="0" applyFill="0" applyBorder="0" applyAlignment="0" applyProtection="0"/>
    <xf numFmtId="38" fontId="46" fillId="0" borderId="0" applyFill="0" applyBorder="0" applyAlignment="0" applyProtection="0">
      <alignment horizontal="right"/>
    </xf>
    <xf numFmtId="3" fontId="37" fillId="11" borderId="11" applyFont="0" applyFill="0" applyBorder="0" applyAlignment="0" applyProtection="0"/>
    <xf numFmtId="3" fontId="37" fillId="11" borderId="11" applyFont="0" applyFill="0" applyBorder="0" applyAlignment="0" applyProtection="0"/>
    <xf numFmtId="4" fontId="37" fillId="11" borderId="11" applyFont="0" applyFill="0" applyBorder="0" applyAlignment="0" applyProtection="0"/>
    <xf numFmtId="4" fontId="37" fillId="11" borderId="11" applyFont="0" applyFill="0" applyBorder="0" applyAlignment="0" applyProtection="0"/>
    <xf numFmtId="182" fontId="47" fillId="11" borderId="11" applyFont="0" applyFill="0" applyBorder="0" applyAlignment="0" applyProtection="0"/>
    <xf numFmtId="0" fontId="47" fillId="11" borderId="12" applyFont="0" applyFill="0" applyBorder="0" applyAlignment="0" applyProtection="0"/>
    <xf numFmtId="10" fontId="37" fillId="11" borderId="11" applyFont="0" applyFill="0" applyBorder="0" applyAlignment="0" applyProtection="0"/>
    <xf numFmtId="10" fontId="37" fillId="11" borderId="11" applyFont="0" applyFill="0" applyBorder="0" applyAlignment="0" applyProtection="0"/>
    <xf numFmtId="9" fontId="37" fillId="11" borderId="11" applyFont="0" applyFill="0" applyBorder="0" applyAlignment="0" applyProtection="0"/>
    <xf numFmtId="9" fontId="37" fillId="11" borderId="11" applyFont="0" applyFill="0" applyBorder="0" applyAlignment="0" applyProtection="0"/>
    <xf numFmtId="2" fontId="37" fillId="11" borderId="11" applyFont="0" applyFill="0" applyBorder="0" applyAlignment="0" applyProtection="0"/>
    <xf numFmtId="2" fontId="37" fillId="11" borderId="11" applyFont="0" applyFill="0" applyBorder="0" applyAlignment="0" applyProtection="0"/>
    <xf numFmtId="0" fontId="48" fillId="0" borderId="13" applyNumberFormat="0" applyFill="0" applyAlignment="0" applyProtection="0"/>
    <xf numFmtId="0" fontId="49" fillId="0" borderId="6" applyNumberFormat="0" applyFill="0" applyProtection="0"/>
    <xf numFmtId="0" fontId="37" fillId="0" borderId="0"/>
    <xf numFmtId="0" fontId="34" fillId="12" borderId="0" applyNumberFormat="0" applyBorder="0" applyAlignment="0" applyProtection="0"/>
    <xf numFmtId="0" fontId="34" fillId="13" borderId="0" applyNumberFormat="0" applyBorder="0" applyAlignment="0" applyProtection="0"/>
    <xf numFmtId="0" fontId="34" fillId="14" borderId="0" applyNumberFormat="0" applyBorder="0" applyAlignment="0" applyProtection="0"/>
    <xf numFmtId="0" fontId="34" fillId="15" borderId="0" applyNumberFormat="0" applyBorder="0" applyAlignment="0" applyProtection="0"/>
    <xf numFmtId="0" fontId="34" fillId="12" borderId="0" applyNumberFormat="0" applyBorder="0" applyAlignment="0" applyProtection="0"/>
    <xf numFmtId="0" fontId="34" fillId="13" borderId="0" applyNumberFormat="0" applyBorder="0" applyAlignment="0" applyProtection="0"/>
    <xf numFmtId="0" fontId="34" fillId="16" borderId="0" applyNumberFormat="0" applyBorder="0" applyAlignment="0" applyProtection="0"/>
    <xf numFmtId="0" fontId="34" fillId="13" borderId="0" applyNumberFormat="0" applyBorder="0" applyAlignment="0" applyProtection="0"/>
    <xf numFmtId="0" fontId="34" fillId="14" borderId="0" applyNumberFormat="0" applyBorder="0" applyAlignment="0" applyProtection="0"/>
    <xf numFmtId="0" fontId="34" fillId="16" borderId="0" applyNumberFormat="0" applyBorder="0" applyAlignment="0" applyProtection="0"/>
    <xf numFmtId="0" fontId="34" fillId="16" borderId="0" applyNumberFormat="0" applyBorder="0" applyAlignment="0" applyProtection="0"/>
    <xf numFmtId="0" fontId="34" fillId="13" borderId="0" applyNumberFormat="0" applyBorder="0" applyAlignment="0" applyProtection="0"/>
    <xf numFmtId="0" fontId="50" fillId="17"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8" borderId="0" applyNumberFormat="0" applyBorder="0" applyAlignment="0" applyProtection="0"/>
    <xf numFmtId="0" fontId="50" fillId="17" borderId="0" applyNumberFormat="0" applyBorder="0" applyAlignment="0" applyProtection="0"/>
    <xf numFmtId="0" fontId="50" fillId="13" borderId="0" applyNumberFormat="0" applyBorder="0" applyAlignment="0" applyProtection="0"/>
    <xf numFmtId="0" fontId="50" fillId="19" borderId="0" applyNumberFormat="0" applyBorder="0" applyAlignment="0" applyProtection="0"/>
    <xf numFmtId="0" fontId="50" fillId="20" borderId="0" applyNumberFormat="0" applyBorder="0" applyAlignment="0" applyProtection="0"/>
    <xf numFmtId="0" fontId="50" fillId="21" borderId="0" applyNumberFormat="0" applyBorder="0" applyAlignment="0" applyProtection="0"/>
    <xf numFmtId="0" fontId="50" fillId="22" borderId="0" applyNumberFormat="0" applyBorder="0" applyAlignment="0" applyProtection="0"/>
    <xf numFmtId="0" fontId="50" fillId="23" borderId="0" applyNumberFormat="0" applyBorder="0" applyAlignment="0" applyProtection="0"/>
    <xf numFmtId="0" fontId="50" fillId="24" borderId="0" applyNumberFormat="0" applyBorder="0" applyAlignment="0" applyProtection="0"/>
    <xf numFmtId="0" fontId="52" fillId="25" borderId="0" applyNumberFormat="0" applyBorder="0" applyAlignment="0" applyProtection="0"/>
    <xf numFmtId="0" fontId="53" fillId="26" borderId="14" applyNumberFormat="0" applyAlignment="0" applyProtection="0"/>
    <xf numFmtId="0" fontId="36" fillId="18" borderId="15" applyNumberFormat="0" applyAlignment="0" applyProtection="0"/>
    <xf numFmtId="165" fontId="37" fillId="0" borderId="0" applyFont="0" applyFill="0" applyBorder="0" applyAlignment="0" applyProtection="0"/>
    <xf numFmtId="164" fontId="37" fillId="0" borderId="0" applyFont="0" applyFill="0" applyBorder="0" applyAlignment="0" applyProtection="0"/>
    <xf numFmtId="0" fontId="54" fillId="0" borderId="0" applyNumberFormat="0" applyFill="0" applyBorder="0" applyAlignment="0" applyProtection="0"/>
    <xf numFmtId="0" fontId="44" fillId="27" borderId="0" applyNumberFormat="0" applyBorder="0" applyAlignment="0" applyProtection="0"/>
    <xf numFmtId="0" fontId="55" fillId="0" borderId="16" applyNumberFormat="0" applyFill="0" applyAlignment="0" applyProtection="0"/>
    <xf numFmtId="0" fontId="56" fillId="0" borderId="17" applyNumberFormat="0" applyFill="0" applyAlignment="0" applyProtection="0"/>
    <xf numFmtId="0" fontId="57" fillId="0" borderId="18" applyNumberFormat="0" applyFill="0" applyAlignment="0" applyProtection="0"/>
    <xf numFmtId="0" fontId="57" fillId="0" borderId="0" applyNumberFormat="0" applyFill="0" applyBorder="0" applyAlignment="0" applyProtection="0"/>
    <xf numFmtId="0" fontId="58" fillId="13" borderId="14" applyNumberFormat="0" applyAlignment="0" applyProtection="0"/>
    <xf numFmtId="0" fontId="59" fillId="0" borderId="19" applyNumberFormat="0" applyFill="0" applyAlignment="0" applyProtection="0"/>
    <xf numFmtId="0" fontId="60" fillId="14" borderId="0" applyNumberFormat="0" applyBorder="0" applyAlignment="0" applyProtection="0"/>
    <xf numFmtId="0" fontId="34" fillId="14" borderId="20" applyNumberFormat="0" applyFont="0" applyAlignment="0" applyProtection="0"/>
    <xf numFmtId="0" fontId="61" fillId="26" borderId="21" applyNumberFormat="0" applyAlignment="0" applyProtection="0"/>
    <xf numFmtId="9" fontId="37" fillId="0" borderId="0" applyFont="0" applyFill="0" applyBorder="0" applyAlignment="0" applyProtection="0"/>
    <xf numFmtId="0" fontId="62" fillId="0" borderId="0" applyNumberFormat="0" applyFill="0" applyBorder="0" applyAlignment="0" applyProtection="0"/>
    <xf numFmtId="0" fontId="39" fillId="0" borderId="0" applyNumberFormat="0" applyFill="0" applyBorder="0" applyAlignment="0" applyProtection="0"/>
    <xf numFmtId="0" fontId="37" fillId="0" borderId="0"/>
    <xf numFmtId="0" fontId="50" fillId="17"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8" borderId="0" applyNumberFormat="0" applyBorder="0" applyAlignment="0" applyProtection="0"/>
    <xf numFmtId="0" fontId="50" fillId="17" borderId="0" applyNumberFormat="0" applyBorder="0" applyAlignment="0" applyProtection="0"/>
    <xf numFmtId="0" fontId="50" fillId="13" borderId="0" applyNumberFormat="0" applyBorder="0" applyAlignment="0" applyProtection="0"/>
    <xf numFmtId="0" fontId="50" fillId="19" borderId="0" applyNumberFormat="0" applyBorder="0" applyAlignment="0" applyProtection="0"/>
    <xf numFmtId="0" fontId="50" fillId="20" borderId="0" applyNumberFormat="0" applyBorder="0" applyAlignment="0" applyProtection="0"/>
    <xf numFmtId="0" fontId="50" fillId="21" borderId="0" applyNumberFormat="0" applyBorder="0" applyAlignment="0" applyProtection="0"/>
    <xf numFmtId="0" fontId="50" fillId="22" borderId="0" applyNumberFormat="0" applyBorder="0" applyAlignment="0" applyProtection="0"/>
    <xf numFmtId="0" fontId="50" fillId="23" borderId="0" applyNumberFormat="0" applyBorder="0" applyAlignment="0" applyProtection="0"/>
    <xf numFmtId="0" fontId="50" fillId="24"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9" fillId="30" borderId="0" applyNumberFormat="0" applyBorder="0" applyAlignment="0" applyProtection="0"/>
    <xf numFmtId="0" fontId="70" fillId="31" borderId="0" applyNumberFormat="0" applyBorder="0" applyAlignment="0" applyProtection="0"/>
    <xf numFmtId="0" fontId="71" fillId="32" borderId="0" applyNumberFormat="0" applyBorder="0" applyAlignment="0" applyProtection="0"/>
    <xf numFmtId="0" fontId="72" fillId="33" borderId="25" applyNumberFormat="0" applyAlignment="0" applyProtection="0"/>
    <xf numFmtId="0" fontId="3" fillId="0" borderId="0"/>
    <xf numFmtId="203" fontId="76" fillId="0" borderId="0" applyFont="0" applyFill="0" applyBorder="0" applyAlignment="0" applyProtection="0"/>
    <xf numFmtId="204" fontId="76" fillId="0" borderId="0" applyFont="0" applyFill="0" applyBorder="0" applyAlignment="0" applyProtection="0"/>
    <xf numFmtId="205" fontId="76" fillId="0" borderId="0" applyFont="0" applyFill="0" applyBorder="0" applyAlignment="0" applyProtection="0"/>
    <xf numFmtId="205" fontId="37" fillId="0" borderId="0" applyFont="0" applyFill="0" applyBorder="0" applyAlignment="0" applyProtection="0"/>
    <xf numFmtId="205" fontId="37" fillId="0" borderId="0" applyFont="0" applyFill="0" applyBorder="0" applyAlignment="0" applyProtection="0"/>
    <xf numFmtId="205" fontId="76" fillId="0" borderId="0" applyFont="0" applyFill="0" applyBorder="0" applyAlignment="0" applyProtection="0"/>
    <xf numFmtId="205" fontId="76" fillId="0" borderId="0" applyFont="0" applyFill="0" applyBorder="0" applyAlignment="0" applyProtection="0"/>
    <xf numFmtId="205" fontId="76" fillId="0" borderId="0" applyFont="0" applyFill="0" applyBorder="0" applyAlignment="0" applyProtection="0"/>
    <xf numFmtId="205" fontId="77" fillId="0" borderId="0" applyFont="0" applyFill="0" applyBorder="0" applyAlignment="0" applyProtection="0"/>
    <xf numFmtId="205" fontId="37" fillId="0" borderId="0" applyFont="0" applyFill="0" applyBorder="0" applyAlignment="0" applyProtection="0"/>
    <xf numFmtId="205" fontId="37" fillId="0" borderId="0" applyFont="0" applyFill="0" applyBorder="0" applyAlignment="0" applyProtection="0"/>
    <xf numFmtId="206" fontId="37" fillId="0" borderId="0" applyFont="0" applyFill="0" applyBorder="0" applyAlignment="0" applyProtection="0"/>
    <xf numFmtId="206" fontId="37" fillId="0" borderId="0" applyFont="0" applyFill="0" applyBorder="0" applyAlignment="0" applyProtection="0"/>
    <xf numFmtId="205" fontId="37" fillId="0" borderId="0" applyFont="0" applyFill="0" applyBorder="0" applyAlignment="0" applyProtection="0"/>
    <xf numFmtId="205" fontId="78" fillId="0" borderId="0" applyFont="0" applyFill="0" applyBorder="0" applyAlignment="0" applyProtection="0"/>
    <xf numFmtId="205" fontId="37" fillId="0" borderId="0" applyFont="0" applyFill="0" applyBorder="0" applyAlignment="0" applyProtection="0"/>
    <xf numFmtId="205" fontId="37" fillId="0" borderId="0" applyFont="0" applyFill="0" applyBorder="0" applyAlignment="0" applyProtection="0"/>
    <xf numFmtId="205" fontId="37" fillId="0" borderId="0" applyFont="0" applyFill="0" applyBorder="0" applyAlignment="0" applyProtection="0"/>
    <xf numFmtId="205" fontId="76" fillId="0" borderId="0" applyFont="0" applyFill="0" applyBorder="0" applyAlignment="0" applyProtection="0"/>
    <xf numFmtId="206" fontId="37" fillId="0" borderId="0" applyFont="0" applyFill="0" applyBorder="0" applyAlignment="0" applyProtection="0"/>
    <xf numFmtId="206" fontId="37" fillId="0" borderId="0" applyFont="0" applyFill="0" applyBorder="0" applyAlignment="0" applyProtection="0"/>
    <xf numFmtId="206" fontId="37" fillId="0" borderId="0" applyFont="0" applyFill="0" applyBorder="0" applyAlignment="0" applyProtection="0"/>
    <xf numFmtId="205" fontId="76" fillId="0" borderId="0" applyFont="0" applyFill="0" applyBorder="0" applyAlignment="0" applyProtection="0"/>
    <xf numFmtId="205" fontId="37" fillId="0" borderId="0" applyFont="0" applyFill="0" applyBorder="0" applyAlignment="0" applyProtection="0"/>
    <xf numFmtId="205" fontId="37" fillId="0" borderId="0" applyFont="0" applyFill="0" applyBorder="0" applyAlignment="0" applyProtection="0"/>
    <xf numFmtId="205" fontId="76" fillId="0" borderId="0" applyFont="0" applyFill="0" applyBorder="0" applyAlignment="0" applyProtection="0"/>
    <xf numFmtId="206" fontId="37" fillId="0" borderId="0" applyFont="0" applyFill="0" applyBorder="0" applyAlignment="0" applyProtection="0"/>
    <xf numFmtId="206" fontId="37" fillId="0" borderId="0" applyFont="0" applyFill="0" applyBorder="0" applyAlignment="0" applyProtection="0"/>
    <xf numFmtId="206" fontId="37" fillId="0" borderId="0" applyFont="0" applyFill="0" applyBorder="0" applyAlignment="0" applyProtection="0"/>
    <xf numFmtId="205" fontId="76" fillId="0" borderId="0" applyFont="0" applyFill="0" applyBorder="0" applyAlignment="0" applyProtection="0"/>
    <xf numFmtId="205" fontId="37" fillId="0" borderId="0" applyFont="0" applyFill="0" applyBorder="0" applyAlignment="0" applyProtection="0"/>
    <xf numFmtId="205" fontId="37" fillId="0" borderId="0" applyFont="0" applyFill="0" applyBorder="0" applyAlignment="0" applyProtection="0"/>
    <xf numFmtId="205" fontId="37" fillId="0" borderId="0" applyFont="0" applyFill="0" applyBorder="0" applyAlignment="0" applyProtection="0"/>
    <xf numFmtId="207" fontId="37" fillId="0" borderId="0" applyFont="0" applyFill="0" applyBorder="0" applyAlignment="0" applyProtection="0"/>
    <xf numFmtId="208" fontId="37" fillId="0" borderId="0" applyFont="0" applyFill="0" applyBorder="0" applyAlignment="0" applyProtection="0"/>
    <xf numFmtId="208" fontId="37" fillId="0" borderId="0" applyFont="0" applyFill="0" applyBorder="0" applyAlignment="0" applyProtection="0"/>
    <xf numFmtId="207" fontId="37" fillId="0" borderId="0" applyFont="0" applyFill="0" applyBorder="0" applyAlignment="0" applyProtection="0"/>
    <xf numFmtId="207" fontId="37" fillId="0" borderId="0" applyFont="0" applyFill="0" applyBorder="0" applyAlignment="0" applyProtection="0"/>
    <xf numFmtId="208" fontId="77" fillId="0" borderId="0" applyFont="0" applyFill="0" applyBorder="0" applyAlignment="0" applyProtection="0"/>
    <xf numFmtId="207" fontId="37" fillId="0" borderId="0" applyFont="0" applyFill="0" applyBorder="0" applyAlignment="0" applyProtection="0"/>
    <xf numFmtId="208" fontId="37" fillId="0" borderId="0" applyFont="0" applyFill="0" applyBorder="0" applyAlignment="0" applyProtection="0"/>
    <xf numFmtId="207" fontId="37" fillId="0" borderId="0" applyFont="0" applyFill="0" applyBorder="0" applyAlignment="0" applyProtection="0"/>
    <xf numFmtId="208" fontId="37" fillId="0" borderId="0" applyFont="0" applyFill="0" applyBorder="0" applyAlignment="0" applyProtection="0"/>
    <xf numFmtId="207" fontId="37" fillId="0" borderId="0" applyFont="0" applyFill="0" applyBorder="0" applyAlignment="0" applyProtection="0"/>
    <xf numFmtId="207" fontId="37" fillId="0" borderId="0" applyFont="0" applyFill="0" applyBorder="0" applyAlignment="0" applyProtection="0"/>
    <xf numFmtId="208" fontId="37" fillId="0" borderId="0" applyFont="0" applyFill="0" applyBorder="0" applyAlignment="0" applyProtection="0"/>
    <xf numFmtId="208" fontId="78" fillId="0" borderId="0" applyFont="0" applyFill="0" applyBorder="0" applyAlignment="0" applyProtection="0"/>
    <xf numFmtId="208" fontId="37" fillId="0" borderId="0" applyFont="0" applyFill="0" applyBorder="0" applyAlignment="0" applyProtection="0"/>
    <xf numFmtId="208" fontId="37" fillId="0" borderId="0" applyFont="0" applyFill="0" applyBorder="0" applyAlignment="0" applyProtection="0"/>
    <xf numFmtId="208" fontId="37" fillId="0" borderId="0" applyFont="0" applyFill="0" applyBorder="0" applyAlignment="0" applyProtection="0"/>
    <xf numFmtId="207" fontId="37" fillId="0" borderId="0" applyFont="0" applyFill="0" applyBorder="0" applyAlignment="0" applyProtection="0"/>
    <xf numFmtId="207" fontId="37" fillId="0" borderId="0" applyFont="0" applyFill="0" applyBorder="0" applyAlignment="0" applyProtection="0"/>
    <xf numFmtId="207" fontId="37" fillId="0" borderId="0" applyFont="0" applyFill="0" applyBorder="0" applyAlignment="0" applyProtection="0"/>
    <xf numFmtId="207" fontId="37" fillId="0" borderId="0" applyFont="0" applyFill="0" applyBorder="0" applyAlignment="0" applyProtection="0"/>
    <xf numFmtId="207" fontId="37" fillId="0" borderId="0" applyFont="0" applyFill="0" applyBorder="0" applyAlignment="0" applyProtection="0"/>
    <xf numFmtId="208" fontId="76" fillId="0" borderId="0" applyFont="0" applyFill="0" applyBorder="0" applyAlignment="0" applyProtection="0"/>
    <xf numFmtId="207" fontId="37" fillId="0" borderId="0" applyFont="0" applyFill="0" applyBorder="0" applyAlignment="0" applyProtection="0"/>
    <xf numFmtId="208" fontId="37" fillId="0" borderId="0" applyFont="0" applyFill="0" applyBorder="0" applyAlignment="0" applyProtection="0"/>
    <xf numFmtId="208" fontId="37" fillId="0" borderId="0" applyFont="0" applyFill="0" applyBorder="0" applyAlignment="0" applyProtection="0"/>
    <xf numFmtId="208" fontId="76" fillId="0" borderId="0" applyFont="0" applyFill="0" applyBorder="0" applyAlignment="0" applyProtection="0"/>
    <xf numFmtId="208" fontId="76" fillId="0" borderId="0" applyFont="0" applyFill="0" applyBorder="0" applyAlignment="0" applyProtection="0"/>
    <xf numFmtId="208" fontId="76" fillId="0" borderId="0" applyFont="0" applyFill="0" applyBorder="0" applyAlignment="0" applyProtection="0"/>
    <xf numFmtId="207" fontId="37" fillId="0" borderId="0" applyFont="0" applyFill="0" applyBorder="0" applyAlignment="0" applyProtection="0"/>
    <xf numFmtId="208" fontId="76" fillId="0" borderId="0" applyFont="0" applyFill="0" applyBorder="0" applyAlignment="0" applyProtection="0"/>
    <xf numFmtId="207" fontId="37" fillId="0" borderId="0" applyFont="0" applyFill="0" applyBorder="0" applyAlignment="0" applyProtection="0"/>
    <xf numFmtId="208" fontId="76" fillId="0" borderId="0" applyFont="0" applyFill="0" applyBorder="0" applyAlignment="0" applyProtection="0"/>
    <xf numFmtId="207" fontId="37" fillId="0" borderId="0" applyFont="0" applyFill="0" applyBorder="0" applyAlignment="0" applyProtection="0"/>
    <xf numFmtId="208" fontId="37" fillId="0" borderId="0" applyFont="0" applyFill="0" applyBorder="0" applyAlignment="0" applyProtection="0"/>
    <xf numFmtId="208" fontId="37" fillId="0" borderId="0" applyFont="0" applyFill="0" applyBorder="0" applyAlignment="0" applyProtection="0"/>
    <xf numFmtId="208" fontId="37" fillId="0" borderId="0" applyFont="0" applyFill="0" applyBorder="0" applyAlignment="0" applyProtection="0"/>
    <xf numFmtId="39" fontId="37" fillId="0" borderId="0" applyFont="0" applyFill="0" applyBorder="0" applyAlignment="0" applyProtection="0"/>
    <xf numFmtId="209" fontId="37" fillId="0" borderId="0" applyFont="0" applyFill="0" applyBorder="0" applyAlignment="0" applyProtection="0"/>
    <xf numFmtId="209" fontId="37" fillId="0" borderId="0" applyFont="0" applyFill="0" applyBorder="0" applyAlignment="0" applyProtection="0"/>
    <xf numFmtId="39" fontId="37" fillId="0" borderId="0" applyFont="0" applyFill="0" applyBorder="0" applyAlignment="0" applyProtection="0"/>
    <xf numFmtId="39" fontId="37" fillId="0" borderId="0" applyFont="0" applyFill="0" applyBorder="0" applyAlignment="0" applyProtection="0"/>
    <xf numFmtId="209" fontId="77" fillId="0" borderId="0" applyFont="0" applyFill="0" applyBorder="0" applyAlignment="0" applyProtection="0"/>
    <xf numFmtId="39" fontId="37" fillId="0" borderId="0" applyFont="0" applyFill="0" applyBorder="0" applyAlignment="0" applyProtection="0"/>
    <xf numFmtId="209" fontId="37" fillId="0" borderId="0" applyFont="0" applyFill="0" applyBorder="0" applyAlignment="0" applyProtection="0"/>
    <xf numFmtId="39" fontId="37" fillId="0" borderId="0" applyFont="0" applyFill="0" applyBorder="0" applyAlignment="0" applyProtection="0"/>
    <xf numFmtId="209" fontId="37" fillId="0" borderId="0" applyFont="0" applyFill="0" applyBorder="0" applyAlignment="0" applyProtection="0"/>
    <xf numFmtId="39" fontId="37" fillId="0" borderId="0" applyFont="0" applyFill="0" applyBorder="0" applyAlignment="0" applyProtection="0"/>
    <xf numFmtId="39" fontId="37" fillId="0" borderId="0" applyFont="0" applyFill="0" applyBorder="0" applyAlignment="0" applyProtection="0"/>
    <xf numFmtId="209" fontId="37" fillId="0" borderId="0" applyFont="0" applyFill="0" applyBorder="0" applyAlignment="0" applyProtection="0"/>
    <xf numFmtId="209" fontId="78" fillId="0" borderId="0" applyFont="0" applyFill="0" applyBorder="0" applyAlignment="0" applyProtection="0"/>
    <xf numFmtId="209" fontId="37" fillId="0" borderId="0" applyFont="0" applyFill="0" applyBorder="0" applyAlignment="0" applyProtection="0"/>
    <xf numFmtId="209" fontId="37" fillId="0" borderId="0" applyFont="0" applyFill="0" applyBorder="0" applyAlignment="0" applyProtection="0"/>
    <xf numFmtId="209" fontId="37" fillId="0" borderId="0" applyFont="0" applyFill="0" applyBorder="0" applyAlignment="0" applyProtection="0"/>
    <xf numFmtId="39" fontId="37" fillId="0" borderId="0" applyFont="0" applyFill="0" applyBorder="0" applyAlignment="0" applyProtection="0"/>
    <xf numFmtId="39" fontId="37" fillId="0" borderId="0" applyFont="0" applyFill="0" applyBorder="0" applyAlignment="0" applyProtection="0"/>
    <xf numFmtId="39" fontId="37" fillId="0" borderId="0" applyFont="0" applyFill="0" applyBorder="0" applyAlignment="0" applyProtection="0"/>
    <xf numFmtId="39" fontId="37" fillId="0" borderId="0" applyFont="0" applyFill="0" applyBorder="0" applyAlignment="0" applyProtection="0"/>
    <xf numFmtId="39" fontId="37" fillId="0" borderId="0" applyFont="0" applyFill="0" applyBorder="0" applyAlignment="0" applyProtection="0"/>
    <xf numFmtId="209" fontId="76" fillId="0" borderId="0" applyFont="0" applyFill="0" applyBorder="0" applyAlignment="0" applyProtection="0"/>
    <xf numFmtId="39" fontId="37" fillId="0" borderId="0" applyFont="0" applyFill="0" applyBorder="0" applyAlignment="0" applyProtection="0"/>
    <xf numFmtId="209" fontId="37" fillId="0" borderId="0" applyFont="0" applyFill="0" applyBorder="0" applyAlignment="0" applyProtection="0"/>
    <xf numFmtId="209" fontId="37" fillId="0" borderId="0" applyFont="0" applyFill="0" applyBorder="0" applyAlignment="0" applyProtection="0"/>
    <xf numFmtId="209" fontId="76" fillId="0" borderId="0" applyFont="0" applyFill="0" applyBorder="0" applyAlignment="0" applyProtection="0"/>
    <xf numFmtId="209" fontId="76" fillId="0" borderId="0" applyFont="0" applyFill="0" applyBorder="0" applyAlignment="0" applyProtection="0"/>
    <xf numFmtId="209" fontId="76" fillId="0" borderId="0" applyFont="0" applyFill="0" applyBorder="0" applyAlignment="0" applyProtection="0"/>
    <xf numFmtId="39" fontId="37" fillId="0" borderId="0" applyFont="0" applyFill="0" applyBorder="0" applyAlignment="0" applyProtection="0"/>
    <xf numFmtId="209" fontId="76" fillId="0" borderId="0" applyFont="0" applyFill="0" applyBorder="0" applyAlignment="0" applyProtection="0"/>
    <xf numFmtId="39" fontId="37" fillId="0" borderId="0" applyFont="0" applyFill="0" applyBorder="0" applyAlignment="0" applyProtection="0"/>
    <xf numFmtId="209" fontId="76" fillId="0" borderId="0" applyFont="0" applyFill="0" applyBorder="0" applyAlignment="0" applyProtection="0"/>
    <xf numFmtId="39" fontId="37" fillId="0" borderId="0" applyFont="0" applyFill="0" applyBorder="0" applyAlignment="0" applyProtection="0"/>
    <xf numFmtId="209" fontId="37" fillId="0" borderId="0" applyFont="0" applyFill="0" applyBorder="0" applyAlignment="0" applyProtection="0"/>
    <xf numFmtId="209" fontId="37" fillId="0" borderId="0" applyFont="0" applyFill="0" applyBorder="0" applyAlignment="0" applyProtection="0"/>
    <xf numFmtId="209" fontId="37" fillId="0" borderId="0" applyFont="0" applyFill="0" applyBorder="0" applyAlignment="0" applyProtection="0"/>
    <xf numFmtId="207" fontId="37" fillId="0" borderId="0" applyFont="0" applyFill="0" applyBorder="0" applyAlignment="0" applyProtection="0"/>
    <xf numFmtId="210" fontId="76" fillId="0" borderId="0" applyFon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6" fillId="14" borderId="0" applyNumberFormat="0" applyFont="0" applyAlignment="0" applyProtection="0"/>
    <xf numFmtId="211" fontId="37" fillId="0" borderId="0" applyFont="0" applyFill="0" applyBorder="0" applyAlignment="0" applyProtection="0"/>
    <xf numFmtId="212" fontId="37" fillId="0" borderId="0" applyFont="0" applyFill="0" applyBorder="0" applyAlignment="0" applyProtection="0"/>
    <xf numFmtId="212" fontId="37" fillId="0" borderId="0" applyFont="0" applyFill="0" applyBorder="0" applyAlignment="0" applyProtection="0"/>
    <xf numFmtId="211" fontId="37" fillId="0" borderId="0" applyFont="0" applyFill="0" applyBorder="0" applyAlignment="0" applyProtection="0"/>
    <xf numFmtId="211" fontId="37" fillId="0" borderId="0" applyFont="0" applyFill="0" applyBorder="0" applyAlignment="0" applyProtection="0"/>
    <xf numFmtId="212" fontId="77" fillId="0" borderId="0" applyFont="0" applyFill="0" applyBorder="0" applyAlignment="0" applyProtection="0"/>
    <xf numFmtId="211" fontId="37" fillId="0" borderId="0" applyFont="0" applyFill="0" applyBorder="0" applyAlignment="0" applyProtection="0"/>
    <xf numFmtId="212" fontId="37" fillId="0" borderId="0" applyFont="0" applyFill="0" applyBorder="0" applyAlignment="0" applyProtection="0"/>
    <xf numFmtId="211" fontId="37" fillId="0" borderId="0" applyFont="0" applyFill="0" applyBorder="0" applyAlignment="0" applyProtection="0"/>
    <xf numFmtId="212" fontId="37" fillId="0" borderId="0" applyFont="0" applyFill="0" applyBorder="0" applyAlignment="0" applyProtection="0"/>
    <xf numFmtId="211" fontId="37" fillId="0" borderId="0" applyFont="0" applyFill="0" applyBorder="0" applyAlignment="0" applyProtection="0"/>
    <xf numFmtId="211" fontId="37" fillId="0" borderId="0" applyFont="0" applyFill="0" applyBorder="0" applyAlignment="0" applyProtection="0"/>
    <xf numFmtId="212" fontId="37" fillId="0" borderId="0" applyFont="0" applyFill="0" applyBorder="0" applyAlignment="0" applyProtection="0"/>
    <xf numFmtId="212" fontId="78" fillId="0" borderId="0" applyFont="0" applyFill="0" applyBorder="0" applyAlignment="0" applyProtection="0"/>
    <xf numFmtId="213" fontId="37" fillId="0" borderId="0" applyFont="0" applyFill="0" applyBorder="0" applyAlignment="0" applyProtection="0"/>
    <xf numFmtId="213" fontId="37" fillId="0" borderId="0" applyFont="0" applyFill="0" applyBorder="0" applyAlignment="0" applyProtection="0"/>
    <xf numFmtId="213" fontId="37" fillId="0" borderId="0" applyFont="0" applyFill="0" applyBorder="0" applyAlignment="0" applyProtection="0"/>
    <xf numFmtId="211" fontId="37" fillId="0" borderId="0" applyFont="0" applyFill="0" applyBorder="0" applyAlignment="0" applyProtection="0"/>
    <xf numFmtId="211" fontId="37" fillId="0" borderId="0" applyFont="0" applyFill="0" applyBorder="0" applyAlignment="0" applyProtection="0"/>
    <xf numFmtId="211" fontId="37" fillId="0" borderId="0" applyFont="0" applyFill="0" applyBorder="0" applyAlignment="0" applyProtection="0"/>
    <xf numFmtId="211" fontId="37" fillId="0" borderId="0" applyFont="0" applyFill="0" applyBorder="0" applyAlignment="0" applyProtection="0"/>
    <xf numFmtId="211" fontId="37" fillId="0" borderId="0" applyFont="0" applyFill="0" applyBorder="0" applyAlignment="0" applyProtection="0"/>
    <xf numFmtId="212" fontId="76" fillId="0" borderId="0" applyFont="0" applyFill="0" applyBorder="0" applyAlignment="0" applyProtection="0"/>
    <xf numFmtId="211" fontId="37" fillId="0" borderId="0" applyFont="0" applyFill="0" applyBorder="0" applyAlignment="0" applyProtection="0"/>
    <xf numFmtId="212" fontId="37" fillId="0" borderId="0" applyFont="0" applyFill="0" applyBorder="0" applyAlignment="0" applyProtection="0"/>
    <xf numFmtId="212" fontId="37" fillId="0" borderId="0" applyFont="0" applyFill="0" applyBorder="0" applyAlignment="0" applyProtection="0"/>
    <xf numFmtId="212" fontId="76" fillId="0" borderId="0" applyFont="0" applyFill="0" applyBorder="0" applyAlignment="0" applyProtection="0"/>
    <xf numFmtId="212" fontId="76" fillId="0" borderId="0" applyFont="0" applyFill="0" applyBorder="0" applyAlignment="0" applyProtection="0"/>
    <xf numFmtId="212" fontId="76" fillId="0" borderId="0" applyFont="0" applyFill="0" applyBorder="0" applyAlignment="0" applyProtection="0"/>
    <xf numFmtId="211" fontId="37" fillId="0" borderId="0" applyFont="0" applyFill="0" applyBorder="0" applyAlignment="0" applyProtection="0"/>
    <xf numFmtId="212" fontId="76" fillId="0" borderId="0" applyFont="0" applyFill="0" applyBorder="0" applyAlignment="0" applyProtection="0"/>
    <xf numFmtId="211" fontId="37" fillId="0" borderId="0" applyFont="0" applyFill="0" applyBorder="0" applyAlignment="0" applyProtection="0"/>
    <xf numFmtId="212" fontId="76" fillId="0" borderId="0" applyFont="0" applyFill="0" applyBorder="0" applyAlignment="0" applyProtection="0"/>
    <xf numFmtId="211" fontId="37" fillId="0" borderId="0" applyFont="0" applyFill="0" applyBorder="0" applyAlignment="0" applyProtection="0"/>
    <xf numFmtId="212" fontId="37" fillId="0" borderId="0" applyFont="0" applyFill="0" applyBorder="0" applyAlignment="0" applyProtection="0"/>
    <xf numFmtId="212" fontId="37" fillId="0" borderId="0" applyFont="0" applyFill="0" applyBorder="0" applyAlignment="0" applyProtection="0"/>
    <xf numFmtId="212" fontId="37" fillId="0" borderId="0" applyFont="0" applyFill="0" applyBorder="0" applyAlignment="0" applyProtection="0"/>
    <xf numFmtId="214" fontId="37" fillId="0" borderId="0" applyFont="0" applyFill="0" applyBorder="0" applyAlignment="0" applyProtection="0"/>
    <xf numFmtId="215" fontId="37" fillId="0" borderId="0" applyFont="0" applyFill="0" applyBorder="0" applyProtection="0">
      <alignment horizontal="right"/>
    </xf>
    <xf numFmtId="215" fontId="37" fillId="0" borderId="0" applyFont="0" applyFill="0" applyBorder="0" applyProtection="0">
      <alignment horizontal="right"/>
    </xf>
    <xf numFmtId="214" fontId="37" fillId="0" borderId="0" applyFont="0" applyFill="0" applyBorder="0" applyAlignment="0" applyProtection="0"/>
    <xf numFmtId="214" fontId="37" fillId="0" borderId="0" applyFont="0" applyFill="0" applyBorder="0" applyAlignment="0" applyProtection="0"/>
    <xf numFmtId="215" fontId="77" fillId="0" borderId="0" applyFont="0" applyFill="0" applyBorder="0" applyProtection="0">
      <alignment horizontal="right"/>
    </xf>
    <xf numFmtId="214" fontId="37" fillId="0" borderId="0" applyFont="0" applyFill="0" applyBorder="0" applyAlignment="0" applyProtection="0"/>
    <xf numFmtId="215" fontId="37" fillId="0" borderId="0" applyFont="0" applyFill="0" applyBorder="0" applyProtection="0">
      <alignment horizontal="right"/>
    </xf>
    <xf numFmtId="214" fontId="37" fillId="0" borderId="0" applyFont="0" applyFill="0" applyBorder="0" applyAlignment="0" applyProtection="0"/>
    <xf numFmtId="215" fontId="37" fillId="0" borderId="0" applyFont="0" applyFill="0" applyBorder="0" applyProtection="0">
      <alignment horizontal="right"/>
    </xf>
    <xf numFmtId="214" fontId="37" fillId="0" borderId="0" applyFont="0" applyFill="0" applyBorder="0" applyAlignment="0" applyProtection="0"/>
    <xf numFmtId="214" fontId="37" fillId="0" borderId="0" applyFont="0" applyFill="0" applyBorder="0" applyAlignment="0" applyProtection="0"/>
    <xf numFmtId="215" fontId="37" fillId="0" borderId="0" applyFont="0" applyFill="0" applyBorder="0" applyProtection="0">
      <alignment horizontal="right"/>
    </xf>
    <xf numFmtId="215" fontId="78" fillId="0" borderId="0" applyFont="0" applyFill="0" applyBorder="0" applyProtection="0">
      <alignment horizontal="right"/>
    </xf>
    <xf numFmtId="216" fontId="37" fillId="0" borderId="0" applyFont="0" applyFill="0" applyBorder="0" applyAlignment="0" applyProtection="0"/>
    <xf numFmtId="216" fontId="37" fillId="0" borderId="0" applyFont="0" applyFill="0" applyBorder="0" applyAlignment="0" applyProtection="0"/>
    <xf numFmtId="216" fontId="37" fillId="0" borderId="0" applyFont="0" applyFill="0" applyBorder="0" applyAlignment="0" applyProtection="0"/>
    <xf numFmtId="214" fontId="37" fillId="0" borderId="0" applyFont="0" applyFill="0" applyBorder="0" applyAlignment="0" applyProtection="0"/>
    <xf numFmtId="214" fontId="37" fillId="0" borderId="0" applyFont="0" applyFill="0" applyBorder="0" applyAlignment="0" applyProtection="0"/>
    <xf numFmtId="214" fontId="37" fillId="0" borderId="0" applyFont="0" applyFill="0" applyBorder="0" applyAlignment="0" applyProtection="0"/>
    <xf numFmtId="214" fontId="37" fillId="0" borderId="0" applyFont="0" applyFill="0" applyBorder="0" applyAlignment="0" applyProtection="0"/>
    <xf numFmtId="214" fontId="37" fillId="0" borderId="0" applyFont="0" applyFill="0" applyBorder="0" applyAlignment="0" applyProtection="0"/>
    <xf numFmtId="215" fontId="76" fillId="0" borderId="0" applyFont="0" applyFill="0" applyBorder="0" applyProtection="0">
      <alignment horizontal="right"/>
    </xf>
    <xf numFmtId="214" fontId="37" fillId="0" borderId="0" applyFont="0" applyFill="0" applyBorder="0" applyAlignment="0" applyProtection="0"/>
    <xf numFmtId="215" fontId="37" fillId="0" borderId="0" applyFont="0" applyFill="0" applyBorder="0" applyProtection="0">
      <alignment horizontal="right"/>
    </xf>
    <xf numFmtId="215" fontId="37" fillId="0" borderId="0" applyFont="0" applyFill="0" applyBorder="0" applyProtection="0">
      <alignment horizontal="right"/>
    </xf>
    <xf numFmtId="215" fontId="76" fillId="0" borderId="0" applyFont="0" applyFill="0" applyBorder="0" applyProtection="0">
      <alignment horizontal="right"/>
    </xf>
    <xf numFmtId="215" fontId="76" fillId="0" borderId="0" applyFont="0" applyFill="0" applyBorder="0" applyProtection="0">
      <alignment horizontal="right"/>
    </xf>
    <xf numFmtId="215" fontId="76" fillId="0" borderId="0" applyFont="0" applyFill="0" applyBorder="0" applyProtection="0">
      <alignment horizontal="right"/>
    </xf>
    <xf numFmtId="214" fontId="37" fillId="0" borderId="0" applyFont="0" applyFill="0" applyBorder="0" applyAlignment="0" applyProtection="0"/>
    <xf numFmtId="215" fontId="76" fillId="0" borderId="0" applyFont="0" applyFill="0" applyBorder="0" applyProtection="0">
      <alignment horizontal="right"/>
    </xf>
    <xf numFmtId="214" fontId="37" fillId="0" borderId="0" applyFont="0" applyFill="0" applyBorder="0" applyAlignment="0" applyProtection="0"/>
    <xf numFmtId="215" fontId="76" fillId="0" borderId="0" applyFont="0" applyFill="0" applyBorder="0" applyProtection="0">
      <alignment horizontal="right"/>
    </xf>
    <xf numFmtId="214" fontId="37" fillId="0" borderId="0" applyFont="0" applyFill="0" applyBorder="0" applyAlignment="0" applyProtection="0"/>
    <xf numFmtId="215" fontId="37" fillId="0" borderId="0" applyFont="0" applyFill="0" applyBorder="0" applyProtection="0">
      <alignment horizontal="right"/>
    </xf>
    <xf numFmtId="215" fontId="37" fillId="0" borderId="0" applyFont="0" applyFill="0" applyBorder="0" applyProtection="0">
      <alignment horizontal="right"/>
    </xf>
    <xf numFmtId="215" fontId="37" fillId="0" borderId="0" applyFont="0" applyFill="0" applyBorder="0" applyProtection="0">
      <alignment horizontal="right"/>
    </xf>
    <xf numFmtId="217" fontId="37" fillId="0" borderId="0" applyFont="0" applyFill="0" applyBorder="0" applyAlignment="0" applyProtection="0"/>
    <xf numFmtId="203" fontId="37" fillId="0" borderId="0" applyFont="0" applyFill="0" applyBorder="0" applyProtection="0">
      <alignment horizontal="right"/>
    </xf>
    <xf numFmtId="203" fontId="37" fillId="0" borderId="0" applyFont="0" applyFill="0" applyBorder="0" applyAlignment="0" applyProtection="0"/>
    <xf numFmtId="203" fontId="37" fillId="0" borderId="0" applyFont="0" applyFill="0" applyBorder="0" applyAlignment="0" applyProtection="0"/>
    <xf numFmtId="203" fontId="37" fillId="0" borderId="0" applyFont="0" applyFill="0" applyBorder="0" applyAlignment="0" applyProtection="0"/>
    <xf numFmtId="218" fontId="37" fillId="0" borderId="0" applyFont="0" applyFill="0" applyBorder="0" applyAlignment="0" applyProtection="0"/>
    <xf numFmtId="204" fontId="37" fillId="0" borderId="0" applyFont="0" applyFill="0" applyBorder="0" applyProtection="0">
      <alignment horizontal="right"/>
    </xf>
    <xf numFmtId="204" fontId="37" fillId="0" borderId="0" applyFont="0" applyFill="0" applyBorder="0" applyProtection="0">
      <alignment horizontal="right"/>
    </xf>
    <xf numFmtId="204" fontId="37" fillId="0" borderId="0" applyFont="0" applyFill="0" applyBorder="0" applyAlignment="0" applyProtection="0"/>
    <xf numFmtId="204" fontId="37" fillId="0" borderId="0" applyFont="0" applyFill="0" applyBorder="0" applyAlignment="0" applyProtection="0"/>
    <xf numFmtId="204" fontId="37" fillId="0" borderId="0" applyFont="0" applyFill="0" applyBorder="0" applyAlignment="0" applyProtection="0"/>
    <xf numFmtId="0" fontId="80" fillId="0" borderId="0" applyNumberFormat="0" applyFill="0" applyBorder="0" applyProtection="0">
      <alignment vertical="top"/>
    </xf>
    <xf numFmtId="0" fontId="80" fillId="0" borderId="0" applyNumberFormat="0" applyFill="0" applyBorder="0" applyProtection="0">
      <alignment vertical="top"/>
    </xf>
    <xf numFmtId="0" fontId="80" fillId="0" borderId="0" applyNumberFormat="0" applyFill="0" applyBorder="0" applyAlignment="0" applyProtection="0">
      <alignment vertical="top"/>
    </xf>
    <xf numFmtId="0" fontId="80" fillId="0" borderId="0" applyNumberFormat="0" applyFill="0" applyBorder="0" applyProtection="0">
      <alignment vertical="top"/>
    </xf>
    <xf numFmtId="0" fontId="80" fillId="0" borderId="0" applyNumberFormat="0" applyFill="0" applyBorder="0" applyProtection="0">
      <alignment vertical="top"/>
    </xf>
    <xf numFmtId="0" fontId="80" fillId="0" borderId="0" applyNumberFormat="0" applyFill="0" applyBorder="0" applyProtection="0">
      <alignment vertical="top"/>
    </xf>
    <xf numFmtId="0" fontId="80" fillId="0" borderId="0" applyNumberFormat="0" applyFill="0" applyBorder="0" applyProtection="0">
      <alignment vertical="top"/>
    </xf>
    <xf numFmtId="0" fontId="80" fillId="0" borderId="0" applyNumberFormat="0" applyFill="0" applyBorder="0" applyProtection="0">
      <alignment vertical="top"/>
    </xf>
    <xf numFmtId="0" fontId="80" fillId="0" borderId="0" applyNumberFormat="0" applyFill="0" applyBorder="0" applyProtection="0">
      <alignment vertical="top"/>
    </xf>
    <xf numFmtId="0" fontId="80" fillId="0" borderId="0" applyNumberFormat="0" applyFill="0" applyBorder="0" applyProtection="0">
      <alignment vertical="top"/>
    </xf>
    <xf numFmtId="0" fontId="80" fillId="0" borderId="0" applyNumberFormat="0" applyFill="0" applyBorder="0" applyProtection="0">
      <alignment vertical="top"/>
    </xf>
    <xf numFmtId="0" fontId="80" fillId="0" borderId="0" applyNumberFormat="0" applyFill="0" applyBorder="0" applyProtection="0">
      <alignment vertical="top"/>
    </xf>
    <xf numFmtId="0" fontId="81" fillId="0" borderId="32" applyNumberFormat="0" applyFill="0" applyAlignment="0" applyProtection="0"/>
    <xf numFmtId="0" fontId="81" fillId="0" borderId="32" applyNumberFormat="0" applyFill="0" applyAlignment="0" applyProtection="0"/>
    <xf numFmtId="0" fontId="81" fillId="0" borderId="33" applyNumberFormat="0" applyFill="0" applyAlignment="0" applyProtection="0"/>
    <xf numFmtId="0" fontId="81" fillId="0" borderId="32" applyNumberFormat="0" applyFill="0" applyAlignment="0" applyProtection="0"/>
    <xf numFmtId="0" fontId="81" fillId="0" borderId="32" applyNumberFormat="0" applyFill="0" applyAlignment="0" applyProtection="0"/>
    <xf numFmtId="0" fontId="82" fillId="0" borderId="34" applyNumberFormat="0" applyFill="0" applyProtection="0">
      <alignment horizontal="center"/>
    </xf>
    <xf numFmtId="0" fontId="82" fillId="0" borderId="0" applyNumberFormat="0" applyFill="0" applyBorder="0" applyProtection="0">
      <alignment horizontal="left"/>
    </xf>
    <xf numFmtId="0" fontId="83" fillId="0" borderId="0" applyNumberFormat="0" applyFill="0" applyBorder="0" applyProtection="0">
      <alignment horizontal="centerContinuous"/>
    </xf>
    <xf numFmtId="0" fontId="83" fillId="0" borderId="0" applyNumberFormat="0" applyFill="0" applyBorder="0" applyProtection="0">
      <alignment horizontal="centerContinuous"/>
    </xf>
    <xf numFmtId="0" fontId="83" fillId="0" borderId="0" applyNumberFormat="0" applyFill="0" applyProtection="0">
      <alignment horizontal="centerContinuous"/>
    </xf>
    <xf numFmtId="0" fontId="83" fillId="0" borderId="0" applyNumberFormat="0" applyFill="0" applyBorder="0" applyProtection="0">
      <alignment horizontal="centerContinuous"/>
    </xf>
    <xf numFmtId="0" fontId="83" fillId="0" borderId="0" applyNumberFormat="0" applyFill="0" applyBorder="0" applyProtection="0">
      <alignment horizontal="centerContinuous"/>
    </xf>
    <xf numFmtId="219" fontId="84" fillId="34" borderId="0" applyNumberFormat="0" applyFont="0" applyBorder="0" applyAlignment="0">
      <alignment horizontal="right"/>
    </xf>
    <xf numFmtId="220" fontId="85" fillId="34" borderId="23" applyFont="0">
      <alignment horizontal="right"/>
    </xf>
    <xf numFmtId="0" fontId="46" fillId="0" borderId="0" applyNumberFormat="0" applyFill="0" applyBorder="0" applyAlignment="0" applyProtection="0"/>
    <xf numFmtId="0" fontId="86" fillId="0" borderId="0"/>
    <xf numFmtId="2" fontId="87" fillId="0" borderId="0" applyNumberFormat="0" applyBorder="0" applyAlignment="0"/>
    <xf numFmtId="170" fontId="88" fillId="0" borderId="0"/>
    <xf numFmtId="0" fontId="89" fillId="0" borderId="0" applyNumberFormat="0" applyFill="0" applyBorder="0" applyAlignment="0"/>
    <xf numFmtId="0" fontId="90" fillId="0" borderId="0" applyNumberFormat="0" applyFill="0" applyBorder="0" applyAlignment="0" applyProtection="0"/>
    <xf numFmtId="0" fontId="36" fillId="35" borderId="35">
      <alignment horizontal="center"/>
    </xf>
    <xf numFmtId="2" fontId="46" fillId="36" borderId="0" applyNumberFormat="0" applyFont="0" applyBorder="0" applyAlignment="0" applyProtection="0"/>
    <xf numFmtId="221" fontId="46" fillId="37" borderId="0" applyNumberFormat="0" applyFont="0" applyBorder="0" applyAlignment="0">
      <protection locked="0"/>
    </xf>
    <xf numFmtId="0" fontId="46" fillId="0" borderId="0" applyNumberFormat="0" applyFill="0" applyBorder="0" applyAlignment="0" applyProtection="0"/>
    <xf numFmtId="0" fontId="91" fillId="0" borderId="0" applyNumberFormat="0" applyFill="0" applyBorder="0" applyAlignment="0" applyProtection="0"/>
    <xf numFmtId="0" fontId="46" fillId="0" borderId="0" applyNumberFormat="0" applyFill="0" applyBorder="0" applyAlignment="0" applyProtection="0"/>
    <xf numFmtId="221" fontId="92" fillId="0" borderId="0" applyNumberFormat="0" applyFill="0" applyBorder="0" applyProtection="0">
      <alignment horizontal="right"/>
    </xf>
    <xf numFmtId="222" fontId="37" fillId="0" borderId="0">
      <protection locked="0"/>
    </xf>
    <xf numFmtId="0" fontId="93" fillId="0" borderId="0" applyNumberFormat="0" applyFill="0" applyBorder="0">
      <alignment horizontal="right"/>
    </xf>
    <xf numFmtId="38" fontId="94" fillId="0" borderId="0" applyNumberFormat="0" applyFill="0" applyBorder="0">
      <alignment vertical="center"/>
    </xf>
    <xf numFmtId="8" fontId="95" fillId="0" borderId="36">
      <protection locked="0"/>
    </xf>
    <xf numFmtId="222" fontId="37" fillId="0" borderId="0">
      <protection locked="0"/>
    </xf>
    <xf numFmtId="14" fontId="96" fillId="0" borderId="0">
      <alignment horizontal="right"/>
    </xf>
    <xf numFmtId="0" fontId="18" fillId="0" borderId="0"/>
    <xf numFmtId="0" fontId="87" fillId="0" borderId="0" applyNumberFormat="0" applyAlignment="0"/>
    <xf numFmtId="223" fontId="46" fillId="38" borderId="3" applyNumberFormat="0" applyFont="0" applyBorder="0" applyAlignment="0" applyProtection="0">
      <alignment horizontal="right"/>
    </xf>
    <xf numFmtId="167" fontId="97" fillId="0" borderId="0" applyNumberFormat="0" applyFont="0" applyAlignment="0">
      <alignment vertical="center"/>
    </xf>
    <xf numFmtId="222" fontId="37" fillId="0" borderId="0">
      <protection locked="0"/>
    </xf>
    <xf numFmtId="0" fontId="98" fillId="0" borderId="0" applyNumberFormat="0" applyFill="0" applyBorder="0" applyAlignment="0" applyProtection="0"/>
    <xf numFmtId="1" fontId="46" fillId="0" borderId="0" applyNumberFormat="0" applyBorder="0" applyAlignment="0" applyProtection="0"/>
    <xf numFmtId="224" fontId="99" fillId="0" borderId="0">
      <alignment vertical="center"/>
    </xf>
    <xf numFmtId="49" fontId="98" fillId="0" borderId="0">
      <alignment horizontal="right"/>
    </xf>
    <xf numFmtId="49" fontId="100" fillId="0" borderId="0">
      <alignment horizontal="right"/>
    </xf>
    <xf numFmtId="224" fontId="101" fillId="0" borderId="0">
      <alignment vertical="center"/>
    </xf>
    <xf numFmtId="167" fontId="102" fillId="0" borderId="0" applyNumberFormat="0" applyFill="0" applyBorder="0">
      <alignment horizontal="left" vertical="center"/>
    </xf>
    <xf numFmtId="0" fontId="103" fillId="0" borderId="0"/>
    <xf numFmtId="0" fontId="104" fillId="39" borderId="0" applyNumberFormat="0" applyFont="0" applyBorder="0" applyAlignment="0" applyProtection="0"/>
    <xf numFmtId="225" fontId="37" fillId="0" borderId="0" applyNumberFormat="0" applyFill="0" applyBorder="0" applyAlignment="0" applyProtection="0"/>
    <xf numFmtId="0" fontId="105" fillId="0" borderId="0"/>
    <xf numFmtId="0" fontId="106" fillId="0" borderId="0"/>
    <xf numFmtId="38" fontId="107" fillId="0" borderId="0" applyNumberFormat="0" applyFill="0" applyBorder="0">
      <alignment horizontal="left" vertical="center"/>
    </xf>
    <xf numFmtId="167" fontId="108" fillId="0" borderId="0" applyFill="0" applyBorder="0">
      <alignment vertical="center"/>
    </xf>
    <xf numFmtId="0" fontId="109" fillId="40" borderId="0"/>
    <xf numFmtId="226" fontId="37" fillId="0" borderId="0" applyFont="0" applyFill="0" applyBorder="0" applyAlignment="0" applyProtection="0"/>
    <xf numFmtId="221" fontId="110" fillId="0" borderId="0"/>
    <xf numFmtId="2" fontId="104" fillId="0" borderId="0" applyBorder="0" applyProtection="0"/>
    <xf numFmtId="0" fontId="46" fillId="0" borderId="0" applyNumberFormat="0" applyFill="0" applyBorder="0" applyAlignment="0" applyProtection="0"/>
    <xf numFmtId="0" fontId="111" fillId="0" borderId="0" applyNumberFormat="0" applyFill="0" applyBorder="0" applyAlignment="0" applyProtection="0"/>
    <xf numFmtId="225" fontId="37" fillId="0" borderId="0" applyNumberFormat="0" applyFill="0" applyBorder="0" applyAlignment="0" applyProtection="0"/>
    <xf numFmtId="0" fontId="111" fillId="0" borderId="0" applyNumberFormat="0" applyFill="0" applyBorder="0" applyAlignment="0" applyProtection="0"/>
    <xf numFmtId="0" fontId="107" fillId="0" borderId="0" applyNumberFormat="0" applyFill="0" applyBorder="0" applyAlignment="0" applyProtection="0"/>
    <xf numFmtId="0" fontId="46" fillId="0" borderId="0" applyNumberFormat="0" applyFill="0" applyBorder="0" applyAlignment="0" applyProtection="0"/>
    <xf numFmtId="0" fontId="112" fillId="0" borderId="0">
      <alignment horizontal="left" vertical="top"/>
      <protection locked="0"/>
    </xf>
    <xf numFmtId="227" fontId="37" fillId="0" borderId="0" applyFill="0">
      <alignment horizontal="center" vertical="center"/>
    </xf>
    <xf numFmtId="0" fontId="113" fillId="0" borderId="0" applyNumberFormat="0" applyFill="0" applyBorder="0">
      <alignment horizontal="left"/>
    </xf>
    <xf numFmtId="228" fontId="37" fillId="0" borderId="0"/>
    <xf numFmtId="7" fontId="114" fillId="0" borderId="0" applyFont="0" applyFill="0" applyBorder="0" applyAlignment="0" applyProtection="0"/>
    <xf numFmtId="0" fontId="115" fillId="0" borderId="0" applyNumberFormat="0" applyAlignment="0"/>
    <xf numFmtId="170" fontId="37" fillId="0" borderId="0" applyFill="0" applyBorder="0" applyAlignment="0" applyProtection="0"/>
    <xf numFmtId="206" fontId="116" fillId="0" borderId="0">
      <alignment vertical="top"/>
    </xf>
    <xf numFmtId="169" fontId="104" fillId="20" borderId="37" applyNumberFormat="0" applyFont="0" applyBorder="0" applyAlignment="0" applyProtection="0">
      <alignment horizontal="center"/>
    </xf>
    <xf numFmtId="37" fontId="41" fillId="1" borderId="0">
      <alignment horizontal="right"/>
    </xf>
    <xf numFmtId="1" fontId="117" fillId="41" borderId="0" applyNumberFormat="0" applyFont="0" applyBorder="0" applyAlignment="0">
      <alignment horizontal="left"/>
    </xf>
    <xf numFmtId="2" fontId="118" fillId="0" borderId="0"/>
    <xf numFmtId="1" fontId="37" fillId="0" borderId="0"/>
    <xf numFmtId="0" fontId="37" fillId="0" borderId="0" applyFont="0" applyFill="0" applyBorder="0" applyAlignment="0" applyProtection="0"/>
    <xf numFmtId="0" fontId="37" fillId="0" borderId="0">
      <alignment vertical="top"/>
    </xf>
    <xf numFmtId="0" fontId="37" fillId="0" borderId="0">
      <alignment vertical="top"/>
    </xf>
    <xf numFmtId="229" fontId="119" fillId="0" borderId="0" applyNumberFormat="0" applyFill="0" applyBorder="0" applyAlignment="0" applyProtection="0">
      <alignment horizontal="right" vertical="center" wrapText="1"/>
    </xf>
    <xf numFmtId="0" fontId="120" fillId="0" borderId="0" applyNumberFormat="0" applyFill="0" applyBorder="0" applyAlignment="0" applyProtection="0"/>
    <xf numFmtId="0" fontId="121" fillId="0" borderId="0" applyNumberFormat="0" applyFill="0" applyBorder="0" applyAlignment="0" applyProtection="0">
      <protection locked="0"/>
    </xf>
    <xf numFmtId="0" fontId="122" fillId="0" borderId="3" applyNumberFormat="0" applyFill="0" applyProtection="0">
      <alignment horizontal="right"/>
    </xf>
    <xf numFmtId="6" fontId="107" fillId="0" borderId="38" applyFill="0">
      <alignment vertical="center"/>
    </xf>
    <xf numFmtId="230" fontId="46" fillId="0" borderId="0"/>
    <xf numFmtId="39" fontId="123" fillId="0" borderId="23" applyNumberFormat="0" applyBorder="0">
      <alignment horizontal="right"/>
    </xf>
    <xf numFmtId="0" fontId="122" fillId="0" borderId="39" applyNumberFormat="0" applyProtection="0">
      <alignment horizontal="right"/>
    </xf>
    <xf numFmtId="0" fontId="124" fillId="0" borderId="6" applyNumberFormat="0" applyFill="0" applyProtection="0"/>
    <xf numFmtId="0" fontId="125" fillId="0" borderId="0">
      <alignment vertical="center"/>
    </xf>
    <xf numFmtId="0" fontId="99" fillId="0" borderId="0">
      <alignment vertical="center"/>
    </xf>
    <xf numFmtId="0" fontId="101" fillId="0" borderId="0">
      <alignment vertical="center"/>
    </xf>
    <xf numFmtId="0" fontId="126" fillId="0" borderId="0" applyNumberFormat="0">
      <alignment horizontal="left"/>
    </xf>
    <xf numFmtId="0" fontId="127" fillId="0" borderId="0" applyFill="0" applyBorder="0" applyProtection="0">
      <alignment horizontal="left" vertical="top"/>
    </xf>
    <xf numFmtId="14" fontId="37" fillId="0" borderId="0" applyFill="0" applyBorder="0">
      <alignment vertical="center"/>
    </xf>
    <xf numFmtId="0" fontId="103" fillId="0" borderId="0" applyNumberFormat="0" applyFill="0" applyBorder="0" applyAlignment="0" applyProtection="0"/>
    <xf numFmtId="0" fontId="128" fillId="0" borderId="0" applyNumberFormat="0" applyFill="0" applyBorder="0" applyAlignment="0" applyProtection="0"/>
    <xf numFmtId="38" fontId="129" fillId="0" borderId="0" applyNumberFormat="0" applyFill="0" applyBorder="0">
      <alignment horizontal="left" vertical="center"/>
    </xf>
    <xf numFmtId="38" fontId="130" fillId="0" borderId="0" applyNumberFormat="0" applyFill="0" applyBorder="0">
      <alignment horizontal="centerContinuous" vertical="center"/>
    </xf>
    <xf numFmtId="0" fontId="131" fillId="0" borderId="0" applyNumberFormat="0" applyFill="0" applyBorder="0" applyAlignment="0" applyProtection="0"/>
    <xf numFmtId="0" fontId="16" fillId="0" borderId="0" applyNumberFormat="0" applyFill="0" applyBorder="0" applyAlignment="0" applyProtection="0"/>
    <xf numFmtId="169" fontId="87" fillId="0" borderId="0" applyNumberFormat="0" applyBorder="0" applyAlignment="0"/>
    <xf numFmtId="1" fontId="132" fillId="0" borderId="23" applyFill="0" applyProtection="0">
      <alignment horizontal="right"/>
    </xf>
    <xf numFmtId="168" fontId="37" fillId="0" borderId="0" applyFill="0" applyBorder="0">
      <alignment vertical="center"/>
    </xf>
    <xf numFmtId="0" fontId="133" fillId="0" borderId="0" applyNumberFormat="0" applyFill="0" applyBorder="0" applyAlignment="0" applyProtection="0"/>
    <xf numFmtId="0" fontId="37" fillId="0" borderId="0"/>
    <xf numFmtId="0" fontId="87" fillId="0" borderId="0"/>
    <xf numFmtId="0" fontId="78" fillId="0" borderId="0" applyNumberForma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38" fillId="0" borderId="0"/>
    <xf numFmtId="0" fontId="37" fillId="0" borderId="0"/>
  </cellStyleXfs>
  <cellXfs count="685">
    <xf numFmtId="0" fontId="0" fillId="0" borderId="0" xfId="0"/>
    <xf numFmtId="0" fontId="13" fillId="0" borderId="0" xfId="0" applyFont="1" applyAlignment="1">
      <alignment horizontal="left"/>
    </xf>
    <xf numFmtId="0" fontId="14" fillId="2" borderId="0" xfId="0" applyFont="1" applyFill="1"/>
    <xf numFmtId="0" fontId="14" fillId="2" borderId="0" xfId="0" applyFont="1" applyFill="1" applyAlignment="1">
      <alignment horizontal="right"/>
    </xf>
    <xf numFmtId="0" fontId="15" fillId="0" borderId="0" xfId="0" applyFont="1"/>
    <xf numFmtId="0" fontId="16" fillId="3" borderId="0" xfId="0" applyFont="1" applyFill="1"/>
    <xf numFmtId="17" fontId="16" fillId="3" borderId="0" xfId="0" applyNumberFormat="1" applyFont="1" applyFill="1" applyAlignment="1">
      <alignment horizontal="right"/>
    </xf>
    <xf numFmtId="0" fontId="17" fillId="0" borderId="0" xfId="0" applyFont="1"/>
    <xf numFmtId="17" fontId="16" fillId="0" borderId="0" xfId="0" applyNumberFormat="1" applyFont="1" applyAlignment="1">
      <alignment horizontal="right"/>
    </xf>
    <xf numFmtId="0" fontId="16" fillId="3" borderId="0" xfId="0" applyFont="1" applyFill="1" applyAlignment="1">
      <alignment horizontal="right"/>
    </xf>
    <xf numFmtId="0" fontId="16" fillId="0" borderId="0" xfId="0" applyFont="1" applyAlignment="1">
      <alignment horizontal="right"/>
    </xf>
    <xf numFmtId="2" fontId="16" fillId="3" borderId="0" xfId="0" applyNumberFormat="1" applyFont="1" applyFill="1" applyAlignment="1">
      <alignment horizontal="right"/>
    </xf>
    <xf numFmtId="2" fontId="16" fillId="0" borderId="0" xfId="0" applyNumberFormat="1" applyFont="1" applyAlignment="1">
      <alignment horizontal="right"/>
    </xf>
    <xf numFmtId="4" fontId="18" fillId="0" borderId="0" xfId="0" applyNumberFormat="1" applyFont="1" applyAlignment="1">
      <alignment horizontal="right"/>
    </xf>
    <xf numFmtId="4" fontId="18" fillId="0" borderId="0" xfId="0" applyNumberFormat="1" applyFont="1"/>
    <xf numFmtId="0" fontId="18" fillId="0" borderId="0" xfId="0" applyFont="1"/>
    <xf numFmtId="0" fontId="18" fillId="0" borderId="0" xfId="0" applyFont="1" applyAlignment="1">
      <alignment horizontal="right"/>
    </xf>
    <xf numFmtId="0" fontId="16" fillId="0" borderId="0" xfId="0" applyFont="1"/>
    <xf numFmtId="0" fontId="19" fillId="0" borderId="0" xfId="0" applyFont="1"/>
    <xf numFmtId="0" fontId="20" fillId="0" borderId="0" xfId="0" applyFont="1" applyAlignment="1">
      <alignment horizontal="right"/>
    </xf>
    <xf numFmtId="0" fontId="20" fillId="0" borderId="0" xfId="0" applyFont="1"/>
    <xf numFmtId="0" fontId="21" fillId="0" borderId="0" xfId="0" applyFont="1"/>
    <xf numFmtId="0" fontId="21" fillId="0" borderId="0" xfId="0" applyFont="1" applyAlignment="1">
      <alignment horizontal="right"/>
    </xf>
    <xf numFmtId="0" fontId="22" fillId="0" borderId="0" xfId="0" applyFont="1"/>
    <xf numFmtId="0" fontId="23" fillId="0" borderId="0" xfId="0" applyFont="1" applyAlignment="1">
      <alignment horizontal="right"/>
    </xf>
    <xf numFmtId="0" fontId="23" fillId="0" borderId="0" xfId="0" applyFont="1"/>
    <xf numFmtId="0" fontId="14" fillId="0" borderId="0" xfId="0" applyFont="1"/>
    <xf numFmtId="166" fontId="19" fillId="0" borderId="0" xfId="0" applyNumberFormat="1" applyFont="1" applyAlignment="1">
      <alignment horizontal="right"/>
    </xf>
    <xf numFmtId="166" fontId="18" fillId="0" borderId="0" xfId="0" applyNumberFormat="1" applyFont="1" applyAlignment="1">
      <alignment horizontal="right"/>
    </xf>
    <xf numFmtId="167" fontId="22" fillId="0" borderId="0" xfId="3" applyNumberFormat="1" applyFont="1" applyAlignment="1">
      <alignment horizontal="right"/>
    </xf>
    <xf numFmtId="167" fontId="18" fillId="0" borderId="0" xfId="3" applyNumberFormat="1" applyFont="1" applyAlignment="1">
      <alignment horizontal="right"/>
    </xf>
    <xf numFmtId="167" fontId="18" fillId="0" borderId="1" xfId="3" applyNumberFormat="1" applyFont="1" applyBorder="1" applyAlignment="1">
      <alignment horizontal="right"/>
    </xf>
    <xf numFmtId="167" fontId="18" fillId="0" borderId="0" xfId="3" applyNumberFormat="1" applyFont="1" applyBorder="1" applyAlignment="1">
      <alignment horizontal="right"/>
    </xf>
    <xf numFmtId="167" fontId="21" fillId="0" borderId="0" xfId="3" applyNumberFormat="1" applyFont="1" applyAlignment="1">
      <alignment horizontal="right"/>
    </xf>
    <xf numFmtId="10" fontId="21" fillId="0" borderId="0" xfId="3" applyNumberFormat="1" applyFont="1" applyAlignment="1">
      <alignment horizontal="right"/>
    </xf>
    <xf numFmtId="10" fontId="18" fillId="0" borderId="0" xfId="3" applyNumberFormat="1" applyFont="1" applyAlignment="1">
      <alignment horizontal="right"/>
    </xf>
    <xf numFmtId="10" fontId="18" fillId="0" borderId="1" xfId="3" applyNumberFormat="1" applyFont="1" applyBorder="1" applyAlignment="1">
      <alignment horizontal="right"/>
    </xf>
    <xf numFmtId="10" fontId="18" fillId="0" borderId="0" xfId="3" applyNumberFormat="1" applyFont="1" applyBorder="1" applyAlignment="1">
      <alignment horizontal="right"/>
    </xf>
    <xf numFmtId="10" fontId="19" fillId="0" borderId="0" xfId="3" applyNumberFormat="1" applyFont="1" applyAlignment="1">
      <alignment horizontal="right"/>
    </xf>
    <xf numFmtId="10" fontId="18" fillId="0" borderId="1" xfId="3" applyNumberFormat="1" applyFont="1" applyFill="1" applyBorder="1" applyAlignment="1">
      <alignment horizontal="right"/>
    </xf>
    <xf numFmtId="3" fontId="19" fillId="0" borderId="0" xfId="0" applyNumberFormat="1" applyFont="1" applyAlignment="1">
      <alignment horizontal="right"/>
    </xf>
    <xf numFmtId="3" fontId="18" fillId="0" borderId="0" xfId="0" applyNumberFormat="1" applyFont="1" applyAlignment="1">
      <alignment horizontal="right"/>
    </xf>
    <xf numFmtId="9" fontId="18" fillId="0" borderId="0" xfId="3" applyFont="1" applyAlignment="1">
      <alignment horizontal="right"/>
    </xf>
    <xf numFmtId="9" fontId="18" fillId="0" borderId="0" xfId="3" applyFont="1" applyBorder="1" applyAlignment="1">
      <alignment horizontal="right"/>
    </xf>
    <xf numFmtId="9" fontId="18" fillId="0" borderId="1" xfId="3" applyFont="1" applyBorder="1" applyAlignment="1">
      <alignment horizontal="right"/>
    </xf>
    <xf numFmtId="9" fontId="21" fillId="0" borderId="0" xfId="3" applyFont="1" applyAlignment="1">
      <alignment horizontal="right"/>
    </xf>
    <xf numFmtId="170" fontId="18" fillId="0" borderId="0" xfId="0" applyNumberFormat="1" applyFont="1" applyAlignment="1">
      <alignment horizontal="right"/>
    </xf>
    <xf numFmtId="3" fontId="18" fillId="4" borderId="0" xfId="0" applyNumberFormat="1" applyFont="1" applyFill="1" applyAlignment="1">
      <alignment horizontal="right"/>
    </xf>
    <xf numFmtId="167" fontId="19" fillId="0" borderId="0" xfId="3" applyNumberFormat="1" applyFont="1" applyAlignment="1">
      <alignment horizontal="right"/>
    </xf>
    <xf numFmtId="167" fontId="19" fillId="0" borderId="0" xfId="3" applyNumberFormat="1" applyFont="1" applyBorder="1" applyAlignment="1">
      <alignment horizontal="right"/>
    </xf>
    <xf numFmtId="9" fontId="18" fillId="0" borderId="0" xfId="3" applyFont="1" applyFill="1" applyBorder="1" applyAlignment="1">
      <alignment horizontal="right"/>
    </xf>
    <xf numFmtId="9" fontId="21" fillId="0" borderId="0" xfId="3" applyFont="1" applyBorder="1" applyAlignment="1">
      <alignment horizontal="right"/>
    </xf>
    <xf numFmtId="2" fontId="19" fillId="0" borderId="0" xfId="0" applyNumberFormat="1" applyFont="1" applyAlignment="1">
      <alignment horizontal="right"/>
    </xf>
    <xf numFmtId="2" fontId="18" fillId="0" borderId="0" xfId="0" applyNumberFormat="1" applyFont="1" applyAlignment="1">
      <alignment horizontal="right"/>
    </xf>
    <xf numFmtId="9" fontId="19" fillId="0" borderId="0" xfId="3" applyFont="1" applyAlignment="1">
      <alignment horizontal="right"/>
    </xf>
    <xf numFmtId="1" fontId="18" fillId="0" borderId="0" xfId="0" applyNumberFormat="1" applyFont="1" applyAlignment="1">
      <alignment horizontal="right"/>
    </xf>
    <xf numFmtId="168" fontId="18" fillId="0" borderId="0" xfId="2" applyNumberFormat="1" applyFont="1" applyAlignment="1">
      <alignment horizontal="right"/>
    </xf>
    <xf numFmtId="168" fontId="19" fillId="0" borderId="0" xfId="2" applyNumberFormat="1" applyFont="1" applyAlignment="1">
      <alignment horizontal="right"/>
    </xf>
    <xf numFmtId="168" fontId="18" fillId="0" borderId="1" xfId="2" applyNumberFormat="1" applyFont="1" applyBorder="1" applyAlignment="1">
      <alignment horizontal="right"/>
    </xf>
    <xf numFmtId="168" fontId="18" fillId="0" borderId="0" xfId="2" applyNumberFormat="1" applyFont="1" applyBorder="1" applyAlignment="1">
      <alignment horizontal="right"/>
    </xf>
    <xf numFmtId="3" fontId="14" fillId="2" borderId="0" xfId="0" applyNumberFormat="1" applyFont="1" applyFill="1" applyAlignment="1">
      <alignment horizontal="right"/>
    </xf>
    <xf numFmtId="3" fontId="24" fillId="0" borderId="0" xfId="0" applyNumberFormat="1" applyFont="1" applyAlignment="1">
      <alignment horizontal="right"/>
    </xf>
    <xf numFmtId="3" fontId="16" fillId="0" borderId="0" xfId="0" applyNumberFormat="1" applyFont="1" applyAlignment="1">
      <alignment horizontal="right"/>
    </xf>
    <xf numFmtId="0" fontId="25" fillId="0" borderId="0" xfId="0" applyFont="1"/>
    <xf numFmtId="3" fontId="26" fillId="0" borderId="0" xfId="0" applyNumberFormat="1" applyFont="1" applyAlignment="1">
      <alignment horizontal="right"/>
    </xf>
    <xf numFmtId="3" fontId="25" fillId="0" borderId="0" xfId="0" applyNumberFormat="1" applyFont="1" applyAlignment="1">
      <alignment horizontal="right"/>
    </xf>
    <xf numFmtId="0" fontId="25" fillId="0" borderId="0" xfId="0" applyFont="1" applyAlignment="1">
      <alignment horizontal="right"/>
    </xf>
    <xf numFmtId="10" fontId="14" fillId="2" borderId="0" xfId="3" applyNumberFormat="1" applyFont="1" applyFill="1" applyAlignment="1">
      <alignment horizontal="right"/>
    </xf>
    <xf numFmtId="10" fontId="14" fillId="2" borderId="0" xfId="3" applyNumberFormat="1" applyFont="1" applyFill="1" applyBorder="1" applyAlignment="1">
      <alignment horizontal="right"/>
    </xf>
    <xf numFmtId="10" fontId="14" fillId="2" borderId="1" xfId="3" applyNumberFormat="1" applyFont="1" applyFill="1" applyBorder="1" applyAlignment="1">
      <alignment horizontal="right"/>
    </xf>
    <xf numFmtId="10" fontId="16" fillId="0" borderId="0" xfId="3" applyNumberFormat="1" applyFont="1" applyAlignment="1">
      <alignment horizontal="right"/>
    </xf>
    <xf numFmtId="10" fontId="24" fillId="0" borderId="0" xfId="3" applyNumberFormat="1" applyFont="1" applyAlignment="1">
      <alignment horizontal="right"/>
    </xf>
    <xf numFmtId="10" fontId="16" fillId="0" borderId="1" xfId="3" applyNumberFormat="1" applyFont="1" applyBorder="1" applyAlignment="1">
      <alignment horizontal="right"/>
    </xf>
    <xf numFmtId="10" fontId="19" fillId="0" borderId="0" xfId="3" applyNumberFormat="1" applyFont="1" applyBorder="1" applyAlignment="1">
      <alignment horizontal="right"/>
    </xf>
    <xf numFmtId="0" fontId="27" fillId="0" borderId="0" xfId="0" applyFont="1" applyAlignment="1">
      <alignment horizontal="left"/>
    </xf>
    <xf numFmtId="10" fontId="16" fillId="3" borderId="0" xfId="3" applyNumberFormat="1" applyFont="1" applyFill="1" applyAlignment="1">
      <alignment horizontal="right"/>
    </xf>
    <xf numFmtId="10" fontId="16" fillId="3" borderId="1" xfId="3" applyNumberFormat="1" applyFont="1" applyFill="1" applyBorder="1" applyAlignment="1">
      <alignment horizontal="right"/>
    </xf>
    <xf numFmtId="10" fontId="16" fillId="0" borderId="0" xfId="3" applyNumberFormat="1" applyFont="1" applyFill="1" applyAlignment="1">
      <alignment horizontal="right"/>
    </xf>
    <xf numFmtId="10" fontId="16" fillId="3" borderId="0" xfId="3" applyNumberFormat="1" applyFont="1" applyFill="1" applyBorder="1" applyAlignment="1">
      <alignment horizontal="right"/>
    </xf>
    <xf numFmtId="0" fontId="16" fillId="0" borderId="0" xfId="0" quotePrefix="1" applyFont="1"/>
    <xf numFmtId="0" fontId="18" fillId="0" borderId="0" xfId="0" quotePrefix="1" applyFont="1"/>
    <xf numFmtId="172" fontId="14" fillId="2" borderId="0" xfId="0" applyNumberFormat="1" applyFont="1" applyFill="1" applyAlignment="1">
      <alignment horizontal="right"/>
    </xf>
    <xf numFmtId="4" fontId="16" fillId="0" borderId="0" xfId="0" applyNumberFormat="1" applyFont="1" applyAlignment="1">
      <alignment horizontal="right"/>
    </xf>
    <xf numFmtId="0" fontId="18" fillId="0" borderId="0" xfId="0" applyFont="1" applyAlignment="1">
      <alignment horizontal="left"/>
    </xf>
    <xf numFmtId="167" fontId="18" fillId="0" borderId="0" xfId="3" applyNumberFormat="1" applyFont="1"/>
    <xf numFmtId="169" fontId="18" fillId="0" borderId="0" xfId="0" applyNumberFormat="1" applyFont="1" applyAlignment="1">
      <alignment horizontal="right"/>
    </xf>
    <xf numFmtId="169" fontId="18" fillId="0" borderId="0" xfId="0" applyNumberFormat="1" applyFont="1"/>
    <xf numFmtId="169" fontId="18" fillId="0" borderId="0" xfId="3" applyNumberFormat="1" applyFont="1" applyAlignment="1">
      <alignment horizontal="right"/>
    </xf>
    <xf numFmtId="169" fontId="18" fillId="0" borderId="0" xfId="3" applyNumberFormat="1" applyFont="1" applyBorder="1" applyAlignment="1">
      <alignment horizontal="right"/>
    </xf>
    <xf numFmtId="169" fontId="18" fillId="0" borderId="1" xfId="3" applyNumberFormat="1" applyFont="1" applyBorder="1" applyAlignment="1">
      <alignment horizontal="right"/>
    </xf>
    <xf numFmtId="3" fontId="18" fillId="0" borderId="0" xfId="3" applyNumberFormat="1" applyFont="1" applyAlignment="1">
      <alignment horizontal="right"/>
    </xf>
    <xf numFmtId="3" fontId="18" fillId="0" borderId="1" xfId="3" applyNumberFormat="1" applyFont="1" applyBorder="1" applyAlignment="1">
      <alignment horizontal="right"/>
    </xf>
    <xf numFmtId="0" fontId="18" fillId="6" borderId="2" xfId="0" applyFont="1" applyFill="1" applyBorder="1"/>
    <xf numFmtId="0" fontId="18" fillId="6" borderId="3" xfId="0" applyFont="1" applyFill="1" applyBorder="1" applyAlignment="1">
      <alignment horizontal="right"/>
    </xf>
    <xf numFmtId="0" fontId="18" fillId="6" borderId="3" xfId="0" applyFont="1" applyFill="1" applyBorder="1"/>
    <xf numFmtId="0" fontId="18" fillId="6" borderId="4" xfId="0" applyFont="1" applyFill="1" applyBorder="1"/>
    <xf numFmtId="0" fontId="18" fillId="6" borderId="0" xfId="0" applyFont="1" applyFill="1" applyAlignment="1">
      <alignment horizontal="right"/>
    </xf>
    <xf numFmtId="0" fontId="18" fillId="6" borderId="0" xfId="0" applyFont="1" applyFill="1"/>
    <xf numFmtId="0" fontId="18" fillId="6" borderId="1" xfId="0" applyFont="1" applyFill="1" applyBorder="1" applyAlignment="1">
      <alignment horizontal="right"/>
    </xf>
    <xf numFmtId="171" fontId="22" fillId="6" borderId="0" xfId="3" applyNumberFormat="1" applyFont="1" applyFill="1" applyBorder="1" applyAlignment="1">
      <alignment horizontal="right"/>
    </xf>
    <xf numFmtId="0" fontId="21" fillId="6" borderId="0" xfId="0" applyFont="1" applyFill="1" applyAlignment="1">
      <alignment horizontal="right"/>
    </xf>
    <xf numFmtId="15" fontId="18" fillId="6" borderId="0" xfId="0" applyNumberFormat="1" applyFont="1" applyFill="1" applyAlignment="1">
      <alignment horizontal="right"/>
    </xf>
    <xf numFmtId="167" fontId="18" fillId="6" borderId="1" xfId="3" applyNumberFormat="1" applyFont="1" applyFill="1" applyBorder="1" applyAlignment="1">
      <alignment horizontal="right"/>
    </xf>
    <xf numFmtId="0" fontId="18" fillId="6" borderId="5" xfId="0" applyFont="1" applyFill="1" applyBorder="1"/>
    <xf numFmtId="15" fontId="18" fillId="6" borderId="6" xfId="0" applyNumberFormat="1" applyFont="1" applyFill="1" applyBorder="1" applyAlignment="1">
      <alignment horizontal="right"/>
    </xf>
    <xf numFmtId="0" fontId="18" fillId="6" borderId="6" xfId="0" applyFont="1" applyFill="1" applyBorder="1"/>
    <xf numFmtId="0" fontId="18" fillId="6" borderId="6" xfId="0" applyFont="1" applyFill="1" applyBorder="1" applyAlignment="1">
      <alignment horizontal="right"/>
    </xf>
    <xf numFmtId="0" fontId="27" fillId="2" borderId="0" xfId="0" applyFont="1" applyFill="1"/>
    <xf numFmtId="3" fontId="18" fillId="0" borderId="0" xfId="0" applyNumberFormat="1" applyFont="1"/>
    <xf numFmtId="3" fontId="16" fillId="0" borderId="0" xfId="0" applyNumberFormat="1" applyFont="1"/>
    <xf numFmtId="169" fontId="25" fillId="0" borderId="0" xfId="0" applyNumberFormat="1" applyFont="1"/>
    <xf numFmtId="0" fontId="28" fillId="0" borderId="0" xfId="0" applyFont="1" applyAlignment="1">
      <alignment horizontal="left"/>
    </xf>
    <xf numFmtId="170" fontId="25" fillId="0" borderId="0" xfId="0" applyNumberFormat="1" applyFont="1" applyAlignment="1">
      <alignment horizontal="right"/>
    </xf>
    <xf numFmtId="0" fontId="16" fillId="3" borderId="0" xfId="0" applyFont="1" applyFill="1" applyAlignment="1">
      <alignment horizontal="left"/>
    </xf>
    <xf numFmtId="9" fontId="16" fillId="3" borderId="0" xfId="3" applyFont="1" applyFill="1" applyBorder="1" applyAlignment="1">
      <alignment horizontal="right"/>
    </xf>
    <xf numFmtId="0" fontId="16" fillId="3" borderId="0" xfId="0" applyFont="1" applyFill="1" applyAlignment="1">
      <alignment horizontal="right" shrinkToFit="1"/>
    </xf>
    <xf numFmtId="0" fontId="16" fillId="3" borderId="0" xfId="0" applyFont="1" applyFill="1" applyAlignment="1">
      <alignment horizontal="left" indent="1"/>
    </xf>
    <xf numFmtId="173" fontId="21" fillId="0" borderId="0" xfId="0" applyNumberFormat="1" applyFont="1" applyAlignment="1">
      <alignment horizontal="right"/>
    </xf>
    <xf numFmtId="9" fontId="18" fillId="0" borderId="0" xfId="0" applyNumberFormat="1" applyFont="1" applyAlignment="1">
      <alignment horizontal="right"/>
    </xf>
    <xf numFmtId="168" fontId="18" fillId="0" borderId="0" xfId="0" applyNumberFormat="1" applyFont="1" applyAlignment="1">
      <alignment horizontal="right"/>
    </xf>
    <xf numFmtId="9" fontId="21" fillId="0" borderId="0" xfId="0" applyNumberFormat="1" applyFont="1"/>
    <xf numFmtId="15" fontId="18" fillId="0" borderId="0" xfId="0" applyNumberFormat="1" applyFont="1"/>
    <xf numFmtId="43" fontId="18" fillId="0" borderId="0" xfId="1" applyFont="1"/>
    <xf numFmtId="168" fontId="25" fillId="0" borderId="0" xfId="0" applyNumberFormat="1" applyFont="1" applyAlignment="1">
      <alignment horizontal="right"/>
    </xf>
    <xf numFmtId="0" fontId="29" fillId="0" borderId="0" xfId="0" applyFont="1" applyAlignment="1">
      <alignment horizontal="left"/>
    </xf>
    <xf numFmtId="0" fontId="30" fillId="0" borderId="6" xfId="0" applyFont="1" applyBorder="1"/>
    <xf numFmtId="168" fontId="30" fillId="0" borderId="6" xfId="0" applyNumberFormat="1" applyFont="1" applyBorder="1" applyAlignment="1">
      <alignment horizontal="right"/>
    </xf>
    <xf numFmtId="0" fontId="30" fillId="0" borderId="0" xfId="0" applyFont="1" applyAlignment="1">
      <alignment horizontal="right"/>
    </xf>
    <xf numFmtId="0" fontId="30" fillId="0" borderId="0" xfId="0" applyFont="1"/>
    <xf numFmtId="0" fontId="16" fillId="0" borderId="6" xfId="0" applyFont="1" applyBorder="1"/>
    <xf numFmtId="0" fontId="16" fillId="0" borderId="6" xfId="0" applyFont="1" applyBorder="1" applyAlignment="1">
      <alignment horizontal="right"/>
    </xf>
    <xf numFmtId="168" fontId="16" fillId="0" borderId="6" xfId="0" applyNumberFormat="1" applyFont="1" applyBorder="1" applyAlignment="1">
      <alignment horizontal="right"/>
    </xf>
    <xf numFmtId="168" fontId="16" fillId="0" borderId="0" xfId="0" applyNumberFormat="1" applyFont="1" applyAlignment="1">
      <alignment horizontal="right"/>
    </xf>
    <xf numFmtId="167" fontId="25" fillId="0" borderId="0" xfId="3" applyNumberFormat="1" applyFont="1" applyAlignment="1">
      <alignment horizontal="right"/>
    </xf>
    <xf numFmtId="0" fontId="16" fillId="0" borderId="0" xfId="0" applyFont="1" applyAlignment="1">
      <alignment horizontal="left" indent="1"/>
    </xf>
    <xf numFmtId="167" fontId="25" fillId="0" borderId="0" xfId="3" applyNumberFormat="1" applyFont="1"/>
    <xf numFmtId="167" fontId="22" fillId="0" borderId="0" xfId="3" applyNumberFormat="1" applyFont="1" applyFill="1" applyAlignment="1">
      <alignment horizontal="right"/>
    </xf>
    <xf numFmtId="167" fontId="22" fillId="0" borderId="0" xfId="3" applyNumberFormat="1" applyFont="1" applyFill="1" applyBorder="1" applyAlignment="1">
      <alignment horizontal="right"/>
    </xf>
    <xf numFmtId="167" fontId="18" fillId="0" borderId="0" xfId="3" applyNumberFormat="1" applyFont="1" applyFill="1" applyAlignment="1">
      <alignment horizontal="right"/>
    </xf>
    <xf numFmtId="167" fontId="18" fillId="0" borderId="0" xfId="3" applyNumberFormat="1" applyFont="1" applyFill="1" applyBorder="1" applyAlignment="1">
      <alignment horizontal="right"/>
    </xf>
    <xf numFmtId="167" fontId="18" fillId="0" borderId="1" xfId="3" applyNumberFormat="1" applyFont="1" applyFill="1" applyBorder="1" applyAlignment="1">
      <alignment horizontal="right"/>
    </xf>
    <xf numFmtId="3" fontId="33" fillId="0" borderId="0" xfId="0" applyNumberFormat="1" applyFont="1" applyAlignment="1">
      <alignment horizontal="right"/>
    </xf>
    <xf numFmtId="3" fontId="16" fillId="7" borderId="0" xfId="0" applyNumberFormat="1" applyFont="1" applyFill="1" applyAlignment="1">
      <alignment horizontal="right"/>
    </xf>
    <xf numFmtId="10" fontId="33" fillId="0" borderId="0" xfId="3" applyNumberFormat="1" applyFont="1" applyAlignment="1">
      <alignment horizontal="right"/>
    </xf>
    <xf numFmtId="10" fontId="33" fillId="0" borderId="0" xfId="3" applyNumberFormat="1" applyFont="1" applyBorder="1" applyAlignment="1">
      <alignment horizontal="right"/>
    </xf>
    <xf numFmtId="10" fontId="33" fillId="0" borderId="1" xfId="3" applyNumberFormat="1" applyFont="1" applyBorder="1" applyAlignment="1">
      <alignment horizontal="right"/>
    </xf>
    <xf numFmtId="174" fontId="18" fillId="0" borderId="0" xfId="0" applyNumberFormat="1" applyFont="1"/>
    <xf numFmtId="15" fontId="22" fillId="8" borderId="8" xfId="0" applyNumberFormat="1" applyFont="1" applyFill="1" applyBorder="1" applyAlignment="1">
      <alignment horizontal="right"/>
    </xf>
    <xf numFmtId="167" fontId="22" fillId="8" borderId="1" xfId="3" applyNumberFormat="1" applyFont="1" applyFill="1" applyBorder="1" applyAlignment="1">
      <alignment horizontal="right"/>
    </xf>
    <xf numFmtId="10" fontId="22" fillId="0" borderId="0" xfId="3" applyNumberFormat="1" applyFont="1" applyFill="1" applyBorder="1" applyAlignment="1">
      <alignment horizontal="right"/>
    </xf>
    <xf numFmtId="167" fontId="16" fillId="0" borderId="0" xfId="3" applyNumberFormat="1" applyFont="1" applyBorder="1" applyAlignment="1">
      <alignment horizontal="right"/>
    </xf>
    <xf numFmtId="0" fontId="36" fillId="2" borderId="0" xfId="5" applyFont="1" applyFill="1" applyAlignment="1">
      <alignment horizontal="center"/>
    </xf>
    <xf numFmtId="0" fontId="36" fillId="0" borderId="0" xfId="5" applyFont="1" applyAlignment="1">
      <alignment horizontal="center"/>
    </xf>
    <xf numFmtId="0" fontId="34" fillId="3" borderId="0" xfId="5" applyFill="1" applyAlignment="1">
      <alignment horizontal="center"/>
    </xf>
    <xf numFmtId="0" fontId="34" fillId="0" borderId="0" xfId="5" applyAlignment="1">
      <alignment horizontal="center"/>
    </xf>
    <xf numFmtId="14" fontId="34" fillId="3" borderId="0" xfId="5" applyNumberFormat="1" applyFill="1" applyAlignment="1">
      <alignment horizontal="center"/>
    </xf>
    <xf numFmtId="14" fontId="34" fillId="0" borderId="0" xfId="5" applyNumberFormat="1" applyAlignment="1">
      <alignment horizontal="center"/>
    </xf>
    <xf numFmtId="0" fontId="35" fillId="2" borderId="0" xfId="5" applyFont="1" applyFill="1"/>
    <xf numFmtId="175" fontId="35" fillId="2" borderId="0" xfId="5" applyNumberFormat="1" applyFont="1" applyFill="1"/>
    <xf numFmtId="0" fontId="35" fillId="0" borderId="0" xfId="5" applyFont="1"/>
    <xf numFmtId="4" fontId="34" fillId="0" borderId="0" xfId="5" applyNumberFormat="1" applyProtection="1">
      <protection locked="0"/>
    </xf>
    <xf numFmtId="170" fontId="34" fillId="0" borderId="0" xfId="5" applyNumberFormat="1" applyProtection="1">
      <protection locked="0"/>
    </xf>
    <xf numFmtId="0" fontId="13" fillId="0" borderId="0" xfId="6" applyFont="1" applyAlignment="1">
      <alignment horizontal="left"/>
    </xf>
    <xf numFmtId="0" fontId="34" fillId="7" borderId="0" xfId="5" applyFill="1"/>
    <xf numFmtId="0" fontId="13" fillId="10" borderId="0" xfId="6" applyFont="1" applyFill="1" applyAlignment="1">
      <alignment horizontal="left"/>
    </xf>
    <xf numFmtId="177" fontId="34" fillId="0" borderId="0" xfId="8" applyFont="1"/>
    <xf numFmtId="4" fontId="34" fillId="0" borderId="0" xfId="5" applyNumberFormat="1"/>
    <xf numFmtId="4" fontId="37" fillId="0" borderId="0" xfId="5" applyNumberFormat="1" applyFont="1"/>
    <xf numFmtId="0" fontId="39" fillId="0" borderId="0" xfId="5" applyFont="1"/>
    <xf numFmtId="170" fontId="34" fillId="0" borderId="0" xfId="5" applyNumberFormat="1"/>
    <xf numFmtId="0" fontId="40" fillId="0" borderId="0" xfId="5" applyFont="1"/>
    <xf numFmtId="0" fontId="13" fillId="7" borderId="0" xfId="6" applyFont="1" applyFill="1" applyAlignment="1">
      <alignment horizontal="left"/>
    </xf>
    <xf numFmtId="170" fontId="37" fillId="0" borderId="0" xfId="5" applyNumberFormat="1" applyFont="1"/>
    <xf numFmtId="0" fontId="37" fillId="0" borderId="0" xfId="5" applyFont="1"/>
    <xf numFmtId="167" fontId="34" fillId="0" borderId="0" xfId="5" applyNumberFormat="1"/>
    <xf numFmtId="178" fontId="34" fillId="0" borderId="0" xfId="5" applyNumberFormat="1" applyProtection="1">
      <protection locked="0"/>
    </xf>
    <xf numFmtId="14" fontId="0" fillId="0" borderId="0" xfId="0" applyNumberFormat="1"/>
    <xf numFmtId="0" fontId="51" fillId="0" borderId="0" xfId="0" applyFont="1"/>
    <xf numFmtId="0" fontId="35" fillId="2" borderId="0" xfId="5" applyFont="1" applyFill="1" applyAlignment="1">
      <alignment horizontal="left"/>
    </xf>
    <xf numFmtId="0" fontId="34" fillId="0" borderId="0" xfId="5"/>
    <xf numFmtId="170" fontId="34" fillId="9" borderId="0" xfId="5" applyNumberFormat="1" applyFill="1" applyProtection="1">
      <protection locked="0"/>
    </xf>
    <xf numFmtId="170" fontId="34" fillId="5" borderId="0" xfId="5" applyNumberFormat="1" applyFill="1" applyProtection="1">
      <protection locked="0"/>
    </xf>
    <xf numFmtId="176" fontId="34" fillId="0" borderId="0" xfId="5" applyNumberFormat="1" applyProtection="1">
      <protection locked="0"/>
    </xf>
    <xf numFmtId="0" fontId="38" fillId="0" borderId="0" xfId="9"/>
    <xf numFmtId="168" fontId="16" fillId="0" borderId="3" xfId="0" applyNumberFormat="1" applyFont="1" applyBorder="1" applyAlignment="1">
      <alignment horizontal="right"/>
    </xf>
    <xf numFmtId="9" fontId="16" fillId="0" borderId="3" xfId="0" applyNumberFormat="1" applyFont="1" applyBorder="1" applyAlignment="1">
      <alignment horizontal="right"/>
    </xf>
    <xf numFmtId="0" fontId="18" fillId="0" borderId="0" xfId="0" applyFont="1" applyAlignment="1">
      <alignment horizontal="left" indent="1"/>
    </xf>
    <xf numFmtId="201" fontId="18" fillId="6" borderId="1" xfId="23" applyNumberFormat="1" applyFont="1" applyFill="1" applyBorder="1" applyAlignment="1">
      <alignment horizontal="right"/>
    </xf>
    <xf numFmtId="201" fontId="21" fillId="6" borderId="7" xfId="23" applyNumberFormat="1" applyFont="1" applyFill="1" applyBorder="1" applyAlignment="1">
      <alignment horizontal="right"/>
    </xf>
    <xf numFmtId="10" fontId="18" fillId="0" borderId="0" xfId="0" applyNumberFormat="1" applyFont="1" applyAlignment="1">
      <alignment horizontal="right"/>
    </xf>
    <xf numFmtId="0" fontId="13" fillId="29" borderId="0" xfId="6" applyFont="1" applyFill="1" applyAlignment="1">
      <alignment horizontal="left"/>
    </xf>
    <xf numFmtId="0" fontId="34" fillId="29" borderId="0" xfId="5" applyFill="1"/>
    <xf numFmtId="10" fontId="34" fillId="0" borderId="0" xfId="5" applyNumberFormat="1"/>
    <xf numFmtId="49" fontId="34" fillId="3" borderId="0" xfId="5" applyNumberFormat="1" applyFill="1"/>
    <xf numFmtId="3" fontId="63" fillId="0" borderId="0" xfId="0" applyNumberFormat="1" applyFont="1" applyAlignment="1">
      <alignment horizontal="right"/>
    </xf>
    <xf numFmtId="0" fontId="14" fillId="2" borderId="1" xfId="0" applyFont="1" applyFill="1" applyBorder="1" applyAlignment="1">
      <alignment horizontal="right"/>
    </xf>
    <xf numFmtId="17" fontId="16" fillId="3" borderId="1" xfId="0" applyNumberFormat="1" applyFont="1" applyFill="1" applyBorder="1" applyAlignment="1">
      <alignment horizontal="right"/>
    </xf>
    <xf numFmtId="0" fontId="16" fillId="3" borderId="1" xfId="0" applyFont="1" applyFill="1" applyBorder="1" applyAlignment="1">
      <alignment horizontal="right"/>
    </xf>
    <xf numFmtId="2" fontId="16" fillId="3" borderId="1" xfId="0" applyNumberFormat="1" applyFont="1" applyFill="1" applyBorder="1" applyAlignment="1">
      <alignment horizontal="right"/>
    </xf>
    <xf numFmtId="4" fontId="18" fillId="0" borderId="1" xfId="0" applyNumberFormat="1" applyFont="1" applyBorder="1" applyAlignment="1">
      <alignment horizontal="right"/>
    </xf>
    <xf numFmtId="0" fontId="18" fillId="0" borderId="1" xfId="0" applyFont="1" applyBorder="1" applyAlignment="1">
      <alignment horizontal="right"/>
    </xf>
    <xf numFmtId="0" fontId="16" fillId="0" borderId="1" xfId="0" applyFont="1" applyBorder="1" applyAlignment="1">
      <alignment horizontal="right"/>
    </xf>
    <xf numFmtId="0" fontId="20" fillId="0" borderId="1" xfId="0" applyFont="1" applyBorder="1" applyAlignment="1">
      <alignment horizontal="right"/>
    </xf>
    <xf numFmtId="0" fontId="21" fillId="0" borderId="1" xfId="0" applyFont="1" applyBorder="1" applyAlignment="1">
      <alignment horizontal="right"/>
    </xf>
    <xf numFmtId="0" fontId="23" fillId="0" borderId="1" xfId="0" applyFont="1" applyBorder="1" applyAlignment="1">
      <alignment horizontal="right"/>
    </xf>
    <xf numFmtId="166" fontId="22" fillId="0" borderId="0" xfId="0" applyNumberFormat="1" applyFont="1" applyAlignment="1">
      <alignment horizontal="right"/>
    </xf>
    <xf numFmtId="166" fontId="18" fillId="0" borderId="1" xfId="0" applyNumberFormat="1" applyFont="1" applyBorder="1" applyAlignment="1">
      <alignment horizontal="right"/>
    </xf>
    <xf numFmtId="167" fontId="18" fillId="0" borderId="0" xfId="23" applyNumberFormat="1" applyFont="1" applyAlignment="1">
      <alignment horizontal="right"/>
    </xf>
    <xf numFmtId="167" fontId="18" fillId="0" borderId="1" xfId="23" applyNumberFormat="1" applyFont="1" applyBorder="1" applyAlignment="1">
      <alignment horizontal="right"/>
    </xf>
    <xf numFmtId="167" fontId="18" fillId="0" borderId="0" xfId="23" applyNumberFormat="1" applyFont="1" applyBorder="1" applyAlignment="1">
      <alignment horizontal="right"/>
    </xf>
    <xf numFmtId="3" fontId="21" fillId="0" borderId="0" xfId="0" applyNumberFormat="1" applyFont="1" applyAlignment="1">
      <alignment horizontal="right"/>
    </xf>
    <xf numFmtId="3" fontId="18" fillId="0" borderId="1" xfId="0" applyNumberFormat="1" applyFont="1" applyBorder="1" applyAlignment="1">
      <alignment horizontal="right"/>
    </xf>
    <xf numFmtId="9" fontId="18" fillId="0" borderId="0" xfId="23" applyFont="1" applyAlignment="1">
      <alignment horizontal="right"/>
    </xf>
    <xf numFmtId="170" fontId="18" fillId="0" borderId="1" xfId="0" applyNumberFormat="1" applyFont="1" applyBorder="1" applyAlignment="1">
      <alignment horizontal="right"/>
    </xf>
    <xf numFmtId="170" fontId="21" fillId="0" borderId="0" xfId="0" applyNumberFormat="1" applyFont="1" applyAlignment="1">
      <alignment horizontal="right"/>
    </xf>
    <xf numFmtId="2" fontId="21" fillId="0" borderId="0" xfId="0" applyNumberFormat="1" applyFont="1" applyAlignment="1">
      <alignment horizontal="right"/>
    </xf>
    <xf numFmtId="2" fontId="18" fillId="0" borderId="1" xfId="0" applyNumberFormat="1" applyFont="1" applyBorder="1" applyAlignment="1">
      <alignment horizontal="right"/>
    </xf>
    <xf numFmtId="1" fontId="18" fillId="0" borderId="1" xfId="0" applyNumberFormat="1" applyFont="1" applyBorder="1" applyAlignment="1">
      <alignment horizontal="right"/>
    </xf>
    <xf numFmtId="1" fontId="21" fillId="0" borderId="0" xfId="0" applyNumberFormat="1" applyFont="1" applyAlignment="1">
      <alignment horizontal="right"/>
    </xf>
    <xf numFmtId="3" fontId="14" fillId="2" borderId="1" xfId="0" applyNumberFormat="1" applyFont="1" applyFill="1" applyBorder="1" applyAlignment="1">
      <alignment horizontal="right"/>
    </xf>
    <xf numFmtId="3" fontId="16" fillId="0" borderId="1" xfId="0" applyNumberFormat="1" applyFont="1" applyBorder="1" applyAlignment="1">
      <alignment horizontal="right"/>
    </xf>
    <xf numFmtId="3" fontId="25" fillId="0" borderId="1" xfId="0" applyNumberFormat="1" applyFont="1" applyBorder="1" applyAlignment="1">
      <alignment horizontal="right"/>
    </xf>
    <xf numFmtId="172" fontId="14" fillId="2" borderId="1" xfId="0" applyNumberFormat="1" applyFont="1" applyFill="1" applyBorder="1" applyAlignment="1">
      <alignment horizontal="right"/>
    </xf>
    <xf numFmtId="4" fontId="16" fillId="0" borderId="1" xfId="0" applyNumberFormat="1" applyFont="1" applyBorder="1" applyAlignment="1">
      <alignment horizontal="right"/>
    </xf>
    <xf numFmtId="169" fontId="18" fillId="0" borderId="1" xfId="0" applyNumberFormat="1" applyFont="1" applyBorder="1" applyAlignment="1">
      <alignment horizontal="right"/>
    </xf>
    <xf numFmtId="3" fontId="19" fillId="7" borderId="0" xfId="0" applyNumberFormat="1" applyFont="1" applyFill="1" applyAlignment="1">
      <alignment horizontal="right"/>
    </xf>
    <xf numFmtId="3" fontId="33" fillId="0" borderId="1" xfId="0" applyNumberFormat="1" applyFont="1" applyBorder="1" applyAlignment="1">
      <alignment horizontal="right"/>
    </xf>
    <xf numFmtId="3" fontId="63" fillId="0" borderId="1" xfId="0" applyNumberFormat="1" applyFont="1" applyBorder="1" applyAlignment="1">
      <alignment horizontal="right"/>
    </xf>
    <xf numFmtId="10" fontId="18" fillId="0" borderId="0" xfId="3" applyNumberFormat="1" applyFont="1" applyFill="1" applyBorder="1" applyAlignment="1">
      <alignment horizontal="right"/>
    </xf>
    <xf numFmtId="9" fontId="19" fillId="0" borderId="0" xfId="3" applyFont="1" applyBorder="1" applyAlignment="1">
      <alignment horizontal="right"/>
    </xf>
    <xf numFmtId="168" fontId="19" fillId="0" borderId="0" xfId="2" applyNumberFormat="1" applyFont="1" applyBorder="1" applyAlignment="1">
      <alignment horizontal="right"/>
    </xf>
    <xf numFmtId="10" fontId="24" fillId="0" borderId="0" xfId="3" applyNumberFormat="1" applyFont="1" applyBorder="1" applyAlignment="1">
      <alignment horizontal="right"/>
    </xf>
    <xf numFmtId="10" fontId="16" fillId="0" borderId="0" xfId="3" applyNumberFormat="1" applyFont="1" applyBorder="1" applyAlignment="1">
      <alignment horizontal="right"/>
    </xf>
    <xf numFmtId="3" fontId="18" fillId="0" borderId="0" xfId="3" applyNumberFormat="1" applyFont="1" applyBorder="1" applyAlignment="1">
      <alignment horizontal="right"/>
    </xf>
    <xf numFmtId="3" fontId="21" fillId="0" borderId="1" xfId="0" applyNumberFormat="1" applyFont="1" applyBorder="1" applyAlignment="1">
      <alignment horizontal="right"/>
    </xf>
    <xf numFmtId="10" fontId="18" fillId="0" borderId="1" xfId="0" applyNumberFormat="1" applyFont="1" applyBorder="1" applyAlignment="1">
      <alignment horizontal="right"/>
    </xf>
    <xf numFmtId="166" fontId="33" fillId="0" borderId="1" xfId="0" applyNumberFormat="1" applyFont="1" applyBorder="1" applyAlignment="1">
      <alignment horizontal="right"/>
    </xf>
    <xf numFmtId="167" fontId="33" fillId="0" borderId="1" xfId="3" applyNumberFormat="1" applyFont="1" applyFill="1" applyBorder="1" applyAlignment="1">
      <alignment horizontal="right"/>
    </xf>
    <xf numFmtId="2" fontId="33" fillId="0" borderId="1" xfId="0" applyNumberFormat="1" applyFont="1" applyBorder="1" applyAlignment="1">
      <alignment horizontal="right"/>
    </xf>
    <xf numFmtId="3" fontId="66" fillId="0" borderId="0" xfId="0" applyNumberFormat="1" applyFont="1" applyAlignment="1">
      <alignment horizontal="right"/>
    </xf>
    <xf numFmtId="0" fontId="3" fillId="8" borderId="0" xfId="190" applyFill="1"/>
    <xf numFmtId="0" fontId="74" fillId="32" borderId="0" xfId="188" applyFont="1" applyBorder="1" applyAlignment="1"/>
    <xf numFmtId="0" fontId="70" fillId="8" borderId="0" xfId="187" applyFill="1" applyAlignment="1">
      <alignment horizontal="center"/>
    </xf>
    <xf numFmtId="0" fontId="72" fillId="33" borderId="27" xfId="189" applyBorder="1" applyAlignment="1"/>
    <xf numFmtId="0" fontId="3" fillId="8" borderId="31" xfId="190" applyFill="1" applyBorder="1"/>
    <xf numFmtId="0" fontId="133" fillId="30" borderId="0" xfId="502" applyFill="1" applyBorder="1" applyAlignment="1" applyProtection="1">
      <alignment horizontal="left"/>
    </xf>
    <xf numFmtId="0" fontId="133" fillId="32" borderId="0" xfId="502" applyFill="1" applyBorder="1" applyAlignment="1" applyProtection="1">
      <alignment horizontal="left"/>
    </xf>
    <xf numFmtId="0" fontId="18" fillId="0" borderId="1" xfId="0" applyFont="1" applyBorder="1"/>
    <xf numFmtId="10" fontId="21" fillId="0" borderId="0" xfId="23" applyNumberFormat="1" applyFont="1" applyAlignment="1">
      <alignment horizontal="right"/>
    </xf>
    <xf numFmtId="0" fontId="37" fillId="0" borderId="0" xfId="83" applyAlignment="1">
      <alignment vertical="top"/>
    </xf>
    <xf numFmtId="0" fontId="123" fillId="0" borderId="3" xfId="503" applyFont="1" applyBorder="1" applyAlignment="1">
      <alignment vertical="top"/>
    </xf>
    <xf numFmtId="0" fontId="37" fillId="0" borderId="0" xfId="503" applyAlignment="1">
      <alignment vertical="top"/>
    </xf>
    <xf numFmtId="0" fontId="37" fillId="0" borderId="0" xfId="504" applyFont="1" applyAlignment="1">
      <alignment vertical="top"/>
    </xf>
    <xf numFmtId="0" fontId="123" fillId="7" borderId="0" xfId="503" applyFont="1" applyFill="1" applyAlignment="1">
      <alignment vertical="top"/>
    </xf>
    <xf numFmtId="0" fontId="37" fillId="42" borderId="0" xfId="504" applyFont="1" applyFill="1" applyAlignment="1">
      <alignment horizontal="right" vertical="top"/>
    </xf>
    <xf numFmtId="232" fontId="37" fillId="7" borderId="0" xfId="504" applyNumberFormat="1" applyFont="1" applyFill="1" applyAlignment="1">
      <alignment vertical="top"/>
    </xf>
    <xf numFmtId="0" fontId="37" fillId="7" borderId="0" xfId="83" applyFill="1" applyAlignment="1">
      <alignment vertical="top"/>
    </xf>
    <xf numFmtId="0" fontId="123" fillId="0" borderId="0" xfId="83" applyFont="1" applyAlignment="1">
      <alignment vertical="top"/>
    </xf>
    <xf numFmtId="0" fontId="123" fillId="0" borderId="0" xfId="503" applyFont="1" applyAlignment="1">
      <alignment vertical="top"/>
    </xf>
    <xf numFmtId="0" fontId="123" fillId="29" borderId="0" xfId="504" applyFont="1" applyFill="1" applyAlignment="1">
      <alignment vertical="top"/>
    </xf>
    <xf numFmtId="0" fontId="123" fillId="43" borderId="22" xfId="504" applyFont="1" applyFill="1" applyBorder="1" applyAlignment="1">
      <alignment horizontal="right" vertical="top"/>
    </xf>
    <xf numFmtId="0" fontId="123" fillId="43" borderId="22" xfId="505" applyFont="1" applyFill="1" applyBorder="1" applyAlignment="1">
      <alignment horizontal="right" vertical="top" wrapText="1"/>
    </xf>
    <xf numFmtId="0" fontId="37" fillId="0" borderId="3" xfId="83" applyBorder="1" applyAlignment="1">
      <alignment vertical="top"/>
    </xf>
    <xf numFmtId="0" fontId="37" fillId="0" borderId="3" xfId="503" applyBorder="1" applyAlignment="1">
      <alignment vertical="top"/>
    </xf>
    <xf numFmtId="0" fontId="37" fillId="0" borderId="3" xfId="504" applyFont="1" applyBorder="1" applyAlignment="1">
      <alignment vertical="top"/>
    </xf>
    <xf numFmtId="0" fontId="123" fillId="0" borderId="40" xfId="503" applyFont="1" applyBorder="1" applyAlignment="1">
      <alignment vertical="top"/>
    </xf>
    <xf numFmtId="169" fontId="37" fillId="42" borderId="40" xfId="503" applyNumberFormat="1" applyFill="1" applyBorder="1" applyAlignment="1">
      <alignment vertical="top"/>
    </xf>
    <xf numFmtId="233" fontId="123" fillId="43" borderId="40" xfId="506" applyNumberFormat="1" applyFont="1" applyFill="1" applyBorder="1" applyAlignment="1">
      <alignment vertical="top"/>
    </xf>
    <xf numFmtId="0" fontId="123" fillId="43" borderId="40" xfId="505" applyFont="1" applyFill="1" applyBorder="1" applyAlignment="1">
      <alignment vertical="top"/>
    </xf>
    <xf numFmtId="0" fontId="37" fillId="0" borderId="40" xfId="83" applyBorder="1" applyAlignment="1">
      <alignment vertical="top"/>
    </xf>
    <xf numFmtId="43" fontId="37" fillId="0" borderId="40" xfId="506" applyFont="1" applyFill="1" applyBorder="1" applyAlignment="1">
      <alignment vertical="top"/>
    </xf>
    <xf numFmtId="234" fontId="37" fillId="0" borderId="40" xfId="506" applyNumberFormat="1" applyFont="1" applyFill="1" applyBorder="1" applyAlignment="1">
      <alignment vertical="top"/>
    </xf>
    <xf numFmtId="43" fontId="37" fillId="7" borderId="40" xfId="506" applyFont="1" applyFill="1" applyBorder="1" applyAlignment="1">
      <alignment vertical="top"/>
    </xf>
    <xf numFmtId="234" fontId="37" fillId="43" borderId="40" xfId="506" applyNumberFormat="1" applyFont="1" applyFill="1" applyBorder="1" applyAlignment="1">
      <alignment vertical="top"/>
    </xf>
    <xf numFmtId="0" fontId="37" fillId="43" borderId="40" xfId="83" applyFill="1" applyBorder="1" applyAlignment="1">
      <alignment vertical="top"/>
    </xf>
    <xf numFmtId="169" fontId="123" fillId="0" borderId="40" xfId="503" applyNumberFormat="1" applyFont="1" applyBorder="1" applyAlignment="1">
      <alignment vertical="top"/>
    </xf>
    <xf numFmtId="234" fontId="123" fillId="0" borderId="40" xfId="506" applyNumberFormat="1" applyFont="1" applyBorder="1" applyAlignment="1">
      <alignment vertical="top"/>
    </xf>
    <xf numFmtId="43" fontId="123" fillId="0" borderId="40" xfId="506" applyFont="1" applyBorder="1" applyAlignment="1">
      <alignment vertical="top"/>
    </xf>
    <xf numFmtId="234" fontId="123" fillId="43" borderId="40" xfId="506" applyNumberFormat="1" applyFont="1" applyFill="1" applyBorder="1" applyAlignment="1">
      <alignment vertical="top"/>
    </xf>
    <xf numFmtId="0" fontId="37" fillId="0" borderId="40" xfId="503" applyBorder="1" applyAlignment="1">
      <alignment vertical="top"/>
    </xf>
    <xf numFmtId="43" fontId="37" fillId="0" borderId="40" xfId="506" applyFont="1" applyBorder="1" applyAlignment="1">
      <alignment vertical="top"/>
    </xf>
    <xf numFmtId="43" fontId="37" fillId="43" borderId="40" xfId="506" applyFont="1" applyFill="1" applyBorder="1" applyAlignment="1">
      <alignment vertical="top"/>
    </xf>
    <xf numFmtId="169" fontId="123" fillId="0" borderId="40" xfId="504" applyNumberFormat="1" applyFont="1" applyBorder="1" applyAlignment="1">
      <alignment vertical="top"/>
    </xf>
    <xf numFmtId="1" fontId="37" fillId="0" borderId="40" xfId="504" applyNumberFormat="1" applyFont="1" applyBorder="1" applyAlignment="1">
      <alignment vertical="top"/>
    </xf>
    <xf numFmtId="233" fontId="37" fillId="0" borderId="40" xfId="506" applyNumberFormat="1" applyFont="1" applyFill="1" applyBorder="1" applyAlignment="1">
      <alignment vertical="top"/>
    </xf>
    <xf numFmtId="169" fontId="37" fillId="43" borderId="40" xfId="504" applyNumberFormat="1" applyFont="1" applyFill="1" applyBorder="1" applyAlignment="1">
      <alignment vertical="top"/>
    </xf>
    <xf numFmtId="43" fontId="123" fillId="43" borderId="40" xfId="506" applyFont="1" applyFill="1" applyBorder="1" applyAlignment="1">
      <alignment horizontal="right" vertical="top"/>
    </xf>
    <xf numFmtId="0" fontId="37" fillId="0" borderId="40" xfId="503" applyBorder="1" applyAlignment="1">
      <alignment horizontal="left" vertical="top" indent="1"/>
    </xf>
    <xf numFmtId="169" fontId="37" fillId="0" borderId="40" xfId="503" applyNumberFormat="1" applyBorder="1" applyAlignment="1">
      <alignment vertical="top"/>
    </xf>
    <xf numFmtId="169" fontId="123" fillId="7" borderId="40" xfId="504" applyNumberFormat="1" applyFont="1" applyFill="1" applyBorder="1" applyAlignment="1">
      <alignment vertical="top"/>
    </xf>
    <xf numFmtId="169" fontId="134" fillId="43" borderId="40" xfId="504" applyNumberFormat="1" applyFont="1" applyFill="1" applyBorder="1" applyAlignment="1">
      <alignment vertical="top"/>
    </xf>
    <xf numFmtId="2" fontId="37" fillId="0" borderId="40" xfId="504" applyNumberFormat="1" applyFont="1" applyBorder="1" applyAlignment="1">
      <alignment vertical="top"/>
    </xf>
    <xf numFmtId="43" fontId="123" fillId="7" borderId="40" xfId="506" applyFont="1" applyFill="1" applyBorder="1" applyAlignment="1">
      <alignment vertical="top"/>
    </xf>
    <xf numFmtId="2" fontId="37" fillId="0" borderId="0" xfId="83" applyNumberFormat="1" applyAlignment="1">
      <alignment vertical="top"/>
    </xf>
    <xf numFmtId="169" fontId="37" fillId="0" borderId="40" xfId="504" applyNumberFormat="1" applyFont="1" applyBorder="1" applyAlignment="1">
      <alignment vertical="top"/>
    </xf>
    <xf numFmtId="169" fontId="123" fillId="44" borderId="40" xfId="503" applyNumberFormat="1" applyFont="1" applyFill="1" applyBorder="1" applyAlignment="1">
      <alignment vertical="top"/>
    </xf>
    <xf numFmtId="0" fontId="37" fillId="0" borderId="0" xfId="83" applyAlignment="1">
      <alignment vertical="top" wrapText="1"/>
    </xf>
    <xf numFmtId="0" fontId="37" fillId="0" borderId="40" xfId="503" applyBorder="1" applyAlignment="1">
      <alignment horizontal="left" vertical="top"/>
    </xf>
    <xf numFmtId="0" fontId="123" fillId="43" borderId="40" xfId="505" applyFont="1" applyFill="1" applyBorder="1" applyAlignment="1">
      <alignment horizontal="right" vertical="top"/>
    </xf>
    <xf numFmtId="169" fontId="37" fillId="7" borderId="40" xfId="503" applyNumberFormat="1" applyFill="1" applyBorder="1" applyAlignment="1">
      <alignment vertical="top"/>
    </xf>
    <xf numFmtId="1" fontId="123" fillId="0" borderId="40" xfId="504" applyNumberFormat="1" applyFont="1" applyBorder="1" applyAlignment="1">
      <alignment vertical="top"/>
    </xf>
    <xf numFmtId="233" fontId="123" fillId="44" borderId="40" xfId="506" applyNumberFormat="1" applyFont="1" applyFill="1" applyBorder="1" applyAlignment="1">
      <alignment vertical="top"/>
    </xf>
    <xf numFmtId="234" fontId="123" fillId="43" borderId="40" xfId="504" applyNumberFormat="1" applyFont="1" applyFill="1" applyBorder="1" applyAlignment="1">
      <alignment vertical="top"/>
    </xf>
    <xf numFmtId="0" fontId="123" fillId="44" borderId="40" xfId="503" applyFont="1" applyFill="1" applyBorder="1" applyAlignment="1">
      <alignment vertical="top"/>
    </xf>
    <xf numFmtId="1" fontId="123" fillId="44" borderId="40" xfId="504" applyNumberFormat="1" applyFont="1" applyFill="1" applyBorder="1" applyAlignment="1">
      <alignment vertical="top"/>
    </xf>
    <xf numFmtId="0" fontId="37" fillId="0" borderId="40" xfId="504" applyFont="1" applyBorder="1" applyAlignment="1">
      <alignment vertical="top"/>
    </xf>
    <xf numFmtId="234" fontId="123" fillId="7" borderId="40" xfId="506" applyNumberFormat="1" applyFont="1" applyFill="1" applyBorder="1" applyAlignment="1">
      <alignment vertical="top"/>
    </xf>
    <xf numFmtId="169" fontId="135" fillId="28" borderId="40" xfId="504" applyNumberFormat="1" applyFont="1" applyFill="1" applyBorder="1" applyAlignment="1">
      <alignment vertical="top"/>
    </xf>
    <xf numFmtId="169" fontId="37" fillId="0" borderId="40" xfId="504" applyNumberFormat="1" applyFont="1" applyBorder="1" applyAlignment="1">
      <alignment horizontal="right" vertical="top"/>
    </xf>
    <xf numFmtId="169" fontId="123" fillId="0" borderId="40" xfId="504" applyNumberFormat="1" applyFont="1" applyBorder="1" applyAlignment="1">
      <alignment horizontal="left" vertical="top"/>
    </xf>
    <xf numFmtId="233" fontId="123" fillId="42" borderId="40" xfId="506" applyNumberFormat="1" applyFont="1" applyFill="1" applyBorder="1" applyAlignment="1">
      <alignment vertical="top"/>
    </xf>
    <xf numFmtId="169" fontId="123" fillId="43" borderId="40" xfId="505" applyNumberFormat="1" applyFont="1" applyFill="1" applyBorder="1" applyAlignment="1">
      <alignment vertical="top"/>
    </xf>
    <xf numFmtId="169" fontId="37" fillId="43" borderId="40" xfId="505" applyNumberFormat="1" applyFont="1" applyFill="1" applyBorder="1" applyAlignment="1">
      <alignment vertical="top"/>
    </xf>
    <xf numFmtId="9" fontId="123" fillId="43" borderId="40" xfId="507" applyFont="1" applyFill="1" applyBorder="1" applyAlignment="1">
      <alignment vertical="top"/>
    </xf>
    <xf numFmtId="38" fontId="123" fillId="43" borderId="40" xfId="504" applyNumberFormat="1" applyFont="1" applyFill="1" applyBorder="1" applyAlignment="1">
      <alignment horizontal="right" vertical="top"/>
    </xf>
    <xf numFmtId="38" fontId="123" fillId="43" borderId="40" xfId="504" applyNumberFormat="1" applyFont="1" applyFill="1" applyBorder="1" applyAlignment="1">
      <alignment vertical="top"/>
    </xf>
    <xf numFmtId="169" fontId="123" fillId="43" borderId="40" xfId="504" applyNumberFormat="1" applyFont="1" applyFill="1" applyBorder="1" applyAlignment="1">
      <alignment vertical="top"/>
    </xf>
    <xf numFmtId="0" fontId="37" fillId="43" borderId="40" xfId="504" applyFont="1" applyFill="1" applyBorder="1" applyAlignment="1">
      <alignment vertical="top"/>
    </xf>
    <xf numFmtId="0" fontId="123" fillId="28" borderId="40" xfId="503" applyFont="1" applyFill="1" applyBorder="1" applyAlignment="1">
      <alignment vertical="top"/>
    </xf>
    <xf numFmtId="0" fontId="37" fillId="28" borderId="40" xfId="503" applyFill="1" applyBorder="1" applyAlignment="1">
      <alignment vertical="top"/>
    </xf>
    <xf numFmtId="169" fontId="37" fillId="28" borderId="40" xfId="503" applyNumberFormat="1" applyFill="1" applyBorder="1" applyAlignment="1">
      <alignment vertical="top"/>
    </xf>
    <xf numFmtId="169" fontId="37" fillId="28" borderId="40" xfId="504" applyNumberFormat="1" applyFont="1" applyFill="1" applyBorder="1" applyAlignment="1">
      <alignment vertical="top"/>
    </xf>
    <xf numFmtId="169" fontId="37" fillId="0" borderId="40" xfId="503" applyNumberFormat="1" applyBorder="1" applyAlignment="1">
      <alignment horizontal="right" vertical="top"/>
    </xf>
    <xf numFmtId="169" fontId="135" fillId="28" borderId="40" xfId="504" applyNumberFormat="1" applyFont="1" applyFill="1" applyBorder="1" applyAlignment="1">
      <alignment horizontal="right" vertical="top"/>
    </xf>
    <xf numFmtId="0" fontId="37" fillId="42" borderId="0" xfId="503" applyFill="1" applyAlignment="1">
      <alignment vertical="top"/>
    </xf>
    <xf numFmtId="1" fontId="37" fillId="42" borderId="0" xfId="503" applyNumberFormat="1" applyFill="1" applyAlignment="1">
      <alignment vertical="top"/>
    </xf>
    <xf numFmtId="9" fontId="37" fillId="42" borderId="0" xfId="507" applyFont="1" applyFill="1" applyAlignment="1">
      <alignment vertical="top"/>
    </xf>
    <xf numFmtId="3" fontId="37" fillId="42" borderId="0" xfId="503" applyNumberFormat="1" applyFill="1" applyAlignment="1">
      <alignment vertical="top"/>
    </xf>
    <xf numFmtId="9" fontId="65" fillId="0" borderId="0" xfId="0" applyNumberFormat="1" applyFont="1"/>
    <xf numFmtId="166" fontId="33" fillId="0" borderId="0" xfId="0" applyNumberFormat="1" applyFont="1" applyAlignment="1">
      <alignment horizontal="right"/>
    </xf>
    <xf numFmtId="10" fontId="33" fillId="0" borderId="0" xfId="3" applyNumberFormat="1" applyFont="1" applyFill="1" applyBorder="1" applyAlignment="1">
      <alignment horizontal="right"/>
    </xf>
    <xf numFmtId="167" fontId="21" fillId="0" borderId="0" xfId="3" applyNumberFormat="1" applyFont="1" applyBorder="1" applyAlignment="1">
      <alignment horizontal="right"/>
    </xf>
    <xf numFmtId="167" fontId="33" fillId="0" borderId="0" xfId="3" applyNumberFormat="1" applyFont="1" applyFill="1" applyBorder="1" applyAlignment="1">
      <alignment horizontal="right"/>
    </xf>
    <xf numFmtId="2" fontId="33" fillId="0" borderId="0" xfId="0" applyNumberFormat="1" applyFont="1" applyAlignment="1">
      <alignment horizontal="right"/>
    </xf>
    <xf numFmtId="9" fontId="33" fillId="0" borderId="0" xfId="3" applyFont="1" applyBorder="1" applyAlignment="1">
      <alignment horizontal="right"/>
    </xf>
    <xf numFmtId="168" fontId="33" fillId="0" borderId="0" xfId="2" applyNumberFormat="1" applyFont="1" applyFill="1" applyBorder="1" applyAlignment="1">
      <alignment horizontal="right"/>
    </xf>
    <xf numFmtId="168" fontId="18" fillId="0" borderId="0" xfId="2" applyNumberFormat="1" applyFont="1" applyFill="1" applyBorder="1" applyAlignment="1">
      <alignment horizontal="right"/>
    </xf>
    <xf numFmtId="3" fontId="64" fillId="0" borderId="0" xfId="0" applyNumberFormat="1" applyFont="1" applyAlignment="1">
      <alignment horizontal="right"/>
    </xf>
    <xf numFmtId="10" fontId="65" fillId="0" borderId="0" xfId="3" applyNumberFormat="1" applyFont="1" applyFill="1" applyBorder="1" applyAlignment="1">
      <alignment horizontal="right"/>
    </xf>
    <xf numFmtId="10" fontId="63" fillId="0" borderId="0" xfId="3" applyNumberFormat="1" applyFont="1" applyBorder="1" applyAlignment="1">
      <alignment horizontal="right"/>
    </xf>
    <xf numFmtId="10" fontId="16" fillId="0" borderId="0" xfId="3" applyNumberFormat="1" applyFont="1" applyFill="1" applyBorder="1" applyAlignment="1">
      <alignment horizontal="right"/>
    </xf>
    <xf numFmtId="167" fontId="22" fillId="0" borderId="1" xfId="3" applyNumberFormat="1" applyFont="1" applyBorder="1" applyAlignment="1">
      <alignment horizontal="right"/>
    </xf>
    <xf numFmtId="9" fontId="18" fillId="0" borderId="1" xfId="23" applyFont="1" applyBorder="1" applyAlignment="1">
      <alignment horizontal="right"/>
    </xf>
    <xf numFmtId="9" fontId="18" fillId="0" borderId="0" xfId="3" applyFont="1"/>
    <xf numFmtId="173" fontId="18" fillId="0" borderId="0" xfId="0" applyNumberFormat="1" applyFont="1" applyAlignment="1">
      <alignment horizontal="right"/>
    </xf>
    <xf numFmtId="10" fontId="18" fillId="0" borderId="0" xfId="23" applyNumberFormat="1" applyFont="1" applyAlignment="1">
      <alignment horizontal="right"/>
    </xf>
    <xf numFmtId="9" fontId="21" fillId="0" borderId="0" xfId="23" applyFont="1" applyAlignment="1">
      <alignment horizontal="right"/>
    </xf>
    <xf numFmtId="167" fontId="21" fillId="0" borderId="0" xfId="23" applyNumberFormat="1" applyFont="1" applyAlignment="1">
      <alignment horizontal="right"/>
    </xf>
    <xf numFmtId="10" fontId="18" fillId="0" borderId="1" xfId="23" applyNumberFormat="1" applyFont="1" applyBorder="1" applyAlignment="1">
      <alignment horizontal="right"/>
    </xf>
    <xf numFmtId="9" fontId="21" fillId="0" borderId="0" xfId="23" applyFont="1" applyFill="1" applyBorder="1" applyAlignment="1">
      <alignment horizontal="right"/>
    </xf>
    <xf numFmtId="9" fontId="21" fillId="0" borderId="1" xfId="23" applyFont="1" applyBorder="1" applyAlignment="1">
      <alignment horizontal="right"/>
    </xf>
    <xf numFmtId="4" fontId="33" fillId="0" borderId="0" xfId="0" applyNumberFormat="1" applyFont="1" applyAlignment="1">
      <alignment horizontal="right"/>
    </xf>
    <xf numFmtId="4" fontId="33" fillId="0" borderId="1" xfId="0" applyNumberFormat="1" applyFont="1" applyBorder="1" applyAlignment="1">
      <alignment horizontal="right"/>
    </xf>
    <xf numFmtId="4" fontId="21" fillId="0" borderId="0" xfId="0" applyNumberFormat="1" applyFont="1" applyAlignment="1">
      <alignment horizontal="right"/>
    </xf>
    <xf numFmtId="167" fontId="22" fillId="0" borderId="0" xfId="3" applyNumberFormat="1" applyFont="1" applyBorder="1" applyAlignment="1">
      <alignment horizontal="right"/>
    </xf>
    <xf numFmtId="9" fontId="21" fillId="0" borderId="0" xfId="3" applyFont="1" applyFill="1" applyBorder="1" applyAlignment="1">
      <alignment horizontal="right"/>
    </xf>
    <xf numFmtId="167" fontId="21" fillId="0" borderId="0" xfId="3" applyNumberFormat="1" applyFont="1" applyFill="1" applyBorder="1" applyAlignment="1">
      <alignment horizontal="right"/>
    </xf>
    <xf numFmtId="10" fontId="18" fillId="0" borderId="0" xfId="23" applyNumberFormat="1" applyFont="1" applyBorder="1" applyAlignment="1">
      <alignment horizontal="right"/>
    </xf>
    <xf numFmtId="9" fontId="18" fillId="0" borderId="0" xfId="23" applyFont="1" applyFill="1" applyBorder="1" applyAlignment="1">
      <alignment horizontal="right"/>
    </xf>
    <xf numFmtId="168" fontId="33" fillId="0" borderId="0" xfId="10" applyNumberFormat="1" applyFont="1" applyFill="1" applyBorder="1" applyAlignment="1">
      <alignment horizontal="right"/>
    </xf>
    <xf numFmtId="202" fontId="18" fillId="0" borderId="0" xfId="0" applyNumberFormat="1" applyFont="1" applyAlignment="1">
      <alignment horizontal="right"/>
    </xf>
    <xf numFmtId="167" fontId="18" fillId="0" borderId="0" xfId="0" applyNumberFormat="1" applyFont="1" applyAlignment="1">
      <alignment horizontal="right"/>
    </xf>
    <xf numFmtId="167" fontId="21" fillId="0" borderId="1" xfId="23" applyNumberFormat="1" applyFont="1" applyBorder="1" applyAlignment="1">
      <alignment horizontal="right"/>
    </xf>
    <xf numFmtId="167" fontId="18" fillId="0" borderId="1" xfId="3" applyNumberFormat="1" applyFont="1" applyBorder="1"/>
    <xf numFmtId="167" fontId="18" fillId="0" borderId="0" xfId="0" applyNumberFormat="1" applyFont="1"/>
    <xf numFmtId="9" fontId="18" fillId="0" borderId="0" xfId="23" applyFont="1" applyBorder="1" applyAlignment="1">
      <alignment horizontal="right"/>
    </xf>
    <xf numFmtId="9" fontId="22" fillId="0" borderId="0" xfId="3" applyFont="1" applyFill="1" applyBorder="1" applyAlignment="1">
      <alignment horizontal="right"/>
    </xf>
    <xf numFmtId="9" fontId="22" fillId="0" borderId="1" xfId="3" applyFont="1" applyFill="1" applyBorder="1" applyAlignment="1">
      <alignment horizontal="right"/>
    </xf>
    <xf numFmtId="9" fontId="18" fillId="0" borderId="0" xfId="3" applyFont="1" applyFill="1"/>
    <xf numFmtId="3" fontId="18" fillId="7" borderId="0" xfId="0" applyNumberFormat="1" applyFont="1" applyFill="1" applyAlignment="1">
      <alignment horizontal="right"/>
    </xf>
    <xf numFmtId="167" fontId="21" fillId="7" borderId="0" xfId="3" applyNumberFormat="1" applyFont="1" applyFill="1" applyAlignment="1">
      <alignment horizontal="right"/>
    </xf>
    <xf numFmtId="9" fontId="25" fillId="0" borderId="0" xfId="3" applyFont="1" applyAlignment="1">
      <alignment horizontal="right"/>
    </xf>
    <xf numFmtId="2" fontId="21" fillId="6" borderId="1" xfId="0" applyNumberFormat="1" applyFont="1" applyFill="1" applyBorder="1" applyAlignment="1">
      <alignment horizontal="right"/>
    </xf>
    <xf numFmtId="167" fontId="22" fillId="0" borderId="0" xfId="23" applyNumberFormat="1" applyFont="1" applyFill="1" applyAlignment="1">
      <alignment horizontal="right"/>
    </xf>
    <xf numFmtId="167" fontId="18" fillId="0" borderId="0" xfId="23" applyNumberFormat="1" applyFont="1" applyFill="1" applyAlignment="1">
      <alignment horizontal="right"/>
    </xf>
    <xf numFmtId="10" fontId="22" fillId="0" borderId="0" xfId="23" applyNumberFormat="1" applyFont="1" applyFill="1" applyBorder="1" applyAlignment="1">
      <alignment horizontal="right"/>
    </xf>
    <xf numFmtId="10" fontId="19" fillId="0" borderId="0" xfId="23" applyNumberFormat="1" applyFont="1" applyAlignment="1">
      <alignment horizontal="right"/>
    </xf>
    <xf numFmtId="3" fontId="33" fillId="7" borderId="0" xfId="0" applyNumberFormat="1" applyFont="1" applyFill="1" applyAlignment="1">
      <alignment horizontal="right"/>
    </xf>
    <xf numFmtId="167" fontId="19" fillId="0" borderId="0" xfId="23" applyNumberFormat="1" applyFont="1" applyAlignment="1">
      <alignment horizontal="right"/>
    </xf>
    <xf numFmtId="9" fontId="19" fillId="0" borderId="0" xfId="23" applyFont="1" applyAlignment="1">
      <alignment horizontal="right"/>
    </xf>
    <xf numFmtId="168" fontId="19" fillId="0" borderId="0" xfId="10" applyNumberFormat="1" applyFont="1" applyFill="1" applyAlignment="1">
      <alignment horizontal="right"/>
    </xf>
    <xf numFmtId="168" fontId="19" fillId="0" borderId="0" xfId="10" applyNumberFormat="1" applyFont="1" applyAlignment="1">
      <alignment horizontal="right"/>
    </xf>
    <xf numFmtId="168" fontId="18" fillId="0" borderId="0" xfId="10" applyNumberFormat="1" applyFont="1" applyAlignment="1">
      <alignment horizontal="right"/>
    </xf>
    <xf numFmtId="10" fontId="33" fillId="0" borderId="0" xfId="23" applyNumberFormat="1" applyFont="1" applyAlignment="1">
      <alignment horizontal="right"/>
    </xf>
    <xf numFmtId="3" fontId="24" fillId="7" borderId="0" xfId="0" applyNumberFormat="1" applyFont="1" applyFill="1" applyAlignment="1">
      <alignment horizontal="right"/>
    </xf>
    <xf numFmtId="10" fontId="14" fillId="2" borderId="0" xfId="23" applyNumberFormat="1" applyFont="1" applyFill="1" applyAlignment="1">
      <alignment horizontal="right"/>
    </xf>
    <xf numFmtId="10" fontId="24" fillId="0" borderId="0" xfId="23" applyNumberFormat="1" applyFont="1" applyAlignment="1">
      <alignment horizontal="right"/>
    </xf>
    <xf numFmtId="10" fontId="16" fillId="0" borderId="0" xfId="23" applyNumberFormat="1" applyFont="1" applyAlignment="1">
      <alignment horizontal="right"/>
    </xf>
    <xf numFmtId="10" fontId="19" fillId="0" borderId="0" xfId="23" applyNumberFormat="1" applyFont="1" applyBorder="1" applyAlignment="1">
      <alignment horizontal="right"/>
    </xf>
    <xf numFmtId="10" fontId="16" fillId="3" borderId="0" xfId="23" applyNumberFormat="1" applyFont="1" applyFill="1" applyAlignment="1">
      <alignment horizontal="right"/>
    </xf>
    <xf numFmtId="3" fontId="63" fillId="7" borderId="0" xfId="0" applyNumberFormat="1" applyFont="1" applyFill="1" applyAlignment="1">
      <alignment horizontal="right"/>
    </xf>
    <xf numFmtId="169" fontId="18" fillId="0" borderId="0" xfId="23" applyNumberFormat="1" applyFont="1" applyAlignment="1">
      <alignment horizontal="right"/>
    </xf>
    <xf numFmtId="3" fontId="18" fillId="0" borderId="0" xfId="23" applyNumberFormat="1" applyFont="1" applyAlignment="1">
      <alignment horizontal="right"/>
    </xf>
    <xf numFmtId="167" fontId="22" fillId="0" borderId="0" xfId="23" applyNumberFormat="1" applyFont="1" applyAlignment="1">
      <alignment horizontal="right"/>
    </xf>
    <xf numFmtId="10" fontId="19" fillId="0" borderId="0" xfId="23" applyNumberFormat="1" applyFont="1" applyFill="1" applyAlignment="1">
      <alignment horizontal="right"/>
    </xf>
    <xf numFmtId="10" fontId="18" fillId="0" borderId="0" xfId="23" applyNumberFormat="1" applyFont="1" applyFill="1" applyAlignment="1">
      <alignment horizontal="right"/>
    </xf>
    <xf numFmtId="10" fontId="24" fillId="7" borderId="0" xfId="23" applyNumberFormat="1" applyFont="1" applyFill="1" applyAlignment="1">
      <alignment horizontal="right"/>
    </xf>
    <xf numFmtId="10" fontId="16" fillId="0" borderId="0" xfId="23" applyNumberFormat="1" applyFont="1" applyFill="1" applyAlignment="1">
      <alignment horizontal="right"/>
    </xf>
    <xf numFmtId="170" fontId="19" fillId="0" borderId="0" xfId="0" applyNumberFormat="1" applyFont="1" applyAlignment="1">
      <alignment horizontal="right"/>
    </xf>
    <xf numFmtId="9" fontId="21" fillId="0" borderId="0" xfId="23" applyFont="1" applyBorder="1" applyAlignment="1">
      <alignment horizontal="right"/>
    </xf>
    <xf numFmtId="167" fontId="21" fillId="0" borderId="0" xfId="23" applyNumberFormat="1" applyFont="1" applyBorder="1" applyAlignment="1">
      <alignment horizontal="right"/>
    </xf>
    <xf numFmtId="168" fontId="33" fillId="0" borderId="0" xfId="2" applyNumberFormat="1" applyFont="1" applyBorder="1" applyAlignment="1">
      <alignment horizontal="right"/>
    </xf>
    <xf numFmtId="167" fontId="16" fillId="0" borderId="0" xfId="0" applyNumberFormat="1" applyFont="1" applyAlignment="1">
      <alignment horizontal="right"/>
    </xf>
    <xf numFmtId="167" fontId="18" fillId="0" borderId="0" xfId="3" applyNumberFormat="1" applyFont="1" applyBorder="1"/>
    <xf numFmtId="9" fontId="16" fillId="0" borderId="0" xfId="3" applyFont="1" applyBorder="1" applyAlignment="1">
      <alignment horizontal="right"/>
    </xf>
    <xf numFmtId="9" fontId="18" fillId="0" borderId="1" xfId="3" applyFont="1" applyFill="1" applyBorder="1" applyAlignment="1">
      <alignment horizontal="right"/>
    </xf>
    <xf numFmtId="167" fontId="18" fillId="0" borderId="1" xfId="0" applyNumberFormat="1" applyFont="1" applyBorder="1" applyAlignment="1">
      <alignment horizontal="right"/>
    </xf>
    <xf numFmtId="10" fontId="33" fillId="0" borderId="0" xfId="23" applyNumberFormat="1" applyFont="1" applyFill="1" applyBorder="1" applyAlignment="1">
      <alignment horizontal="right"/>
    </xf>
    <xf numFmtId="4" fontId="18" fillId="0" borderId="0" xfId="3" applyNumberFormat="1" applyFont="1" applyBorder="1" applyAlignment="1">
      <alignment horizontal="right"/>
    </xf>
    <xf numFmtId="237" fontId="18" fillId="0" borderId="0" xfId="0" applyNumberFormat="1" applyFont="1" applyAlignment="1">
      <alignment horizontal="right"/>
    </xf>
    <xf numFmtId="4" fontId="16" fillId="0" borderId="0" xfId="3" applyNumberFormat="1" applyFont="1" applyBorder="1" applyAlignment="1">
      <alignment horizontal="right"/>
    </xf>
    <xf numFmtId="10" fontId="16" fillId="0" borderId="0" xfId="0" applyNumberFormat="1" applyFont="1" applyAlignment="1">
      <alignment horizontal="right"/>
    </xf>
    <xf numFmtId="2" fontId="18" fillId="0" borderId="0" xfId="0" applyNumberFormat="1" applyFont="1"/>
    <xf numFmtId="167" fontId="13" fillId="0" borderId="0" xfId="0" applyNumberFormat="1" applyFont="1" applyAlignment="1">
      <alignment horizontal="left"/>
    </xf>
    <xf numFmtId="10" fontId="33" fillId="0" borderId="0" xfId="23" applyNumberFormat="1" applyFont="1" applyBorder="1" applyAlignment="1">
      <alignment horizontal="right"/>
    </xf>
    <xf numFmtId="9" fontId="16" fillId="0" borderId="0" xfId="0" applyNumberFormat="1" applyFont="1" applyAlignment="1">
      <alignment horizontal="right"/>
    </xf>
    <xf numFmtId="3" fontId="136" fillId="0" borderId="0" xfId="0" applyNumberFormat="1" applyFont="1" applyAlignment="1">
      <alignment horizontal="right"/>
    </xf>
    <xf numFmtId="10" fontId="63" fillId="0" borderId="1" xfId="23" applyNumberFormat="1" applyFont="1" applyBorder="1" applyAlignment="1">
      <alignment horizontal="right"/>
    </xf>
    <xf numFmtId="10" fontId="16" fillId="0" borderId="1" xfId="23" applyNumberFormat="1" applyFont="1" applyBorder="1" applyAlignment="1">
      <alignment horizontal="right"/>
    </xf>
    <xf numFmtId="10" fontId="33" fillId="0" borderId="1" xfId="23" applyNumberFormat="1" applyFont="1" applyBorder="1" applyAlignment="1">
      <alignment horizontal="right"/>
    </xf>
    <xf numFmtId="166" fontId="21" fillId="0" borderId="0" xfId="0" applyNumberFormat="1" applyFont="1" applyAlignment="1">
      <alignment horizontal="right"/>
    </xf>
    <xf numFmtId="167" fontId="25" fillId="0" borderId="0" xfId="23" applyNumberFormat="1" applyFont="1" applyAlignment="1">
      <alignment horizontal="right"/>
    </xf>
    <xf numFmtId="170" fontId="18" fillId="0" borderId="0" xfId="0" applyNumberFormat="1" applyFont="1"/>
    <xf numFmtId="239" fontId="18" fillId="0" borderId="0" xfId="3" applyNumberFormat="1" applyFont="1" applyBorder="1" applyAlignment="1">
      <alignment horizontal="right"/>
    </xf>
    <xf numFmtId="238" fontId="18" fillId="0" borderId="0" xfId="3" applyNumberFormat="1" applyFont="1" applyBorder="1" applyAlignment="1">
      <alignment horizontal="right"/>
    </xf>
    <xf numFmtId="168" fontId="21" fillId="0" borderId="0" xfId="23" applyNumberFormat="1" applyFont="1" applyBorder="1" applyAlignment="1">
      <alignment horizontal="right"/>
    </xf>
    <xf numFmtId="10" fontId="63" fillId="0" borderId="0" xfId="23" applyNumberFormat="1" applyFont="1" applyBorder="1" applyAlignment="1">
      <alignment horizontal="right"/>
    </xf>
    <xf numFmtId="10" fontId="16" fillId="0" borderId="0" xfId="23" applyNumberFormat="1" applyFont="1" applyBorder="1" applyAlignment="1">
      <alignment horizontal="right"/>
    </xf>
    <xf numFmtId="4" fontId="16" fillId="0" borderId="0" xfId="23" applyNumberFormat="1" applyFont="1" applyBorder="1" applyAlignment="1">
      <alignment horizontal="right"/>
    </xf>
    <xf numFmtId="3" fontId="19" fillId="0" borderId="1" xfId="0" applyNumberFormat="1" applyFont="1" applyBorder="1" applyAlignment="1">
      <alignment horizontal="right"/>
    </xf>
    <xf numFmtId="9" fontId="33" fillId="0" borderId="0" xfId="23" applyFont="1" applyFill="1" applyBorder="1" applyAlignment="1">
      <alignment horizontal="right"/>
    </xf>
    <xf numFmtId="9" fontId="33" fillId="0" borderId="0" xfId="3" applyFont="1" applyFill="1" applyBorder="1" applyAlignment="1">
      <alignment horizontal="right"/>
    </xf>
    <xf numFmtId="1" fontId="18" fillId="0" borderId="0" xfId="0" applyNumberFormat="1" applyFont="1"/>
    <xf numFmtId="238" fontId="18" fillId="0" borderId="0" xfId="23" applyNumberFormat="1" applyFont="1" applyBorder="1" applyAlignment="1">
      <alignment horizontal="right"/>
    </xf>
    <xf numFmtId="241" fontId="18" fillId="0" borderId="0" xfId="3" applyNumberFormat="1" applyFont="1" applyBorder="1" applyAlignment="1">
      <alignment horizontal="right"/>
    </xf>
    <xf numFmtId="3" fontId="25" fillId="0" borderId="0" xfId="0" applyNumberFormat="1" applyFont="1"/>
    <xf numFmtId="10" fontId="18" fillId="0" borderId="0" xfId="0" applyNumberFormat="1" applyFont="1"/>
    <xf numFmtId="3" fontId="18" fillId="0" borderId="0" xfId="3" applyNumberFormat="1" applyFont="1" applyBorder="1"/>
    <xf numFmtId="242" fontId="18" fillId="0" borderId="0" xfId="0" applyNumberFormat="1" applyFont="1" applyAlignment="1">
      <alignment horizontal="right"/>
    </xf>
    <xf numFmtId="10" fontId="33" fillId="0" borderId="1" xfId="3" applyNumberFormat="1" applyFont="1" applyFill="1" applyBorder="1" applyAlignment="1">
      <alignment horizontal="right"/>
    </xf>
    <xf numFmtId="9" fontId="18" fillId="0" borderId="1" xfId="23" applyFont="1" applyFill="1" applyBorder="1" applyAlignment="1">
      <alignment horizontal="right"/>
    </xf>
    <xf numFmtId="17" fontId="18" fillId="0" borderId="0" xfId="0" applyNumberFormat="1" applyFont="1"/>
    <xf numFmtId="0" fontId="33" fillId="0" borderId="0" xfId="0" applyFont="1"/>
    <xf numFmtId="14" fontId="18" fillId="0" borderId="0" xfId="0" applyNumberFormat="1" applyFont="1"/>
    <xf numFmtId="0" fontId="18" fillId="0" borderId="0" xfId="0" applyFont="1" applyAlignment="1">
      <alignment horizontal="right" indent="1"/>
    </xf>
    <xf numFmtId="198" fontId="18" fillId="0" borderId="0" xfId="6" applyNumberFormat="1" applyFont="1" applyAlignment="1">
      <alignment horizontal="right"/>
    </xf>
    <xf numFmtId="187" fontId="16" fillId="0" borderId="0" xfId="0" applyNumberFormat="1" applyFont="1"/>
    <xf numFmtId="197" fontId="18" fillId="0" borderId="0" xfId="0" applyNumberFormat="1" applyFont="1" applyAlignment="1">
      <alignment horizontal="right"/>
    </xf>
    <xf numFmtId="188" fontId="18" fillId="0" borderId="0" xfId="0" applyNumberFormat="1" applyFont="1"/>
    <xf numFmtId="198" fontId="18" fillId="0" borderId="0" xfId="0" applyNumberFormat="1" applyFont="1" applyAlignment="1">
      <alignment horizontal="right"/>
    </xf>
    <xf numFmtId="0" fontId="16" fillId="0" borderId="24" xfId="0" applyFont="1" applyBorder="1"/>
    <xf numFmtId="187" fontId="16" fillId="0" borderId="24" xfId="0" applyNumberFormat="1" applyFont="1" applyBorder="1"/>
    <xf numFmtId="184" fontId="18" fillId="0" borderId="0" xfId="0" applyNumberFormat="1" applyFont="1" applyAlignment="1">
      <alignment horizontal="right" indent="1"/>
    </xf>
    <xf numFmtId="199" fontId="18" fillId="0" borderId="0" xfId="0" applyNumberFormat="1" applyFont="1" applyAlignment="1">
      <alignment horizontal="right"/>
    </xf>
    <xf numFmtId="187" fontId="18" fillId="0" borderId="0" xfId="0" applyNumberFormat="1" applyFont="1"/>
    <xf numFmtId="3" fontId="18" fillId="0" borderId="0" xfId="0" applyNumberFormat="1" applyFont="1" applyAlignment="1">
      <alignment horizontal="right" indent="1"/>
    </xf>
    <xf numFmtId="200" fontId="18" fillId="0" borderId="0" xfId="0" applyNumberFormat="1" applyFont="1" applyAlignment="1">
      <alignment horizontal="right"/>
    </xf>
    <xf numFmtId="196" fontId="18" fillId="0" borderId="0" xfId="0" applyNumberFormat="1" applyFont="1" applyAlignment="1">
      <alignment horizontal="right"/>
    </xf>
    <xf numFmtId="194" fontId="16" fillId="0" borderId="0" xfId="0" applyNumberFormat="1" applyFont="1"/>
    <xf numFmtId="190" fontId="18" fillId="0" borderId="0" xfId="0" applyNumberFormat="1" applyFont="1"/>
    <xf numFmtId="0" fontId="18" fillId="0" borderId="22" xfId="0" applyFont="1" applyBorder="1"/>
    <xf numFmtId="187" fontId="18" fillId="0" borderId="22" xfId="0" applyNumberFormat="1" applyFont="1" applyBorder="1"/>
    <xf numFmtId="192" fontId="18" fillId="0" borderId="0" xfId="0" applyNumberFormat="1" applyFont="1"/>
    <xf numFmtId="195" fontId="16" fillId="0" borderId="0" xfId="0" applyNumberFormat="1" applyFont="1"/>
    <xf numFmtId="170" fontId="16" fillId="0" borderId="0" xfId="0" applyNumberFormat="1" applyFont="1"/>
    <xf numFmtId="167" fontId="18" fillId="0" borderId="0" xfId="23" applyNumberFormat="1" applyFont="1" applyFill="1"/>
    <xf numFmtId="191" fontId="18" fillId="0" borderId="0" xfId="0" applyNumberFormat="1" applyFont="1"/>
    <xf numFmtId="170" fontId="16" fillId="0" borderId="24" xfId="0" applyNumberFormat="1" applyFont="1" applyBorder="1"/>
    <xf numFmtId="0" fontId="18" fillId="0" borderId="22" xfId="0" quotePrefix="1" applyFont="1" applyBorder="1"/>
    <xf numFmtId="189" fontId="18" fillId="0" borderId="0" xfId="0" applyNumberFormat="1" applyFont="1"/>
    <xf numFmtId="193" fontId="18" fillId="0" borderId="0" xfId="0" applyNumberFormat="1" applyFont="1"/>
    <xf numFmtId="0" fontId="16" fillId="0" borderId="22" xfId="0" applyFont="1" applyBorder="1"/>
    <xf numFmtId="170" fontId="16" fillId="0" borderId="22" xfId="0" applyNumberFormat="1" applyFont="1" applyBorder="1"/>
    <xf numFmtId="0" fontId="16" fillId="0" borderId="0" xfId="0" applyFont="1" applyAlignment="1">
      <alignment horizontal="left"/>
    </xf>
    <xf numFmtId="0" fontId="16" fillId="0" borderId="0" xfId="0" applyFont="1" applyAlignment="1">
      <alignment horizontal="right" indent="1"/>
    </xf>
    <xf numFmtId="184" fontId="18" fillId="0" borderId="0" xfId="0" applyNumberFormat="1" applyFont="1" applyAlignment="1">
      <alignment horizontal="right"/>
    </xf>
    <xf numFmtId="9" fontId="18" fillId="0" borderId="0" xfId="0" applyNumberFormat="1" applyFont="1" applyAlignment="1">
      <alignment horizontal="right" indent="1"/>
    </xf>
    <xf numFmtId="184" fontId="16" fillId="0" borderId="0" xfId="0" applyNumberFormat="1" applyFont="1" applyAlignment="1">
      <alignment horizontal="right"/>
    </xf>
    <xf numFmtId="9" fontId="16" fillId="0" borderId="0" xfId="0" applyNumberFormat="1" applyFont="1" applyAlignment="1">
      <alignment horizontal="right" indent="1"/>
    </xf>
    <xf numFmtId="167" fontId="18" fillId="0" borderId="0" xfId="0" applyNumberFormat="1" applyFont="1" applyAlignment="1">
      <alignment horizontal="left"/>
    </xf>
    <xf numFmtId="185" fontId="18" fillId="0" borderId="0" xfId="0" applyNumberFormat="1" applyFont="1" applyAlignment="1">
      <alignment horizontal="right"/>
    </xf>
    <xf numFmtId="185" fontId="18" fillId="0" borderId="6" xfId="0" applyNumberFormat="1" applyFont="1" applyBorder="1" applyAlignment="1">
      <alignment horizontal="right"/>
    </xf>
    <xf numFmtId="4" fontId="18" fillId="0" borderId="0" xfId="0" applyNumberFormat="1" applyFont="1" applyAlignment="1">
      <alignment horizontal="left"/>
    </xf>
    <xf numFmtId="186" fontId="18" fillId="0" borderId="0" xfId="0" applyNumberFormat="1" applyFont="1" applyAlignment="1">
      <alignment horizontal="right"/>
    </xf>
    <xf numFmtId="0" fontId="137" fillId="45" borderId="6" xfId="0" applyFont="1" applyFill="1" applyBorder="1"/>
    <xf numFmtId="183" fontId="137" fillId="45" borderId="6" xfId="0" applyNumberFormat="1" applyFont="1" applyFill="1" applyBorder="1" applyAlignment="1">
      <alignment horizontal="right"/>
    </xf>
    <xf numFmtId="0" fontId="137" fillId="45" borderId="6" xfId="0" applyFont="1" applyFill="1" applyBorder="1" applyAlignment="1">
      <alignment horizontal="right"/>
    </xf>
    <xf numFmtId="242" fontId="21" fillId="0" borderId="0" xfId="0" applyNumberFormat="1" applyFont="1" applyAlignment="1">
      <alignment horizontal="right"/>
    </xf>
    <xf numFmtId="233" fontId="18" fillId="0" borderId="1" xfId="1" applyNumberFormat="1" applyFont="1" applyBorder="1" applyAlignment="1">
      <alignment horizontal="right"/>
    </xf>
    <xf numFmtId="233" fontId="18" fillId="0" borderId="0" xfId="1" applyNumberFormat="1" applyFont="1" applyBorder="1" applyAlignment="1">
      <alignment horizontal="right"/>
    </xf>
    <xf numFmtId="10" fontId="16" fillId="0" borderId="0" xfId="0" applyNumberFormat="1" applyFont="1"/>
    <xf numFmtId="243" fontId="21" fillId="0" borderId="1" xfId="0" applyNumberFormat="1" applyFont="1" applyBorder="1" applyAlignment="1">
      <alignment horizontal="right"/>
    </xf>
    <xf numFmtId="0" fontId="16" fillId="0" borderId="0" xfId="0" applyFont="1" applyAlignment="1">
      <alignment horizontal="center"/>
    </xf>
    <xf numFmtId="236" fontId="18" fillId="0" borderId="0" xfId="0" applyNumberFormat="1" applyFont="1" applyAlignment="1">
      <alignment horizontal="right"/>
    </xf>
    <xf numFmtId="243" fontId="21" fillId="0" borderId="0" xfId="0" applyNumberFormat="1" applyFont="1" applyAlignment="1">
      <alignment horizontal="right"/>
    </xf>
    <xf numFmtId="10" fontId="16" fillId="0" borderId="0" xfId="3" applyNumberFormat="1" applyFont="1" applyBorder="1"/>
    <xf numFmtId="240" fontId="18" fillId="0" borderId="1" xfId="0" applyNumberFormat="1" applyFont="1" applyBorder="1" applyAlignment="1">
      <alignment horizontal="right"/>
    </xf>
    <xf numFmtId="167" fontId="25" fillId="0" borderId="0" xfId="3" applyNumberFormat="1" applyFont="1" applyBorder="1" applyAlignment="1">
      <alignment horizontal="right"/>
    </xf>
    <xf numFmtId="168" fontId="22" fillId="0" borderId="0" xfId="0" applyNumberFormat="1" applyFont="1" applyAlignment="1">
      <alignment horizontal="right"/>
    </xf>
    <xf numFmtId="43" fontId="16" fillId="0" borderId="1" xfId="1" applyFont="1" applyBorder="1"/>
    <xf numFmtId="10" fontId="18" fillId="0" borderId="0" xfId="3" applyNumberFormat="1" applyFont="1" applyBorder="1" applyAlignment="1">
      <alignment horizontal="left"/>
    </xf>
    <xf numFmtId="240" fontId="18" fillId="0" borderId="0" xfId="0" applyNumberFormat="1" applyFont="1" applyAlignment="1">
      <alignment horizontal="right"/>
    </xf>
    <xf numFmtId="167" fontId="16" fillId="0" borderId="0" xfId="3" applyNumberFormat="1" applyFont="1" applyFill="1" applyBorder="1" applyAlignment="1">
      <alignment horizontal="right"/>
    </xf>
    <xf numFmtId="43" fontId="16" fillId="0" borderId="0" xfId="1" applyFont="1" applyBorder="1"/>
    <xf numFmtId="202" fontId="18" fillId="0" borderId="1" xfId="0" applyNumberFormat="1" applyFont="1" applyBorder="1" applyAlignment="1">
      <alignment horizontal="right"/>
    </xf>
    <xf numFmtId="10" fontId="25" fillId="0" borderId="0" xfId="3" applyNumberFormat="1" applyFont="1"/>
    <xf numFmtId="167" fontId="18" fillId="0" borderId="0" xfId="23" applyNumberFormat="1" applyFont="1"/>
    <xf numFmtId="15" fontId="18" fillId="7" borderId="0" xfId="0" applyNumberFormat="1" applyFont="1" applyFill="1" applyAlignment="1">
      <alignment horizontal="right"/>
    </xf>
    <xf numFmtId="202" fontId="18" fillId="0" borderId="0" xfId="3" applyNumberFormat="1" applyFont="1" applyBorder="1" applyAlignment="1">
      <alignment horizontal="right"/>
    </xf>
    <xf numFmtId="10" fontId="16" fillId="0" borderId="1" xfId="3" applyNumberFormat="1" applyFont="1" applyFill="1" applyBorder="1" applyAlignment="1">
      <alignment horizontal="right"/>
    </xf>
    <xf numFmtId="0" fontId="18" fillId="7" borderId="0" xfId="0" applyFont="1" applyFill="1"/>
    <xf numFmtId="168" fontId="33" fillId="0" borderId="1" xfId="2" applyNumberFormat="1" applyFont="1" applyFill="1" applyBorder="1" applyAlignment="1">
      <alignment horizontal="right"/>
    </xf>
    <xf numFmtId="3" fontId="24" fillId="0" borderId="1" xfId="0" applyNumberFormat="1" applyFont="1" applyBorder="1" applyAlignment="1">
      <alignment horizontal="right"/>
    </xf>
    <xf numFmtId="10" fontId="33" fillId="0" borderId="1" xfId="23" applyNumberFormat="1" applyFont="1" applyFill="1" applyBorder="1" applyAlignment="1">
      <alignment horizontal="right"/>
    </xf>
    <xf numFmtId="0" fontId="138" fillId="0" borderId="0" xfId="509" applyAlignment="1">
      <alignment vertical="center"/>
    </xf>
    <xf numFmtId="0" fontId="139" fillId="0" borderId="0" xfId="509" applyFont="1" applyAlignment="1">
      <alignment vertical="center"/>
    </xf>
    <xf numFmtId="0" fontId="138" fillId="0" borderId="0" xfId="509" applyAlignment="1">
      <alignment horizontal="left" vertical="center" indent="2"/>
    </xf>
    <xf numFmtId="244" fontId="138" fillId="0" borderId="0" xfId="509" applyNumberFormat="1" applyAlignment="1">
      <alignment horizontal="left" vertical="center"/>
    </xf>
    <xf numFmtId="168" fontId="138" fillId="0" borderId="0" xfId="509" applyNumberFormat="1" applyAlignment="1">
      <alignment horizontal="left" vertical="center"/>
    </xf>
    <xf numFmtId="1" fontId="138" fillId="0" borderId="0" xfId="509" applyNumberFormat="1" applyAlignment="1">
      <alignment horizontal="left" vertical="center"/>
    </xf>
    <xf numFmtId="3" fontId="138" fillId="0" borderId="0" xfId="509" applyNumberFormat="1" applyAlignment="1">
      <alignment horizontal="left" vertical="center"/>
    </xf>
    <xf numFmtId="0" fontId="141" fillId="0" borderId="0" xfId="509" applyFont="1" applyAlignment="1">
      <alignment horizontal="left" vertical="center" indent="1"/>
    </xf>
    <xf numFmtId="0" fontId="138" fillId="0" borderId="0" xfId="509" applyAlignment="1">
      <alignment horizontal="left" vertical="center" indent="3"/>
    </xf>
    <xf numFmtId="0" fontId="138" fillId="0" borderId="0" xfId="509" quotePrefix="1" applyAlignment="1">
      <alignment vertical="center"/>
    </xf>
    <xf numFmtId="0" fontId="133" fillId="0" borderId="0" xfId="502" applyAlignment="1">
      <alignment vertical="center"/>
    </xf>
    <xf numFmtId="3" fontId="33" fillId="0" borderId="1" xfId="0" quotePrefix="1" applyNumberFormat="1" applyFont="1" applyBorder="1" applyAlignment="1">
      <alignment horizontal="right"/>
    </xf>
    <xf numFmtId="10" fontId="18" fillId="0" borderId="0" xfId="3" applyNumberFormat="1" applyFont="1"/>
    <xf numFmtId="245" fontId="21" fillId="0" borderId="0" xfId="0" applyNumberFormat="1" applyFont="1" applyAlignment="1">
      <alignment horizontal="right"/>
    </xf>
    <xf numFmtId="245" fontId="19" fillId="0" borderId="0" xfId="0" applyNumberFormat="1" applyFont="1" applyAlignment="1">
      <alignment horizontal="right"/>
    </xf>
    <xf numFmtId="245" fontId="18" fillId="0" borderId="0" xfId="0" applyNumberFormat="1" applyFont="1" applyAlignment="1">
      <alignment horizontal="right"/>
    </xf>
    <xf numFmtId="245" fontId="18" fillId="0" borderId="1" xfId="0" applyNumberFormat="1" applyFont="1" applyBorder="1" applyAlignment="1">
      <alignment horizontal="right"/>
    </xf>
    <xf numFmtId="2" fontId="16" fillId="0" borderId="1" xfId="0" quotePrefix="1" applyNumberFormat="1" applyFont="1" applyBorder="1"/>
    <xf numFmtId="3" fontId="18" fillId="0" borderId="0" xfId="0" quotePrefix="1" applyNumberFormat="1" applyFont="1" applyAlignment="1">
      <alignment horizontal="right"/>
    </xf>
    <xf numFmtId="10" fontId="18" fillId="0" borderId="0" xfId="3" applyNumberFormat="1" applyFont="1" applyFill="1" applyAlignment="1">
      <alignment horizontal="right"/>
    </xf>
    <xf numFmtId="10" fontId="18" fillId="7" borderId="0" xfId="3" applyNumberFormat="1" applyFont="1" applyFill="1" applyAlignment="1">
      <alignment horizontal="right"/>
    </xf>
    <xf numFmtId="10" fontId="18" fillId="7" borderId="0" xfId="23" applyNumberFormat="1" applyFont="1" applyFill="1" applyAlignment="1">
      <alignment horizontal="right"/>
    </xf>
    <xf numFmtId="10" fontId="18" fillId="7" borderId="0" xfId="3" applyNumberFormat="1" applyFont="1" applyFill="1" applyBorder="1" applyAlignment="1">
      <alignment horizontal="right"/>
    </xf>
    <xf numFmtId="245" fontId="33" fillId="0" borderId="1" xfId="0" applyNumberFormat="1" applyFont="1" applyBorder="1" applyAlignment="1">
      <alignment horizontal="right"/>
    </xf>
    <xf numFmtId="9" fontId="33" fillId="0" borderId="1" xfId="3" applyFont="1" applyFill="1" applyBorder="1" applyAlignment="1">
      <alignment horizontal="right"/>
    </xf>
    <xf numFmtId="167" fontId="16" fillId="0" borderId="1" xfId="3" applyNumberFormat="1" applyFont="1" applyBorder="1"/>
    <xf numFmtId="10" fontId="142" fillId="0" borderId="1" xfId="3" applyNumberFormat="1" applyFont="1" applyBorder="1" applyAlignment="1">
      <alignment horizontal="right"/>
    </xf>
    <xf numFmtId="10" fontId="143" fillId="0" borderId="1" xfId="3" applyNumberFormat="1" applyFont="1" applyBorder="1" applyAlignment="1">
      <alignment horizontal="right"/>
    </xf>
    <xf numFmtId="10" fontId="142" fillId="0" borderId="0" xfId="3" applyNumberFormat="1" applyFont="1" applyFill="1" applyAlignment="1">
      <alignment horizontal="right"/>
    </xf>
    <xf numFmtId="2" fontId="16" fillId="0" borderId="0" xfId="0" quotePrefix="1" applyNumberFormat="1" applyFont="1"/>
    <xf numFmtId="3" fontId="33" fillId="0" borderId="0" xfId="0" quotePrefix="1" applyNumberFormat="1" applyFont="1" applyAlignment="1">
      <alignment horizontal="right"/>
    </xf>
    <xf numFmtId="167" fontId="16" fillId="0" borderId="0" xfId="3" applyNumberFormat="1" applyFont="1" applyBorder="1"/>
    <xf numFmtId="245" fontId="33" fillId="0" borderId="0" xfId="0" applyNumberFormat="1" applyFont="1" applyAlignment="1">
      <alignment horizontal="right"/>
    </xf>
    <xf numFmtId="167" fontId="22" fillId="7" borderId="0" xfId="3" applyNumberFormat="1" applyFont="1" applyFill="1" applyAlignment="1">
      <alignment horizontal="right"/>
    </xf>
    <xf numFmtId="3" fontId="64" fillId="0" borderId="1" xfId="0" applyNumberFormat="1" applyFont="1" applyBorder="1" applyAlignment="1">
      <alignment horizontal="right"/>
    </xf>
    <xf numFmtId="3" fontId="136" fillId="0" borderId="1" xfId="0" applyNumberFormat="1" applyFont="1" applyBorder="1" applyAlignment="1">
      <alignment horizontal="right"/>
    </xf>
    <xf numFmtId="10" fontId="144" fillId="0" borderId="0" xfId="0" applyNumberFormat="1" applyFont="1"/>
    <xf numFmtId="0" fontId="144" fillId="0" borderId="0" xfId="0" applyFont="1"/>
    <xf numFmtId="233" fontId="18" fillId="0" borderId="0" xfId="1" applyNumberFormat="1" applyFont="1"/>
    <xf numFmtId="10" fontId="142" fillId="0" borderId="0" xfId="3" applyNumberFormat="1" applyFont="1"/>
    <xf numFmtId="3" fontId="145" fillId="0" borderId="0" xfId="0" applyNumberFormat="1" applyFont="1" applyAlignment="1">
      <alignment horizontal="right"/>
    </xf>
    <xf numFmtId="3" fontId="143" fillId="0" borderId="0" xfId="0" applyNumberFormat="1" applyFont="1" applyAlignment="1">
      <alignment horizontal="right"/>
    </xf>
    <xf numFmtId="10" fontId="142" fillId="0" borderId="0" xfId="3" applyNumberFormat="1" applyFont="1" applyBorder="1" applyAlignment="1">
      <alignment horizontal="right"/>
    </xf>
    <xf numFmtId="10" fontId="143" fillId="0" borderId="0" xfId="3" applyNumberFormat="1" applyFont="1" applyAlignment="1">
      <alignment horizontal="right"/>
    </xf>
    <xf numFmtId="10" fontId="21" fillId="0" borderId="0" xfId="23" quotePrefix="1" applyNumberFormat="1" applyFont="1" applyAlignment="1">
      <alignment horizontal="right"/>
    </xf>
    <xf numFmtId="10" fontId="22" fillId="0" borderId="1" xfId="3" applyNumberFormat="1" applyFont="1" applyFill="1" applyBorder="1" applyAlignment="1">
      <alignment horizontal="right"/>
    </xf>
    <xf numFmtId="43" fontId="18" fillId="0" borderId="0" xfId="1" applyFont="1" applyAlignment="1">
      <alignment horizontal="right"/>
    </xf>
    <xf numFmtId="10" fontId="146" fillId="0" borderId="0" xfId="3" applyNumberFormat="1" applyFont="1" applyAlignment="1">
      <alignment horizontal="right"/>
    </xf>
    <xf numFmtId="3" fontId="146" fillId="0" borderId="0" xfId="0" applyNumberFormat="1" applyFont="1" applyAlignment="1">
      <alignment horizontal="right"/>
    </xf>
    <xf numFmtId="3" fontId="146" fillId="0" borderId="1" xfId="0" applyNumberFormat="1" applyFont="1" applyBorder="1" applyAlignment="1">
      <alignment horizontal="right"/>
    </xf>
    <xf numFmtId="10" fontId="136" fillId="0" borderId="0" xfId="23" applyNumberFormat="1" applyFont="1" applyAlignment="1">
      <alignment horizontal="right"/>
    </xf>
    <xf numFmtId="0" fontId="65" fillId="0" borderId="0" xfId="0" applyFont="1"/>
    <xf numFmtId="0" fontId="136" fillId="0" borderId="0" xfId="0" applyFont="1"/>
    <xf numFmtId="10" fontId="65" fillId="0" borderId="0" xfId="23" applyNumberFormat="1" applyFont="1" applyAlignment="1">
      <alignment horizontal="right"/>
    </xf>
    <xf numFmtId="167" fontId="16" fillId="0" borderId="0" xfId="3" applyNumberFormat="1" applyFont="1" applyFill="1"/>
    <xf numFmtId="9" fontId="16" fillId="0" borderId="0" xfId="3" applyFont="1" applyFill="1"/>
    <xf numFmtId="10" fontId="143" fillId="0" borderId="0" xfId="23" applyNumberFormat="1" applyFont="1" applyAlignment="1">
      <alignment horizontal="right"/>
    </xf>
    <xf numFmtId="10" fontId="147" fillId="0" borderId="0" xfId="3" applyNumberFormat="1" applyFont="1" applyAlignment="1">
      <alignment horizontal="right"/>
    </xf>
    <xf numFmtId="10" fontId="145" fillId="0" borderId="0" xfId="3" applyNumberFormat="1" applyFont="1" applyAlignment="1">
      <alignment horizontal="right"/>
    </xf>
    <xf numFmtId="3" fontId="148" fillId="0" borderId="0" xfId="0" applyNumberFormat="1" applyFont="1" applyAlignment="1">
      <alignment horizontal="right"/>
    </xf>
    <xf numFmtId="3" fontId="147" fillId="0" borderId="0" xfId="0" applyNumberFormat="1" applyFont="1" applyAlignment="1">
      <alignment horizontal="right"/>
    </xf>
    <xf numFmtId="167" fontId="98" fillId="0" borderId="0" xfId="3" applyNumberFormat="1" applyFont="1" applyAlignment="1">
      <alignment horizontal="right"/>
    </xf>
    <xf numFmtId="168" fontId="18" fillId="0" borderId="0" xfId="0" applyNumberFormat="1" applyFont="1"/>
    <xf numFmtId="173" fontId="18" fillId="0" borderId="0" xfId="0" applyNumberFormat="1" applyFont="1" applyAlignment="1">
      <alignment horizontal="center"/>
    </xf>
    <xf numFmtId="0" fontId="149" fillId="0" borderId="0" xfId="0" applyFont="1" applyAlignment="1">
      <alignment vertical="center"/>
    </xf>
    <xf numFmtId="0" fontId="37" fillId="0" borderId="0" xfId="0" applyFont="1" applyAlignment="1">
      <alignment vertical="center"/>
    </xf>
    <xf numFmtId="0" fontId="123" fillId="0" borderId="0" xfId="0" applyFont="1" applyAlignment="1">
      <alignment vertical="center"/>
    </xf>
    <xf numFmtId="2" fontId="37" fillId="0" borderId="0" xfId="0" applyNumberFormat="1" applyFont="1" applyAlignment="1">
      <alignment vertical="center"/>
    </xf>
    <xf numFmtId="3" fontId="37" fillId="0" borderId="0" xfId="0" applyNumberFormat="1" applyFont="1" applyAlignment="1">
      <alignment vertical="center"/>
    </xf>
    <xf numFmtId="3" fontId="123" fillId="0" borderId="0" xfId="0" applyNumberFormat="1" applyFont="1" applyAlignment="1">
      <alignment vertical="center"/>
    </xf>
    <xf numFmtId="10" fontId="37" fillId="0" borderId="0" xfId="0" applyNumberFormat="1" applyFont="1" applyAlignment="1">
      <alignment vertical="center"/>
    </xf>
    <xf numFmtId="167" fontId="37" fillId="0" borderId="0" xfId="0" applyNumberFormat="1" applyFont="1" applyAlignment="1">
      <alignment vertical="center"/>
    </xf>
    <xf numFmtId="9" fontId="37" fillId="0" borderId="0" xfId="0" applyNumberFormat="1" applyFont="1" applyAlignment="1">
      <alignment vertical="center"/>
    </xf>
    <xf numFmtId="0" fontId="37" fillId="0" borderId="1" xfId="0" applyFont="1" applyBorder="1" applyAlignment="1">
      <alignment vertical="center"/>
    </xf>
    <xf numFmtId="3" fontId="37" fillId="0" borderId="1" xfId="0" applyNumberFormat="1" applyFont="1" applyBorder="1" applyAlignment="1">
      <alignment vertical="center"/>
    </xf>
    <xf numFmtId="3" fontId="123" fillId="0" borderId="1" xfId="0" applyNumberFormat="1" applyFont="1" applyBorder="1" applyAlignment="1">
      <alignment vertical="center"/>
    </xf>
    <xf numFmtId="10" fontId="37" fillId="0" borderId="1" xfId="0" applyNumberFormat="1" applyFont="1" applyBorder="1" applyAlignment="1">
      <alignment vertical="center"/>
    </xf>
    <xf numFmtId="9" fontId="37" fillId="0" borderId="1" xfId="0" applyNumberFormat="1" applyFont="1" applyBorder="1" applyAlignment="1">
      <alignment vertical="center"/>
    </xf>
    <xf numFmtId="167" fontId="37" fillId="0" borderId="1" xfId="0" applyNumberFormat="1" applyFont="1" applyBorder="1" applyAlignment="1">
      <alignment vertical="center"/>
    </xf>
    <xf numFmtId="249" fontId="37" fillId="0" borderId="0" xfId="0" applyNumberFormat="1" applyFont="1" applyAlignment="1">
      <alignment vertical="center"/>
    </xf>
    <xf numFmtId="173" fontId="37" fillId="0" borderId="0" xfId="0" applyNumberFormat="1" applyFont="1" applyAlignment="1">
      <alignment vertical="center"/>
    </xf>
    <xf numFmtId="173" fontId="37" fillId="0" borderId="1" xfId="0" applyNumberFormat="1" applyFont="1" applyBorder="1" applyAlignment="1">
      <alignment vertical="center"/>
    </xf>
    <xf numFmtId="168" fontId="37" fillId="0" borderId="0" xfId="0" applyNumberFormat="1" applyFont="1" applyAlignment="1">
      <alignment vertical="center"/>
    </xf>
    <xf numFmtId="168" fontId="37" fillId="0" borderId="1" xfId="0" applyNumberFormat="1" applyFont="1" applyBorder="1" applyAlignment="1">
      <alignment vertical="center"/>
    </xf>
    <xf numFmtId="10" fontId="143" fillId="0" borderId="0" xfId="3" applyNumberFormat="1" applyFont="1" applyBorder="1" applyAlignment="1">
      <alignment horizontal="right"/>
    </xf>
    <xf numFmtId="167" fontId="25" fillId="0" borderId="1" xfId="3" applyNumberFormat="1" applyFont="1" applyBorder="1" applyAlignment="1">
      <alignment horizontal="right"/>
    </xf>
    <xf numFmtId="3" fontId="25" fillId="0" borderId="0" xfId="0" applyNumberFormat="1" applyFont="1" applyAlignment="1">
      <alignment horizontal="left"/>
    </xf>
    <xf numFmtId="167" fontId="146" fillId="0" borderId="0" xfId="3" applyNumberFormat="1" applyFont="1" applyAlignment="1">
      <alignment horizontal="right"/>
    </xf>
    <xf numFmtId="167" fontId="21" fillId="0" borderId="0" xfId="3" applyNumberFormat="1" applyFont="1" applyFill="1" applyAlignment="1">
      <alignment horizontal="right"/>
    </xf>
    <xf numFmtId="167" fontId="21" fillId="0" borderId="1" xfId="3" applyNumberFormat="1" applyFont="1" applyBorder="1" applyAlignment="1">
      <alignment horizontal="right"/>
    </xf>
    <xf numFmtId="167" fontId="16" fillId="0" borderId="1" xfId="23" applyNumberFormat="1" applyFont="1" applyBorder="1" applyAlignment="1">
      <alignment horizontal="right"/>
    </xf>
    <xf numFmtId="3" fontId="21" fillId="0" borderId="0" xfId="23" applyNumberFormat="1" applyFont="1" applyAlignment="1">
      <alignment horizontal="right"/>
    </xf>
    <xf numFmtId="167" fontId="16" fillId="0" borderId="0" xfId="23" applyNumberFormat="1" applyFont="1" applyBorder="1" applyAlignment="1">
      <alignment horizontal="right"/>
    </xf>
    <xf numFmtId="3" fontId="143" fillId="0" borderId="1" xfId="0" applyNumberFormat="1" applyFont="1" applyBorder="1" applyAlignment="1">
      <alignment horizontal="right"/>
    </xf>
    <xf numFmtId="0" fontId="150" fillId="0" borderId="0" xfId="0" applyFont="1"/>
    <xf numFmtId="3" fontId="14" fillId="0" borderId="0" xfId="0" applyNumberFormat="1" applyFont="1" applyAlignment="1">
      <alignment horizontal="right"/>
    </xf>
    <xf numFmtId="167" fontId="150" fillId="0" borderId="0" xfId="23" applyNumberFormat="1" applyFont="1" applyFill="1" applyAlignment="1">
      <alignment horizontal="right"/>
    </xf>
    <xf numFmtId="167" fontId="150" fillId="0" borderId="1" xfId="23" applyNumberFormat="1" applyFont="1" applyFill="1" applyBorder="1" applyAlignment="1">
      <alignment horizontal="right"/>
    </xf>
    <xf numFmtId="167" fontId="40" fillId="0" borderId="0" xfId="23" applyNumberFormat="1" applyFont="1" applyAlignment="1">
      <alignment vertical="center"/>
    </xf>
    <xf numFmtId="0" fontId="25" fillId="0" borderId="0" xfId="0" applyFont="1" applyAlignment="1">
      <alignment vertical="center"/>
    </xf>
    <xf numFmtId="250" fontId="25" fillId="0" borderId="0" xfId="23" applyNumberFormat="1" applyFont="1" applyAlignment="1">
      <alignment vertical="center"/>
    </xf>
    <xf numFmtId="250" fontId="25" fillId="0" borderId="0" xfId="23" applyNumberFormat="1" applyFont="1" applyBorder="1" applyAlignment="1">
      <alignment vertical="center"/>
    </xf>
    <xf numFmtId="250" fontId="25" fillId="0" borderId="1" xfId="23" applyNumberFormat="1" applyFont="1" applyBorder="1" applyAlignment="1">
      <alignment vertical="center"/>
    </xf>
    <xf numFmtId="167" fontId="25" fillId="0" borderId="0" xfId="23" applyNumberFormat="1" applyFont="1" applyAlignment="1">
      <alignment vertical="center"/>
    </xf>
    <xf numFmtId="167" fontId="25" fillId="0" borderId="0" xfId="23" applyNumberFormat="1" applyFont="1" applyBorder="1" applyAlignment="1">
      <alignment vertical="center"/>
    </xf>
    <xf numFmtId="167" fontId="25" fillId="0" borderId="1" xfId="23" applyNumberFormat="1" applyFont="1" applyBorder="1" applyAlignment="1">
      <alignment vertical="center"/>
    </xf>
    <xf numFmtId="167" fontId="37" fillId="0" borderId="0" xfId="23" applyNumberFormat="1" applyFont="1" applyAlignment="1">
      <alignment vertical="center"/>
    </xf>
    <xf numFmtId="167" fontId="40" fillId="0" borderId="1" xfId="23" applyNumberFormat="1" applyFont="1" applyBorder="1" applyAlignment="1">
      <alignment vertical="center"/>
    </xf>
    <xf numFmtId="0" fontId="151" fillId="0" borderId="0" xfId="0" applyFont="1"/>
    <xf numFmtId="0" fontId="152" fillId="0" borderId="0" xfId="0" applyFont="1" applyAlignment="1">
      <alignment vertical="center"/>
    </xf>
    <xf numFmtId="0" fontId="153" fillId="0" borderId="0" xfId="6" applyFont="1" applyAlignment="1">
      <alignment vertical="center"/>
    </xf>
    <xf numFmtId="3" fontId="153" fillId="0" borderId="0" xfId="0" applyNumberFormat="1" applyFont="1" applyAlignment="1">
      <alignment vertical="center"/>
    </xf>
    <xf numFmtId="0" fontId="152" fillId="0" borderId="0" xfId="0" applyFont="1" applyAlignment="1">
      <alignment horizontal="right" vertical="center"/>
    </xf>
    <xf numFmtId="0" fontId="152" fillId="0" borderId="0" xfId="6" applyFont="1" applyAlignment="1">
      <alignment vertical="center"/>
    </xf>
    <xf numFmtId="10" fontId="152" fillId="0" borderId="22" xfId="0" applyNumberFormat="1" applyFont="1" applyBorder="1" applyAlignment="1">
      <alignment vertical="center"/>
    </xf>
    <xf numFmtId="0" fontId="153" fillId="0" borderId="0" xfId="0" applyFont="1" applyAlignment="1">
      <alignment vertical="center"/>
    </xf>
    <xf numFmtId="168" fontId="153" fillId="0" borderId="0" xfId="0" applyNumberFormat="1" applyFont="1" applyAlignment="1">
      <alignment vertical="center"/>
    </xf>
    <xf numFmtId="0" fontId="153" fillId="0" borderId="24" xfId="6" applyFont="1" applyBorder="1" applyAlignment="1">
      <alignment vertical="center"/>
    </xf>
    <xf numFmtId="3" fontId="152" fillId="0" borderId="0" xfId="0" applyNumberFormat="1" applyFont="1" applyAlignment="1">
      <alignment vertical="center"/>
    </xf>
    <xf numFmtId="167" fontId="152" fillId="0" borderId="0" xfId="3" applyNumberFormat="1" applyFont="1" applyAlignment="1">
      <alignment vertical="center"/>
    </xf>
    <xf numFmtId="171" fontId="152" fillId="0" borderId="0" xfId="0" applyNumberFormat="1" applyFont="1" applyAlignment="1">
      <alignment vertical="center"/>
    </xf>
    <xf numFmtId="1" fontId="152" fillId="0" borderId="22" xfId="0" applyNumberFormat="1" applyFont="1" applyBorder="1" applyAlignment="1">
      <alignment vertical="center"/>
    </xf>
    <xf numFmtId="0" fontId="153" fillId="0" borderId="0" xfId="0" applyFont="1" applyAlignment="1">
      <alignment horizontal="center" vertical="center"/>
    </xf>
    <xf numFmtId="3" fontId="152" fillId="0" borderId="22" xfId="0" applyNumberFormat="1" applyFont="1" applyBorder="1" applyAlignment="1">
      <alignment vertical="center"/>
    </xf>
    <xf numFmtId="9" fontId="152" fillId="0" borderId="0" xfId="0" applyNumberFormat="1" applyFont="1" applyAlignment="1">
      <alignment vertical="center"/>
    </xf>
    <xf numFmtId="168" fontId="152" fillId="0" borderId="0" xfId="2" applyNumberFormat="1" applyFont="1" applyAlignment="1">
      <alignment vertical="center"/>
    </xf>
    <xf numFmtId="9" fontId="153" fillId="0" borderId="0" xfId="0" applyNumberFormat="1" applyFont="1" applyAlignment="1">
      <alignment vertical="center"/>
    </xf>
    <xf numFmtId="168" fontId="153" fillId="0" borderId="0" xfId="2" applyNumberFormat="1" applyFont="1" applyAlignment="1">
      <alignment vertical="center"/>
    </xf>
    <xf numFmtId="2" fontId="152" fillId="0" borderId="0" xfId="0" applyNumberFormat="1" applyFont="1" applyAlignment="1">
      <alignment vertical="center"/>
    </xf>
    <xf numFmtId="233" fontId="153" fillId="0" borderId="24" xfId="1" applyNumberFormat="1" applyFont="1" applyBorder="1" applyAlignment="1">
      <alignment vertical="center"/>
    </xf>
    <xf numFmtId="0" fontId="152" fillId="0" borderId="22" xfId="6" applyFont="1" applyBorder="1" applyAlignment="1">
      <alignment vertical="center"/>
    </xf>
    <xf numFmtId="248" fontId="152" fillId="0" borderId="0" xfId="0" applyNumberFormat="1" applyFont="1" applyAlignment="1">
      <alignment vertical="center"/>
    </xf>
    <xf numFmtId="0" fontId="152" fillId="0" borderId="0" xfId="6" quotePrefix="1" applyFont="1" applyAlignment="1">
      <alignment vertical="center"/>
    </xf>
    <xf numFmtId="10" fontId="152" fillId="0" borderId="0" xfId="3" applyNumberFormat="1" applyFont="1" applyAlignment="1">
      <alignment vertical="center"/>
    </xf>
    <xf numFmtId="0" fontId="152" fillId="0" borderId="22" xfId="0" applyFont="1" applyBorder="1" applyAlignment="1">
      <alignment vertical="center"/>
    </xf>
    <xf numFmtId="169" fontId="152" fillId="0" borderId="22" xfId="0" applyNumberFormat="1" applyFont="1" applyBorder="1" applyAlignment="1">
      <alignment vertical="center"/>
    </xf>
    <xf numFmtId="0" fontId="152" fillId="0" borderId="22" xfId="6" quotePrefix="1" applyFont="1" applyBorder="1" applyAlignment="1">
      <alignment vertical="center"/>
    </xf>
    <xf numFmtId="167" fontId="152" fillId="0" borderId="22" xfId="3" applyNumberFormat="1" applyFont="1" applyBorder="1" applyAlignment="1">
      <alignment vertical="center"/>
    </xf>
    <xf numFmtId="0" fontId="153" fillId="0" borderId="22" xfId="6" applyFont="1" applyBorder="1" applyAlignment="1">
      <alignment vertical="center"/>
    </xf>
    <xf numFmtId="3" fontId="153" fillId="0" borderId="22" xfId="0" applyNumberFormat="1" applyFont="1" applyBorder="1" applyAlignment="1">
      <alignment vertical="center"/>
    </xf>
    <xf numFmtId="167" fontId="152" fillId="0" borderId="22" xfId="0" applyNumberFormat="1" applyFont="1" applyBorder="1" applyAlignment="1">
      <alignment vertical="center"/>
    </xf>
    <xf numFmtId="167" fontId="152" fillId="0" borderId="0" xfId="0" applyNumberFormat="1" applyFont="1" applyAlignment="1">
      <alignment vertical="center"/>
    </xf>
    <xf numFmtId="10" fontId="152" fillId="0" borderId="0" xfId="0" applyNumberFormat="1" applyFont="1" applyAlignment="1">
      <alignment vertical="center"/>
    </xf>
    <xf numFmtId="0" fontId="152" fillId="0" borderId="41" xfId="0" applyFont="1" applyBorder="1" applyAlignment="1">
      <alignment vertical="center"/>
    </xf>
    <xf numFmtId="167" fontId="152" fillId="0" borderId="41" xfId="0" applyNumberFormat="1" applyFont="1" applyBorder="1" applyAlignment="1">
      <alignment vertical="center"/>
    </xf>
    <xf numFmtId="2" fontId="153" fillId="0" borderId="0" xfId="0" applyNumberFormat="1" applyFont="1" applyAlignment="1">
      <alignment vertical="center"/>
    </xf>
    <xf numFmtId="247" fontId="152" fillId="0" borderId="0" xfId="3" applyNumberFormat="1" applyFont="1" applyAlignment="1">
      <alignment vertical="center"/>
    </xf>
    <xf numFmtId="9" fontId="152" fillId="0" borderId="41" xfId="0" applyNumberFormat="1" applyFont="1" applyBorder="1" applyAlignment="1">
      <alignment vertical="center"/>
    </xf>
    <xf numFmtId="246" fontId="152" fillId="0" borderId="0" xfId="0" applyNumberFormat="1" applyFont="1" applyAlignment="1">
      <alignment vertical="center"/>
    </xf>
    <xf numFmtId="0" fontId="152" fillId="0" borderId="6" xfId="0" applyFont="1" applyBorder="1" applyAlignment="1">
      <alignment vertical="center"/>
    </xf>
    <xf numFmtId="3" fontId="152" fillId="0" borderId="6" xfId="0" applyNumberFormat="1" applyFont="1" applyBorder="1" applyAlignment="1">
      <alignment vertical="center"/>
    </xf>
    <xf numFmtId="167" fontId="152" fillId="0" borderId="6" xfId="0" applyNumberFormat="1" applyFont="1" applyBorder="1" applyAlignment="1">
      <alignment vertical="center"/>
    </xf>
    <xf numFmtId="0" fontId="154" fillId="45" borderId="0" xfId="6" applyFont="1" applyFill="1" applyAlignment="1">
      <alignment vertical="center"/>
    </xf>
    <xf numFmtId="183" fontId="154" fillId="45" borderId="0" xfId="6" applyNumberFormat="1" applyFont="1" applyFill="1" applyAlignment="1">
      <alignment horizontal="right" vertical="center"/>
    </xf>
    <xf numFmtId="0" fontId="154" fillId="45" borderId="0" xfId="6" applyFont="1" applyFill="1" applyAlignment="1">
      <alignment horizontal="right" vertical="center"/>
    </xf>
    <xf numFmtId="0" fontId="154" fillId="45" borderId="0" xfId="6" applyFont="1" applyFill="1" applyAlignment="1">
      <alignment horizontal="left" vertical="center"/>
    </xf>
    <xf numFmtId="2" fontId="25" fillId="0" borderId="0" xfId="3" applyNumberFormat="1" applyFont="1" applyAlignment="1">
      <alignment horizontal="right"/>
    </xf>
    <xf numFmtId="0" fontId="73" fillId="30" borderId="0" xfId="186" applyFont="1" applyBorder="1" applyAlignment="1">
      <alignment horizontal="left"/>
    </xf>
    <xf numFmtId="0" fontId="75" fillId="32" borderId="0" xfId="188" applyFont="1" applyBorder="1" applyAlignment="1">
      <alignment horizontal="center"/>
    </xf>
    <xf numFmtId="0" fontId="75" fillId="32" borderId="26" xfId="188" applyFont="1" applyBorder="1" applyAlignment="1">
      <alignment horizontal="center"/>
    </xf>
    <xf numFmtId="0" fontId="72" fillId="33" borderId="28" xfId="189" applyBorder="1" applyAlignment="1">
      <alignment horizontal="center"/>
    </xf>
    <xf numFmtId="0" fontId="72" fillId="33" borderId="29" xfId="189" applyBorder="1" applyAlignment="1">
      <alignment horizontal="center"/>
    </xf>
    <xf numFmtId="0" fontId="72" fillId="33" borderId="30" xfId="189" applyBorder="1" applyAlignment="1">
      <alignment horizontal="center"/>
    </xf>
    <xf numFmtId="0" fontId="140" fillId="46" borderId="0" xfId="510" quotePrefix="1" applyFont="1" applyFill="1" applyAlignment="1">
      <alignment horizontal="left" vertical="center"/>
    </xf>
    <xf numFmtId="0" fontId="152" fillId="0" borderId="0" xfId="0" applyFont="1" applyAlignment="1">
      <alignment horizontal="left" vertical="center"/>
    </xf>
    <xf numFmtId="0" fontId="154" fillId="45" borderId="0" xfId="6" applyFont="1" applyFill="1" applyAlignment="1">
      <alignment horizontal="left" vertical="center"/>
    </xf>
    <xf numFmtId="0" fontId="152" fillId="0" borderId="0" xfId="0" applyFont="1" applyAlignment="1">
      <alignment horizontal="center" vertical="center"/>
    </xf>
    <xf numFmtId="0" fontId="153" fillId="0" borderId="0" xfId="0" applyFont="1" applyAlignment="1">
      <alignment horizontal="left" vertical="center"/>
    </xf>
    <xf numFmtId="167" fontId="152" fillId="0" borderId="0" xfId="3" applyNumberFormat="1" applyFont="1" applyAlignment="1">
      <alignment horizontal="right" vertical="center"/>
    </xf>
    <xf numFmtId="0" fontId="154" fillId="47" borderId="0" xfId="6" applyFont="1" applyFill="1" applyAlignment="1">
      <alignment horizontal="left"/>
    </xf>
    <xf numFmtId="0" fontId="154" fillId="47" borderId="0" xfId="6" applyFont="1" applyFill="1" applyAlignment="1">
      <alignment horizontal="right"/>
    </xf>
  </cellXfs>
  <cellStyles count="511">
    <cellStyle name="_x000a_386grabber=M" xfId="505" xr:uid="{00000000-0005-0000-0000-000000000000}"/>
    <cellStyle name="_%(SignOnly)" xfId="191" xr:uid="{00000000-0005-0000-0000-000001000000}"/>
    <cellStyle name="_%(SignSpaceOnly)" xfId="192" xr:uid="{00000000-0005-0000-0000-000002000000}"/>
    <cellStyle name="_Comma" xfId="193" xr:uid="{00000000-0005-0000-0000-000003000000}"/>
    <cellStyle name="_Comma_01 adj for merger plan" xfId="194" xr:uid="{00000000-0005-0000-0000-000004000000}"/>
    <cellStyle name="_Comma_Ability to Pay Analysis" xfId="195" xr:uid="{00000000-0005-0000-0000-000005000000}"/>
    <cellStyle name="_Comma_AFL" xfId="196" xr:uid="{00000000-0005-0000-0000-000006000000}"/>
    <cellStyle name="_Comma_AIZ" xfId="197" xr:uid="{00000000-0005-0000-0000-000007000000}"/>
    <cellStyle name="_Comma_AIZ04-Quantum2" xfId="198" xr:uid="{00000000-0005-0000-0000-000008000000}"/>
    <cellStyle name="_Comma_AMP" xfId="199" xr:uid="{00000000-0005-0000-0000-000009000000}"/>
    <cellStyle name="_Comma_Book1" xfId="200" xr:uid="{00000000-0005-0000-0000-00000A000000}"/>
    <cellStyle name="_Comma_Book3" xfId="201" xr:uid="{00000000-0005-0000-0000-00000B000000}"/>
    <cellStyle name="_Comma_CNO" xfId="202" xr:uid="{00000000-0005-0000-0000-00000C000000}"/>
    <cellStyle name="_Comma_CNO04" xfId="203" xr:uid="{00000000-0005-0000-0000-00000D000000}"/>
    <cellStyle name="_Comma_DCF Alexander Forbes" xfId="204" xr:uid="{00000000-0005-0000-0000-00000E000000}"/>
    <cellStyle name="_Comma_fmbi counties" xfId="205" xr:uid="{00000000-0005-0000-0000-00000F000000}"/>
    <cellStyle name="_Comma_FMBI MBHI Graphs" xfId="206" xr:uid="{00000000-0005-0000-0000-000010000000}"/>
    <cellStyle name="_Comma_FMBI MBHI Graphs 07102001" xfId="207" xr:uid="{00000000-0005-0000-0000-000011000000}"/>
    <cellStyle name="_Comma_FMBI MBHI Graphs_7601" xfId="208" xr:uid="{00000000-0005-0000-0000-000012000000}"/>
    <cellStyle name="_Comma_genworth model" xfId="209" xr:uid="{00000000-0005-0000-0000-000013000000}"/>
    <cellStyle name="_Comma_Insurance Brokerage CSC_1Q2002" xfId="210" xr:uid="{00000000-0005-0000-0000-000014000000}"/>
    <cellStyle name="_Comma_JP_LNC_spread_monitor (2)" xfId="211" xr:uid="{00000000-0005-0000-0000-000015000000}"/>
    <cellStyle name="_Comma_NFP" xfId="212" xr:uid="{00000000-0005-0000-0000-000016000000}"/>
    <cellStyle name="_Comma_NFS" xfId="213" xr:uid="{00000000-0005-0000-0000-000017000000}"/>
    <cellStyle name="_Comma_Overview3" xfId="214" xr:uid="{00000000-0005-0000-0000-000018000000}"/>
    <cellStyle name="_Comma_phil data" xfId="215" xr:uid="{00000000-0005-0000-0000-000019000000}"/>
    <cellStyle name="_Comma_Price Performance Charts" xfId="216" xr:uid="{00000000-0005-0000-0000-00001A000000}"/>
    <cellStyle name="_Comma_Quarterly Review by Company" xfId="217" xr:uid="{00000000-0005-0000-0000-00001B000000}"/>
    <cellStyle name="_Comma_SFG Data File" xfId="218" xr:uid="{00000000-0005-0000-0000-00001C000000}"/>
    <cellStyle name="_Comma_Sheet1" xfId="219" xr:uid="{00000000-0005-0000-0000-00001D000000}"/>
    <cellStyle name="_Comma_Stock-QTR1 FDS" xfId="220" xr:uid="{00000000-0005-0000-0000-00001E000000}"/>
    <cellStyle name="_Comma_Updated Valuation Changes" xfId="221" xr:uid="{00000000-0005-0000-0000-00001F000000}"/>
    <cellStyle name="_Comma_Valuation Graphs" xfId="222" xr:uid="{00000000-0005-0000-0000-000020000000}"/>
    <cellStyle name="_Comma_xratio - historical mkt val" xfId="223" xr:uid="{00000000-0005-0000-0000-000021000000}"/>
    <cellStyle name="_Currency" xfId="224" xr:uid="{00000000-0005-0000-0000-000022000000}"/>
    <cellStyle name="_Currency_01 adj for merger plan" xfId="225" xr:uid="{00000000-0005-0000-0000-000023000000}"/>
    <cellStyle name="_Currency_Ability to Pay Analysis" xfId="226" xr:uid="{00000000-0005-0000-0000-000024000000}"/>
    <cellStyle name="_Currency_AFL" xfId="227" xr:uid="{00000000-0005-0000-0000-000025000000}"/>
    <cellStyle name="_Currency_AIZ" xfId="228" xr:uid="{00000000-0005-0000-0000-000026000000}"/>
    <cellStyle name="_Currency_AMP" xfId="229" xr:uid="{00000000-0005-0000-0000-000027000000}"/>
    <cellStyle name="_Currency_Balance Sheet" xfId="230" xr:uid="{00000000-0005-0000-0000-000028000000}"/>
    <cellStyle name="_Currency_Book1" xfId="231" xr:uid="{00000000-0005-0000-0000-000029000000}"/>
    <cellStyle name="_Currency_Book29" xfId="232" xr:uid="{00000000-0005-0000-0000-00002A000000}"/>
    <cellStyle name="_Currency_Book3" xfId="233" xr:uid="{00000000-0005-0000-0000-00002B000000}"/>
    <cellStyle name="_Currency_Book3_1" xfId="234" xr:uid="{00000000-0005-0000-0000-00002C000000}"/>
    <cellStyle name="_Currency_CNO" xfId="235" xr:uid="{00000000-0005-0000-0000-00002D000000}"/>
    <cellStyle name="_Currency_DCF Alexander Forbes" xfId="236" xr:uid="{00000000-0005-0000-0000-00002E000000}"/>
    <cellStyle name="_Currency_fmbi counties" xfId="237" xr:uid="{00000000-0005-0000-0000-00002F000000}"/>
    <cellStyle name="_Currency_FMBI MBHI Graphs" xfId="238" xr:uid="{00000000-0005-0000-0000-000030000000}"/>
    <cellStyle name="_Currency_FMBI MBHI Graphs 07102001" xfId="239" xr:uid="{00000000-0005-0000-0000-000031000000}"/>
    <cellStyle name="_Currency_FMBI MBHI Graphs_7601" xfId="240" xr:uid="{00000000-0005-0000-0000-000032000000}"/>
    <cellStyle name="_Currency_GNW" xfId="241" xr:uid="{00000000-0005-0000-0000-000033000000}"/>
    <cellStyle name="_Currency_Insurance Brokerage CSC_1Q2002" xfId="242" xr:uid="{00000000-0005-0000-0000-000034000000}"/>
    <cellStyle name="_Currency_JP" xfId="243" xr:uid="{00000000-0005-0000-0000-000035000000}"/>
    <cellStyle name="_Currency_LNC" xfId="244" xr:uid="{00000000-0005-0000-0000-000036000000}"/>
    <cellStyle name="_Currency_MET" xfId="245" xr:uid="{00000000-0005-0000-0000-000037000000}"/>
    <cellStyle name="_Currency_MET04" xfId="246" xr:uid="{00000000-0005-0000-0000-000038000000}"/>
    <cellStyle name="_Currency_NFS" xfId="247" xr:uid="{00000000-0005-0000-0000-000039000000}"/>
    <cellStyle name="_Currency_Overview3" xfId="248" xr:uid="{00000000-0005-0000-0000-00003A000000}"/>
    <cellStyle name="_Currency_phil data" xfId="249" xr:uid="{00000000-0005-0000-0000-00003B000000}"/>
    <cellStyle name="_Currency_Price Performance Charts" xfId="250" xr:uid="{00000000-0005-0000-0000-00003C000000}"/>
    <cellStyle name="_Currency_PRU" xfId="251" xr:uid="{00000000-0005-0000-0000-00003D000000}"/>
    <cellStyle name="_Currency_PRU04" xfId="252" xr:uid="{00000000-0005-0000-0000-00003E000000}"/>
    <cellStyle name="_Currency_RiskReward" xfId="253" xr:uid="{00000000-0005-0000-0000-00003F000000}"/>
    <cellStyle name="_Currency_SFG" xfId="254" xr:uid="{00000000-0005-0000-0000-000040000000}"/>
    <cellStyle name="_Currency_Sheet1" xfId="255" xr:uid="{00000000-0005-0000-0000-000041000000}"/>
    <cellStyle name="_Currency_Stock-QTR1 FDS" xfId="256" xr:uid="{00000000-0005-0000-0000-000042000000}"/>
    <cellStyle name="_Currency_TMK" xfId="257" xr:uid="{00000000-0005-0000-0000-000043000000}"/>
    <cellStyle name="_Currency_Updated Valuation Changes" xfId="258" xr:uid="{00000000-0005-0000-0000-000044000000}"/>
    <cellStyle name="_Currency_Valuation Graphs" xfId="259" xr:uid="{00000000-0005-0000-0000-000045000000}"/>
    <cellStyle name="_Currency_xratio - historical mkt val" xfId="260" xr:uid="{00000000-0005-0000-0000-000046000000}"/>
    <cellStyle name="_CurrencySpace" xfId="261" xr:uid="{00000000-0005-0000-0000-000047000000}"/>
    <cellStyle name="_CurrencySpace_01 adj for merger plan" xfId="262" xr:uid="{00000000-0005-0000-0000-000048000000}"/>
    <cellStyle name="_CurrencySpace_Ability to Pay Analysis" xfId="263" xr:uid="{00000000-0005-0000-0000-000049000000}"/>
    <cellStyle name="_CurrencySpace_AFL" xfId="264" xr:uid="{00000000-0005-0000-0000-00004A000000}"/>
    <cellStyle name="_CurrencySpace_AIZ" xfId="265" xr:uid="{00000000-0005-0000-0000-00004B000000}"/>
    <cellStyle name="_CurrencySpace_AMP" xfId="266" xr:uid="{00000000-0005-0000-0000-00004C000000}"/>
    <cellStyle name="_CurrencySpace_Balance Sheet" xfId="267" xr:uid="{00000000-0005-0000-0000-00004D000000}"/>
    <cellStyle name="_CurrencySpace_Book1" xfId="268" xr:uid="{00000000-0005-0000-0000-00004E000000}"/>
    <cellStyle name="_CurrencySpace_Book29" xfId="269" xr:uid="{00000000-0005-0000-0000-00004F000000}"/>
    <cellStyle name="_CurrencySpace_Book3" xfId="270" xr:uid="{00000000-0005-0000-0000-000050000000}"/>
    <cellStyle name="_CurrencySpace_Book3_1" xfId="271" xr:uid="{00000000-0005-0000-0000-000051000000}"/>
    <cellStyle name="_CurrencySpace_CNO" xfId="272" xr:uid="{00000000-0005-0000-0000-000052000000}"/>
    <cellStyle name="_CurrencySpace_DCF Alexander Forbes" xfId="273" xr:uid="{00000000-0005-0000-0000-000053000000}"/>
    <cellStyle name="_CurrencySpace_fmbi counties" xfId="274" xr:uid="{00000000-0005-0000-0000-000054000000}"/>
    <cellStyle name="_CurrencySpace_FMBI MBHI Graphs" xfId="275" xr:uid="{00000000-0005-0000-0000-000055000000}"/>
    <cellStyle name="_CurrencySpace_FMBI MBHI Graphs 07102001" xfId="276" xr:uid="{00000000-0005-0000-0000-000056000000}"/>
    <cellStyle name="_CurrencySpace_FMBI MBHI Graphs_7601" xfId="277" xr:uid="{00000000-0005-0000-0000-000057000000}"/>
    <cellStyle name="_CurrencySpace_GNW" xfId="278" xr:uid="{00000000-0005-0000-0000-000058000000}"/>
    <cellStyle name="_CurrencySpace_Insurance Brokerage CSC_1Q2002" xfId="279" xr:uid="{00000000-0005-0000-0000-000059000000}"/>
    <cellStyle name="_CurrencySpace_JP" xfId="280" xr:uid="{00000000-0005-0000-0000-00005A000000}"/>
    <cellStyle name="_CurrencySpace_LNC" xfId="281" xr:uid="{00000000-0005-0000-0000-00005B000000}"/>
    <cellStyle name="_CurrencySpace_MET" xfId="282" xr:uid="{00000000-0005-0000-0000-00005C000000}"/>
    <cellStyle name="_CurrencySpace_MET04" xfId="283" xr:uid="{00000000-0005-0000-0000-00005D000000}"/>
    <cellStyle name="_CurrencySpace_NFS" xfId="284" xr:uid="{00000000-0005-0000-0000-00005E000000}"/>
    <cellStyle name="_CurrencySpace_Overview3" xfId="285" xr:uid="{00000000-0005-0000-0000-00005F000000}"/>
    <cellStyle name="_CurrencySpace_phil data" xfId="286" xr:uid="{00000000-0005-0000-0000-000060000000}"/>
    <cellStyle name="_CurrencySpace_Price Performance Charts" xfId="287" xr:uid="{00000000-0005-0000-0000-000061000000}"/>
    <cellStyle name="_CurrencySpace_PRU" xfId="288" xr:uid="{00000000-0005-0000-0000-000062000000}"/>
    <cellStyle name="_CurrencySpace_PRU04" xfId="289" xr:uid="{00000000-0005-0000-0000-000063000000}"/>
    <cellStyle name="_CurrencySpace_RiskReward" xfId="290" xr:uid="{00000000-0005-0000-0000-000064000000}"/>
    <cellStyle name="_CurrencySpace_SFG" xfId="291" xr:uid="{00000000-0005-0000-0000-000065000000}"/>
    <cellStyle name="_CurrencySpace_Sheet1" xfId="292" xr:uid="{00000000-0005-0000-0000-000066000000}"/>
    <cellStyle name="_CurrencySpace_Stock-QTR1 FDS" xfId="293" xr:uid="{00000000-0005-0000-0000-000067000000}"/>
    <cellStyle name="_CurrencySpace_TMK" xfId="294" xr:uid="{00000000-0005-0000-0000-000068000000}"/>
    <cellStyle name="_CurrencySpace_Updated Valuation Changes" xfId="295" xr:uid="{00000000-0005-0000-0000-000069000000}"/>
    <cellStyle name="_CurrencySpace_Valuation Graphs" xfId="296" xr:uid="{00000000-0005-0000-0000-00006A000000}"/>
    <cellStyle name="_CurrencySpace_xratio - historical mkt val" xfId="297" xr:uid="{00000000-0005-0000-0000-00006B000000}"/>
    <cellStyle name="_Dollar" xfId="298" xr:uid="{00000000-0005-0000-0000-00006C000000}"/>
    <cellStyle name="_Euro" xfId="299" xr:uid="{00000000-0005-0000-0000-00006D000000}"/>
    <cellStyle name="_Heading" xfId="300" xr:uid="{00000000-0005-0000-0000-00006E000000}"/>
    <cellStyle name="_Heading_prestemp" xfId="301" xr:uid="{00000000-0005-0000-0000-00006F000000}"/>
    <cellStyle name="_Highlight" xfId="302" xr:uid="{00000000-0005-0000-0000-000070000000}"/>
    <cellStyle name="_Multiple" xfId="303" xr:uid="{00000000-0005-0000-0000-000071000000}"/>
    <cellStyle name="_Multiple_01 adj for merger plan" xfId="304" xr:uid="{00000000-0005-0000-0000-000072000000}"/>
    <cellStyle name="_Multiple_Ability to Pay Analysis" xfId="305" xr:uid="{00000000-0005-0000-0000-000073000000}"/>
    <cellStyle name="_Multiple_AFL" xfId="306" xr:uid="{00000000-0005-0000-0000-000074000000}"/>
    <cellStyle name="_Multiple_AIZ" xfId="307" xr:uid="{00000000-0005-0000-0000-000075000000}"/>
    <cellStyle name="_Multiple_AMP" xfId="308" xr:uid="{00000000-0005-0000-0000-000076000000}"/>
    <cellStyle name="_Multiple_Balance Sheet" xfId="309" xr:uid="{00000000-0005-0000-0000-000077000000}"/>
    <cellStyle name="_Multiple_Book1" xfId="310" xr:uid="{00000000-0005-0000-0000-000078000000}"/>
    <cellStyle name="_Multiple_Book29" xfId="311" xr:uid="{00000000-0005-0000-0000-000079000000}"/>
    <cellStyle name="_Multiple_Book3" xfId="312" xr:uid="{00000000-0005-0000-0000-00007A000000}"/>
    <cellStyle name="_Multiple_Book3_1" xfId="313" xr:uid="{00000000-0005-0000-0000-00007B000000}"/>
    <cellStyle name="_Multiple_CNO" xfId="314" xr:uid="{00000000-0005-0000-0000-00007C000000}"/>
    <cellStyle name="_Multiple_DCF Alexander Forbes" xfId="315" xr:uid="{00000000-0005-0000-0000-00007D000000}"/>
    <cellStyle name="_Multiple_fmbi counties" xfId="316" xr:uid="{00000000-0005-0000-0000-00007E000000}"/>
    <cellStyle name="_Multiple_FMBI MBHI Graphs" xfId="317" xr:uid="{00000000-0005-0000-0000-00007F000000}"/>
    <cellStyle name="_Multiple_FMBI MBHI Graphs 07102001" xfId="318" xr:uid="{00000000-0005-0000-0000-000080000000}"/>
    <cellStyle name="_Multiple_FMBI MBHI Graphs_7601" xfId="319" xr:uid="{00000000-0005-0000-0000-000081000000}"/>
    <cellStyle name="_Multiple_GNW" xfId="320" xr:uid="{00000000-0005-0000-0000-000082000000}"/>
    <cellStyle name="_Multiple_Insurance Brokerage CSC_1Q2002" xfId="321" xr:uid="{00000000-0005-0000-0000-000083000000}"/>
    <cellStyle name="_Multiple_JP" xfId="322" xr:uid="{00000000-0005-0000-0000-000084000000}"/>
    <cellStyle name="_Multiple_LNC" xfId="323" xr:uid="{00000000-0005-0000-0000-000085000000}"/>
    <cellStyle name="_Multiple_MET" xfId="324" xr:uid="{00000000-0005-0000-0000-000086000000}"/>
    <cellStyle name="_Multiple_MET04" xfId="325" xr:uid="{00000000-0005-0000-0000-000087000000}"/>
    <cellStyle name="_Multiple_NFS" xfId="326" xr:uid="{00000000-0005-0000-0000-000088000000}"/>
    <cellStyle name="_Multiple_Overview3" xfId="327" xr:uid="{00000000-0005-0000-0000-000089000000}"/>
    <cellStyle name="_Multiple_phil data" xfId="328" xr:uid="{00000000-0005-0000-0000-00008A000000}"/>
    <cellStyle name="_Multiple_Price Performance Charts" xfId="329" xr:uid="{00000000-0005-0000-0000-00008B000000}"/>
    <cellStyle name="_Multiple_PRU" xfId="330" xr:uid="{00000000-0005-0000-0000-00008C000000}"/>
    <cellStyle name="_Multiple_PRU04" xfId="331" xr:uid="{00000000-0005-0000-0000-00008D000000}"/>
    <cellStyle name="_Multiple_RiskReward" xfId="332" xr:uid="{00000000-0005-0000-0000-00008E000000}"/>
    <cellStyle name="_Multiple_SFG" xfId="333" xr:uid="{00000000-0005-0000-0000-00008F000000}"/>
    <cellStyle name="_Multiple_Sheet1" xfId="334" xr:uid="{00000000-0005-0000-0000-000090000000}"/>
    <cellStyle name="_Multiple_Stock-QTR1 FDS" xfId="335" xr:uid="{00000000-0005-0000-0000-000091000000}"/>
    <cellStyle name="_Multiple_TMK" xfId="336" xr:uid="{00000000-0005-0000-0000-000092000000}"/>
    <cellStyle name="_Multiple_Updated Valuation Changes" xfId="337" xr:uid="{00000000-0005-0000-0000-000093000000}"/>
    <cellStyle name="_Multiple_Valuation Graphs" xfId="338" xr:uid="{00000000-0005-0000-0000-000094000000}"/>
    <cellStyle name="_Multiple_xratio - historical mkt val" xfId="339" xr:uid="{00000000-0005-0000-0000-000095000000}"/>
    <cellStyle name="_MultipleSpace" xfId="340" xr:uid="{00000000-0005-0000-0000-000096000000}"/>
    <cellStyle name="_MultipleSpace_01 adj for merger plan" xfId="341" xr:uid="{00000000-0005-0000-0000-000097000000}"/>
    <cellStyle name="_MultipleSpace_Ability to Pay Analysis" xfId="342" xr:uid="{00000000-0005-0000-0000-000098000000}"/>
    <cellStyle name="_MultipleSpace_AFL" xfId="343" xr:uid="{00000000-0005-0000-0000-000099000000}"/>
    <cellStyle name="_MultipleSpace_AIZ" xfId="344" xr:uid="{00000000-0005-0000-0000-00009A000000}"/>
    <cellStyle name="_MultipleSpace_AMP" xfId="345" xr:uid="{00000000-0005-0000-0000-00009B000000}"/>
    <cellStyle name="_MultipleSpace_Balance Sheet" xfId="346" xr:uid="{00000000-0005-0000-0000-00009C000000}"/>
    <cellStyle name="_MultipleSpace_Book1" xfId="347" xr:uid="{00000000-0005-0000-0000-00009D000000}"/>
    <cellStyle name="_MultipleSpace_Book29" xfId="348" xr:uid="{00000000-0005-0000-0000-00009E000000}"/>
    <cellStyle name="_MultipleSpace_Book3" xfId="349" xr:uid="{00000000-0005-0000-0000-00009F000000}"/>
    <cellStyle name="_MultipleSpace_Book3_1" xfId="350" xr:uid="{00000000-0005-0000-0000-0000A0000000}"/>
    <cellStyle name="_MultipleSpace_CNO" xfId="351" xr:uid="{00000000-0005-0000-0000-0000A1000000}"/>
    <cellStyle name="_MultipleSpace_DCF Alexander Forbes" xfId="352" xr:uid="{00000000-0005-0000-0000-0000A2000000}"/>
    <cellStyle name="_MultipleSpace_fmbi counties" xfId="353" xr:uid="{00000000-0005-0000-0000-0000A3000000}"/>
    <cellStyle name="_MultipleSpace_FMBI MBHI Graphs" xfId="354" xr:uid="{00000000-0005-0000-0000-0000A4000000}"/>
    <cellStyle name="_MultipleSpace_FMBI MBHI Graphs 07102001" xfId="355" xr:uid="{00000000-0005-0000-0000-0000A5000000}"/>
    <cellStyle name="_MultipleSpace_FMBI MBHI Graphs_7601" xfId="356" xr:uid="{00000000-0005-0000-0000-0000A6000000}"/>
    <cellStyle name="_MultipleSpace_GNW" xfId="357" xr:uid="{00000000-0005-0000-0000-0000A7000000}"/>
    <cellStyle name="_MultipleSpace_Insurance Brokerage CSC_1Q2002" xfId="358" xr:uid="{00000000-0005-0000-0000-0000A8000000}"/>
    <cellStyle name="_MultipleSpace_JP" xfId="359" xr:uid="{00000000-0005-0000-0000-0000A9000000}"/>
    <cellStyle name="_MultipleSpace_LNC" xfId="360" xr:uid="{00000000-0005-0000-0000-0000AA000000}"/>
    <cellStyle name="_MultipleSpace_MET" xfId="361" xr:uid="{00000000-0005-0000-0000-0000AB000000}"/>
    <cellStyle name="_MultipleSpace_MET04" xfId="362" xr:uid="{00000000-0005-0000-0000-0000AC000000}"/>
    <cellStyle name="_MultipleSpace_NFS" xfId="363" xr:uid="{00000000-0005-0000-0000-0000AD000000}"/>
    <cellStyle name="_MultipleSpace_Overview3" xfId="364" xr:uid="{00000000-0005-0000-0000-0000AE000000}"/>
    <cellStyle name="_MultipleSpace_phil data" xfId="365" xr:uid="{00000000-0005-0000-0000-0000AF000000}"/>
    <cellStyle name="_MultipleSpace_Price Performance Charts" xfId="366" xr:uid="{00000000-0005-0000-0000-0000B0000000}"/>
    <cellStyle name="_MultipleSpace_PRU" xfId="367" xr:uid="{00000000-0005-0000-0000-0000B1000000}"/>
    <cellStyle name="_MultipleSpace_PRU04" xfId="368" xr:uid="{00000000-0005-0000-0000-0000B2000000}"/>
    <cellStyle name="_MultipleSpace_RiskReward" xfId="369" xr:uid="{00000000-0005-0000-0000-0000B3000000}"/>
    <cellStyle name="_MultipleSpace_SFG" xfId="370" xr:uid="{00000000-0005-0000-0000-0000B4000000}"/>
    <cellStyle name="_MultipleSpace_Sheet1" xfId="371" xr:uid="{00000000-0005-0000-0000-0000B5000000}"/>
    <cellStyle name="_MultipleSpace_Stock-QTR1 FDS" xfId="372" xr:uid="{00000000-0005-0000-0000-0000B6000000}"/>
    <cellStyle name="_MultipleSpace_TMK" xfId="373" xr:uid="{00000000-0005-0000-0000-0000B7000000}"/>
    <cellStyle name="_MultipleSpace_Updated Valuation Changes" xfId="374" xr:uid="{00000000-0005-0000-0000-0000B8000000}"/>
    <cellStyle name="_MultipleSpace_Valuation Graphs" xfId="375" xr:uid="{00000000-0005-0000-0000-0000B9000000}"/>
    <cellStyle name="_MultipleSpace_xratio - historical mkt val" xfId="376" xr:uid="{00000000-0005-0000-0000-0000BA000000}"/>
    <cellStyle name="_Percent" xfId="377" xr:uid="{00000000-0005-0000-0000-0000BB000000}"/>
    <cellStyle name="_Percent_DCF Alexander Forbes" xfId="378" xr:uid="{00000000-0005-0000-0000-0000BC000000}"/>
    <cellStyle name="_Percent_FMBI MBHI Graphs" xfId="379" xr:uid="{00000000-0005-0000-0000-0000BD000000}"/>
    <cellStyle name="_Percent_FMBI MBHI Graphs 07102001" xfId="380" xr:uid="{00000000-0005-0000-0000-0000BE000000}"/>
    <cellStyle name="_Percent_FMBI MBHI Graphs_7601" xfId="381" xr:uid="{00000000-0005-0000-0000-0000BF000000}"/>
    <cellStyle name="_PercentSpace" xfId="382" xr:uid="{00000000-0005-0000-0000-0000C0000000}"/>
    <cellStyle name="_PercentSpace_01 adj for merger plan" xfId="383" xr:uid="{00000000-0005-0000-0000-0000C1000000}"/>
    <cellStyle name="_PercentSpace_DCF Alexander Forbes" xfId="384" xr:uid="{00000000-0005-0000-0000-0000C2000000}"/>
    <cellStyle name="_PercentSpace_FMBI MBHI Graphs" xfId="385" xr:uid="{00000000-0005-0000-0000-0000C3000000}"/>
    <cellStyle name="_PercentSpace_FMBI MBHI Graphs 07102001" xfId="386" xr:uid="{00000000-0005-0000-0000-0000C4000000}"/>
    <cellStyle name="_PercentSpace_FMBI MBHI Graphs_7601" xfId="387" xr:uid="{00000000-0005-0000-0000-0000C5000000}"/>
    <cellStyle name="_SubHeading" xfId="388" xr:uid="{00000000-0005-0000-0000-0000C6000000}"/>
    <cellStyle name="_SubHeading_Ability to Pay Analysis" xfId="389" xr:uid="{00000000-0005-0000-0000-0000C7000000}"/>
    <cellStyle name="_SubHeading_BankUnited Model" xfId="390" xr:uid="{00000000-0005-0000-0000-0000C8000000}"/>
    <cellStyle name="_SubHeading_fmbi counties" xfId="391" xr:uid="{00000000-0005-0000-0000-0000C9000000}"/>
    <cellStyle name="_SubHeading_FMBI MBHI Graphs" xfId="392" xr:uid="{00000000-0005-0000-0000-0000CA000000}"/>
    <cellStyle name="_SubHeading_FMBI MBHI Graphs 07102001" xfId="393" xr:uid="{00000000-0005-0000-0000-0000CB000000}"/>
    <cellStyle name="_SubHeading_FMBI MBHI Graphs_7601" xfId="394" xr:uid="{00000000-0005-0000-0000-0000CC000000}"/>
    <cellStyle name="_SubHeading_prestemp" xfId="395" xr:uid="{00000000-0005-0000-0000-0000CD000000}"/>
    <cellStyle name="_SubHeading_prestemp_Insurance Brokerage CSC_1Q2002" xfId="396" xr:uid="{00000000-0005-0000-0000-0000CE000000}"/>
    <cellStyle name="_SubHeading_prestemp_Overview3" xfId="397" xr:uid="{00000000-0005-0000-0000-0000CF000000}"/>
    <cellStyle name="_SubHeading_prestemp_Updated Valuation Changes" xfId="398" xr:uid="{00000000-0005-0000-0000-0000D0000000}"/>
    <cellStyle name="_SubHeading_xratio - historical mkt val" xfId="399" xr:uid="{00000000-0005-0000-0000-0000D1000000}"/>
    <cellStyle name="_Table" xfId="400" xr:uid="{00000000-0005-0000-0000-0000D2000000}"/>
    <cellStyle name="_Table_Ability to Pay Analysis" xfId="401" xr:uid="{00000000-0005-0000-0000-0000D3000000}"/>
    <cellStyle name="_Table_BankUnited Model" xfId="402" xr:uid="{00000000-0005-0000-0000-0000D4000000}"/>
    <cellStyle name="_Table_fmbi counties" xfId="403" xr:uid="{00000000-0005-0000-0000-0000D5000000}"/>
    <cellStyle name="_Table_xratio - historical mkt val" xfId="404" xr:uid="{00000000-0005-0000-0000-0000D6000000}"/>
    <cellStyle name="_TableHead" xfId="405" xr:uid="{00000000-0005-0000-0000-0000D7000000}"/>
    <cellStyle name="_TableRowHead" xfId="406" xr:uid="{00000000-0005-0000-0000-0000D8000000}"/>
    <cellStyle name="_TableSuperHead" xfId="407" xr:uid="{00000000-0005-0000-0000-0000D9000000}"/>
    <cellStyle name="_TableSuperHead_Ability to Pay Analysis" xfId="408" xr:uid="{00000000-0005-0000-0000-0000DA000000}"/>
    <cellStyle name="_TableSuperHead_BankUnited Model" xfId="409" xr:uid="{00000000-0005-0000-0000-0000DB000000}"/>
    <cellStyle name="_TableSuperHead_fmbi counties" xfId="410" xr:uid="{00000000-0005-0000-0000-0000DC000000}"/>
    <cellStyle name="_TableSuperHead_xratio - historical mkt val" xfId="411" xr:uid="{00000000-0005-0000-0000-0000DD000000}"/>
    <cellStyle name="20% - Accent1 2" xfId="40" xr:uid="{00000000-0005-0000-0000-0000DE000000}"/>
    <cellStyle name="20% - Accent2 2" xfId="41" xr:uid="{00000000-0005-0000-0000-0000DF000000}"/>
    <cellStyle name="20% - Accent3 2" xfId="42" xr:uid="{00000000-0005-0000-0000-0000E0000000}"/>
    <cellStyle name="20% - Accent4 2" xfId="43" xr:uid="{00000000-0005-0000-0000-0000E1000000}"/>
    <cellStyle name="20% - Accent5 2" xfId="44" xr:uid="{00000000-0005-0000-0000-0000E2000000}"/>
    <cellStyle name="20% - Accent6 2" xfId="45" xr:uid="{00000000-0005-0000-0000-0000E3000000}"/>
    <cellStyle name="40% - Accent1 2" xfId="46" xr:uid="{00000000-0005-0000-0000-0000E4000000}"/>
    <cellStyle name="40% - Accent2 2" xfId="47" xr:uid="{00000000-0005-0000-0000-0000E5000000}"/>
    <cellStyle name="40% - Accent3 2" xfId="48" xr:uid="{00000000-0005-0000-0000-0000E6000000}"/>
    <cellStyle name="40% - Accent4 2" xfId="49" xr:uid="{00000000-0005-0000-0000-0000E7000000}"/>
    <cellStyle name="40% - Accent5 2" xfId="50" xr:uid="{00000000-0005-0000-0000-0000E8000000}"/>
    <cellStyle name="40% - Accent6 2" xfId="51" xr:uid="{00000000-0005-0000-0000-0000E9000000}"/>
    <cellStyle name="60% - Accent1 2" xfId="84" xr:uid="{00000000-0005-0000-0000-0000EA000000}"/>
    <cellStyle name="60% - Accent1 3" xfId="52" xr:uid="{00000000-0005-0000-0000-0000EB000000}"/>
    <cellStyle name="60% - Accent2 2" xfId="85" xr:uid="{00000000-0005-0000-0000-0000EC000000}"/>
    <cellStyle name="60% - Accent2 3" xfId="53" xr:uid="{00000000-0005-0000-0000-0000ED000000}"/>
    <cellStyle name="60% - Accent3 2" xfId="86" xr:uid="{00000000-0005-0000-0000-0000EE000000}"/>
    <cellStyle name="60% - Accent3 3" xfId="54" xr:uid="{00000000-0005-0000-0000-0000EF000000}"/>
    <cellStyle name="60% - Accent4 2" xfId="87" xr:uid="{00000000-0005-0000-0000-0000F0000000}"/>
    <cellStyle name="60% - Accent4 3" xfId="55" xr:uid="{00000000-0005-0000-0000-0000F1000000}"/>
    <cellStyle name="60% - Accent5 2" xfId="88" xr:uid="{00000000-0005-0000-0000-0000F2000000}"/>
    <cellStyle name="60% - Accent5 3" xfId="56" xr:uid="{00000000-0005-0000-0000-0000F3000000}"/>
    <cellStyle name="60% - Accent6 2" xfId="89" xr:uid="{00000000-0005-0000-0000-0000F4000000}"/>
    <cellStyle name="60% - Accent6 3" xfId="57" xr:uid="{00000000-0005-0000-0000-0000F5000000}"/>
    <cellStyle name="Accent1 2" xfId="90" xr:uid="{00000000-0005-0000-0000-0000F6000000}"/>
    <cellStyle name="Accent1 3" xfId="58" xr:uid="{00000000-0005-0000-0000-0000F7000000}"/>
    <cellStyle name="Accent2 2" xfId="91" xr:uid="{00000000-0005-0000-0000-0000F8000000}"/>
    <cellStyle name="Accent2 3" xfId="59" xr:uid="{00000000-0005-0000-0000-0000F9000000}"/>
    <cellStyle name="Accent3 2" xfId="92" xr:uid="{00000000-0005-0000-0000-0000FA000000}"/>
    <cellStyle name="Accent3 3" xfId="60" xr:uid="{00000000-0005-0000-0000-0000FB000000}"/>
    <cellStyle name="Accent4 2" xfId="93" xr:uid="{00000000-0005-0000-0000-0000FC000000}"/>
    <cellStyle name="Accent4 3" xfId="61" xr:uid="{00000000-0005-0000-0000-0000FD000000}"/>
    <cellStyle name="Accent5 2" xfId="94" xr:uid="{00000000-0005-0000-0000-0000FE000000}"/>
    <cellStyle name="Accent5 3" xfId="62" xr:uid="{00000000-0005-0000-0000-0000FF000000}"/>
    <cellStyle name="Accent6 2" xfId="95" xr:uid="{00000000-0005-0000-0000-000000010000}"/>
    <cellStyle name="Accent6 3" xfId="63" xr:uid="{00000000-0005-0000-0000-000001010000}"/>
    <cellStyle name="Actual data" xfId="412" xr:uid="{00000000-0005-0000-0000-000002010000}"/>
    <cellStyle name="Actual year" xfId="413" xr:uid="{00000000-0005-0000-0000-000003010000}"/>
    <cellStyle name="Actuals Cells" xfId="414" xr:uid="{00000000-0005-0000-0000-000004010000}"/>
    <cellStyle name="AFE" xfId="415" xr:uid="{00000000-0005-0000-0000-000005010000}"/>
    <cellStyle name="afl" xfId="416" xr:uid="{00000000-0005-0000-0000-000006010000}"/>
    <cellStyle name="Andre's Title" xfId="417" xr:uid="{00000000-0005-0000-0000-000007010000}"/>
    <cellStyle name="Bad" xfId="187" builtinId="27"/>
    <cellStyle name="Bad 2" xfId="64" xr:uid="{00000000-0005-0000-0000-000009010000}"/>
    <cellStyle name="Blank" xfId="418" xr:uid="{00000000-0005-0000-0000-00000A010000}"/>
    <cellStyle name="Blue" xfId="419" xr:uid="{00000000-0005-0000-0000-00000B010000}"/>
    <cellStyle name="Blue Title" xfId="420" xr:uid="{00000000-0005-0000-0000-00000C010000}"/>
    <cellStyle name="Calc Cells" xfId="421" xr:uid="{00000000-0005-0000-0000-00000D010000}"/>
    <cellStyle name="Calculation 2" xfId="65" xr:uid="{00000000-0005-0000-0000-00000E010000}"/>
    <cellStyle name="Case" xfId="422" xr:uid="{00000000-0005-0000-0000-00000F010000}"/>
    <cellStyle name="Check Cell 2" xfId="66" xr:uid="{00000000-0005-0000-0000-000010010000}"/>
    <cellStyle name="Co. Names" xfId="423" xr:uid="{00000000-0005-0000-0000-000011010000}"/>
    <cellStyle name="Co. Names - Bold" xfId="424" xr:uid="{00000000-0005-0000-0000-000012010000}"/>
    <cellStyle name="Co. Names_Blend" xfId="425" xr:uid="{00000000-0005-0000-0000-000013010000}"/>
    <cellStyle name="Col Head" xfId="426" xr:uid="{00000000-0005-0000-0000-000014010000}"/>
    <cellStyle name="Comma" xfId="1" builtinId="3"/>
    <cellStyle name="Comma 2" xfId="8" xr:uid="{00000000-0005-0000-0000-000016010000}"/>
    <cellStyle name="Comma 3" xfId="67" xr:uid="{00000000-0005-0000-0000-000017010000}"/>
    <cellStyle name="Comma 4" xfId="506" xr:uid="{00000000-0005-0000-0000-000018010000}"/>
    <cellStyle name="Comma0" xfId="427" xr:uid="{00000000-0005-0000-0000-000019010000}"/>
    <cellStyle name="Company name" xfId="428" xr:uid="{00000000-0005-0000-0000-00001A010000}"/>
    <cellStyle name="CompanyTitle" xfId="429" xr:uid="{00000000-0005-0000-0000-00001B010000}"/>
    <cellStyle name="Currency" xfId="2" builtinId="4"/>
    <cellStyle name="Currency [2]" xfId="430" xr:uid="{00000000-0005-0000-0000-00001D010000}"/>
    <cellStyle name="Currency 2" xfId="10" xr:uid="{00000000-0005-0000-0000-00001E010000}"/>
    <cellStyle name="Currency 3" xfId="68" xr:uid="{00000000-0005-0000-0000-00001F010000}"/>
    <cellStyle name="Currency0" xfId="431" xr:uid="{00000000-0005-0000-0000-000020010000}"/>
    <cellStyle name="date" xfId="432" xr:uid="{00000000-0005-0000-0000-000021010000}"/>
    <cellStyle name="default" xfId="433" xr:uid="{00000000-0005-0000-0000-000022010000}"/>
    <cellStyle name="Dollar" xfId="11" xr:uid="{00000000-0005-0000-0000-000023010000}"/>
    <cellStyle name="emp" xfId="434" xr:uid="{00000000-0005-0000-0000-000024010000}"/>
    <cellStyle name="Explanatory Text 2" xfId="69" xr:uid="{00000000-0005-0000-0000-000025010000}"/>
    <cellStyle name="External File Cells" xfId="435" xr:uid="{00000000-0005-0000-0000-000026010000}"/>
    <cellStyle name="Fit" xfId="436" xr:uid="{00000000-0005-0000-0000-000027010000}"/>
    <cellStyle name="Fixed" xfId="437" xr:uid="{00000000-0005-0000-0000-000028010000}"/>
    <cellStyle name="Footnotes" xfId="438" xr:uid="{00000000-0005-0000-0000-000029010000}"/>
    <cellStyle name="Forecast Cells" xfId="439" xr:uid="{00000000-0005-0000-0000-00002A010000}"/>
    <cellStyle name="Fraction" xfId="12" xr:uid="{00000000-0005-0000-0000-00002B010000}"/>
    <cellStyle name="G1_1999 figures" xfId="440" xr:uid="{00000000-0005-0000-0000-00002C010000}"/>
    <cellStyle name="Good" xfId="186" builtinId="26"/>
    <cellStyle name="Good 2" xfId="70" xr:uid="{00000000-0005-0000-0000-00002E010000}"/>
    <cellStyle name="H_1998_col_head" xfId="441" xr:uid="{00000000-0005-0000-0000-00002F010000}"/>
    <cellStyle name="H_1999_col_head" xfId="442" xr:uid="{00000000-0005-0000-0000-000030010000}"/>
    <cellStyle name="H1_1998 figures" xfId="443" xr:uid="{00000000-0005-0000-0000-000031010000}"/>
    <cellStyle name="Header" xfId="13" xr:uid="{00000000-0005-0000-0000-000032010000}"/>
    <cellStyle name="Heading" xfId="444" xr:uid="{00000000-0005-0000-0000-000033010000}"/>
    <cellStyle name="Heading 1 2" xfId="71" xr:uid="{00000000-0005-0000-0000-000034010000}"/>
    <cellStyle name="Heading 2 2" xfId="72" xr:uid="{00000000-0005-0000-0000-000035010000}"/>
    <cellStyle name="Heading 3 2" xfId="73" xr:uid="{00000000-0005-0000-0000-000036010000}"/>
    <cellStyle name="Heading 4 2" xfId="74" xr:uid="{00000000-0005-0000-0000-000037010000}"/>
    <cellStyle name="Heading1" xfId="445" xr:uid="{00000000-0005-0000-0000-000038010000}"/>
    <cellStyle name="Hyperlink" xfId="502" builtinId="8"/>
    <cellStyle name="Input 2" xfId="75" xr:uid="{00000000-0005-0000-0000-00003A010000}"/>
    <cellStyle name="Input Cells" xfId="446" xr:uid="{00000000-0005-0000-0000-00003B010000}"/>
    <cellStyle name="Inputs" xfId="14" xr:uid="{00000000-0005-0000-0000-00003C010000}"/>
    <cellStyle name="Item Descriptions" xfId="447" xr:uid="{00000000-0005-0000-0000-00003D010000}"/>
    <cellStyle name="Line" xfId="448" xr:uid="{00000000-0005-0000-0000-00003E010000}"/>
    <cellStyle name="Linked Cell 2" xfId="76" xr:uid="{00000000-0005-0000-0000-00003F010000}"/>
    <cellStyle name="Mainhead" xfId="449" xr:uid="{00000000-0005-0000-0000-000040010000}"/>
    <cellStyle name="Merrill" xfId="450" xr:uid="{00000000-0005-0000-0000-000041010000}"/>
    <cellStyle name="Mix" xfId="451" xr:uid="{00000000-0005-0000-0000-000042010000}"/>
    <cellStyle name="Monitor" xfId="452" xr:uid="{00000000-0005-0000-0000-000043010000}"/>
    <cellStyle name="Multiple" xfId="453" xr:uid="{00000000-0005-0000-0000-000044010000}"/>
    <cellStyle name="Name" xfId="15" xr:uid="{00000000-0005-0000-0000-000045010000}"/>
    <cellStyle name="Neutral" xfId="188" builtinId="28"/>
    <cellStyle name="Neutral 2" xfId="77" xr:uid="{00000000-0005-0000-0000-000047010000}"/>
    <cellStyle name="NewAcct" xfId="16" xr:uid="{00000000-0005-0000-0000-000048010000}"/>
    <cellStyle name="Normal" xfId="0" builtinId="0"/>
    <cellStyle name="Normal - Style1" xfId="454" xr:uid="{00000000-0005-0000-0000-00004A010000}"/>
    <cellStyle name="Normal 2" xfId="4" xr:uid="{00000000-0005-0000-0000-00004B010000}"/>
    <cellStyle name="Normal 2 10" xfId="138" xr:uid="{00000000-0005-0000-0000-00004C010000}"/>
    <cellStyle name="Normal 2 2" xfId="9" xr:uid="{00000000-0005-0000-0000-00004D010000}"/>
    <cellStyle name="Normal 2 3" xfId="17" xr:uid="{00000000-0005-0000-0000-00004E010000}"/>
    <cellStyle name="Normal 2 3 2" xfId="18" xr:uid="{00000000-0005-0000-0000-00004F010000}"/>
    <cellStyle name="Normal 2 3 2 2" xfId="105" xr:uid="{00000000-0005-0000-0000-000050010000}"/>
    <cellStyle name="Normal 2 3 2 2 2" xfId="108" xr:uid="{00000000-0005-0000-0000-000051010000}"/>
    <cellStyle name="Normal 2 3 2 2 2 2" xfId="132" xr:uid="{00000000-0005-0000-0000-000052010000}"/>
    <cellStyle name="Normal 2 3 2 2 2 2 2" xfId="180" xr:uid="{00000000-0005-0000-0000-000053010000}"/>
    <cellStyle name="Normal 2 3 2 2 2 3" xfId="156" xr:uid="{00000000-0005-0000-0000-000054010000}"/>
    <cellStyle name="Normal 2 3 2 2 3" xfId="129" xr:uid="{00000000-0005-0000-0000-000055010000}"/>
    <cellStyle name="Normal 2 3 2 2 3 2" xfId="177" xr:uid="{00000000-0005-0000-0000-000056010000}"/>
    <cellStyle name="Normal 2 3 2 2 4" xfId="153" xr:uid="{00000000-0005-0000-0000-000057010000}"/>
    <cellStyle name="Normal 2 3 2 3" xfId="99" xr:uid="{00000000-0005-0000-0000-000058010000}"/>
    <cellStyle name="Normal 2 3 2 3 2" xfId="123" xr:uid="{00000000-0005-0000-0000-000059010000}"/>
    <cellStyle name="Normal 2 3 2 3 2 2" xfId="171" xr:uid="{00000000-0005-0000-0000-00005A010000}"/>
    <cellStyle name="Normal 2 3 2 3 3" xfId="147" xr:uid="{00000000-0005-0000-0000-00005B010000}"/>
    <cellStyle name="Normal 2 3 2 4" xfId="116" xr:uid="{00000000-0005-0000-0000-00005C010000}"/>
    <cellStyle name="Normal 2 3 2 4 2" xfId="164" xr:uid="{00000000-0005-0000-0000-00005D010000}"/>
    <cellStyle name="Normal 2 3 2 5" xfId="140" xr:uid="{00000000-0005-0000-0000-00005E010000}"/>
    <cellStyle name="Normal 2 3 3" xfId="19" xr:uid="{00000000-0005-0000-0000-00005F010000}"/>
    <cellStyle name="Normal 2 3 3 2" xfId="107" xr:uid="{00000000-0005-0000-0000-000060010000}"/>
    <cellStyle name="Normal 2 3 3 2 2" xfId="109" xr:uid="{00000000-0005-0000-0000-000061010000}"/>
    <cellStyle name="Normal 2 3 3 2 2 2" xfId="133" xr:uid="{00000000-0005-0000-0000-000062010000}"/>
    <cellStyle name="Normal 2 3 3 2 2 2 2" xfId="181" xr:uid="{00000000-0005-0000-0000-000063010000}"/>
    <cellStyle name="Normal 2 3 3 2 2 3" xfId="157" xr:uid="{00000000-0005-0000-0000-000064010000}"/>
    <cellStyle name="Normal 2 3 3 2 3" xfId="131" xr:uid="{00000000-0005-0000-0000-000065010000}"/>
    <cellStyle name="Normal 2 3 3 2 3 2" xfId="179" xr:uid="{00000000-0005-0000-0000-000066010000}"/>
    <cellStyle name="Normal 2 3 3 2 4" xfId="155" xr:uid="{00000000-0005-0000-0000-000067010000}"/>
    <cellStyle name="Normal 2 3 3 3" xfId="101" xr:uid="{00000000-0005-0000-0000-000068010000}"/>
    <cellStyle name="Normal 2 3 3 3 2" xfId="125" xr:uid="{00000000-0005-0000-0000-000069010000}"/>
    <cellStyle name="Normal 2 3 3 3 2 2" xfId="173" xr:uid="{00000000-0005-0000-0000-00006A010000}"/>
    <cellStyle name="Normal 2 3 3 3 3" xfId="149" xr:uid="{00000000-0005-0000-0000-00006B010000}"/>
    <cellStyle name="Normal 2 3 3 4" xfId="117" xr:uid="{00000000-0005-0000-0000-00006C010000}"/>
    <cellStyle name="Normal 2 3 3 4 2" xfId="165" xr:uid="{00000000-0005-0000-0000-00006D010000}"/>
    <cellStyle name="Normal 2 3 3 5" xfId="141" xr:uid="{00000000-0005-0000-0000-00006E010000}"/>
    <cellStyle name="Normal 2 3 4" xfId="103" xr:uid="{00000000-0005-0000-0000-00006F010000}"/>
    <cellStyle name="Normal 2 3 4 2" xfId="110" xr:uid="{00000000-0005-0000-0000-000070010000}"/>
    <cellStyle name="Normal 2 3 4 2 2" xfId="134" xr:uid="{00000000-0005-0000-0000-000071010000}"/>
    <cellStyle name="Normal 2 3 4 2 2 2" xfId="182" xr:uid="{00000000-0005-0000-0000-000072010000}"/>
    <cellStyle name="Normal 2 3 4 2 3" xfId="158" xr:uid="{00000000-0005-0000-0000-000073010000}"/>
    <cellStyle name="Normal 2 3 4 3" xfId="127" xr:uid="{00000000-0005-0000-0000-000074010000}"/>
    <cellStyle name="Normal 2 3 4 3 2" xfId="175" xr:uid="{00000000-0005-0000-0000-000075010000}"/>
    <cellStyle name="Normal 2 3 4 4" xfId="151" xr:uid="{00000000-0005-0000-0000-000076010000}"/>
    <cellStyle name="Normal 2 3 5" xfId="97" xr:uid="{00000000-0005-0000-0000-000077010000}"/>
    <cellStyle name="Normal 2 3 5 2" xfId="121" xr:uid="{00000000-0005-0000-0000-000078010000}"/>
    <cellStyle name="Normal 2 3 5 2 2" xfId="169" xr:uid="{00000000-0005-0000-0000-000079010000}"/>
    <cellStyle name="Normal 2 3 5 3" xfId="145" xr:uid="{00000000-0005-0000-0000-00007A010000}"/>
    <cellStyle name="Normal 2 3 6" xfId="115" xr:uid="{00000000-0005-0000-0000-00007B010000}"/>
    <cellStyle name="Normal 2 3 6 2" xfId="163" xr:uid="{00000000-0005-0000-0000-00007C010000}"/>
    <cellStyle name="Normal 2 3 7" xfId="139" xr:uid="{00000000-0005-0000-0000-00007D010000}"/>
    <cellStyle name="Normal 2 4" xfId="20" xr:uid="{00000000-0005-0000-0000-00007E010000}"/>
    <cellStyle name="Normal 2 4 2" xfId="104" xr:uid="{00000000-0005-0000-0000-00007F010000}"/>
    <cellStyle name="Normal 2 4 2 2" xfId="111" xr:uid="{00000000-0005-0000-0000-000080010000}"/>
    <cellStyle name="Normal 2 4 2 2 2" xfId="135" xr:uid="{00000000-0005-0000-0000-000081010000}"/>
    <cellStyle name="Normal 2 4 2 2 2 2" xfId="183" xr:uid="{00000000-0005-0000-0000-000082010000}"/>
    <cellStyle name="Normal 2 4 2 2 3" xfId="159" xr:uid="{00000000-0005-0000-0000-000083010000}"/>
    <cellStyle name="Normal 2 4 2 3" xfId="128" xr:uid="{00000000-0005-0000-0000-000084010000}"/>
    <cellStyle name="Normal 2 4 2 3 2" xfId="176" xr:uid="{00000000-0005-0000-0000-000085010000}"/>
    <cellStyle name="Normal 2 4 2 4" xfId="152" xr:uid="{00000000-0005-0000-0000-000086010000}"/>
    <cellStyle name="Normal 2 4 3" xfId="98" xr:uid="{00000000-0005-0000-0000-000087010000}"/>
    <cellStyle name="Normal 2 4 3 2" xfId="122" xr:uid="{00000000-0005-0000-0000-000088010000}"/>
    <cellStyle name="Normal 2 4 3 2 2" xfId="170" xr:uid="{00000000-0005-0000-0000-000089010000}"/>
    <cellStyle name="Normal 2 4 3 3" xfId="146" xr:uid="{00000000-0005-0000-0000-00008A010000}"/>
    <cellStyle name="Normal 2 4 4" xfId="118" xr:uid="{00000000-0005-0000-0000-00008B010000}"/>
    <cellStyle name="Normal 2 4 4 2" xfId="166" xr:uid="{00000000-0005-0000-0000-00008C010000}"/>
    <cellStyle name="Normal 2 4 5" xfId="142" xr:uid="{00000000-0005-0000-0000-00008D010000}"/>
    <cellStyle name="Normal 2 5" xfId="21" xr:uid="{00000000-0005-0000-0000-00008E010000}"/>
    <cellStyle name="Normal 2 5 2" xfId="106" xr:uid="{00000000-0005-0000-0000-00008F010000}"/>
    <cellStyle name="Normal 2 5 2 2" xfId="112" xr:uid="{00000000-0005-0000-0000-000090010000}"/>
    <cellStyle name="Normal 2 5 2 2 2" xfId="136" xr:uid="{00000000-0005-0000-0000-000091010000}"/>
    <cellStyle name="Normal 2 5 2 2 2 2" xfId="184" xr:uid="{00000000-0005-0000-0000-000092010000}"/>
    <cellStyle name="Normal 2 5 2 2 3" xfId="160" xr:uid="{00000000-0005-0000-0000-000093010000}"/>
    <cellStyle name="Normal 2 5 2 3" xfId="130" xr:uid="{00000000-0005-0000-0000-000094010000}"/>
    <cellStyle name="Normal 2 5 2 3 2" xfId="178" xr:uid="{00000000-0005-0000-0000-000095010000}"/>
    <cellStyle name="Normal 2 5 2 4" xfId="154" xr:uid="{00000000-0005-0000-0000-000096010000}"/>
    <cellStyle name="Normal 2 5 3" xfId="100" xr:uid="{00000000-0005-0000-0000-000097010000}"/>
    <cellStyle name="Normal 2 5 3 2" xfId="124" xr:uid="{00000000-0005-0000-0000-000098010000}"/>
    <cellStyle name="Normal 2 5 3 2 2" xfId="172" xr:uid="{00000000-0005-0000-0000-000099010000}"/>
    <cellStyle name="Normal 2 5 3 3" xfId="148" xr:uid="{00000000-0005-0000-0000-00009A010000}"/>
    <cellStyle name="Normal 2 5 4" xfId="119" xr:uid="{00000000-0005-0000-0000-00009B010000}"/>
    <cellStyle name="Normal 2 5 4 2" xfId="167" xr:uid="{00000000-0005-0000-0000-00009C010000}"/>
    <cellStyle name="Normal 2 5 5" xfId="143" xr:uid="{00000000-0005-0000-0000-00009D010000}"/>
    <cellStyle name="Normal 2 6" xfId="83" xr:uid="{00000000-0005-0000-0000-00009E010000}"/>
    <cellStyle name="Normal 2 7" xfId="102" xr:uid="{00000000-0005-0000-0000-00009F010000}"/>
    <cellStyle name="Normal 2 7 2" xfId="113" xr:uid="{00000000-0005-0000-0000-0000A0010000}"/>
    <cellStyle name="Normal 2 7 2 2" xfId="137" xr:uid="{00000000-0005-0000-0000-0000A1010000}"/>
    <cellStyle name="Normal 2 7 2 2 2" xfId="185" xr:uid="{00000000-0005-0000-0000-0000A2010000}"/>
    <cellStyle name="Normal 2 7 2 3" xfId="161" xr:uid="{00000000-0005-0000-0000-0000A3010000}"/>
    <cellStyle name="Normal 2 7 3" xfId="126" xr:uid="{00000000-0005-0000-0000-0000A4010000}"/>
    <cellStyle name="Normal 2 7 3 2" xfId="174" xr:uid="{00000000-0005-0000-0000-0000A5010000}"/>
    <cellStyle name="Normal 2 7 4" xfId="150" xr:uid="{00000000-0005-0000-0000-0000A6010000}"/>
    <cellStyle name="Normal 2 8" xfId="96" xr:uid="{00000000-0005-0000-0000-0000A7010000}"/>
    <cellStyle name="Normal 2 8 2" xfId="120" xr:uid="{00000000-0005-0000-0000-0000A8010000}"/>
    <cellStyle name="Normal 2 8 2 2" xfId="168" xr:uid="{00000000-0005-0000-0000-0000A9010000}"/>
    <cellStyle name="Normal 2 8 3" xfId="144" xr:uid="{00000000-0005-0000-0000-0000AA010000}"/>
    <cellStyle name="Normal 2 9" xfId="114" xr:uid="{00000000-0005-0000-0000-0000AB010000}"/>
    <cellStyle name="Normal 2 9 2" xfId="162" xr:uid="{00000000-0005-0000-0000-0000AC010000}"/>
    <cellStyle name="Normal 3" xfId="6" xr:uid="{00000000-0005-0000-0000-0000AD010000}"/>
    <cellStyle name="Normal 4" xfId="39" xr:uid="{00000000-0005-0000-0000-0000AE010000}"/>
    <cellStyle name="Normal 5" xfId="190" xr:uid="{00000000-0005-0000-0000-0000AF010000}"/>
    <cellStyle name="Normal 6" xfId="508" xr:uid="{00000000-0005-0000-0000-0000B0010000}"/>
    <cellStyle name="Normal 7" xfId="509" xr:uid="{00000000-0005-0000-0000-0000B1010000}"/>
    <cellStyle name="Normal Cells" xfId="455" xr:uid="{00000000-0005-0000-0000-0000B2010000}"/>
    <cellStyle name="Normal_BOBEARN" xfId="504" xr:uid="{00000000-0005-0000-0000-0000B3010000}"/>
    <cellStyle name="Normal_GSANZMigration" xfId="5" xr:uid="{00000000-0005-0000-0000-0000B4010000}"/>
    <cellStyle name="Normal_Hdbknew" xfId="503" xr:uid="{00000000-0005-0000-0000-0000B5010000}"/>
    <cellStyle name="Normal_Sector_Summary_Pack_Eur" xfId="510" xr:uid="{00000000-0005-0000-0000-0000B6010000}"/>
    <cellStyle name="Note 2" xfId="78" xr:uid="{00000000-0005-0000-0000-0000B7010000}"/>
    <cellStyle name="Number" xfId="22" xr:uid="{00000000-0005-0000-0000-0000B8010000}"/>
    <cellStyle name="Numbers" xfId="456" xr:uid="{00000000-0005-0000-0000-0000B9010000}"/>
    <cellStyle name="Numbers - Bold" xfId="457" xr:uid="{00000000-0005-0000-0000-0000BA010000}"/>
    <cellStyle name="Numbers - Bold - Italic" xfId="458" xr:uid="{00000000-0005-0000-0000-0000BB010000}"/>
    <cellStyle name="Numbers - Bold_Blend" xfId="459" xr:uid="{00000000-0005-0000-0000-0000BC010000}"/>
    <cellStyle name="Numbers - Large" xfId="460" xr:uid="{00000000-0005-0000-0000-0000BD010000}"/>
    <cellStyle name="Numbers_Comps" xfId="461" xr:uid="{00000000-0005-0000-0000-0000BE010000}"/>
    <cellStyle name="OSW_ColumnLabels" xfId="462" xr:uid="{00000000-0005-0000-0000-0000BF010000}"/>
    <cellStyle name="Output" xfId="189" builtinId="21"/>
    <cellStyle name="Output 2" xfId="79" xr:uid="{00000000-0005-0000-0000-0000C1010000}"/>
    <cellStyle name="Page" xfId="463" xr:uid="{00000000-0005-0000-0000-0000C2010000}"/>
    <cellStyle name="Page header" xfId="464" xr:uid="{00000000-0005-0000-0000-0000C3010000}"/>
    <cellStyle name="Percent" xfId="3" builtinId="5"/>
    <cellStyle name="Percent 2" xfId="7" xr:uid="{00000000-0005-0000-0000-0000C5010000}"/>
    <cellStyle name="Percent 3" xfId="23" xr:uid="{00000000-0005-0000-0000-0000C6010000}"/>
    <cellStyle name="Percent 4" xfId="80" xr:uid="{00000000-0005-0000-0000-0000C7010000}"/>
    <cellStyle name="Percent 5" xfId="507" xr:uid="{00000000-0005-0000-0000-0000C8010000}"/>
    <cellStyle name="Percentage" xfId="465" xr:uid="{00000000-0005-0000-0000-0000C9010000}"/>
    <cellStyle name="PlainDollar" xfId="24" xr:uid="{00000000-0005-0000-0000-0000CA010000}"/>
    <cellStyle name="Price" xfId="466" xr:uid="{00000000-0005-0000-0000-0000CB010000}"/>
    <cellStyle name="prot" xfId="467" xr:uid="{00000000-0005-0000-0000-0000CC010000}"/>
    <cellStyle name="Punto" xfId="468" xr:uid="{00000000-0005-0000-0000-0000CD010000}"/>
    <cellStyle name="r" xfId="469" xr:uid="{00000000-0005-0000-0000-0000CE010000}"/>
    <cellStyle name="Reuters Cells" xfId="470" xr:uid="{00000000-0005-0000-0000-0000CF010000}"/>
    <cellStyle name="s" xfId="471" xr:uid="{00000000-0005-0000-0000-0000D0010000}"/>
    <cellStyle name="ShadedCells_Database" xfId="472" xr:uid="{00000000-0005-0000-0000-0000D1010000}"/>
    <cellStyle name="Sheet Title" xfId="473" xr:uid="{00000000-0005-0000-0000-0000D2010000}"/>
    <cellStyle name="ShOut" xfId="474" xr:uid="{00000000-0005-0000-0000-0000D3010000}"/>
    <cellStyle name="SSComma0" xfId="25" xr:uid="{00000000-0005-0000-0000-0000D4010000}"/>
    <cellStyle name="SSComma0 2" xfId="26" xr:uid="{00000000-0005-0000-0000-0000D5010000}"/>
    <cellStyle name="SSComma2" xfId="27" xr:uid="{00000000-0005-0000-0000-0000D6010000}"/>
    <cellStyle name="SSComma2 2" xfId="28" xr:uid="{00000000-0005-0000-0000-0000D7010000}"/>
    <cellStyle name="SSDecs3" xfId="29" xr:uid="{00000000-0005-0000-0000-0000D8010000}"/>
    <cellStyle name="SSDflt" xfId="30" xr:uid="{00000000-0005-0000-0000-0000D9010000}"/>
    <cellStyle name="SSDfltPct" xfId="31" xr:uid="{00000000-0005-0000-0000-0000DA010000}"/>
    <cellStyle name="SSDfltPct 2" xfId="32" xr:uid="{00000000-0005-0000-0000-0000DB010000}"/>
    <cellStyle name="SSDfltPct0" xfId="33" xr:uid="{00000000-0005-0000-0000-0000DC010000}"/>
    <cellStyle name="SSDfltPct0 2" xfId="34" xr:uid="{00000000-0005-0000-0000-0000DD010000}"/>
    <cellStyle name="SSFixed2" xfId="35" xr:uid="{00000000-0005-0000-0000-0000DE010000}"/>
    <cellStyle name="SSFixed2 2" xfId="36" xr:uid="{00000000-0005-0000-0000-0000DF010000}"/>
    <cellStyle name="Style 1" xfId="475" xr:uid="{00000000-0005-0000-0000-0000E0010000}"/>
    <cellStyle name="Style 2" xfId="476" xr:uid="{00000000-0005-0000-0000-0000E1010000}"/>
    <cellStyle name="Style 3" xfId="477" xr:uid="{00000000-0005-0000-0000-0000E2010000}"/>
    <cellStyle name="Style D green" xfId="478" xr:uid="{00000000-0005-0000-0000-0000E3010000}"/>
    <cellStyle name="Style E" xfId="479" xr:uid="{00000000-0005-0000-0000-0000E4010000}"/>
    <cellStyle name="Style H" xfId="480" xr:uid="{00000000-0005-0000-0000-0000E5010000}"/>
    <cellStyle name="Sub total" xfId="481" xr:uid="{00000000-0005-0000-0000-0000E6010000}"/>
    <cellStyle name="Sum" xfId="482" xr:uid="{00000000-0005-0000-0000-0000E7010000}"/>
    <cellStyle name="Swiss" xfId="483" xr:uid="{00000000-0005-0000-0000-0000E8010000}"/>
    <cellStyle name="t" xfId="484" xr:uid="{00000000-0005-0000-0000-0000E9010000}"/>
    <cellStyle name="Table end" xfId="485" xr:uid="{00000000-0005-0000-0000-0000EA010000}"/>
    <cellStyle name="Table head" xfId="486" xr:uid="{00000000-0005-0000-0000-0000EB010000}"/>
    <cellStyle name="table text bold" xfId="487" xr:uid="{00000000-0005-0000-0000-0000EC010000}"/>
    <cellStyle name="table text bold green" xfId="488" xr:uid="{00000000-0005-0000-0000-0000ED010000}"/>
    <cellStyle name="table text light" xfId="489" xr:uid="{00000000-0005-0000-0000-0000EE010000}"/>
    <cellStyle name="Table Title" xfId="490" xr:uid="{00000000-0005-0000-0000-0000EF010000}"/>
    <cellStyle name="Table Units" xfId="491" xr:uid="{00000000-0005-0000-0000-0000F0010000}"/>
    <cellStyle name="Time" xfId="492" xr:uid="{00000000-0005-0000-0000-0000F1010000}"/>
    <cellStyle name="Title - PROJECT" xfId="493" xr:uid="{00000000-0005-0000-0000-0000F2010000}"/>
    <cellStyle name="Title - Underline" xfId="494" xr:uid="{00000000-0005-0000-0000-0000F3010000}"/>
    <cellStyle name="Title 2" xfId="81" xr:uid="{00000000-0005-0000-0000-0000F4010000}"/>
    <cellStyle name="Title1" xfId="495" xr:uid="{00000000-0005-0000-0000-0000F5010000}"/>
    <cellStyle name="Title2" xfId="496" xr:uid="{00000000-0005-0000-0000-0000F6010000}"/>
    <cellStyle name="Titles - Col. Headings" xfId="497" xr:uid="{00000000-0005-0000-0000-0000F7010000}"/>
    <cellStyle name="Titles - Other" xfId="498" xr:uid="{00000000-0005-0000-0000-0000F8010000}"/>
    <cellStyle name="Total 2" xfId="37" xr:uid="{00000000-0005-0000-0000-0000F9010000}"/>
    <cellStyle name="UnderLine" xfId="38" xr:uid="{00000000-0005-0000-0000-0000FA010000}"/>
    <cellStyle name="unm" xfId="499" xr:uid="{00000000-0005-0000-0000-0000FB010000}"/>
    <cellStyle name="Warning Text 2" xfId="82" xr:uid="{00000000-0005-0000-0000-0000FC010000}"/>
    <cellStyle name="Year" xfId="500" xr:uid="{00000000-0005-0000-0000-0000FD010000}"/>
    <cellStyle name="Years" xfId="501" xr:uid="{00000000-0005-0000-0000-0000FE010000}"/>
  </cellStyles>
  <dxfs count="1">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5E76AA"/>
      <rgbColor rgb="00CFD6E6"/>
      <rgbColor rgb="009EADCC"/>
      <rgbColor rgb="00EFF1F6"/>
      <rgbColor rgb="00BFC8DD"/>
      <rgbColor rgb="008E9FC4"/>
      <rgbColor rgb="00DFE4EE"/>
      <rgbColor rgb="00AEBAD5"/>
      <rgbColor rgb="00000000"/>
      <rgbColor rgb="00AAAAAA"/>
      <rgbColor rgb="00444444"/>
      <rgbColor rgb="00CCCCCC"/>
      <rgbColor rgb="00888888"/>
      <rgbColor rgb="00666666"/>
      <rgbColor rgb="00EEEEEE"/>
      <rgbColor rgb="00222222"/>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355F"/>
      <color rgb="FFFFCCCC"/>
      <color rgb="FF5E76A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querytool.functions">
      <tp t="e">
        <v>#N/A</v>
        <stp/>
        <stp>Price</stp>
        <stp>316d0193-470b-4aeb-99ac-025a9e28f7ac</stp>
        <stp>ANZ.AX</stp>
        <stp/>
        <stp/>
        <stp>DEFAULT</stp>
        <stp>FALSE</stp>
        <stp>LIVE</stp>
        <tr r="M4" s="2"/>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volatileDependencies" Target="volatileDependencies.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19050</xdr:colOff>
      <xdr:row>1</xdr:row>
      <xdr:rowOff>0</xdr:rowOff>
    </xdr:from>
    <xdr:to>
      <xdr:col>1</xdr:col>
      <xdr:colOff>1924050</xdr:colOff>
      <xdr:row>3</xdr:row>
      <xdr:rowOff>0</xdr:rowOff>
    </xdr:to>
    <xdr:pic>
      <xdr:nvPicPr>
        <xdr:cNvPr id="2" name="Picture 1" descr="Goldman Sachs Research">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57150"/>
          <a:ext cx="19050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10</xdr:col>
      <xdr:colOff>114300</xdr:colOff>
      <xdr:row>5</xdr:row>
      <xdr:rowOff>38100</xdr:rowOff>
    </xdr:to>
    <xdr:pic>
      <xdr:nvPicPr>
        <xdr:cNvPr id="2288" name="Picture 1">
          <a:extLst>
            <a:ext uri="{FF2B5EF4-FFF2-40B4-BE49-F238E27FC236}">
              <a16:creationId xmlns:a16="http://schemas.microsoft.com/office/drawing/2014/main" id="{00000000-0008-0000-0A00-0000F0080000}"/>
            </a:ext>
          </a:extLst>
        </xdr:cNvPr>
        <xdr:cNvPicPr>
          <a:picLocks noChangeAspect="1"/>
        </xdr:cNvPicPr>
      </xdr:nvPicPr>
      <xdr:blipFill>
        <a:blip xmlns:r="http://schemas.openxmlformats.org/officeDocument/2006/relationships" r:embed="rId1" cstate="print"/>
        <a:srcRect/>
        <a:stretch>
          <a:fillRect/>
        </a:stretch>
      </xdr:blipFill>
      <xdr:spPr bwMode="auto">
        <a:xfrm>
          <a:off x="7305675" y="152400"/>
          <a:ext cx="1752600" cy="647700"/>
        </a:xfrm>
        <a:prstGeom prst="rect">
          <a:avLst/>
        </a:prstGeom>
        <a:noFill/>
        <a:ln w="9525">
          <a:noFill/>
          <a:miter lim="800000"/>
          <a:headEnd/>
          <a:tailEnd/>
        </a:ln>
      </xdr:spPr>
    </xdr:pic>
    <xdr:clientData/>
  </xdr:twoCellAnchor>
  <xdr:twoCellAnchor>
    <xdr:from>
      <xdr:col>8</xdr:col>
      <xdr:colOff>0</xdr:colOff>
      <xdr:row>5</xdr:row>
      <xdr:rowOff>149225</xdr:rowOff>
    </xdr:from>
    <xdr:to>
      <xdr:col>10</xdr:col>
      <xdr:colOff>0</xdr:colOff>
      <xdr:row>9</xdr:row>
      <xdr:rowOff>149225</xdr:rowOff>
    </xdr:to>
    <xdr:sp macro="[0]!Update" textlink="">
      <xdr:nvSpPr>
        <xdr:cNvPr id="4" name="Rectangle 3">
          <a:extLst>
            <a:ext uri="{FF2B5EF4-FFF2-40B4-BE49-F238E27FC236}">
              <a16:creationId xmlns:a16="http://schemas.microsoft.com/office/drawing/2014/main" id="{00000000-0008-0000-0A00-000004000000}"/>
            </a:ext>
          </a:extLst>
        </xdr:cNvPr>
        <xdr:cNvSpPr/>
      </xdr:nvSpPr>
      <xdr:spPr>
        <a:xfrm>
          <a:off x="8509000" y="901700"/>
          <a:ext cx="1905000" cy="609600"/>
        </a:xfrm>
        <a:prstGeom prst="rect">
          <a:avLst/>
        </a:prstGeom>
        <a:solidFill>
          <a:srgbClr val="5E76AA"/>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rtl="0">
            <a:defRPr sz="1000"/>
          </a:pPr>
          <a:r>
            <a:rPr lang="en-US" sz="1200" b="0" i="0" u="none" strike="noStrike" baseline="0">
              <a:solidFill>
                <a:srgbClr val="FFFFFF"/>
              </a:solidFill>
              <a:latin typeface="Arial Bold"/>
              <a:cs typeface="Arial Bold"/>
            </a:rPr>
            <a:t>Push button before updating model</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firmwide.corp.gs.com\root\Projects\Research\au\Financials\BANKS\Macro\GS_Forecast%20summary.xlsx" TargetMode="External"/><Relationship Id="rId1" Type="http://schemas.openxmlformats.org/officeDocument/2006/relationships/externalLinkPath" Target="/Projects/Research/au/Financials/BANKS/Macro/GS_Forecast%20summar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Program%20Files\IRESS%20Market%20Technology\Iress\ExcelAddins\ddeiress.xla" TargetMode="External"/><Relationship Id="rId1" Type="http://schemas.openxmlformats.org/officeDocument/2006/relationships/externalLinkPath" Target="file:///c:\Program%20Files\IRESS%20Market%20Technology\Iress\ExcelAddins\ddeiress.xla"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firmwide.corp.gs.com\root\Projects\Research\au\Financials\BANKS\Models\Forecasting\Bank%20Sector%20Forecasting.xlsx" TargetMode="External"/><Relationship Id="rId1" Type="http://schemas.openxmlformats.org/officeDocument/2006/relationships/externalLinkPath" Target="/Projects/Research/au/Financials/BANKS/Models/Forecasting/Bank%20Sector%20Forecast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 val="Policy-Rate-Forecasts-EOP"/>
      <sheetName val="GS_Forecast summary"/>
    </sheetNames>
    <sheetDataSet>
      <sheetData sheetId="0">
        <row r="2">
          <cell r="A2"/>
          <cell r="B2" t="str">
            <v>Period end</v>
          </cell>
          <cell r="C2" t="str">
            <v>Current</v>
          </cell>
          <cell r="D2">
            <v>33694</v>
          </cell>
          <cell r="E2">
            <v>33785</v>
          </cell>
          <cell r="F2">
            <v>33877</v>
          </cell>
          <cell r="G2">
            <v>33969</v>
          </cell>
          <cell r="H2">
            <v>34059</v>
          </cell>
          <cell r="I2">
            <v>34150</v>
          </cell>
          <cell r="J2">
            <v>34242</v>
          </cell>
          <cell r="K2">
            <v>34334</v>
          </cell>
          <cell r="L2">
            <v>34424</v>
          </cell>
          <cell r="M2">
            <v>34515</v>
          </cell>
          <cell r="N2">
            <v>34607</v>
          </cell>
          <cell r="O2">
            <v>34699</v>
          </cell>
          <cell r="P2">
            <v>34789</v>
          </cell>
          <cell r="Q2">
            <v>34880</v>
          </cell>
          <cell r="R2">
            <v>34972</v>
          </cell>
          <cell r="S2">
            <v>35064</v>
          </cell>
          <cell r="T2">
            <v>35155</v>
          </cell>
          <cell r="U2">
            <v>35246</v>
          </cell>
          <cell r="V2">
            <v>35338</v>
          </cell>
          <cell r="W2">
            <v>35430</v>
          </cell>
          <cell r="X2">
            <v>35520</v>
          </cell>
          <cell r="Y2">
            <v>35611</v>
          </cell>
          <cell r="Z2">
            <v>35703</v>
          </cell>
          <cell r="AA2">
            <v>35795</v>
          </cell>
          <cell r="AB2">
            <v>35885</v>
          </cell>
          <cell r="AC2">
            <v>35976</v>
          </cell>
          <cell r="AD2">
            <v>36068</v>
          </cell>
          <cell r="AE2">
            <v>36160</v>
          </cell>
          <cell r="AF2">
            <v>36250</v>
          </cell>
          <cell r="AG2">
            <v>36341</v>
          </cell>
          <cell r="AH2">
            <v>36433</v>
          </cell>
          <cell r="AI2">
            <v>36525</v>
          </cell>
          <cell r="AJ2">
            <v>36616</v>
          </cell>
          <cell r="AK2">
            <v>36707</v>
          </cell>
          <cell r="AL2">
            <v>36799</v>
          </cell>
          <cell r="AM2">
            <v>36891</v>
          </cell>
          <cell r="AN2">
            <v>36981</v>
          </cell>
          <cell r="AO2">
            <v>37072</v>
          </cell>
          <cell r="AP2">
            <v>37164</v>
          </cell>
          <cell r="AQ2">
            <v>37256</v>
          </cell>
          <cell r="AR2">
            <v>37346</v>
          </cell>
          <cell r="AS2">
            <v>37437</v>
          </cell>
          <cell r="AT2">
            <v>37529</v>
          </cell>
          <cell r="AU2">
            <v>37621</v>
          </cell>
          <cell r="AV2">
            <v>37711</v>
          </cell>
          <cell r="AW2">
            <v>37802</v>
          </cell>
          <cell r="AX2">
            <v>37894</v>
          </cell>
          <cell r="AY2">
            <v>37986</v>
          </cell>
          <cell r="AZ2">
            <v>38077</v>
          </cell>
          <cell r="BA2">
            <v>38168</v>
          </cell>
          <cell r="BB2">
            <v>38260</v>
          </cell>
          <cell r="BC2">
            <v>38352</v>
          </cell>
          <cell r="BD2">
            <v>38442</v>
          </cell>
          <cell r="BE2">
            <v>38533</v>
          </cell>
          <cell r="BF2">
            <v>38625</v>
          </cell>
          <cell r="BG2">
            <v>38717</v>
          </cell>
          <cell r="BH2">
            <v>38807</v>
          </cell>
          <cell r="BI2">
            <v>38898</v>
          </cell>
          <cell r="BJ2">
            <v>38990</v>
          </cell>
          <cell r="BK2">
            <v>39082</v>
          </cell>
          <cell r="BL2">
            <v>39172</v>
          </cell>
          <cell r="BM2">
            <v>39263</v>
          </cell>
          <cell r="BN2">
            <v>39355</v>
          </cell>
          <cell r="BO2">
            <v>39447</v>
          </cell>
          <cell r="BP2">
            <v>39538</v>
          </cell>
          <cell r="BQ2">
            <v>39629</v>
          </cell>
          <cell r="BR2">
            <v>39721</v>
          </cell>
          <cell r="BS2">
            <v>39813</v>
          </cell>
          <cell r="BT2">
            <v>39903</v>
          </cell>
          <cell r="BU2">
            <v>39994</v>
          </cell>
          <cell r="BV2">
            <v>40086</v>
          </cell>
          <cell r="BW2">
            <v>40178</v>
          </cell>
          <cell r="BX2">
            <v>40268</v>
          </cell>
          <cell r="BY2">
            <v>40359</v>
          </cell>
          <cell r="BZ2">
            <v>40451</v>
          </cell>
          <cell r="CA2">
            <v>40543</v>
          </cell>
          <cell r="CB2">
            <v>40633</v>
          </cell>
          <cell r="CC2">
            <v>40724</v>
          </cell>
          <cell r="CD2">
            <v>40816</v>
          </cell>
          <cell r="CE2">
            <v>40908</v>
          </cell>
          <cell r="CF2">
            <v>40999</v>
          </cell>
          <cell r="CG2">
            <v>41090</v>
          </cell>
          <cell r="CH2">
            <v>41182</v>
          </cell>
          <cell r="CI2">
            <v>41274</v>
          </cell>
          <cell r="CJ2">
            <v>41364</v>
          </cell>
          <cell r="CK2">
            <v>41455</v>
          </cell>
          <cell r="CL2">
            <v>41547</v>
          </cell>
          <cell r="CM2">
            <v>41639</v>
          </cell>
          <cell r="CN2">
            <v>41729</v>
          </cell>
          <cell r="CO2">
            <v>41820</v>
          </cell>
          <cell r="CP2">
            <v>41912</v>
          </cell>
          <cell r="CQ2">
            <v>42004</v>
          </cell>
          <cell r="CR2">
            <v>42094</v>
          </cell>
          <cell r="CS2">
            <v>42185</v>
          </cell>
          <cell r="CT2">
            <v>42277</v>
          </cell>
          <cell r="CU2">
            <v>42369</v>
          </cell>
          <cell r="CV2">
            <v>42460</v>
          </cell>
          <cell r="CW2">
            <v>42551</v>
          </cell>
          <cell r="CX2">
            <v>42643</v>
          </cell>
          <cell r="CY2">
            <v>42735</v>
          </cell>
          <cell r="CZ2">
            <v>42825</v>
          </cell>
          <cell r="DA2">
            <v>42916</v>
          </cell>
          <cell r="DB2">
            <v>43008</v>
          </cell>
          <cell r="DC2">
            <v>43100</v>
          </cell>
          <cell r="DD2">
            <v>43190</v>
          </cell>
          <cell r="DE2">
            <v>43281</v>
          </cell>
          <cell r="DF2">
            <v>43373</v>
          </cell>
          <cell r="DG2">
            <v>43465</v>
          </cell>
          <cell r="DH2">
            <v>43555</v>
          </cell>
          <cell r="DI2">
            <v>43646</v>
          </cell>
          <cell r="DJ2">
            <v>43738</v>
          </cell>
          <cell r="DK2">
            <v>43830</v>
          </cell>
          <cell r="DL2">
            <v>43921</v>
          </cell>
          <cell r="DM2">
            <v>44012</v>
          </cell>
          <cell r="DN2">
            <v>44104</v>
          </cell>
          <cell r="DO2">
            <v>44196</v>
          </cell>
          <cell r="DP2">
            <v>44286</v>
          </cell>
          <cell r="DQ2">
            <v>44377</v>
          </cell>
          <cell r="DR2">
            <v>44469</v>
          </cell>
          <cell r="DS2">
            <v>44561</v>
          </cell>
          <cell r="DT2">
            <v>44651</v>
          </cell>
          <cell r="DU2">
            <v>44742</v>
          </cell>
          <cell r="DV2">
            <v>44834</v>
          </cell>
          <cell r="DW2">
            <v>44926</v>
          </cell>
          <cell r="DX2">
            <v>45016</v>
          </cell>
          <cell r="DY2">
            <v>45107</v>
          </cell>
          <cell r="DZ2">
            <v>45199</v>
          </cell>
          <cell r="EA2">
            <v>45291</v>
          </cell>
          <cell r="EB2">
            <v>45382</v>
          </cell>
          <cell r="EC2">
            <v>45473</v>
          </cell>
          <cell r="ED2">
            <v>45565</v>
          </cell>
          <cell r="EE2">
            <v>45657</v>
          </cell>
          <cell r="EF2">
            <v>45747</v>
          </cell>
          <cell r="EG2">
            <v>45838</v>
          </cell>
          <cell r="EH2">
            <v>45930</v>
          </cell>
          <cell r="EI2">
            <v>46022</v>
          </cell>
          <cell r="EJ2">
            <v>46112</v>
          </cell>
          <cell r="EK2">
            <v>46203</v>
          </cell>
          <cell r="EL2">
            <v>46295</v>
          </cell>
          <cell r="EM2">
            <v>46387</v>
          </cell>
          <cell r="EN2">
            <v>46477</v>
          </cell>
          <cell r="EO2">
            <v>46568</v>
          </cell>
          <cell r="EP2">
            <v>46660</v>
          </cell>
          <cell r="EQ2">
            <v>46752</v>
          </cell>
          <cell r="ER2">
            <v>46843</v>
          </cell>
          <cell r="ES2">
            <v>46934</v>
          </cell>
          <cell r="ET2">
            <v>47026</v>
          </cell>
          <cell r="EU2">
            <v>47118</v>
          </cell>
          <cell r="EV2">
            <v>47208</v>
          </cell>
          <cell r="EW2">
            <v>47299</v>
          </cell>
          <cell r="EX2">
            <v>47391</v>
          </cell>
          <cell r="EY2">
            <v>47483</v>
          </cell>
          <cell r="EZ2">
            <v>47573</v>
          </cell>
          <cell r="FA2">
            <v>47664</v>
          </cell>
          <cell r="FB2">
            <v>47756</v>
          </cell>
          <cell r="FC2">
            <v>47848</v>
          </cell>
          <cell r="FD2">
            <v>47938</v>
          </cell>
          <cell r="FE2">
            <v>48029</v>
          </cell>
          <cell r="FF2">
            <v>48121</v>
          </cell>
          <cell r="FG2">
            <v>48213</v>
          </cell>
          <cell r="FH2">
            <v>48304</v>
          </cell>
          <cell r="FI2">
            <v>48395</v>
          </cell>
          <cell r="FJ2">
            <v>48487</v>
          </cell>
          <cell r="FK2">
            <v>48579</v>
          </cell>
          <cell r="FL2">
            <v>48669</v>
          </cell>
          <cell r="FM2">
            <v>48760</v>
          </cell>
          <cell r="FN2">
            <v>48852</v>
          </cell>
          <cell r="FO2">
            <v>48944</v>
          </cell>
          <cell r="FP2">
            <v>49034</v>
          </cell>
          <cell r="FQ2">
            <v>49125</v>
          </cell>
          <cell r="FR2">
            <v>49217</v>
          </cell>
          <cell r="FS2">
            <v>49309</v>
          </cell>
          <cell r="FT2">
            <v>49399</v>
          </cell>
          <cell r="FU2">
            <v>49490</v>
          </cell>
        </row>
        <row r="3">
          <cell r="B3"/>
          <cell r="D3"/>
          <cell r="E3"/>
          <cell r="F3"/>
          <cell r="G3"/>
          <cell r="H3"/>
          <cell r="I3"/>
          <cell r="J3"/>
          <cell r="K3"/>
          <cell r="L3"/>
          <cell r="M3"/>
          <cell r="N3"/>
          <cell r="O3"/>
          <cell r="P3"/>
          <cell r="Q3"/>
          <cell r="R3"/>
          <cell r="S3"/>
          <cell r="T3"/>
          <cell r="U3"/>
          <cell r="V3"/>
          <cell r="W3"/>
          <cell r="X3"/>
          <cell r="Y3"/>
          <cell r="Z3"/>
          <cell r="AA3"/>
          <cell r="AB3"/>
          <cell r="AC3"/>
          <cell r="AD3"/>
          <cell r="AE3"/>
          <cell r="AF3"/>
          <cell r="AG3"/>
          <cell r="AH3"/>
          <cell r="AI3"/>
          <cell r="AJ3"/>
          <cell r="AK3"/>
          <cell r="AL3"/>
          <cell r="AM3"/>
          <cell r="AN3"/>
          <cell r="AO3"/>
          <cell r="AP3"/>
          <cell r="AQ3"/>
          <cell r="AR3"/>
          <cell r="AS3"/>
          <cell r="AT3"/>
          <cell r="AU3"/>
          <cell r="AV3"/>
          <cell r="AW3"/>
          <cell r="AX3"/>
          <cell r="AY3"/>
          <cell r="AZ3"/>
          <cell r="BA3"/>
          <cell r="BB3"/>
          <cell r="BC3"/>
          <cell r="BD3"/>
          <cell r="BE3"/>
          <cell r="BF3"/>
          <cell r="BG3"/>
          <cell r="BH3"/>
          <cell r="BI3"/>
          <cell r="BJ3"/>
          <cell r="BK3"/>
          <cell r="BL3"/>
          <cell r="BM3"/>
          <cell r="BN3"/>
          <cell r="BO3"/>
          <cell r="BP3"/>
          <cell r="BQ3"/>
          <cell r="BR3"/>
          <cell r="BS3"/>
          <cell r="BT3"/>
          <cell r="BU3"/>
          <cell r="BV3"/>
          <cell r="BW3"/>
          <cell r="BX3"/>
          <cell r="BY3"/>
          <cell r="BZ3"/>
          <cell r="CA3"/>
          <cell r="CB3"/>
          <cell r="CC3"/>
          <cell r="CD3"/>
          <cell r="CE3"/>
          <cell r="CF3"/>
          <cell r="CG3"/>
          <cell r="CH3"/>
          <cell r="CI3"/>
          <cell r="CJ3"/>
          <cell r="CK3"/>
          <cell r="CL3"/>
          <cell r="CM3"/>
          <cell r="CN3"/>
          <cell r="CO3"/>
          <cell r="CP3"/>
          <cell r="CQ3"/>
          <cell r="CR3"/>
          <cell r="CS3"/>
          <cell r="CT3"/>
          <cell r="CU3"/>
          <cell r="CV3"/>
          <cell r="CW3"/>
          <cell r="CX3"/>
          <cell r="CY3"/>
          <cell r="CZ3"/>
          <cell r="DA3"/>
          <cell r="DB3"/>
          <cell r="DC3"/>
          <cell r="DD3"/>
          <cell r="DE3"/>
          <cell r="DF3"/>
          <cell r="DG3"/>
          <cell r="DH3"/>
          <cell r="DI3"/>
          <cell r="DJ3"/>
          <cell r="DK3"/>
          <cell r="DL3"/>
          <cell r="DM3"/>
          <cell r="DN3"/>
          <cell r="DO3"/>
          <cell r="DP3"/>
          <cell r="DQ3"/>
          <cell r="DR3"/>
          <cell r="DS3"/>
          <cell r="DT3"/>
          <cell r="DU3"/>
          <cell r="DV3"/>
          <cell r="DW3"/>
          <cell r="DX3"/>
          <cell r="DY3"/>
          <cell r="DZ3"/>
          <cell r="EA3"/>
          <cell r="EB3"/>
          <cell r="EC3"/>
          <cell r="ED3"/>
          <cell r="EE3"/>
          <cell r="EF3"/>
          <cell r="EG3"/>
          <cell r="EH3"/>
          <cell r="EI3"/>
          <cell r="EJ3"/>
          <cell r="EK3"/>
          <cell r="EL3"/>
          <cell r="EM3"/>
          <cell r="EN3"/>
          <cell r="EO3"/>
          <cell r="EP3"/>
          <cell r="EQ3"/>
          <cell r="ER3"/>
          <cell r="ES3"/>
          <cell r="ET3"/>
          <cell r="EU3"/>
          <cell r="EV3"/>
          <cell r="EW3"/>
          <cell r="EX3"/>
          <cell r="EY3"/>
          <cell r="EZ3"/>
          <cell r="FA3"/>
          <cell r="FB3"/>
          <cell r="FC3"/>
          <cell r="FD3"/>
          <cell r="FE3"/>
          <cell r="FF3"/>
          <cell r="FG3"/>
          <cell r="FH3"/>
          <cell r="FI3"/>
          <cell r="FJ3"/>
          <cell r="FK3"/>
          <cell r="FL3"/>
          <cell r="FM3"/>
          <cell r="FN3"/>
          <cell r="FO3"/>
          <cell r="FP3"/>
          <cell r="FQ3"/>
          <cell r="FR3"/>
          <cell r="FS3"/>
          <cell r="FT3"/>
          <cell r="FU3"/>
        </row>
        <row r="4">
          <cell r="A4" t="str">
            <v>VLOOKUP CODING</v>
          </cell>
          <cell r="B4" t="str">
            <v>COLOUR CODING</v>
          </cell>
          <cell r="C4"/>
          <cell r="D4"/>
          <cell r="E4"/>
          <cell r="F4"/>
          <cell r="G4"/>
          <cell r="H4"/>
          <cell r="I4"/>
          <cell r="J4"/>
          <cell r="K4"/>
          <cell r="L4"/>
          <cell r="M4"/>
          <cell r="N4"/>
          <cell r="O4"/>
          <cell r="P4"/>
          <cell r="Q4"/>
          <cell r="R4"/>
          <cell r="S4"/>
          <cell r="T4"/>
          <cell r="U4"/>
          <cell r="V4"/>
          <cell r="W4"/>
          <cell r="X4"/>
          <cell r="Y4"/>
          <cell r="Z4"/>
          <cell r="AA4"/>
          <cell r="AB4"/>
          <cell r="AC4"/>
          <cell r="AD4"/>
          <cell r="AE4"/>
          <cell r="AF4"/>
          <cell r="AG4"/>
          <cell r="AH4"/>
          <cell r="AI4"/>
          <cell r="AJ4"/>
          <cell r="AK4"/>
          <cell r="AL4"/>
          <cell r="AM4"/>
          <cell r="AN4"/>
          <cell r="AO4"/>
          <cell r="AP4"/>
          <cell r="AQ4"/>
          <cell r="AR4"/>
          <cell r="AS4"/>
          <cell r="AT4"/>
          <cell r="AU4"/>
          <cell r="AV4"/>
          <cell r="AW4"/>
          <cell r="AX4"/>
          <cell r="AY4"/>
          <cell r="AZ4"/>
          <cell r="BA4"/>
          <cell r="BB4"/>
          <cell r="BC4"/>
          <cell r="BD4"/>
          <cell r="BE4"/>
          <cell r="BF4"/>
          <cell r="BG4"/>
          <cell r="BH4"/>
          <cell r="BI4"/>
          <cell r="BJ4"/>
          <cell r="BK4"/>
          <cell r="BL4"/>
          <cell r="BM4"/>
          <cell r="BN4"/>
          <cell r="BO4"/>
          <cell r="BP4"/>
          <cell r="BQ4"/>
          <cell r="BR4"/>
          <cell r="BS4"/>
          <cell r="BT4"/>
          <cell r="BU4"/>
          <cell r="BV4"/>
          <cell r="BW4"/>
          <cell r="BX4"/>
          <cell r="BY4"/>
          <cell r="BZ4"/>
          <cell r="CA4"/>
          <cell r="CB4"/>
          <cell r="CC4"/>
          <cell r="CD4"/>
          <cell r="CE4"/>
          <cell r="CF4"/>
          <cell r="CG4"/>
          <cell r="CH4"/>
          <cell r="CI4"/>
          <cell r="CJ4"/>
          <cell r="CK4"/>
          <cell r="CL4"/>
          <cell r="CM4"/>
          <cell r="CN4"/>
          <cell r="CO4"/>
          <cell r="CP4"/>
          <cell r="CQ4"/>
          <cell r="CR4"/>
          <cell r="CS4"/>
          <cell r="CT4"/>
          <cell r="CU4"/>
          <cell r="CV4"/>
          <cell r="CW4"/>
          <cell r="CX4"/>
          <cell r="CY4"/>
          <cell r="CZ4"/>
          <cell r="DA4"/>
          <cell r="DB4"/>
          <cell r="DC4"/>
          <cell r="DD4"/>
          <cell r="DE4"/>
          <cell r="DF4"/>
          <cell r="DG4"/>
          <cell r="DH4"/>
          <cell r="DI4"/>
          <cell r="DJ4"/>
          <cell r="DK4"/>
          <cell r="DL4"/>
          <cell r="DM4"/>
          <cell r="DN4"/>
          <cell r="DO4"/>
          <cell r="DP4"/>
          <cell r="DQ4"/>
          <cell r="DR4"/>
          <cell r="DS4"/>
          <cell r="DT4"/>
          <cell r="DU4"/>
          <cell r="DV4"/>
          <cell r="DW4"/>
          <cell r="DX4"/>
          <cell r="DY4"/>
          <cell r="DZ4"/>
          <cell r="EA4"/>
          <cell r="EB4"/>
          <cell r="EC4"/>
          <cell r="ED4"/>
          <cell r="EE4"/>
          <cell r="EF4"/>
          <cell r="EG4"/>
          <cell r="EH4"/>
          <cell r="EI4"/>
          <cell r="EJ4"/>
          <cell r="EK4"/>
          <cell r="EL4"/>
          <cell r="EM4"/>
          <cell r="EN4"/>
          <cell r="EO4"/>
          <cell r="EP4"/>
          <cell r="EQ4"/>
          <cell r="ER4"/>
          <cell r="ES4"/>
          <cell r="ET4"/>
          <cell r="EU4"/>
          <cell r="EV4"/>
          <cell r="EW4"/>
          <cell r="EX4"/>
          <cell r="EY4"/>
          <cell r="EZ4"/>
          <cell r="FA4"/>
          <cell r="FB4"/>
          <cell r="FC4"/>
          <cell r="FD4"/>
          <cell r="FE4"/>
          <cell r="FF4"/>
          <cell r="FG4"/>
          <cell r="FH4"/>
          <cell r="FI4"/>
          <cell r="FJ4"/>
          <cell r="FK4"/>
          <cell r="FL4"/>
          <cell r="FM4"/>
          <cell r="FN4"/>
          <cell r="FO4"/>
          <cell r="FP4"/>
          <cell r="FQ4"/>
          <cell r="FR4"/>
          <cell r="FS4"/>
          <cell r="FT4"/>
          <cell r="FU4"/>
        </row>
        <row r="5">
          <cell r="B5"/>
          <cell r="D5"/>
          <cell r="E5"/>
          <cell r="F5"/>
          <cell r="G5"/>
          <cell r="H5"/>
          <cell r="I5"/>
          <cell r="J5"/>
          <cell r="K5"/>
          <cell r="L5"/>
          <cell r="M5"/>
          <cell r="N5"/>
          <cell r="O5"/>
          <cell r="P5"/>
          <cell r="Q5"/>
          <cell r="R5"/>
          <cell r="S5"/>
          <cell r="T5"/>
          <cell r="U5"/>
          <cell r="V5"/>
          <cell r="W5"/>
          <cell r="X5"/>
          <cell r="Y5"/>
          <cell r="Z5"/>
          <cell r="AA5"/>
          <cell r="AB5"/>
          <cell r="AC5"/>
          <cell r="AD5"/>
          <cell r="AE5"/>
          <cell r="AF5"/>
          <cell r="AG5"/>
          <cell r="AH5"/>
          <cell r="AI5"/>
          <cell r="AJ5"/>
          <cell r="AK5"/>
          <cell r="AL5"/>
          <cell r="AM5"/>
          <cell r="AN5"/>
          <cell r="AO5"/>
          <cell r="AP5"/>
          <cell r="AQ5"/>
          <cell r="AR5"/>
          <cell r="AS5"/>
          <cell r="AT5"/>
          <cell r="AU5"/>
          <cell r="AV5"/>
          <cell r="AW5"/>
          <cell r="AX5"/>
          <cell r="AY5"/>
          <cell r="AZ5"/>
          <cell r="BA5"/>
          <cell r="BB5"/>
          <cell r="BC5"/>
          <cell r="BD5"/>
          <cell r="BE5"/>
          <cell r="BF5"/>
          <cell r="BG5"/>
          <cell r="BH5"/>
          <cell r="BI5"/>
          <cell r="BJ5"/>
          <cell r="BK5"/>
          <cell r="BL5"/>
          <cell r="BM5"/>
          <cell r="BN5"/>
          <cell r="BO5"/>
          <cell r="BP5"/>
          <cell r="BQ5"/>
          <cell r="BR5"/>
          <cell r="BS5"/>
          <cell r="BT5"/>
          <cell r="BU5"/>
          <cell r="BV5"/>
          <cell r="BW5"/>
          <cell r="BX5"/>
          <cell r="BY5"/>
          <cell r="BZ5"/>
          <cell r="CA5"/>
          <cell r="CB5"/>
          <cell r="CC5"/>
          <cell r="CD5"/>
          <cell r="CE5"/>
          <cell r="CF5"/>
          <cell r="CG5"/>
          <cell r="CH5"/>
          <cell r="CI5"/>
          <cell r="CJ5"/>
          <cell r="CK5"/>
          <cell r="CL5"/>
          <cell r="CM5"/>
          <cell r="CN5"/>
          <cell r="CO5"/>
          <cell r="CP5"/>
          <cell r="CQ5"/>
          <cell r="CR5"/>
          <cell r="CS5"/>
          <cell r="CT5"/>
          <cell r="CU5"/>
          <cell r="CV5"/>
          <cell r="CW5"/>
          <cell r="CX5"/>
          <cell r="CY5"/>
          <cell r="CZ5"/>
          <cell r="DA5"/>
          <cell r="DB5"/>
          <cell r="DC5"/>
          <cell r="DD5"/>
          <cell r="DE5"/>
          <cell r="DF5"/>
          <cell r="DG5"/>
          <cell r="DH5"/>
          <cell r="DI5"/>
          <cell r="DJ5"/>
          <cell r="DK5"/>
          <cell r="DL5"/>
          <cell r="DM5"/>
          <cell r="DN5"/>
          <cell r="DO5"/>
          <cell r="DP5"/>
          <cell r="DQ5"/>
          <cell r="DR5"/>
          <cell r="DS5"/>
          <cell r="DT5"/>
          <cell r="DU5"/>
          <cell r="DV5"/>
          <cell r="DW5"/>
          <cell r="DX5"/>
          <cell r="DY5"/>
          <cell r="DZ5"/>
          <cell r="EA5"/>
          <cell r="EB5"/>
          <cell r="EC5"/>
          <cell r="ED5"/>
          <cell r="EE5"/>
          <cell r="EF5"/>
          <cell r="EG5"/>
          <cell r="EH5"/>
          <cell r="EI5"/>
          <cell r="EJ5"/>
          <cell r="EK5"/>
          <cell r="EL5"/>
          <cell r="EM5"/>
          <cell r="EN5"/>
          <cell r="EO5"/>
          <cell r="EP5"/>
          <cell r="EQ5"/>
          <cell r="ER5"/>
          <cell r="ES5"/>
          <cell r="ET5"/>
          <cell r="EU5"/>
          <cell r="EV5"/>
          <cell r="EW5"/>
          <cell r="EX5"/>
          <cell r="EY5"/>
          <cell r="EZ5"/>
          <cell r="FA5"/>
          <cell r="FB5"/>
          <cell r="FC5"/>
          <cell r="FD5"/>
          <cell r="FE5"/>
          <cell r="FF5"/>
          <cell r="FG5"/>
          <cell r="FH5"/>
          <cell r="FI5"/>
          <cell r="FJ5"/>
          <cell r="FK5"/>
          <cell r="FL5"/>
          <cell r="FM5"/>
          <cell r="FN5"/>
          <cell r="FO5"/>
          <cell r="FP5"/>
          <cell r="FQ5"/>
          <cell r="FR5"/>
          <cell r="FS5"/>
          <cell r="FT5"/>
          <cell r="FU5"/>
        </row>
        <row r="6">
          <cell r="B6" t="str">
            <v>Calculations</v>
          </cell>
          <cell r="D6"/>
          <cell r="E6"/>
          <cell r="F6"/>
          <cell r="G6"/>
          <cell r="H6"/>
          <cell r="I6"/>
          <cell r="J6"/>
          <cell r="K6"/>
          <cell r="L6"/>
          <cell r="M6"/>
          <cell r="N6"/>
          <cell r="O6"/>
          <cell r="P6"/>
          <cell r="Q6"/>
          <cell r="R6"/>
          <cell r="S6"/>
          <cell r="T6"/>
          <cell r="U6"/>
          <cell r="V6"/>
          <cell r="W6"/>
          <cell r="X6"/>
          <cell r="Y6"/>
          <cell r="Z6"/>
          <cell r="AA6"/>
          <cell r="AB6"/>
          <cell r="AC6"/>
          <cell r="AD6"/>
          <cell r="AE6"/>
          <cell r="AF6"/>
          <cell r="AG6"/>
          <cell r="AH6"/>
          <cell r="AI6"/>
          <cell r="AJ6"/>
          <cell r="AK6"/>
          <cell r="AL6"/>
          <cell r="AM6"/>
          <cell r="AN6"/>
          <cell r="AO6"/>
          <cell r="AP6"/>
          <cell r="AQ6"/>
          <cell r="AR6"/>
          <cell r="AS6"/>
          <cell r="AT6"/>
          <cell r="AU6"/>
          <cell r="AV6"/>
          <cell r="AW6"/>
          <cell r="AX6"/>
          <cell r="AY6"/>
          <cell r="AZ6"/>
          <cell r="BA6"/>
          <cell r="BB6"/>
          <cell r="BC6"/>
          <cell r="BD6"/>
          <cell r="BE6"/>
          <cell r="BF6"/>
          <cell r="BG6"/>
          <cell r="BH6"/>
          <cell r="BI6"/>
          <cell r="BJ6"/>
          <cell r="BK6"/>
          <cell r="BL6"/>
          <cell r="BM6"/>
          <cell r="BN6"/>
          <cell r="BO6"/>
          <cell r="BP6"/>
          <cell r="BQ6"/>
          <cell r="BR6"/>
          <cell r="BS6"/>
          <cell r="BT6"/>
          <cell r="BU6"/>
          <cell r="BV6"/>
          <cell r="BW6"/>
          <cell r="BX6"/>
          <cell r="BY6"/>
          <cell r="BZ6"/>
          <cell r="CA6"/>
          <cell r="CB6"/>
          <cell r="CC6"/>
          <cell r="CD6"/>
          <cell r="CE6"/>
          <cell r="CF6"/>
          <cell r="CG6"/>
          <cell r="CH6"/>
          <cell r="CI6"/>
          <cell r="CJ6"/>
          <cell r="CK6"/>
          <cell r="CL6"/>
          <cell r="CM6"/>
          <cell r="CN6"/>
          <cell r="CO6"/>
          <cell r="CP6"/>
          <cell r="CQ6"/>
          <cell r="CR6"/>
          <cell r="CS6"/>
          <cell r="CT6"/>
          <cell r="CU6"/>
          <cell r="CV6"/>
          <cell r="CW6"/>
          <cell r="CX6"/>
          <cell r="CY6"/>
          <cell r="CZ6"/>
          <cell r="DA6"/>
          <cell r="DB6"/>
          <cell r="DC6"/>
          <cell r="DD6"/>
          <cell r="DE6"/>
          <cell r="DF6"/>
          <cell r="DG6"/>
          <cell r="DH6"/>
          <cell r="DI6"/>
          <cell r="DJ6"/>
          <cell r="DK6"/>
          <cell r="DL6"/>
          <cell r="DM6"/>
          <cell r="DN6"/>
          <cell r="DO6"/>
          <cell r="DP6"/>
          <cell r="DQ6"/>
          <cell r="DR6"/>
          <cell r="DS6"/>
          <cell r="DT6"/>
          <cell r="DU6"/>
          <cell r="DV6"/>
          <cell r="DW6"/>
          <cell r="DX6"/>
          <cell r="DY6"/>
          <cell r="DZ6"/>
          <cell r="EA6"/>
          <cell r="EB6"/>
          <cell r="EC6"/>
          <cell r="ED6"/>
          <cell r="EE6"/>
          <cell r="EF6"/>
          <cell r="EG6"/>
          <cell r="EH6"/>
          <cell r="EI6"/>
          <cell r="EJ6"/>
          <cell r="EK6"/>
          <cell r="EL6"/>
          <cell r="EM6"/>
          <cell r="EN6"/>
          <cell r="EO6"/>
          <cell r="EP6"/>
          <cell r="EQ6"/>
          <cell r="ER6"/>
          <cell r="ES6"/>
          <cell r="ET6"/>
          <cell r="EU6"/>
          <cell r="EV6"/>
          <cell r="EW6"/>
          <cell r="EX6"/>
          <cell r="EY6"/>
          <cell r="EZ6"/>
          <cell r="FA6"/>
          <cell r="FB6"/>
          <cell r="FC6"/>
          <cell r="FD6"/>
          <cell r="FE6"/>
          <cell r="FF6"/>
          <cell r="FG6"/>
          <cell r="FH6"/>
          <cell r="FI6"/>
          <cell r="FJ6"/>
          <cell r="FK6"/>
          <cell r="FL6"/>
          <cell r="FM6"/>
          <cell r="FN6"/>
          <cell r="FO6"/>
          <cell r="FP6"/>
          <cell r="FQ6"/>
          <cell r="FR6"/>
          <cell r="FS6"/>
          <cell r="FT6"/>
          <cell r="FU6"/>
        </row>
        <row r="7">
          <cell r="B7" t="str">
            <v>Actuals</v>
          </cell>
          <cell r="D7"/>
          <cell r="E7"/>
          <cell r="F7"/>
          <cell r="G7"/>
          <cell r="H7"/>
          <cell r="I7"/>
          <cell r="J7"/>
          <cell r="K7"/>
          <cell r="L7"/>
          <cell r="M7"/>
          <cell r="N7"/>
          <cell r="O7"/>
          <cell r="P7"/>
          <cell r="Q7"/>
          <cell r="R7"/>
          <cell r="S7"/>
          <cell r="T7"/>
          <cell r="U7"/>
          <cell r="V7"/>
          <cell r="W7"/>
          <cell r="X7"/>
          <cell r="Y7"/>
          <cell r="Z7"/>
          <cell r="AA7"/>
          <cell r="AB7"/>
          <cell r="AC7"/>
          <cell r="AD7"/>
          <cell r="AE7"/>
          <cell r="AF7"/>
          <cell r="AG7"/>
          <cell r="AH7"/>
          <cell r="AI7"/>
          <cell r="AJ7"/>
          <cell r="AK7"/>
          <cell r="AL7"/>
          <cell r="AM7"/>
          <cell r="AN7"/>
          <cell r="AO7"/>
          <cell r="AP7"/>
          <cell r="AQ7"/>
          <cell r="AR7"/>
          <cell r="AS7"/>
          <cell r="AT7"/>
          <cell r="AU7"/>
          <cell r="AV7"/>
          <cell r="AW7"/>
          <cell r="AX7"/>
          <cell r="AY7"/>
          <cell r="AZ7"/>
          <cell r="BA7"/>
          <cell r="BB7"/>
          <cell r="BC7"/>
          <cell r="BD7"/>
          <cell r="BE7"/>
          <cell r="BF7"/>
          <cell r="BG7"/>
          <cell r="BH7"/>
          <cell r="BI7"/>
          <cell r="BJ7"/>
          <cell r="BK7"/>
          <cell r="BL7"/>
          <cell r="BM7"/>
          <cell r="BN7"/>
          <cell r="BO7"/>
          <cell r="BP7"/>
          <cell r="BQ7"/>
          <cell r="BR7"/>
          <cell r="BS7"/>
          <cell r="BT7"/>
          <cell r="BU7"/>
          <cell r="BV7"/>
          <cell r="BW7"/>
          <cell r="BX7"/>
          <cell r="BY7"/>
          <cell r="BZ7"/>
          <cell r="CA7"/>
          <cell r="CB7"/>
          <cell r="CC7"/>
          <cell r="CD7"/>
          <cell r="CE7"/>
          <cell r="CF7"/>
          <cell r="CG7"/>
          <cell r="CH7"/>
          <cell r="CI7"/>
          <cell r="CJ7"/>
          <cell r="CK7"/>
          <cell r="CL7"/>
          <cell r="CM7"/>
          <cell r="CN7"/>
          <cell r="CO7"/>
          <cell r="CP7"/>
          <cell r="CQ7"/>
          <cell r="CR7"/>
          <cell r="CS7"/>
          <cell r="CT7"/>
          <cell r="CU7"/>
          <cell r="CV7"/>
          <cell r="CW7"/>
          <cell r="CX7"/>
          <cell r="CY7"/>
          <cell r="CZ7"/>
          <cell r="DA7"/>
          <cell r="DB7"/>
          <cell r="DC7"/>
          <cell r="DD7"/>
          <cell r="DE7"/>
          <cell r="DF7"/>
          <cell r="DG7"/>
          <cell r="DH7"/>
          <cell r="DI7"/>
          <cell r="DJ7"/>
          <cell r="DK7"/>
          <cell r="DL7"/>
          <cell r="DM7"/>
          <cell r="DN7"/>
          <cell r="DO7"/>
          <cell r="DP7"/>
          <cell r="DQ7"/>
          <cell r="DR7"/>
          <cell r="DS7"/>
          <cell r="DT7"/>
          <cell r="DU7"/>
          <cell r="DV7"/>
          <cell r="DW7"/>
          <cell r="DX7"/>
          <cell r="DY7"/>
          <cell r="DZ7"/>
          <cell r="EA7"/>
          <cell r="EB7"/>
          <cell r="EC7"/>
          <cell r="ED7"/>
          <cell r="EE7"/>
          <cell r="EF7"/>
          <cell r="EG7"/>
          <cell r="EH7"/>
          <cell r="EI7"/>
          <cell r="EJ7"/>
          <cell r="EK7"/>
          <cell r="EL7"/>
          <cell r="EM7"/>
          <cell r="EN7"/>
          <cell r="EO7"/>
          <cell r="EP7"/>
          <cell r="EQ7"/>
          <cell r="ER7"/>
          <cell r="ES7"/>
          <cell r="ET7"/>
          <cell r="EU7"/>
          <cell r="EV7"/>
          <cell r="EW7"/>
          <cell r="EX7"/>
          <cell r="EY7"/>
          <cell r="EZ7"/>
          <cell r="FA7"/>
          <cell r="FB7"/>
          <cell r="FC7"/>
          <cell r="FD7"/>
          <cell r="FE7"/>
          <cell r="FF7"/>
          <cell r="FG7"/>
          <cell r="FH7"/>
          <cell r="FI7"/>
          <cell r="FJ7"/>
          <cell r="FK7"/>
          <cell r="FL7"/>
          <cell r="FM7"/>
          <cell r="FN7"/>
          <cell r="FO7"/>
          <cell r="FP7"/>
          <cell r="FQ7"/>
          <cell r="FR7"/>
          <cell r="FS7"/>
          <cell r="FT7"/>
          <cell r="FU7"/>
        </row>
        <row r="8">
          <cell r="B8" t="str">
            <v>Assumptions</v>
          </cell>
          <cell r="D8"/>
          <cell r="E8"/>
          <cell r="F8"/>
          <cell r="G8"/>
          <cell r="H8"/>
          <cell r="I8"/>
          <cell r="J8"/>
          <cell r="K8"/>
          <cell r="L8"/>
          <cell r="M8"/>
          <cell r="N8"/>
          <cell r="O8"/>
          <cell r="P8"/>
          <cell r="Q8"/>
          <cell r="R8"/>
          <cell r="S8"/>
          <cell r="T8"/>
          <cell r="U8"/>
          <cell r="V8"/>
          <cell r="W8"/>
          <cell r="X8"/>
          <cell r="Y8"/>
          <cell r="Z8"/>
          <cell r="AA8"/>
          <cell r="AB8"/>
          <cell r="AC8"/>
          <cell r="AD8"/>
          <cell r="AE8"/>
          <cell r="AF8"/>
          <cell r="AG8"/>
          <cell r="AH8"/>
          <cell r="AI8"/>
          <cell r="AJ8"/>
          <cell r="AK8"/>
          <cell r="AL8"/>
          <cell r="AM8"/>
          <cell r="AN8"/>
          <cell r="AO8"/>
          <cell r="AP8"/>
          <cell r="AQ8"/>
          <cell r="AR8"/>
          <cell r="AS8"/>
          <cell r="AT8"/>
          <cell r="AU8"/>
          <cell r="AV8"/>
          <cell r="AW8"/>
          <cell r="AX8"/>
          <cell r="AY8"/>
          <cell r="AZ8"/>
          <cell r="BA8"/>
          <cell r="BB8"/>
          <cell r="BC8"/>
          <cell r="BD8"/>
          <cell r="BE8"/>
          <cell r="BF8"/>
          <cell r="BG8"/>
          <cell r="BH8"/>
          <cell r="BI8"/>
          <cell r="BJ8"/>
          <cell r="BK8"/>
          <cell r="BL8"/>
          <cell r="BM8"/>
          <cell r="BN8"/>
          <cell r="BO8"/>
          <cell r="BP8"/>
          <cell r="BQ8"/>
          <cell r="BR8"/>
          <cell r="BS8"/>
          <cell r="BT8"/>
          <cell r="BU8"/>
          <cell r="BV8"/>
          <cell r="BW8"/>
          <cell r="BX8"/>
          <cell r="BY8"/>
          <cell r="BZ8"/>
          <cell r="CA8"/>
          <cell r="CB8"/>
          <cell r="CC8"/>
          <cell r="CD8"/>
          <cell r="CE8"/>
          <cell r="CF8"/>
          <cell r="CG8"/>
          <cell r="CH8"/>
          <cell r="CI8"/>
          <cell r="CJ8"/>
          <cell r="CK8"/>
          <cell r="CL8"/>
          <cell r="CM8"/>
          <cell r="CN8"/>
          <cell r="CO8"/>
          <cell r="CP8"/>
          <cell r="CQ8"/>
          <cell r="CR8"/>
          <cell r="CS8"/>
          <cell r="CT8"/>
          <cell r="CU8"/>
          <cell r="CV8"/>
          <cell r="CW8"/>
          <cell r="CX8"/>
          <cell r="CY8"/>
          <cell r="CZ8"/>
          <cell r="DA8"/>
          <cell r="DB8"/>
          <cell r="DC8"/>
          <cell r="DD8"/>
          <cell r="DE8"/>
          <cell r="DF8"/>
          <cell r="DG8"/>
          <cell r="DH8"/>
          <cell r="DI8"/>
          <cell r="DJ8"/>
          <cell r="DK8"/>
          <cell r="DL8"/>
          <cell r="DM8"/>
          <cell r="DN8"/>
          <cell r="DO8"/>
          <cell r="DP8"/>
          <cell r="DQ8"/>
          <cell r="DR8"/>
          <cell r="DS8"/>
          <cell r="DT8"/>
          <cell r="DU8"/>
          <cell r="DV8"/>
          <cell r="DW8"/>
          <cell r="DX8"/>
          <cell r="DY8"/>
          <cell r="DZ8"/>
          <cell r="EA8"/>
          <cell r="EB8"/>
          <cell r="EC8"/>
          <cell r="ED8"/>
          <cell r="EE8"/>
          <cell r="EF8"/>
          <cell r="EG8"/>
          <cell r="EH8"/>
          <cell r="EI8"/>
          <cell r="EJ8"/>
          <cell r="EK8"/>
          <cell r="EL8"/>
          <cell r="EM8"/>
          <cell r="EN8"/>
          <cell r="EO8"/>
          <cell r="EP8"/>
          <cell r="EQ8"/>
          <cell r="ER8"/>
          <cell r="ES8"/>
          <cell r="ET8"/>
          <cell r="EU8"/>
          <cell r="EV8"/>
          <cell r="EW8"/>
          <cell r="EX8"/>
          <cell r="EY8"/>
          <cell r="EZ8"/>
          <cell r="FA8"/>
          <cell r="FB8"/>
          <cell r="FC8"/>
          <cell r="FD8"/>
          <cell r="FE8"/>
          <cell r="FF8"/>
          <cell r="FG8"/>
          <cell r="FH8"/>
          <cell r="FI8"/>
          <cell r="FJ8"/>
          <cell r="FK8"/>
          <cell r="FL8"/>
          <cell r="FM8"/>
          <cell r="FN8"/>
          <cell r="FO8"/>
          <cell r="FP8"/>
          <cell r="FQ8"/>
          <cell r="FR8"/>
          <cell r="FS8"/>
          <cell r="FT8"/>
          <cell r="FU8"/>
        </row>
        <row r="9">
          <cell r="B9" t="str">
            <v>External links</v>
          </cell>
          <cell r="D9"/>
          <cell r="E9"/>
          <cell r="F9"/>
          <cell r="G9"/>
          <cell r="H9"/>
          <cell r="I9"/>
          <cell r="J9"/>
          <cell r="K9"/>
          <cell r="L9"/>
          <cell r="M9"/>
          <cell r="N9"/>
          <cell r="O9"/>
          <cell r="P9"/>
          <cell r="Q9"/>
          <cell r="R9"/>
          <cell r="S9"/>
          <cell r="T9"/>
          <cell r="U9"/>
          <cell r="V9"/>
          <cell r="W9"/>
          <cell r="X9"/>
          <cell r="Y9"/>
          <cell r="Z9"/>
          <cell r="AA9"/>
          <cell r="AB9"/>
          <cell r="AC9"/>
          <cell r="AD9"/>
          <cell r="AE9"/>
          <cell r="AF9"/>
          <cell r="AG9"/>
          <cell r="AH9"/>
          <cell r="AI9"/>
          <cell r="AJ9"/>
          <cell r="AK9"/>
          <cell r="AL9"/>
          <cell r="AM9"/>
          <cell r="AN9"/>
          <cell r="AO9"/>
          <cell r="AP9"/>
          <cell r="AQ9"/>
          <cell r="AR9"/>
          <cell r="AS9"/>
          <cell r="AT9"/>
          <cell r="AU9"/>
          <cell r="AV9"/>
          <cell r="AW9"/>
          <cell r="AX9"/>
          <cell r="AY9"/>
          <cell r="AZ9"/>
          <cell r="BA9"/>
          <cell r="BB9"/>
          <cell r="BC9"/>
          <cell r="BD9"/>
          <cell r="BE9"/>
          <cell r="BF9"/>
          <cell r="BG9"/>
          <cell r="BH9"/>
          <cell r="BI9"/>
          <cell r="BJ9"/>
          <cell r="BK9"/>
          <cell r="BL9"/>
          <cell r="BM9"/>
          <cell r="BN9"/>
          <cell r="BO9"/>
          <cell r="BP9"/>
          <cell r="BQ9"/>
          <cell r="BR9"/>
          <cell r="BS9"/>
          <cell r="BT9"/>
          <cell r="BU9"/>
          <cell r="BV9"/>
          <cell r="BW9"/>
          <cell r="BX9"/>
          <cell r="BY9"/>
          <cell r="BZ9"/>
          <cell r="CA9"/>
          <cell r="CB9"/>
          <cell r="CC9"/>
          <cell r="CD9"/>
          <cell r="CE9"/>
          <cell r="CF9"/>
          <cell r="CG9"/>
          <cell r="CH9"/>
          <cell r="CI9"/>
          <cell r="CJ9"/>
          <cell r="CK9"/>
          <cell r="CL9"/>
          <cell r="CM9"/>
          <cell r="CN9"/>
          <cell r="CO9"/>
          <cell r="CP9"/>
          <cell r="CQ9"/>
          <cell r="CR9"/>
          <cell r="CS9"/>
          <cell r="CT9"/>
          <cell r="CU9"/>
          <cell r="CV9"/>
          <cell r="CW9"/>
          <cell r="CX9"/>
          <cell r="CY9"/>
          <cell r="CZ9"/>
          <cell r="DA9"/>
          <cell r="DB9"/>
          <cell r="DC9"/>
          <cell r="DD9"/>
          <cell r="DE9"/>
          <cell r="DF9"/>
          <cell r="DG9"/>
          <cell r="DH9"/>
          <cell r="DI9"/>
          <cell r="DJ9"/>
          <cell r="DK9"/>
          <cell r="DL9"/>
          <cell r="DM9"/>
          <cell r="DN9"/>
          <cell r="DO9"/>
          <cell r="DP9"/>
          <cell r="DQ9"/>
          <cell r="DR9"/>
          <cell r="DS9"/>
          <cell r="DT9"/>
          <cell r="DU9"/>
          <cell r="DV9"/>
          <cell r="DW9"/>
          <cell r="DX9"/>
          <cell r="DY9"/>
          <cell r="DZ9"/>
          <cell r="EA9"/>
          <cell r="EB9"/>
          <cell r="EC9"/>
          <cell r="ED9"/>
          <cell r="EE9"/>
          <cell r="EF9"/>
          <cell r="EG9"/>
          <cell r="EH9"/>
          <cell r="EI9"/>
          <cell r="EJ9"/>
          <cell r="EK9"/>
          <cell r="EL9"/>
          <cell r="EM9"/>
          <cell r="EN9"/>
          <cell r="EO9"/>
          <cell r="EP9"/>
          <cell r="EQ9"/>
          <cell r="ER9"/>
          <cell r="ES9"/>
          <cell r="ET9"/>
          <cell r="EU9"/>
          <cell r="EV9"/>
          <cell r="EW9"/>
          <cell r="EX9"/>
          <cell r="EY9"/>
          <cell r="EZ9"/>
          <cell r="FA9"/>
          <cell r="FB9"/>
          <cell r="FC9"/>
          <cell r="FD9"/>
          <cell r="FE9"/>
          <cell r="FF9"/>
          <cell r="FG9"/>
          <cell r="FH9"/>
          <cell r="FI9"/>
          <cell r="FJ9"/>
          <cell r="FK9"/>
          <cell r="FL9"/>
          <cell r="FM9"/>
          <cell r="FN9"/>
          <cell r="FO9"/>
          <cell r="FP9"/>
          <cell r="FQ9"/>
          <cell r="FR9"/>
          <cell r="FS9"/>
          <cell r="FT9"/>
          <cell r="FU9"/>
        </row>
        <row r="10">
          <cell r="B10"/>
          <cell r="D10"/>
          <cell r="E10"/>
          <cell r="F10"/>
          <cell r="G10"/>
          <cell r="H10"/>
          <cell r="I10"/>
          <cell r="J10"/>
          <cell r="K10"/>
          <cell r="L10"/>
          <cell r="M10"/>
          <cell r="N10"/>
          <cell r="O10"/>
          <cell r="P10"/>
          <cell r="Q10"/>
          <cell r="R10"/>
          <cell r="S10"/>
          <cell r="T10"/>
          <cell r="U10"/>
          <cell r="V10"/>
          <cell r="W10"/>
          <cell r="X10"/>
          <cell r="Y10"/>
          <cell r="Z10"/>
          <cell r="AA10"/>
          <cell r="AB10"/>
          <cell r="AC10"/>
          <cell r="AD10"/>
          <cell r="AE10"/>
          <cell r="AF10"/>
          <cell r="AG10"/>
          <cell r="AH10"/>
          <cell r="AI10"/>
          <cell r="AJ10"/>
          <cell r="AK10"/>
          <cell r="AL10"/>
          <cell r="AM10"/>
          <cell r="AN10"/>
          <cell r="AO10"/>
          <cell r="AP10"/>
          <cell r="AQ10"/>
          <cell r="AR10"/>
          <cell r="AS10"/>
          <cell r="AT10"/>
          <cell r="AU10"/>
          <cell r="AV10"/>
          <cell r="AW10"/>
          <cell r="AX10"/>
          <cell r="AY10"/>
          <cell r="AZ10"/>
          <cell r="BA10"/>
          <cell r="BB10"/>
          <cell r="BC10"/>
          <cell r="BD10"/>
          <cell r="BE10"/>
          <cell r="BF10"/>
          <cell r="BG10"/>
          <cell r="BH10"/>
          <cell r="BI10"/>
          <cell r="BJ10"/>
          <cell r="BK10"/>
          <cell r="BL10"/>
          <cell r="BM10"/>
          <cell r="BN10"/>
          <cell r="BO10"/>
          <cell r="BP10"/>
          <cell r="BQ10"/>
          <cell r="BR10"/>
          <cell r="BS10"/>
          <cell r="BT10"/>
          <cell r="BU10"/>
          <cell r="BV10"/>
          <cell r="BW10"/>
          <cell r="BX10"/>
          <cell r="BY10"/>
          <cell r="BZ10"/>
          <cell r="CA10"/>
          <cell r="CB10"/>
          <cell r="CC10"/>
          <cell r="CD10"/>
          <cell r="CE10"/>
          <cell r="CF10"/>
          <cell r="CG10"/>
          <cell r="CH10"/>
          <cell r="CI10"/>
          <cell r="CJ10"/>
          <cell r="CK10"/>
          <cell r="CL10"/>
          <cell r="CM10"/>
          <cell r="CN10"/>
          <cell r="CO10"/>
          <cell r="CP10"/>
          <cell r="CQ10"/>
          <cell r="CR10"/>
          <cell r="CS10"/>
          <cell r="CT10"/>
          <cell r="CU10"/>
          <cell r="CV10"/>
          <cell r="CW10"/>
          <cell r="CX10"/>
          <cell r="CY10"/>
          <cell r="CZ10"/>
          <cell r="DA10"/>
          <cell r="DB10"/>
          <cell r="DC10"/>
          <cell r="DD10"/>
          <cell r="DE10"/>
          <cell r="DF10"/>
          <cell r="DG10"/>
          <cell r="DH10"/>
          <cell r="DI10"/>
          <cell r="DJ10"/>
          <cell r="DK10"/>
          <cell r="DL10"/>
          <cell r="DM10"/>
          <cell r="DN10"/>
          <cell r="DO10"/>
          <cell r="DP10"/>
          <cell r="DQ10"/>
          <cell r="DR10"/>
          <cell r="DS10"/>
          <cell r="DT10"/>
          <cell r="DU10"/>
          <cell r="DV10"/>
          <cell r="DW10"/>
          <cell r="DX10"/>
          <cell r="DY10"/>
          <cell r="DZ10"/>
          <cell r="EA10"/>
          <cell r="EB10"/>
          <cell r="EC10"/>
          <cell r="ED10"/>
          <cell r="EE10"/>
          <cell r="EF10"/>
          <cell r="EG10"/>
          <cell r="EH10"/>
          <cell r="EI10"/>
          <cell r="EJ10"/>
          <cell r="EK10"/>
          <cell r="EL10"/>
          <cell r="EM10"/>
          <cell r="EN10"/>
          <cell r="EO10"/>
          <cell r="EP10"/>
          <cell r="EQ10"/>
          <cell r="ER10"/>
          <cell r="ES10"/>
          <cell r="ET10"/>
          <cell r="EU10"/>
          <cell r="EV10"/>
          <cell r="EW10"/>
          <cell r="EX10"/>
          <cell r="EY10"/>
          <cell r="EZ10"/>
          <cell r="FA10"/>
          <cell r="FB10"/>
          <cell r="FC10"/>
          <cell r="FD10"/>
          <cell r="FE10"/>
          <cell r="FF10"/>
          <cell r="FG10"/>
          <cell r="FH10"/>
          <cell r="FI10"/>
          <cell r="FJ10"/>
          <cell r="FK10"/>
          <cell r="FL10"/>
          <cell r="FM10"/>
          <cell r="FN10"/>
          <cell r="FO10"/>
          <cell r="FP10"/>
          <cell r="FQ10"/>
          <cell r="FR10"/>
          <cell r="FS10"/>
          <cell r="FT10"/>
          <cell r="FU10"/>
        </row>
        <row r="11">
          <cell r="B11" t="str">
            <v>Valuation</v>
          </cell>
          <cell r="C11"/>
          <cell r="D11"/>
          <cell r="E11"/>
          <cell r="F11"/>
          <cell r="G11"/>
          <cell r="H11"/>
          <cell r="I11"/>
          <cell r="J11"/>
          <cell r="K11"/>
          <cell r="L11"/>
          <cell r="M11"/>
          <cell r="N11"/>
          <cell r="O11"/>
          <cell r="P11"/>
          <cell r="Q11"/>
          <cell r="R11"/>
          <cell r="S11"/>
          <cell r="T11"/>
          <cell r="U11"/>
          <cell r="V11"/>
          <cell r="W11"/>
          <cell r="X11"/>
          <cell r="Y11"/>
          <cell r="Z11"/>
          <cell r="AA11"/>
          <cell r="AB11"/>
          <cell r="AC11"/>
          <cell r="AD11"/>
          <cell r="AE11"/>
          <cell r="AF11"/>
          <cell r="AG11"/>
          <cell r="AH11"/>
          <cell r="AI11"/>
          <cell r="AJ11"/>
          <cell r="AK11"/>
          <cell r="AL11"/>
          <cell r="AM11"/>
          <cell r="AN11"/>
          <cell r="AO11"/>
          <cell r="AP11"/>
          <cell r="AQ11"/>
          <cell r="AR11"/>
          <cell r="AS11"/>
          <cell r="AT11"/>
          <cell r="AU11"/>
          <cell r="AV11"/>
          <cell r="AW11"/>
          <cell r="AX11"/>
          <cell r="AY11"/>
          <cell r="AZ11"/>
          <cell r="BA11"/>
          <cell r="BB11"/>
          <cell r="BC11"/>
          <cell r="BD11"/>
          <cell r="BE11"/>
          <cell r="BF11"/>
          <cell r="BG11"/>
          <cell r="BH11"/>
          <cell r="BI11"/>
          <cell r="BJ11"/>
          <cell r="BK11"/>
          <cell r="BL11"/>
          <cell r="BM11"/>
          <cell r="BN11"/>
          <cell r="BO11"/>
          <cell r="BP11"/>
          <cell r="BQ11"/>
          <cell r="BR11"/>
          <cell r="BS11"/>
          <cell r="BT11"/>
          <cell r="BU11"/>
          <cell r="BV11"/>
          <cell r="BW11"/>
          <cell r="BX11"/>
          <cell r="BY11"/>
          <cell r="BZ11"/>
          <cell r="CA11"/>
          <cell r="CB11"/>
          <cell r="CC11"/>
          <cell r="CD11"/>
          <cell r="CE11"/>
          <cell r="CF11"/>
          <cell r="CG11"/>
          <cell r="CH11"/>
          <cell r="CI11"/>
          <cell r="CJ11"/>
          <cell r="CK11"/>
          <cell r="CL11"/>
          <cell r="CM11"/>
          <cell r="CN11"/>
          <cell r="CO11"/>
          <cell r="CP11"/>
          <cell r="CQ11"/>
          <cell r="CR11"/>
          <cell r="CS11"/>
          <cell r="CT11"/>
          <cell r="CU11"/>
          <cell r="CV11"/>
          <cell r="CW11"/>
          <cell r="CX11"/>
          <cell r="CY11"/>
          <cell r="CZ11"/>
          <cell r="DA11"/>
          <cell r="DB11"/>
          <cell r="DC11"/>
          <cell r="DD11"/>
          <cell r="DE11"/>
          <cell r="DF11"/>
          <cell r="DG11"/>
          <cell r="DH11"/>
          <cell r="DI11"/>
          <cell r="DJ11"/>
          <cell r="DK11"/>
          <cell r="DL11"/>
          <cell r="DM11"/>
          <cell r="DN11"/>
          <cell r="DO11"/>
          <cell r="DP11"/>
          <cell r="DQ11"/>
          <cell r="DR11"/>
          <cell r="DS11"/>
          <cell r="DT11"/>
          <cell r="DU11"/>
          <cell r="DV11"/>
          <cell r="DW11"/>
          <cell r="DX11"/>
          <cell r="DY11"/>
          <cell r="DZ11"/>
          <cell r="EA11"/>
          <cell r="EB11"/>
          <cell r="EC11"/>
          <cell r="ED11"/>
          <cell r="EE11"/>
          <cell r="EF11"/>
          <cell r="EG11"/>
          <cell r="EH11"/>
          <cell r="EI11"/>
          <cell r="EJ11"/>
          <cell r="EK11"/>
          <cell r="EL11"/>
          <cell r="EM11"/>
          <cell r="EN11"/>
          <cell r="EO11"/>
          <cell r="EP11"/>
          <cell r="EQ11"/>
          <cell r="ER11"/>
          <cell r="ES11"/>
          <cell r="ET11"/>
          <cell r="EU11"/>
          <cell r="EV11"/>
          <cell r="EW11"/>
          <cell r="EX11"/>
          <cell r="EY11"/>
          <cell r="EZ11"/>
          <cell r="FA11"/>
          <cell r="FB11"/>
          <cell r="FC11"/>
          <cell r="FD11"/>
          <cell r="FE11"/>
          <cell r="FF11"/>
          <cell r="FG11"/>
          <cell r="FH11"/>
          <cell r="FI11"/>
          <cell r="FJ11"/>
          <cell r="FK11"/>
          <cell r="FL11"/>
          <cell r="FM11"/>
          <cell r="FN11"/>
          <cell r="FO11"/>
          <cell r="FP11"/>
          <cell r="FQ11"/>
          <cell r="FR11"/>
          <cell r="FS11"/>
          <cell r="FT11"/>
          <cell r="FU11"/>
        </row>
        <row r="12">
          <cell r="A12" t="str">
            <v>Valn_AsAtDate</v>
          </cell>
          <cell r="B12" t="str">
            <v>Valuation as at date</v>
          </cell>
          <cell r="C12">
            <v>46265</v>
          </cell>
          <cell r="D12"/>
          <cell r="E12"/>
          <cell r="F12"/>
          <cell r="G12"/>
          <cell r="H12"/>
          <cell r="I12"/>
          <cell r="J12"/>
          <cell r="K12"/>
          <cell r="L12"/>
          <cell r="M12"/>
          <cell r="N12"/>
          <cell r="O12"/>
          <cell r="P12"/>
          <cell r="Q12"/>
          <cell r="R12"/>
          <cell r="S12"/>
          <cell r="T12"/>
          <cell r="U12"/>
          <cell r="V12"/>
          <cell r="W12"/>
          <cell r="X12"/>
          <cell r="Y12"/>
          <cell r="Z12"/>
          <cell r="AA12"/>
          <cell r="AB12"/>
          <cell r="AC12"/>
          <cell r="AD12"/>
          <cell r="AE12"/>
          <cell r="AF12"/>
          <cell r="AG12"/>
          <cell r="AH12"/>
          <cell r="AI12"/>
          <cell r="AJ12"/>
          <cell r="AK12"/>
          <cell r="AL12"/>
          <cell r="AM12"/>
          <cell r="AN12"/>
          <cell r="AO12"/>
          <cell r="AP12"/>
          <cell r="AQ12"/>
          <cell r="AR12"/>
          <cell r="AS12"/>
          <cell r="AT12"/>
          <cell r="AU12"/>
          <cell r="AV12"/>
          <cell r="AW12"/>
          <cell r="AX12"/>
          <cell r="AY12"/>
          <cell r="AZ12"/>
          <cell r="BA12"/>
          <cell r="BB12"/>
          <cell r="BC12"/>
          <cell r="BD12"/>
          <cell r="BE12"/>
          <cell r="BF12"/>
          <cell r="BG12"/>
          <cell r="BH12"/>
          <cell r="BI12"/>
          <cell r="BJ12"/>
          <cell r="BK12"/>
          <cell r="BL12"/>
          <cell r="BM12"/>
          <cell r="BN12"/>
          <cell r="BO12"/>
          <cell r="BP12"/>
          <cell r="BQ12"/>
          <cell r="BR12"/>
          <cell r="BS12"/>
          <cell r="BT12"/>
          <cell r="BU12"/>
          <cell r="BV12"/>
          <cell r="BW12"/>
          <cell r="BX12"/>
          <cell r="BY12"/>
          <cell r="BZ12"/>
          <cell r="CA12"/>
          <cell r="CB12"/>
          <cell r="CC12"/>
          <cell r="CD12"/>
          <cell r="CE12"/>
          <cell r="CF12"/>
          <cell r="CG12"/>
          <cell r="CH12"/>
          <cell r="CI12"/>
          <cell r="CJ12"/>
          <cell r="CK12"/>
          <cell r="CL12"/>
          <cell r="CM12"/>
          <cell r="CN12"/>
          <cell r="CO12"/>
          <cell r="CP12"/>
          <cell r="CQ12"/>
          <cell r="CR12"/>
          <cell r="CS12"/>
          <cell r="CT12"/>
          <cell r="CU12"/>
          <cell r="CV12"/>
          <cell r="CW12"/>
          <cell r="CX12"/>
          <cell r="CY12"/>
          <cell r="CZ12"/>
          <cell r="DA12"/>
          <cell r="DB12"/>
          <cell r="DC12"/>
          <cell r="DD12"/>
          <cell r="DE12"/>
          <cell r="DF12"/>
          <cell r="DG12"/>
          <cell r="DH12"/>
          <cell r="DI12"/>
          <cell r="DJ12"/>
          <cell r="DK12"/>
          <cell r="DL12"/>
          <cell r="DM12"/>
          <cell r="DN12"/>
          <cell r="DO12"/>
          <cell r="DP12"/>
          <cell r="DQ12"/>
          <cell r="DR12"/>
          <cell r="DS12"/>
          <cell r="DT12"/>
          <cell r="DU12"/>
          <cell r="DV12"/>
          <cell r="DW12"/>
          <cell r="DX12"/>
          <cell r="DY12"/>
          <cell r="DZ12"/>
          <cell r="EA12"/>
          <cell r="EB12"/>
          <cell r="EC12"/>
          <cell r="ED12"/>
          <cell r="EE12"/>
          <cell r="EF12"/>
          <cell r="EG12"/>
          <cell r="EH12"/>
          <cell r="EI12"/>
          <cell r="EJ12"/>
          <cell r="EK12"/>
          <cell r="EL12"/>
          <cell r="EM12"/>
          <cell r="EN12"/>
          <cell r="EO12"/>
          <cell r="EP12"/>
          <cell r="EQ12"/>
          <cell r="ER12"/>
          <cell r="ES12"/>
          <cell r="ET12"/>
          <cell r="EU12"/>
          <cell r="EV12"/>
          <cell r="EW12"/>
          <cell r="EX12"/>
          <cell r="EY12"/>
          <cell r="EZ12"/>
          <cell r="FA12"/>
          <cell r="FB12"/>
          <cell r="FC12"/>
          <cell r="FD12"/>
          <cell r="FE12"/>
          <cell r="FF12"/>
          <cell r="FG12"/>
          <cell r="FH12"/>
          <cell r="FI12"/>
          <cell r="FJ12"/>
          <cell r="FK12"/>
          <cell r="FL12"/>
          <cell r="FM12"/>
          <cell r="FN12"/>
          <cell r="FO12"/>
          <cell r="FP12"/>
          <cell r="FQ12"/>
          <cell r="FR12"/>
          <cell r="FS12"/>
          <cell r="FT12"/>
          <cell r="FU12"/>
        </row>
        <row r="13">
          <cell r="A13" t="str">
            <v>Valn_TerminalGrowth</v>
          </cell>
          <cell r="B13" t="str">
            <v>Terminal growth rate</v>
          </cell>
          <cell r="C13">
            <v>2.5000000000000001E-2</v>
          </cell>
          <cell r="D13"/>
          <cell r="E13"/>
          <cell r="F13"/>
          <cell r="G13"/>
          <cell r="H13"/>
          <cell r="I13"/>
          <cell r="J13"/>
          <cell r="K13"/>
          <cell r="L13"/>
          <cell r="M13"/>
          <cell r="N13"/>
          <cell r="O13"/>
          <cell r="P13"/>
          <cell r="Q13"/>
          <cell r="R13"/>
          <cell r="S13"/>
          <cell r="T13"/>
          <cell r="U13"/>
          <cell r="V13"/>
          <cell r="W13"/>
          <cell r="X13"/>
          <cell r="Y13"/>
          <cell r="Z13"/>
          <cell r="AA13"/>
          <cell r="AB13"/>
          <cell r="AC13"/>
          <cell r="AD13"/>
          <cell r="AE13"/>
          <cell r="AF13"/>
          <cell r="AG13"/>
          <cell r="AH13"/>
          <cell r="AI13"/>
          <cell r="AJ13"/>
          <cell r="AK13"/>
          <cell r="AL13"/>
          <cell r="AM13"/>
          <cell r="AN13"/>
          <cell r="AO13"/>
          <cell r="AP13"/>
          <cell r="AQ13"/>
          <cell r="AR13"/>
          <cell r="AS13"/>
          <cell r="AT13"/>
          <cell r="AU13"/>
          <cell r="AV13"/>
          <cell r="AW13"/>
          <cell r="AX13"/>
          <cell r="AY13"/>
          <cell r="AZ13"/>
          <cell r="BA13"/>
          <cell r="BB13"/>
          <cell r="BC13"/>
          <cell r="BD13"/>
          <cell r="BE13"/>
          <cell r="BF13"/>
          <cell r="BG13"/>
          <cell r="BH13"/>
          <cell r="BI13"/>
          <cell r="BJ13"/>
          <cell r="BK13"/>
          <cell r="BL13"/>
          <cell r="BM13"/>
          <cell r="BN13"/>
          <cell r="BO13"/>
          <cell r="BP13"/>
          <cell r="BQ13"/>
          <cell r="BR13"/>
          <cell r="BS13"/>
          <cell r="BT13"/>
          <cell r="BU13"/>
          <cell r="BV13"/>
          <cell r="BW13"/>
          <cell r="BX13"/>
          <cell r="BY13"/>
          <cell r="BZ13"/>
          <cell r="CA13"/>
          <cell r="CB13"/>
          <cell r="CC13"/>
          <cell r="CD13"/>
          <cell r="CE13"/>
          <cell r="CF13"/>
          <cell r="CG13"/>
          <cell r="CH13"/>
          <cell r="CI13"/>
          <cell r="CJ13"/>
          <cell r="CK13"/>
          <cell r="CL13"/>
          <cell r="CM13"/>
          <cell r="CN13"/>
          <cell r="CO13"/>
          <cell r="CP13"/>
          <cell r="CQ13"/>
          <cell r="CR13"/>
          <cell r="CS13"/>
          <cell r="CT13"/>
          <cell r="CU13"/>
          <cell r="CV13"/>
          <cell r="CW13"/>
          <cell r="CX13"/>
          <cell r="CY13"/>
          <cell r="CZ13"/>
          <cell r="DA13"/>
          <cell r="DB13"/>
          <cell r="DC13"/>
          <cell r="DD13"/>
          <cell r="DE13"/>
          <cell r="DF13"/>
          <cell r="DG13"/>
          <cell r="DH13"/>
          <cell r="DI13"/>
          <cell r="DJ13"/>
          <cell r="DK13"/>
          <cell r="DL13"/>
          <cell r="DM13"/>
          <cell r="DN13"/>
          <cell r="DO13"/>
          <cell r="DP13"/>
          <cell r="DQ13"/>
          <cell r="DR13"/>
          <cell r="DS13"/>
          <cell r="DT13"/>
          <cell r="DU13"/>
          <cell r="DV13"/>
          <cell r="DW13"/>
          <cell r="DX13"/>
          <cell r="DY13"/>
          <cell r="DZ13"/>
          <cell r="EA13"/>
          <cell r="EB13"/>
          <cell r="EC13"/>
          <cell r="ED13"/>
          <cell r="EE13"/>
          <cell r="EF13"/>
          <cell r="EG13"/>
          <cell r="EH13"/>
          <cell r="EI13"/>
          <cell r="EJ13"/>
          <cell r="EK13"/>
          <cell r="EL13"/>
          <cell r="EM13"/>
          <cell r="EN13"/>
          <cell r="EO13"/>
          <cell r="EP13"/>
          <cell r="EQ13"/>
          <cell r="ER13"/>
          <cell r="ES13"/>
          <cell r="ET13"/>
          <cell r="EU13"/>
          <cell r="EV13"/>
          <cell r="EW13"/>
          <cell r="EX13"/>
          <cell r="EY13"/>
          <cell r="EZ13"/>
          <cell r="FA13"/>
          <cell r="FB13"/>
          <cell r="FC13"/>
          <cell r="FD13"/>
          <cell r="FE13"/>
          <cell r="FF13"/>
          <cell r="FG13"/>
          <cell r="FH13"/>
          <cell r="FI13"/>
          <cell r="FJ13"/>
          <cell r="FK13"/>
          <cell r="FL13"/>
          <cell r="FM13"/>
          <cell r="FN13"/>
          <cell r="FO13"/>
          <cell r="FP13"/>
          <cell r="FQ13"/>
          <cell r="FR13"/>
          <cell r="FS13"/>
          <cell r="FT13"/>
          <cell r="FU13"/>
        </row>
        <row r="14">
          <cell r="A14" t="str">
            <v>Valn_RiskFreeRate</v>
          </cell>
          <cell r="B14" t="str">
            <v>Risk free rate (Rf)</v>
          </cell>
          <cell r="C14">
            <v>3.5000000000000003E-2</v>
          </cell>
          <cell r="D14"/>
          <cell r="E14"/>
          <cell r="F14"/>
          <cell r="G14"/>
          <cell r="H14"/>
          <cell r="I14"/>
          <cell r="J14"/>
          <cell r="K14"/>
          <cell r="L14"/>
          <cell r="M14"/>
          <cell r="N14"/>
          <cell r="O14"/>
          <cell r="P14"/>
          <cell r="Q14"/>
          <cell r="R14"/>
          <cell r="S14"/>
          <cell r="T14"/>
          <cell r="U14"/>
          <cell r="V14"/>
          <cell r="W14"/>
          <cell r="X14"/>
          <cell r="Y14"/>
          <cell r="Z14"/>
          <cell r="AA14"/>
          <cell r="AB14"/>
          <cell r="AC14"/>
          <cell r="AD14"/>
          <cell r="AE14"/>
          <cell r="AF14"/>
          <cell r="AG14"/>
          <cell r="AH14"/>
          <cell r="AI14"/>
          <cell r="AJ14"/>
          <cell r="AK14"/>
          <cell r="AL14"/>
          <cell r="AM14"/>
          <cell r="AN14"/>
          <cell r="AO14"/>
          <cell r="AP14"/>
          <cell r="AQ14"/>
          <cell r="AR14"/>
          <cell r="AS14"/>
          <cell r="AT14"/>
          <cell r="AU14"/>
          <cell r="AV14"/>
          <cell r="AW14"/>
          <cell r="AX14"/>
          <cell r="AY14"/>
          <cell r="AZ14"/>
          <cell r="BA14"/>
          <cell r="BB14"/>
          <cell r="BC14"/>
          <cell r="BD14"/>
          <cell r="BE14"/>
          <cell r="BF14"/>
          <cell r="BG14"/>
          <cell r="BH14"/>
          <cell r="BI14"/>
          <cell r="BJ14"/>
          <cell r="BK14"/>
          <cell r="BL14"/>
          <cell r="BM14"/>
          <cell r="BN14"/>
          <cell r="BO14"/>
          <cell r="BP14"/>
          <cell r="BQ14"/>
          <cell r="BR14"/>
          <cell r="BS14"/>
          <cell r="BT14"/>
          <cell r="BU14"/>
          <cell r="BV14"/>
          <cell r="BW14"/>
          <cell r="BX14"/>
          <cell r="BY14"/>
          <cell r="BZ14"/>
          <cell r="CA14"/>
          <cell r="CB14"/>
          <cell r="CC14"/>
          <cell r="CD14"/>
          <cell r="CE14"/>
          <cell r="CF14"/>
          <cell r="CG14"/>
          <cell r="CH14"/>
          <cell r="CI14"/>
          <cell r="CJ14"/>
          <cell r="CK14"/>
          <cell r="CL14"/>
          <cell r="CM14"/>
          <cell r="CN14"/>
          <cell r="CO14"/>
          <cell r="CP14"/>
          <cell r="CQ14"/>
          <cell r="CR14"/>
          <cell r="CS14"/>
          <cell r="CT14"/>
          <cell r="CU14"/>
          <cell r="CV14"/>
          <cell r="CW14"/>
          <cell r="CX14"/>
          <cell r="CY14"/>
          <cell r="CZ14"/>
          <cell r="DA14"/>
          <cell r="DB14"/>
          <cell r="DC14"/>
          <cell r="DD14"/>
          <cell r="DE14"/>
          <cell r="DF14"/>
          <cell r="DG14"/>
          <cell r="DH14"/>
          <cell r="DI14"/>
          <cell r="DJ14"/>
          <cell r="DK14"/>
          <cell r="DL14"/>
          <cell r="DM14"/>
          <cell r="DN14"/>
          <cell r="DO14"/>
          <cell r="DP14"/>
          <cell r="DQ14"/>
          <cell r="DR14"/>
          <cell r="DS14"/>
          <cell r="DT14"/>
          <cell r="DU14"/>
          <cell r="DV14"/>
          <cell r="DW14"/>
          <cell r="DX14"/>
          <cell r="DY14"/>
          <cell r="DZ14"/>
          <cell r="EA14"/>
          <cell r="EB14"/>
          <cell r="EC14"/>
          <cell r="ED14"/>
          <cell r="EE14"/>
          <cell r="EF14"/>
          <cell r="EG14"/>
          <cell r="EH14"/>
          <cell r="EI14"/>
          <cell r="EJ14"/>
          <cell r="EK14"/>
          <cell r="EL14"/>
          <cell r="EM14"/>
          <cell r="EN14"/>
          <cell r="EO14"/>
          <cell r="EP14"/>
          <cell r="EQ14"/>
          <cell r="ER14"/>
          <cell r="ES14"/>
          <cell r="ET14"/>
          <cell r="EU14"/>
          <cell r="EV14"/>
          <cell r="EW14"/>
          <cell r="EX14"/>
          <cell r="EY14"/>
          <cell r="EZ14"/>
          <cell r="FA14"/>
          <cell r="FB14"/>
          <cell r="FC14"/>
          <cell r="FD14"/>
          <cell r="FE14"/>
          <cell r="FF14"/>
          <cell r="FG14"/>
          <cell r="FH14"/>
          <cell r="FI14"/>
          <cell r="FJ14"/>
          <cell r="FK14"/>
          <cell r="FL14"/>
          <cell r="FM14"/>
          <cell r="FN14"/>
          <cell r="FO14"/>
          <cell r="FP14"/>
          <cell r="FQ14"/>
          <cell r="FR14"/>
          <cell r="FS14"/>
          <cell r="FT14"/>
          <cell r="FU14"/>
        </row>
        <row r="15">
          <cell r="A15" t="str">
            <v>Valn_MRP</v>
          </cell>
          <cell r="B15" t="str">
            <v>Market risk premium (Rm)</v>
          </cell>
          <cell r="C15">
            <v>0.06</v>
          </cell>
          <cell r="D15"/>
          <cell r="E15"/>
          <cell r="F15"/>
          <cell r="G15"/>
          <cell r="H15"/>
          <cell r="I15"/>
          <cell r="J15"/>
          <cell r="K15"/>
          <cell r="L15"/>
          <cell r="M15"/>
          <cell r="N15"/>
          <cell r="O15"/>
          <cell r="P15"/>
          <cell r="Q15"/>
          <cell r="R15"/>
          <cell r="S15"/>
          <cell r="T15"/>
          <cell r="U15"/>
          <cell r="V15"/>
          <cell r="W15"/>
          <cell r="X15"/>
          <cell r="Y15"/>
          <cell r="Z15"/>
          <cell r="AA15"/>
          <cell r="AB15"/>
          <cell r="AC15"/>
          <cell r="AD15"/>
          <cell r="AE15"/>
          <cell r="AF15"/>
          <cell r="AG15"/>
          <cell r="AH15"/>
          <cell r="AI15"/>
          <cell r="AJ15"/>
          <cell r="AK15"/>
          <cell r="AL15"/>
          <cell r="AM15"/>
          <cell r="AN15"/>
          <cell r="AO15"/>
          <cell r="AP15"/>
          <cell r="AQ15"/>
          <cell r="AR15"/>
          <cell r="AS15"/>
          <cell r="AT15"/>
          <cell r="AU15"/>
          <cell r="AV15"/>
          <cell r="AW15"/>
          <cell r="AX15"/>
          <cell r="AY15"/>
          <cell r="AZ15"/>
          <cell r="BA15"/>
          <cell r="BB15"/>
          <cell r="BC15"/>
          <cell r="BD15"/>
          <cell r="BE15"/>
          <cell r="BF15"/>
          <cell r="BG15"/>
          <cell r="BH15"/>
          <cell r="BI15"/>
          <cell r="BJ15"/>
          <cell r="BK15"/>
          <cell r="BL15"/>
          <cell r="BM15"/>
          <cell r="BN15"/>
          <cell r="BO15"/>
          <cell r="BP15"/>
          <cell r="BQ15"/>
          <cell r="BR15"/>
          <cell r="BS15"/>
          <cell r="BT15"/>
          <cell r="BU15"/>
          <cell r="BV15"/>
          <cell r="BW15"/>
          <cell r="BX15"/>
          <cell r="BY15"/>
          <cell r="BZ15"/>
          <cell r="CA15"/>
          <cell r="CB15"/>
          <cell r="CC15"/>
          <cell r="CD15"/>
          <cell r="CE15"/>
          <cell r="CF15"/>
          <cell r="CG15"/>
          <cell r="CH15"/>
          <cell r="CI15"/>
          <cell r="CJ15"/>
          <cell r="CK15"/>
          <cell r="CL15"/>
          <cell r="CM15"/>
          <cell r="CN15"/>
          <cell r="CO15"/>
          <cell r="CP15"/>
          <cell r="CQ15"/>
          <cell r="CR15"/>
          <cell r="CS15"/>
          <cell r="CT15"/>
          <cell r="CU15"/>
          <cell r="CV15"/>
          <cell r="CW15"/>
          <cell r="CX15"/>
          <cell r="CY15"/>
          <cell r="CZ15"/>
          <cell r="DA15"/>
          <cell r="DB15"/>
          <cell r="DC15"/>
          <cell r="DD15"/>
          <cell r="DE15"/>
          <cell r="DF15"/>
          <cell r="DG15"/>
          <cell r="DH15"/>
          <cell r="DI15"/>
          <cell r="DJ15"/>
          <cell r="DK15"/>
          <cell r="DL15"/>
          <cell r="DM15"/>
          <cell r="DN15"/>
          <cell r="DO15"/>
          <cell r="DP15"/>
          <cell r="DQ15"/>
          <cell r="DR15"/>
          <cell r="DS15"/>
          <cell r="DT15"/>
          <cell r="DU15"/>
          <cell r="DV15"/>
          <cell r="DW15"/>
          <cell r="DX15"/>
          <cell r="DY15"/>
          <cell r="DZ15"/>
          <cell r="EA15"/>
          <cell r="EB15"/>
          <cell r="EC15"/>
          <cell r="ED15"/>
          <cell r="EE15"/>
          <cell r="EF15"/>
          <cell r="EG15"/>
          <cell r="EH15"/>
          <cell r="EI15"/>
          <cell r="EJ15"/>
          <cell r="EK15"/>
          <cell r="EL15"/>
          <cell r="EM15"/>
          <cell r="EN15"/>
          <cell r="EO15"/>
          <cell r="EP15"/>
          <cell r="EQ15"/>
          <cell r="ER15"/>
          <cell r="ES15"/>
          <cell r="ET15"/>
          <cell r="EU15"/>
          <cell r="EV15"/>
          <cell r="EW15"/>
          <cell r="EX15"/>
          <cell r="EY15"/>
          <cell r="EZ15"/>
          <cell r="FA15"/>
          <cell r="FB15"/>
          <cell r="FC15"/>
          <cell r="FD15"/>
          <cell r="FE15"/>
          <cell r="FF15"/>
          <cell r="FG15"/>
          <cell r="FH15"/>
          <cell r="FI15"/>
          <cell r="FJ15"/>
          <cell r="FK15"/>
          <cell r="FL15"/>
          <cell r="FM15"/>
          <cell r="FN15"/>
          <cell r="FO15"/>
          <cell r="FP15"/>
          <cell r="FQ15"/>
          <cell r="FR15"/>
          <cell r="FS15"/>
          <cell r="FT15"/>
          <cell r="FU15"/>
        </row>
        <row r="16">
          <cell r="B16"/>
          <cell r="C16"/>
          <cell r="D16"/>
          <cell r="E16"/>
          <cell r="F16"/>
          <cell r="G16"/>
          <cell r="H16"/>
          <cell r="I16"/>
          <cell r="J16"/>
          <cell r="K16"/>
          <cell r="L16"/>
          <cell r="M16"/>
          <cell r="N16"/>
          <cell r="O16"/>
          <cell r="P16"/>
          <cell r="Q16"/>
          <cell r="R16"/>
          <cell r="S16"/>
          <cell r="T16"/>
          <cell r="U16"/>
          <cell r="V16"/>
          <cell r="W16"/>
          <cell r="X16"/>
          <cell r="Y16"/>
          <cell r="Z16"/>
          <cell r="AA16"/>
          <cell r="AB16"/>
          <cell r="AC16"/>
          <cell r="AD16"/>
          <cell r="AE16"/>
          <cell r="AF16"/>
          <cell r="AG16"/>
          <cell r="AH16"/>
          <cell r="AI16"/>
          <cell r="AJ16"/>
          <cell r="AK16"/>
          <cell r="AL16"/>
          <cell r="AM16"/>
          <cell r="AN16"/>
          <cell r="AO16"/>
          <cell r="AP16"/>
          <cell r="AQ16"/>
          <cell r="AR16"/>
          <cell r="AS16"/>
          <cell r="AT16"/>
          <cell r="AU16"/>
          <cell r="AV16"/>
          <cell r="AW16"/>
          <cell r="AX16"/>
          <cell r="AY16"/>
          <cell r="AZ16"/>
          <cell r="BA16"/>
          <cell r="BB16"/>
          <cell r="BC16"/>
          <cell r="BD16"/>
          <cell r="BE16"/>
          <cell r="BF16"/>
          <cell r="BG16"/>
          <cell r="BH16"/>
          <cell r="BI16"/>
          <cell r="BJ16"/>
          <cell r="BK16"/>
          <cell r="BL16"/>
          <cell r="BM16"/>
          <cell r="BN16"/>
          <cell r="BO16"/>
          <cell r="BP16"/>
          <cell r="BQ16"/>
          <cell r="BR16"/>
          <cell r="BS16"/>
          <cell r="BT16"/>
          <cell r="BU16"/>
          <cell r="BV16"/>
          <cell r="BW16"/>
          <cell r="BX16"/>
          <cell r="BY16"/>
          <cell r="BZ16"/>
          <cell r="CA16"/>
          <cell r="CB16"/>
          <cell r="CC16"/>
          <cell r="CD16"/>
          <cell r="CE16"/>
          <cell r="CF16"/>
          <cell r="CG16"/>
          <cell r="CH16"/>
          <cell r="CI16"/>
          <cell r="CJ16"/>
          <cell r="CK16"/>
          <cell r="CL16"/>
          <cell r="CM16"/>
          <cell r="CN16"/>
          <cell r="CO16"/>
          <cell r="CP16"/>
          <cell r="CQ16"/>
          <cell r="CR16"/>
          <cell r="CS16"/>
          <cell r="CT16"/>
          <cell r="CU16"/>
          <cell r="CV16"/>
          <cell r="CW16"/>
          <cell r="CX16"/>
          <cell r="CY16"/>
          <cell r="CZ16"/>
          <cell r="DA16"/>
          <cell r="DB16"/>
          <cell r="DC16"/>
          <cell r="DD16"/>
          <cell r="DE16"/>
          <cell r="DF16"/>
          <cell r="DG16"/>
          <cell r="DH16"/>
          <cell r="DI16"/>
          <cell r="DJ16"/>
          <cell r="DK16"/>
          <cell r="DL16"/>
          <cell r="DM16"/>
          <cell r="DN16"/>
          <cell r="DO16"/>
          <cell r="DP16"/>
          <cell r="DQ16"/>
          <cell r="DR16"/>
          <cell r="DS16"/>
          <cell r="DT16"/>
          <cell r="DU16"/>
          <cell r="DV16"/>
          <cell r="DW16"/>
          <cell r="DX16"/>
          <cell r="DY16"/>
          <cell r="DZ16"/>
          <cell r="EA16"/>
          <cell r="EB16"/>
          <cell r="EC16"/>
          <cell r="ED16"/>
          <cell r="EE16"/>
          <cell r="EF16"/>
          <cell r="EG16"/>
          <cell r="EH16"/>
          <cell r="EI16"/>
          <cell r="EJ16"/>
          <cell r="EK16"/>
          <cell r="EL16"/>
          <cell r="EM16"/>
          <cell r="EN16"/>
          <cell r="EO16"/>
          <cell r="EP16"/>
          <cell r="EQ16"/>
          <cell r="ER16"/>
          <cell r="ES16"/>
          <cell r="ET16"/>
          <cell r="EU16"/>
          <cell r="EV16"/>
          <cell r="EW16"/>
          <cell r="EX16"/>
          <cell r="EY16"/>
          <cell r="EZ16"/>
          <cell r="FA16"/>
          <cell r="FB16"/>
          <cell r="FC16"/>
          <cell r="FD16"/>
          <cell r="FE16"/>
          <cell r="FF16"/>
          <cell r="FG16"/>
          <cell r="FH16"/>
          <cell r="FI16"/>
          <cell r="FJ16"/>
          <cell r="FK16"/>
          <cell r="FL16"/>
          <cell r="FM16"/>
          <cell r="FN16"/>
          <cell r="FO16"/>
          <cell r="FP16"/>
          <cell r="FQ16"/>
          <cell r="FR16"/>
          <cell r="FS16"/>
          <cell r="FT16"/>
          <cell r="FU16"/>
        </row>
        <row r="17">
          <cell r="B17"/>
          <cell r="C17"/>
          <cell r="D17"/>
          <cell r="E17"/>
          <cell r="F17"/>
          <cell r="G17"/>
          <cell r="H17"/>
          <cell r="I17"/>
          <cell r="J17"/>
          <cell r="K17"/>
          <cell r="L17"/>
          <cell r="M17"/>
          <cell r="N17"/>
          <cell r="O17"/>
          <cell r="P17"/>
          <cell r="Q17"/>
          <cell r="R17"/>
          <cell r="S17"/>
          <cell r="T17"/>
          <cell r="U17"/>
          <cell r="V17"/>
          <cell r="W17"/>
          <cell r="X17"/>
          <cell r="Y17"/>
          <cell r="Z17"/>
          <cell r="AA17"/>
          <cell r="AB17"/>
          <cell r="AC17"/>
          <cell r="AD17"/>
          <cell r="AE17"/>
          <cell r="AF17"/>
          <cell r="AG17"/>
          <cell r="AH17"/>
          <cell r="AI17"/>
          <cell r="AJ17"/>
          <cell r="AK17"/>
          <cell r="AL17"/>
          <cell r="AM17"/>
          <cell r="AN17"/>
          <cell r="AO17"/>
          <cell r="AP17"/>
          <cell r="AQ17"/>
          <cell r="AR17"/>
          <cell r="AS17"/>
          <cell r="AT17"/>
          <cell r="AU17"/>
          <cell r="AV17"/>
          <cell r="AW17"/>
          <cell r="AX17"/>
          <cell r="AY17"/>
          <cell r="AZ17"/>
          <cell r="BA17"/>
          <cell r="BB17"/>
          <cell r="BC17"/>
          <cell r="BD17"/>
          <cell r="BE17"/>
          <cell r="BF17"/>
          <cell r="BG17"/>
          <cell r="BH17"/>
          <cell r="BI17"/>
          <cell r="BJ17"/>
          <cell r="BK17"/>
          <cell r="BL17"/>
          <cell r="BM17"/>
          <cell r="BN17"/>
          <cell r="BO17"/>
          <cell r="BP17"/>
          <cell r="BQ17"/>
          <cell r="BR17"/>
          <cell r="BS17"/>
          <cell r="BT17"/>
          <cell r="BU17"/>
          <cell r="BV17"/>
          <cell r="BW17"/>
          <cell r="BX17"/>
          <cell r="BY17"/>
          <cell r="BZ17"/>
          <cell r="CA17"/>
          <cell r="CB17"/>
          <cell r="CC17"/>
          <cell r="CD17"/>
          <cell r="CE17"/>
          <cell r="CF17"/>
          <cell r="CG17"/>
          <cell r="CH17"/>
          <cell r="CI17"/>
          <cell r="CJ17"/>
          <cell r="CK17"/>
          <cell r="CL17"/>
          <cell r="CM17"/>
          <cell r="CN17"/>
          <cell r="CO17"/>
          <cell r="CP17"/>
          <cell r="CQ17"/>
          <cell r="CR17"/>
          <cell r="CS17"/>
          <cell r="CT17"/>
          <cell r="CU17"/>
          <cell r="CV17"/>
          <cell r="CW17"/>
          <cell r="CX17"/>
          <cell r="CY17"/>
          <cell r="CZ17"/>
          <cell r="DA17"/>
          <cell r="DB17"/>
          <cell r="DC17"/>
          <cell r="DD17"/>
          <cell r="DE17"/>
          <cell r="DF17"/>
          <cell r="DG17"/>
          <cell r="DH17"/>
          <cell r="DI17"/>
          <cell r="DJ17"/>
          <cell r="DK17"/>
          <cell r="DL17"/>
          <cell r="DM17"/>
          <cell r="DN17"/>
          <cell r="DO17"/>
          <cell r="DP17"/>
          <cell r="DQ17"/>
          <cell r="DR17"/>
          <cell r="DS17"/>
          <cell r="DT17"/>
          <cell r="DU17"/>
          <cell r="DV17"/>
          <cell r="DW17"/>
          <cell r="DX17"/>
          <cell r="DY17"/>
          <cell r="DZ17"/>
          <cell r="EA17"/>
          <cell r="EB17"/>
          <cell r="EC17"/>
          <cell r="ED17"/>
          <cell r="EE17"/>
          <cell r="EF17"/>
          <cell r="EG17"/>
          <cell r="EH17"/>
          <cell r="EI17"/>
          <cell r="EJ17"/>
          <cell r="EK17"/>
          <cell r="EL17"/>
          <cell r="EM17"/>
          <cell r="EN17"/>
          <cell r="EO17"/>
          <cell r="EP17"/>
          <cell r="EQ17"/>
          <cell r="ER17"/>
          <cell r="ES17"/>
          <cell r="ET17"/>
          <cell r="EU17"/>
          <cell r="EV17"/>
          <cell r="EW17"/>
          <cell r="EX17"/>
          <cell r="EY17"/>
          <cell r="EZ17"/>
          <cell r="FA17"/>
          <cell r="FB17"/>
          <cell r="FC17"/>
          <cell r="FD17"/>
          <cell r="FE17"/>
          <cell r="FF17"/>
          <cell r="FG17"/>
          <cell r="FH17"/>
          <cell r="FI17"/>
          <cell r="FJ17"/>
          <cell r="FK17"/>
          <cell r="FL17"/>
          <cell r="FM17"/>
          <cell r="FN17"/>
          <cell r="FO17"/>
          <cell r="FP17"/>
          <cell r="FQ17"/>
          <cell r="FR17"/>
          <cell r="FS17"/>
          <cell r="FT17"/>
          <cell r="FU17"/>
        </row>
        <row r="18">
          <cell r="B18" t="str">
            <v>Rates - period end</v>
          </cell>
          <cell r="C18"/>
          <cell r="D18"/>
          <cell r="E18"/>
          <cell r="F18"/>
          <cell r="G18"/>
          <cell r="H18"/>
          <cell r="I18"/>
          <cell r="J18"/>
          <cell r="K18"/>
          <cell r="L18"/>
          <cell r="M18"/>
          <cell r="N18"/>
          <cell r="O18"/>
          <cell r="P18"/>
          <cell r="Q18"/>
          <cell r="R18"/>
          <cell r="S18"/>
          <cell r="T18"/>
          <cell r="U18"/>
          <cell r="V18"/>
          <cell r="W18"/>
          <cell r="X18"/>
          <cell r="Y18"/>
          <cell r="Z18"/>
          <cell r="AA18"/>
          <cell r="AB18"/>
          <cell r="AC18"/>
          <cell r="AD18"/>
          <cell r="AE18"/>
          <cell r="AF18"/>
          <cell r="AG18"/>
          <cell r="AH18"/>
          <cell r="AI18"/>
          <cell r="AJ18"/>
          <cell r="AK18"/>
          <cell r="AL18"/>
          <cell r="AM18"/>
          <cell r="AN18"/>
          <cell r="AO18"/>
          <cell r="AP18"/>
          <cell r="AQ18"/>
          <cell r="AR18"/>
          <cell r="AS18"/>
          <cell r="AT18"/>
          <cell r="AU18"/>
          <cell r="AV18"/>
          <cell r="AW18"/>
          <cell r="AX18"/>
          <cell r="AY18"/>
          <cell r="AZ18"/>
          <cell r="BA18"/>
          <cell r="BB18"/>
          <cell r="BC18"/>
          <cell r="BD18"/>
          <cell r="BE18"/>
          <cell r="BF18"/>
          <cell r="BG18"/>
          <cell r="BH18"/>
          <cell r="BI18"/>
          <cell r="BJ18"/>
          <cell r="BK18"/>
          <cell r="BL18"/>
          <cell r="BM18"/>
          <cell r="BN18"/>
          <cell r="BO18"/>
          <cell r="BP18"/>
          <cell r="BQ18"/>
          <cell r="BR18"/>
          <cell r="BS18"/>
          <cell r="BT18"/>
          <cell r="BU18"/>
          <cell r="BV18"/>
          <cell r="BW18"/>
          <cell r="BX18"/>
          <cell r="BY18"/>
          <cell r="BZ18"/>
          <cell r="CA18"/>
          <cell r="CB18"/>
          <cell r="CC18"/>
          <cell r="CD18"/>
          <cell r="CE18"/>
          <cell r="CF18"/>
          <cell r="CG18"/>
          <cell r="CH18"/>
          <cell r="CI18"/>
          <cell r="CJ18"/>
          <cell r="CK18"/>
          <cell r="CL18"/>
          <cell r="CM18"/>
          <cell r="CN18"/>
          <cell r="CO18"/>
          <cell r="CP18"/>
          <cell r="CQ18"/>
          <cell r="CR18"/>
          <cell r="CS18"/>
          <cell r="CT18"/>
          <cell r="CU18"/>
          <cell r="CV18"/>
          <cell r="CW18"/>
          <cell r="CX18"/>
          <cell r="CY18"/>
          <cell r="CZ18"/>
          <cell r="DA18"/>
          <cell r="DB18"/>
          <cell r="DC18"/>
          <cell r="DD18"/>
          <cell r="DE18"/>
          <cell r="DF18"/>
          <cell r="DG18"/>
          <cell r="DH18"/>
          <cell r="DI18"/>
          <cell r="DJ18"/>
          <cell r="DK18"/>
          <cell r="DL18"/>
          <cell r="DM18"/>
          <cell r="DN18"/>
          <cell r="DO18"/>
          <cell r="DP18"/>
          <cell r="DQ18"/>
          <cell r="DR18"/>
          <cell r="DS18"/>
          <cell r="DT18"/>
          <cell r="DU18"/>
          <cell r="DV18"/>
          <cell r="DW18"/>
          <cell r="DX18"/>
          <cell r="DY18"/>
          <cell r="DZ18"/>
          <cell r="EA18"/>
          <cell r="EB18"/>
          <cell r="EC18"/>
          <cell r="ED18"/>
          <cell r="EE18"/>
          <cell r="EF18"/>
          <cell r="EG18"/>
          <cell r="EH18"/>
          <cell r="EI18"/>
          <cell r="EJ18"/>
          <cell r="EK18"/>
          <cell r="EL18"/>
          <cell r="EM18"/>
          <cell r="EN18"/>
          <cell r="EO18"/>
          <cell r="EP18"/>
          <cell r="EQ18"/>
          <cell r="ER18"/>
          <cell r="ES18"/>
          <cell r="ET18"/>
          <cell r="EU18"/>
          <cell r="EV18"/>
          <cell r="EW18"/>
          <cell r="EX18"/>
          <cell r="EY18"/>
          <cell r="EZ18"/>
          <cell r="FA18"/>
          <cell r="FB18"/>
          <cell r="FC18"/>
          <cell r="FD18"/>
          <cell r="FE18"/>
          <cell r="FF18"/>
          <cell r="FG18"/>
          <cell r="FH18"/>
          <cell r="FI18"/>
          <cell r="FJ18"/>
          <cell r="FK18"/>
          <cell r="FL18"/>
          <cell r="FM18"/>
          <cell r="FN18"/>
          <cell r="FO18"/>
          <cell r="FP18"/>
          <cell r="FQ18"/>
          <cell r="FR18"/>
          <cell r="FS18"/>
          <cell r="FT18"/>
          <cell r="FU18"/>
        </row>
        <row r="19">
          <cell r="A19" t="str">
            <v>au_cash</v>
          </cell>
          <cell r="B19" t="str">
            <v>Aust cash</v>
          </cell>
          <cell r="D19">
            <v>7.4499999999999997E-2</v>
          </cell>
          <cell r="E19">
            <v>6.5000000000000002E-2</v>
          </cell>
          <cell r="F19">
            <v>5.2999999999999999E-2</v>
          </cell>
          <cell r="G19">
            <v>5.7500000000000002E-2</v>
          </cell>
          <cell r="H19">
            <v>5.1500000000000004E-2</v>
          </cell>
          <cell r="I19">
            <v>5.1500000000000004E-2</v>
          </cell>
          <cell r="J19">
            <v>4.7E-2</v>
          </cell>
          <cell r="K19">
            <v>4.8000000000000001E-2</v>
          </cell>
          <cell r="L19">
            <v>4.7500000000000001E-2</v>
          </cell>
          <cell r="M19">
            <v>4.4999999999999998E-2</v>
          </cell>
          <cell r="N19">
            <v>5.5E-2</v>
          </cell>
          <cell r="O19">
            <v>7.4499999999999997E-2</v>
          </cell>
          <cell r="P19">
            <v>7.4499999999999997E-2</v>
          </cell>
          <cell r="Q19">
            <v>7.3700000000000002E-2</v>
          </cell>
          <cell r="R19">
            <v>7.400000000000001E-2</v>
          </cell>
          <cell r="S19">
            <v>7.400000000000001E-2</v>
          </cell>
          <cell r="T19">
            <v>7.2999999999999995E-2</v>
          </cell>
          <cell r="U19">
            <v>7.0000000000000007E-2</v>
          </cell>
          <cell r="V19">
            <v>7.0499999999999993E-2</v>
          </cell>
          <cell r="W19">
            <v>6.0899999999999996E-2</v>
          </cell>
          <cell r="X19">
            <v>6.13E-2</v>
          </cell>
          <cell r="Y19">
            <v>5.5E-2</v>
          </cell>
          <cell r="Z19">
            <v>4.9800000000000004E-2</v>
          </cell>
          <cell r="AA19">
            <v>4.9800000000000004E-2</v>
          </cell>
          <cell r="AB19">
            <v>4.9800000000000004E-2</v>
          </cell>
          <cell r="AC19">
            <v>4.9800000000000004E-2</v>
          </cell>
          <cell r="AD19">
            <v>4.9599999999999998E-2</v>
          </cell>
          <cell r="AE19">
            <v>4.7199999999999999E-2</v>
          </cell>
          <cell r="AF19">
            <v>4.7400000000000005E-2</v>
          </cell>
          <cell r="AG19">
            <v>4.7800000000000002E-2</v>
          </cell>
          <cell r="AH19">
            <v>4.7599999999999996E-2</v>
          </cell>
          <cell r="AI19">
            <v>0.05</v>
          </cell>
          <cell r="AJ19">
            <v>5.5E-2</v>
          </cell>
          <cell r="AK19">
            <v>0.06</v>
          </cell>
          <cell r="AL19">
            <v>6.25E-2</v>
          </cell>
          <cell r="AM19">
            <v>6.25E-2</v>
          </cell>
          <cell r="AN19">
            <v>5.5E-2</v>
          </cell>
          <cell r="AO19">
            <v>0.05</v>
          </cell>
          <cell r="AP19">
            <v>4.7500000000000001E-2</v>
          </cell>
          <cell r="AQ19">
            <v>4.2500000000000003E-2</v>
          </cell>
          <cell r="AR19">
            <v>4.2500000000000003E-2</v>
          </cell>
          <cell r="AS19">
            <v>4.7500000000000001E-2</v>
          </cell>
          <cell r="AT19">
            <v>4.7500000000000001E-2</v>
          </cell>
          <cell r="AU19">
            <v>4.7500000000000001E-2</v>
          </cell>
          <cell r="AV19">
            <v>4.7500000000000001E-2</v>
          </cell>
          <cell r="AW19">
            <v>4.7500000000000001E-2</v>
          </cell>
          <cell r="AX19">
            <v>4.7500000000000001E-2</v>
          </cell>
          <cell r="AY19">
            <v>5.2499999999999998E-2</v>
          </cell>
          <cell r="AZ19">
            <v>5.2499999999999998E-2</v>
          </cell>
          <cell r="BA19">
            <v>5.2499999999999998E-2</v>
          </cell>
          <cell r="BB19">
            <v>5.2499999999999998E-2</v>
          </cell>
          <cell r="BC19">
            <v>5.2499999999999998E-2</v>
          </cell>
          <cell r="BD19">
            <v>5.5E-2</v>
          </cell>
          <cell r="BE19">
            <v>5.5E-2</v>
          </cell>
          <cell r="BF19">
            <v>5.5E-2</v>
          </cell>
          <cell r="BG19">
            <v>5.5E-2</v>
          </cell>
          <cell r="BH19">
            <v>5.5E-2</v>
          </cell>
          <cell r="BI19">
            <v>5.7500000000000002E-2</v>
          </cell>
          <cell r="BJ19">
            <v>0.06</v>
          </cell>
          <cell r="BK19">
            <v>6.25E-2</v>
          </cell>
          <cell r="BL19">
            <v>6.25E-2</v>
          </cell>
          <cell r="BM19">
            <v>6.25E-2</v>
          </cell>
          <cell r="BN19">
            <v>6.5000000000000002E-2</v>
          </cell>
          <cell r="BO19">
            <v>6.7500000000000004E-2</v>
          </cell>
          <cell r="BP19">
            <v>7.2499999999999995E-2</v>
          </cell>
          <cell r="BQ19">
            <v>7.2499999999999995E-2</v>
          </cell>
          <cell r="BR19">
            <v>7.0000000000000007E-2</v>
          </cell>
          <cell r="BS19">
            <v>4.2500000000000003E-2</v>
          </cell>
          <cell r="BT19">
            <v>3.2500000000000001E-2</v>
          </cell>
          <cell r="BU19">
            <v>0.03</v>
          </cell>
          <cell r="BV19">
            <v>0.03</v>
          </cell>
          <cell r="BW19">
            <v>3.7499999999999999E-2</v>
          </cell>
          <cell r="BX19">
            <v>0.04</v>
          </cell>
          <cell r="BY19">
            <v>4.4999999999999998E-2</v>
          </cell>
          <cell r="BZ19">
            <v>4.4999999999999998E-2</v>
          </cell>
          <cell r="CA19">
            <v>4.7500000000000001E-2</v>
          </cell>
          <cell r="CB19">
            <v>4.7500000000000001E-2</v>
          </cell>
          <cell r="CC19">
            <v>4.7500000000000001E-2</v>
          </cell>
          <cell r="CD19">
            <v>4.7500000000000001E-2</v>
          </cell>
          <cell r="CE19">
            <v>4.2500000000000003E-2</v>
          </cell>
          <cell r="CF19">
            <v>4.2500000000000003E-2</v>
          </cell>
          <cell r="CG19">
            <v>3.5000000000000003E-2</v>
          </cell>
          <cell r="CH19">
            <v>3.5000000000000003E-2</v>
          </cell>
          <cell r="CI19">
            <v>0.03</v>
          </cell>
          <cell r="CJ19">
            <v>0.03</v>
          </cell>
          <cell r="CK19">
            <v>2.75E-2</v>
          </cell>
          <cell r="CL19">
            <v>2.5000000000000001E-2</v>
          </cell>
          <cell r="CM19">
            <v>2.5000000000000001E-2</v>
          </cell>
          <cell r="CN19">
            <v>2.5000000000000001E-2</v>
          </cell>
          <cell r="CO19">
            <v>2.5000000000000001E-2</v>
          </cell>
          <cell r="CP19">
            <v>2.5000000000000001E-2</v>
          </cell>
          <cell r="CQ19">
            <v>2.5000000000000001E-2</v>
          </cell>
          <cell r="CR19">
            <v>2.2499999999999999E-2</v>
          </cell>
          <cell r="CS19">
            <v>0.02</v>
          </cell>
          <cell r="CT19">
            <v>0.02</v>
          </cell>
          <cell r="CU19">
            <v>0.02</v>
          </cell>
          <cell r="CV19">
            <v>0.02</v>
          </cell>
          <cell r="CW19">
            <v>1.7500000000000002E-2</v>
          </cell>
          <cell r="CX19">
            <v>1.4999999999999999E-2</v>
          </cell>
          <cell r="CY19">
            <v>1.4999999999999999E-2</v>
          </cell>
          <cell r="CZ19">
            <v>1.4999999999999999E-2</v>
          </cell>
          <cell r="DA19">
            <v>1.4999999999999999E-2</v>
          </cell>
          <cell r="DB19">
            <v>1.4999999999999999E-2</v>
          </cell>
          <cell r="DC19">
            <v>1.4999999999999999E-2</v>
          </cell>
          <cell r="DD19">
            <v>1.4999999999999999E-2</v>
          </cell>
          <cell r="DE19">
            <v>1.4999999999999999E-2</v>
          </cell>
          <cell r="DF19">
            <v>1.4999999999999999E-2</v>
          </cell>
          <cell r="DG19">
            <v>1.4999999999999999E-2</v>
          </cell>
          <cell r="DH19">
            <v>1.4999999999999999E-2</v>
          </cell>
          <cell r="DI19">
            <v>1.2500000000000001E-2</v>
          </cell>
          <cell r="DJ19">
            <v>0.01</v>
          </cell>
          <cell r="DK19">
            <v>7.4999999999999997E-3</v>
          </cell>
          <cell r="DL19">
            <v>2.5000000000000001E-3</v>
          </cell>
          <cell r="DM19">
            <v>2.5000000000000001E-3</v>
          </cell>
          <cell r="DN19">
            <v>2.5000000000000001E-3</v>
          </cell>
          <cell r="DO19">
            <v>1E-3</v>
          </cell>
          <cell r="DP19">
            <v>1E-3</v>
          </cell>
          <cell r="DQ19">
            <v>1E-3</v>
          </cell>
          <cell r="DR19">
            <v>1E-3</v>
          </cell>
          <cell r="DS19">
            <v>1E-3</v>
          </cell>
          <cell r="DT19">
            <v>1E-3</v>
          </cell>
          <cell r="DU19">
            <v>8.5000000000000006E-3</v>
          </cell>
          <cell r="DV19">
            <v>2.35E-2</v>
          </cell>
          <cell r="DW19">
            <v>3.1E-2</v>
          </cell>
          <cell r="DX19">
            <v>3.6000000000000004E-2</v>
          </cell>
          <cell r="DY19">
            <v>4.0999999999999995E-2</v>
          </cell>
          <cell r="DZ19">
            <v>4.0999999999999995E-2</v>
          </cell>
          <cell r="EA19">
            <v>4.3499999999999997E-2</v>
          </cell>
          <cell r="EB19">
            <v>4.3499999999999997E-2</v>
          </cell>
          <cell r="EC19">
            <v>4.3499999999999997E-2</v>
          </cell>
          <cell r="ED19">
            <v>4.3499999999999997E-2</v>
          </cell>
          <cell r="EE19">
            <v>4.3499999999999997E-2</v>
          </cell>
          <cell r="EF19">
            <v>4.0999999999999995E-2</v>
          </cell>
          <cell r="EG19">
            <v>3.85E-2</v>
          </cell>
          <cell r="EH19">
            <v>3.6000000000000004E-2</v>
          </cell>
          <cell r="EI19">
            <v>3.6000000000000004E-2</v>
          </cell>
          <cell r="EJ19">
            <v>3.6000000000000004E-2</v>
          </cell>
          <cell r="EK19">
            <v>3.6000000000000004E-2</v>
          </cell>
          <cell r="EL19">
            <v>3.6000000000000004E-2</v>
          </cell>
          <cell r="EM19">
            <v>3.6000000000000004E-2</v>
          </cell>
          <cell r="EN19">
            <v>3.6000000000000004E-2</v>
          </cell>
          <cell r="EO19">
            <v>3.6000000000000004E-2</v>
          </cell>
          <cell r="EP19">
            <v>3.6000000000000004E-2</v>
          </cell>
          <cell r="EQ19">
            <v>3.6000000000000004E-2</v>
          </cell>
          <cell r="ER19">
            <v>3.6000000000000004E-2</v>
          </cell>
          <cell r="ES19">
            <v>3.6000000000000004E-2</v>
          </cell>
          <cell r="ET19">
            <v>3.6000000000000004E-2</v>
          </cell>
          <cell r="EU19">
            <v>3.6000000000000004E-2</v>
          </cell>
          <cell r="EV19">
            <v>3.6000000000000004E-2</v>
          </cell>
          <cell r="EW19">
            <v>3.6000000000000004E-2</v>
          </cell>
          <cell r="EX19">
            <v>3.6000000000000004E-2</v>
          </cell>
          <cell r="EY19">
            <v>3.6000000000000004E-2</v>
          </cell>
          <cell r="EZ19">
            <v>3.6000000000000004E-2</v>
          </cell>
          <cell r="FA19">
            <v>3.6000000000000004E-2</v>
          </cell>
          <cell r="FB19">
            <v>3.6000000000000004E-2</v>
          </cell>
          <cell r="FC19">
            <v>3.6000000000000004E-2</v>
          </cell>
          <cell r="FD19">
            <v>3.6000000000000004E-2</v>
          </cell>
          <cell r="FE19">
            <v>3.6000000000000004E-2</v>
          </cell>
          <cell r="FF19">
            <v>3.6000000000000004E-2</v>
          </cell>
          <cell r="FG19">
            <v>3.6000000000000004E-2</v>
          </cell>
          <cell r="FH19">
            <v>3.6000000000000004E-2</v>
          </cell>
          <cell r="FI19">
            <v>3.6000000000000004E-2</v>
          </cell>
          <cell r="FJ19">
            <v>3.6000000000000004E-2</v>
          </cell>
          <cell r="FK19">
            <v>3.6000000000000004E-2</v>
          </cell>
          <cell r="FL19">
            <v>3.6000000000000004E-2</v>
          </cell>
          <cell r="FM19">
            <v>3.6000000000000004E-2</v>
          </cell>
          <cell r="FN19">
            <v>3.6000000000000004E-2</v>
          </cell>
          <cell r="FO19">
            <v>3.6000000000000004E-2</v>
          </cell>
          <cell r="FP19">
            <v>3.6000000000000004E-2</v>
          </cell>
          <cell r="FQ19">
            <v>3.6000000000000004E-2</v>
          </cell>
          <cell r="FR19">
            <v>3.6000000000000004E-2</v>
          </cell>
          <cell r="FS19">
            <v>3.6000000000000004E-2</v>
          </cell>
          <cell r="FT19">
            <v>3.6000000000000004E-2</v>
          </cell>
          <cell r="FU19">
            <v>3.6000000000000004E-2</v>
          </cell>
          <cell r="FV19"/>
        </row>
        <row r="20">
          <cell r="A20" t="str">
            <v>au_bbsw3m</v>
          </cell>
          <cell r="B20" t="str">
            <v>Aust 90 day bill</v>
          </cell>
          <cell r="D20">
            <v>7.5399999999999995E-2</v>
          </cell>
          <cell r="E20">
            <v>6.2300000000000001E-2</v>
          </cell>
          <cell r="F20">
            <v>0.06</v>
          </cell>
          <cell r="G20">
            <v>5.9400000000000001E-2</v>
          </cell>
          <cell r="H20">
            <v>5.3399999999999996E-2</v>
          </cell>
          <cell r="I20">
            <v>5.2600000000000001E-2</v>
          </cell>
          <cell r="J20">
            <v>4.87E-2</v>
          </cell>
          <cell r="K20">
            <v>4.8399999999999999E-2</v>
          </cell>
          <cell r="L20">
            <v>4.9699999999999994E-2</v>
          </cell>
          <cell r="M20">
            <v>5.6900000000000006E-2</v>
          </cell>
          <cell r="N20">
            <v>6.2329999999999997E-2</v>
          </cell>
          <cell r="O20">
            <v>8.2180000000000003E-2</v>
          </cell>
          <cell r="P20">
            <v>8.1750000000000003E-2</v>
          </cell>
          <cell r="Q20">
            <v>7.5740000000000002E-2</v>
          </cell>
          <cell r="R20">
            <v>7.5179999999999997E-2</v>
          </cell>
          <cell r="S20">
            <v>7.4370000000000006E-2</v>
          </cell>
          <cell r="T20">
            <v>7.5830000000000009E-2</v>
          </cell>
          <cell r="U20">
            <v>7.5869999999999993E-2</v>
          </cell>
          <cell r="V20">
            <v>6.8430000000000005E-2</v>
          </cell>
          <cell r="W20">
            <v>5.987E-2</v>
          </cell>
          <cell r="X20">
            <v>6.0929999999999998E-2</v>
          </cell>
          <cell r="Y20">
            <v>5.3467000000000001E-2</v>
          </cell>
          <cell r="Z20">
            <v>4.7750000000000001E-2</v>
          </cell>
          <cell r="AA20">
            <v>5.0650000000000001E-2</v>
          </cell>
          <cell r="AB20">
            <v>4.9800000000000004E-2</v>
          </cell>
          <cell r="AC20">
            <v>5.2699999999999997E-2</v>
          </cell>
          <cell r="AD20">
            <v>4.9867000000000002E-2</v>
          </cell>
          <cell r="AE20">
            <v>4.8250000000000001E-2</v>
          </cell>
          <cell r="AF20">
            <v>4.8282999999999993E-2</v>
          </cell>
          <cell r="AG20">
            <v>4.9832999999999995E-2</v>
          </cell>
          <cell r="AH20">
            <v>5.0999999999999997E-2</v>
          </cell>
          <cell r="AI20">
            <v>5.7382999999999997E-2</v>
          </cell>
          <cell r="AJ20">
            <v>6.0449999999999997E-2</v>
          </cell>
          <cell r="AK20">
            <v>6.1717000000000001E-2</v>
          </cell>
          <cell r="AL20">
            <v>6.6317000000000001E-2</v>
          </cell>
          <cell r="AM20">
            <v>6.1500000000000006E-2</v>
          </cell>
          <cell r="AN20">
            <v>5.1200000000000002E-2</v>
          </cell>
          <cell r="AO20">
            <v>5.0117000000000002E-2</v>
          </cell>
          <cell r="AP20">
            <v>4.3799999999999999E-2</v>
          </cell>
          <cell r="AQ20">
            <v>4.2466999999999998E-2</v>
          </cell>
          <cell r="AR20">
            <v>4.6367000000000005E-2</v>
          </cell>
          <cell r="AS20">
            <v>5.1150000000000001E-2</v>
          </cell>
          <cell r="AT20">
            <v>4.9016999999999998E-2</v>
          </cell>
          <cell r="AU20">
            <v>4.7899999999999998E-2</v>
          </cell>
          <cell r="AV20">
            <v>4.7933000000000003E-2</v>
          </cell>
          <cell r="AW20">
            <v>4.6799999999999994E-2</v>
          </cell>
          <cell r="AX20">
            <v>4.9067E-2</v>
          </cell>
          <cell r="AY20">
            <v>5.525E-2</v>
          </cell>
          <cell r="AZ20">
            <v>5.5217000000000002E-2</v>
          </cell>
          <cell r="BA20">
            <v>5.4782999999999998E-2</v>
          </cell>
          <cell r="BB20">
            <v>5.4332999999999999E-2</v>
          </cell>
          <cell r="BC20">
            <v>5.4332999999999999E-2</v>
          </cell>
          <cell r="BD20">
            <v>5.9249999999999997E-2</v>
          </cell>
          <cell r="BE20">
            <v>5.6666999999999995E-2</v>
          </cell>
          <cell r="BF20">
            <v>5.6550000000000003E-2</v>
          </cell>
          <cell r="BG20">
            <v>5.6482999999999998E-2</v>
          </cell>
          <cell r="BH20">
            <v>5.6100000000000004E-2</v>
          </cell>
          <cell r="BI20">
            <v>5.9800000000000006E-2</v>
          </cell>
          <cell r="BJ20">
            <v>6.1733000000000003E-2</v>
          </cell>
          <cell r="BK20">
            <v>6.4417000000000002E-2</v>
          </cell>
          <cell r="BL20">
            <v>6.515E-2</v>
          </cell>
          <cell r="BM20">
            <v>6.4367000000000008E-2</v>
          </cell>
          <cell r="BN20">
            <v>6.8849999999999995E-2</v>
          </cell>
          <cell r="BO20">
            <v>7.2400000000000006E-2</v>
          </cell>
          <cell r="BP20">
            <v>7.8632999999999995E-2</v>
          </cell>
          <cell r="BQ20">
            <v>7.8383000000000008E-2</v>
          </cell>
          <cell r="BR20">
            <v>7.3217000000000004E-2</v>
          </cell>
          <cell r="BS20">
            <v>4.1500000000000002E-2</v>
          </cell>
          <cell r="BT20">
            <v>3.1383000000000001E-2</v>
          </cell>
          <cell r="BU20">
            <v>3.1899999999999998E-2</v>
          </cell>
          <cell r="BV20">
            <v>3.3766999999999998E-2</v>
          </cell>
          <cell r="BW20">
            <v>4.2782999999999995E-2</v>
          </cell>
          <cell r="BX20">
            <v>4.4932999999999994E-2</v>
          </cell>
          <cell r="BY20">
            <v>4.9200000000000001E-2</v>
          </cell>
          <cell r="BZ20">
            <v>5.0117000000000002E-2</v>
          </cell>
          <cell r="CA20">
            <v>5.0317000000000001E-2</v>
          </cell>
          <cell r="CB20">
            <v>4.9317E-2</v>
          </cell>
          <cell r="CC20">
            <v>5.0332999999999996E-2</v>
          </cell>
          <cell r="CD20">
            <v>4.9217000000000004E-2</v>
          </cell>
          <cell r="CE20">
            <v>4.4782999999999996E-2</v>
          </cell>
          <cell r="CF20">
            <v>4.3400000000000001E-2</v>
          </cell>
          <cell r="CG20">
            <v>3.4849999999999999E-2</v>
          </cell>
          <cell r="CH20">
            <v>3.3700000000000001E-2</v>
          </cell>
          <cell r="CI20">
            <v>3.1099999999999999E-2</v>
          </cell>
          <cell r="CJ20">
            <v>3.1042E-2</v>
          </cell>
          <cell r="CK20">
            <v>2.8199999999999999E-2</v>
          </cell>
          <cell r="CL20">
            <v>2.5966999999999997E-2</v>
          </cell>
          <cell r="CM20">
            <v>2.6467000000000001E-2</v>
          </cell>
          <cell r="CN20">
            <v>2.6949999999999998E-2</v>
          </cell>
          <cell r="CO20">
            <v>2.7050000000000001E-2</v>
          </cell>
          <cell r="CP20">
            <v>2.665E-2</v>
          </cell>
          <cell r="CQ20">
            <v>2.7699999999999999E-2</v>
          </cell>
          <cell r="CR20">
            <v>2.2250000000000002E-2</v>
          </cell>
          <cell r="CS20">
            <v>2.1499999999999998E-2</v>
          </cell>
          <cell r="CT20">
            <v>2.18E-2</v>
          </cell>
          <cell r="CU20">
            <v>2.375E-2</v>
          </cell>
          <cell r="CV20">
            <v>2.2850000000000002E-2</v>
          </cell>
          <cell r="CW20">
            <v>1.9599999999999999E-2</v>
          </cell>
          <cell r="CX20">
            <v>1.7399999999999999E-2</v>
          </cell>
          <cell r="CY20">
            <v>1.8149999999999999E-2</v>
          </cell>
          <cell r="CZ20">
            <v>1.7950000000000001E-2</v>
          </cell>
          <cell r="DA20">
            <v>1.7049999999999999E-2</v>
          </cell>
          <cell r="DB20">
            <v>1.7100000000000001E-2</v>
          </cell>
          <cell r="DC20">
            <v>1.7950000000000001E-2</v>
          </cell>
          <cell r="DD20">
            <v>2.0299999999999999E-2</v>
          </cell>
          <cell r="DE20">
            <v>2.1104999999999999E-2</v>
          </cell>
          <cell r="DF20">
            <v>1.9400000000000001E-2</v>
          </cell>
          <cell r="DG20">
            <v>2.0899999999999998E-2</v>
          </cell>
          <cell r="DH20">
            <v>1.7704999999999999E-2</v>
          </cell>
          <cell r="DI20">
            <v>1.2045999999999999E-2</v>
          </cell>
          <cell r="DJ20">
            <v>9.4999999999999998E-3</v>
          </cell>
          <cell r="DK20">
            <v>9.2239999999999996E-3</v>
          </cell>
          <cell r="DL20">
            <v>3.7330000000000002E-3</v>
          </cell>
          <cell r="DM20">
            <v>1.0150000000000001E-3</v>
          </cell>
          <cell r="DN20">
            <v>8.9999999999999998E-4</v>
          </cell>
          <cell r="DO20">
            <v>1E-4</v>
          </cell>
          <cell r="DP20">
            <v>3.5000000000000005E-4</v>
          </cell>
          <cell r="DQ20">
            <v>3.0299999999999999E-4</v>
          </cell>
          <cell r="DR20">
            <v>1.9599999999999999E-4</v>
          </cell>
          <cell r="DS20">
            <v>6.7699999999999998E-4</v>
          </cell>
          <cell r="DT20">
            <v>2.3150000000000002E-3</v>
          </cell>
          <cell r="DU20">
            <v>1.8131999999999999E-2</v>
          </cell>
          <cell r="DV20">
            <v>3.0630999999999999E-2</v>
          </cell>
          <cell r="DW20">
            <v>3.2647000000000002E-2</v>
          </cell>
          <cell r="DX20">
            <v>3.7149999999999996E-2</v>
          </cell>
          <cell r="DY20">
            <v>4.3506999999999997E-2</v>
          </cell>
          <cell r="DZ20">
            <v>4.1399999999999999E-2</v>
          </cell>
          <cell r="EA20">
            <v>4.36E-2</v>
          </cell>
          <cell r="EB20">
            <v>4.3442000000000001E-2</v>
          </cell>
          <cell r="EC20">
            <v>4.4452999999999993E-2</v>
          </cell>
          <cell r="ED20">
            <v>4.4340999999999998E-2</v>
          </cell>
          <cell r="EE20">
            <v>4.4162999999999994E-2</v>
          </cell>
          <cell r="EF20">
            <v>4.1253999999999999E-2</v>
          </cell>
          <cell r="EG20">
            <v>3.6037E-2</v>
          </cell>
          <cell r="EH20">
            <v>3.5763999999999997E-2</v>
          </cell>
          <cell r="EI20">
            <v>3.6500000000000005E-2</v>
          </cell>
          <cell r="EJ20">
            <v>3.7000000000000005E-2</v>
          </cell>
          <cell r="EK20">
            <v>3.7500000000000006E-2</v>
          </cell>
          <cell r="EL20">
            <v>3.8000000000000006E-2</v>
          </cell>
          <cell r="EM20">
            <v>3.8500000000000006E-2</v>
          </cell>
          <cell r="EN20">
            <v>3.8500000000000006E-2</v>
          </cell>
          <cell r="EO20">
            <v>3.8500000000000006E-2</v>
          </cell>
          <cell r="EP20">
            <v>3.8500000000000006E-2</v>
          </cell>
          <cell r="EQ20">
            <v>3.8500000000000006E-2</v>
          </cell>
          <cell r="ER20">
            <v>3.8500000000000006E-2</v>
          </cell>
          <cell r="ES20">
            <v>3.8500000000000006E-2</v>
          </cell>
          <cell r="ET20">
            <v>3.8500000000000006E-2</v>
          </cell>
          <cell r="EU20">
            <v>3.8500000000000006E-2</v>
          </cell>
          <cell r="EV20">
            <v>3.8500000000000006E-2</v>
          </cell>
          <cell r="EW20">
            <v>3.8500000000000006E-2</v>
          </cell>
          <cell r="EX20">
            <v>3.8500000000000006E-2</v>
          </cell>
          <cell r="EY20">
            <v>3.8500000000000006E-2</v>
          </cell>
          <cell r="EZ20">
            <v>3.8500000000000006E-2</v>
          </cell>
          <cell r="FA20">
            <v>3.8500000000000006E-2</v>
          </cell>
          <cell r="FB20">
            <v>3.8500000000000006E-2</v>
          </cell>
          <cell r="FC20">
            <v>3.8500000000000006E-2</v>
          </cell>
          <cell r="FD20">
            <v>3.8500000000000006E-2</v>
          </cell>
          <cell r="FE20">
            <v>3.8500000000000006E-2</v>
          </cell>
          <cell r="FF20">
            <v>3.8500000000000006E-2</v>
          </cell>
          <cell r="FG20">
            <v>3.8500000000000006E-2</v>
          </cell>
          <cell r="FH20">
            <v>3.8500000000000006E-2</v>
          </cell>
          <cell r="FI20">
            <v>3.8500000000000006E-2</v>
          </cell>
          <cell r="FJ20">
            <v>3.8500000000000006E-2</v>
          </cell>
          <cell r="FK20">
            <v>3.8500000000000006E-2</v>
          </cell>
          <cell r="FL20">
            <v>3.8500000000000006E-2</v>
          </cell>
          <cell r="FM20">
            <v>3.8500000000000006E-2</v>
          </cell>
          <cell r="FN20">
            <v>3.8500000000000006E-2</v>
          </cell>
          <cell r="FO20">
            <v>3.8500000000000006E-2</v>
          </cell>
          <cell r="FP20">
            <v>3.8500000000000006E-2</v>
          </cell>
          <cell r="FQ20">
            <v>3.8500000000000006E-2</v>
          </cell>
          <cell r="FR20">
            <v>3.8500000000000006E-2</v>
          </cell>
          <cell r="FS20">
            <v>3.8500000000000006E-2</v>
          </cell>
          <cell r="FT20">
            <v>3.8500000000000006E-2</v>
          </cell>
          <cell r="FU20">
            <v>3.8500000000000006E-2</v>
          </cell>
        </row>
        <row r="21">
          <cell r="A21" t="str">
            <v>au_govt10y</v>
          </cell>
          <cell r="B21" t="str">
            <v>Aust 10 yr Bond Rate</v>
          </cell>
          <cell r="D21"/>
          <cell r="E21"/>
          <cell r="F21"/>
          <cell r="G21"/>
          <cell r="H21"/>
          <cell r="I21"/>
          <cell r="J21"/>
          <cell r="K21"/>
          <cell r="L21"/>
          <cell r="M21">
            <v>9.64E-2</v>
          </cell>
          <cell r="N21">
            <v>0.1033</v>
          </cell>
          <cell r="O21">
            <v>0.10039999999999999</v>
          </cell>
          <cell r="P21">
            <v>9.8299999999999998E-2</v>
          </cell>
          <cell r="Q21">
            <v>9.2200000000000004E-2</v>
          </cell>
          <cell r="R21">
            <v>8.5699999999999998E-2</v>
          </cell>
          <cell r="S21">
            <v>8.1600000000000006E-2</v>
          </cell>
          <cell r="T21">
            <v>8.8800000000000004E-2</v>
          </cell>
          <cell r="U21">
            <v>8.8699999999999987E-2</v>
          </cell>
          <cell r="V21">
            <v>7.7899999999999997E-2</v>
          </cell>
          <cell r="W21">
            <v>7.3700000000000002E-2</v>
          </cell>
          <cell r="X21">
            <v>0.08</v>
          </cell>
          <cell r="Y21">
            <v>6.9800000000000001E-2</v>
          </cell>
          <cell r="Z21">
            <v>6.0599999999999994E-2</v>
          </cell>
          <cell r="AA21">
            <v>6.0499999999999998E-2</v>
          </cell>
          <cell r="AB21">
            <v>5.7500000000000002E-2</v>
          </cell>
          <cell r="AC21">
            <v>5.5899999999999998E-2</v>
          </cell>
          <cell r="AD21">
            <v>5.0799999999999998E-2</v>
          </cell>
          <cell r="AE21">
            <v>5.0199999999999995E-2</v>
          </cell>
          <cell r="AF21">
            <v>5.4900000000000004E-2</v>
          </cell>
          <cell r="AG21">
            <v>6.2699999999999992E-2</v>
          </cell>
          <cell r="AH21">
            <v>6.2400000000000004E-2</v>
          </cell>
          <cell r="AI21">
            <v>6.9599999999999995E-2</v>
          </cell>
          <cell r="AJ21">
            <v>6.3700000000000007E-2</v>
          </cell>
          <cell r="AK21">
            <v>6.1699999999999998E-2</v>
          </cell>
          <cell r="AL21">
            <v>6.2300000000000001E-2</v>
          </cell>
          <cell r="AM21">
            <v>5.4450000000000005E-2</v>
          </cell>
          <cell r="AN21">
            <v>5.2750000000000005E-2</v>
          </cell>
          <cell r="AO21">
            <v>6.0400000000000002E-2</v>
          </cell>
          <cell r="AP21">
            <v>5.5099999999999996E-2</v>
          </cell>
          <cell r="AQ21">
            <v>0.06</v>
          </cell>
          <cell r="AR21">
            <v>6.3200000000000006E-2</v>
          </cell>
          <cell r="AS21">
            <v>5.9900000000000002E-2</v>
          </cell>
          <cell r="AT21">
            <v>5.3399999999999996E-2</v>
          </cell>
          <cell r="AU21">
            <v>5.1399999999999994E-2</v>
          </cell>
          <cell r="AV21">
            <v>5.3200000000000004E-2</v>
          </cell>
          <cell r="AW21">
            <v>5.0049999999999997E-2</v>
          </cell>
          <cell r="AX21">
            <v>5.3749999999999999E-2</v>
          </cell>
          <cell r="AY21">
            <v>5.6100000000000004E-2</v>
          </cell>
          <cell r="AZ21">
            <v>5.4949999999999999E-2</v>
          </cell>
          <cell r="BA21">
            <v>5.8600000000000006E-2</v>
          </cell>
          <cell r="BB21">
            <v>5.4299999999999994E-2</v>
          </cell>
          <cell r="BC21">
            <v>5.2900000000000003E-2</v>
          </cell>
          <cell r="BD21">
            <v>5.67E-2</v>
          </cell>
          <cell r="BE21">
            <v>5.1050000000000005E-2</v>
          </cell>
          <cell r="BF21">
            <v>5.3600000000000002E-2</v>
          </cell>
          <cell r="BG21">
            <v>5.2000000000000005E-2</v>
          </cell>
          <cell r="BH21">
            <v>5.425E-2</v>
          </cell>
          <cell r="BI21">
            <v>5.7874999999999996E-2</v>
          </cell>
          <cell r="BJ21">
            <v>5.5024999999999998E-2</v>
          </cell>
          <cell r="BK21">
            <v>5.8700000000000002E-2</v>
          </cell>
          <cell r="BL21">
            <v>5.885E-2</v>
          </cell>
          <cell r="BM21">
            <v>6.2545000000000003E-2</v>
          </cell>
          <cell r="BN21">
            <v>6.1550000000000001E-2</v>
          </cell>
          <cell r="BO21">
            <v>6.3269999999999993E-2</v>
          </cell>
          <cell r="BP21">
            <v>6.0504999999999996E-2</v>
          </cell>
          <cell r="BQ21">
            <v>6.4450000000000007E-2</v>
          </cell>
          <cell r="BR21">
            <v>5.3899999999999997E-2</v>
          </cell>
          <cell r="BS21">
            <v>3.9850000000000003E-2</v>
          </cell>
          <cell r="BT21">
            <v>4.6100000000000002E-2</v>
          </cell>
          <cell r="BU21">
            <v>5.6250000000000001E-2</v>
          </cell>
          <cell r="BV21">
            <v>5.4389E-2</v>
          </cell>
          <cell r="BW21">
            <v>5.7264000000000002E-2</v>
          </cell>
          <cell r="BX21">
            <v>5.765E-2</v>
          </cell>
          <cell r="BY21">
            <v>5.0903999999999998E-2</v>
          </cell>
          <cell r="BZ21">
            <v>4.9627999999999999E-2</v>
          </cell>
          <cell r="CA21">
            <v>5.5052000000000004E-2</v>
          </cell>
          <cell r="CB21">
            <v>5.5015999999999995E-2</v>
          </cell>
          <cell r="CC21">
            <v>5.2083999999999998E-2</v>
          </cell>
          <cell r="CD21">
            <v>4.2362999999999998E-2</v>
          </cell>
          <cell r="CE21">
            <v>3.6695999999999999E-2</v>
          </cell>
          <cell r="CF21">
            <v>4.0830000000000005E-2</v>
          </cell>
          <cell r="CG21">
            <v>3.0381999999999999E-2</v>
          </cell>
          <cell r="CH21">
            <v>3.0010999999999999E-2</v>
          </cell>
          <cell r="CI21">
            <v>3.2697999999999998E-2</v>
          </cell>
          <cell r="CJ21">
            <v>3.415E-2</v>
          </cell>
          <cell r="CK21">
            <v>3.7615999999999997E-2</v>
          </cell>
          <cell r="CL21">
            <v>3.8094000000000003E-2</v>
          </cell>
          <cell r="CM21">
            <v>4.2351E-2</v>
          </cell>
          <cell r="CN21">
            <v>4.0857999999999998E-2</v>
          </cell>
          <cell r="CO21">
            <v>3.5410000000000004E-2</v>
          </cell>
          <cell r="CP21">
            <v>3.4842000000000005E-2</v>
          </cell>
          <cell r="CQ21">
            <v>2.7339000000000002E-2</v>
          </cell>
          <cell r="CR21">
            <v>2.3190999999999996E-2</v>
          </cell>
          <cell r="CS21">
            <v>3.0117000000000001E-2</v>
          </cell>
          <cell r="CT21">
            <v>2.6086999999999999E-2</v>
          </cell>
          <cell r="CU21">
            <v>2.8147999999999999E-2</v>
          </cell>
          <cell r="CV21">
            <v>2.4913999999999995E-2</v>
          </cell>
          <cell r="CW21">
            <v>1.9859000000000002E-2</v>
          </cell>
          <cell r="CX21">
            <v>1.9078999999999999E-2</v>
          </cell>
          <cell r="CY21">
            <v>2.7549999999999998E-2</v>
          </cell>
          <cell r="CZ21">
            <v>2.6915000000000001E-2</v>
          </cell>
          <cell r="DA21">
            <v>2.5980999999999997E-2</v>
          </cell>
          <cell r="DB21">
            <v>2.8372000000000001E-2</v>
          </cell>
          <cell r="DC21">
            <v>2.6330999999999997E-2</v>
          </cell>
          <cell r="DD21">
            <v>2.5976999999999997E-2</v>
          </cell>
          <cell r="DE21">
            <v>2.6369999999999994E-2</v>
          </cell>
          <cell r="DF21">
            <v>2.6707999999999999E-2</v>
          </cell>
          <cell r="DG21">
            <v>2.3208000000000003E-2</v>
          </cell>
          <cell r="DH21">
            <v>1.7795000000000002E-2</v>
          </cell>
          <cell r="DI21">
            <v>1.3245E-2</v>
          </cell>
          <cell r="DJ21">
            <v>1.0171999999999999E-2</v>
          </cell>
          <cell r="DK21">
            <v>1.3746000000000001E-2</v>
          </cell>
          <cell r="DL21">
            <v>7.5829999999999995E-3</v>
          </cell>
          <cell r="DM21">
            <v>8.6899999999999998E-3</v>
          </cell>
          <cell r="DN21">
            <v>7.9050000000000006E-3</v>
          </cell>
          <cell r="DO21">
            <v>9.7149999999999997E-3</v>
          </cell>
          <cell r="DP21">
            <v>1.789E-2</v>
          </cell>
          <cell r="DQ21">
            <v>1.5339999999999999E-2</v>
          </cell>
          <cell r="DR21">
            <v>1.4910000000000001E-2</v>
          </cell>
          <cell r="DS21">
            <v>1.6709999999999999E-2</v>
          </cell>
          <cell r="DT21">
            <v>2.826E-2</v>
          </cell>
          <cell r="DU21">
            <v>3.6589999999999998E-2</v>
          </cell>
          <cell r="DV21">
            <v>3.8890000000000001E-2</v>
          </cell>
          <cell r="DW21">
            <v>4.0510000000000004E-2</v>
          </cell>
          <cell r="DX21">
            <v>3.2989999999999998E-2</v>
          </cell>
          <cell r="DY21">
            <v>4.0220000000000006E-2</v>
          </cell>
          <cell r="DZ21">
            <v>4.4880000000000003E-2</v>
          </cell>
          <cell r="EA21">
            <v>3.9550000000000002E-2</v>
          </cell>
          <cell r="EB21">
            <v>3.9660000000000001E-2</v>
          </cell>
          <cell r="EC21">
            <v>4.3120000000000006E-2</v>
          </cell>
          <cell r="ED21">
            <v>3.9740000000000004E-2</v>
          </cell>
          <cell r="EE21">
            <v>4.3680000000000004E-2</v>
          </cell>
          <cell r="EF21">
            <v>4.3860000000000003E-2</v>
          </cell>
          <cell r="EG21">
            <v>4.1619999999999997E-2</v>
          </cell>
          <cell r="EH21">
            <v>4.3019999999999996E-2</v>
          </cell>
          <cell r="EI21">
            <v>4.2500000000000003E-2</v>
          </cell>
          <cell r="EJ21">
            <v>4.2999999999999997E-2</v>
          </cell>
          <cell r="EK21">
            <v>4.2999999999999997E-2</v>
          </cell>
          <cell r="EL21">
            <v>4.3499999999999997E-2</v>
          </cell>
          <cell r="EM21">
            <v>4.3499999999999997E-2</v>
          </cell>
          <cell r="EN21">
            <v>4.3999999999999997E-2</v>
          </cell>
          <cell r="EO21">
            <v>4.3999999999999997E-2</v>
          </cell>
          <cell r="EP21">
            <v>4.4499999999999998E-2</v>
          </cell>
          <cell r="EQ21">
            <v>4.4999999999999998E-2</v>
          </cell>
          <cell r="ER21">
            <v>4.4999999999999998E-2</v>
          </cell>
          <cell r="ES21">
            <v>4.4999999999999998E-2</v>
          </cell>
          <cell r="ET21">
            <v>4.4999999999999998E-2</v>
          </cell>
          <cell r="EU21">
            <v>4.4999999999999998E-2</v>
          </cell>
          <cell r="EV21">
            <v>4.4999999999999998E-2</v>
          </cell>
          <cell r="EW21">
            <v>4.4999999999999998E-2</v>
          </cell>
          <cell r="EX21">
            <v>4.4999999999999998E-2</v>
          </cell>
          <cell r="EY21">
            <v>4.4999999999999998E-2</v>
          </cell>
          <cell r="EZ21">
            <v>4.4999999999999998E-2</v>
          </cell>
          <cell r="FA21">
            <v>4.4999999999999998E-2</v>
          </cell>
          <cell r="FB21">
            <v>4.4999999999999998E-2</v>
          </cell>
          <cell r="FC21">
            <v>4.4999999999999998E-2</v>
          </cell>
          <cell r="FD21">
            <v>4.4999999999999998E-2</v>
          </cell>
          <cell r="FE21">
            <v>4.4999999999999998E-2</v>
          </cell>
          <cell r="FF21">
            <v>4.4999999999999998E-2</v>
          </cell>
          <cell r="FG21">
            <v>4.4999999999999998E-2</v>
          </cell>
          <cell r="FH21">
            <v>4.4999999999999998E-2</v>
          </cell>
          <cell r="FI21">
            <v>4.4999999999999998E-2</v>
          </cell>
          <cell r="FJ21">
            <v>4.4999999999999998E-2</v>
          </cell>
          <cell r="FK21">
            <v>4.4999999999999998E-2</v>
          </cell>
          <cell r="FL21">
            <v>4.4999999999999998E-2</v>
          </cell>
          <cell r="FM21">
            <v>4.4999999999999998E-2</v>
          </cell>
          <cell r="FN21">
            <v>4.4999999999999998E-2</v>
          </cell>
          <cell r="FO21">
            <v>4.4999999999999998E-2</v>
          </cell>
          <cell r="FP21">
            <v>4.4999999999999998E-2</v>
          </cell>
          <cell r="FQ21">
            <v>4.4999999999999998E-2</v>
          </cell>
          <cell r="FR21">
            <v>4.4999999999999998E-2</v>
          </cell>
          <cell r="FS21">
            <v>4.4999999999999998E-2</v>
          </cell>
          <cell r="FT21">
            <v>4.4999999999999998E-2</v>
          </cell>
          <cell r="FU21">
            <v>4.4999999999999998E-2</v>
          </cell>
        </row>
        <row r="22">
          <cell r="A22" t="str">
            <v>us_govt10y</v>
          </cell>
          <cell r="B22" t="str">
            <v>US 10 yr bond</v>
          </cell>
          <cell r="D22">
            <v>7.5240000000000001E-2</v>
          </cell>
          <cell r="E22">
            <v>7.1210000000000009E-2</v>
          </cell>
          <cell r="F22">
            <v>6.3539999999999999E-2</v>
          </cell>
          <cell r="G22">
            <v>6.701E-2</v>
          </cell>
          <cell r="H22">
            <v>6.0199999999999997E-2</v>
          </cell>
          <cell r="I22">
            <v>5.774E-2</v>
          </cell>
          <cell r="J22">
            <v>5.3739999999999996E-2</v>
          </cell>
          <cell r="K22">
            <v>5.79E-2</v>
          </cell>
          <cell r="L22">
            <v>6.7369999999999999E-2</v>
          </cell>
          <cell r="M22">
            <v>7.3220000000000007E-2</v>
          </cell>
          <cell r="N22">
            <v>7.6079999999999995E-2</v>
          </cell>
          <cell r="O22">
            <v>7.8200000000000006E-2</v>
          </cell>
          <cell r="P22">
            <v>7.1940000000000004E-2</v>
          </cell>
          <cell r="Q22">
            <v>6.2030000000000002E-2</v>
          </cell>
          <cell r="R22">
            <v>6.1820000000000007E-2</v>
          </cell>
          <cell r="S22">
            <v>5.5810000000000005E-2</v>
          </cell>
          <cell r="T22">
            <v>6.3280000000000003E-2</v>
          </cell>
          <cell r="U22">
            <v>6.7110000000000003E-2</v>
          </cell>
          <cell r="V22">
            <v>6.701E-2</v>
          </cell>
          <cell r="W22">
            <v>6.4180000000000001E-2</v>
          </cell>
          <cell r="X22">
            <v>6.905E-2</v>
          </cell>
          <cell r="Y22">
            <v>6.4960000000000004E-2</v>
          </cell>
          <cell r="Z22">
            <v>6.0999999999999999E-2</v>
          </cell>
          <cell r="AA22">
            <v>5.7249999999999995E-2</v>
          </cell>
          <cell r="AB22">
            <v>5.6509999999999998E-2</v>
          </cell>
          <cell r="AC22">
            <v>5.4400000000000004E-2</v>
          </cell>
          <cell r="AD22">
            <v>4.4020000000000004E-2</v>
          </cell>
          <cell r="AE22">
            <v>4.6539999999999998E-2</v>
          </cell>
          <cell r="AF22">
            <v>5.2380000000000003E-2</v>
          </cell>
          <cell r="AG22">
            <v>5.7759999999999999E-2</v>
          </cell>
          <cell r="AH22">
            <v>5.8739999999999994E-2</v>
          </cell>
          <cell r="AI22">
            <v>6.4399999999999999E-2</v>
          </cell>
          <cell r="AJ22">
            <v>0.06</v>
          </cell>
          <cell r="AK22">
            <v>6.0179999999999997E-2</v>
          </cell>
          <cell r="AL22">
            <v>5.7990000000000007E-2</v>
          </cell>
          <cell r="AM22">
            <v>5.1020000000000003E-2</v>
          </cell>
          <cell r="AN22">
            <v>4.9230000000000003E-2</v>
          </cell>
          <cell r="AO22">
            <v>5.3920000000000003E-2</v>
          </cell>
          <cell r="AP22">
            <v>4.5720000000000004E-2</v>
          </cell>
          <cell r="AQ22">
            <v>5.0220000000000001E-2</v>
          </cell>
          <cell r="AR22">
            <v>5.3940000000000002E-2</v>
          </cell>
          <cell r="AS22">
            <v>4.8140000000000002E-2</v>
          </cell>
          <cell r="AT22">
            <v>3.5929999999999997E-2</v>
          </cell>
          <cell r="AU22">
            <v>3.8181E-2</v>
          </cell>
          <cell r="AV22">
            <v>3.8013999999999999E-2</v>
          </cell>
          <cell r="AW22">
            <v>3.5240999999999995E-2</v>
          </cell>
          <cell r="AX22">
            <v>3.9419000000000003E-2</v>
          </cell>
          <cell r="AY22">
            <v>4.2523999999999999E-2</v>
          </cell>
          <cell r="AZ22">
            <v>3.8350000000000002E-2</v>
          </cell>
          <cell r="BA22">
            <v>4.5815999999999996E-2</v>
          </cell>
          <cell r="BB22">
            <v>4.1200000000000001E-2</v>
          </cell>
          <cell r="BC22">
            <v>4.2159999999999996E-2</v>
          </cell>
          <cell r="BD22">
            <v>4.4835E-2</v>
          </cell>
          <cell r="BE22">
            <v>3.9139999999999994E-2</v>
          </cell>
          <cell r="BF22">
            <v>4.3289999999999995E-2</v>
          </cell>
          <cell r="BG22">
            <v>4.3949999999999996E-2</v>
          </cell>
          <cell r="BH22">
            <v>4.8499999999999995E-2</v>
          </cell>
          <cell r="BI22">
            <v>5.1404999999999992E-2</v>
          </cell>
          <cell r="BJ22">
            <v>4.6315000000000002E-2</v>
          </cell>
          <cell r="BK22">
            <v>4.6981999999999996E-2</v>
          </cell>
          <cell r="BL22">
            <v>4.6452999999999994E-2</v>
          </cell>
          <cell r="BM22">
            <v>5.0285500000000004E-2</v>
          </cell>
          <cell r="BN22">
            <v>4.5845500000000004E-2</v>
          </cell>
          <cell r="BO22">
            <v>4.0289499999999999E-2</v>
          </cell>
          <cell r="BP22">
            <v>3.4132999999999997E-2</v>
          </cell>
          <cell r="BQ22">
            <v>3.9710000000000002E-2</v>
          </cell>
          <cell r="BR22">
            <v>3.8224500000000002E-2</v>
          </cell>
          <cell r="BS22">
            <v>2.2123E-2</v>
          </cell>
          <cell r="BT22">
            <v>2.6646999999999997E-2</v>
          </cell>
          <cell r="BU22">
            <v>3.5354999999999998E-2</v>
          </cell>
          <cell r="BV22">
            <v>3.3058000000000004E-2</v>
          </cell>
          <cell r="BW22">
            <v>3.8334E-2</v>
          </cell>
          <cell r="BX22">
            <v>3.8330000000000003E-2</v>
          </cell>
          <cell r="BY22">
            <v>2.9327000000000002E-2</v>
          </cell>
          <cell r="BZ22">
            <v>2.5139000000000002E-2</v>
          </cell>
          <cell r="CA22">
            <v>3.2901E-2</v>
          </cell>
          <cell r="CB22">
            <v>3.4692000000000001E-2</v>
          </cell>
          <cell r="CC22">
            <v>3.1632E-2</v>
          </cell>
          <cell r="CD22">
            <v>1.9171000000000001E-2</v>
          </cell>
          <cell r="CE22">
            <v>1.8790999999999999E-2</v>
          </cell>
          <cell r="CF22">
            <v>2.2126999999999997E-2</v>
          </cell>
          <cell r="CG22">
            <v>1.65065E-2</v>
          </cell>
          <cell r="CH22">
            <v>1.63705E-2</v>
          </cell>
          <cell r="CI22">
            <v>1.7604500000000002E-2</v>
          </cell>
          <cell r="CJ22">
            <v>1.8538499999999999E-2</v>
          </cell>
          <cell r="CK22">
            <v>2.4867499999999997E-2</v>
          </cell>
          <cell r="CL22">
            <v>2.6110999999999999E-2</v>
          </cell>
          <cell r="CM22">
            <v>3.0350499999999999E-2</v>
          </cell>
          <cell r="CN22">
            <v>2.7191999999999997E-2</v>
          </cell>
          <cell r="CO22">
            <v>2.5297E-2</v>
          </cell>
          <cell r="CP22">
            <v>2.4908E-2</v>
          </cell>
          <cell r="CQ22">
            <v>2.1696E-2</v>
          </cell>
          <cell r="CR22">
            <v>1.92325E-2</v>
          </cell>
          <cell r="CS22">
            <v>2.3505999999999999E-2</v>
          </cell>
          <cell r="CT22">
            <v>2.03955E-2</v>
          </cell>
          <cell r="CU22">
            <v>2.2685E-2</v>
          </cell>
          <cell r="CV22">
            <v>1.7696E-2</v>
          </cell>
          <cell r="CW22">
            <v>1.4723000000000002E-2</v>
          </cell>
          <cell r="CX22">
            <v>1.5945000000000001E-2</v>
          </cell>
          <cell r="CY22">
            <v>2.4444999999999998E-2</v>
          </cell>
          <cell r="CZ22">
            <v>2.3830999999999998E-2</v>
          </cell>
          <cell r="DA22">
            <v>2.3011999999999998E-2</v>
          </cell>
          <cell r="DB22">
            <v>2.3338000000000001E-2</v>
          </cell>
          <cell r="DC22">
            <v>2.4092000000000002E-2</v>
          </cell>
          <cell r="DD22">
            <v>2.7382499999999997E-2</v>
          </cell>
          <cell r="DE22">
            <v>2.8650000000000002E-2</v>
          </cell>
          <cell r="DF22">
            <v>3.05875E-2</v>
          </cell>
          <cell r="DG22">
            <v>2.6836000000000002E-2</v>
          </cell>
          <cell r="DH22">
            <v>2.4059000000000001E-2</v>
          </cell>
          <cell r="DI22">
            <v>2.0052500000000001E-2</v>
          </cell>
          <cell r="DJ22">
            <v>1.66555E-2</v>
          </cell>
          <cell r="DK22">
            <v>1.91845E-2</v>
          </cell>
          <cell r="DL22">
            <v>6.5854999999999993E-3</v>
          </cell>
          <cell r="DM22">
            <v>6.5365000000000006E-3</v>
          </cell>
          <cell r="DN22">
            <v>6.8234999999999997E-3</v>
          </cell>
          <cell r="DO22">
            <v>9.1734999999999994E-3</v>
          </cell>
          <cell r="DP22">
            <v>1.7432E-2</v>
          </cell>
          <cell r="DQ22">
            <v>1.4672000000000001E-2</v>
          </cell>
          <cell r="DR22">
            <v>1.5245999999999999E-2</v>
          </cell>
          <cell r="DS22">
            <v>1.5196000000000001E-2</v>
          </cell>
          <cell r="DT22">
            <v>2.3161999999999999E-2</v>
          </cell>
          <cell r="DU22">
            <v>3.0620999999999999E-2</v>
          </cell>
          <cell r="DV22">
            <v>3.7101000000000002E-2</v>
          </cell>
          <cell r="DW22">
            <v>3.8330999999999997E-2</v>
          </cell>
          <cell r="DX22">
            <v>3.5743999999999998E-2</v>
          </cell>
          <cell r="DY22">
            <v>3.8799E-2</v>
          </cell>
          <cell r="DZ22">
            <v>4.5414000000000003E-2</v>
          </cell>
          <cell r="EA22">
            <v>3.8408999999999999E-2</v>
          </cell>
          <cell r="EB22">
            <v>4.2008000000000004E-2</v>
          </cell>
          <cell r="EC22">
            <v>4.3083000000000003E-2</v>
          </cell>
          <cell r="ED22">
            <v>3.7789999999999997E-2</v>
          </cell>
          <cell r="EE22">
            <v>4.5197000000000001E-2</v>
          </cell>
          <cell r="EF22">
            <v>4.2053E-2</v>
          </cell>
          <cell r="EG22">
            <v>4.2529000000000004E-2</v>
          </cell>
          <cell r="EH22">
            <v>4.1338E-2</v>
          </cell>
          <cell r="EI22">
            <v>4.3499999999999997E-2</v>
          </cell>
          <cell r="EJ22">
            <v>4.3999999999999997E-2</v>
          </cell>
          <cell r="EK22">
            <v>4.3999999999999997E-2</v>
          </cell>
          <cell r="EL22">
            <v>4.4499999999999998E-2</v>
          </cell>
          <cell r="EM22">
            <v>4.4499999999999998E-2</v>
          </cell>
          <cell r="EN22">
            <v>4.4999999999999998E-2</v>
          </cell>
          <cell r="EO22">
            <v>4.4999999999999998E-2</v>
          </cell>
          <cell r="EP22">
            <v>4.5499999999999999E-2</v>
          </cell>
          <cell r="EQ22">
            <v>4.5499999999999999E-2</v>
          </cell>
          <cell r="ER22">
            <v>4.5999999999999999E-2</v>
          </cell>
          <cell r="ES22">
            <v>4.5999999999999999E-2</v>
          </cell>
          <cell r="ET22">
            <v>4.5999999999999999E-2</v>
          </cell>
          <cell r="EU22">
            <v>4.5999999999999999E-2</v>
          </cell>
          <cell r="EV22">
            <v>4.5999999999999999E-2</v>
          </cell>
          <cell r="EW22">
            <v>4.5999999999999999E-2</v>
          </cell>
          <cell r="EX22">
            <v>4.5999999999999999E-2</v>
          </cell>
          <cell r="EY22">
            <v>4.5999999999999999E-2</v>
          </cell>
          <cell r="EZ22">
            <v>4.5999999999999999E-2</v>
          </cell>
          <cell r="FA22">
            <v>4.5999999999999999E-2</v>
          </cell>
          <cell r="FB22">
            <v>4.5999999999999999E-2</v>
          </cell>
          <cell r="FC22">
            <v>4.5999999999999999E-2</v>
          </cell>
          <cell r="FD22">
            <v>4.5999999999999999E-2</v>
          </cell>
          <cell r="FE22">
            <v>4.5999999999999999E-2</v>
          </cell>
          <cell r="FF22">
            <v>4.5999999999999999E-2</v>
          </cell>
          <cell r="FG22">
            <v>4.5999999999999999E-2</v>
          </cell>
          <cell r="FH22">
            <v>4.5999999999999999E-2</v>
          </cell>
          <cell r="FI22">
            <v>4.5999999999999999E-2</v>
          </cell>
          <cell r="FJ22">
            <v>4.5999999999999999E-2</v>
          </cell>
          <cell r="FK22">
            <v>4.5999999999999999E-2</v>
          </cell>
          <cell r="FL22">
            <v>4.5999999999999999E-2</v>
          </cell>
          <cell r="FM22">
            <v>4.5999999999999999E-2</v>
          </cell>
          <cell r="FN22">
            <v>4.5999999999999999E-2</v>
          </cell>
          <cell r="FO22">
            <v>4.5999999999999999E-2</v>
          </cell>
          <cell r="FP22">
            <v>4.5999999999999999E-2</v>
          </cell>
          <cell r="FQ22">
            <v>4.5999999999999999E-2</v>
          </cell>
          <cell r="FR22">
            <v>4.5999999999999999E-2</v>
          </cell>
          <cell r="FS22">
            <v>4.5999999999999999E-2</v>
          </cell>
          <cell r="FT22">
            <v>4.5999999999999999E-2</v>
          </cell>
          <cell r="FU22">
            <v>4.5999999999999999E-2</v>
          </cell>
        </row>
        <row r="23">
          <cell r="D23"/>
          <cell r="E23"/>
          <cell r="F23"/>
          <cell r="G23"/>
          <cell r="H23"/>
          <cell r="I23"/>
          <cell r="J23"/>
          <cell r="K23"/>
          <cell r="L23"/>
          <cell r="M23"/>
          <cell r="N23"/>
          <cell r="O23"/>
          <cell r="P23"/>
          <cell r="Q23"/>
          <cell r="R23"/>
          <cell r="S23"/>
          <cell r="T23"/>
          <cell r="U23"/>
          <cell r="V23"/>
          <cell r="W23"/>
          <cell r="X23"/>
          <cell r="Y23"/>
          <cell r="Z23"/>
          <cell r="AA23"/>
          <cell r="AB23"/>
          <cell r="AC23"/>
          <cell r="AD23"/>
          <cell r="AE23"/>
          <cell r="AF23"/>
          <cell r="AG23"/>
          <cell r="AH23"/>
          <cell r="AI23"/>
          <cell r="AJ23"/>
          <cell r="AK23"/>
          <cell r="AL23"/>
          <cell r="AM23"/>
          <cell r="AN23"/>
          <cell r="AO23"/>
          <cell r="AP23"/>
          <cell r="AQ23"/>
          <cell r="AR23"/>
          <cell r="AS23"/>
          <cell r="AT23"/>
          <cell r="AU23"/>
          <cell r="AV23"/>
          <cell r="AW23"/>
          <cell r="AX23"/>
          <cell r="AY23"/>
          <cell r="AZ23"/>
          <cell r="BA23"/>
          <cell r="BB23"/>
          <cell r="BC23"/>
          <cell r="BD23"/>
          <cell r="BE23"/>
          <cell r="BF23"/>
          <cell r="BG23"/>
          <cell r="BH23"/>
          <cell r="BI23"/>
          <cell r="BJ23"/>
          <cell r="BK23"/>
          <cell r="BL23"/>
          <cell r="BM23"/>
          <cell r="BN23"/>
          <cell r="BO23"/>
          <cell r="BP23"/>
          <cell r="BQ23"/>
          <cell r="BR23"/>
          <cell r="BS23"/>
          <cell r="BT23"/>
          <cell r="BU23"/>
          <cell r="BV23"/>
          <cell r="BW23"/>
          <cell r="BX23"/>
          <cell r="BY23"/>
          <cell r="BZ23"/>
          <cell r="CA23"/>
          <cell r="CB23"/>
          <cell r="CC23"/>
          <cell r="CD23"/>
          <cell r="CE23"/>
          <cell r="CF23"/>
          <cell r="CG23"/>
          <cell r="CH23"/>
          <cell r="CI23"/>
          <cell r="CJ23"/>
          <cell r="CK23"/>
          <cell r="CL23"/>
          <cell r="CM23"/>
          <cell r="CN23"/>
          <cell r="CO23"/>
          <cell r="CP23"/>
          <cell r="CQ23"/>
          <cell r="CR23"/>
          <cell r="CS23"/>
          <cell r="CT23"/>
          <cell r="CU23"/>
          <cell r="CV23"/>
          <cell r="CW23"/>
          <cell r="CX23"/>
          <cell r="CY23"/>
          <cell r="CZ23"/>
          <cell r="DA23"/>
          <cell r="DB23"/>
          <cell r="DC23"/>
          <cell r="DD23"/>
          <cell r="DE23"/>
          <cell r="DF23"/>
          <cell r="DG23"/>
          <cell r="DH23"/>
          <cell r="DI23"/>
          <cell r="DJ23"/>
          <cell r="DK23"/>
          <cell r="DL23"/>
          <cell r="DM23"/>
          <cell r="DN23"/>
          <cell r="DO23"/>
          <cell r="DP23"/>
          <cell r="DQ23"/>
          <cell r="DR23"/>
          <cell r="DS23"/>
          <cell r="DT23"/>
          <cell r="DU23"/>
          <cell r="DV23"/>
          <cell r="DW23"/>
          <cell r="DX23"/>
          <cell r="DY23"/>
          <cell r="DZ23"/>
          <cell r="EA23"/>
          <cell r="EB23"/>
          <cell r="EC23"/>
          <cell r="ED23"/>
          <cell r="EE23"/>
          <cell r="EG23"/>
          <cell r="EH23"/>
        </row>
        <row r="24">
          <cell r="B24" t="str">
            <v>Rates - average (6mo)</v>
          </cell>
          <cell r="C24"/>
          <cell r="D24"/>
          <cell r="E24"/>
          <cell r="F24"/>
          <cell r="G24"/>
          <cell r="H24"/>
          <cell r="I24"/>
          <cell r="J24"/>
          <cell r="K24"/>
          <cell r="L24"/>
          <cell r="M24"/>
          <cell r="N24"/>
          <cell r="O24"/>
          <cell r="P24"/>
          <cell r="Q24"/>
          <cell r="R24"/>
          <cell r="S24"/>
          <cell r="T24"/>
          <cell r="U24"/>
          <cell r="V24"/>
          <cell r="W24"/>
          <cell r="X24"/>
          <cell r="Y24"/>
          <cell r="Z24"/>
          <cell r="AA24"/>
          <cell r="AB24"/>
          <cell r="AC24"/>
          <cell r="AD24"/>
          <cell r="AE24"/>
          <cell r="AF24"/>
          <cell r="AG24"/>
          <cell r="AH24"/>
          <cell r="AI24"/>
          <cell r="AJ24"/>
          <cell r="AK24"/>
          <cell r="AL24"/>
          <cell r="AM24"/>
          <cell r="AN24"/>
          <cell r="AO24"/>
          <cell r="AP24"/>
          <cell r="AQ24"/>
          <cell r="AR24"/>
          <cell r="AS24"/>
          <cell r="AT24"/>
          <cell r="AU24"/>
          <cell r="AV24"/>
          <cell r="AW24"/>
          <cell r="AX24"/>
          <cell r="AY24"/>
          <cell r="AZ24"/>
          <cell r="BA24"/>
          <cell r="BB24"/>
          <cell r="BC24"/>
          <cell r="BD24"/>
          <cell r="BE24"/>
          <cell r="BF24"/>
          <cell r="BG24"/>
          <cell r="BH24"/>
          <cell r="BI24"/>
          <cell r="BJ24"/>
          <cell r="BK24"/>
          <cell r="BL24"/>
          <cell r="BM24"/>
          <cell r="BN24"/>
          <cell r="BO24"/>
          <cell r="BP24"/>
          <cell r="BQ24"/>
          <cell r="BR24"/>
          <cell r="BS24"/>
          <cell r="BT24"/>
          <cell r="BU24"/>
          <cell r="BV24"/>
          <cell r="BW24"/>
          <cell r="BX24"/>
          <cell r="BY24"/>
          <cell r="BZ24"/>
          <cell r="CA24"/>
          <cell r="CB24"/>
          <cell r="CC24"/>
          <cell r="CD24"/>
          <cell r="CE24"/>
          <cell r="CF24"/>
          <cell r="CG24"/>
          <cell r="CH24"/>
          <cell r="CI24"/>
          <cell r="CJ24"/>
          <cell r="CK24"/>
          <cell r="CL24"/>
          <cell r="CM24"/>
          <cell r="CN24"/>
          <cell r="CO24"/>
          <cell r="CP24"/>
          <cell r="CQ24"/>
          <cell r="CR24"/>
          <cell r="CS24"/>
          <cell r="CT24"/>
          <cell r="CU24"/>
          <cell r="CV24"/>
          <cell r="CW24"/>
          <cell r="CX24"/>
          <cell r="CY24"/>
          <cell r="CZ24"/>
          <cell r="DA24"/>
          <cell r="DB24"/>
          <cell r="DC24"/>
          <cell r="DD24"/>
          <cell r="DE24"/>
          <cell r="DF24"/>
          <cell r="DG24"/>
          <cell r="DH24"/>
          <cell r="DI24"/>
          <cell r="DJ24"/>
          <cell r="DK24"/>
          <cell r="DL24"/>
          <cell r="DM24"/>
          <cell r="DN24"/>
          <cell r="DO24"/>
          <cell r="DP24"/>
          <cell r="DQ24"/>
          <cell r="DR24"/>
          <cell r="DS24"/>
          <cell r="DT24"/>
          <cell r="DU24"/>
          <cell r="DV24"/>
          <cell r="DW24"/>
          <cell r="DX24"/>
          <cell r="DY24"/>
          <cell r="DZ24"/>
          <cell r="EA24"/>
          <cell r="EB24"/>
          <cell r="EC24"/>
          <cell r="ED24"/>
          <cell r="EE24"/>
          <cell r="EF24"/>
          <cell r="EG24"/>
          <cell r="EH24"/>
          <cell r="EI24"/>
          <cell r="EJ24"/>
          <cell r="EK24"/>
          <cell r="EL24"/>
          <cell r="EM24"/>
          <cell r="EN24"/>
          <cell r="EO24"/>
          <cell r="EP24"/>
          <cell r="EQ24"/>
          <cell r="ER24"/>
          <cell r="ES24"/>
          <cell r="ET24"/>
          <cell r="EU24"/>
          <cell r="EV24"/>
          <cell r="EW24"/>
          <cell r="EX24"/>
          <cell r="EY24"/>
          <cell r="EZ24"/>
          <cell r="FA24"/>
          <cell r="FB24"/>
          <cell r="FC24"/>
          <cell r="FD24"/>
          <cell r="FE24"/>
          <cell r="FF24"/>
          <cell r="FG24"/>
          <cell r="FH24"/>
          <cell r="FI24"/>
          <cell r="FJ24"/>
          <cell r="FK24"/>
          <cell r="FL24"/>
          <cell r="FM24"/>
          <cell r="FN24"/>
          <cell r="FO24"/>
          <cell r="FP24"/>
          <cell r="FQ24"/>
          <cell r="FR24"/>
          <cell r="FS24"/>
          <cell r="FT24"/>
          <cell r="FU24"/>
        </row>
        <row r="25">
          <cell r="A25" t="str">
            <v>6MoCashg</v>
          </cell>
          <cell r="B25" t="str">
            <v>Aust cash</v>
          </cell>
          <cell r="D25">
            <v>8.1583333333333327E-2</v>
          </cell>
          <cell r="E25">
            <v>7.1583333333333346E-2</v>
          </cell>
          <cell r="F25">
            <v>6.1499999999999992E-2</v>
          </cell>
          <cell r="G25">
            <v>5.6000000000000008E-2</v>
          </cell>
          <cell r="H25">
            <v>5.6250000000000001E-2</v>
          </cell>
          <cell r="I25">
            <v>5.3583333333333337E-2</v>
          </cell>
          <cell r="J25">
            <v>4.9500000000000002E-2</v>
          </cell>
          <cell r="K25">
            <v>4.7416666666666663E-2</v>
          </cell>
          <cell r="L25">
            <v>4.7500000000000001E-2</v>
          </cell>
          <cell r="M25">
            <v>4.675E-2</v>
          </cell>
          <cell r="N25">
            <v>4.8999999999999995E-2</v>
          </cell>
          <cell r="O25">
            <v>5.9750000000000004E-2</v>
          </cell>
          <cell r="P25">
            <v>7.1083333333333346E-2</v>
          </cell>
          <cell r="Q25">
            <v>7.4366666666666664E-2</v>
          </cell>
          <cell r="R25">
            <v>7.4116666666666664E-2</v>
          </cell>
          <cell r="S25">
            <v>7.4166666666666672E-2</v>
          </cell>
          <cell r="T25">
            <v>7.4166666666666672E-2</v>
          </cell>
          <cell r="U25">
            <v>7.3166666666666658E-2</v>
          </cell>
          <cell r="V25">
            <v>7.1166666666666656E-2</v>
          </cell>
          <cell r="W25">
            <v>6.7616666666666672E-2</v>
          </cell>
          <cell r="X25">
            <v>6.2766666666666679E-2</v>
          </cell>
          <cell r="Y25">
            <v>5.8633333333333336E-2</v>
          </cell>
          <cell r="Z25">
            <v>5.3399999999999996E-2</v>
          </cell>
          <cell r="AA25">
            <v>4.9816666666666662E-2</v>
          </cell>
          <cell r="AB25">
            <v>4.9800000000000004E-2</v>
          </cell>
          <cell r="AC25">
            <v>4.9766666666666674E-2</v>
          </cell>
          <cell r="AD25">
            <v>4.9783333333333346E-2</v>
          </cell>
          <cell r="AE25">
            <v>4.9383333333333335E-2</v>
          </cell>
          <cell r="AF25">
            <v>4.8099999999999997E-2</v>
          </cell>
          <cell r="AG25">
            <v>4.7399999999999991E-2</v>
          </cell>
          <cell r="AH25">
            <v>4.7566666666666667E-2</v>
          </cell>
          <cell r="AI25">
            <v>4.8333333333333332E-2</v>
          </cell>
          <cell r="AJ25">
            <v>5.1200000000000002E-2</v>
          </cell>
          <cell r="AK25">
            <v>5.6250000000000001E-2</v>
          </cell>
          <cell r="AL25">
            <v>6.0416666666666667E-2</v>
          </cell>
          <cell r="AM25">
            <v>6.2083333333333331E-2</v>
          </cell>
          <cell r="AN25">
            <v>6.0416666666666667E-2</v>
          </cell>
          <cell r="AO25">
            <v>5.4166666666666669E-2</v>
          </cell>
          <cell r="AP25">
            <v>4.9583333333333333E-2</v>
          </cell>
          <cell r="AQ25">
            <v>4.6666666666666669E-2</v>
          </cell>
          <cell r="AR25">
            <v>4.3333333333333328E-2</v>
          </cell>
          <cell r="AS25">
            <v>4.3749999999999997E-2</v>
          </cell>
          <cell r="AT25">
            <v>4.6249999999999999E-2</v>
          </cell>
          <cell r="AU25">
            <v>4.7500000000000001E-2</v>
          </cell>
          <cell r="AV25">
            <v>4.7500000000000001E-2</v>
          </cell>
          <cell r="AW25">
            <v>4.7500000000000001E-2</v>
          </cell>
          <cell r="AX25">
            <v>4.7500000000000001E-2</v>
          </cell>
          <cell r="AY25">
            <v>4.8750000000000002E-2</v>
          </cell>
          <cell r="AZ25">
            <v>5.1249999999999997E-2</v>
          </cell>
          <cell r="BA25">
            <v>5.2499999999999998E-2</v>
          </cell>
          <cell r="BB25">
            <v>5.2499999999999998E-2</v>
          </cell>
          <cell r="BC25">
            <v>5.2499999999999998E-2</v>
          </cell>
          <cell r="BD25">
            <v>5.2916666666666667E-2</v>
          </cell>
          <cell r="BE25">
            <v>5.4166666666666669E-2</v>
          </cell>
          <cell r="BF25">
            <v>5.5E-2</v>
          </cell>
          <cell r="BG25">
            <v>5.5E-2</v>
          </cell>
          <cell r="BH25">
            <v>5.5E-2</v>
          </cell>
          <cell r="BI25">
            <v>5.5833333333333332E-2</v>
          </cell>
          <cell r="BJ25">
            <v>5.7916666666666672E-2</v>
          </cell>
          <cell r="BK25">
            <v>6.0416666666666667E-2</v>
          </cell>
          <cell r="BL25">
            <v>6.2083333333333331E-2</v>
          </cell>
          <cell r="BM25">
            <v>6.25E-2</v>
          </cell>
          <cell r="BN25">
            <v>6.3333333333333325E-2</v>
          </cell>
          <cell r="BO25">
            <v>6.5416666666666665E-2</v>
          </cell>
          <cell r="BP25">
            <v>6.8333333333333329E-2</v>
          </cell>
          <cell r="BQ25">
            <v>7.1249999999999994E-2</v>
          </cell>
          <cell r="BR25">
            <v>7.2083333333333333E-2</v>
          </cell>
          <cell r="BS25">
            <v>6.1666666666666668E-2</v>
          </cell>
          <cell r="BT25">
            <v>4.3749999999999997E-2</v>
          </cell>
          <cell r="BU25">
            <v>3.2916666666666664E-2</v>
          </cell>
          <cell r="BV25">
            <v>0.03</v>
          </cell>
          <cell r="BW25">
            <v>3.2500000000000001E-2</v>
          </cell>
          <cell r="BX25">
            <v>3.6666666666666667E-2</v>
          </cell>
          <cell r="BY25">
            <v>4.1250000000000002E-2</v>
          </cell>
          <cell r="BZ25">
            <v>4.4583333333333329E-2</v>
          </cell>
          <cell r="CA25">
            <v>4.583333333333333E-2</v>
          </cell>
          <cell r="CB25">
            <v>4.7083333333333331E-2</v>
          </cell>
          <cell r="CC25">
            <v>4.7500000000000001E-2</v>
          </cell>
          <cell r="CD25">
            <v>4.7500000000000001E-2</v>
          </cell>
          <cell r="CE25">
            <v>4.6249999999999999E-2</v>
          </cell>
          <cell r="CF25">
            <v>4.3749999999999997E-2</v>
          </cell>
          <cell r="CG25">
            <v>4.041666666666667E-2</v>
          </cell>
          <cell r="CH25">
            <v>3.6666666666666667E-2</v>
          </cell>
          <cell r="CI25">
            <v>3.3333333333333333E-2</v>
          </cell>
          <cell r="CJ25">
            <v>3.0833333333333334E-2</v>
          </cell>
          <cell r="CK25">
            <v>2.9166666666666664E-2</v>
          </cell>
          <cell r="CL25">
            <v>2.7083333333333334E-2</v>
          </cell>
          <cell r="CM25">
            <v>2.5416666666666664E-2</v>
          </cell>
          <cell r="CN25">
            <v>2.5000000000000001E-2</v>
          </cell>
          <cell r="CO25">
            <v>2.5000000000000001E-2</v>
          </cell>
          <cell r="CP25">
            <v>2.5000000000000001E-2</v>
          </cell>
          <cell r="CQ25">
            <v>2.5000000000000001E-2</v>
          </cell>
          <cell r="CR25">
            <v>2.4166666666666666E-2</v>
          </cell>
          <cell r="CS25">
            <v>2.2083333333333333E-2</v>
          </cell>
          <cell r="CT25">
            <v>2.0416666666666666E-2</v>
          </cell>
          <cell r="CU25">
            <v>0.02</v>
          </cell>
          <cell r="CV25">
            <v>0.02</v>
          </cell>
          <cell r="CW25">
            <v>1.9166666666666669E-2</v>
          </cell>
          <cell r="CX25">
            <v>1.7083333333333332E-2</v>
          </cell>
          <cell r="CY25">
            <v>1.5416666666666667E-2</v>
          </cell>
          <cell r="CZ25">
            <v>1.4999999999999999E-2</v>
          </cell>
          <cell r="DA25">
            <v>1.4999999999999999E-2</v>
          </cell>
          <cell r="DB25">
            <v>1.4999999999999999E-2</v>
          </cell>
          <cell r="DC25">
            <v>1.4999999999999999E-2</v>
          </cell>
          <cell r="DD25">
            <v>1.4999999999999999E-2</v>
          </cell>
          <cell r="DE25">
            <v>1.4999999999999999E-2</v>
          </cell>
          <cell r="DF25">
            <v>1.4999999999999999E-2</v>
          </cell>
          <cell r="DG25">
            <v>1.4999999999999999E-2</v>
          </cell>
          <cell r="DH25">
            <v>1.4999999999999999E-2</v>
          </cell>
          <cell r="DI25">
            <v>1.4583333333333332E-2</v>
          </cell>
          <cell r="DJ25">
            <v>1.2083333333333333E-2</v>
          </cell>
          <cell r="DK25">
            <v>8.7500000000000008E-3</v>
          </cell>
          <cell r="DL25">
            <v>6.6666666666666662E-3</v>
          </cell>
          <cell r="DM25">
            <v>4.1666666666666666E-3</v>
          </cell>
          <cell r="DN25">
            <v>2.5000000000000001E-3</v>
          </cell>
          <cell r="DO25">
            <v>2.0000000000000005E-3</v>
          </cell>
          <cell r="DP25">
            <v>1.2499999999999998E-3</v>
          </cell>
          <cell r="DQ25">
            <v>1E-3</v>
          </cell>
          <cell r="DR25">
            <v>1E-3</v>
          </cell>
          <cell r="DS25">
            <v>1E-3</v>
          </cell>
          <cell r="DT25">
            <v>1E-3</v>
          </cell>
          <cell r="DU25">
            <v>2.6666666666666666E-3</v>
          </cell>
          <cell r="DV25">
            <v>1.1416666666666665E-2</v>
          </cell>
          <cell r="DW25">
            <v>2.35E-2</v>
          </cell>
          <cell r="DX25">
            <v>3.1E-2</v>
          </cell>
          <cell r="DY25">
            <v>3.6000000000000004E-2</v>
          </cell>
          <cell r="DZ25">
            <v>3.9750000000000001E-2</v>
          </cell>
          <cell r="EA25">
            <v>4.1833333333333333E-2</v>
          </cell>
          <cell r="EB25">
            <v>4.3083333333333335E-2</v>
          </cell>
          <cell r="EC25">
            <v>4.3500000000000004E-2</v>
          </cell>
          <cell r="ED25">
            <v>4.3500000000000004E-2</v>
          </cell>
          <cell r="EE25">
            <v>4.3500000000000004E-2</v>
          </cell>
          <cell r="EF25">
            <v>4.2666666666666665E-2</v>
          </cell>
          <cell r="EG25">
            <v>4.0583333333333332E-2</v>
          </cell>
          <cell r="EH25">
            <v>3.8083333333333337E-2</v>
          </cell>
          <cell r="EI25">
            <v>3.6416666666666674E-2</v>
          </cell>
          <cell r="EJ25">
            <v>3.6833333333333336E-2</v>
          </cell>
          <cell r="EK25">
            <v>3.85E-2</v>
          </cell>
          <cell r="EL25">
            <v>4.0166666666666663E-2</v>
          </cell>
          <cell r="EM25">
            <v>4.0999999999999995E-2</v>
          </cell>
          <cell r="EN25">
            <v>4.0166666666666663E-2</v>
          </cell>
          <cell r="EO25">
            <v>3.85E-2</v>
          </cell>
          <cell r="EP25">
            <v>3.6000000000000004E-2</v>
          </cell>
          <cell r="EQ25">
            <v>3.6000000000000004E-2</v>
          </cell>
          <cell r="ER25">
            <v>3.6000000000000004E-2</v>
          </cell>
          <cell r="ES25">
            <v>3.6000000000000004E-2</v>
          </cell>
          <cell r="ET25">
            <v>3.6000000000000004E-2</v>
          </cell>
          <cell r="EU25">
            <v>3.6000000000000004E-2</v>
          </cell>
          <cell r="EV25">
            <v>3.6000000000000004E-2</v>
          </cell>
          <cell r="EW25">
            <v>3.6000000000000004E-2</v>
          </cell>
          <cell r="EX25">
            <v>3.6000000000000004E-2</v>
          </cell>
          <cell r="EY25">
            <v>3.6000000000000004E-2</v>
          </cell>
          <cell r="EZ25">
            <v>3.6000000000000004E-2</v>
          </cell>
          <cell r="FA25">
            <v>3.6000000000000004E-2</v>
          </cell>
          <cell r="FB25">
            <v>3.6000000000000004E-2</v>
          </cell>
          <cell r="FC25">
            <v>3.6000000000000004E-2</v>
          </cell>
          <cell r="FD25">
            <v>3.6000000000000004E-2</v>
          </cell>
          <cell r="FE25">
            <v>3.6000000000000004E-2</v>
          </cell>
          <cell r="FF25">
            <v>3.6000000000000004E-2</v>
          </cell>
          <cell r="FG25">
            <v>3.6000000000000004E-2</v>
          </cell>
          <cell r="FH25">
            <v>3.6000000000000004E-2</v>
          </cell>
          <cell r="FI25">
            <v>3.6000000000000004E-2</v>
          </cell>
          <cell r="FJ25">
            <v>3.6000000000000004E-2</v>
          </cell>
          <cell r="FK25">
            <v>3.6000000000000004E-2</v>
          </cell>
          <cell r="FL25">
            <v>3.6000000000000004E-2</v>
          </cell>
          <cell r="FM25">
            <v>3.6000000000000004E-2</v>
          </cell>
          <cell r="FN25">
            <v>3.6000000000000004E-2</v>
          </cell>
          <cell r="FO25">
            <v>3.6000000000000004E-2</v>
          </cell>
          <cell r="FP25">
            <v>3.6000000000000004E-2</v>
          </cell>
          <cell r="FQ25">
            <v>3.6000000000000004E-2</v>
          </cell>
          <cell r="FR25">
            <v>3.6000000000000004E-2</v>
          </cell>
          <cell r="FS25">
            <v>3.6000000000000004E-2</v>
          </cell>
          <cell r="FT25">
            <v>3.6000000000000004E-2</v>
          </cell>
          <cell r="FU25">
            <v>3.6000000000000004E-2</v>
          </cell>
        </row>
        <row r="26">
          <cell r="A26" t="str">
            <v>au_bbsw3m_avg_6m</v>
          </cell>
          <cell r="B26" t="str">
            <v>Aust 90 day bill</v>
          </cell>
          <cell r="D26">
            <v>7.8383333333333347E-2</v>
          </cell>
          <cell r="E26">
            <v>7.0033333333333336E-2</v>
          </cell>
          <cell r="F26">
            <v>6.1366666666666667E-2</v>
          </cell>
          <cell r="G26">
            <v>5.8550000000000005E-2</v>
          </cell>
          <cell r="H26">
            <v>5.7516666666666681E-2</v>
          </cell>
          <cell r="I26">
            <v>5.4083333333333324E-2</v>
          </cell>
          <cell r="J26">
            <v>5.0333333333333334E-2</v>
          </cell>
          <cell r="K26">
            <v>4.8233333333333329E-2</v>
          </cell>
          <cell r="L26">
            <v>4.8366666666666662E-2</v>
          </cell>
          <cell r="M26">
            <v>5.000000000000001E-2</v>
          </cell>
          <cell r="N26">
            <v>5.4664999999999998E-2</v>
          </cell>
          <cell r="O26">
            <v>6.5886666666666663E-2</v>
          </cell>
          <cell r="P26">
            <v>7.7175000000000007E-2</v>
          </cell>
          <cell r="Q26">
            <v>7.8698333333333328E-2</v>
          </cell>
          <cell r="R26">
            <v>7.6266666666666677E-2</v>
          </cell>
          <cell r="S26">
            <v>7.5074999999999989E-2</v>
          </cell>
          <cell r="T26">
            <v>7.4855000000000005E-2</v>
          </cell>
          <cell r="U26">
            <v>7.5434999999999988E-2</v>
          </cell>
          <cell r="V26">
            <v>7.2468333333333315E-2</v>
          </cell>
          <cell r="W26">
            <v>6.6380000000000008E-2</v>
          </cell>
          <cell r="X26">
            <v>6.1489000000000002E-2</v>
          </cell>
          <cell r="Y26">
            <v>5.783566666666666E-2</v>
          </cell>
          <cell r="Z26">
            <v>5.238333333333333E-2</v>
          </cell>
          <cell r="AA26">
            <v>4.9211166666666674E-2</v>
          </cell>
          <cell r="AB26">
            <v>4.9933333333333343E-2</v>
          </cell>
          <cell r="AC26">
            <v>5.0369333333333328E-2</v>
          </cell>
          <cell r="AD26">
            <v>5.1316666666666656E-2</v>
          </cell>
          <cell r="AE26">
            <v>5.0166666666666665E-2</v>
          </cell>
          <cell r="AF26">
            <v>4.8224833333333335E-2</v>
          </cell>
          <cell r="AG26">
            <v>4.852483333333333E-2</v>
          </cell>
          <cell r="AH26">
            <v>4.9466666666666666E-2</v>
          </cell>
          <cell r="AI26">
            <v>5.2777833333333329E-2</v>
          </cell>
          <cell r="AJ26">
            <v>5.6919499999999991E-2</v>
          </cell>
          <cell r="AK26">
            <v>6.0261166666666657E-2</v>
          </cell>
          <cell r="AL26">
            <v>6.3722333333333339E-2</v>
          </cell>
          <cell r="AM26">
            <v>6.4011166666666675E-2</v>
          </cell>
          <cell r="AN26">
            <v>5.8785999999999998E-2</v>
          </cell>
          <cell r="AO26">
            <v>5.2130499999999996E-2</v>
          </cell>
          <cell r="AP26">
            <v>4.8563833333333327E-2</v>
          </cell>
          <cell r="AQ26">
            <v>4.5136000000000003E-2</v>
          </cell>
          <cell r="AR26">
            <v>4.3449999999999996E-2</v>
          </cell>
          <cell r="AS26">
            <v>4.6577833333333346E-2</v>
          </cell>
          <cell r="AT26">
            <v>4.9258500000000004E-2</v>
          </cell>
          <cell r="AU26">
            <v>4.8975166666666674E-2</v>
          </cell>
          <cell r="AV26">
            <v>4.8122166666666667E-2</v>
          </cell>
          <cell r="AW26">
            <v>4.7716666666666664E-2</v>
          </cell>
          <cell r="AX26">
            <v>4.7991666666666676E-2</v>
          </cell>
          <cell r="AY26">
            <v>5.0808166666666675E-2</v>
          </cell>
          <cell r="AZ26">
            <v>5.4583333333333331E-2</v>
          </cell>
          <cell r="BA26">
            <v>5.5549999999999995E-2</v>
          </cell>
          <cell r="BB26">
            <v>5.4836000000000003E-2</v>
          </cell>
          <cell r="BC26">
            <v>5.4416666666666662E-2</v>
          </cell>
          <cell r="BD26">
            <v>5.5772166666666657E-2</v>
          </cell>
          <cell r="BE26">
            <v>5.7039000000000006E-2</v>
          </cell>
          <cell r="BF26">
            <v>5.662233333333333E-2</v>
          </cell>
          <cell r="BG26">
            <v>5.641100000000001E-2</v>
          </cell>
          <cell r="BH26">
            <v>5.6294333333333342E-2</v>
          </cell>
          <cell r="BI26">
            <v>5.7594500000000014E-2</v>
          </cell>
          <cell r="BJ26">
            <v>6.0472333333333336E-2</v>
          </cell>
          <cell r="BK26">
            <v>6.2972333333333338E-2</v>
          </cell>
          <cell r="BL26">
            <v>6.4094499999999999E-2</v>
          </cell>
          <cell r="BM26">
            <v>6.4052666666666674E-2</v>
          </cell>
          <cell r="BN26">
            <v>6.5952666666666659E-2</v>
          </cell>
          <cell r="BO26">
            <v>6.9819500000000007E-2</v>
          </cell>
          <cell r="BP26">
            <v>7.4508333333333343E-2</v>
          </cell>
          <cell r="BQ26">
            <v>7.7711000000000002E-2</v>
          </cell>
          <cell r="BR26">
            <v>7.6283333333333342E-2</v>
          </cell>
          <cell r="BS26">
            <v>6.1702833333333339E-2</v>
          </cell>
          <cell r="BT26">
            <v>4.0635999999999999E-2</v>
          </cell>
          <cell r="BU26">
            <v>3.1949833333333337E-2</v>
          </cell>
          <cell r="BV26">
            <v>3.2550000000000003E-2</v>
          </cell>
          <cell r="BW26">
            <v>3.7194333333333336E-2</v>
          </cell>
          <cell r="BX26">
            <v>4.2074833333333332E-2</v>
          </cell>
          <cell r="BY26">
            <v>4.5691666666666665E-2</v>
          </cell>
          <cell r="BZ26">
            <v>4.8258500000000003E-2</v>
          </cell>
          <cell r="CA26">
            <v>4.9141833333333336E-2</v>
          </cell>
          <cell r="CB26">
            <v>4.9614000000000005E-2</v>
          </cell>
          <cell r="CC26">
            <v>4.9663833333333338E-2</v>
          </cell>
          <cell r="CD26">
            <v>4.9727666666666677E-2</v>
          </cell>
          <cell r="CE26">
            <v>4.7736000000000001E-2</v>
          </cell>
          <cell r="CF26">
            <v>4.4900000000000002E-2</v>
          </cell>
          <cell r="CG26">
            <v>4.037516666666667E-2</v>
          </cell>
          <cell r="CH26">
            <v>3.6105666666666668E-2</v>
          </cell>
          <cell r="CI26">
            <v>3.3511166666666668E-2</v>
          </cell>
          <cell r="CJ26">
            <v>3.0893166666666669E-2</v>
          </cell>
          <cell r="CK26">
            <v>2.9276499999999997E-2</v>
          </cell>
          <cell r="CL26">
            <v>2.7312499999999997E-2</v>
          </cell>
          <cell r="CM26">
            <v>2.6159833333333337E-2</v>
          </cell>
          <cell r="CN26">
            <v>2.6327833333333339E-2</v>
          </cell>
          <cell r="CO26">
            <v>2.6741666666666667E-2</v>
          </cell>
          <cell r="CP26">
            <v>2.6741666666666664E-2</v>
          </cell>
          <cell r="CQ26">
            <v>2.6997166666666669E-2</v>
          </cell>
          <cell r="CR26">
            <v>2.5600000000000001E-2</v>
          </cell>
          <cell r="CS26">
            <v>2.2755499999999998E-2</v>
          </cell>
          <cell r="CT26">
            <v>2.1688833333333334E-2</v>
          </cell>
          <cell r="CU26">
            <v>2.2027833333333337E-2</v>
          </cell>
          <cell r="CV26">
            <v>2.2677833333333335E-2</v>
          </cell>
          <cell r="CW26">
            <v>2.1594333333333337E-2</v>
          </cell>
          <cell r="CX26">
            <v>1.9052666666666666E-2</v>
          </cell>
          <cell r="CY26">
            <v>1.7766666666666667E-2</v>
          </cell>
          <cell r="CZ26">
            <v>1.7783333333333332E-2</v>
          </cell>
          <cell r="DA26">
            <v>1.755E-2</v>
          </cell>
          <cell r="DB26">
            <v>1.7174999999999999E-2</v>
          </cell>
          <cell r="DC26">
            <v>1.7241666666666669E-2</v>
          </cell>
          <cell r="DD26">
            <v>1.8024999999999999E-2</v>
          </cell>
          <cell r="DE26">
            <v>1.9525500000000001E-2</v>
          </cell>
          <cell r="DF26">
            <v>1.9958E-2</v>
          </cell>
          <cell r="DG26">
            <v>1.9665833333333334E-2</v>
          </cell>
          <cell r="DH26">
            <v>1.9425666666666664E-2</v>
          </cell>
          <cell r="DI26">
            <v>1.6480499999999999E-2</v>
          </cell>
          <cell r="DJ26">
            <v>1.1851166666666668E-2</v>
          </cell>
          <cell r="DK26">
            <v>9.4336666666666649E-3</v>
          </cell>
          <cell r="DL26">
            <v>7.9928333333333327E-3</v>
          </cell>
          <cell r="DM26">
            <v>3.9301666666666677E-3</v>
          </cell>
          <cell r="DN26">
            <v>9.5799999999999998E-4</v>
          </cell>
          <cell r="DO26">
            <v>6.1133333333333341E-4</v>
          </cell>
          <cell r="DP26">
            <v>2.6966666666666664E-4</v>
          </cell>
          <cell r="DQ26">
            <v>3.0216666666666667E-4</v>
          </cell>
          <cell r="DR26">
            <v>2.6416666666666667E-4</v>
          </cell>
          <cell r="DS26">
            <v>3.9616666666666668E-4</v>
          </cell>
          <cell r="DT26">
            <v>9.5299999999999996E-4</v>
          </cell>
          <cell r="DU26">
            <v>6.8135000000000001E-3</v>
          </cell>
          <cell r="DV26">
            <v>1.8903833333333332E-2</v>
          </cell>
          <cell r="DW26">
            <v>2.8466666666666661E-2</v>
          </cell>
          <cell r="DX26">
            <v>3.3483833333333331E-2</v>
          </cell>
          <cell r="DY26">
            <v>3.7768999999999997E-2</v>
          </cell>
          <cell r="DZ26">
            <v>4.0896499999999995E-2</v>
          </cell>
          <cell r="EA26">
            <v>4.267566666666666E-2</v>
          </cell>
          <cell r="EB26">
            <v>4.3505500000000003E-2</v>
          </cell>
          <cell r="EC26">
            <v>4.3715166666666666E-2</v>
          </cell>
          <cell r="ED26">
            <v>4.4202666666666668E-2</v>
          </cell>
          <cell r="EE26">
            <v>4.4300166666666661E-2</v>
          </cell>
          <cell r="EF26">
            <v>4.2922333333333326E-2</v>
          </cell>
          <cell r="EG26">
            <v>3.9490333333333336E-2</v>
          </cell>
          <cell r="EH26">
            <v>3.6722999999999999E-2</v>
          </cell>
          <cell r="EI26">
            <v>3.6100333333333338E-2</v>
          </cell>
          <cell r="EJ26">
            <v>3.8437499999999999E-2</v>
          </cell>
          <cell r="EK26">
            <v>3.7250000000000005E-2</v>
          </cell>
          <cell r="EL26">
            <v>4.2749999999999996E-2</v>
          </cell>
          <cell r="EM26">
            <v>3.8250000000000006E-2</v>
          </cell>
          <cell r="EN26">
            <v>4.2249999999999996E-2</v>
          </cell>
          <cell r="EO26">
            <v>3.8500000000000006E-2</v>
          </cell>
          <cell r="EP26">
            <v>3.8500000000000006E-2</v>
          </cell>
          <cell r="EQ26">
            <v>3.8500000000000006E-2</v>
          </cell>
          <cell r="ER26">
            <v>3.8500000000000006E-2</v>
          </cell>
          <cell r="ES26">
            <v>3.8500000000000006E-2</v>
          </cell>
          <cell r="ET26">
            <v>3.8500000000000006E-2</v>
          </cell>
          <cell r="EU26">
            <v>3.8500000000000006E-2</v>
          </cell>
          <cell r="EV26">
            <v>3.8500000000000006E-2</v>
          </cell>
          <cell r="EW26">
            <v>3.8500000000000006E-2</v>
          </cell>
          <cell r="EX26">
            <v>3.8500000000000006E-2</v>
          </cell>
          <cell r="EY26">
            <v>3.8500000000000006E-2</v>
          </cell>
          <cell r="EZ26">
            <v>3.8500000000000006E-2</v>
          </cell>
          <cell r="FA26">
            <v>3.8500000000000006E-2</v>
          </cell>
          <cell r="FB26">
            <v>3.8500000000000006E-2</v>
          </cell>
          <cell r="FC26">
            <v>3.8500000000000006E-2</v>
          </cell>
          <cell r="FD26">
            <v>3.8500000000000006E-2</v>
          </cell>
          <cell r="FE26">
            <v>3.8500000000000006E-2</v>
          </cell>
          <cell r="FF26">
            <v>3.8500000000000006E-2</v>
          </cell>
          <cell r="FG26">
            <v>3.8500000000000006E-2</v>
          </cell>
          <cell r="FH26">
            <v>3.8500000000000006E-2</v>
          </cell>
          <cell r="FI26">
            <v>3.8500000000000006E-2</v>
          </cell>
          <cell r="FJ26">
            <v>3.8500000000000006E-2</v>
          </cell>
          <cell r="FK26">
            <v>3.8500000000000006E-2</v>
          </cell>
          <cell r="FL26">
            <v>3.8500000000000006E-2</v>
          </cell>
          <cell r="FM26">
            <v>3.8500000000000006E-2</v>
          </cell>
          <cell r="FN26">
            <v>3.8500000000000006E-2</v>
          </cell>
          <cell r="FO26">
            <v>3.8500000000000006E-2</v>
          </cell>
          <cell r="FP26">
            <v>3.8500000000000006E-2</v>
          </cell>
          <cell r="FQ26">
            <v>3.8500000000000006E-2</v>
          </cell>
          <cell r="FR26">
            <v>3.8500000000000006E-2</v>
          </cell>
          <cell r="FS26">
            <v>3.8500000000000006E-2</v>
          </cell>
          <cell r="FT26">
            <v>3.8500000000000006E-2</v>
          </cell>
          <cell r="FU26">
            <v>3.8500000000000006E-2</v>
          </cell>
        </row>
        <row r="27">
          <cell r="A27" t="str">
            <v>au_govt10y_avg_6m</v>
          </cell>
          <cell r="B27" t="str">
            <v>Aust 10 yr Bond Rate</v>
          </cell>
          <cell r="D27"/>
          <cell r="E27"/>
          <cell r="F27"/>
          <cell r="G27"/>
          <cell r="H27"/>
          <cell r="I27"/>
          <cell r="J27"/>
          <cell r="K27"/>
          <cell r="L27"/>
          <cell r="M27"/>
          <cell r="N27">
            <v>9.3566666666666659E-2</v>
          </cell>
          <cell r="O27">
            <v>0.10048333333333331</v>
          </cell>
          <cell r="P27">
            <v>0.10183333333333333</v>
          </cell>
          <cell r="Q27">
            <v>9.6549999999999997E-2</v>
          </cell>
          <cell r="R27">
            <v>9.1366666666666665E-2</v>
          </cell>
          <cell r="S27">
            <v>8.6816666666666667E-2</v>
          </cell>
          <cell r="T27">
            <v>8.4400000000000017E-2</v>
          </cell>
          <cell r="U27">
            <v>8.6616666666666675E-2</v>
          </cell>
          <cell r="V27">
            <v>8.4366666666666659E-2</v>
          </cell>
          <cell r="W27">
            <v>7.6833333333333337E-2</v>
          </cell>
          <cell r="X27">
            <v>7.5033333333333341E-2</v>
          </cell>
          <cell r="Y27">
            <v>7.5566666666666671E-2</v>
          </cell>
          <cell r="Z27">
            <v>6.8433333333333332E-2</v>
          </cell>
          <cell r="AA27">
            <v>6.1516666666666664E-2</v>
          </cell>
          <cell r="AB27">
            <v>5.9550000000000013E-2</v>
          </cell>
          <cell r="AC27">
            <v>5.7483333333333338E-2</v>
          </cell>
          <cell r="AD27">
            <v>5.5633333333333333E-2</v>
          </cell>
          <cell r="AE27">
            <v>5.2533333333333342E-2</v>
          </cell>
          <cell r="AF27">
            <v>5.1749999999999997E-2</v>
          </cell>
          <cell r="AG27">
            <v>5.6383333333333327E-2</v>
          </cell>
          <cell r="AH27">
            <v>6.076666666666667E-2</v>
          </cell>
          <cell r="AI27">
            <v>6.4783333333333332E-2</v>
          </cell>
          <cell r="AJ27">
            <v>6.7333333333333328E-2</v>
          </cell>
          <cell r="AK27">
            <v>6.5100000000000005E-2</v>
          </cell>
          <cell r="AL27">
            <v>6.2716666666666657E-2</v>
          </cell>
          <cell r="AM27">
            <v>6.0300000000000013E-2</v>
          </cell>
          <cell r="AN27">
            <v>5.5374999999999987E-2</v>
          </cell>
          <cell r="AO27">
            <v>5.6116666666666676E-2</v>
          </cell>
          <cell r="AP27">
            <v>5.8266666666666668E-2</v>
          </cell>
          <cell r="AQ27">
            <v>5.6524999999999999E-2</v>
          </cell>
          <cell r="AR27">
            <v>5.8450000000000016E-2</v>
          </cell>
          <cell r="AS27">
            <v>6.0899999999999996E-2</v>
          </cell>
          <cell r="AT27">
            <v>5.8700000000000002E-2</v>
          </cell>
          <cell r="AU27">
            <v>5.5583333333333339E-2</v>
          </cell>
          <cell r="AV27">
            <v>5.3249999999999999E-2</v>
          </cell>
          <cell r="AW27">
            <v>5.1150000000000001E-2</v>
          </cell>
          <cell r="AX27">
            <v>5.238333333333333E-2</v>
          </cell>
          <cell r="AY27">
            <v>5.6024999999999991E-2</v>
          </cell>
          <cell r="AZ27">
            <v>5.699166666666667E-2</v>
          </cell>
          <cell r="BA27">
            <v>5.7533333333333339E-2</v>
          </cell>
          <cell r="BB27">
            <v>5.7433333333333329E-2</v>
          </cell>
          <cell r="BC27">
            <v>5.4400000000000004E-2</v>
          </cell>
          <cell r="BD27">
            <v>5.4058333333333326E-2</v>
          </cell>
          <cell r="BE27">
            <v>5.3633333333333325E-2</v>
          </cell>
          <cell r="BF27">
            <v>5.1841666666666668E-2</v>
          </cell>
          <cell r="BG27">
            <v>5.264166666666667E-2</v>
          </cell>
          <cell r="BH27">
            <v>5.3541666666666668E-2</v>
          </cell>
          <cell r="BI27">
            <v>5.5474999999999997E-2</v>
          </cell>
          <cell r="BJ27">
            <v>5.7054166666666656E-2</v>
          </cell>
          <cell r="BK27">
            <v>5.6909166666666663E-2</v>
          </cell>
          <cell r="BL27">
            <v>5.7738333333333322E-2</v>
          </cell>
          <cell r="BM27">
            <v>5.9435833333333334E-2</v>
          </cell>
          <cell r="BN27">
            <v>6.0406666666666664E-2</v>
          </cell>
          <cell r="BO27">
            <v>6.0978333333333336E-2</v>
          </cell>
          <cell r="BP27">
            <v>6.1404166666666669E-2</v>
          </cell>
          <cell r="BQ27">
            <v>6.2666666666666662E-2</v>
          </cell>
          <cell r="BR27">
            <v>6.1021666666666662E-2</v>
          </cell>
          <cell r="BS27">
            <v>5.1814166666666661E-2</v>
          </cell>
          <cell r="BT27">
            <v>4.4725000000000001E-2</v>
          </cell>
          <cell r="BU27">
            <v>4.8212499999999998E-2</v>
          </cell>
          <cell r="BV27">
            <v>5.4051500000000002E-2</v>
          </cell>
          <cell r="BW27">
            <v>5.5404499999999995E-2</v>
          </cell>
          <cell r="BX27">
            <v>5.5547333333333337E-2</v>
          </cell>
          <cell r="BY27">
            <v>5.4795166666666659E-2</v>
          </cell>
          <cell r="BZ27">
            <v>5.1851999999999988E-2</v>
          </cell>
          <cell r="CA27">
            <v>5.174949999999999E-2</v>
          </cell>
          <cell r="CB27">
            <v>5.4378666666666658E-2</v>
          </cell>
          <cell r="CC27">
            <v>5.3948666666666666E-2</v>
          </cell>
          <cell r="CD27">
            <v>4.8794000000000004E-2</v>
          </cell>
          <cell r="CE27">
            <v>4.2575499999999995E-2</v>
          </cell>
          <cell r="CF27">
            <v>4.0020500000000007E-2</v>
          </cell>
          <cell r="CG27">
            <v>3.5889833333333329E-2</v>
          </cell>
          <cell r="CH27">
            <v>3.1283166666666667E-2</v>
          </cell>
          <cell r="CI27">
            <v>3.1135666666666669E-2</v>
          </cell>
          <cell r="CJ27">
            <v>3.2968499999999998E-2</v>
          </cell>
          <cell r="CK27">
            <v>3.405366666666667E-2</v>
          </cell>
          <cell r="CL27">
            <v>3.6064000000000006E-2</v>
          </cell>
          <cell r="CM27">
            <v>3.9850166666666659E-2</v>
          </cell>
          <cell r="CN27">
            <v>4.0980166666666665E-2</v>
          </cell>
          <cell r="CO27">
            <v>3.8759666666666664E-2</v>
          </cell>
          <cell r="CP27">
            <v>3.5723499999999998E-2</v>
          </cell>
          <cell r="CQ27">
            <v>3.2227833333333337E-2</v>
          </cell>
          <cell r="CR27">
            <v>2.7133666666666671E-2</v>
          </cell>
          <cell r="CS27">
            <v>2.6023999999999999E-2</v>
          </cell>
          <cell r="CT27">
            <v>2.7368666666666663E-2</v>
          </cell>
          <cell r="CU27">
            <v>2.7199833333333333E-2</v>
          </cell>
          <cell r="CV27">
            <v>2.6260833333333334E-2</v>
          </cell>
          <cell r="CW27">
            <v>2.3805833333333335E-2</v>
          </cell>
          <cell r="CX27">
            <v>2.0695499999999999E-2</v>
          </cell>
          <cell r="CY27">
            <v>2.2383833333333332E-2</v>
          </cell>
          <cell r="CZ27">
            <v>2.6583333333333334E-2</v>
          </cell>
          <cell r="DA27">
            <v>2.6148500000000002E-2</v>
          </cell>
          <cell r="DB27">
            <v>2.6318666666666667E-2</v>
          </cell>
          <cell r="DC27">
            <v>2.6717666666666667E-2</v>
          </cell>
          <cell r="DD27">
            <v>2.6624999999999996E-2</v>
          </cell>
          <cell r="DE27">
            <v>2.7087833333333328E-2</v>
          </cell>
          <cell r="DF27">
            <v>2.6532666666666666E-2</v>
          </cell>
          <cell r="DG27">
            <v>2.5626833333333331E-2</v>
          </cell>
          <cell r="DH27">
            <v>2.2767500000000003E-2</v>
          </cell>
          <cell r="DI27">
            <v>1.7824666666666669E-2</v>
          </cell>
          <cell r="DJ27">
            <v>1.2769499999999998E-2</v>
          </cell>
          <cell r="DK27">
            <v>1.1065166666666666E-2</v>
          </cell>
          <cell r="DL27">
            <v>1.0129666666666669E-2</v>
          </cell>
          <cell r="DM27">
            <v>8.6208333333333328E-3</v>
          </cell>
          <cell r="DN27">
            <v>8.723666666666666E-3</v>
          </cell>
          <cell r="DO27">
            <v>8.820999999999999E-3</v>
          </cell>
          <cell r="DP27">
            <v>1.2442833333333334E-2</v>
          </cell>
          <cell r="DQ27">
            <v>1.6071999999999999E-2</v>
          </cell>
          <cell r="DR27">
            <v>1.4515E-2</v>
          </cell>
          <cell r="DS27">
            <v>1.5465E-2</v>
          </cell>
          <cell r="DT27">
            <v>2.0489999999999998E-2</v>
          </cell>
          <cell r="DU27">
            <v>2.8281666666666667E-2</v>
          </cell>
          <cell r="DV27">
            <v>3.4450000000000001E-2</v>
          </cell>
          <cell r="DW27">
            <v>3.6469999999999995E-2</v>
          </cell>
          <cell r="DX27">
            <v>3.6735000000000004E-2</v>
          </cell>
          <cell r="DY27">
            <v>3.6123333333333334E-2</v>
          </cell>
          <cell r="DZ27">
            <v>3.9220000000000005E-2</v>
          </cell>
          <cell r="EA27">
            <v>4.3081666666666657E-2</v>
          </cell>
          <cell r="EB27">
            <v>4.2336666666666668E-2</v>
          </cell>
          <cell r="EC27">
            <v>4.2099999999999999E-2</v>
          </cell>
          <cell r="ED27">
            <v>4.2003333333333337E-2</v>
          </cell>
          <cell r="EE27">
            <v>4.2124999999999996E-2</v>
          </cell>
          <cell r="EF27">
            <v>4.3888333333333335E-2</v>
          </cell>
          <cell r="EG27">
            <v>4.2773333333333337E-2</v>
          </cell>
          <cell r="EH27">
            <v>4.2320000000000003E-2</v>
          </cell>
          <cell r="EI27">
            <v>4.2380000000000001E-2</v>
          </cell>
          <cell r="EJ27">
            <v>4.2749999999999996E-2</v>
          </cell>
          <cell r="EK27">
            <v>4.2999999999999997E-2</v>
          </cell>
          <cell r="EL27">
            <v>4.3249999999999997E-2</v>
          </cell>
          <cell r="EM27">
            <v>4.3499999999999997E-2</v>
          </cell>
          <cell r="EN27">
            <v>4.3749999999999997E-2</v>
          </cell>
          <cell r="EO27">
            <v>4.3999999999999997E-2</v>
          </cell>
          <cell r="EP27">
            <v>4.4249999999999998E-2</v>
          </cell>
          <cell r="EQ27">
            <v>4.4749999999999998E-2</v>
          </cell>
          <cell r="ER27">
            <v>4.4999999999999998E-2</v>
          </cell>
          <cell r="ES27">
            <v>4.4999999999999998E-2</v>
          </cell>
          <cell r="ET27">
            <v>4.4999999999999998E-2</v>
          </cell>
          <cell r="EU27">
            <v>4.4999999999999998E-2</v>
          </cell>
          <cell r="EV27">
            <v>4.4999999999999998E-2</v>
          </cell>
          <cell r="EW27">
            <v>4.4999999999999998E-2</v>
          </cell>
          <cell r="EX27">
            <v>4.4999999999999998E-2</v>
          </cell>
          <cell r="EY27">
            <v>4.4999999999999998E-2</v>
          </cell>
          <cell r="EZ27">
            <v>4.4999999999999998E-2</v>
          </cell>
          <cell r="FA27">
            <v>4.4999999999999998E-2</v>
          </cell>
          <cell r="FB27">
            <v>4.4999999999999998E-2</v>
          </cell>
          <cell r="FC27">
            <v>4.4999999999999998E-2</v>
          </cell>
          <cell r="FD27">
            <v>4.4999999999999998E-2</v>
          </cell>
          <cell r="FE27">
            <v>4.4999999999999998E-2</v>
          </cell>
          <cell r="FF27">
            <v>4.4999999999999998E-2</v>
          </cell>
          <cell r="FG27">
            <v>4.4999999999999998E-2</v>
          </cell>
          <cell r="FH27">
            <v>4.4999999999999998E-2</v>
          </cell>
          <cell r="FI27">
            <v>4.4999999999999998E-2</v>
          </cell>
          <cell r="FJ27">
            <v>4.4999999999999998E-2</v>
          </cell>
          <cell r="FK27">
            <v>4.4999999999999998E-2</v>
          </cell>
          <cell r="FL27">
            <v>4.4999999999999998E-2</v>
          </cell>
          <cell r="FM27">
            <v>4.4999999999999998E-2</v>
          </cell>
          <cell r="FN27">
            <v>4.4999999999999998E-2</v>
          </cell>
          <cell r="FO27">
            <v>4.4999999999999998E-2</v>
          </cell>
          <cell r="FP27">
            <v>4.4999999999999998E-2</v>
          </cell>
          <cell r="FQ27">
            <v>4.4999999999999998E-2</v>
          </cell>
          <cell r="FR27">
            <v>4.4999999999999998E-2</v>
          </cell>
          <cell r="FS27">
            <v>4.4999999999999998E-2</v>
          </cell>
          <cell r="FT27">
            <v>4.4999999999999998E-2</v>
          </cell>
          <cell r="FU27">
            <v>4.4999999999999998E-2</v>
          </cell>
        </row>
        <row r="28">
          <cell r="A28" t="str">
            <v>us_govt10y_avg_6m</v>
          </cell>
          <cell r="B28" t="str">
            <v>US 10 yr bond</v>
          </cell>
          <cell r="D28">
            <v>7.266333333333333E-2</v>
          </cell>
          <cell r="E28">
            <v>7.3453333333333329E-2</v>
          </cell>
          <cell r="F28">
            <v>6.9463333333333349E-2</v>
          </cell>
          <cell r="G28">
            <v>6.6816666666666663E-2</v>
          </cell>
          <cell r="H28">
            <v>6.467666666666666E-2</v>
          </cell>
          <cell r="I28">
            <v>6.0518333333333334E-2</v>
          </cell>
          <cell r="J28">
            <v>5.758166666666667E-2</v>
          </cell>
          <cell r="K28">
            <v>5.6073333333333329E-2</v>
          </cell>
          <cell r="L28">
            <v>5.9230000000000012E-2</v>
          </cell>
          <cell r="M28">
            <v>6.6695000000000004E-2</v>
          </cell>
          <cell r="N28">
            <v>7.2323333333333337E-2</v>
          </cell>
          <cell r="O28">
            <v>7.5718333333333332E-2</v>
          </cell>
          <cell r="P28">
            <v>7.5843333333333332E-2</v>
          </cell>
          <cell r="Q28">
            <v>6.9163333333333341E-2</v>
          </cell>
          <cell r="R28">
            <v>6.4031666666666667E-2</v>
          </cell>
          <cell r="S28">
            <v>6.0380000000000003E-2</v>
          </cell>
          <cell r="T28">
            <v>5.8905000000000006E-2</v>
          </cell>
          <cell r="U28">
            <v>6.3709999999999989E-2</v>
          </cell>
          <cell r="V28">
            <v>6.7768333333333333E-2</v>
          </cell>
          <cell r="W28">
            <v>6.5401666666666664E-2</v>
          </cell>
          <cell r="X28">
            <v>6.4578333333333335E-2</v>
          </cell>
          <cell r="Y28">
            <v>6.6356666666666661E-2</v>
          </cell>
          <cell r="Z28">
            <v>6.3854999999999995E-2</v>
          </cell>
          <cell r="AA28">
            <v>5.9773333333333331E-2</v>
          </cell>
          <cell r="AB28">
            <v>5.6973333333333327E-2</v>
          </cell>
          <cell r="AC28">
            <v>5.5696666666666665E-2</v>
          </cell>
          <cell r="AD28">
            <v>5.2498333333333341E-2</v>
          </cell>
          <cell r="AE28">
            <v>4.7913333333333336E-2</v>
          </cell>
          <cell r="AF28">
            <v>4.8453333333333334E-2</v>
          </cell>
          <cell r="AG28">
            <v>5.3156666666666658E-2</v>
          </cell>
          <cell r="AH28">
            <v>5.7429999999999995E-2</v>
          </cell>
          <cell r="AI28">
            <v>6.0635000000000001E-2</v>
          </cell>
          <cell r="AJ28">
            <v>6.2859999999999999E-2</v>
          </cell>
          <cell r="AK28">
            <v>6.2611666666666677E-2</v>
          </cell>
          <cell r="AL28">
            <v>6.0080000000000001E-2</v>
          </cell>
          <cell r="AM28">
            <v>5.6444999999999995E-2</v>
          </cell>
          <cell r="AN28">
            <v>5.2089999999999997E-2</v>
          </cell>
          <cell r="AO28">
            <v>5.1741666666666665E-2</v>
          </cell>
          <cell r="AP28">
            <v>5.0919999999999993E-2</v>
          </cell>
          <cell r="AQ28">
            <v>4.7399999999999991E-2</v>
          </cell>
          <cell r="AR28">
            <v>4.8820000000000002E-2</v>
          </cell>
          <cell r="AS28">
            <v>5.038666666666667E-2</v>
          </cell>
          <cell r="AT28">
            <v>4.5179999999999998E-2</v>
          </cell>
          <cell r="AU28">
            <v>4.0143333333333329E-2</v>
          </cell>
          <cell r="AV28">
            <v>3.8956333333333329E-2</v>
          </cell>
          <cell r="AW28">
            <v>3.6980666666666662E-2</v>
          </cell>
          <cell r="AX28">
            <v>3.9238999999999996E-2</v>
          </cell>
          <cell r="AY28">
            <v>4.2815833333333338E-2</v>
          </cell>
          <cell r="AZ28">
            <v>4.1368500000000002E-2</v>
          </cell>
          <cell r="BA28">
            <v>4.282600000000001E-2</v>
          </cell>
          <cell r="BB28">
            <v>4.4121500000000008E-2</v>
          </cell>
          <cell r="BC28">
            <v>4.2192833333333332E-2</v>
          </cell>
          <cell r="BD28">
            <v>4.2644166666666664E-2</v>
          </cell>
          <cell r="BE28">
            <v>4.1814166666666666E-2</v>
          </cell>
          <cell r="BF28">
            <v>4.1189999999999997E-2</v>
          </cell>
          <cell r="BG28">
            <v>4.3429999999999996E-2</v>
          </cell>
          <cell r="BH28">
            <v>4.559333333333334E-2</v>
          </cell>
          <cell r="BI28">
            <v>4.8734166666666655E-2</v>
          </cell>
          <cell r="BJ28">
            <v>4.9441166666666668E-2</v>
          </cell>
          <cell r="BK28">
            <v>4.683416666666667E-2</v>
          </cell>
          <cell r="BL28">
            <v>4.630716666666667E-2</v>
          </cell>
          <cell r="BM28">
            <v>4.7611250000000008E-2</v>
          </cell>
          <cell r="BN28">
            <v>4.7328916666666672E-2</v>
          </cell>
          <cell r="BO28">
            <v>4.3831416666666671E-2</v>
          </cell>
          <cell r="BP28">
            <v>3.8277166666666668E-2</v>
          </cell>
          <cell r="BQ28">
            <v>3.7134166666666669E-2</v>
          </cell>
          <cell r="BR28">
            <v>3.8919916666666665E-2</v>
          </cell>
          <cell r="BS28">
            <v>3.4471416666666664E-2</v>
          </cell>
          <cell r="BT28">
            <v>2.9366500000000004E-2</v>
          </cell>
          <cell r="BU28">
            <v>3.1078333333333333E-2</v>
          </cell>
          <cell r="BV28">
            <v>3.3844166666666668E-2</v>
          </cell>
          <cell r="BW28">
            <v>3.4335583333333336E-2</v>
          </cell>
          <cell r="BX28">
            <v>3.574666666666667E-2</v>
          </cell>
          <cell r="BY28">
            <v>3.4877166666666667E-2</v>
          </cell>
          <cell r="BZ28">
            <v>2.9628833333333337E-2</v>
          </cell>
          <cell r="CA28">
            <v>2.7630666666666664E-2</v>
          </cell>
          <cell r="CB28">
            <v>3.1599833333333334E-2</v>
          </cell>
          <cell r="CC28">
            <v>3.2969166666666667E-2</v>
          </cell>
          <cell r="CD28">
            <v>2.7430333333333334E-2</v>
          </cell>
          <cell r="CE28">
            <v>2.1708166666666667E-2</v>
          </cell>
          <cell r="CF28">
            <v>2.0108416666666663E-2</v>
          </cell>
          <cell r="CG28">
            <v>1.8521500000000003E-2</v>
          </cell>
          <cell r="CH28">
            <v>1.6308166666666669E-2</v>
          </cell>
          <cell r="CI28">
            <v>1.6221583333333331E-2</v>
          </cell>
          <cell r="CJ28">
            <v>1.7998333333333328E-2</v>
          </cell>
          <cell r="CK28">
            <v>2.0029833333333334E-2</v>
          </cell>
          <cell r="CL28">
            <v>2.3797250000000002E-2</v>
          </cell>
          <cell r="CM28">
            <v>2.7208333333333338E-2</v>
          </cell>
          <cell r="CN28">
            <v>2.7318416666666664E-2</v>
          </cell>
          <cell r="CO28">
            <v>2.6169333333333333E-2</v>
          </cell>
          <cell r="CP28">
            <v>2.5071833333333335E-2</v>
          </cell>
          <cell r="CQ28">
            <v>2.3441416666666669E-2</v>
          </cell>
          <cell r="CR28">
            <v>2.0386083333333332E-2</v>
          </cell>
          <cell r="CS28">
            <v>2.0106249999999996E-2</v>
          </cell>
          <cell r="CT28">
            <v>2.1572666666666664E-2</v>
          </cell>
          <cell r="CU28">
            <v>2.1759500000000001E-2</v>
          </cell>
          <cell r="CV28">
            <v>2.0076083333333331E-2</v>
          </cell>
          <cell r="CW28">
            <v>1.7635166666666667E-2</v>
          </cell>
          <cell r="CX28">
            <v>1.6298833333333335E-2</v>
          </cell>
          <cell r="CY28">
            <v>1.8804249999999998E-2</v>
          </cell>
          <cell r="CZ28">
            <v>2.3196666666666664E-2</v>
          </cell>
          <cell r="DA28">
            <v>2.341883333333333E-2</v>
          </cell>
          <cell r="DB28">
            <v>2.2562916666666669E-2</v>
          </cell>
          <cell r="DC28">
            <v>2.3239333333333338E-2</v>
          </cell>
          <cell r="DD28">
            <v>2.5842416666666666E-2</v>
          </cell>
          <cell r="DE28">
            <v>2.8314416666666665E-2</v>
          </cell>
          <cell r="DF28">
            <v>2.9263916666666671E-2</v>
          </cell>
          <cell r="DG28">
            <v>2.9489666666666667E-2</v>
          </cell>
          <cell r="DH28">
            <v>2.7606749999999996E-2</v>
          </cell>
          <cell r="DI28">
            <v>2.3978000000000003E-2</v>
          </cell>
          <cell r="DJ28">
            <v>1.9702916666666667E-2</v>
          </cell>
          <cell r="DK28">
            <v>1.7617999999999998E-2</v>
          </cell>
          <cell r="DL28">
            <v>1.4499916666666666E-2</v>
          </cell>
          <cell r="DM28">
            <v>8.7670000000000005E-3</v>
          </cell>
          <cell r="DN28">
            <v>6.4483333333333337E-3</v>
          </cell>
          <cell r="DO28">
            <v>7.6017499999999991E-3</v>
          </cell>
          <cell r="DP28">
            <v>1.1464416666666668E-2</v>
          </cell>
          <cell r="DQ28">
            <v>1.4856666666666667E-2</v>
          </cell>
          <cell r="DR28">
            <v>1.4540333333333332E-2</v>
          </cell>
          <cell r="DS28">
            <v>1.4391000000000001E-2</v>
          </cell>
          <cell r="DT28">
            <v>1.7661166666666669E-2</v>
          </cell>
          <cell r="DU28">
            <v>2.4586166666666666E-2</v>
          </cell>
          <cell r="DV28">
            <v>3.0458833333333327E-2</v>
          </cell>
          <cell r="DW28">
            <v>3.5236833333333328E-2</v>
          </cell>
          <cell r="DX28">
            <v>3.7760500000000002E-2</v>
          </cell>
          <cell r="DY28">
            <v>3.6746333333333339E-2</v>
          </cell>
          <cell r="DZ28">
            <v>3.937633333333334E-2</v>
          </cell>
          <cell r="EA28">
            <v>4.2609000000000001E-2</v>
          </cell>
          <cell r="EB28">
            <v>4.2372500000000007E-2</v>
          </cell>
          <cell r="EC28">
            <v>4.3317833333333333E-2</v>
          </cell>
          <cell r="ED28">
            <v>4.2138833333333327E-2</v>
          </cell>
          <cell r="EE28">
            <v>4.1321166666666666E-2</v>
          </cell>
          <cell r="EF28">
            <v>4.3323333333333339E-2</v>
          </cell>
          <cell r="EG28">
            <v>4.3055666666666666E-2</v>
          </cell>
          <cell r="EH28">
            <v>4.2617500000000003E-2</v>
          </cell>
          <cell r="EI28">
            <v>4.2455666666666669E-2</v>
          </cell>
          <cell r="EJ28">
            <v>4.3749999999999997E-2</v>
          </cell>
          <cell r="EK28">
            <v>4.3999999999999997E-2</v>
          </cell>
          <cell r="EL28">
            <v>4.4249999999999998E-2</v>
          </cell>
          <cell r="EM28">
            <v>4.4499999999999998E-2</v>
          </cell>
          <cell r="EN28">
            <v>4.4749999999999998E-2</v>
          </cell>
          <cell r="EO28">
            <v>4.4999999999999998E-2</v>
          </cell>
          <cell r="EP28">
            <v>4.5249999999999999E-2</v>
          </cell>
          <cell r="EQ28">
            <v>4.5499999999999999E-2</v>
          </cell>
          <cell r="ER28">
            <v>4.5749999999999999E-2</v>
          </cell>
          <cell r="ES28">
            <v>4.5999999999999999E-2</v>
          </cell>
          <cell r="ET28">
            <v>4.5999999999999999E-2</v>
          </cell>
          <cell r="EU28">
            <v>4.5999999999999999E-2</v>
          </cell>
          <cell r="EV28">
            <v>4.5999999999999999E-2</v>
          </cell>
          <cell r="EW28">
            <v>4.5999999999999999E-2</v>
          </cell>
          <cell r="EX28">
            <v>4.5999999999999999E-2</v>
          </cell>
          <cell r="EY28">
            <v>4.5999999999999999E-2</v>
          </cell>
          <cell r="EZ28">
            <v>4.5999999999999999E-2</v>
          </cell>
          <cell r="FA28">
            <v>4.5999999999999999E-2</v>
          </cell>
          <cell r="FB28">
            <v>4.5999999999999999E-2</v>
          </cell>
          <cell r="FC28">
            <v>4.5999999999999999E-2</v>
          </cell>
          <cell r="FD28">
            <v>4.5999999999999999E-2</v>
          </cell>
          <cell r="FE28">
            <v>4.5999999999999999E-2</v>
          </cell>
          <cell r="FF28">
            <v>4.5999999999999999E-2</v>
          </cell>
          <cell r="FG28">
            <v>4.5999999999999999E-2</v>
          </cell>
          <cell r="FH28">
            <v>4.5999999999999999E-2</v>
          </cell>
          <cell r="FI28">
            <v>4.5999999999999999E-2</v>
          </cell>
          <cell r="FJ28">
            <v>4.5999999999999999E-2</v>
          </cell>
          <cell r="FK28">
            <v>4.5999999999999999E-2</v>
          </cell>
          <cell r="FL28">
            <v>4.5999999999999999E-2</v>
          </cell>
          <cell r="FM28">
            <v>4.5999999999999999E-2</v>
          </cell>
          <cell r="FN28">
            <v>4.5999999999999999E-2</v>
          </cell>
          <cell r="FO28">
            <v>4.5999999999999999E-2</v>
          </cell>
          <cell r="FP28">
            <v>4.5999999999999999E-2</v>
          </cell>
          <cell r="FQ28">
            <v>4.5999999999999999E-2</v>
          </cell>
          <cell r="FR28">
            <v>4.5999999999999999E-2</v>
          </cell>
          <cell r="FS28">
            <v>4.5999999999999999E-2</v>
          </cell>
          <cell r="FT28">
            <v>4.5999999999999999E-2</v>
          </cell>
          <cell r="FU28">
            <v>4.5999999999999999E-2</v>
          </cell>
        </row>
        <row r="29">
          <cell r="D29"/>
          <cell r="E29"/>
          <cell r="F29"/>
          <cell r="G29"/>
          <cell r="H29"/>
          <cell r="I29"/>
          <cell r="J29"/>
          <cell r="K29"/>
          <cell r="L29"/>
          <cell r="M29"/>
          <cell r="N29"/>
          <cell r="O29"/>
          <cell r="P29"/>
          <cell r="Q29"/>
          <cell r="R29"/>
          <cell r="S29"/>
          <cell r="T29"/>
          <cell r="U29"/>
          <cell r="V29"/>
          <cell r="W29"/>
          <cell r="X29"/>
          <cell r="Y29"/>
          <cell r="Z29"/>
          <cell r="AA29"/>
          <cell r="AB29"/>
          <cell r="AC29"/>
          <cell r="AD29"/>
          <cell r="AE29"/>
          <cell r="AF29"/>
          <cell r="AG29"/>
          <cell r="AH29"/>
          <cell r="AI29"/>
          <cell r="AJ29"/>
          <cell r="AK29"/>
          <cell r="AL29"/>
          <cell r="AM29"/>
          <cell r="AN29"/>
          <cell r="AO29"/>
          <cell r="AP29"/>
          <cell r="AQ29"/>
          <cell r="AR29"/>
          <cell r="AS29"/>
          <cell r="AT29"/>
          <cell r="AU29"/>
          <cell r="AV29"/>
          <cell r="AW29"/>
          <cell r="AX29"/>
          <cell r="AY29"/>
          <cell r="AZ29"/>
          <cell r="BA29"/>
          <cell r="BB29"/>
          <cell r="BC29"/>
          <cell r="BD29"/>
          <cell r="BE29"/>
          <cell r="BF29"/>
          <cell r="BG29"/>
          <cell r="BH29"/>
          <cell r="BI29"/>
          <cell r="BJ29"/>
          <cell r="BK29"/>
          <cell r="BL29"/>
          <cell r="BM29"/>
          <cell r="BN29"/>
          <cell r="BO29"/>
          <cell r="BP29"/>
          <cell r="BQ29"/>
          <cell r="BR29"/>
          <cell r="BS29"/>
          <cell r="BT29"/>
          <cell r="BU29"/>
          <cell r="BV29"/>
          <cell r="BW29"/>
          <cell r="BX29"/>
          <cell r="BY29"/>
          <cell r="BZ29"/>
          <cell r="CA29"/>
          <cell r="CB29"/>
          <cell r="CC29"/>
          <cell r="CD29"/>
          <cell r="CE29"/>
          <cell r="CF29"/>
          <cell r="CG29"/>
          <cell r="CH29"/>
          <cell r="CI29"/>
          <cell r="CJ29"/>
          <cell r="CK29"/>
          <cell r="CL29"/>
          <cell r="CM29"/>
          <cell r="CN29"/>
          <cell r="CO29"/>
          <cell r="CP29"/>
          <cell r="CQ29"/>
          <cell r="CR29"/>
          <cell r="CS29"/>
          <cell r="CT29"/>
          <cell r="CU29"/>
          <cell r="CV29"/>
          <cell r="CW29"/>
          <cell r="CX29"/>
          <cell r="CY29"/>
          <cell r="CZ29"/>
          <cell r="DA29"/>
          <cell r="DB29"/>
          <cell r="DC29"/>
          <cell r="DD29"/>
          <cell r="DE29"/>
          <cell r="DF29"/>
          <cell r="DG29"/>
          <cell r="DH29"/>
          <cell r="DI29"/>
          <cell r="DJ29"/>
          <cell r="DK29"/>
          <cell r="DL29"/>
          <cell r="DM29"/>
          <cell r="DN29"/>
          <cell r="DO29"/>
          <cell r="DP29"/>
          <cell r="DQ29"/>
          <cell r="DR29"/>
          <cell r="DS29"/>
          <cell r="DT29"/>
          <cell r="DU29"/>
          <cell r="DV29"/>
          <cell r="DW29"/>
          <cell r="DX29"/>
          <cell r="DY29"/>
          <cell r="DZ29"/>
          <cell r="EA29"/>
          <cell r="EB29"/>
          <cell r="EC29"/>
          <cell r="ED29"/>
          <cell r="EE29"/>
          <cell r="EG29"/>
          <cell r="EH29"/>
          <cell r="EI29"/>
        </row>
        <row r="30">
          <cell r="B30" t="str">
            <v>Rates - average (12mo)</v>
          </cell>
          <cell r="C30"/>
          <cell r="D30"/>
          <cell r="E30"/>
          <cell r="F30"/>
          <cell r="G30"/>
          <cell r="H30"/>
          <cell r="I30"/>
          <cell r="J30"/>
          <cell r="K30"/>
          <cell r="L30"/>
          <cell r="M30"/>
          <cell r="N30"/>
          <cell r="O30"/>
          <cell r="P30"/>
          <cell r="Q30"/>
          <cell r="R30"/>
          <cell r="S30"/>
          <cell r="T30"/>
          <cell r="U30"/>
          <cell r="V30"/>
          <cell r="W30"/>
          <cell r="X30"/>
          <cell r="Y30"/>
          <cell r="Z30"/>
          <cell r="AA30"/>
          <cell r="AB30"/>
          <cell r="AC30"/>
          <cell r="AD30"/>
          <cell r="AE30"/>
          <cell r="AF30"/>
          <cell r="AG30"/>
          <cell r="AH30"/>
          <cell r="AI30"/>
          <cell r="AJ30"/>
          <cell r="AK30"/>
          <cell r="AL30"/>
          <cell r="AM30"/>
          <cell r="AN30"/>
          <cell r="AO30"/>
          <cell r="AP30"/>
          <cell r="AQ30"/>
          <cell r="AR30"/>
          <cell r="AS30"/>
          <cell r="AT30"/>
          <cell r="AU30"/>
          <cell r="AV30"/>
          <cell r="AW30"/>
          <cell r="AX30"/>
          <cell r="AY30"/>
          <cell r="AZ30"/>
          <cell r="BA30"/>
          <cell r="BB30"/>
          <cell r="BC30"/>
          <cell r="BD30"/>
          <cell r="BE30"/>
          <cell r="BF30"/>
          <cell r="BG30"/>
          <cell r="BH30"/>
          <cell r="BI30"/>
          <cell r="BJ30"/>
          <cell r="BK30"/>
          <cell r="BL30"/>
          <cell r="BM30"/>
          <cell r="BN30"/>
          <cell r="BO30"/>
          <cell r="BP30"/>
          <cell r="BQ30"/>
          <cell r="BR30"/>
          <cell r="BS30"/>
          <cell r="BT30"/>
          <cell r="BU30"/>
          <cell r="BV30"/>
          <cell r="BW30"/>
          <cell r="BX30"/>
          <cell r="BY30"/>
          <cell r="BZ30"/>
          <cell r="CA30"/>
          <cell r="CB30"/>
          <cell r="CC30"/>
          <cell r="CD30"/>
          <cell r="CE30"/>
          <cell r="CF30"/>
          <cell r="CG30"/>
          <cell r="CH30"/>
          <cell r="CI30"/>
          <cell r="CJ30"/>
          <cell r="CK30"/>
          <cell r="CL30"/>
          <cell r="CM30"/>
          <cell r="CN30"/>
          <cell r="CO30"/>
          <cell r="CP30"/>
          <cell r="CQ30"/>
          <cell r="CR30"/>
          <cell r="CS30"/>
          <cell r="CT30"/>
          <cell r="CU30"/>
          <cell r="CV30"/>
          <cell r="CW30"/>
          <cell r="CX30"/>
          <cell r="CY30"/>
          <cell r="CZ30"/>
          <cell r="DA30"/>
          <cell r="DB30"/>
          <cell r="DC30"/>
          <cell r="DD30"/>
          <cell r="DE30"/>
          <cell r="DF30"/>
          <cell r="DG30"/>
          <cell r="DH30"/>
          <cell r="DI30"/>
          <cell r="DJ30"/>
          <cell r="DK30"/>
          <cell r="DL30"/>
          <cell r="DM30"/>
          <cell r="DN30"/>
          <cell r="DO30"/>
          <cell r="DP30"/>
          <cell r="DQ30"/>
          <cell r="DR30"/>
          <cell r="DS30"/>
          <cell r="DT30"/>
          <cell r="DU30"/>
          <cell r="DV30"/>
          <cell r="DW30"/>
          <cell r="DX30"/>
          <cell r="DY30"/>
          <cell r="DZ30"/>
          <cell r="EA30"/>
          <cell r="EB30"/>
          <cell r="EC30"/>
          <cell r="ED30"/>
          <cell r="EE30"/>
          <cell r="EF30"/>
          <cell r="EG30"/>
          <cell r="EH30"/>
          <cell r="EI30"/>
          <cell r="EJ30"/>
          <cell r="EK30"/>
          <cell r="EL30"/>
          <cell r="EM30"/>
          <cell r="EN30"/>
          <cell r="EO30"/>
          <cell r="EP30"/>
          <cell r="EQ30"/>
          <cell r="ER30"/>
          <cell r="ES30"/>
          <cell r="ET30"/>
          <cell r="EU30"/>
          <cell r="EV30"/>
          <cell r="EW30"/>
          <cell r="EX30"/>
          <cell r="EY30"/>
          <cell r="EZ30"/>
          <cell r="FA30"/>
          <cell r="FB30"/>
          <cell r="FC30"/>
          <cell r="FD30"/>
          <cell r="FE30"/>
          <cell r="FF30"/>
          <cell r="FG30"/>
          <cell r="FH30"/>
          <cell r="FI30"/>
          <cell r="FJ30"/>
          <cell r="FK30"/>
          <cell r="FL30"/>
          <cell r="FM30"/>
          <cell r="FN30"/>
          <cell r="FO30"/>
          <cell r="FP30"/>
          <cell r="FQ30"/>
          <cell r="FR30"/>
          <cell r="FS30"/>
          <cell r="FT30"/>
          <cell r="FU30"/>
        </row>
        <row r="31">
          <cell r="A31" t="str">
            <v>12MoCashg</v>
          </cell>
          <cell r="B31" t="str">
            <v>Aust cash</v>
          </cell>
          <cell r="D31">
            <v>9.3208333333333351E-2</v>
          </cell>
          <cell r="E31">
            <v>8.3291666666666681E-2</v>
          </cell>
          <cell r="F31">
            <v>7.154166666666667E-2</v>
          </cell>
          <cell r="G31">
            <v>6.3791666666666663E-2</v>
          </cell>
          <cell r="H31">
            <v>5.8875000000000004E-2</v>
          </cell>
          <cell r="I31">
            <v>5.4791666666666676E-2</v>
          </cell>
          <cell r="J31">
            <v>5.2875000000000005E-2</v>
          </cell>
          <cell r="K31">
            <v>5.0499999999999996E-2</v>
          </cell>
          <cell r="L31">
            <v>4.8500000000000008E-2</v>
          </cell>
          <cell r="M31">
            <v>4.7083333333333338E-2</v>
          </cell>
          <cell r="N31">
            <v>4.8250000000000001E-2</v>
          </cell>
          <cell r="O31">
            <v>5.3249999999999999E-2</v>
          </cell>
          <cell r="P31">
            <v>6.0041666666666674E-2</v>
          </cell>
          <cell r="Q31">
            <v>6.7058333333333345E-2</v>
          </cell>
          <cell r="R31">
            <v>7.2600000000000026E-2</v>
          </cell>
          <cell r="S31">
            <v>7.4266666666666661E-2</v>
          </cell>
          <cell r="T31">
            <v>7.4141666666666675E-2</v>
          </cell>
          <cell r="U31">
            <v>7.3666666666666672E-2</v>
          </cell>
          <cell r="V31">
            <v>7.2666666666666657E-2</v>
          </cell>
          <cell r="W31">
            <v>7.0391666666666672E-2</v>
          </cell>
          <cell r="X31">
            <v>6.696666666666666E-2</v>
          </cell>
          <cell r="Y31">
            <v>6.3125000000000014E-2</v>
          </cell>
          <cell r="Z31">
            <v>5.8083333333333348E-2</v>
          </cell>
          <cell r="AA31">
            <v>5.4225000000000023E-2</v>
          </cell>
          <cell r="AB31">
            <v>5.1600000000000007E-2</v>
          </cell>
          <cell r="AC31">
            <v>4.9791666666666679E-2</v>
          </cell>
          <cell r="AD31">
            <v>4.9791666666666679E-2</v>
          </cell>
          <cell r="AE31">
            <v>4.9575000000000008E-2</v>
          </cell>
          <cell r="AF31">
            <v>4.8941666666666668E-2</v>
          </cell>
          <cell r="AG31">
            <v>4.8391666666666666E-2</v>
          </cell>
          <cell r="AH31">
            <v>4.7833333333333325E-2</v>
          </cell>
          <cell r="AI31">
            <v>4.7866666666666662E-2</v>
          </cell>
          <cell r="AJ31">
            <v>4.9383333333333335E-2</v>
          </cell>
          <cell r="AK31">
            <v>5.2291666666666667E-2</v>
          </cell>
          <cell r="AL31">
            <v>5.5808333333333335E-2</v>
          </cell>
          <cell r="AM31">
            <v>5.9166666666666673E-2</v>
          </cell>
          <cell r="AN31">
            <v>6.0416666666666667E-2</v>
          </cell>
          <cell r="AO31">
            <v>5.8125000000000003E-2</v>
          </cell>
          <cell r="AP31">
            <v>5.5E-2</v>
          </cell>
          <cell r="AQ31">
            <v>5.0416666666666672E-2</v>
          </cell>
          <cell r="AR31">
            <v>4.6458333333333331E-2</v>
          </cell>
          <cell r="AS31">
            <v>4.520833333333333E-2</v>
          </cell>
          <cell r="AT31">
            <v>4.4791666666666667E-2</v>
          </cell>
          <cell r="AU31">
            <v>4.5624999999999999E-2</v>
          </cell>
          <cell r="AV31">
            <v>4.6875E-2</v>
          </cell>
          <cell r="AW31">
            <v>4.7500000000000001E-2</v>
          </cell>
          <cell r="AX31">
            <v>4.7500000000000001E-2</v>
          </cell>
          <cell r="AY31">
            <v>4.8125000000000001E-2</v>
          </cell>
          <cell r="AZ31">
            <v>4.9375000000000002E-2</v>
          </cell>
          <cell r="BA31">
            <v>5.0625000000000003E-2</v>
          </cell>
          <cell r="BB31">
            <v>5.1874999999999998E-2</v>
          </cell>
          <cell r="BC31">
            <v>5.2499999999999998E-2</v>
          </cell>
          <cell r="BD31">
            <v>5.2708333333333329E-2</v>
          </cell>
          <cell r="BE31">
            <v>5.333333333333333E-2</v>
          </cell>
          <cell r="BF31">
            <v>5.395833333333333E-2</v>
          </cell>
          <cell r="BG31">
            <v>5.4583333333333331E-2</v>
          </cell>
          <cell r="BH31">
            <v>5.5E-2</v>
          </cell>
          <cell r="BI31">
            <v>5.541666666666667E-2</v>
          </cell>
          <cell r="BJ31">
            <v>5.6458333333333333E-2</v>
          </cell>
          <cell r="BK31">
            <v>5.8125000000000003E-2</v>
          </cell>
          <cell r="BL31">
            <v>0.06</v>
          </cell>
          <cell r="BM31">
            <v>6.145833333333333E-2</v>
          </cell>
          <cell r="BN31">
            <v>6.2708333333333324E-2</v>
          </cell>
          <cell r="BO31">
            <v>6.3958333333333325E-2</v>
          </cell>
          <cell r="BP31">
            <v>6.5833333333333327E-2</v>
          </cell>
          <cell r="BQ31">
            <v>6.8333333333333329E-2</v>
          </cell>
          <cell r="BR31">
            <v>7.0208333333333331E-2</v>
          </cell>
          <cell r="BS31">
            <v>6.6458333333333328E-2</v>
          </cell>
          <cell r="BT31">
            <v>5.7916666666666672E-2</v>
          </cell>
          <cell r="BU31">
            <v>4.7291666666666669E-2</v>
          </cell>
          <cell r="BV31">
            <v>3.6874999999999998E-2</v>
          </cell>
          <cell r="BW31">
            <v>3.2708333333333332E-2</v>
          </cell>
          <cell r="BX31">
            <v>3.3333333333333333E-2</v>
          </cell>
          <cell r="BY31">
            <v>3.6874999999999998E-2</v>
          </cell>
          <cell r="BZ31">
            <v>4.0625000000000001E-2</v>
          </cell>
          <cell r="CA31">
            <v>4.3541666666666673E-2</v>
          </cell>
          <cell r="CB31">
            <v>4.583333333333333E-2</v>
          </cell>
          <cell r="CC31">
            <v>4.6666666666666669E-2</v>
          </cell>
          <cell r="CD31">
            <v>4.7291666666666669E-2</v>
          </cell>
          <cell r="CE31">
            <v>4.6875E-2</v>
          </cell>
          <cell r="CF31">
            <v>4.5624999999999999E-2</v>
          </cell>
          <cell r="CG31">
            <v>4.3333333333333328E-2</v>
          </cell>
          <cell r="CH31">
            <v>4.0208333333333332E-2</v>
          </cell>
          <cell r="CI31">
            <v>3.6874999999999998E-2</v>
          </cell>
          <cell r="CJ31">
            <v>3.3750000000000002E-2</v>
          </cell>
          <cell r="CK31">
            <v>3.125E-2</v>
          </cell>
          <cell r="CL31">
            <v>2.8958333333333336E-2</v>
          </cell>
          <cell r="CM31">
            <v>2.7291666666666665E-2</v>
          </cell>
          <cell r="CN31">
            <v>2.6041666666666664E-2</v>
          </cell>
          <cell r="CO31">
            <v>2.5208333333333336E-2</v>
          </cell>
          <cell r="CP31">
            <v>2.5000000000000001E-2</v>
          </cell>
          <cell r="CQ31">
            <v>2.5000000000000001E-2</v>
          </cell>
          <cell r="CR31">
            <v>2.4583333333333336E-2</v>
          </cell>
          <cell r="CS31">
            <v>2.3541666666666666E-2</v>
          </cell>
          <cell r="CT31">
            <v>2.2291666666666664E-2</v>
          </cell>
          <cell r="CU31">
            <v>2.1041666666666667E-2</v>
          </cell>
          <cell r="CV31">
            <v>2.0208333333333335E-2</v>
          </cell>
          <cell r="CW31">
            <v>1.9583333333333331E-2</v>
          </cell>
          <cell r="CX31">
            <v>1.8541666666666668E-2</v>
          </cell>
          <cell r="CY31">
            <v>1.7291666666666667E-2</v>
          </cell>
          <cell r="CZ31">
            <v>1.6041666666666666E-2</v>
          </cell>
          <cell r="DA31">
            <v>1.5208333333333332E-2</v>
          </cell>
          <cell r="DB31">
            <v>1.4999999999999999E-2</v>
          </cell>
          <cell r="DC31">
            <v>1.4999999999999999E-2</v>
          </cell>
          <cell r="DD31">
            <v>1.4999999999999999E-2</v>
          </cell>
          <cell r="DE31">
            <v>1.4999999999999999E-2</v>
          </cell>
          <cell r="DF31">
            <v>1.4999999999999999E-2</v>
          </cell>
          <cell r="DG31">
            <v>1.4999999999999999E-2</v>
          </cell>
          <cell r="DH31">
            <v>1.4999999999999999E-2</v>
          </cell>
          <cell r="DI31">
            <v>1.4791666666666668E-2</v>
          </cell>
          <cell r="DJ31">
            <v>1.3541666666666667E-2</v>
          </cell>
          <cell r="DK31">
            <v>1.1666666666666667E-2</v>
          </cell>
          <cell r="DL31">
            <v>9.3749999999999997E-3</v>
          </cell>
          <cell r="DM31">
            <v>6.4583333333333333E-3</v>
          </cell>
          <cell r="DN31">
            <v>4.5833333333333334E-3</v>
          </cell>
          <cell r="DO31">
            <v>3.0833333333333333E-3</v>
          </cell>
          <cell r="DP31">
            <v>1.8750000000000004E-3</v>
          </cell>
          <cell r="DQ31">
            <v>1.5000000000000005E-3</v>
          </cell>
          <cell r="DR31">
            <v>1.1250000000000001E-3</v>
          </cell>
          <cell r="DS31">
            <v>1E-3</v>
          </cell>
          <cell r="DT31">
            <v>1E-3</v>
          </cell>
          <cell r="DU31">
            <v>1.8333333333333333E-3</v>
          </cell>
          <cell r="DV31">
            <v>6.2083333333333322E-3</v>
          </cell>
          <cell r="DW31">
            <v>1.3083333333333334E-2</v>
          </cell>
          <cell r="DX31">
            <v>2.1208333333333336E-2</v>
          </cell>
          <cell r="DY31">
            <v>2.9750000000000002E-2</v>
          </cell>
          <cell r="DZ31">
            <v>3.5375000000000011E-2</v>
          </cell>
          <cell r="EA31">
            <v>3.8916666666666676E-2</v>
          </cell>
          <cell r="EB31">
            <v>4.1416666666666678E-2</v>
          </cell>
          <cell r="EC31">
            <v>4.2666666666666672E-2</v>
          </cell>
          <cell r="ED31">
            <v>4.3291666666666673E-2</v>
          </cell>
          <cell r="EE31">
            <v>4.3500000000000004E-2</v>
          </cell>
          <cell r="EF31">
            <v>4.3083333333333342E-2</v>
          </cell>
          <cell r="EG31">
            <v>4.2041666666666672E-2</v>
          </cell>
          <cell r="EH31">
            <v>4.0375000000000008E-2</v>
          </cell>
          <cell r="EI31">
            <v>3.7874999999999999E-2</v>
          </cell>
          <cell r="EJ31">
            <v>3.6625000000000005E-2</v>
          </cell>
          <cell r="EK31">
            <v>3.6000000000000004E-2</v>
          </cell>
          <cell r="EL31">
            <v>3.6000000000000004E-2</v>
          </cell>
          <cell r="EM31">
            <v>3.6000000000000004E-2</v>
          </cell>
          <cell r="EN31">
            <v>3.6000000000000004E-2</v>
          </cell>
          <cell r="EO31">
            <v>3.6000000000000004E-2</v>
          </cell>
          <cell r="EP31">
            <v>3.6000000000000004E-2</v>
          </cell>
          <cell r="EQ31">
            <v>3.6000000000000004E-2</v>
          </cell>
          <cell r="ER31">
            <v>3.6000000000000004E-2</v>
          </cell>
          <cell r="ES31">
            <v>3.6000000000000004E-2</v>
          </cell>
          <cell r="ET31">
            <v>3.6000000000000004E-2</v>
          </cell>
          <cell r="EU31">
            <v>3.6000000000000004E-2</v>
          </cell>
          <cell r="EV31">
            <v>3.6000000000000004E-2</v>
          </cell>
          <cell r="EW31">
            <v>3.6000000000000004E-2</v>
          </cell>
          <cell r="EX31">
            <v>3.6000000000000004E-2</v>
          </cell>
          <cell r="EY31">
            <v>3.6000000000000004E-2</v>
          </cell>
          <cell r="EZ31">
            <v>3.6000000000000004E-2</v>
          </cell>
          <cell r="FA31">
            <v>3.6000000000000004E-2</v>
          </cell>
          <cell r="FB31">
            <v>3.6000000000000004E-2</v>
          </cell>
          <cell r="FC31">
            <v>3.6000000000000004E-2</v>
          </cell>
          <cell r="FD31">
            <v>3.6000000000000004E-2</v>
          </cell>
          <cell r="FE31">
            <v>3.6000000000000004E-2</v>
          </cell>
          <cell r="FF31">
            <v>3.6000000000000004E-2</v>
          </cell>
          <cell r="FG31">
            <v>3.6000000000000004E-2</v>
          </cell>
          <cell r="FH31">
            <v>3.6000000000000004E-2</v>
          </cell>
          <cell r="FI31">
            <v>3.6000000000000004E-2</v>
          </cell>
          <cell r="FJ31">
            <v>3.6000000000000004E-2</v>
          </cell>
          <cell r="FK31">
            <v>3.6000000000000004E-2</v>
          </cell>
          <cell r="FL31">
            <v>3.6000000000000004E-2</v>
          </cell>
          <cell r="FM31">
            <v>3.6000000000000004E-2</v>
          </cell>
          <cell r="FN31">
            <v>3.6000000000000004E-2</v>
          </cell>
          <cell r="FO31">
            <v>3.6000000000000004E-2</v>
          </cell>
          <cell r="FP31">
            <v>3.6000000000000004E-2</v>
          </cell>
          <cell r="FQ31">
            <v>3.6000000000000004E-2</v>
          </cell>
          <cell r="FR31">
            <v>3.6000000000000004E-2</v>
          </cell>
          <cell r="FS31">
            <v>3.6000000000000004E-2</v>
          </cell>
          <cell r="FT31">
            <v>3.6000000000000004E-2</v>
          </cell>
          <cell r="FU31">
            <v>3.6000000000000004E-2</v>
          </cell>
        </row>
        <row r="32">
          <cell r="A32" t="str">
            <v>au_bbsw3m_avg_12m</v>
          </cell>
          <cell r="B32" t="str">
            <v>Aust 90 day bill</v>
          </cell>
          <cell r="D32">
            <v>9.1108333333333333E-2</v>
          </cell>
          <cell r="E32">
            <v>8.0391666666666681E-2</v>
          </cell>
          <cell r="F32">
            <v>6.987500000000002E-2</v>
          </cell>
          <cell r="G32">
            <v>6.4291666666666678E-2</v>
          </cell>
          <cell r="H32">
            <v>5.944166666666667E-2</v>
          </cell>
          <cell r="I32">
            <v>5.6316666666666668E-2</v>
          </cell>
          <cell r="J32">
            <v>5.3925000000000008E-2</v>
          </cell>
          <cell r="K32">
            <v>5.115833333333332E-2</v>
          </cell>
          <cell r="L32">
            <v>4.9349999999999998E-2</v>
          </cell>
          <cell r="M32">
            <v>4.9116666666666663E-2</v>
          </cell>
          <cell r="N32">
            <v>5.151583333333333E-2</v>
          </cell>
          <cell r="O32">
            <v>5.7943333333333333E-2</v>
          </cell>
          <cell r="P32">
            <v>6.5919999999999992E-2</v>
          </cell>
          <cell r="Q32">
            <v>7.229250000000001E-2</v>
          </cell>
          <cell r="R32">
            <v>7.6720833333333335E-2</v>
          </cell>
          <cell r="S32">
            <v>7.6886666666666659E-2</v>
          </cell>
          <cell r="T32">
            <v>7.5560833333333341E-2</v>
          </cell>
          <cell r="U32">
            <v>7.5255000000000002E-2</v>
          </cell>
          <cell r="V32">
            <v>7.3661666666666681E-2</v>
          </cell>
          <cell r="W32">
            <v>7.0907499999999984E-2</v>
          </cell>
          <cell r="X32">
            <v>6.6978666666666659E-2</v>
          </cell>
          <cell r="Y32">
            <v>6.2107833333333341E-2</v>
          </cell>
          <cell r="Z32">
            <v>5.6936166666666663E-2</v>
          </cell>
          <cell r="AA32">
            <v>5.3523416666666671E-2</v>
          </cell>
          <cell r="AB32">
            <v>5.1158333333333333E-2</v>
          </cell>
          <cell r="AC32">
            <v>4.9790250000000001E-2</v>
          </cell>
          <cell r="AD32">
            <v>5.062500000000001E-2</v>
          </cell>
          <cell r="AE32">
            <v>5.0268000000000007E-2</v>
          </cell>
          <cell r="AF32">
            <v>4.9770749999999996E-2</v>
          </cell>
          <cell r="AG32">
            <v>4.9345749999999994E-2</v>
          </cell>
          <cell r="AH32">
            <v>4.8845750000000007E-2</v>
          </cell>
          <cell r="AI32">
            <v>5.065133333333334E-2</v>
          </cell>
          <cell r="AJ32">
            <v>5.3193083333333349E-2</v>
          </cell>
          <cell r="AK32">
            <v>5.65195E-2</v>
          </cell>
          <cell r="AL32">
            <v>6.0320916666666662E-2</v>
          </cell>
          <cell r="AM32">
            <v>6.2136166666666666E-2</v>
          </cell>
          <cell r="AN32">
            <v>6.1254166666666672E-2</v>
          </cell>
          <cell r="AO32">
            <v>5.8070833333333335E-2</v>
          </cell>
          <cell r="AP32">
            <v>5.3674916666666662E-2</v>
          </cell>
          <cell r="AQ32">
            <v>4.8633250000000003E-2</v>
          </cell>
          <cell r="AR32">
            <v>4.6006916666666661E-2</v>
          </cell>
          <cell r="AS32">
            <v>4.5856916666666664E-2</v>
          </cell>
          <cell r="AT32">
            <v>4.6354250000000007E-2</v>
          </cell>
          <cell r="AU32">
            <v>4.7776500000000006E-2</v>
          </cell>
          <cell r="AV32">
            <v>4.8690333333333342E-2</v>
          </cell>
          <cell r="AW32">
            <v>4.8345916666666676E-2</v>
          </cell>
          <cell r="AX32">
            <v>4.8056916666666671E-2</v>
          </cell>
          <cell r="AY32">
            <v>4.9262416666666663E-2</v>
          </cell>
          <cell r="AZ32">
            <v>5.12875E-2</v>
          </cell>
          <cell r="BA32">
            <v>5.3179083333333342E-2</v>
          </cell>
          <cell r="BB32">
            <v>5.4709666666666663E-2</v>
          </cell>
          <cell r="BC32">
            <v>5.4983333333333342E-2</v>
          </cell>
          <cell r="BD32">
            <v>5.5304083333333337E-2</v>
          </cell>
          <cell r="BE32">
            <v>5.5727833333333338E-2</v>
          </cell>
          <cell r="BF32">
            <v>5.619724999999999E-2</v>
          </cell>
          <cell r="BG32">
            <v>5.6725000000000005E-2</v>
          </cell>
          <cell r="BH32">
            <v>5.6458333333333333E-2</v>
          </cell>
          <cell r="BI32">
            <v>5.7002750000000005E-2</v>
          </cell>
          <cell r="BJ32">
            <v>5.8383333333333336E-2</v>
          </cell>
          <cell r="BK32">
            <v>6.0283416666666673E-2</v>
          </cell>
          <cell r="BL32">
            <v>6.2283416666666661E-2</v>
          </cell>
          <cell r="BM32">
            <v>6.35125E-2</v>
          </cell>
          <cell r="BN32">
            <v>6.5023583333333329E-2</v>
          </cell>
          <cell r="BO32">
            <v>6.693608333333334E-2</v>
          </cell>
          <cell r="BP32">
            <v>7.0230499999999987E-2</v>
          </cell>
          <cell r="BQ32">
            <v>7.3765250000000004E-2</v>
          </cell>
          <cell r="BR32">
            <v>7.5395833333333356E-2</v>
          </cell>
          <cell r="BS32">
            <v>6.9706916666666674E-2</v>
          </cell>
          <cell r="BT32">
            <v>5.8459666666666667E-2</v>
          </cell>
          <cell r="BU32">
            <v>4.6826333333333324E-2</v>
          </cell>
          <cell r="BV32">
            <v>3.6593000000000001E-2</v>
          </cell>
          <cell r="BW32">
            <v>3.4572083333333337E-2</v>
          </cell>
          <cell r="BX32">
            <v>3.7312416666666667E-2</v>
          </cell>
          <cell r="BY32">
            <v>4.1443000000000001E-2</v>
          </cell>
          <cell r="BZ32">
            <v>4.5166666666666667E-2</v>
          </cell>
          <cell r="CA32">
            <v>4.7416750000000001E-2</v>
          </cell>
          <cell r="CB32">
            <v>4.8936250000000001E-2</v>
          </cell>
          <cell r="CC32">
            <v>4.9402833333333333E-2</v>
          </cell>
          <cell r="CD32">
            <v>4.9670833333333331E-2</v>
          </cell>
          <cell r="CE32">
            <v>4.8699916666666662E-2</v>
          </cell>
          <cell r="CF32">
            <v>4.7313833333333333E-2</v>
          </cell>
          <cell r="CG32">
            <v>4.4055583333333329E-2</v>
          </cell>
          <cell r="CH32">
            <v>4.0502833333333335E-2</v>
          </cell>
          <cell r="CI32">
            <v>3.6943166666666666E-2</v>
          </cell>
          <cell r="CJ32">
            <v>3.3499416666666663E-2</v>
          </cell>
          <cell r="CK32">
            <v>3.1393833333333329E-2</v>
          </cell>
          <cell r="CL32">
            <v>2.9102833333333335E-2</v>
          </cell>
          <cell r="CM32">
            <v>2.7718166666666665E-2</v>
          </cell>
          <cell r="CN32">
            <v>2.6820166666666662E-2</v>
          </cell>
          <cell r="CO32">
            <v>2.6450750000000002E-2</v>
          </cell>
          <cell r="CP32">
            <v>2.6534749999999999E-2</v>
          </cell>
          <cell r="CQ32">
            <v>2.6869416666666673E-2</v>
          </cell>
          <cell r="CR32">
            <v>2.6170833333333331E-2</v>
          </cell>
          <cell r="CS32">
            <v>2.487633333333333E-2</v>
          </cell>
          <cell r="CT32">
            <v>2.3644416666666664E-2</v>
          </cell>
          <cell r="CU32">
            <v>2.2391666666666667E-2</v>
          </cell>
          <cell r="CV32">
            <v>2.2183333333333333E-2</v>
          </cell>
          <cell r="CW32">
            <v>2.1811083333333335E-2</v>
          </cell>
          <cell r="CX32">
            <v>2.0865249999999995E-2</v>
          </cell>
          <cell r="CY32">
            <v>1.96805E-2</v>
          </cell>
          <cell r="CZ32">
            <v>1.8418000000000004E-2</v>
          </cell>
          <cell r="DA32">
            <v>1.7658333333333331E-2</v>
          </cell>
          <cell r="DB32">
            <v>1.7479166666666667E-2</v>
          </cell>
          <cell r="DC32">
            <v>1.7395833333333333E-2</v>
          </cell>
          <cell r="DD32">
            <v>1.7600000000000001E-2</v>
          </cell>
          <cell r="DE32">
            <v>1.8383583333333332E-2</v>
          </cell>
          <cell r="DF32">
            <v>1.8991500000000005E-2</v>
          </cell>
          <cell r="DG32">
            <v>1.9595666666666667E-2</v>
          </cell>
          <cell r="DH32">
            <v>1.9691833333333329E-2</v>
          </cell>
          <cell r="DI32">
            <v>1.8073166666666661E-2</v>
          </cell>
          <cell r="DJ32">
            <v>1.5638416666666662E-2</v>
          </cell>
          <cell r="DK32">
            <v>1.2957083333333333E-2</v>
          </cell>
          <cell r="DL32">
            <v>9.9220000000000003E-3</v>
          </cell>
          <cell r="DM32">
            <v>6.6819166666666659E-3</v>
          </cell>
          <cell r="DN32">
            <v>4.4754166666666657E-3</v>
          </cell>
          <cell r="DO32">
            <v>2.2707500000000002E-3</v>
          </cell>
          <cell r="DP32">
            <v>6.1383333333333342E-4</v>
          </cell>
          <cell r="DQ32">
            <v>4.5675000000000002E-4</v>
          </cell>
          <cell r="DR32">
            <v>2.6691666666666671E-4</v>
          </cell>
          <cell r="DS32">
            <v>3.4916666666666673E-4</v>
          </cell>
          <cell r="DT32">
            <v>6.0858333333333326E-4</v>
          </cell>
          <cell r="DU32">
            <v>3.6048333333333332E-3</v>
          </cell>
          <cell r="DV32">
            <v>9.928416666666667E-3</v>
          </cell>
          <cell r="DW32">
            <v>1.7640083333333331E-2</v>
          </cell>
          <cell r="DX32">
            <v>2.6193833333333333E-2</v>
          </cell>
          <cell r="DY32">
            <v>3.3117833333333332E-2</v>
          </cell>
          <cell r="DZ32">
            <v>3.7190166666666663E-2</v>
          </cell>
          <cell r="EA32">
            <v>4.0222333333333332E-2</v>
          </cell>
          <cell r="EB32">
            <v>4.2201000000000002E-2</v>
          </cell>
          <cell r="EC32">
            <v>4.3195416666666667E-2</v>
          </cell>
          <cell r="ED32">
            <v>4.3854083333333335E-2</v>
          </cell>
          <cell r="EE32">
            <v>4.4007666666666667E-2</v>
          </cell>
          <cell r="EF32">
            <v>4.3562500000000004E-2</v>
          </cell>
          <cell r="EG32">
            <v>4.1895249999999995E-2</v>
          </cell>
          <cell r="EH32">
            <v>3.9822666666666659E-2</v>
          </cell>
          <cell r="EI32">
            <v>3.7388749999999998E-2</v>
          </cell>
          <cell r="EJ32">
            <v>3.6325250000000003E-2</v>
          </cell>
          <cell r="EK32">
            <v>3.6691000000000001E-2</v>
          </cell>
          <cell r="EL32">
            <v>3.7250000000000005E-2</v>
          </cell>
          <cell r="EM32">
            <v>3.7750000000000006E-2</v>
          </cell>
          <cell r="EN32">
            <v>3.8125000000000006E-2</v>
          </cell>
          <cell r="EO32">
            <v>3.8375000000000006E-2</v>
          </cell>
          <cell r="EP32">
            <v>3.8500000000000006E-2</v>
          </cell>
          <cell r="EQ32">
            <v>3.8500000000000006E-2</v>
          </cell>
          <cell r="ER32">
            <v>3.8500000000000006E-2</v>
          </cell>
          <cell r="ES32">
            <v>3.8500000000000006E-2</v>
          </cell>
          <cell r="ET32">
            <v>3.8500000000000006E-2</v>
          </cell>
          <cell r="EU32">
            <v>3.8500000000000006E-2</v>
          </cell>
          <cell r="EV32">
            <v>3.8500000000000006E-2</v>
          </cell>
          <cell r="EW32">
            <v>3.8500000000000006E-2</v>
          </cell>
          <cell r="EX32">
            <v>3.8500000000000006E-2</v>
          </cell>
          <cell r="EY32">
            <v>3.8500000000000006E-2</v>
          </cell>
          <cell r="EZ32">
            <v>3.8500000000000006E-2</v>
          </cell>
          <cell r="FA32">
            <v>3.8500000000000006E-2</v>
          </cell>
          <cell r="FB32">
            <v>3.8500000000000006E-2</v>
          </cell>
          <cell r="FC32">
            <v>3.8500000000000006E-2</v>
          </cell>
          <cell r="FD32">
            <v>3.8500000000000006E-2</v>
          </cell>
          <cell r="FE32">
            <v>3.8500000000000006E-2</v>
          </cell>
          <cell r="FF32">
            <v>3.8500000000000006E-2</v>
          </cell>
          <cell r="FG32">
            <v>3.8500000000000006E-2</v>
          </cell>
          <cell r="FH32">
            <v>3.8500000000000006E-2</v>
          </cell>
          <cell r="FI32">
            <v>3.8500000000000006E-2</v>
          </cell>
          <cell r="FJ32">
            <v>3.8500000000000006E-2</v>
          </cell>
          <cell r="FK32">
            <v>3.8500000000000006E-2</v>
          </cell>
          <cell r="FL32">
            <v>3.8500000000000006E-2</v>
          </cell>
          <cell r="FM32">
            <v>3.8500000000000006E-2</v>
          </cell>
          <cell r="FN32">
            <v>3.8500000000000006E-2</v>
          </cell>
          <cell r="FO32">
            <v>3.8500000000000006E-2</v>
          </cell>
          <cell r="FP32">
            <v>3.8500000000000006E-2</v>
          </cell>
          <cell r="FQ32">
            <v>3.8500000000000006E-2</v>
          </cell>
          <cell r="FR32">
            <v>3.8500000000000006E-2</v>
          </cell>
          <cell r="FS32">
            <v>3.8500000000000006E-2</v>
          </cell>
          <cell r="FT32">
            <v>3.8500000000000006E-2</v>
          </cell>
          <cell r="FU32">
            <v>3.8500000000000006E-2</v>
          </cell>
        </row>
        <row r="33">
          <cell r="A33" t="str">
            <v>au_govt10y_avg_12m</v>
          </cell>
          <cell r="B33" t="str">
            <v>Aust 10 yr Bond Rate</v>
          </cell>
          <cell r="D33"/>
          <cell r="E33"/>
          <cell r="F33"/>
          <cell r="G33"/>
          <cell r="H33"/>
          <cell r="I33"/>
          <cell r="J33"/>
          <cell r="K33"/>
          <cell r="L33"/>
          <cell r="M33"/>
          <cell r="N33"/>
          <cell r="O33"/>
          <cell r="P33">
            <v>9.7699999999999995E-2</v>
          </cell>
          <cell r="Q33">
            <v>9.8516666666666641E-2</v>
          </cell>
          <cell r="R33">
            <v>9.6600000000000019E-2</v>
          </cell>
          <cell r="S33">
            <v>9.1683333333333353E-2</v>
          </cell>
          <cell r="T33">
            <v>8.7883333333333327E-2</v>
          </cell>
          <cell r="U33">
            <v>8.6716666666666664E-2</v>
          </cell>
          <cell r="V33">
            <v>8.4383333333333338E-2</v>
          </cell>
          <cell r="W33">
            <v>8.1724999999999992E-2</v>
          </cell>
          <cell r="X33">
            <v>7.9700000000000021E-2</v>
          </cell>
          <cell r="Y33">
            <v>7.6200000000000004E-2</v>
          </cell>
          <cell r="Z33">
            <v>7.173333333333333E-2</v>
          </cell>
          <cell r="AA33">
            <v>6.8541666666666667E-2</v>
          </cell>
          <cell r="AB33">
            <v>6.3991666666666669E-2</v>
          </cell>
          <cell r="AC33">
            <v>5.949999999999999E-2</v>
          </cell>
          <cell r="AD33">
            <v>5.7591666666666666E-2</v>
          </cell>
          <cell r="AE33">
            <v>5.5008333333333333E-2</v>
          </cell>
          <cell r="AF33">
            <v>5.3691666666666672E-2</v>
          </cell>
          <cell r="AG33">
            <v>5.4458333333333331E-2</v>
          </cell>
          <cell r="AH33">
            <v>5.6258333333333327E-2</v>
          </cell>
          <cell r="AI33">
            <v>6.0583333333333329E-2</v>
          </cell>
          <cell r="AJ33">
            <v>6.4049999999999996E-2</v>
          </cell>
          <cell r="AK33">
            <v>6.4941666666666675E-2</v>
          </cell>
          <cell r="AL33">
            <v>6.5025000000000013E-2</v>
          </cell>
          <cell r="AM33">
            <v>6.2700000000000006E-2</v>
          </cell>
          <cell r="AN33">
            <v>5.9045833333333339E-2</v>
          </cell>
          <cell r="AO33">
            <v>5.8208333333333334E-2</v>
          </cell>
          <cell r="AP33">
            <v>5.682083333333332E-2</v>
          </cell>
          <cell r="AQ33">
            <v>5.6320833333333341E-2</v>
          </cell>
          <cell r="AR33">
            <v>5.8358333333333332E-2</v>
          </cell>
          <cell r="AS33">
            <v>5.8712499999999987E-2</v>
          </cell>
          <cell r="AT33">
            <v>5.8575000000000016E-2</v>
          </cell>
          <cell r="AU33">
            <v>5.8241666666666664E-2</v>
          </cell>
          <cell r="AV33">
            <v>5.5975000000000004E-2</v>
          </cell>
          <cell r="AW33">
            <v>5.3366666666666666E-2</v>
          </cell>
          <cell r="AX33">
            <v>5.2816666666666671E-2</v>
          </cell>
          <cell r="AY33">
            <v>5.3587500000000003E-2</v>
          </cell>
          <cell r="AZ33">
            <v>5.46875E-2</v>
          </cell>
          <cell r="BA33">
            <v>5.6779166666666658E-2</v>
          </cell>
          <cell r="BB33">
            <v>5.7212500000000006E-2</v>
          </cell>
          <cell r="BC33">
            <v>5.5966666666666678E-2</v>
          </cell>
          <cell r="BD33">
            <v>5.5745833333333328E-2</v>
          </cell>
          <cell r="BE33">
            <v>5.4016666666666671E-2</v>
          </cell>
          <cell r="BF33">
            <v>5.294999999999999E-2</v>
          </cell>
          <cell r="BG33">
            <v>5.313749999999999E-2</v>
          </cell>
          <cell r="BH33">
            <v>5.2691666666666664E-2</v>
          </cell>
          <cell r="BI33">
            <v>5.4058333333333326E-2</v>
          </cell>
          <cell r="BJ33">
            <v>5.5297916666666669E-2</v>
          </cell>
          <cell r="BK33">
            <v>5.619208333333333E-2</v>
          </cell>
          <cell r="BL33">
            <v>5.7396249999999996E-2</v>
          </cell>
          <cell r="BM33">
            <v>5.8172499999999988E-2</v>
          </cell>
          <cell r="BN33">
            <v>5.90725E-2</v>
          </cell>
          <cell r="BO33">
            <v>6.0207083333333342E-2</v>
          </cell>
          <cell r="BP33">
            <v>6.090541666666667E-2</v>
          </cell>
          <cell r="BQ33">
            <v>6.1822500000000009E-2</v>
          </cell>
          <cell r="BR33">
            <v>6.1212916666666672E-2</v>
          </cell>
          <cell r="BS33">
            <v>5.7240416666666655E-2</v>
          </cell>
          <cell r="BT33">
            <v>5.2873333333333335E-2</v>
          </cell>
          <cell r="BU33">
            <v>5.0013333333333333E-2</v>
          </cell>
          <cell r="BV33">
            <v>4.9388250000000002E-2</v>
          </cell>
          <cell r="BW33">
            <v>5.1808500000000007E-2</v>
          </cell>
          <cell r="BX33">
            <v>5.4799416666666663E-2</v>
          </cell>
          <cell r="BY33">
            <v>5.5099833333333334E-2</v>
          </cell>
          <cell r="BZ33">
            <v>5.3699666666666673E-2</v>
          </cell>
          <cell r="CA33">
            <v>5.3272333333333338E-2</v>
          </cell>
          <cell r="CB33">
            <v>5.3115333333333334E-2</v>
          </cell>
          <cell r="CC33">
            <v>5.2849083333333324E-2</v>
          </cell>
          <cell r="CD33">
            <v>5.1586333333333317E-2</v>
          </cell>
          <cell r="CE33">
            <v>4.826208333333333E-2</v>
          </cell>
          <cell r="CF33">
            <v>4.4407250000000002E-2</v>
          </cell>
          <cell r="CG33">
            <v>3.9232666666666666E-2</v>
          </cell>
          <cell r="CH33">
            <v>3.5651833333333334E-2</v>
          </cell>
          <cell r="CI33">
            <v>3.3512750000000001E-2</v>
          </cell>
          <cell r="CJ33">
            <v>3.2125833333333333E-2</v>
          </cell>
          <cell r="CK33">
            <v>3.2594666666666668E-2</v>
          </cell>
          <cell r="CL33">
            <v>3.4516249999999998E-2</v>
          </cell>
          <cell r="CM33">
            <v>3.6951916666666675E-2</v>
          </cell>
          <cell r="CN33">
            <v>3.8522083333333339E-2</v>
          </cell>
          <cell r="CO33">
            <v>3.9304916666666662E-2</v>
          </cell>
          <cell r="CP33">
            <v>3.8351833333333335E-2</v>
          </cell>
          <cell r="CQ33">
            <v>3.5493749999999998E-2</v>
          </cell>
          <cell r="CR33">
            <v>3.1428583333333329E-2</v>
          </cell>
          <cell r="CS33">
            <v>2.9125916666666661E-2</v>
          </cell>
          <cell r="CT33">
            <v>2.7251166666666667E-2</v>
          </cell>
          <cell r="CU33">
            <v>2.6611916666666659E-2</v>
          </cell>
          <cell r="CV33">
            <v>2.6814750000000002E-2</v>
          </cell>
          <cell r="CW33">
            <v>2.5502833333333332E-2</v>
          </cell>
          <cell r="CX33">
            <v>2.3478166666666668E-2</v>
          </cell>
          <cell r="CY33">
            <v>2.3094833333333332E-2</v>
          </cell>
          <cell r="CZ33">
            <v>2.363941666666667E-2</v>
          </cell>
          <cell r="DA33">
            <v>2.4266166666666665E-2</v>
          </cell>
          <cell r="DB33">
            <v>2.6450999999999999E-2</v>
          </cell>
          <cell r="DC33">
            <v>2.6433083333333333E-2</v>
          </cell>
          <cell r="DD33">
            <v>2.647183333333333E-2</v>
          </cell>
          <cell r="DE33">
            <v>2.6902749999999996E-2</v>
          </cell>
          <cell r="DF33">
            <v>2.6578833333333329E-2</v>
          </cell>
          <cell r="DG33">
            <v>2.635733333333333E-2</v>
          </cell>
          <cell r="DH33">
            <v>2.4650083333333329E-2</v>
          </cell>
          <cell r="DI33">
            <v>2.1725750000000002E-2</v>
          </cell>
          <cell r="DJ33">
            <v>1.7768500000000003E-2</v>
          </cell>
          <cell r="DK33">
            <v>1.4444916666666667E-2</v>
          </cell>
          <cell r="DL33">
            <v>1.1449583333333332E-2</v>
          </cell>
          <cell r="DM33">
            <v>9.8430000000000011E-3</v>
          </cell>
          <cell r="DN33">
            <v>9.4266666666666683E-3</v>
          </cell>
          <cell r="DO33">
            <v>8.720916666666665E-3</v>
          </cell>
          <cell r="DP33">
            <v>1.0583249999999999E-2</v>
          </cell>
          <cell r="DQ33">
            <v>1.2446499999999997E-2</v>
          </cell>
          <cell r="DR33">
            <v>1.3478916666666667E-2</v>
          </cell>
          <cell r="DS33">
            <v>1.5768500000000001E-2</v>
          </cell>
          <cell r="DT33">
            <v>1.7502500000000001E-2</v>
          </cell>
          <cell r="DU33">
            <v>2.1873333333333331E-2</v>
          </cell>
          <cell r="DV33">
            <v>2.7469999999999998E-2</v>
          </cell>
          <cell r="DW33">
            <v>3.2375833333333333E-2</v>
          </cell>
          <cell r="DX33">
            <v>3.5592499999999999E-2</v>
          </cell>
          <cell r="DY33">
            <v>3.6296666666666672E-2</v>
          </cell>
          <cell r="DZ33">
            <v>3.7977500000000004E-2</v>
          </cell>
          <cell r="EA33">
            <v>3.9602499999999999E-2</v>
          </cell>
          <cell r="EB33">
            <v>4.0778333333333333E-2</v>
          </cell>
          <cell r="EC33">
            <v>4.2590833333333328E-2</v>
          </cell>
          <cell r="ED33">
            <v>4.2169999999999999E-2</v>
          </cell>
          <cell r="EE33">
            <v>4.2112500000000004E-2</v>
          </cell>
          <cell r="EF33">
            <v>4.2945833333333343E-2</v>
          </cell>
          <cell r="EG33">
            <v>4.2449166666666677E-2</v>
          </cell>
          <cell r="EH33">
            <v>4.3104166666666666E-2</v>
          </cell>
          <cell r="EI33">
            <v>4.2750000000000003E-2</v>
          </cell>
          <cell r="EJ33">
            <v>4.2535000000000003E-2</v>
          </cell>
          <cell r="EK33">
            <v>4.2880000000000001E-2</v>
          </cell>
          <cell r="EL33">
            <v>4.2999999999999997E-2</v>
          </cell>
          <cell r="EM33">
            <v>4.3249999999999997E-2</v>
          </cell>
          <cell r="EN33">
            <v>4.3499999999999997E-2</v>
          </cell>
          <cell r="EO33">
            <v>4.3749999999999997E-2</v>
          </cell>
          <cell r="EP33">
            <v>4.3999999999999997E-2</v>
          </cell>
          <cell r="EQ33">
            <v>4.4374999999999998E-2</v>
          </cell>
          <cell r="ER33">
            <v>4.4624999999999998E-2</v>
          </cell>
          <cell r="ES33">
            <v>4.4874999999999998E-2</v>
          </cell>
          <cell r="ET33">
            <v>4.4999999999999998E-2</v>
          </cell>
          <cell r="EU33">
            <v>4.4999999999999998E-2</v>
          </cell>
          <cell r="EV33">
            <v>4.4999999999999998E-2</v>
          </cell>
          <cell r="EW33">
            <v>4.4999999999999998E-2</v>
          </cell>
          <cell r="EX33">
            <v>4.4999999999999998E-2</v>
          </cell>
          <cell r="EY33">
            <v>4.4999999999999998E-2</v>
          </cell>
          <cell r="EZ33">
            <v>4.4999999999999998E-2</v>
          </cell>
          <cell r="FA33">
            <v>4.4999999999999998E-2</v>
          </cell>
          <cell r="FB33">
            <v>4.4999999999999998E-2</v>
          </cell>
          <cell r="FC33">
            <v>4.4999999999999998E-2</v>
          </cell>
          <cell r="FD33">
            <v>4.4999999999999998E-2</v>
          </cell>
          <cell r="FE33">
            <v>4.4999999999999998E-2</v>
          </cell>
          <cell r="FF33">
            <v>4.4999999999999998E-2</v>
          </cell>
          <cell r="FG33">
            <v>4.4999999999999998E-2</v>
          </cell>
          <cell r="FH33">
            <v>4.4999999999999998E-2</v>
          </cell>
          <cell r="FI33">
            <v>4.4999999999999998E-2</v>
          </cell>
          <cell r="FJ33">
            <v>4.4999999999999998E-2</v>
          </cell>
          <cell r="FK33">
            <v>4.4999999999999998E-2</v>
          </cell>
          <cell r="FL33">
            <v>4.4999999999999998E-2</v>
          </cell>
          <cell r="FM33">
            <v>4.4999999999999998E-2</v>
          </cell>
          <cell r="FN33">
            <v>4.4999999999999998E-2</v>
          </cell>
          <cell r="FO33">
            <v>4.4999999999999998E-2</v>
          </cell>
          <cell r="FP33">
            <v>4.4999999999999998E-2</v>
          </cell>
          <cell r="FQ33">
            <v>4.4999999999999998E-2</v>
          </cell>
          <cell r="FR33">
            <v>4.4999999999999998E-2</v>
          </cell>
          <cell r="FS33">
            <v>4.4999999999999998E-2</v>
          </cell>
          <cell r="FT33">
            <v>4.4999999999999998E-2</v>
          </cell>
          <cell r="FU33">
            <v>4.4999999999999998E-2</v>
          </cell>
        </row>
        <row r="34">
          <cell r="A34" t="str">
            <v>us_govt10y_avg_12m</v>
          </cell>
          <cell r="B34" t="str">
            <v>US 10 yr bond</v>
          </cell>
          <cell r="D34">
            <v>7.607499999999999E-2</v>
          </cell>
          <cell r="E34">
            <v>7.4181666666666646E-2</v>
          </cell>
          <cell r="F34">
            <v>7.1063333333333312E-2</v>
          </cell>
          <cell r="G34">
            <v>7.0135000000000003E-2</v>
          </cell>
          <cell r="H34">
            <v>6.7070000000000005E-2</v>
          </cell>
          <cell r="I34">
            <v>6.3667500000000002E-2</v>
          </cell>
          <cell r="J34">
            <v>6.1129166666666658E-2</v>
          </cell>
          <cell r="K34">
            <v>5.8295833333333345E-2</v>
          </cell>
          <cell r="L34">
            <v>5.8405833333333323E-2</v>
          </cell>
          <cell r="M34">
            <v>6.138416666666667E-2</v>
          </cell>
          <cell r="N34">
            <v>6.5776666666666678E-2</v>
          </cell>
          <cell r="O34">
            <v>7.1206666666666682E-2</v>
          </cell>
          <cell r="P34">
            <v>7.408333333333332E-2</v>
          </cell>
          <cell r="Q34">
            <v>7.2440833333333329E-2</v>
          </cell>
          <cell r="R34">
            <v>6.99375E-2</v>
          </cell>
          <cell r="S34">
            <v>6.4771666666666686E-2</v>
          </cell>
          <cell r="T34">
            <v>6.1468333333333333E-2</v>
          </cell>
          <cell r="U34">
            <v>6.2045000000000003E-2</v>
          </cell>
          <cell r="V34">
            <v>6.3336666666666652E-2</v>
          </cell>
          <cell r="W34">
            <v>6.4555833333333326E-2</v>
          </cell>
          <cell r="X34">
            <v>6.6173333333333334E-2</v>
          </cell>
          <cell r="Y34">
            <v>6.5879166666666669E-2</v>
          </cell>
          <cell r="Z34">
            <v>6.4216666666666672E-2</v>
          </cell>
          <cell r="AA34">
            <v>6.3064999999999982E-2</v>
          </cell>
          <cell r="AB34">
            <v>6.0414166666666665E-2</v>
          </cell>
          <cell r="AC34">
            <v>5.7734999999999995E-2</v>
          </cell>
          <cell r="AD34">
            <v>5.4735833333333331E-2</v>
          </cell>
          <cell r="AE34">
            <v>5.1804999999999997E-2</v>
          </cell>
          <cell r="AF34">
            <v>5.0475833333333317E-2</v>
          </cell>
          <cell r="AG34">
            <v>5.0534999999999997E-2</v>
          </cell>
          <cell r="AH34">
            <v>5.2941666666666672E-2</v>
          </cell>
          <cell r="AI34">
            <v>5.689583333333334E-2</v>
          </cell>
          <cell r="AJ34">
            <v>6.014499999999999E-2</v>
          </cell>
          <cell r="AK34">
            <v>6.1623333333333336E-2</v>
          </cell>
          <cell r="AL34">
            <v>6.1470000000000011E-2</v>
          </cell>
          <cell r="AM34">
            <v>5.9528333333333343E-2</v>
          </cell>
          <cell r="AN34">
            <v>5.6085000000000003E-2</v>
          </cell>
          <cell r="AO34">
            <v>5.4093333333333327E-2</v>
          </cell>
          <cell r="AP34">
            <v>5.1505000000000002E-2</v>
          </cell>
          <cell r="AQ34">
            <v>4.9570833333333335E-2</v>
          </cell>
          <cell r="AR34">
            <v>4.9869999999999991E-2</v>
          </cell>
          <cell r="AS34">
            <v>4.889333333333333E-2</v>
          </cell>
          <cell r="AT34">
            <v>4.7E-2</v>
          </cell>
          <cell r="AU34">
            <v>4.5265000000000007E-2</v>
          </cell>
          <cell r="AV34">
            <v>4.2068166666666663E-2</v>
          </cell>
          <cell r="AW34">
            <v>3.8561999999999992E-2</v>
          </cell>
          <cell r="AX34">
            <v>3.9097666666666663E-2</v>
          </cell>
          <cell r="AY34">
            <v>3.9898250000000003E-2</v>
          </cell>
          <cell r="AZ34">
            <v>4.0303749999999999E-2</v>
          </cell>
          <cell r="BA34">
            <v>4.2820916666666674E-2</v>
          </cell>
          <cell r="BB34">
            <v>4.2744999999999998E-2</v>
          </cell>
          <cell r="BC34">
            <v>4.2509416666666675E-2</v>
          </cell>
          <cell r="BD34">
            <v>4.3382833333333343E-2</v>
          </cell>
          <cell r="BE34">
            <v>4.2003499999999999E-2</v>
          </cell>
          <cell r="BF34">
            <v>4.1917083333333334E-2</v>
          </cell>
          <cell r="BG34">
            <v>4.2622083333333324E-2</v>
          </cell>
          <cell r="BH34">
            <v>4.3391666666666662E-2</v>
          </cell>
          <cell r="BI34">
            <v>4.6082083333333336E-2</v>
          </cell>
          <cell r="BJ34">
            <v>4.7517249999999997E-2</v>
          </cell>
          <cell r="BK34">
            <v>4.7784166666666669E-2</v>
          </cell>
          <cell r="BL34">
            <v>4.7874166666666662E-2</v>
          </cell>
          <cell r="BM34">
            <v>4.7222708333333335E-2</v>
          </cell>
          <cell r="BN34">
            <v>4.6818041666666671E-2</v>
          </cell>
          <cell r="BO34">
            <v>4.5721333333333343E-2</v>
          </cell>
          <cell r="BP34">
            <v>4.2803041666666666E-2</v>
          </cell>
          <cell r="BQ34">
            <v>4.048279166666667E-2</v>
          </cell>
          <cell r="BR34">
            <v>3.8598541666666673E-2</v>
          </cell>
          <cell r="BS34">
            <v>3.580279166666666E-2</v>
          </cell>
          <cell r="BT34">
            <v>3.4143208333333334E-2</v>
          </cell>
          <cell r="BU34">
            <v>3.2774875000000002E-2</v>
          </cell>
          <cell r="BV34">
            <v>3.1605333333333333E-2</v>
          </cell>
          <cell r="BW34">
            <v>3.2706958333333327E-2</v>
          </cell>
          <cell r="BX34">
            <v>3.4795416666666662E-2</v>
          </cell>
          <cell r="BY34">
            <v>3.4606374999999995E-2</v>
          </cell>
          <cell r="BZ34">
            <v>3.2687749999999995E-2</v>
          </cell>
          <cell r="CA34">
            <v>3.1253916666666673E-2</v>
          </cell>
          <cell r="CB34">
            <v>3.0614333333333334E-2</v>
          </cell>
          <cell r="CC34">
            <v>3.0299916666666663E-2</v>
          </cell>
          <cell r="CD34">
            <v>2.9515083333333331E-2</v>
          </cell>
          <cell r="CE34">
            <v>2.7338666666666671E-2</v>
          </cell>
          <cell r="CF34">
            <v>2.3769375000000002E-2</v>
          </cell>
          <cell r="CG34">
            <v>2.0114833333333332E-2</v>
          </cell>
          <cell r="CH34">
            <v>1.8208291666666664E-2</v>
          </cell>
          <cell r="CI34">
            <v>1.7371541666666667E-2</v>
          </cell>
          <cell r="CJ34">
            <v>1.7153249999999998E-2</v>
          </cell>
          <cell r="CK34">
            <v>1.812570833333333E-2</v>
          </cell>
          <cell r="CL34">
            <v>2.0897791666666669E-2</v>
          </cell>
          <cell r="CM34">
            <v>2.3619083333333336E-2</v>
          </cell>
          <cell r="CN34">
            <v>2.5557833333333332E-2</v>
          </cell>
          <cell r="CO34">
            <v>2.6688833333333335E-2</v>
          </cell>
          <cell r="CP34">
            <v>2.6195125000000003E-2</v>
          </cell>
          <cell r="CQ34">
            <v>2.4805374999999998E-2</v>
          </cell>
          <cell r="CR34">
            <v>2.272895833333333E-2</v>
          </cell>
          <cell r="CS34">
            <v>2.1773833333333333E-2</v>
          </cell>
          <cell r="CT34">
            <v>2.0979375000000001E-2</v>
          </cell>
          <cell r="CU34">
            <v>2.0932875000000004E-2</v>
          </cell>
          <cell r="CV34">
            <v>2.0824375000000003E-2</v>
          </cell>
          <cell r="CW34">
            <v>1.9697333333333338E-2</v>
          </cell>
          <cell r="CX34">
            <v>1.8187458333333337E-2</v>
          </cell>
          <cell r="CY34">
            <v>1.8219708333333334E-2</v>
          </cell>
          <cell r="CZ34">
            <v>1.9747749999999998E-2</v>
          </cell>
          <cell r="DA34">
            <v>2.1111541666666667E-2</v>
          </cell>
          <cell r="DB34">
            <v>2.2879791666666666E-2</v>
          </cell>
          <cell r="DC34">
            <v>2.3329083333333327E-2</v>
          </cell>
          <cell r="DD34">
            <v>2.4202666666666671E-2</v>
          </cell>
          <cell r="DE34">
            <v>2.5776875000000001E-2</v>
          </cell>
          <cell r="DF34">
            <v>2.755316666666667E-2</v>
          </cell>
          <cell r="DG34">
            <v>2.890204166666667E-2</v>
          </cell>
          <cell r="DH34">
            <v>2.8435333333333333E-2</v>
          </cell>
          <cell r="DI34">
            <v>2.6733833333333335E-2</v>
          </cell>
          <cell r="DJ34">
            <v>2.3654833333333333E-2</v>
          </cell>
          <cell r="DK34">
            <v>2.0798000000000001E-2</v>
          </cell>
          <cell r="DL34">
            <v>1.7101416666666668E-2</v>
          </cell>
          <cell r="DM34">
            <v>1.3192500000000001E-2</v>
          </cell>
          <cell r="DN34">
            <v>1.0474124999999999E-2</v>
          </cell>
          <cell r="DO34">
            <v>8.1843750000000007E-3</v>
          </cell>
          <cell r="DP34">
            <v>8.9563749999999991E-3</v>
          </cell>
          <cell r="DQ34">
            <v>1.1229208333333334E-2</v>
          </cell>
          <cell r="DR34">
            <v>1.3002375E-2</v>
          </cell>
          <cell r="DS34">
            <v>1.4623833333333334E-2</v>
          </cell>
          <cell r="DT34">
            <v>1.610075E-2</v>
          </cell>
          <cell r="DU34">
            <v>1.9488583333333337E-2</v>
          </cell>
          <cell r="DV34">
            <v>2.4060000000000002E-2</v>
          </cell>
          <cell r="DW34">
            <v>2.9911500000000008E-2</v>
          </cell>
          <cell r="DX34">
            <v>3.4109666666666663E-2</v>
          </cell>
          <cell r="DY34">
            <v>3.5991583333333334E-2</v>
          </cell>
          <cell r="DZ34">
            <v>3.8568416666666674E-2</v>
          </cell>
          <cell r="EA34">
            <v>3.9677666666666667E-2</v>
          </cell>
          <cell r="EB34">
            <v>4.087441666666667E-2</v>
          </cell>
          <cell r="EC34">
            <v>4.2963416666666671E-2</v>
          </cell>
          <cell r="ED34">
            <v>4.2255666666666664E-2</v>
          </cell>
          <cell r="EE34">
            <v>4.2319500000000003E-2</v>
          </cell>
          <cell r="EF34">
            <v>4.2731083333333329E-2</v>
          </cell>
          <cell r="EG34">
            <v>4.2188416666666673E-2</v>
          </cell>
          <cell r="EH34">
            <v>4.2970416666666671E-2</v>
          </cell>
          <cell r="EI34">
            <v>4.2355000000000004E-2</v>
          </cell>
          <cell r="EJ34">
            <v>4.2841749999999998E-2</v>
          </cell>
          <cell r="EK34">
            <v>4.3209499999999998E-2</v>
          </cell>
          <cell r="EL34">
            <v>4.3999999999999997E-2</v>
          </cell>
          <cell r="EM34">
            <v>4.4249999999999998E-2</v>
          </cell>
          <cell r="EN34">
            <v>4.4499999999999998E-2</v>
          </cell>
          <cell r="EO34">
            <v>4.4749999999999998E-2</v>
          </cell>
          <cell r="EP34">
            <v>4.4999999999999998E-2</v>
          </cell>
          <cell r="EQ34">
            <v>4.5249999999999999E-2</v>
          </cell>
          <cell r="ER34">
            <v>4.5499999999999999E-2</v>
          </cell>
          <cell r="ES34">
            <v>4.5749999999999999E-2</v>
          </cell>
          <cell r="ET34">
            <v>4.5874999999999999E-2</v>
          </cell>
          <cell r="EU34">
            <v>4.5999999999999999E-2</v>
          </cell>
          <cell r="EV34">
            <v>4.5999999999999999E-2</v>
          </cell>
          <cell r="EW34">
            <v>4.5999999999999999E-2</v>
          </cell>
          <cell r="EX34">
            <v>4.5999999999999999E-2</v>
          </cell>
          <cell r="EY34">
            <v>4.5999999999999999E-2</v>
          </cell>
          <cell r="EZ34">
            <v>4.5999999999999999E-2</v>
          </cell>
          <cell r="FA34">
            <v>4.5999999999999999E-2</v>
          </cell>
          <cell r="FB34">
            <v>4.5999999999999999E-2</v>
          </cell>
          <cell r="FC34">
            <v>4.5999999999999999E-2</v>
          </cell>
          <cell r="FD34">
            <v>4.5999999999999999E-2</v>
          </cell>
          <cell r="FE34">
            <v>4.5999999999999999E-2</v>
          </cell>
          <cell r="FF34">
            <v>4.5999999999999999E-2</v>
          </cell>
          <cell r="FG34">
            <v>4.5999999999999999E-2</v>
          </cell>
          <cell r="FH34">
            <v>4.5999999999999999E-2</v>
          </cell>
          <cell r="FI34">
            <v>4.5999999999999999E-2</v>
          </cell>
          <cell r="FJ34">
            <v>4.5999999999999999E-2</v>
          </cell>
          <cell r="FK34">
            <v>4.5999999999999999E-2</v>
          </cell>
          <cell r="FL34">
            <v>4.5999999999999999E-2</v>
          </cell>
          <cell r="FM34">
            <v>4.5999999999999999E-2</v>
          </cell>
          <cell r="FN34">
            <v>4.5999999999999999E-2</v>
          </cell>
          <cell r="FO34">
            <v>4.5999999999999999E-2</v>
          </cell>
          <cell r="FP34">
            <v>4.5999999999999999E-2</v>
          </cell>
          <cell r="FQ34">
            <v>4.5999999999999999E-2</v>
          </cell>
          <cell r="FR34">
            <v>4.5999999999999999E-2</v>
          </cell>
          <cell r="FS34">
            <v>4.5999999999999999E-2</v>
          </cell>
          <cell r="FT34">
            <v>4.5999999999999999E-2</v>
          </cell>
          <cell r="FU34">
            <v>4.5999999999999999E-2</v>
          </cell>
        </row>
        <row r="35">
          <cell r="D35"/>
          <cell r="E35"/>
          <cell r="F35"/>
          <cell r="G35"/>
          <cell r="H35"/>
          <cell r="I35"/>
          <cell r="J35"/>
          <cell r="K35"/>
          <cell r="L35"/>
          <cell r="M35"/>
          <cell r="N35"/>
          <cell r="O35"/>
          <cell r="P35"/>
          <cell r="Q35"/>
          <cell r="R35"/>
          <cell r="S35"/>
          <cell r="T35"/>
          <cell r="U35"/>
          <cell r="V35"/>
          <cell r="W35"/>
          <cell r="X35"/>
          <cell r="Y35"/>
          <cell r="Z35"/>
          <cell r="AA35"/>
          <cell r="AB35"/>
          <cell r="AC35"/>
          <cell r="AD35"/>
          <cell r="AE35"/>
          <cell r="AF35"/>
          <cell r="AG35"/>
          <cell r="AH35"/>
          <cell r="AI35"/>
          <cell r="AJ35"/>
          <cell r="AK35"/>
          <cell r="AL35"/>
          <cell r="AM35"/>
          <cell r="AN35"/>
          <cell r="AO35"/>
          <cell r="AP35"/>
          <cell r="AQ35"/>
          <cell r="AR35"/>
          <cell r="AS35"/>
          <cell r="AT35"/>
          <cell r="AU35"/>
          <cell r="AV35"/>
          <cell r="AW35"/>
          <cell r="AX35"/>
          <cell r="AY35"/>
          <cell r="AZ35"/>
          <cell r="BA35"/>
          <cell r="BB35"/>
          <cell r="BC35"/>
          <cell r="BD35"/>
          <cell r="BE35"/>
          <cell r="BF35"/>
          <cell r="BG35"/>
          <cell r="BH35"/>
          <cell r="BI35"/>
          <cell r="BJ35"/>
          <cell r="BK35"/>
          <cell r="BL35"/>
          <cell r="BM35"/>
          <cell r="BN35"/>
          <cell r="BO35"/>
          <cell r="BP35"/>
          <cell r="BQ35"/>
          <cell r="BR35"/>
          <cell r="BS35"/>
          <cell r="BT35"/>
          <cell r="BU35"/>
          <cell r="BV35"/>
          <cell r="BW35"/>
          <cell r="BX35"/>
          <cell r="BY35"/>
          <cell r="BZ35"/>
          <cell r="CA35"/>
          <cell r="CB35"/>
          <cell r="CC35"/>
          <cell r="CD35"/>
          <cell r="CE35"/>
          <cell r="CF35"/>
          <cell r="CG35"/>
          <cell r="CH35"/>
          <cell r="CI35"/>
          <cell r="CJ35"/>
          <cell r="CK35"/>
          <cell r="CL35"/>
          <cell r="CM35"/>
          <cell r="CN35"/>
          <cell r="CO35"/>
          <cell r="CP35"/>
          <cell r="CQ35"/>
          <cell r="CR35"/>
          <cell r="CS35"/>
          <cell r="CT35"/>
          <cell r="CU35"/>
          <cell r="CV35"/>
          <cell r="CW35"/>
          <cell r="CX35"/>
          <cell r="CY35"/>
          <cell r="CZ35"/>
          <cell r="DA35"/>
          <cell r="DB35"/>
          <cell r="DC35"/>
          <cell r="DD35"/>
          <cell r="DE35"/>
          <cell r="DF35"/>
          <cell r="DG35"/>
          <cell r="DH35"/>
          <cell r="DI35"/>
          <cell r="DJ35"/>
          <cell r="DK35"/>
          <cell r="DL35"/>
          <cell r="DM35"/>
          <cell r="DN35"/>
          <cell r="DO35"/>
          <cell r="DP35"/>
          <cell r="DQ35"/>
          <cell r="DR35"/>
          <cell r="DS35"/>
          <cell r="DT35"/>
          <cell r="DU35"/>
          <cell r="DV35"/>
          <cell r="DW35"/>
          <cell r="DX35"/>
          <cell r="DY35"/>
          <cell r="DZ35"/>
          <cell r="EA35"/>
          <cell r="EB35"/>
          <cell r="EC35"/>
          <cell r="ED35"/>
          <cell r="EE35"/>
          <cell r="EG35"/>
          <cell r="EH35"/>
        </row>
        <row r="36">
          <cell r="B36" t="str">
            <v>Period end exchange rates</v>
          </cell>
          <cell r="C36"/>
          <cell r="D36"/>
          <cell r="E36"/>
          <cell r="F36"/>
          <cell r="G36"/>
          <cell r="H36"/>
          <cell r="I36"/>
          <cell r="J36"/>
          <cell r="K36"/>
          <cell r="L36"/>
          <cell r="M36"/>
          <cell r="N36"/>
          <cell r="O36"/>
          <cell r="P36"/>
          <cell r="Q36"/>
          <cell r="R36"/>
          <cell r="S36"/>
          <cell r="T36"/>
          <cell r="U36"/>
          <cell r="V36"/>
          <cell r="W36"/>
          <cell r="X36"/>
          <cell r="Y36"/>
          <cell r="Z36"/>
          <cell r="AA36"/>
          <cell r="AB36"/>
          <cell r="AC36"/>
          <cell r="AD36"/>
          <cell r="AE36"/>
          <cell r="AF36"/>
          <cell r="AG36"/>
          <cell r="AH36"/>
          <cell r="AI36"/>
          <cell r="AJ36"/>
          <cell r="AK36"/>
          <cell r="AL36"/>
          <cell r="AM36"/>
          <cell r="AN36"/>
          <cell r="AO36"/>
          <cell r="AP36"/>
          <cell r="AQ36"/>
          <cell r="AR36"/>
          <cell r="AS36"/>
          <cell r="AT36"/>
          <cell r="AU36"/>
          <cell r="AV36"/>
          <cell r="AW36"/>
          <cell r="AX36"/>
          <cell r="AY36"/>
          <cell r="AZ36"/>
          <cell r="BA36"/>
          <cell r="BB36"/>
          <cell r="BC36"/>
          <cell r="BD36"/>
          <cell r="BE36"/>
          <cell r="BF36"/>
          <cell r="BG36"/>
          <cell r="BH36"/>
          <cell r="BI36"/>
          <cell r="BJ36"/>
          <cell r="BK36"/>
          <cell r="BL36"/>
          <cell r="BM36"/>
          <cell r="BN36"/>
          <cell r="BO36"/>
          <cell r="BP36"/>
          <cell r="BQ36"/>
          <cell r="BR36"/>
          <cell r="BS36"/>
          <cell r="BT36"/>
          <cell r="BU36"/>
          <cell r="BV36"/>
          <cell r="BW36"/>
          <cell r="BX36"/>
          <cell r="BY36"/>
          <cell r="BZ36"/>
          <cell r="CA36"/>
          <cell r="CB36"/>
          <cell r="CC36"/>
          <cell r="CD36"/>
          <cell r="CE36"/>
          <cell r="CF36"/>
          <cell r="CG36"/>
          <cell r="CH36"/>
          <cell r="CI36"/>
          <cell r="CJ36"/>
          <cell r="CK36"/>
          <cell r="CL36"/>
          <cell r="CM36"/>
          <cell r="CN36"/>
          <cell r="CO36"/>
          <cell r="CP36"/>
          <cell r="CQ36"/>
          <cell r="CR36"/>
          <cell r="CS36"/>
          <cell r="CT36"/>
          <cell r="CU36"/>
          <cell r="CV36"/>
          <cell r="CW36"/>
          <cell r="CX36"/>
          <cell r="CY36"/>
          <cell r="CZ36"/>
          <cell r="DA36"/>
          <cell r="DB36"/>
          <cell r="DC36"/>
          <cell r="DD36"/>
          <cell r="DE36"/>
          <cell r="DF36"/>
          <cell r="DG36"/>
          <cell r="DH36"/>
          <cell r="DI36"/>
          <cell r="DJ36"/>
          <cell r="DK36"/>
          <cell r="DL36"/>
          <cell r="DM36"/>
          <cell r="DN36"/>
          <cell r="DO36"/>
          <cell r="DP36"/>
          <cell r="DQ36"/>
          <cell r="DR36"/>
          <cell r="DS36"/>
          <cell r="DT36"/>
          <cell r="DU36"/>
          <cell r="DV36"/>
          <cell r="DW36"/>
          <cell r="DX36"/>
          <cell r="DY36"/>
          <cell r="DZ36"/>
          <cell r="EA36"/>
          <cell r="EB36"/>
          <cell r="EC36"/>
          <cell r="ED36"/>
          <cell r="EE36"/>
          <cell r="EF36"/>
          <cell r="EG36"/>
          <cell r="EH36"/>
          <cell r="EI36"/>
          <cell r="EJ36"/>
          <cell r="EK36"/>
          <cell r="EL36"/>
          <cell r="EM36"/>
          <cell r="EN36"/>
          <cell r="EO36"/>
          <cell r="EP36"/>
          <cell r="EQ36"/>
          <cell r="ER36"/>
          <cell r="ES36"/>
          <cell r="ET36"/>
          <cell r="EU36"/>
          <cell r="EV36"/>
          <cell r="EW36"/>
          <cell r="EX36"/>
          <cell r="EY36"/>
          <cell r="EZ36"/>
          <cell r="FA36"/>
          <cell r="FB36"/>
          <cell r="FC36"/>
          <cell r="FD36"/>
          <cell r="FE36"/>
          <cell r="FF36"/>
          <cell r="FG36"/>
          <cell r="FH36"/>
          <cell r="FI36"/>
          <cell r="FJ36"/>
          <cell r="FK36"/>
          <cell r="FL36"/>
          <cell r="FM36"/>
          <cell r="FN36"/>
          <cell r="FO36"/>
          <cell r="FP36"/>
          <cell r="FQ36"/>
          <cell r="FR36"/>
          <cell r="FS36"/>
          <cell r="FT36"/>
          <cell r="FU36"/>
        </row>
        <row r="37">
          <cell r="A37" t="str">
            <v>peaudgbp</v>
          </cell>
          <cell r="B37" t="str">
            <v>AUD/GBP</v>
          </cell>
          <cell r="D37">
            <v>0.44290000000000002</v>
          </cell>
          <cell r="E37">
            <v>0.39250000000000002</v>
          </cell>
          <cell r="F37">
            <v>0.39929999999999999</v>
          </cell>
          <cell r="G37">
            <v>0.45579999999999998</v>
          </cell>
          <cell r="H37">
            <v>0.46539999999999998</v>
          </cell>
          <cell r="I37">
            <v>0.44679999999999997</v>
          </cell>
          <cell r="J37">
            <v>0.43169999999999997</v>
          </cell>
          <cell r="K37">
            <v>0.46</v>
          </cell>
          <cell r="L37">
            <v>0.47270000000000001</v>
          </cell>
          <cell r="M37">
            <v>0.47120000000000001</v>
          </cell>
          <cell r="N37">
            <v>0.46920000000000001</v>
          </cell>
          <cell r="O37">
            <v>0.4955</v>
          </cell>
          <cell r="P37">
            <v>0.45279999999999998</v>
          </cell>
          <cell r="Q37">
            <v>0.44469999999999998</v>
          </cell>
          <cell r="R37">
            <v>0.47710000000000002</v>
          </cell>
          <cell r="S37">
            <v>0.4793</v>
          </cell>
          <cell r="T37">
            <v>0.51190000000000002</v>
          </cell>
          <cell r="U37">
            <v>0.50729999999999997</v>
          </cell>
          <cell r="V37">
            <v>0.50539999999999996</v>
          </cell>
          <cell r="W37">
            <v>0.4632</v>
          </cell>
          <cell r="X37">
            <v>0.4793</v>
          </cell>
          <cell r="Y37">
            <v>0.45269999999999999</v>
          </cell>
          <cell r="Z37">
            <v>0.44840000000000002</v>
          </cell>
          <cell r="AA37">
            <v>0.39510000000000001</v>
          </cell>
          <cell r="AB37">
            <v>0.39560000000000001</v>
          </cell>
          <cell r="AC37">
            <v>0.37</v>
          </cell>
          <cell r="AD37">
            <v>0.34939999999999999</v>
          </cell>
          <cell r="AE37">
            <v>0.36830000000000002</v>
          </cell>
          <cell r="AF37">
            <v>0.39360000000000001</v>
          </cell>
          <cell r="AG37">
            <v>0.42259999999999998</v>
          </cell>
          <cell r="AH37">
            <v>0.39600000000000002</v>
          </cell>
          <cell r="AI37">
            <v>0.40670000000000001</v>
          </cell>
          <cell r="AJ37">
            <v>0.38100000000000001</v>
          </cell>
          <cell r="AK37">
            <v>0.39340000000000003</v>
          </cell>
          <cell r="AL37">
            <v>0.3679</v>
          </cell>
          <cell r="AM37">
            <v>0.37419999999999998</v>
          </cell>
          <cell r="AN37">
            <v>0.34320000000000001</v>
          </cell>
          <cell r="AO37">
            <v>0.36120000000000002</v>
          </cell>
          <cell r="AP37">
            <v>0.33360000000000001</v>
          </cell>
          <cell r="AQ37">
            <v>0.34970000000000001</v>
          </cell>
          <cell r="AR37">
            <v>0.374</v>
          </cell>
          <cell r="AS37">
            <v>0.36749999999999999</v>
          </cell>
          <cell r="AT37">
            <v>0.3458</v>
          </cell>
          <cell r="AU37">
            <v>0.34860000000000002</v>
          </cell>
          <cell r="AV37">
            <v>0.3821</v>
          </cell>
          <cell r="AW37">
            <v>0.40689999999999998</v>
          </cell>
          <cell r="AX37">
            <v>0.40949999999999998</v>
          </cell>
          <cell r="AY37">
            <v>0.42149999999999999</v>
          </cell>
          <cell r="AZ37">
            <v>0.4153</v>
          </cell>
          <cell r="BA37">
            <v>0.38390000000000002</v>
          </cell>
          <cell r="BB37">
            <v>0.40189999999999998</v>
          </cell>
          <cell r="BC37">
            <v>0.40720767956457504</v>
          </cell>
          <cell r="BD37">
            <v>0.40895617792675232</v>
          </cell>
          <cell r="BE37">
            <v>0.42536908457987377</v>
          </cell>
          <cell r="BF37">
            <v>0.43181633496417127</v>
          </cell>
          <cell r="BG37">
            <v>0.42630000000000001</v>
          </cell>
          <cell r="BH37">
            <v>0.4123</v>
          </cell>
          <cell r="BI37">
            <v>0.4022</v>
          </cell>
          <cell r="BJ37">
            <v>0.39840000000000003</v>
          </cell>
          <cell r="BK37">
            <v>0.40230000000000005</v>
          </cell>
          <cell r="BL37">
            <v>0.41100000000000003</v>
          </cell>
          <cell r="BM37">
            <v>0.42285000000000006</v>
          </cell>
          <cell r="BN37">
            <v>0.43380000000000002</v>
          </cell>
          <cell r="BO37">
            <v>0.44090000000000001</v>
          </cell>
          <cell r="BP37">
            <v>0.46030000000000004</v>
          </cell>
          <cell r="BQ37">
            <v>0.48110000000000003</v>
          </cell>
          <cell r="BR37">
            <v>0.44480000000000003</v>
          </cell>
          <cell r="BS37">
            <v>0.48000000000000004</v>
          </cell>
          <cell r="BT37">
            <v>0.4829</v>
          </cell>
          <cell r="BU37">
            <v>0.4899</v>
          </cell>
          <cell r="BV37">
            <v>0.55230000000000001</v>
          </cell>
          <cell r="BW37">
            <v>0.5555000000000001</v>
          </cell>
          <cell r="BX37">
            <v>0.60430000000000006</v>
          </cell>
          <cell r="BY37">
            <v>0.5625</v>
          </cell>
          <cell r="BZ37">
            <v>0.61529999999999996</v>
          </cell>
          <cell r="CA37">
            <v>0.65539999999999998</v>
          </cell>
          <cell r="CB37">
            <v>0.64420000000000011</v>
          </cell>
          <cell r="CC37">
            <v>0.66769999999999996</v>
          </cell>
          <cell r="CD37">
            <v>0.62000000000000011</v>
          </cell>
          <cell r="CE37">
            <v>0.65769999999999995</v>
          </cell>
          <cell r="CF37">
            <v>0.64695000000000014</v>
          </cell>
          <cell r="CG37">
            <v>0.65254999999999996</v>
          </cell>
          <cell r="CH37">
            <v>0.64250000000000007</v>
          </cell>
          <cell r="CI37">
            <v>0.63965000000000005</v>
          </cell>
          <cell r="CJ37">
            <v>0.68535000000000013</v>
          </cell>
          <cell r="CK37">
            <v>0.6008</v>
          </cell>
          <cell r="CL37">
            <v>0.57620000000000005</v>
          </cell>
          <cell r="CM37">
            <v>0.53849999999999998</v>
          </cell>
          <cell r="CN37">
            <v>0.55610000000000004</v>
          </cell>
          <cell r="CO37">
            <v>0.5514</v>
          </cell>
          <cell r="CP37">
            <v>0.53964999999999996</v>
          </cell>
          <cell r="CQ37">
            <v>0.52445000000000008</v>
          </cell>
          <cell r="CR37">
            <v>0.51324999999999998</v>
          </cell>
          <cell r="CS37">
            <v>0.49070000000000003</v>
          </cell>
          <cell r="CT37">
            <v>0.46399999999999997</v>
          </cell>
          <cell r="CU37">
            <v>0.49470000000000003</v>
          </cell>
          <cell r="CV37">
            <v>0.53310000000000002</v>
          </cell>
          <cell r="CW37">
            <v>0.55984999999999996</v>
          </cell>
          <cell r="CX37">
            <v>0.59014999999999995</v>
          </cell>
          <cell r="CY37">
            <v>0.58390000000000009</v>
          </cell>
          <cell r="CZ37">
            <v>0.60759999999999992</v>
          </cell>
          <cell r="DA37">
            <v>0.59</v>
          </cell>
          <cell r="DB37">
            <v>0.58485000000000009</v>
          </cell>
          <cell r="DC37">
            <v>0.57755000000000001</v>
          </cell>
          <cell r="DD37">
            <v>0.54744999999999999</v>
          </cell>
          <cell r="DE37">
            <v>0.56089999999999995</v>
          </cell>
          <cell r="DF37">
            <v>0.55400000000000005</v>
          </cell>
          <cell r="DG37">
            <v>0.55309999999999993</v>
          </cell>
          <cell r="DH37">
            <v>0.54459999999999997</v>
          </cell>
          <cell r="DI37">
            <v>0.55320000000000003</v>
          </cell>
          <cell r="DJ37">
            <v>0.54895000000000005</v>
          </cell>
          <cell r="DK37">
            <v>0.52905000000000002</v>
          </cell>
          <cell r="DL37">
            <v>0.49456</v>
          </cell>
          <cell r="DM37">
            <v>0.55671000000000004</v>
          </cell>
          <cell r="DN37">
            <v>0.55445999999999995</v>
          </cell>
          <cell r="DO37">
            <v>0.56304500000000002</v>
          </cell>
          <cell r="DP37">
            <v>0.55100000000000005</v>
          </cell>
          <cell r="DQ37">
            <v>0.54215000000000002</v>
          </cell>
          <cell r="DR37">
            <v>0.53649999999999998</v>
          </cell>
          <cell r="DS37">
            <v>0.53720000000000001</v>
          </cell>
          <cell r="DT37">
            <v>0.56950000000000001</v>
          </cell>
          <cell r="DU37">
            <v>0.56679999999999997</v>
          </cell>
          <cell r="DV37">
            <v>0.57299999999999995</v>
          </cell>
          <cell r="DW37">
            <v>0.56340000000000001</v>
          </cell>
          <cell r="DX37">
            <v>0.54200000000000004</v>
          </cell>
          <cell r="DY37">
            <v>0.52480000000000004</v>
          </cell>
          <cell r="DZ37">
            <v>0.52731499999999998</v>
          </cell>
          <cell r="EA37">
            <v>0.53495000000000004</v>
          </cell>
          <cell r="EB37">
            <v>0.51600000000000001</v>
          </cell>
          <cell r="EC37">
            <v>0.52739999999999998</v>
          </cell>
          <cell r="ED37">
            <v>0.51688535224444543</v>
          </cell>
          <cell r="EE37">
            <v>0.49451459683461196</v>
          </cell>
          <cell r="EF37">
            <v>0.48359173251574089</v>
          </cell>
          <cell r="EG37">
            <v>0.47917734832838982</v>
          </cell>
          <cell r="EH37">
            <v>0.49187544729923488</v>
          </cell>
          <cell r="EI37">
            <v>0.47857142857142865</v>
          </cell>
          <cell r="EJ37">
            <v>0.47535211267605654</v>
          </cell>
          <cell r="EK37">
            <v>0.47222222222222227</v>
          </cell>
          <cell r="EL37">
            <v>0.47499999999999992</v>
          </cell>
          <cell r="EM37">
            <v>0.4779411764705882</v>
          </cell>
          <cell r="EN37">
            <v>0.48523985239852396</v>
          </cell>
          <cell r="EO37">
            <v>0.49259259259259253</v>
          </cell>
          <cell r="EP37">
            <v>0.49999999999999983</v>
          </cell>
          <cell r="EQ37">
            <v>0.5074626865671642</v>
          </cell>
          <cell r="ER37">
            <v>0.51401869158878488</v>
          </cell>
          <cell r="ES37">
            <v>0.52059925093632919</v>
          </cell>
          <cell r="ET37">
            <v>0.52720450281425824</v>
          </cell>
          <cell r="EU37">
            <v>0.53383458646616533</v>
          </cell>
          <cell r="EV37">
            <v>0.54614220877458386</v>
          </cell>
          <cell r="EW37">
            <v>0.55859969558599676</v>
          </cell>
          <cell r="EX37">
            <v>0.57120980091883578</v>
          </cell>
          <cell r="EY37">
            <v>0.58397534668721063</v>
          </cell>
          <cell r="EZ37">
            <v>0.59689922480620106</v>
          </cell>
          <cell r="FA37">
            <v>0.60998439937597437</v>
          </cell>
          <cell r="FB37">
            <v>0.62323390894819397</v>
          </cell>
          <cell r="FC37">
            <v>0.6366508688783562</v>
          </cell>
          <cell r="FD37">
            <v>0.6366508688783562</v>
          </cell>
          <cell r="FE37">
            <v>0.6366508688783562</v>
          </cell>
          <cell r="FF37">
            <v>0.6366508688783562</v>
          </cell>
          <cell r="FG37">
            <v>0.6366508688783562</v>
          </cell>
          <cell r="FH37">
            <v>0.6366508688783562</v>
          </cell>
          <cell r="FI37">
            <v>0.6366508688783562</v>
          </cell>
          <cell r="FJ37">
            <v>0.6366508688783562</v>
          </cell>
          <cell r="FK37">
            <v>0.6366508688783562</v>
          </cell>
          <cell r="FL37">
            <v>0.6366508688783562</v>
          </cell>
          <cell r="FM37">
            <v>0.6366508688783562</v>
          </cell>
          <cell r="FN37">
            <v>0.6366508688783562</v>
          </cell>
          <cell r="FO37">
            <v>0.6366508688783562</v>
          </cell>
          <cell r="FP37">
            <v>0.6366508688783562</v>
          </cell>
          <cell r="FQ37">
            <v>0.6366508688783562</v>
          </cell>
          <cell r="FR37">
            <v>0.6366508688783562</v>
          </cell>
          <cell r="FS37">
            <v>0.6366508688783562</v>
          </cell>
          <cell r="FT37">
            <v>0.6366508688783562</v>
          </cell>
          <cell r="FU37">
            <v>0.6366508688783562</v>
          </cell>
        </row>
        <row r="38">
          <cell r="A38" t="str">
            <v>peaudusd</v>
          </cell>
          <cell r="B38" t="str">
            <v>AUD/USD</v>
          </cell>
          <cell r="D38">
            <v>0.76929999999999998</v>
          </cell>
          <cell r="E38">
            <v>0.74780000000000002</v>
          </cell>
          <cell r="F38">
            <v>0.71319999999999995</v>
          </cell>
          <cell r="G38">
            <v>0.6885</v>
          </cell>
          <cell r="H38">
            <v>0.70479999999999998</v>
          </cell>
          <cell r="I38">
            <v>0.66649999999999998</v>
          </cell>
          <cell r="J38">
            <v>0.64610000000000001</v>
          </cell>
          <cell r="K38">
            <v>0.67930000000000001</v>
          </cell>
          <cell r="L38">
            <v>0.70169999999999999</v>
          </cell>
          <cell r="M38">
            <v>0.72770000000000001</v>
          </cell>
          <cell r="N38">
            <v>0.73950000000000005</v>
          </cell>
          <cell r="O38">
            <v>0.77639999999999998</v>
          </cell>
          <cell r="P38">
            <v>0.73450000000000004</v>
          </cell>
          <cell r="Q38">
            <v>0.70909999999999995</v>
          </cell>
          <cell r="R38">
            <v>0.75539999999999996</v>
          </cell>
          <cell r="S38">
            <v>0.74370000000000003</v>
          </cell>
          <cell r="T38">
            <v>0.78149999999999997</v>
          </cell>
          <cell r="U38">
            <v>0.7873</v>
          </cell>
          <cell r="V38">
            <v>0.79139999999999999</v>
          </cell>
          <cell r="W38">
            <v>0.79430000000000001</v>
          </cell>
          <cell r="X38">
            <v>0.78559999999999997</v>
          </cell>
          <cell r="Y38">
            <v>0.74550000000000005</v>
          </cell>
          <cell r="Z38">
            <v>0.72570000000000001</v>
          </cell>
          <cell r="AA38">
            <v>0.65029999999999999</v>
          </cell>
          <cell r="AB38">
            <v>0.66220000000000001</v>
          </cell>
          <cell r="AC38">
            <v>0.62</v>
          </cell>
          <cell r="AD38">
            <v>0.59360000000000002</v>
          </cell>
          <cell r="AE38">
            <v>0.61260000000000003</v>
          </cell>
          <cell r="AF38">
            <v>0.63439999999999996</v>
          </cell>
          <cell r="AG38">
            <v>0.66669999999999996</v>
          </cell>
          <cell r="AH38">
            <v>0.65249999999999997</v>
          </cell>
          <cell r="AI38">
            <v>0.65710000000000002</v>
          </cell>
          <cell r="AJ38">
            <v>0.60770000000000002</v>
          </cell>
          <cell r="AK38">
            <v>0.59670000000000001</v>
          </cell>
          <cell r="AL38">
            <v>0.54279999999999995</v>
          </cell>
          <cell r="AM38">
            <v>0.55879999999999996</v>
          </cell>
          <cell r="AN38">
            <v>0.48570000000000002</v>
          </cell>
          <cell r="AO38">
            <v>0.51139999999999997</v>
          </cell>
          <cell r="AP38">
            <v>0.49180000000000001</v>
          </cell>
          <cell r="AQ38">
            <v>0.50880000000000003</v>
          </cell>
          <cell r="AR38">
            <v>0.5333</v>
          </cell>
          <cell r="AS38">
            <v>0.56359999999999999</v>
          </cell>
          <cell r="AT38">
            <v>0.54279999999999995</v>
          </cell>
          <cell r="AU38">
            <v>0.56169999999999998</v>
          </cell>
          <cell r="AV38">
            <v>0.60470000000000002</v>
          </cell>
          <cell r="AW38">
            <v>0.67359999999999998</v>
          </cell>
          <cell r="AX38">
            <v>0.68100000000000005</v>
          </cell>
          <cell r="AY38">
            <v>0.75280000000000002</v>
          </cell>
          <cell r="AZ38">
            <v>0.76680000000000004</v>
          </cell>
          <cell r="BA38">
            <v>0.69889999999999997</v>
          </cell>
          <cell r="BB38">
            <v>0.72789999999999999</v>
          </cell>
          <cell r="BC38">
            <v>0.78095000000000003</v>
          </cell>
          <cell r="BD38">
            <v>0.77300000000000002</v>
          </cell>
          <cell r="BE38">
            <v>0.76215000000000011</v>
          </cell>
          <cell r="BF38">
            <v>0.76235000000000008</v>
          </cell>
          <cell r="BG38">
            <v>0.73440000000000005</v>
          </cell>
          <cell r="BH38">
            <v>0.71625000000000005</v>
          </cell>
          <cell r="BI38">
            <v>0.74345000000000006</v>
          </cell>
          <cell r="BJ38">
            <v>0.74595000000000011</v>
          </cell>
          <cell r="BK38">
            <v>0.78910000000000002</v>
          </cell>
          <cell r="BL38">
            <v>0.80889999999999995</v>
          </cell>
          <cell r="BM38">
            <v>0.84940000000000004</v>
          </cell>
          <cell r="BN38">
            <v>0.88780000000000003</v>
          </cell>
          <cell r="BO38">
            <v>0.87519999999999998</v>
          </cell>
          <cell r="BP38">
            <v>0.91335000000000011</v>
          </cell>
          <cell r="BQ38">
            <v>0.95860000000000012</v>
          </cell>
          <cell r="BR38">
            <v>0.79220000000000002</v>
          </cell>
          <cell r="BS38">
            <v>0.70265</v>
          </cell>
          <cell r="BT38">
            <v>0.69140000000000001</v>
          </cell>
          <cell r="BU38">
            <v>0.80659999999999998</v>
          </cell>
          <cell r="BV38">
            <v>0.88260000000000005</v>
          </cell>
          <cell r="BW38">
            <v>0.8972500000000001</v>
          </cell>
          <cell r="BX38">
            <v>0.91749999999999998</v>
          </cell>
          <cell r="BY38">
            <v>0.8407</v>
          </cell>
          <cell r="BZ38">
            <v>0.96720000000000006</v>
          </cell>
          <cell r="CA38">
            <v>1.0231000000000001</v>
          </cell>
          <cell r="CB38">
            <v>1.0327</v>
          </cell>
          <cell r="CC38">
            <v>1.07185</v>
          </cell>
          <cell r="CD38">
            <v>0.96635000000000004</v>
          </cell>
          <cell r="CE38">
            <v>1.0216000000000001</v>
          </cell>
          <cell r="CF38">
            <v>1.03552</v>
          </cell>
          <cell r="CG38">
            <v>1.0244</v>
          </cell>
          <cell r="CH38">
            <v>1.0382</v>
          </cell>
          <cell r="CI38">
            <v>1.0393950000000001</v>
          </cell>
          <cell r="CJ38">
            <v>1.0416500000000002</v>
          </cell>
          <cell r="CK38">
            <v>0.91368000000000005</v>
          </cell>
          <cell r="CL38">
            <v>0.93254999999999999</v>
          </cell>
          <cell r="CM38">
            <v>0.89200500000000016</v>
          </cell>
          <cell r="CN38">
            <v>0.92656500000000008</v>
          </cell>
          <cell r="CO38">
            <v>0.94323500000000005</v>
          </cell>
          <cell r="CP38">
            <v>0.87499500000000008</v>
          </cell>
          <cell r="CQ38">
            <v>0.81657500000000005</v>
          </cell>
          <cell r="CR38">
            <v>0.76062000000000007</v>
          </cell>
          <cell r="CS38">
            <v>0.77070499999999997</v>
          </cell>
          <cell r="CT38">
            <v>0.70178499999999999</v>
          </cell>
          <cell r="CU38">
            <v>0.72909000000000002</v>
          </cell>
          <cell r="CV38">
            <v>0.76578499999999994</v>
          </cell>
          <cell r="CW38">
            <v>0.74522500000000003</v>
          </cell>
          <cell r="CX38">
            <v>0.76595499999999994</v>
          </cell>
          <cell r="CY38">
            <v>0.720275</v>
          </cell>
          <cell r="CZ38">
            <v>0.76302000000000003</v>
          </cell>
          <cell r="DA38">
            <v>0.76865000000000006</v>
          </cell>
          <cell r="DB38">
            <v>0.78353499999999998</v>
          </cell>
          <cell r="DC38">
            <v>0.78042</v>
          </cell>
          <cell r="DD38">
            <v>0.768015</v>
          </cell>
          <cell r="DE38">
            <v>0.74069000000000007</v>
          </cell>
          <cell r="DF38">
            <v>0.7218</v>
          </cell>
          <cell r="DG38">
            <v>0.70534999999999992</v>
          </cell>
          <cell r="DH38">
            <v>0.70962999999999998</v>
          </cell>
          <cell r="DI38">
            <v>0.70218999999999998</v>
          </cell>
          <cell r="DJ38">
            <v>0.67495499999999997</v>
          </cell>
          <cell r="DK38">
            <v>0.70155999999999996</v>
          </cell>
          <cell r="DL38">
            <v>0.61394499999999996</v>
          </cell>
          <cell r="DM38">
            <v>0.69040000000000001</v>
          </cell>
          <cell r="DN38">
            <v>0.71655500000000005</v>
          </cell>
          <cell r="DO38">
            <v>0.76947500000000002</v>
          </cell>
          <cell r="DP38">
            <v>0.75973500000000005</v>
          </cell>
          <cell r="DQ38">
            <v>0.74981500000000001</v>
          </cell>
          <cell r="DR38">
            <v>0.72255999999999998</v>
          </cell>
          <cell r="DS38">
            <v>0.72650000000000003</v>
          </cell>
          <cell r="DT38">
            <v>0.74817</v>
          </cell>
          <cell r="DU38">
            <v>0.69035000000000002</v>
          </cell>
          <cell r="DV38">
            <v>0.64005500000000004</v>
          </cell>
          <cell r="DW38">
            <v>0.68155500000000002</v>
          </cell>
          <cell r="DX38">
            <v>0.66854999999999998</v>
          </cell>
          <cell r="DY38">
            <v>0.66629000000000005</v>
          </cell>
          <cell r="DZ38">
            <v>0.64303500000000002</v>
          </cell>
          <cell r="EA38">
            <v>0.68108000000000002</v>
          </cell>
          <cell r="EB38">
            <v>0.65139999999999998</v>
          </cell>
          <cell r="EC38">
            <v>0.66700000000000004</v>
          </cell>
          <cell r="ED38">
            <v>0.69131000000000009</v>
          </cell>
          <cell r="EE38">
            <v>0.61888500000000002</v>
          </cell>
          <cell r="EF38">
            <v>0.62470000000000003</v>
          </cell>
          <cell r="EG38">
            <v>0.6580649999999999</v>
          </cell>
          <cell r="EH38">
            <v>0.6613150000000001</v>
          </cell>
          <cell r="EI38">
            <v>0.67</v>
          </cell>
          <cell r="EJ38">
            <v>0.67500000000000016</v>
          </cell>
          <cell r="EK38">
            <v>0.68</v>
          </cell>
          <cell r="EL38">
            <v>0.66500000000000004</v>
          </cell>
          <cell r="EM38">
            <v>0.65</v>
          </cell>
          <cell r="EN38">
            <v>0.65749999999999997</v>
          </cell>
          <cell r="EO38">
            <v>0.66499999999999981</v>
          </cell>
          <cell r="EP38">
            <v>0.67249999999999965</v>
          </cell>
          <cell r="EQ38">
            <v>0.68</v>
          </cell>
          <cell r="ER38">
            <v>0.68749999999999989</v>
          </cell>
          <cell r="ES38">
            <v>0.69499999999999973</v>
          </cell>
          <cell r="ET38">
            <v>0.70249999999999957</v>
          </cell>
          <cell r="EU38">
            <v>0.71</v>
          </cell>
          <cell r="EV38">
            <v>0.72199999999999998</v>
          </cell>
          <cell r="EW38">
            <v>0.73399999999999999</v>
          </cell>
          <cell r="EX38">
            <v>0.746</v>
          </cell>
          <cell r="EY38">
            <v>0.75800000000000001</v>
          </cell>
          <cell r="EZ38">
            <v>0.77</v>
          </cell>
          <cell r="FA38">
            <v>0.78200000000000003</v>
          </cell>
          <cell r="FB38">
            <v>0.79400000000000004</v>
          </cell>
          <cell r="FC38">
            <v>0.80600000000000005</v>
          </cell>
          <cell r="FD38">
            <v>0.80600000000000005</v>
          </cell>
          <cell r="FE38">
            <v>0.80600000000000005</v>
          </cell>
          <cell r="FF38">
            <v>0.80600000000000005</v>
          </cell>
          <cell r="FG38">
            <v>0.80600000000000005</v>
          </cell>
          <cell r="FH38">
            <v>0.80600000000000005</v>
          </cell>
          <cell r="FI38">
            <v>0.80600000000000005</v>
          </cell>
          <cell r="FJ38">
            <v>0.80600000000000005</v>
          </cell>
          <cell r="FK38">
            <v>0.80600000000000005</v>
          </cell>
          <cell r="FL38">
            <v>0.80600000000000005</v>
          </cell>
          <cell r="FM38">
            <v>0.80600000000000005</v>
          </cell>
          <cell r="FN38">
            <v>0.80600000000000005</v>
          </cell>
          <cell r="FO38">
            <v>0.80600000000000005</v>
          </cell>
          <cell r="FP38">
            <v>0.80600000000000005</v>
          </cell>
          <cell r="FQ38">
            <v>0.80600000000000005</v>
          </cell>
          <cell r="FR38">
            <v>0.80600000000000005</v>
          </cell>
          <cell r="FS38">
            <v>0.80600000000000005</v>
          </cell>
          <cell r="FT38">
            <v>0.80600000000000005</v>
          </cell>
          <cell r="FU38">
            <v>0.80600000000000005</v>
          </cell>
        </row>
        <row r="39">
          <cell r="A39" t="str">
            <v>peaudnzd</v>
          </cell>
          <cell r="B39" t="str">
            <v>AUD/NZD</v>
          </cell>
          <cell r="D39"/>
          <cell r="E39"/>
          <cell r="F39"/>
          <cell r="G39"/>
          <cell r="H39"/>
          <cell r="I39"/>
          <cell r="J39"/>
          <cell r="K39"/>
          <cell r="L39"/>
          <cell r="M39"/>
          <cell r="N39">
            <v>1.2287999999999999</v>
          </cell>
          <cell r="O39">
            <v>1.2081999999999999</v>
          </cell>
          <cell r="P39">
            <v>1.1214999999999999</v>
          </cell>
          <cell r="Q39">
            <v>1.0593999999999999</v>
          </cell>
          <cell r="R39">
            <v>1.1480999999999999</v>
          </cell>
          <cell r="S39">
            <v>1.1378999999999999</v>
          </cell>
          <cell r="T39">
            <v>1.147</v>
          </cell>
          <cell r="U39">
            <v>1.149</v>
          </cell>
          <cell r="V39">
            <v>1.1309</v>
          </cell>
          <cell r="W39">
            <v>1.1236999999999999</v>
          </cell>
          <cell r="X39">
            <v>1.1304000000000001</v>
          </cell>
          <cell r="Y39">
            <v>1.1087</v>
          </cell>
          <cell r="Z39">
            <v>1.1307</v>
          </cell>
          <cell r="AA39">
            <v>1.1160000000000001</v>
          </cell>
          <cell r="AB39">
            <v>1.1992</v>
          </cell>
          <cell r="AC39">
            <v>1.2</v>
          </cell>
          <cell r="AD39">
            <v>1.1858</v>
          </cell>
          <cell r="AE39">
            <v>1.1584000000000001</v>
          </cell>
          <cell r="AF39">
            <v>1.1852</v>
          </cell>
          <cell r="AG39">
            <v>1.2486999999999999</v>
          </cell>
          <cell r="AH39">
            <v>1.2593000000000001</v>
          </cell>
          <cell r="AI39">
            <v>1.2574000000000001</v>
          </cell>
          <cell r="AJ39">
            <v>1.2242</v>
          </cell>
          <cell r="AK39">
            <v>1.2715000000000001</v>
          </cell>
          <cell r="AL39">
            <v>1.3319000000000001</v>
          </cell>
          <cell r="AM39">
            <v>1.2605999999999999</v>
          </cell>
          <cell r="AN39">
            <v>1.2042999999999999</v>
          </cell>
          <cell r="AO39">
            <v>1.2589999999999999</v>
          </cell>
          <cell r="AP39">
            <v>1.2101999999999999</v>
          </cell>
          <cell r="AQ39">
            <v>1.2213000000000001</v>
          </cell>
          <cell r="AR39">
            <v>1.2103999999999999</v>
          </cell>
          <cell r="AS39">
            <v>1.1569</v>
          </cell>
          <cell r="AT39">
            <v>1.1569</v>
          </cell>
          <cell r="AU39">
            <v>1.0717000000000001</v>
          </cell>
          <cell r="AV39">
            <v>1.0896999999999999</v>
          </cell>
          <cell r="AW39">
            <v>1.1473</v>
          </cell>
          <cell r="AX39">
            <v>1.1429</v>
          </cell>
          <cell r="AY39">
            <v>1.1444000000000001</v>
          </cell>
          <cell r="AZ39">
            <v>1.1469</v>
          </cell>
          <cell r="BA39">
            <v>1.0985</v>
          </cell>
          <cell r="BB39">
            <v>1.0740000000000001</v>
          </cell>
          <cell r="BC39">
            <v>1.0876074450760309</v>
          </cell>
          <cell r="BD39">
            <v>1.0860132008395653</v>
          </cell>
          <cell r="BE39">
            <v>1.093674281730447</v>
          </cell>
          <cell r="BF39">
            <v>1.101686434698377</v>
          </cell>
          <cell r="BG39">
            <v>1.0750500000000001</v>
          </cell>
          <cell r="BH39">
            <v>1.1625000000000001</v>
          </cell>
          <cell r="BI39">
            <v>1.2204999999999999</v>
          </cell>
          <cell r="BJ39">
            <v>1.14195</v>
          </cell>
          <cell r="BK39">
            <v>1.11975</v>
          </cell>
          <cell r="BL39">
            <v>1.1316999999999999</v>
          </cell>
          <cell r="BM39">
            <v>1.0992000000000002</v>
          </cell>
          <cell r="BN39">
            <v>1.1714500000000001</v>
          </cell>
          <cell r="BO39">
            <v>1.1425000000000001</v>
          </cell>
          <cell r="BP39">
            <v>1.1613500000000001</v>
          </cell>
          <cell r="BQ39">
            <v>1.2578499999999999</v>
          </cell>
          <cell r="BR39">
            <v>1.1830500000000002</v>
          </cell>
          <cell r="BS39">
            <v>1.2135</v>
          </cell>
          <cell r="BT39">
            <v>1.2361</v>
          </cell>
          <cell r="BU39">
            <v>1.24875</v>
          </cell>
          <cell r="BV39">
            <v>1.2210000000000001</v>
          </cell>
          <cell r="BW39">
            <v>1.2419500000000001</v>
          </cell>
          <cell r="BX39">
            <v>1.29095</v>
          </cell>
          <cell r="BY39">
            <v>1.2273499999999999</v>
          </cell>
          <cell r="BZ39">
            <v>1.3169</v>
          </cell>
          <cell r="CA39">
            <v>1.3116500000000002</v>
          </cell>
          <cell r="CB39">
            <v>1.3553500000000001</v>
          </cell>
          <cell r="CC39">
            <v>1.2928999999999999</v>
          </cell>
          <cell r="CD39">
            <v>1.26875</v>
          </cell>
          <cell r="CE39">
            <v>1.3138000000000001</v>
          </cell>
          <cell r="CF39">
            <v>1.2652650000000001</v>
          </cell>
          <cell r="CG39">
            <v>1.2788000000000002</v>
          </cell>
          <cell r="CH39">
            <v>1.251255</v>
          </cell>
          <cell r="CI39">
            <v>1.2544650000000002</v>
          </cell>
          <cell r="CJ39">
            <v>1.2447050000000002</v>
          </cell>
          <cell r="CK39">
            <v>1.180525</v>
          </cell>
          <cell r="CL39">
            <v>1.1225800000000001</v>
          </cell>
          <cell r="CM39">
            <v>1.0842450000000001</v>
          </cell>
          <cell r="CN39">
            <v>1.0681500000000002</v>
          </cell>
          <cell r="CO39">
            <v>1.0769850000000001</v>
          </cell>
          <cell r="CP39">
            <v>1.1203449999999999</v>
          </cell>
          <cell r="CQ39">
            <v>1.0474600000000001</v>
          </cell>
          <cell r="CR39">
            <v>1.01752</v>
          </cell>
          <cell r="CS39">
            <v>1.1388799999999999</v>
          </cell>
          <cell r="CT39">
            <v>1.0964800000000001</v>
          </cell>
          <cell r="CU39">
            <v>1.0676600000000001</v>
          </cell>
          <cell r="CV39">
            <v>1.1082999999999998</v>
          </cell>
          <cell r="CW39">
            <v>1.0442749999999998</v>
          </cell>
          <cell r="CX39">
            <v>1.0513699999999999</v>
          </cell>
          <cell r="CY39">
            <v>1.039955</v>
          </cell>
          <cell r="CZ39">
            <v>1.0889</v>
          </cell>
          <cell r="DA39">
            <v>1.048395</v>
          </cell>
          <cell r="DB39">
            <v>1.0868</v>
          </cell>
          <cell r="DC39">
            <v>1.1006749999999998</v>
          </cell>
          <cell r="DD39">
            <v>1.0607899999999999</v>
          </cell>
          <cell r="DE39">
            <v>1.0929150000000001</v>
          </cell>
          <cell r="DF39">
            <v>1.0909249999999999</v>
          </cell>
          <cell r="DG39">
            <v>1.050125</v>
          </cell>
          <cell r="DH39">
            <v>1.0423849999999999</v>
          </cell>
          <cell r="DI39">
            <v>1.0453600000000001</v>
          </cell>
          <cell r="DJ39">
            <v>1.0775299999999999</v>
          </cell>
          <cell r="DK39">
            <v>1.0426950000000001</v>
          </cell>
          <cell r="DL39">
            <v>1.0289950000000001</v>
          </cell>
          <cell r="DM39">
            <v>1.0695299999999999</v>
          </cell>
          <cell r="DN39">
            <v>1.0822799999999999</v>
          </cell>
          <cell r="DO39">
            <v>1.07067</v>
          </cell>
          <cell r="DP39">
            <v>1.08761</v>
          </cell>
          <cell r="DQ39">
            <v>1.0743149999999999</v>
          </cell>
          <cell r="DR39">
            <v>1.04783</v>
          </cell>
          <cell r="DS39">
            <v>1.0624</v>
          </cell>
          <cell r="DT39">
            <v>1.076495</v>
          </cell>
          <cell r="DU39">
            <v>1.10666</v>
          </cell>
          <cell r="DV39">
            <v>1.1437850000000001</v>
          </cell>
          <cell r="DW39">
            <v>1.0745499999999999</v>
          </cell>
          <cell r="DX39">
            <v>1.0678650000000001</v>
          </cell>
          <cell r="DY39">
            <v>1.0892550000000001</v>
          </cell>
          <cell r="DZ39">
            <v>1.07311</v>
          </cell>
          <cell r="EA39">
            <v>1.077985</v>
          </cell>
          <cell r="EB39">
            <v>1.0948199999999999</v>
          </cell>
          <cell r="EC39">
            <v>1.0949</v>
          </cell>
          <cell r="ED39">
            <v>1.088935</v>
          </cell>
          <cell r="EE39">
            <v>1.1061000000000001</v>
          </cell>
          <cell r="EF39">
            <v>1.1002000000000001</v>
          </cell>
          <cell r="EG39">
            <v>1.0792999999999999</v>
          </cell>
          <cell r="EH39">
            <v>1.1414</v>
          </cell>
          <cell r="EI39">
            <v>1.0806451612903227</v>
          </cell>
          <cell r="EJ39">
            <v>1.08</v>
          </cell>
          <cell r="EK39">
            <v>1.0793650793650795</v>
          </cell>
          <cell r="EL39">
            <v>1.0991735537190082</v>
          </cell>
          <cell r="EM39">
            <v>1.1206896551724139</v>
          </cell>
          <cell r="EN39">
            <v>1.1239316239316237</v>
          </cell>
          <cell r="EO39">
            <v>1.1271186440677958</v>
          </cell>
          <cell r="EP39">
            <v>1.130252100840335</v>
          </cell>
          <cell r="EQ39">
            <v>1.1333333333333335</v>
          </cell>
          <cell r="ER39">
            <v>1.1410788381742736</v>
          </cell>
          <cell r="ES39">
            <v>1.1487603305785117</v>
          </cell>
          <cell r="ET39">
            <v>1.1563786008230443</v>
          </cell>
          <cell r="EU39">
            <v>1.1639344262295082</v>
          </cell>
          <cell r="EV39">
            <v>1.1701782820097246</v>
          </cell>
          <cell r="EW39">
            <v>1.1762820512820518</v>
          </cell>
          <cell r="EX39">
            <v>1.1822503961965141</v>
          </cell>
          <cell r="EY39">
            <v>1.1880877742946716</v>
          </cell>
          <cell r="EZ39">
            <v>1.1937984496124041</v>
          </cell>
          <cell r="FA39">
            <v>1.199386503067486</v>
          </cell>
          <cell r="FB39">
            <v>1.2048558421851303</v>
          </cell>
          <cell r="FC39">
            <v>1.2102102102102119</v>
          </cell>
          <cell r="FD39">
            <v>1.2102102102102119</v>
          </cell>
          <cell r="FE39">
            <v>1.2102102102102119</v>
          </cell>
          <cell r="FF39">
            <v>1.2102102102102119</v>
          </cell>
          <cell r="FG39">
            <v>1.2102102102102119</v>
          </cell>
          <cell r="FH39">
            <v>1.2102102102102119</v>
          </cell>
          <cell r="FI39">
            <v>1.2102102102102119</v>
          </cell>
          <cell r="FJ39">
            <v>1.2102102102102119</v>
          </cell>
          <cell r="FK39">
            <v>1.2102102102102119</v>
          </cell>
          <cell r="FL39">
            <v>1.2102102102102119</v>
          </cell>
          <cell r="FM39">
            <v>1.2102102102102119</v>
          </cell>
          <cell r="FN39">
            <v>1.2102102102102119</v>
          </cell>
          <cell r="FO39">
            <v>1.2102102102102119</v>
          </cell>
          <cell r="FP39">
            <v>1.2102102102102119</v>
          </cell>
          <cell r="FQ39">
            <v>1.2102102102102119</v>
          </cell>
          <cell r="FR39">
            <v>1.2102102102102119</v>
          </cell>
          <cell r="FS39">
            <v>1.2102102102102119</v>
          </cell>
          <cell r="FT39">
            <v>1.2102102102102119</v>
          </cell>
          <cell r="FU39">
            <v>1.2102102102102119</v>
          </cell>
        </row>
        <row r="40">
          <cell r="A40" t="str">
            <v>peaudeur</v>
          </cell>
          <cell r="B40" t="str">
            <v>AUD/EUR</v>
          </cell>
          <cell r="D40"/>
          <cell r="E40"/>
          <cell r="F40"/>
          <cell r="G40"/>
          <cell r="H40"/>
          <cell r="I40"/>
          <cell r="J40"/>
          <cell r="K40"/>
          <cell r="L40"/>
          <cell r="M40"/>
          <cell r="N40"/>
          <cell r="O40"/>
          <cell r="P40"/>
          <cell r="Q40"/>
          <cell r="R40"/>
          <cell r="S40"/>
          <cell r="T40"/>
          <cell r="U40"/>
          <cell r="V40"/>
          <cell r="W40">
            <v>0.62370000000000003</v>
          </cell>
          <cell r="X40">
            <v>0.67220000000000002</v>
          </cell>
          <cell r="Y40">
            <v>0.66979999999999995</v>
          </cell>
          <cell r="Z40">
            <v>0.64980000000000004</v>
          </cell>
          <cell r="AA40">
            <v>0.59640000000000004</v>
          </cell>
          <cell r="AB40">
            <v>0.62419999999999998</v>
          </cell>
          <cell r="AC40">
            <v>0.57199999999999995</v>
          </cell>
          <cell r="AD40">
            <v>0.5071</v>
          </cell>
          <cell r="AE40">
            <v>0.51849999999999996</v>
          </cell>
          <cell r="AF40">
            <v>0.58850000000000002</v>
          </cell>
          <cell r="AG40">
            <v>0.64419999999999999</v>
          </cell>
          <cell r="AH40">
            <v>0.61060000000000003</v>
          </cell>
          <cell r="AI40">
            <v>0.6502</v>
          </cell>
          <cell r="AJ40">
            <v>0.63600000000000001</v>
          </cell>
          <cell r="AK40">
            <v>0.62580000000000002</v>
          </cell>
          <cell r="AL40">
            <v>0.61439999999999995</v>
          </cell>
          <cell r="AM40">
            <v>0.59309999999999996</v>
          </cell>
          <cell r="AN40">
            <v>0.55330000000000001</v>
          </cell>
          <cell r="AO40">
            <v>0.60189999999999999</v>
          </cell>
          <cell r="AP40">
            <v>0.53990000000000005</v>
          </cell>
          <cell r="AQ40">
            <v>0.5716</v>
          </cell>
          <cell r="AR40">
            <v>0.61180000000000001</v>
          </cell>
          <cell r="AS40">
            <v>0.56830000000000003</v>
          </cell>
          <cell r="AT40">
            <v>0.54959999999999998</v>
          </cell>
          <cell r="AU40">
            <v>0.5353</v>
          </cell>
          <cell r="AV40">
            <v>0.55359999999999998</v>
          </cell>
          <cell r="AW40">
            <v>0.5857</v>
          </cell>
          <cell r="AX40">
            <v>0.58450000000000002</v>
          </cell>
          <cell r="AY40">
            <v>0.59740000000000004</v>
          </cell>
          <cell r="AZ40">
            <v>0.62250000000000005</v>
          </cell>
          <cell r="BA40">
            <v>0.57289999999999996</v>
          </cell>
          <cell r="BB40">
            <v>0.58540000000000003</v>
          </cell>
          <cell r="BC40">
            <v>0.5765849955333322</v>
          </cell>
          <cell r="BD40">
            <v>0.59633855806730685</v>
          </cell>
          <cell r="BE40">
            <v>0.62964368411584326</v>
          </cell>
          <cell r="BF40">
            <v>0.63371368617271795</v>
          </cell>
          <cell r="BG40">
            <v>0.61990000000000012</v>
          </cell>
          <cell r="BH40">
            <v>0.59129999999999994</v>
          </cell>
          <cell r="BI40">
            <v>0.58119999999999994</v>
          </cell>
          <cell r="BJ40">
            <v>0.58860000000000001</v>
          </cell>
          <cell r="BK40">
            <v>0.59719999999999995</v>
          </cell>
          <cell r="BL40">
            <v>0.60549999999999993</v>
          </cell>
          <cell r="BM40">
            <v>0.62729999999999997</v>
          </cell>
          <cell r="BN40">
            <v>0.62230000000000008</v>
          </cell>
          <cell r="BO40">
            <v>0.60000000000000009</v>
          </cell>
          <cell r="BP40">
            <v>0.57905000000000006</v>
          </cell>
          <cell r="BQ40">
            <v>0.60860000000000003</v>
          </cell>
          <cell r="BR40">
            <v>0.5616000000000001</v>
          </cell>
          <cell r="BS40">
            <v>0.50279999999999991</v>
          </cell>
          <cell r="BT40">
            <v>0.52200000000000002</v>
          </cell>
          <cell r="BU40">
            <v>0.57450000000000001</v>
          </cell>
          <cell r="BV40">
            <v>0.6028</v>
          </cell>
          <cell r="BW40">
            <v>0.62620000000000009</v>
          </cell>
          <cell r="BX40">
            <v>0.67910000000000004</v>
          </cell>
          <cell r="BY40">
            <v>0.68720000000000003</v>
          </cell>
          <cell r="BZ40">
            <v>0.70940000000000003</v>
          </cell>
          <cell r="CA40">
            <v>0.76439999999999997</v>
          </cell>
          <cell r="CB40">
            <v>0.72940000000000005</v>
          </cell>
          <cell r="CC40">
            <v>0.73930000000000007</v>
          </cell>
          <cell r="CD40">
            <v>0.72160000000000002</v>
          </cell>
          <cell r="CE40">
            <v>0.78930000000000011</v>
          </cell>
          <cell r="CF40">
            <v>0.77625000000000011</v>
          </cell>
          <cell r="CG40">
            <v>0.80980000000000008</v>
          </cell>
          <cell r="CH40">
            <v>0.80754999999999999</v>
          </cell>
          <cell r="CI40">
            <v>0.78775000000000006</v>
          </cell>
          <cell r="CJ40">
            <v>0.81269999999999998</v>
          </cell>
          <cell r="CK40">
            <v>0.70220000000000005</v>
          </cell>
          <cell r="CL40">
            <v>0.68955000000000011</v>
          </cell>
          <cell r="CM40">
            <v>0.64880000000000004</v>
          </cell>
          <cell r="CN40">
            <v>0.67280000000000006</v>
          </cell>
          <cell r="CO40">
            <v>0.68890000000000007</v>
          </cell>
          <cell r="CP40">
            <v>0.69270000000000009</v>
          </cell>
          <cell r="CQ40">
            <v>0.67510000000000003</v>
          </cell>
          <cell r="CR40">
            <v>0.70840000000000003</v>
          </cell>
          <cell r="CS40">
            <v>0.69209999999999994</v>
          </cell>
          <cell r="CT40">
            <v>0.62790000000000001</v>
          </cell>
          <cell r="CU40">
            <v>0.67149999999999999</v>
          </cell>
          <cell r="CV40">
            <v>0.67300000000000004</v>
          </cell>
          <cell r="CW40">
            <v>0.67125000000000001</v>
          </cell>
          <cell r="CX40">
            <v>0.68140000000000001</v>
          </cell>
          <cell r="CY40">
            <v>0.68470000000000009</v>
          </cell>
          <cell r="CZ40">
            <v>0.71575</v>
          </cell>
          <cell r="DA40">
            <v>0.67320000000000002</v>
          </cell>
          <cell r="DB40">
            <v>0.6633</v>
          </cell>
          <cell r="DC40">
            <v>0.6500999999999999</v>
          </cell>
          <cell r="DD40">
            <v>0.62314999999999998</v>
          </cell>
          <cell r="DE40">
            <v>0.63385000000000002</v>
          </cell>
          <cell r="DF40">
            <v>0.62204999999999999</v>
          </cell>
          <cell r="DG40">
            <v>0.61509999999999998</v>
          </cell>
          <cell r="DH40">
            <v>0.63270000000000004</v>
          </cell>
          <cell r="DI40">
            <v>0.61765000000000003</v>
          </cell>
          <cell r="DJ40">
            <v>0.61924999999999997</v>
          </cell>
          <cell r="DK40">
            <v>0.62575000000000003</v>
          </cell>
          <cell r="DL40">
            <v>0.55639499999999997</v>
          </cell>
          <cell r="DM40">
            <v>0.61461999999999994</v>
          </cell>
          <cell r="DN40">
            <v>0.61126000000000003</v>
          </cell>
          <cell r="DO40">
            <v>0.62980000000000003</v>
          </cell>
          <cell r="DP40">
            <v>0.64749999999999996</v>
          </cell>
          <cell r="DQ40">
            <v>0.63229999999999997</v>
          </cell>
          <cell r="DR40">
            <v>0.62439999999999996</v>
          </cell>
          <cell r="DS40">
            <v>0.63934000000000002</v>
          </cell>
          <cell r="DT40">
            <v>0.67630000000000001</v>
          </cell>
          <cell r="DU40">
            <v>0.65869999999999995</v>
          </cell>
          <cell r="DV40">
            <v>0.65288999999999997</v>
          </cell>
          <cell r="DW40">
            <v>0.63680000000000003</v>
          </cell>
          <cell r="DX40">
            <v>0.61660000000000004</v>
          </cell>
          <cell r="DY40">
            <v>0.61070000000000002</v>
          </cell>
          <cell r="DZ40">
            <v>0.60853000000000002</v>
          </cell>
          <cell r="EA40">
            <v>0.61714000000000002</v>
          </cell>
          <cell r="EB40">
            <v>0.60350000000000004</v>
          </cell>
          <cell r="EC40">
            <v>0.62260000000000004</v>
          </cell>
          <cell r="ED40">
            <v>0.62090000000000001</v>
          </cell>
          <cell r="EE40">
            <v>0.59771255405562906</v>
          </cell>
          <cell r="EF40">
            <v>0.57760565129369223</v>
          </cell>
          <cell r="EG40">
            <v>0.55828183183434665</v>
          </cell>
          <cell r="EH40">
            <v>0.56361843032267156</v>
          </cell>
          <cell r="EI40">
            <v>0.55833333333333335</v>
          </cell>
          <cell r="EJ40">
            <v>0.55102040816326547</v>
          </cell>
          <cell r="EK40">
            <v>0.54400000000000004</v>
          </cell>
          <cell r="EL40">
            <v>0.53200000000000003</v>
          </cell>
          <cell r="EM40">
            <v>0.52</v>
          </cell>
          <cell r="EN40">
            <v>0.52600000000000002</v>
          </cell>
          <cell r="EO40">
            <v>0.53199999999999981</v>
          </cell>
          <cell r="EP40">
            <v>0.5379999999999997</v>
          </cell>
          <cell r="EQ40">
            <v>0.54400000000000004</v>
          </cell>
          <cell r="ER40">
            <v>0.54999999999999993</v>
          </cell>
          <cell r="ES40">
            <v>0.55599999999999983</v>
          </cell>
          <cell r="ET40">
            <v>0.56199999999999961</v>
          </cell>
          <cell r="EU40">
            <v>0.56799999999999995</v>
          </cell>
          <cell r="EV40">
            <v>0.5799196787148595</v>
          </cell>
          <cell r="EW40">
            <v>0.59193548387096784</v>
          </cell>
          <cell r="EX40">
            <v>0.60404858299595154</v>
          </cell>
          <cell r="EY40">
            <v>0.6162601626016263</v>
          </cell>
          <cell r="EZ40">
            <v>0.62857142857142889</v>
          </cell>
          <cell r="FA40">
            <v>0.64098360655737741</v>
          </cell>
          <cell r="FB40">
            <v>0.65349794238683179</v>
          </cell>
          <cell r="FC40">
            <v>0.66611570247933938</v>
          </cell>
          <cell r="FD40">
            <v>0.66611570247933938</v>
          </cell>
          <cell r="FE40">
            <v>0.66611570247933938</v>
          </cell>
          <cell r="FF40">
            <v>0.66611570247933938</v>
          </cell>
          <cell r="FG40">
            <v>0.66611570247933938</v>
          </cell>
          <cell r="FH40">
            <v>0.66611570247933938</v>
          </cell>
          <cell r="FI40">
            <v>0.66611570247933938</v>
          </cell>
          <cell r="FJ40">
            <v>0.66611570247933938</v>
          </cell>
          <cell r="FK40">
            <v>0.66611570247933938</v>
          </cell>
          <cell r="FL40">
            <v>0.66611570247933938</v>
          </cell>
          <cell r="FM40">
            <v>0.66611570247933938</v>
          </cell>
          <cell r="FN40">
            <v>0.66611570247933938</v>
          </cell>
          <cell r="FO40">
            <v>0.66611570247933938</v>
          </cell>
          <cell r="FP40">
            <v>0.66611570247933938</v>
          </cell>
          <cell r="FQ40">
            <v>0.66611570247933938</v>
          </cell>
          <cell r="FR40">
            <v>0.66611570247933938</v>
          </cell>
          <cell r="FS40">
            <v>0.66611570247933938</v>
          </cell>
          <cell r="FT40">
            <v>0.66611570247933938</v>
          </cell>
          <cell r="FU40">
            <v>0.66611570247933938</v>
          </cell>
        </row>
        <row r="41">
          <cell r="A41" t="str">
            <v>peaudkrw</v>
          </cell>
          <cell r="B41" t="str">
            <v>AUD/KRW</v>
          </cell>
          <cell r="C41"/>
          <cell r="D41"/>
          <cell r="E41"/>
          <cell r="F41"/>
          <cell r="G41"/>
          <cell r="H41"/>
          <cell r="I41"/>
          <cell r="J41"/>
          <cell r="K41"/>
          <cell r="L41"/>
          <cell r="M41"/>
          <cell r="N41"/>
          <cell r="O41"/>
          <cell r="P41"/>
          <cell r="Q41"/>
          <cell r="R41"/>
          <cell r="S41"/>
          <cell r="T41"/>
          <cell r="U41"/>
          <cell r="V41"/>
          <cell r="W41"/>
          <cell r="X41"/>
          <cell r="Y41"/>
          <cell r="Z41"/>
          <cell r="AA41"/>
          <cell r="AB41"/>
          <cell r="AC41"/>
          <cell r="AD41"/>
          <cell r="AE41"/>
          <cell r="AF41"/>
          <cell r="AG41"/>
          <cell r="AH41"/>
          <cell r="AI41"/>
          <cell r="AJ41"/>
          <cell r="AK41"/>
          <cell r="AL41"/>
          <cell r="AM41"/>
          <cell r="AN41"/>
          <cell r="AO41"/>
          <cell r="AP41"/>
          <cell r="AQ41"/>
          <cell r="AR41"/>
          <cell r="AS41"/>
          <cell r="AT41"/>
          <cell r="AU41"/>
          <cell r="AV41"/>
          <cell r="AW41"/>
          <cell r="AX41"/>
          <cell r="AY41"/>
          <cell r="AZ41"/>
          <cell r="BA41"/>
          <cell r="BB41"/>
          <cell r="BC41"/>
          <cell r="BD41"/>
          <cell r="BE41"/>
          <cell r="BF41"/>
          <cell r="BG41"/>
          <cell r="BH41">
            <v>696.60175000000004</v>
          </cell>
          <cell r="BI41">
            <v>706.84545000000003</v>
          </cell>
          <cell r="BJ41">
            <v>706.46199999999999</v>
          </cell>
          <cell r="BK41">
            <v>733.07389999999998</v>
          </cell>
          <cell r="BL41">
            <v>761.09401000000003</v>
          </cell>
          <cell r="BM41">
            <v>784.71819000000005</v>
          </cell>
          <cell r="BN41">
            <v>812.51455999999996</v>
          </cell>
          <cell r="BO41">
            <v>819.27472</v>
          </cell>
          <cell r="BP41">
            <v>904.21</v>
          </cell>
          <cell r="BQ41">
            <v>1003.07</v>
          </cell>
          <cell r="BR41">
            <v>955.27</v>
          </cell>
          <cell r="BS41">
            <v>885.36</v>
          </cell>
          <cell r="BT41">
            <v>950.01</v>
          </cell>
          <cell r="BU41">
            <v>1027.8900000000001</v>
          </cell>
          <cell r="BV41">
            <v>1037.67</v>
          </cell>
          <cell r="BW41">
            <v>1045.32</v>
          </cell>
          <cell r="BX41">
            <v>1040.1200000000001</v>
          </cell>
          <cell r="BY41">
            <v>1029.1100000000001</v>
          </cell>
          <cell r="BZ41">
            <v>1102.75</v>
          </cell>
          <cell r="CA41">
            <v>1146.1200000000001</v>
          </cell>
          <cell r="CB41">
            <v>1133.04</v>
          </cell>
          <cell r="CC41">
            <v>1143.6500000000001</v>
          </cell>
          <cell r="CD41">
            <v>1141.42</v>
          </cell>
          <cell r="CE41">
            <v>1183.76</v>
          </cell>
          <cell r="CF41">
            <v>1173.05</v>
          </cell>
          <cell r="CG41">
            <v>1173.9100000000001</v>
          </cell>
          <cell r="CH41">
            <v>1153.6600000000001</v>
          </cell>
          <cell r="CI41">
            <v>1105.79</v>
          </cell>
          <cell r="CJ41">
            <v>1156.9000000000001</v>
          </cell>
          <cell r="CK41">
            <v>1043.6100000000001</v>
          </cell>
          <cell r="CL41">
            <v>1004.02</v>
          </cell>
          <cell r="CM41">
            <v>942.69</v>
          </cell>
          <cell r="CN41">
            <v>985.55000000000007</v>
          </cell>
          <cell r="CO41">
            <v>954.55000000000007</v>
          </cell>
          <cell r="CP41">
            <v>926.44</v>
          </cell>
          <cell r="CQ41">
            <v>891.9</v>
          </cell>
          <cell r="CR41">
            <v>843.49</v>
          </cell>
          <cell r="CS41">
            <v>861.86</v>
          </cell>
          <cell r="CT41">
            <v>831.52</v>
          </cell>
          <cell r="CU41">
            <v>857.49</v>
          </cell>
          <cell r="CV41">
            <v>873.15</v>
          </cell>
          <cell r="CW41">
            <v>858.69</v>
          </cell>
          <cell r="CX41">
            <v>841.48</v>
          </cell>
          <cell r="CY41">
            <v>869.26</v>
          </cell>
          <cell r="CZ41">
            <v>852.16</v>
          </cell>
          <cell r="DA41">
            <v>879.84</v>
          </cell>
          <cell r="DB41">
            <v>896.7</v>
          </cell>
          <cell r="DC41">
            <v>832.08</v>
          </cell>
          <cell r="DD41">
            <v>814.21</v>
          </cell>
          <cell r="DE41">
            <v>824.89</v>
          </cell>
          <cell r="DF41">
            <v>800.6</v>
          </cell>
          <cell r="DG41">
            <v>784.77</v>
          </cell>
          <cell r="DH41">
            <v>806.59</v>
          </cell>
          <cell r="DI41">
            <v>812</v>
          </cell>
          <cell r="DJ41">
            <v>808.71</v>
          </cell>
          <cell r="DK41">
            <v>809.77</v>
          </cell>
          <cell r="DL41">
            <v>748.19</v>
          </cell>
          <cell r="DM41">
            <v>828.69</v>
          </cell>
          <cell r="DN41">
            <v>834.76</v>
          </cell>
          <cell r="DO41">
            <v>834.74</v>
          </cell>
          <cell r="DP41">
            <v>856.69309999999996</v>
          </cell>
          <cell r="DQ41">
            <v>847.84400000000005</v>
          </cell>
          <cell r="DR41">
            <v>856.58069999999998</v>
          </cell>
          <cell r="DS41">
            <v>864.17809999999997</v>
          </cell>
          <cell r="DT41">
            <v>909.10929999999996</v>
          </cell>
          <cell r="DU41">
            <v>889.3605</v>
          </cell>
          <cell r="DV41">
            <v>922.4556</v>
          </cell>
          <cell r="DW41">
            <v>858.94330000000002</v>
          </cell>
          <cell r="DX41">
            <v>873.38610000000006</v>
          </cell>
          <cell r="DY41">
            <v>877.01859999999999</v>
          </cell>
          <cell r="DZ41">
            <v>869.74429999999995</v>
          </cell>
          <cell r="EA41">
            <v>881.66840000000002</v>
          </cell>
          <cell r="EB41">
            <v>876.94410000000005</v>
          </cell>
          <cell r="EC41">
            <v>921.27700000000004</v>
          </cell>
          <cell r="ED41">
            <v>911.86300000000006</v>
          </cell>
          <cell r="EE41">
            <v>914.59400000000005</v>
          </cell>
          <cell r="EF41">
            <v>920.21</v>
          </cell>
          <cell r="EG41">
            <v>890.14599999999996</v>
          </cell>
          <cell r="EH41">
            <v>928.70299999999997</v>
          </cell>
          <cell r="EI41">
            <v>897.80000000000007</v>
          </cell>
          <cell r="EJ41">
            <v>894.37500000000023</v>
          </cell>
          <cell r="EK41">
            <v>890.80000000000007</v>
          </cell>
          <cell r="EL41">
            <v>864.50000000000023</v>
          </cell>
          <cell r="EM41">
            <v>838.5</v>
          </cell>
          <cell r="EN41">
            <v>844.88749999999982</v>
          </cell>
          <cell r="EO41">
            <v>851.19999999999948</v>
          </cell>
          <cell r="EP41">
            <v>857.43749999999909</v>
          </cell>
          <cell r="EQ41">
            <v>863.6</v>
          </cell>
          <cell r="ER41">
            <v>869.68749999999966</v>
          </cell>
          <cell r="ES41">
            <v>875.69999999999936</v>
          </cell>
          <cell r="ET41">
            <v>881.63749999999902</v>
          </cell>
          <cell r="EU41">
            <v>887.5</v>
          </cell>
          <cell r="EV41">
            <v>897.51820000000009</v>
          </cell>
          <cell r="EW41">
            <v>907.37080000000014</v>
          </cell>
          <cell r="EX41">
            <v>917.05780000000027</v>
          </cell>
          <cell r="EY41">
            <v>926.57920000000047</v>
          </cell>
          <cell r="EZ41">
            <v>935.93500000000051</v>
          </cell>
          <cell r="FA41">
            <v>945.12520000000063</v>
          </cell>
          <cell r="FB41">
            <v>954.14980000000082</v>
          </cell>
          <cell r="FC41">
            <v>963.00880000000097</v>
          </cell>
          <cell r="FD41">
            <v>963.00880000000097</v>
          </cell>
          <cell r="FE41">
            <v>963.00880000000097</v>
          </cell>
          <cell r="FF41">
            <v>963.00880000000097</v>
          </cell>
          <cell r="FG41">
            <v>963.00880000000097</v>
          </cell>
          <cell r="FH41">
            <v>963.00880000000097</v>
          </cell>
          <cell r="FI41">
            <v>963.00880000000097</v>
          </cell>
          <cell r="FJ41">
            <v>963.00880000000097</v>
          </cell>
          <cell r="FK41">
            <v>963.00880000000097</v>
          </cell>
          <cell r="FL41">
            <v>963.00880000000097</v>
          </cell>
          <cell r="FM41">
            <v>963.00880000000097</v>
          </cell>
          <cell r="FN41">
            <v>963.00880000000097</v>
          </cell>
          <cell r="FO41">
            <v>963.00880000000097</v>
          </cell>
          <cell r="FP41">
            <v>963.00880000000097</v>
          </cell>
          <cell r="FQ41">
            <v>963.00880000000097</v>
          </cell>
          <cell r="FR41">
            <v>963.00880000000097</v>
          </cell>
          <cell r="FS41">
            <v>963.00880000000097</v>
          </cell>
          <cell r="FT41">
            <v>963.00880000000097</v>
          </cell>
          <cell r="FU41">
            <v>963.00880000000097</v>
          </cell>
        </row>
        <row r="42">
          <cell r="D42"/>
          <cell r="E42"/>
          <cell r="F42"/>
          <cell r="G42"/>
          <cell r="H42"/>
          <cell r="I42"/>
          <cell r="J42"/>
          <cell r="K42"/>
          <cell r="L42"/>
          <cell r="M42"/>
          <cell r="N42"/>
          <cell r="O42"/>
          <cell r="P42"/>
          <cell r="Q42"/>
          <cell r="R42"/>
          <cell r="S42"/>
          <cell r="T42"/>
          <cell r="U42"/>
          <cell r="V42"/>
          <cell r="W42"/>
          <cell r="X42"/>
          <cell r="Y42"/>
          <cell r="Z42"/>
          <cell r="AA42"/>
          <cell r="AB42"/>
          <cell r="AC42"/>
          <cell r="AD42"/>
          <cell r="AE42"/>
          <cell r="AF42"/>
          <cell r="AG42"/>
          <cell r="AH42"/>
          <cell r="AI42"/>
          <cell r="AJ42"/>
          <cell r="AK42"/>
          <cell r="AL42"/>
          <cell r="AM42"/>
          <cell r="AN42"/>
          <cell r="AO42"/>
          <cell r="AP42"/>
          <cell r="AQ42"/>
          <cell r="AR42"/>
          <cell r="AS42"/>
          <cell r="AT42"/>
          <cell r="AU42"/>
          <cell r="AV42"/>
          <cell r="AW42"/>
          <cell r="AX42"/>
          <cell r="AY42"/>
          <cell r="AZ42"/>
          <cell r="BA42"/>
          <cell r="BB42"/>
          <cell r="BC42"/>
          <cell r="BD42"/>
          <cell r="BE42"/>
          <cell r="BF42"/>
          <cell r="BG42"/>
          <cell r="BH42"/>
          <cell r="BI42"/>
          <cell r="BJ42"/>
          <cell r="BK42"/>
          <cell r="BL42"/>
          <cell r="BM42"/>
          <cell r="BN42"/>
          <cell r="BO42"/>
          <cell r="BP42"/>
          <cell r="BQ42"/>
          <cell r="BR42"/>
          <cell r="BS42"/>
          <cell r="BT42"/>
          <cell r="BU42"/>
          <cell r="BV42"/>
          <cell r="BW42"/>
          <cell r="BX42"/>
          <cell r="BY42"/>
          <cell r="BZ42"/>
          <cell r="CA42"/>
          <cell r="CB42"/>
          <cell r="CC42"/>
          <cell r="CD42"/>
          <cell r="CE42"/>
          <cell r="CF42"/>
          <cell r="CG42"/>
          <cell r="CH42"/>
          <cell r="CI42"/>
          <cell r="CJ42"/>
          <cell r="CK42"/>
          <cell r="CL42"/>
          <cell r="CM42"/>
          <cell r="CN42"/>
          <cell r="CO42"/>
          <cell r="CP42"/>
          <cell r="CQ42"/>
          <cell r="CR42"/>
          <cell r="CS42"/>
          <cell r="CT42"/>
          <cell r="CU42"/>
          <cell r="CV42"/>
          <cell r="CW42"/>
          <cell r="CX42"/>
          <cell r="CY42"/>
          <cell r="CZ42"/>
          <cell r="DA42"/>
          <cell r="DB42"/>
          <cell r="DC42"/>
          <cell r="DD42"/>
          <cell r="DE42"/>
          <cell r="DF42"/>
          <cell r="DG42"/>
          <cell r="DH42"/>
          <cell r="DI42"/>
          <cell r="DJ42"/>
          <cell r="DK42"/>
          <cell r="DL42"/>
          <cell r="DM42"/>
          <cell r="DN42"/>
          <cell r="DO42"/>
          <cell r="DP42"/>
          <cell r="DQ42"/>
          <cell r="DR42"/>
          <cell r="DS42"/>
          <cell r="DT42"/>
          <cell r="DU42"/>
          <cell r="DV42"/>
          <cell r="DW42"/>
          <cell r="DX42"/>
          <cell r="DY42"/>
          <cell r="DZ42"/>
          <cell r="EA42"/>
          <cell r="EB42"/>
          <cell r="EC42"/>
          <cell r="ED42"/>
          <cell r="EE42"/>
          <cell r="EG42"/>
          <cell r="EH42"/>
        </row>
        <row r="43">
          <cell r="B43" t="str">
            <v>Average exchange rates (6mo)</v>
          </cell>
          <cell r="C43"/>
          <cell r="D43"/>
          <cell r="E43"/>
          <cell r="F43"/>
          <cell r="G43"/>
          <cell r="H43"/>
          <cell r="I43"/>
          <cell r="J43"/>
          <cell r="K43"/>
          <cell r="L43"/>
          <cell r="M43"/>
          <cell r="N43"/>
          <cell r="O43"/>
          <cell r="P43"/>
          <cell r="Q43"/>
          <cell r="R43"/>
          <cell r="S43"/>
          <cell r="T43"/>
          <cell r="U43"/>
          <cell r="V43"/>
          <cell r="W43"/>
          <cell r="X43"/>
          <cell r="Y43"/>
          <cell r="Z43"/>
          <cell r="AA43"/>
          <cell r="AB43"/>
          <cell r="AC43"/>
          <cell r="AD43"/>
          <cell r="AE43"/>
          <cell r="AF43"/>
          <cell r="AG43"/>
          <cell r="AH43"/>
          <cell r="AI43"/>
          <cell r="AJ43"/>
          <cell r="AK43"/>
          <cell r="AL43"/>
          <cell r="AM43"/>
          <cell r="AN43"/>
          <cell r="AO43"/>
          <cell r="AP43"/>
          <cell r="AQ43"/>
          <cell r="AR43"/>
          <cell r="AS43"/>
          <cell r="AT43"/>
          <cell r="AU43"/>
          <cell r="AV43"/>
          <cell r="AW43"/>
          <cell r="AX43"/>
          <cell r="AY43"/>
          <cell r="AZ43"/>
          <cell r="BA43"/>
          <cell r="BB43"/>
          <cell r="BC43"/>
          <cell r="BD43"/>
          <cell r="BE43"/>
          <cell r="BF43"/>
          <cell r="BG43"/>
          <cell r="BH43"/>
          <cell r="BI43"/>
          <cell r="BJ43"/>
          <cell r="BK43"/>
          <cell r="BL43"/>
          <cell r="BM43"/>
          <cell r="BN43"/>
          <cell r="BO43"/>
          <cell r="BP43"/>
          <cell r="BQ43"/>
          <cell r="BR43"/>
          <cell r="BS43"/>
          <cell r="BT43"/>
          <cell r="BU43"/>
          <cell r="BV43"/>
          <cell r="BW43"/>
          <cell r="BX43"/>
          <cell r="BY43"/>
          <cell r="BZ43"/>
          <cell r="CA43"/>
          <cell r="CB43"/>
          <cell r="CC43"/>
          <cell r="CD43"/>
          <cell r="CE43"/>
          <cell r="CF43"/>
          <cell r="CG43"/>
          <cell r="CH43"/>
          <cell r="CI43"/>
          <cell r="CJ43"/>
          <cell r="CK43"/>
          <cell r="CL43"/>
          <cell r="CM43"/>
          <cell r="CN43"/>
          <cell r="CO43"/>
          <cell r="CP43"/>
          <cell r="CQ43"/>
          <cell r="CR43"/>
          <cell r="CS43"/>
          <cell r="CT43"/>
          <cell r="CU43"/>
          <cell r="CV43"/>
          <cell r="CW43"/>
          <cell r="CX43"/>
          <cell r="CY43"/>
          <cell r="CZ43"/>
          <cell r="DA43"/>
          <cell r="DB43"/>
          <cell r="DC43"/>
          <cell r="DD43"/>
          <cell r="DE43"/>
          <cell r="DF43"/>
          <cell r="DG43"/>
          <cell r="DH43"/>
          <cell r="DI43"/>
          <cell r="DJ43"/>
          <cell r="DK43"/>
          <cell r="DL43"/>
          <cell r="DM43"/>
          <cell r="DN43"/>
          <cell r="DO43"/>
          <cell r="DP43"/>
          <cell r="DQ43"/>
          <cell r="DR43"/>
          <cell r="DS43"/>
          <cell r="DT43"/>
          <cell r="DU43"/>
          <cell r="DV43"/>
          <cell r="DW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row>
        <row r="44">
          <cell r="A44" t="str">
            <v>avaudgbp6m</v>
          </cell>
          <cell r="B44" t="str">
            <v>AUD/GBP</v>
          </cell>
          <cell r="D44">
            <v>0.43013333333333331</v>
          </cell>
          <cell r="E44">
            <v>0.42045000000000005</v>
          </cell>
          <cell r="F44">
            <v>0.39601666666666668</v>
          </cell>
          <cell r="G44">
            <v>0.41606666666666658</v>
          </cell>
          <cell r="H44">
            <v>0.46021666666666666</v>
          </cell>
          <cell r="I44">
            <v>0.45633333333333331</v>
          </cell>
          <cell r="J44">
            <v>0.44600000000000001</v>
          </cell>
          <cell r="K44">
            <v>0.45011666666666666</v>
          </cell>
          <cell r="L44">
            <v>0.46278333333333332</v>
          </cell>
          <cell r="M44">
            <v>0.47554999999999997</v>
          </cell>
          <cell r="N44">
            <v>0.47700000000000004</v>
          </cell>
          <cell r="O44">
            <v>0.47875000000000001</v>
          </cell>
          <cell r="P44">
            <v>0.47310000000000002</v>
          </cell>
          <cell r="Q44">
            <v>0.45770000000000005</v>
          </cell>
          <cell r="R44">
            <v>0.4620333333333333</v>
          </cell>
          <cell r="S44">
            <v>0.47816666666666663</v>
          </cell>
          <cell r="T44">
            <v>0.49140000000000006</v>
          </cell>
          <cell r="U44">
            <v>0.50803333333333334</v>
          </cell>
          <cell r="V44">
            <v>0.50881666666666658</v>
          </cell>
          <cell r="W44">
            <v>0.49053333333333327</v>
          </cell>
          <cell r="X44">
            <v>0.47793333333333332</v>
          </cell>
          <cell r="Y44">
            <v>0.47160000000000002</v>
          </cell>
          <cell r="Z44">
            <v>0.45855000000000001</v>
          </cell>
          <cell r="AA44">
            <v>0.42860000000000004</v>
          </cell>
          <cell r="AB44">
            <v>0.40736666666666665</v>
          </cell>
          <cell r="AC44">
            <v>0.39460000000000001</v>
          </cell>
          <cell r="AD44">
            <v>0.36625000000000002</v>
          </cell>
          <cell r="AE44">
            <v>0.36309999999999998</v>
          </cell>
          <cell r="AF44">
            <v>0.38068333333333343</v>
          </cell>
          <cell r="AG44">
            <v>0.40028333333333332</v>
          </cell>
          <cell r="AH44">
            <v>0.40589999999999998</v>
          </cell>
          <cell r="AI44">
            <v>0.39813333333333328</v>
          </cell>
          <cell r="AJ44">
            <v>0.39306666666666668</v>
          </cell>
          <cell r="AK44">
            <v>0.38626666666666676</v>
          </cell>
          <cell r="AL44">
            <v>0.38423333333333337</v>
          </cell>
          <cell r="AM44">
            <v>0.3762166666666667</v>
          </cell>
          <cell r="AN44">
            <v>0.36446666666666666</v>
          </cell>
          <cell r="AO44">
            <v>0.35986666666666672</v>
          </cell>
          <cell r="AP44">
            <v>0.3553</v>
          </cell>
          <cell r="AQ44">
            <v>0.35293333333333338</v>
          </cell>
          <cell r="AR44">
            <v>0.36024999999999996</v>
          </cell>
          <cell r="AS44">
            <v>0.37103333333333333</v>
          </cell>
          <cell r="AT44">
            <v>0.36246666666666666</v>
          </cell>
          <cell r="AU44">
            <v>0.35183333333333328</v>
          </cell>
          <cell r="AV44">
            <v>0.3646833333333333</v>
          </cell>
          <cell r="AW44">
            <v>0.3873166666666667</v>
          </cell>
          <cell r="AX44">
            <v>0.40351666666666669</v>
          </cell>
          <cell r="AY44">
            <v>0.41371666666666668</v>
          </cell>
          <cell r="AZ44">
            <v>0.41794999999999999</v>
          </cell>
          <cell r="BA44">
            <v>0.40460000000000002</v>
          </cell>
          <cell r="BB44">
            <v>0.39306666666666668</v>
          </cell>
          <cell r="BC44">
            <v>0.39970127992742915</v>
          </cell>
          <cell r="BD44">
            <v>0.40873496357119143</v>
          </cell>
          <cell r="BE44">
            <v>0.41397928541599532</v>
          </cell>
          <cell r="BF44">
            <v>0.42197566743199477</v>
          </cell>
          <cell r="BG44">
            <v>0.42607173232642831</v>
          </cell>
          <cell r="BH44">
            <v>0.42287500000000006</v>
          </cell>
          <cell r="BI44">
            <v>0.41375000000000006</v>
          </cell>
          <cell r="BJ44">
            <v>0.40504999999999997</v>
          </cell>
          <cell r="BK44">
            <v>0.40313333333333329</v>
          </cell>
          <cell r="BL44">
            <v>0.40276666666666672</v>
          </cell>
          <cell r="BM44">
            <v>0.41059166666666669</v>
          </cell>
          <cell r="BN44">
            <v>0.41915000000000008</v>
          </cell>
          <cell r="BO44">
            <v>0.42968333333333336</v>
          </cell>
          <cell r="BP44">
            <v>0.44974166666666671</v>
          </cell>
          <cell r="BQ44">
            <v>0.46956666666666674</v>
          </cell>
          <cell r="BR44">
            <v>0.47146666666666665</v>
          </cell>
          <cell r="BS44">
            <v>0.45171666666666671</v>
          </cell>
          <cell r="BT44">
            <v>0.44776666666666665</v>
          </cell>
          <cell r="BU44">
            <v>0.47376666666666667</v>
          </cell>
          <cell r="BV44">
            <v>0.50773333333333337</v>
          </cell>
          <cell r="BW44">
            <v>0.53836666666666666</v>
          </cell>
          <cell r="BX44">
            <v>0.56736666666666669</v>
          </cell>
          <cell r="BY44">
            <v>0.58238333333333336</v>
          </cell>
          <cell r="BZ44">
            <v>0.58693333333333342</v>
          </cell>
          <cell r="CA44">
            <v>0.60946666666666671</v>
          </cell>
          <cell r="CB44">
            <v>0.62970000000000004</v>
          </cell>
          <cell r="CC44">
            <v>0.64436666666666664</v>
          </cell>
          <cell r="CD44">
            <v>0.65368333333333339</v>
          </cell>
          <cell r="CE44">
            <v>0.65274166666666666</v>
          </cell>
          <cell r="CF44">
            <v>0.66037500000000005</v>
          </cell>
          <cell r="CG44">
            <v>0.65360833333333324</v>
          </cell>
          <cell r="CH44">
            <v>0.64831666666666665</v>
          </cell>
          <cell r="CI44">
            <v>0.64960000000000007</v>
          </cell>
          <cell r="CJ44">
            <v>0.65846666666666676</v>
          </cell>
          <cell r="CK44">
            <v>0.65252500000000013</v>
          </cell>
          <cell r="CL44">
            <v>0.60670000000000002</v>
          </cell>
          <cell r="CM44">
            <v>0.57101666666666662</v>
          </cell>
          <cell r="CN44">
            <v>0.5512083333333333</v>
          </cell>
          <cell r="CO44">
            <v>0.54669166666666669</v>
          </cell>
          <cell r="CP44">
            <v>0.55169999999999997</v>
          </cell>
          <cell r="CQ44">
            <v>0.54515000000000002</v>
          </cell>
          <cell r="CR44">
            <v>0.52556666666666674</v>
          </cell>
          <cell r="CS44">
            <v>0.50682499999999997</v>
          </cell>
          <cell r="CT44">
            <v>0.48345833333333332</v>
          </cell>
          <cell r="CU44">
            <v>0.47205000000000003</v>
          </cell>
          <cell r="CV44">
            <v>0.49680000000000007</v>
          </cell>
          <cell r="CW44">
            <v>0.52059166666666667</v>
          </cell>
          <cell r="CX44">
            <v>0.55289166666666667</v>
          </cell>
          <cell r="CY44">
            <v>0.58884166666666671</v>
          </cell>
          <cell r="CZ44">
            <v>0.60416666666666663</v>
          </cell>
          <cell r="DA44">
            <v>0.59565833333333329</v>
          </cell>
          <cell r="DB44">
            <v>0.59161666666666657</v>
          </cell>
          <cell r="DC44">
            <v>0.58635000000000004</v>
          </cell>
          <cell r="DD44">
            <v>0.56539166666666663</v>
          </cell>
          <cell r="DE44">
            <v>0.55941666666666656</v>
          </cell>
          <cell r="DF44">
            <v>0.55873333333333319</v>
          </cell>
          <cell r="DG44">
            <v>0.55929166666666663</v>
          </cell>
          <cell r="DH44">
            <v>0.55251666666666666</v>
          </cell>
          <cell r="DI44">
            <v>0.54626666666666668</v>
          </cell>
          <cell r="DJ44">
            <v>0.55148333333333333</v>
          </cell>
          <cell r="DK44">
            <v>0.54169999999999996</v>
          </cell>
          <cell r="DL44">
            <v>0.51550499999999999</v>
          </cell>
          <cell r="DM44">
            <v>0.52044000000000012</v>
          </cell>
          <cell r="DN44">
            <v>0.54434833333333332</v>
          </cell>
          <cell r="DO44">
            <v>0.55150333333333323</v>
          </cell>
          <cell r="DP44">
            <v>0.55310666666666675</v>
          </cell>
          <cell r="DQ44">
            <v>0.55104750000000002</v>
          </cell>
          <cell r="DR44">
            <v>0.54023083333333333</v>
          </cell>
          <cell r="DS44">
            <v>0.53651666666666664</v>
          </cell>
          <cell r="DT44">
            <v>0.54311516000000004</v>
          </cell>
          <cell r="DU44">
            <v>0.55569513166666662</v>
          </cell>
          <cell r="DV44">
            <v>0.57232997166666666</v>
          </cell>
          <cell r="DW44">
            <v>0.57008647999999995</v>
          </cell>
          <cell r="DX44">
            <v>0.55977064666666676</v>
          </cell>
          <cell r="DY44">
            <v>0.54135583333333337</v>
          </cell>
          <cell r="DZ44">
            <v>0.52269397833333331</v>
          </cell>
          <cell r="EA44">
            <v>0.52366564500000001</v>
          </cell>
          <cell r="EB44">
            <v>0.5213241666666667</v>
          </cell>
          <cell r="EC44">
            <v>0.51933930389027638</v>
          </cell>
          <cell r="ED44">
            <v>0.51813936259768389</v>
          </cell>
          <cell r="EE44">
            <v>0.50953183593891371</v>
          </cell>
          <cell r="EF44">
            <v>0.49908289931746297</v>
          </cell>
          <cell r="EG44">
            <v>0.48596063161291175</v>
          </cell>
          <cell r="EH44">
            <v>0.48330326825596615</v>
          </cell>
          <cell r="EI44">
            <v>0.48522343793533174</v>
          </cell>
          <cell r="EJ44">
            <v>0.47696177062374256</v>
          </cell>
          <cell r="EK44">
            <v>0.4737871674491394</v>
          </cell>
          <cell r="EL44">
            <v>0.47361111111111109</v>
          </cell>
          <cell r="EM44">
            <v>0.47647058823529409</v>
          </cell>
          <cell r="EN44">
            <v>0.48159051443455608</v>
          </cell>
          <cell r="EO44">
            <v>0.48891622249555822</v>
          </cell>
          <cell r="EP44">
            <v>0.49629629629629618</v>
          </cell>
          <cell r="EQ44">
            <v>0.50373134328358204</v>
          </cell>
          <cell r="ER44">
            <v>0.51074068907797454</v>
          </cell>
          <cell r="ES44">
            <v>0.51730897126255704</v>
          </cell>
          <cell r="ET44">
            <v>0.52390187687529366</v>
          </cell>
          <cell r="EU44">
            <v>0.53051954464021178</v>
          </cell>
          <cell r="EV44">
            <v>0.53998839762037454</v>
          </cell>
          <cell r="EW44">
            <v>0.55237095218029031</v>
          </cell>
          <cell r="EX44">
            <v>0.56490474825241632</v>
          </cell>
          <cell r="EY44">
            <v>0.5775925738030232</v>
          </cell>
          <cell r="EZ44">
            <v>0.59043728574670584</v>
          </cell>
          <cell r="FA44">
            <v>0.60344181209108771</v>
          </cell>
          <cell r="FB44">
            <v>0.61660915416208417</v>
          </cell>
          <cell r="FC44">
            <v>0.62994238891327514</v>
          </cell>
          <cell r="FD44">
            <v>0.6366508688783562</v>
          </cell>
          <cell r="FE44">
            <v>0.6366508688783562</v>
          </cell>
          <cell r="FF44">
            <v>0.6366508688783562</v>
          </cell>
          <cell r="FG44">
            <v>0.6366508688783562</v>
          </cell>
          <cell r="FH44">
            <v>0.6366508688783562</v>
          </cell>
          <cell r="FI44">
            <v>0.6366508688783562</v>
          </cell>
          <cell r="FJ44">
            <v>0.6366508688783562</v>
          </cell>
          <cell r="FK44">
            <v>0.6366508688783562</v>
          </cell>
          <cell r="FL44">
            <v>0.6366508688783562</v>
          </cell>
          <cell r="FM44">
            <v>0.6366508688783562</v>
          </cell>
          <cell r="FN44">
            <v>0.6366508688783562</v>
          </cell>
          <cell r="FO44">
            <v>0.6366508688783562</v>
          </cell>
          <cell r="FP44">
            <v>0.6366508688783562</v>
          </cell>
          <cell r="FQ44">
            <v>0.6366508688783562</v>
          </cell>
          <cell r="FR44">
            <v>0.6366508688783562</v>
          </cell>
          <cell r="FS44">
            <v>0.6366508688783562</v>
          </cell>
          <cell r="FT44">
            <v>0.6366508688783562</v>
          </cell>
          <cell r="FU44">
            <v>0.6366508688783562</v>
          </cell>
        </row>
        <row r="45">
          <cell r="A45" t="str">
            <v>avaudusd6m</v>
          </cell>
          <cell r="B45" t="str">
            <v>AUD/USD</v>
          </cell>
          <cell r="D45">
            <v>0.76591666666666669</v>
          </cell>
          <cell r="E45">
            <v>0.75543333333333329</v>
          </cell>
          <cell r="F45">
            <v>0.73860000000000003</v>
          </cell>
          <cell r="G45">
            <v>0.70606666666666662</v>
          </cell>
          <cell r="H45">
            <v>0.69081666666666663</v>
          </cell>
          <cell r="I45">
            <v>0.68800000000000006</v>
          </cell>
          <cell r="J45">
            <v>0.67613333333333336</v>
          </cell>
          <cell r="K45">
            <v>0.66883333333333328</v>
          </cell>
          <cell r="L45">
            <v>0.68813333333333337</v>
          </cell>
          <cell r="M45">
            <v>0.71724999999999994</v>
          </cell>
          <cell r="N45">
            <v>0.73353333333333337</v>
          </cell>
          <cell r="O45">
            <v>0.75159999999999993</v>
          </cell>
          <cell r="P45">
            <v>0.75296666666666656</v>
          </cell>
          <cell r="Q45">
            <v>0.73076666666666679</v>
          </cell>
          <cell r="R45">
            <v>0.73326666666666673</v>
          </cell>
          <cell r="S45">
            <v>0.74860000000000004</v>
          </cell>
          <cell r="T45">
            <v>0.75626666666666675</v>
          </cell>
          <cell r="U45">
            <v>0.77726666666666666</v>
          </cell>
          <cell r="V45">
            <v>0.78780000000000017</v>
          </cell>
          <cell r="W45">
            <v>0.79259999999999986</v>
          </cell>
          <cell r="X45">
            <v>0.78793333333333326</v>
          </cell>
          <cell r="Y45">
            <v>0.7687666666666666</v>
          </cell>
          <cell r="Z45">
            <v>0.74843333333333339</v>
          </cell>
          <cell r="AA45">
            <v>0.70613333333333328</v>
          </cell>
          <cell r="AB45">
            <v>0.67661666666666676</v>
          </cell>
          <cell r="AC45">
            <v>0.65331666666666666</v>
          </cell>
          <cell r="AD45">
            <v>0.61011666666666664</v>
          </cell>
          <cell r="AE45">
            <v>0.60543333333333327</v>
          </cell>
          <cell r="AF45">
            <v>0.62458333333333327</v>
          </cell>
          <cell r="AG45">
            <v>0.64336666666666675</v>
          </cell>
          <cell r="AH45">
            <v>0.6534833333333333</v>
          </cell>
          <cell r="AI45">
            <v>0.64583333333333337</v>
          </cell>
          <cell r="AJ45">
            <v>0.63206666666666667</v>
          </cell>
          <cell r="AK45">
            <v>0.60246666666666682</v>
          </cell>
          <cell r="AL45">
            <v>0.5755499999999999</v>
          </cell>
          <cell r="AM45">
            <v>0.55108333333333326</v>
          </cell>
          <cell r="AN45">
            <v>0.5282</v>
          </cell>
          <cell r="AO45">
            <v>0.51556666666666673</v>
          </cell>
          <cell r="AP45">
            <v>0.51034999999999997</v>
          </cell>
          <cell r="AQ45">
            <v>0.51078333333333326</v>
          </cell>
          <cell r="AR45">
            <v>0.51544999999999996</v>
          </cell>
          <cell r="AS45">
            <v>0.53808333333333336</v>
          </cell>
          <cell r="AT45">
            <v>0.55108333333333326</v>
          </cell>
          <cell r="AU45">
            <v>0.55226666666666668</v>
          </cell>
          <cell r="AV45">
            <v>0.57945000000000002</v>
          </cell>
          <cell r="AW45">
            <v>0.62565000000000004</v>
          </cell>
          <cell r="AX45">
            <v>0.65515000000000001</v>
          </cell>
          <cell r="AY45">
            <v>0.69371666666666665</v>
          </cell>
          <cell r="AZ45">
            <v>0.74820000000000009</v>
          </cell>
          <cell r="BA45">
            <v>0.73981666666666668</v>
          </cell>
          <cell r="BB45">
            <v>0.71161666666666668</v>
          </cell>
          <cell r="BC45">
            <v>0.73957499999999998</v>
          </cell>
          <cell r="BD45">
            <v>0.77383333333333326</v>
          </cell>
          <cell r="BE45">
            <v>0.77331666666666665</v>
          </cell>
          <cell r="BF45">
            <v>0.76233333333333331</v>
          </cell>
          <cell r="BG45">
            <v>0.74909999999999999</v>
          </cell>
          <cell r="BH45">
            <v>0.73948333333333327</v>
          </cell>
          <cell r="BI45">
            <v>0.74530833333333335</v>
          </cell>
          <cell r="BJ45">
            <v>0.75514999999999999</v>
          </cell>
          <cell r="BK45">
            <v>0.77126666666666666</v>
          </cell>
          <cell r="BL45">
            <v>0.78757500000000003</v>
          </cell>
          <cell r="BM45">
            <v>0.81351666666666678</v>
          </cell>
          <cell r="BN45">
            <v>0.84425000000000017</v>
          </cell>
          <cell r="BO45">
            <v>0.87514999999999998</v>
          </cell>
          <cell r="BP45">
            <v>0.90540833333333337</v>
          </cell>
          <cell r="BQ45">
            <v>0.93301666666666672</v>
          </cell>
          <cell r="BR45">
            <v>0.90845000000000009</v>
          </cell>
          <cell r="BS45">
            <v>0.7695249999999999</v>
          </cell>
          <cell r="BT45">
            <v>0.66523333333333323</v>
          </cell>
          <cell r="BU45">
            <v>0.71681666666666677</v>
          </cell>
          <cell r="BV45">
            <v>0.81616666666666671</v>
          </cell>
          <cell r="BW45">
            <v>0.87919999999999998</v>
          </cell>
          <cell r="BX45">
            <v>0.90160833333333346</v>
          </cell>
          <cell r="BY45">
            <v>0.88474166666666665</v>
          </cell>
          <cell r="BZ45">
            <v>0.89578333333333326</v>
          </cell>
          <cell r="CA45">
            <v>0.95485000000000009</v>
          </cell>
          <cell r="CB45">
            <v>1.0023416666666667</v>
          </cell>
          <cell r="CC45">
            <v>1.0473833333333333</v>
          </cell>
          <cell r="CD45">
            <v>1.0621333333333334</v>
          </cell>
          <cell r="CE45">
            <v>1.0400666666666669</v>
          </cell>
          <cell r="CF45">
            <v>1.0457675000000002</v>
          </cell>
          <cell r="CG45">
            <v>1.03528</v>
          </cell>
          <cell r="CH45">
            <v>1.02691</v>
          </cell>
          <cell r="CI45">
            <v>1.0400941666666668</v>
          </cell>
          <cell r="CJ45">
            <v>1.0375666666666667</v>
          </cell>
          <cell r="CK45">
            <v>1.0023833333333334</v>
          </cell>
          <cell r="CL45">
            <v>0.93839750000000011</v>
          </cell>
          <cell r="CM45">
            <v>0.91166666666666674</v>
          </cell>
          <cell r="CN45">
            <v>0.90715749999999995</v>
          </cell>
          <cell r="CO45">
            <v>0.91630500000000004</v>
          </cell>
          <cell r="CP45">
            <v>0.92359333333333338</v>
          </cell>
          <cell r="CQ45">
            <v>0.88087416666666674</v>
          </cell>
          <cell r="CR45">
            <v>0.81090916666666679</v>
          </cell>
          <cell r="CS45">
            <v>0.77406499999999989</v>
          </cell>
          <cell r="CT45">
            <v>0.74485000000000001</v>
          </cell>
          <cell r="CU45">
            <v>0.71812416666666667</v>
          </cell>
          <cell r="CV45">
            <v>0.72562250000000006</v>
          </cell>
          <cell r="CW45">
            <v>0.73626000000000003</v>
          </cell>
          <cell r="CX45">
            <v>0.75117749999999994</v>
          </cell>
          <cell r="CY45">
            <v>0.74953416666666672</v>
          </cell>
          <cell r="CZ45">
            <v>0.75116583333333331</v>
          </cell>
          <cell r="DA45">
            <v>0.75802000000000003</v>
          </cell>
          <cell r="DB45">
            <v>0.7731608333333333</v>
          </cell>
          <cell r="DC45">
            <v>0.78017499999999995</v>
          </cell>
          <cell r="DD45">
            <v>0.77541249999999995</v>
          </cell>
          <cell r="DE45">
            <v>0.76671333333333347</v>
          </cell>
          <cell r="DF45">
            <v>0.73905916666666671</v>
          </cell>
          <cell r="DG45">
            <v>0.72130833333333344</v>
          </cell>
          <cell r="DH45">
            <v>0.71508833333333321</v>
          </cell>
          <cell r="DI45">
            <v>0.70790083333333331</v>
          </cell>
          <cell r="DJ45">
            <v>0.68903999999999987</v>
          </cell>
          <cell r="DK45">
            <v>0.6834391666666666</v>
          </cell>
          <cell r="DL45">
            <v>0.66678333333333339</v>
          </cell>
          <cell r="DM45">
            <v>0.65699666666666656</v>
          </cell>
          <cell r="DN45">
            <v>0.69616416666666669</v>
          </cell>
          <cell r="DO45">
            <v>0.72918833333333344</v>
          </cell>
          <cell r="DP45">
            <v>0.75027750000000015</v>
          </cell>
          <cell r="DQ45">
            <v>0.76499833333333334</v>
          </cell>
          <cell r="DR45">
            <v>0.74726083333333326</v>
          </cell>
          <cell r="DS45">
            <v>0.72988416666666656</v>
          </cell>
          <cell r="DT45">
            <v>0.72863749999999994</v>
          </cell>
          <cell r="DU45">
            <v>0.71583833333333347</v>
          </cell>
          <cell r="DV45">
            <v>0.68958916666666659</v>
          </cell>
          <cell r="DW45">
            <v>0.67064666666666672</v>
          </cell>
          <cell r="DX45">
            <v>0.67451166666666662</v>
          </cell>
          <cell r="DY45">
            <v>0.6707791666666667</v>
          </cell>
          <cell r="DZ45">
            <v>0.65682916666666669</v>
          </cell>
          <cell r="EA45">
            <v>0.65627000000000002</v>
          </cell>
          <cell r="EB45">
            <v>0.65541250000000006</v>
          </cell>
          <cell r="EC45">
            <v>0.65625999999999995</v>
          </cell>
          <cell r="ED45">
            <v>0.6669075000000001</v>
          </cell>
          <cell r="EE45">
            <v>0.65835750000000004</v>
          </cell>
          <cell r="EF45">
            <v>0.63169416666666667</v>
          </cell>
          <cell r="EG45">
            <v>0.63387583333333331</v>
          </cell>
          <cell r="EH45">
            <v>0.64980000000000004</v>
          </cell>
          <cell r="EI45">
            <v>0.66565750000000001</v>
          </cell>
          <cell r="EJ45">
            <v>0.6725000000000001</v>
          </cell>
          <cell r="EK45">
            <v>0.6775000000000001</v>
          </cell>
          <cell r="EL45">
            <v>0.6725000000000001</v>
          </cell>
          <cell r="EM45">
            <v>0.65749999999999997</v>
          </cell>
          <cell r="EN45">
            <v>0.65375000000000005</v>
          </cell>
          <cell r="EO45">
            <v>0.66124999999999989</v>
          </cell>
          <cell r="EP45">
            <v>0.66874999999999973</v>
          </cell>
          <cell r="EQ45">
            <v>0.6762499999999998</v>
          </cell>
          <cell r="ER45">
            <v>0.68374999999999997</v>
          </cell>
          <cell r="ES45">
            <v>0.69124999999999981</v>
          </cell>
          <cell r="ET45">
            <v>0.69874999999999965</v>
          </cell>
          <cell r="EU45">
            <v>0.70624999999999982</v>
          </cell>
          <cell r="EV45">
            <v>0.71599999999999997</v>
          </cell>
          <cell r="EW45">
            <v>0.72799999999999998</v>
          </cell>
          <cell r="EX45">
            <v>0.74</v>
          </cell>
          <cell r="EY45">
            <v>0.752</v>
          </cell>
          <cell r="EZ45">
            <v>0.76400000000000001</v>
          </cell>
          <cell r="FA45">
            <v>0.77600000000000002</v>
          </cell>
          <cell r="FB45">
            <v>0.78800000000000003</v>
          </cell>
          <cell r="FC45">
            <v>0.8</v>
          </cell>
          <cell r="FD45">
            <v>0.80600000000000005</v>
          </cell>
          <cell r="FE45">
            <v>0.80600000000000005</v>
          </cell>
          <cell r="FF45">
            <v>0.80600000000000005</v>
          </cell>
          <cell r="FG45">
            <v>0.80600000000000005</v>
          </cell>
          <cell r="FH45">
            <v>0.80600000000000005</v>
          </cell>
          <cell r="FI45">
            <v>0.80600000000000005</v>
          </cell>
          <cell r="FJ45">
            <v>0.80600000000000005</v>
          </cell>
          <cell r="FK45">
            <v>0.80600000000000005</v>
          </cell>
          <cell r="FL45">
            <v>0.80600000000000005</v>
          </cell>
          <cell r="FM45">
            <v>0.80600000000000005</v>
          </cell>
          <cell r="FN45">
            <v>0.80600000000000005</v>
          </cell>
          <cell r="FO45">
            <v>0.80600000000000005</v>
          </cell>
          <cell r="FP45">
            <v>0.80600000000000005</v>
          </cell>
          <cell r="FQ45">
            <v>0.80600000000000005</v>
          </cell>
          <cell r="FR45">
            <v>0.80600000000000005</v>
          </cell>
          <cell r="FS45">
            <v>0.80600000000000005</v>
          </cell>
          <cell r="FT45">
            <v>0.80600000000000005</v>
          </cell>
          <cell r="FU45">
            <v>0.80600000000000005</v>
          </cell>
        </row>
        <row r="46">
          <cell r="A46" t="str">
            <v>avaudnzd6m</v>
          </cell>
          <cell r="B46" t="str">
            <v>AUD/NZD</v>
          </cell>
          <cell r="D46"/>
          <cell r="E46"/>
          <cell r="F46"/>
          <cell r="G46"/>
          <cell r="H46"/>
          <cell r="I46"/>
          <cell r="J46"/>
          <cell r="K46"/>
          <cell r="L46"/>
          <cell r="M46"/>
          <cell r="N46"/>
          <cell r="O46"/>
          <cell r="P46">
            <v>1.1849333333333334</v>
          </cell>
          <cell r="Q46">
            <v>1.1157833333333336</v>
          </cell>
          <cell r="R46">
            <v>1.1028499999999999</v>
          </cell>
          <cell r="S46">
            <v>1.13815</v>
          </cell>
          <cell r="T46">
            <v>1.1371166666666668</v>
          </cell>
          <cell r="U46">
            <v>1.1435333333333333</v>
          </cell>
          <cell r="V46">
            <v>1.1451666666666667</v>
          </cell>
          <cell r="W46">
            <v>1.1316666666666666</v>
          </cell>
          <cell r="X46">
            <v>1.1243166666666669</v>
          </cell>
          <cell r="Y46">
            <v>1.1157000000000001</v>
          </cell>
          <cell r="Z46">
            <v>1.1264333333333334</v>
          </cell>
          <cell r="AA46">
            <v>1.1279166666666667</v>
          </cell>
          <cell r="AB46">
            <v>1.1461333333333334</v>
          </cell>
          <cell r="AC46">
            <v>1.17815</v>
          </cell>
          <cell r="AD46">
            <v>1.1772</v>
          </cell>
          <cell r="AE46">
            <v>1.1761166666666665</v>
          </cell>
          <cell r="AF46">
            <v>1.1777333333333333</v>
          </cell>
          <cell r="AG46">
            <v>1.1969333333333332</v>
          </cell>
          <cell r="AH46">
            <v>1.22875</v>
          </cell>
          <cell r="AI46">
            <v>1.2477333333333334</v>
          </cell>
          <cell r="AJ46">
            <v>1.2559166666666668</v>
          </cell>
          <cell r="AK46">
            <v>1.2498166666666668</v>
          </cell>
          <cell r="AL46">
            <v>1.2809000000000001</v>
          </cell>
          <cell r="AM46">
            <v>1.3032333333333335</v>
          </cell>
          <cell r="AN46">
            <v>1.2541166666666668</v>
          </cell>
          <cell r="AO46">
            <v>1.2332666666666665</v>
          </cell>
          <cell r="AP46">
            <v>1.2305166666666665</v>
          </cell>
          <cell r="AQ46">
            <v>1.2242500000000001</v>
          </cell>
          <cell r="AR46">
            <v>1.2256500000000001</v>
          </cell>
          <cell r="AS46">
            <v>1.1996</v>
          </cell>
          <cell r="AT46">
            <v>1.1734833333333334</v>
          </cell>
          <cell r="AU46">
            <v>1.1396666666666668</v>
          </cell>
          <cell r="AV46">
            <v>1.0986999999999998</v>
          </cell>
          <cell r="AW46">
            <v>1.1085</v>
          </cell>
          <cell r="AX46">
            <v>1.1290833333333332</v>
          </cell>
          <cell r="AY46">
            <v>1.1349500000000001</v>
          </cell>
          <cell r="AZ46">
            <v>1.1394500000000001</v>
          </cell>
          <cell r="BA46">
            <v>1.1313333333333333</v>
          </cell>
          <cell r="BB46">
            <v>1.1056833333333334</v>
          </cell>
          <cell r="BC46">
            <v>1.0858679075126718</v>
          </cell>
          <cell r="BD46">
            <v>1.0885739975741309</v>
          </cell>
          <cell r="BE46">
            <v>1.0837552996882867</v>
          </cell>
          <cell r="BF46">
            <v>1.0887787561161619</v>
          </cell>
          <cell r="BG46">
            <v>1.0816128798226676</v>
          </cell>
          <cell r="BH46">
            <v>1.0961833333333333</v>
          </cell>
          <cell r="BI46">
            <v>1.1634833333333334</v>
          </cell>
          <cell r="BJ46">
            <v>1.1898666666666669</v>
          </cell>
          <cell r="BK46">
            <v>1.1617249999999999</v>
          </cell>
          <cell r="BL46">
            <v>1.134225</v>
          </cell>
          <cell r="BM46">
            <v>1.1204166666666666</v>
          </cell>
          <cell r="BN46">
            <v>1.1332250000000001</v>
          </cell>
          <cell r="BO46">
            <v>1.1603083333333333</v>
          </cell>
          <cell r="BP46">
            <v>1.1615416666666665</v>
          </cell>
          <cell r="BQ46">
            <v>1.1912750000000001</v>
          </cell>
          <cell r="BR46">
            <v>1.2291833333333333</v>
          </cell>
          <cell r="BS46">
            <v>1.2067083333333335</v>
          </cell>
          <cell r="BT46">
            <v>1.2189250000000003</v>
          </cell>
          <cell r="BU46">
            <v>1.2582250000000001</v>
          </cell>
          <cell r="BV46">
            <v>1.2502166666666668</v>
          </cell>
          <cell r="BW46">
            <v>1.2484083333333336</v>
          </cell>
          <cell r="BX46">
            <v>1.2681166666666668</v>
          </cell>
          <cell r="BY46">
            <v>1.2627916666666668</v>
          </cell>
          <cell r="BZ46">
            <v>1.26345</v>
          </cell>
          <cell r="CA46">
            <v>1.2873166666666669</v>
          </cell>
          <cell r="CB46">
            <v>1.3143833333333335</v>
          </cell>
          <cell r="CC46">
            <v>1.3237916666666667</v>
          </cell>
          <cell r="CD46">
            <v>1.2859916666666666</v>
          </cell>
          <cell r="CE46">
            <v>1.2849750000000002</v>
          </cell>
          <cell r="CF46">
            <v>1.2957366666666668</v>
          </cell>
          <cell r="CG46">
            <v>1.2805058333333335</v>
          </cell>
          <cell r="CH46">
            <v>1.2799858333333336</v>
          </cell>
          <cell r="CI46">
            <v>1.2704325000000001</v>
          </cell>
          <cell r="CJ46">
            <v>1.2522433333333334</v>
          </cell>
          <cell r="CK46">
            <v>1.2203066666666669</v>
          </cell>
          <cell r="CL46">
            <v>1.1660441666666668</v>
          </cell>
          <cell r="CM46">
            <v>1.1243716666666668</v>
          </cell>
          <cell r="CN46">
            <v>1.0934133333333336</v>
          </cell>
          <cell r="CO46">
            <v>1.0775591666666668</v>
          </cell>
          <cell r="CP46">
            <v>1.0969308333333334</v>
          </cell>
          <cell r="CQ46">
            <v>1.0987066666666669</v>
          </cell>
          <cell r="CR46">
            <v>1.0636366666666668</v>
          </cell>
          <cell r="CS46">
            <v>1.0621050000000001</v>
          </cell>
          <cell r="CT46">
            <v>1.0964725</v>
          </cell>
          <cell r="CU46">
            <v>1.0909158333333335</v>
          </cell>
          <cell r="CV46">
            <v>1.0839325</v>
          </cell>
          <cell r="CW46">
            <v>1.0812633333333332</v>
          </cell>
          <cell r="CX46">
            <v>1.0575216666666665</v>
          </cell>
          <cell r="CY46">
            <v>1.0480633333333333</v>
          </cell>
          <cell r="CZ46">
            <v>1.0562933333333333</v>
          </cell>
          <cell r="DA46">
            <v>1.0632491666666666</v>
          </cell>
          <cell r="DB46">
            <v>1.0745333333333333</v>
          </cell>
          <cell r="DC46">
            <v>1.0974933333333332</v>
          </cell>
          <cell r="DD46">
            <v>1.0929333333333333</v>
          </cell>
          <cell r="DE46">
            <v>1.0793308333333334</v>
          </cell>
          <cell r="DF46">
            <v>1.0852108333333332</v>
          </cell>
          <cell r="DG46">
            <v>1.0774999999999999</v>
          </cell>
          <cell r="DH46">
            <v>1.0556358333333333</v>
          </cell>
          <cell r="DI46">
            <v>1.049625833333333</v>
          </cell>
          <cell r="DJ46">
            <v>1.0584658333333332</v>
          </cell>
          <cell r="DK46">
            <v>1.0599866666666666</v>
          </cell>
          <cell r="DL46">
            <v>1.0460108333333336</v>
          </cell>
          <cell r="DM46">
            <v>1.0519516666666668</v>
          </cell>
          <cell r="DN46">
            <v>1.0769741666666666</v>
          </cell>
          <cell r="DO46">
            <v>1.0725783333333334</v>
          </cell>
          <cell r="DP46">
            <v>1.0657683333333332</v>
          </cell>
          <cell r="DQ46">
            <v>1.0715524999999999</v>
          </cell>
          <cell r="DR46">
            <v>1.0591124999999999</v>
          </cell>
          <cell r="DS46">
            <v>1.0492458333333332</v>
          </cell>
          <cell r="DT46">
            <v>1.0634899999999998</v>
          </cell>
          <cell r="DU46">
            <v>1.0878975000000002</v>
          </cell>
          <cell r="DV46">
            <v>1.1149333333333333</v>
          </cell>
          <cell r="DW46">
            <v>1.1070683333333333</v>
          </cell>
          <cell r="DX46">
            <v>1.0844141666666667</v>
          </cell>
          <cell r="DY46">
            <v>1.0809275000000003</v>
          </cell>
          <cell r="DZ46">
            <v>1.0794616666666668</v>
          </cell>
          <cell r="EA46">
            <v>1.0800666666666665</v>
          </cell>
          <cell r="EB46">
            <v>1.0790216666666668</v>
          </cell>
          <cell r="EC46">
            <v>1.085572145290689</v>
          </cell>
          <cell r="ED46">
            <v>1.091355478624022</v>
          </cell>
          <cell r="EE46">
            <v>1.0966149999999999</v>
          </cell>
          <cell r="EF46">
            <v>1.1034091666666668</v>
          </cell>
          <cell r="EG46">
            <v>1.0913666666666666</v>
          </cell>
          <cell r="EH46">
            <v>1.0963766666666666</v>
          </cell>
          <cell r="EI46">
            <v>1.1110225806451615</v>
          </cell>
          <cell r="EJ46">
            <v>1.0803225806451615</v>
          </cell>
          <cell r="EK46">
            <v>1.0796825396825398</v>
          </cell>
          <cell r="EL46">
            <v>1.089269316542044</v>
          </cell>
          <cell r="EM46">
            <v>1.109931604445711</v>
          </cell>
          <cell r="EN46">
            <v>1.1223106395520188</v>
          </cell>
          <cell r="EO46">
            <v>1.1255251339997097</v>
          </cell>
          <cell r="EP46">
            <v>1.1286853724540653</v>
          </cell>
          <cell r="EQ46">
            <v>1.1317927170868343</v>
          </cell>
          <cell r="ER46">
            <v>1.1372060857538036</v>
          </cell>
          <cell r="ES46">
            <v>1.1449195843763926</v>
          </cell>
          <cell r="ET46">
            <v>1.1525694657007781</v>
          </cell>
          <cell r="EU46">
            <v>1.1601565135262764</v>
          </cell>
          <cell r="EV46">
            <v>1.1670563541196164</v>
          </cell>
          <cell r="EW46">
            <v>1.1732301666458882</v>
          </cell>
          <cell r="EX46">
            <v>1.1792662237392828</v>
          </cell>
          <cell r="EY46">
            <v>1.1851690852455929</v>
          </cell>
          <cell r="EZ46">
            <v>1.1909431119535379</v>
          </cell>
          <cell r="FA46">
            <v>1.1965924763399451</v>
          </cell>
          <cell r="FB46">
            <v>1.2021211726263081</v>
          </cell>
          <cell r="FC46">
            <v>1.2075330261976711</v>
          </cell>
          <cell r="FD46">
            <v>1.2102102102102119</v>
          </cell>
          <cell r="FE46">
            <v>1.2102102102102119</v>
          </cell>
          <cell r="FF46">
            <v>1.2102102102102119</v>
          </cell>
          <cell r="FG46">
            <v>1.2102102102102119</v>
          </cell>
          <cell r="FH46">
            <v>1.2102102102102119</v>
          </cell>
          <cell r="FI46">
            <v>1.2102102102102119</v>
          </cell>
          <cell r="FJ46">
            <v>1.2102102102102119</v>
          </cell>
          <cell r="FK46">
            <v>1.2102102102102119</v>
          </cell>
          <cell r="FL46">
            <v>1.2102102102102119</v>
          </cell>
          <cell r="FM46">
            <v>1.2102102102102119</v>
          </cell>
          <cell r="FN46">
            <v>1.2102102102102119</v>
          </cell>
          <cell r="FO46">
            <v>1.2102102102102119</v>
          </cell>
          <cell r="FP46">
            <v>1.2102102102102119</v>
          </cell>
          <cell r="FQ46">
            <v>1.2102102102102119</v>
          </cell>
          <cell r="FR46">
            <v>1.2102102102102119</v>
          </cell>
          <cell r="FS46">
            <v>1.2102102102102119</v>
          </cell>
          <cell r="FT46">
            <v>1.2102102102102119</v>
          </cell>
          <cell r="FU46">
            <v>1.2102102102102119</v>
          </cell>
        </row>
        <row r="47">
          <cell r="A47" t="str">
            <v>avaudeur6m</v>
          </cell>
          <cell r="B47" t="str">
            <v>AUD/EUR</v>
          </cell>
          <cell r="D47"/>
          <cell r="E47"/>
          <cell r="F47"/>
          <cell r="G47"/>
          <cell r="H47"/>
          <cell r="I47"/>
          <cell r="J47"/>
          <cell r="K47"/>
          <cell r="L47"/>
          <cell r="M47"/>
          <cell r="N47"/>
          <cell r="O47"/>
          <cell r="P47"/>
          <cell r="Q47"/>
          <cell r="R47"/>
          <cell r="S47"/>
          <cell r="T47"/>
          <cell r="U47"/>
          <cell r="V47"/>
          <cell r="W47"/>
          <cell r="X47"/>
          <cell r="Y47">
            <v>0.66721666666666657</v>
          </cell>
          <cell r="Z47">
            <v>0.67401666666666671</v>
          </cell>
          <cell r="AA47">
            <v>0.64116666666666666</v>
          </cell>
          <cell r="AB47">
            <v>0.61976666666666669</v>
          </cell>
          <cell r="AC47">
            <v>0.60470000000000002</v>
          </cell>
          <cell r="AD47">
            <v>0.54988333333333339</v>
          </cell>
          <cell r="AE47">
            <v>0.5269166666666667</v>
          </cell>
          <cell r="AF47">
            <v>0.55000000000000016</v>
          </cell>
          <cell r="AG47">
            <v>0.59931666666666661</v>
          </cell>
          <cell r="AH47">
            <v>0.61950000000000005</v>
          </cell>
          <cell r="AI47">
            <v>0.61855000000000004</v>
          </cell>
          <cell r="AJ47">
            <v>0.63641666666666674</v>
          </cell>
          <cell r="AK47">
            <v>0.63498333333333334</v>
          </cell>
          <cell r="AL47">
            <v>0.62798333333333334</v>
          </cell>
          <cell r="AM47">
            <v>0.61683333333333323</v>
          </cell>
          <cell r="AN47">
            <v>0.58700000000000008</v>
          </cell>
          <cell r="AO47">
            <v>0.58169999999999999</v>
          </cell>
          <cell r="AP47">
            <v>0.58021666666666671</v>
          </cell>
          <cell r="AQ47">
            <v>0.56915000000000004</v>
          </cell>
          <cell r="AR47">
            <v>0.58535000000000004</v>
          </cell>
          <cell r="AS47">
            <v>0.59561666666666657</v>
          </cell>
          <cell r="AT47">
            <v>0.57331666666666659</v>
          </cell>
          <cell r="AU47">
            <v>0.55398333333333327</v>
          </cell>
          <cell r="AV47">
            <v>0.5533499999999999</v>
          </cell>
          <cell r="AW47">
            <v>0.56046666666666667</v>
          </cell>
          <cell r="AX47">
            <v>0.57533333333333336</v>
          </cell>
          <cell r="AY47">
            <v>0.59378333333333333</v>
          </cell>
          <cell r="AZ47">
            <v>0.61093333333333333</v>
          </cell>
          <cell r="BA47">
            <v>0.60263333333333335</v>
          </cell>
          <cell r="BB47">
            <v>0.58500000000000008</v>
          </cell>
          <cell r="BC47">
            <v>0.58201416592222199</v>
          </cell>
          <cell r="BD47">
            <v>0.58894770046276346</v>
          </cell>
          <cell r="BE47">
            <v>0.60682627655617816</v>
          </cell>
          <cell r="BF47">
            <v>0.62012625002605015</v>
          </cell>
          <cell r="BG47">
            <v>0.62319184134374694</v>
          </cell>
          <cell r="BH47">
            <v>0.61787499999999995</v>
          </cell>
          <cell r="BI47">
            <v>0.60124999999999995</v>
          </cell>
          <cell r="BJ47">
            <v>0.59242499999999987</v>
          </cell>
          <cell r="BK47">
            <v>0.59734166666666666</v>
          </cell>
          <cell r="BL47">
            <v>0.59936666666666671</v>
          </cell>
          <cell r="BM47">
            <v>0.60796666666666666</v>
          </cell>
          <cell r="BN47">
            <v>0.61603333333333332</v>
          </cell>
          <cell r="BO47">
            <v>0.6156166666666667</v>
          </cell>
          <cell r="BP47">
            <v>0.60719166666666669</v>
          </cell>
          <cell r="BQ47">
            <v>0.60369166666666674</v>
          </cell>
          <cell r="BR47">
            <v>0.5961833333333334</v>
          </cell>
          <cell r="BS47">
            <v>0.54858333333333331</v>
          </cell>
          <cell r="BT47">
            <v>0.51068333333333327</v>
          </cell>
          <cell r="BU47">
            <v>0.53534999999999999</v>
          </cell>
          <cell r="BV47">
            <v>0.5779333333333333</v>
          </cell>
          <cell r="BW47">
            <v>0.60424999999999995</v>
          </cell>
          <cell r="BX47">
            <v>0.63693333333333335</v>
          </cell>
          <cell r="BY47">
            <v>0.67391666666666661</v>
          </cell>
          <cell r="BZ47">
            <v>0.6958000000000002</v>
          </cell>
          <cell r="CA47">
            <v>0.71899999999999997</v>
          </cell>
          <cell r="CB47">
            <v>0.73403333333333343</v>
          </cell>
          <cell r="CC47">
            <v>0.73611666666666675</v>
          </cell>
          <cell r="CD47">
            <v>0.74203333333333343</v>
          </cell>
          <cell r="CE47">
            <v>0.75752499999999989</v>
          </cell>
          <cell r="CF47">
            <v>0.78455833333333347</v>
          </cell>
          <cell r="CG47">
            <v>0.79631666666666678</v>
          </cell>
          <cell r="CH47">
            <v>0.81110833333333332</v>
          </cell>
          <cell r="CI47">
            <v>0.81224166666666664</v>
          </cell>
          <cell r="CJ47">
            <v>0.7923583333333335</v>
          </cell>
          <cell r="CK47">
            <v>0.76488333333333347</v>
          </cell>
          <cell r="CL47">
            <v>0.71085833333333337</v>
          </cell>
          <cell r="CM47">
            <v>0.67557499999999993</v>
          </cell>
          <cell r="CN47">
            <v>0.66390000000000005</v>
          </cell>
          <cell r="CO47">
            <v>0.66830833333333339</v>
          </cell>
          <cell r="CP47">
            <v>0.68989166666666668</v>
          </cell>
          <cell r="CQ47">
            <v>0.69309999999999994</v>
          </cell>
          <cell r="CR47">
            <v>0.69254166666666661</v>
          </cell>
          <cell r="CS47">
            <v>0.69777500000000003</v>
          </cell>
          <cell r="CT47">
            <v>0.66984999999999995</v>
          </cell>
          <cell r="CU47">
            <v>0.65520833333333328</v>
          </cell>
          <cell r="CV47">
            <v>0.66465000000000007</v>
          </cell>
          <cell r="CW47">
            <v>0.66154999999999997</v>
          </cell>
          <cell r="CX47">
            <v>0.67013333333333325</v>
          </cell>
          <cell r="CY47">
            <v>0.68501666666666672</v>
          </cell>
          <cell r="CZ47">
            <v>0.7028916666666668</v>
          </cell>
          <cell r="DA47">
            <v>0.69393333333333329</v>
          </cell>
          <cell r="DB47">
            <v>0.67124166666666663</v>
          </cell>
          <cell r="DC47">
            <v>0.65820000000000001</v>
          </cell>
          <cell r="DD47">
            <v>0.64193333333333324</v>
          </cell>
          <cell r="DE47">
            <v>0.63550833333333323</v>
          </cell>
          <cell r="DF47">
            <v>0.63022499999999992</v>
          </cell>
          <cell r="DG47">
            <v>0.62721666666666664</v>
          </cell>
          <cell r="DH47">
            <v>0.62974999999999992</v>
          </cell>
          <cell r="DI47">
            <v>0.62656666666666672</v>
          </cell>
          <cell r="DJ47">
            <v>0.61958333333333337</v>
          </cell>
          <cell r="DK47">
            <v>0.61799999999999999</v>
          </cell>
          <cell r="DL47">
            <v>0.60111166666666671</v>
          </cell>
          <cell r="DM47">
            <v>0.59311916666666675</v>
          </cell>
          <cell r="DN47">
            <v>0.60758166666666669</v>
          </cell>
          <cell r="DO47">
            <v>0.61414500000000005</v>
          </cell>
          <cell r="DP47">
            <v>0.62740407999999992</v>
          </cell>
          <cell r="DQ47">
            <v>0.63697491333333334</v>
          </cell>
          <cell r="DR47">
            <v>0.62820833333333337</v>
          </cell>
          <cell r="DS47">
            <v>0.63016831000000006</v>
          </cell>
          <cell r="DT47">
            <v>0.6452016433333333</v>
          </cell>
          <cell r="DU47">
            <v>0.65831500000000009</v>
          </cell>
          <cell r="DV47">
            <v>0.66909666666666656</v>
          </cell>
          <cell r="DW47">
            <v>0.65897166666666662</v>
          </cell>
          <cell r="DX47">
            <v>0.63972333333333331</v>
          </cell>
          <cell r="DY47">
            <v>0.6202333333333333</v>
          </cell>
          <cell r="DZ47">
            <v>0.60609416666666671</v>
          </cell>
          <cell r="EA47">
            <v>0.60669735666666658</v>
          </cell>
          <cell r="EB47">
            <v>0.60580985666666665</v>
          </cell>
          <cell r="EC47">
            <v>0.60912758377300014</v>
          </cell>
          <cell r="ED47">
            <v>0.61338758377300007</v>
          </cell>
          <cell r="EE47">
            <v>0.60936404125994015</v>
          </cell>
          <cell r="EF47">
            <v>0.59908164980888889</v>
          </cell>
          <cell r="EG47">
            <v>0.57760712023099603</v>
          </cell>
          <cell r="EH47">
            <v>0.56260719728353303</v>
          </cell>
          <cell r="EI47">
            <v>0.5609758818280024</v>
          </cell>
          <cell r="EJ47">
            <v>0.55467687074829941</v>
          </cell>
          <cell r="EK47">
            <v>0.54751020408163276</v>
          </cell>
          <cell r="EL47">
            <v>0.53800000000000003</v>
          </cell>
          <cell r="EM47">
            <v>0.52600000000000002</v>
          </cell>
          <cell r="EN47">
            <v>0.52300000000000002</v>
          </cell>
          <cell r="EO47">
            <v>0.52899999999999991</v>
          </cell>
          <cell r="EP47">
            <v>0.5349999999999997</v>
          </cell>
          <cell r="EQ47">
            <v>0.54099999999999993</v>
          </cell>
          <cell r="ER47">
            <v>0.54699999999999993</v>
          </cell>
          <cell r="ES47">
            <v>0.55299999999999994</v>
          </cell>
          <cell r="ET47">
            <v>0.55899999999999972</v>
          </cell>
          <cell r="EU47">
            <v>0.56499999999999972</v>
          </cell>
          <cell r="EV47">
            <v>0.57395983935742967</v>
          </cell>
          <cell r="EW47">
            <v>0.58592758129291367</v>
          </cell>
          <cell r="EX47">
            <v>0.59799203343345964</v>
          </cell>
          <cell r="EY47">
            <v>0.61015437279878892</v>
          </cell>
          <cell r="EZ47">
            <v>0.6224157955865276</v>
          </cell>
          <cell r="FA47">
            <v>0.63477751756440315</v>
          </cell>
          <cell r="FB47">
            <v>0.6472407744721046</v>
          </cell>
          <cell r="FC47">
            <v>0.65980682243308553</v>
          </cell>
          <cell r="FD47">
            <v>0.66611570247933938</v>
          </cell>
          <cell r="FE47">
            <v>0.66611570247933938</v>
          </cell>
          <cell r="FF47">
            <v>0.66611570247933938</v>
          </cell>
          <cell r="FG47">
            <v>0.66611570247933938</v>
          </cell>
          <cell r="FH47">
            <v>0.66611570247933938</v>
          </cell>
          <cell r="FI47">
            <v>0.66611570247933938</v>
          </cell>
          <cell r="FJ47">
            <v>0.66611570247933938</v>
          </cell>
          <cell r="FK47">
            <v>0.66611570247933938</v>
          </cell>
          <cell r="FL47">
            <v>0.66611570247933938</v>
          </cell>
          <cell r="FM47">
            <v>0.66611570247933938</v>
          </cell>
          <cell r="FN47">
            <v>0.66611570247933938</v>
          </cell>
          <cell r="FO47">
            <v>0.66611570247933938</v>
          </cell>
          <cell r="FP47">
            <v>0.66611570247933938</v>
          </cell>
          <cell r="FQ47">
            <v>0.66611570247933938</v>
          </cell>
          <cell r="FR47">
            <v>0.66611570247933938</v>
          </cell>
          <cell r="FS47">
            <v>0.66611570247933938</v>
          </cell>
          <cell r="FT47">
            <v>0.66611570247933938</v>
          </cell>
          <cell r="FU47">
            <v>0.66611570247933938</v>
          </cell>
        </row>
        <row r="48">
          <cell r="A48" t="str">
            <v>avaudkrw6m</v>
          </cell>
          <cell r="B48" t="str">
            <v>AUD/KRW</v>
          </cell>
          <cell r="C48"/>
          <cell r="D48"/>
          <cell r="E48"/>
          <cell r="F48"/>
          <cell r="G48"/>
          <cell r="H48"/>
          <cell r="I48"/>
          <cell r="J48"/>
          <cell r="K48"/>
          <cell r="L48"/>
          <cell r="M48"/>
          <cell r="N48"/>
          <cell r="O48"/>
          <cell r="P48"/>
          <cell r="Q48"/>
          <cell r="R48"/>
          <cell r="S48"/>
          <cell r="T48"/>
          <cell r="U48"/>
          <cell r="V48"/>
          <cell r="W48"/>
          <cell r="X48"/>
          <cell r="Y48"/>
          <cell r="Z48"/>
          <cell r="AA48"/>
          <cell r="AB48"/>
          <cell r="AC48"/>
          <cell r="AD48"/>
          <cell r="AE48"/>
          <cell r="AF48"/>
          <cell r="AG48"/>
          <cell r="AH48"/>
          <cell r="AI48"/>
          <cell r="AJ48"/>
          <cell r="AK48"/>
          <cell r="AL48"/>
          <cell r="AM48"/>
          <cell r="AN48"/>
          <cell r="AO48"/>
          <cell r="AP48"/>
          <cell r="AQ48"/>
          <cell r="AR48"/>
          <cell r="AS48"/>
          <cell r="AT48"/>
          <cell r="AU48"/>
          <cell r="AV48"/>
          <cell r="AW48"/>
          <cell r="AX48"/>
          <cell r="AY48"/>
          <cell r="AZ48"/>
          <cell r="BA48"/>
          <cell r="BB48"/>
          <cell r="BC48"/>
          <cell r="BD48"/>
          <cell r="BE48"/>
          <cell r="BF48"/>
          <cell r="BG48"/>
          <cell r="BH48"/>
          <cell r="BI48">
            <v>714.40261250000003</v>
          </cell>
          <cell r="BJ48">
            <v>718.58150833333332</v>
          </cell>
          <cell r="BK48">
            <v>728.41542833333335</v>
          </cell>
          <cell r="BL48">
            <v>738.6734183333333</v>
          </cell>
          <cell r="BM48">
            <v>760.32897416666674</v>
          </cell>
          <cell r="BN48">
            <v>781.79451833333326</v>
          </cell>
          <cell r="BO48">
            <v>806.50066666666669</v>
          </cell>
          <cell r="BP48">
            <v>849.72891416666664</v>
          </cell>
          <cell r="BQ48">
            <v>926.05636500000003</v>
          </cell>
          <cell r="BR48">
            <v>962.67499999999984</v>
          </cell>
          <cell r="BS48">
            <v>923.68999999999994</v>
          </cell>
          <cell r="BT48">
            <v>917.59000000000015</v>
          </cell>
          <cell r="BU48">
            <v>961.8033333333334</v>
          </cell>
          <cell r="BV48">
            <v>1012.2866666666667</v>
          </cell>
          <cell r="BW48">
            <v>1047.5783333333334</v>
          </cell>
          <cell r="BX48">
            <v>1047.07</v>
          </cell>
          <cell r="BY48">
            <v>1029.5150000000001</v>
          </cell>
          <cell r="BZ48">
            <v>1052.105</v>
          </cell>
          <cell r="CA48">
            <v>1100.2366666666667</v>
          </cell>
          <cell r="CB48">
            <v>1125.9549999999999</v>
          </cell>
          <cell r="CC48">
            <v>1143.9483333333335</v>
          </cell>
          <cell r="CD48">
            <v>1151.2416666666668</v>
          </cell>
          <cell r="CE48">
            <v>1158.2366666666667</v>
          </cell>
          <cell r="CF48">
            <v>1180.0116666666668</v>
          </cell>
          <cell r="CG48">
            <v>1179.2683333333332</v>
          </cell>
          <cell r="CH48">
            <v>1169.6233333333332</v>
          </cell>
          <cell r="CI48">
            <v>1146.4983333333334</v>
          </cell>
          <cell r="CJ48">
            <v>1128.2766666666666</v>
          </cell>
          <cell r="CK48">
            <v>1112.32</v>
          </cell>
          <cell r="CL48">
            <v>1044.8916666666667</v>
          </cell>
          <cell r="CM48">
            <v>984.78666666666652</v>
          </cell>
          <cell r="CN48">
            <v>965.66666666666686</v>
          </cell>
          <cell r="CO48">
            <v>958.15833333333342</v>
          </cell>
          <cell r="CP48">
            <v>948.98833333333334</v>
          </cell>
          <cell r="CQ48">
            <v>934.77166666666653</v>
          </cell>
          <cell r="CR48">
            <v>890.12166666666656</v>
          </cell>
          <cell r="CS48">
            <v>854.06833333333327</v>
          </cell>
          <cell r="CT48">
            <v>847.26499999999999</v>
          </cell>
          <cell r="CU48">
            <v>838.50833333333321</v>
          </cell>
          <cell r="CV48">
            <v>854.04</v>
          </cell>
          <cell r="CW48">
            <v>867.40333333333331</v>
          </cell>
          <cell r="CX48">
            <v>852.7883333333333</v>
          </cell>
          <cell r="CY48">
            <v>856.02166666666665</v>
          </cell>
          <cell r="CZ48">
            <v>867.56666666666661</v>
          </cell>
          <cell r="DA48">
            <v>859.73500000000001</v>
          </cell>
          <cell r="DB48">
            <v>874.58333333333337</v>
          </cell>
          <cell r="DC48">
            <v>865.78666666666675</v>
          </cell>
          <cell r="DD48">
            <v>837.85</v>
          </cell>
          <cell r="DE48">
            <v>827.3516666666668</v>
          </cell>
          <cell r="DF48">
            <v>812.68166666666673</v>
          </cell>
          <cell r="DG48">
            <v>806.57999999999993</v>
          </cell>
          <cell r="DH48">
            <v>803.95833333333337</v>
          </cell>
          <cell r="DI48">
            <v>811.51833333333343</v>
          </cell>
          <cell r="DJ48">
            <v>815.37833333333344</v>
          </cell>
          <cell r="DK48">
            <v>808.36666666666679</v>
          </cell>
          <cell r="DL48">
            <v>790.31499999999994</v>
          </cell>
          <cell r="DM48">
            <v>794.64333333333343</v>
          </cell>
          <cell r="DN48">
            <v>833.96833333333336</v>
          </cell>
          <cell r="DO48">
            <v>835.51333333333332</v>
          </cell>
          <cell r="DP48">
            <v>837.93086666666659</v>
          </cell>
          <cell r="DQ48">
            <v>857.56773333333331</v>
          </cell>
          <cell r="DR48">
            <v>852.8529666666667</v>
          </cell>
          <cell r="DS48">
            <v>856.76523333333341</v>
          </cell>
          <cell r="DT48">
            <v>870.52895000000001</v>
          </cell>
          <cell r="DU48">
            <v>884.37440000000004</v>
          </cell>
          <cell r="DV48">
            <v>904.20989999999995</v>
          </cell>
          <cell r="DW48">
            <v>901.64645000000007</v>
          </cell>
          <cell r="DX48">
            <v>882.03249999999991</v>
          </cell>
          <cell r="DY48">
            <v>875.90038333333348</v>
          </cell>
          <cell r="DZ48">
            <v>868.18615</v>
          </cell>
          <cell r="EA48">
            <v>864.41311666666661</v>
          </cell>
          <cell r="EB48">
            <v>870.00238333333311</v>
          </cell>
          <cell r="EC48">
            <v>893.34000908206451</v>
          </cell>
          <cell r="ED48">
            <v>908.49844241539779</v>
          </cell>
          <cell r="EE48">
            <v>906.67599999999993</v>
          </cell>
          <cell r="EF48">
            <v>908.92283333333341</v>
          </cell>
          <cell r="EG48">
            <v>902.94166666666661</v>
          </cell>
          <cell r="EH48">
            <v>903.89867366666658</v>
          </cell>
          <cell r="EI48">
            <v>913.25150000000008</v>
          </cell>
          <cell r="EJ48">
            <v>896.08750000000009</v>
          </cell>
          <cell r="EK48">
            <v>892.58750000000009</v>
          </cell>
          <cell r="EL48">
            <v>877.65000000000009</v>
          </cell>
          <cell r="EM48">
            <v>851.50000000000011</v>
          </cell>
          <cell r="EN48">
            <v>841.69374999999991</v>
          </cell>
          <cell r="EO48">
            <v>848.04374999999959</v>
          </cell>
          <cell r="EP48">
            <v>854.31874999999923</v>
          </cell>
          <cell r="EQ48">
            <v>860.5187499999995</v>
          </cell>
          <cell r="ER48">
            <v>866.64374999999984</v>
          </cell>
          <cell r="ES48">
            <v>872.69374999999945</v>
          </cell>
          <cell r="ET48">
            <v>878.66874999999914</v>
          </cell>
          <cell r="EU48">
            <v>884.56874999999945</v>
          </cell>
          <cell r="EV48">
            <v>892.50909999999999</v>
          </cell>
          <cell r="EW48">
            <v>902.44450000000006</v>
          </cell>
          <cell r="EX48">
            <v>912.21430000000021</v>
          </cell>
          <cell r="EY48">
            <v>921.81850000000031</v>
          </cell>
          <cell r="EZ48">
            <v>931.25710000000049</v>
          </cell>
          <cell r="FA48">
            <v>940.53010000000063</v>
          </cell>
          <cell r="FB48">
            <v>949.63750000000073</v>
          </cell>
          <cell r="FC48">
            <v>958.5793000000009</v>
          </cell>
          <cell r="FD48">
            <v>963.00880000000097</v>
          </cell>
          <cell r="FE48">
            <v>963.00880000000097</v>
          </cell>
          <cell r="FF48">
            <v>963.00880000000097</v>
          </cell>
          <cell r="FG48">
            <v>963.00880000000097</v>
          </cell>
          <cell r="FH48">
            <v>963.00880000000097</v>
          </cell>
          <cell r="FI48">
            <v>963.00880000000097</v>
          </cell>
          <cell r="FJ48">
            <v>963.00880000000097</v>
          </cell>
          <cell r="FK48">
            <v>963.00880000000097</v>
          </cell>
          <cell r="FL48">
            <v>963.00880000000097</v>
          </cell>
          <cell r="FM48">
            <v>963.00880000000097</v>
          </cell>
          <cell r="FN48">
            <v>963.00880000000097</v>
          </cell>
          <cell r="FO48">
            <v>963.00880000000097</v>
          </cell>
          <cell r="FP48">
            <v>963.00880000000097</v>
          </cell>
          <cell r="FQ48">
            <v>963.00880000000097</v>
          </cell>
          <cell r="FR48">
            <v>963.00880000000097</v>
          </cell>
          <cell r="FS48">
            <v>963.00880000000097</v>
          </cell>
          <cell r="FT48">
            <v>963.00880000000097</v>
          </cell>
          <cell r="FU48">
            <v>963.00880000000097</v>
          </cell>
        </row>
        <row r="49">
          <cell r="D49"/>
          <cell r="E49"/>
          <cell r="F49"/>
          <cell r="G49"/>
          <cell r="H49"/>
          <cell r="I49"/>
          <cell r="J49"/>
          <cell r="K49"/>
          <cell r="L49"/>
          <cell r="M49"/>
          <cell r="N49"/>
          <cell r="O49"/>
          <cell r="P49"/>
          <cell r="Q49"/>
          <cell r="R49"/>
          <cell r="S49"/>
          <cell r="T49"/>
          <cell r="U49"/>
          <cell r="V49"/>
          <cell r="W49"/>
          <cell r="X49"/>
          <cell r="Y49"/>
          <cell r="Z49"/>
          <cell r="AA49"/>
          <cell r="AB49"/>
          <cell r="AC49"/>
          <cell r="AD49"/>
          <cell r="AE49"/>
          <cell r="AF49"/>
          <cell r="AG49"/>
          <cell r="AH49"/>
          <cell r="AI49"/>
          <cell r="AJ49"/>
          <cell r="AK49"/>
          <cell r="AL49"/>
          <cell r="AM49"/>
          <cell r="AN49"/>
          <cell r="AO49"/>
          <cell r="AP49"/>
          <cell r="AQ49"/>
          <cell r="AR49"/>
          <cell r="AS49"/>
          <cell r="AT49"/>
          <cell r="AU49"/>
          <cell r="AV49"/>
          <cell r="AW49"/>
          <cell r="AX49"/>
          <cell r="AY49"/>
          <cell r="AZ49"/>
          <cell r="BA49"/>
          <cell r="BB49"/>
          <cell r="BC49"/>
          <cell r="BD49"/>
          <cell r="BE49"/>
          <cell r="BF49"/>
          <cell r="BG49"/>
          <cell r="BH49"/>
          <cell r="BI49"/>
          <cell r="BJ49"/>
          <cell r="BK49"/>
          <cell r="BL49"/>
          <cell r="BM49"/>
          <cell r="BN49"/>
          <cell r="BO49"/>
          <cell r="BP49"/>
          <cell r="BQ49"/>
          <cell r="BR49"/>
          <cell r="BS49"/>
          <cell r="BT49"/>
          <cell r="BU49"/>
          <cell r="BV49"/>
          <cell r="BW49"/>
          <cell r="BX49"/>
          <cell r="BY49"/>
          <cell r="BZ49"/>
          <cell r="CA49"/>
          <cell r="CB49"/>
          <cell r="CC49"/>
          <cell r="CD49"/>
          <cell r="CE49"/>
          <cell r="CF49"/>
          <cell r="CG49"/>
          <cell r="CH49"/>
          <cell r="CI49"/>
          <cell r="CJ49"/>
          <cell r="CK49"/>
          <cell r="CL49"/>
          <cell r="CM49"/>
          <cell r="CN49"/>
          <cell r="CO49"/>
          <cell r="CP49"/>
          <cell r="CQ49"/>
          <cell r="CR49"/>
          <cell r="CS49"/>
          <cell r="CT49"/>
          <cell r="CU49"/>
          <cell r="CV49"/>
          <cell r="CW49"/>
          <cell r="CX49"/>
          <cell r="CY49"/>
          <cell r="CZ49"/>
          <cell r="DA49"/>
          <cell r="DB49"/>
          <cell r="DC49"/>
          <cell r="DD49"/>
          <cell r="DE49"/>
          <cell r="DF49"/>
          <cell r="DG49"/>
          <cell r="DH49"/>
          <cell r="DI49"/>
          <cell r="DJ49"/>
          <cell r="DK49"/>
          <cell r="DL49"/>
          <cell r="DM49"/>
          <cell r="DN49"/>
          <cell r="DO49"/>
          <cell r="DP49"/>
          <cell r="DQ49"/>
          <cell r="DR49"/>
          <cell r="DS49"/>
          <cell r="DT49"/>
          <cell r="DU49"/>
          <cell r="DV49"/>
          <cell r="DW49"/>
          <cell r="DX49"/>
          <cell r="DY49"/>
          <cell r="DZ49"/>
          <cell r="EA49"/>
          <cell r="EB49"/>
          <cell r="EC49"/>
          <cell r="ED49"/>
          <cell r="EE49"/>
          <cell r="EG49"/>
          <cell r="EH49"/>
        </row>
        <row r="50">
          <cell r="B50" t="str">
            <v>Average exchange rates (12mo)</v>
          </cell>
          <cell r="C50"/>
          <cell r="D50"/>
          <cell r="E50"/>
          <cell r="F50"/>
          <cell r="G50"/>
          <cell r="H50"/>
          <cell r="I50"/>
          <cell r="J50"/>
          <cell r="K50"/>
          <cell r="L50"/>
          <cell r="M50"/>
          <cell r="N50"/>
          <cell r="O50"/>
          <cell r="P50"/>
          <cell r="Q50"/>
          <cell r="R50"/>
          <cell r="S50"/>
          <cell r="T50"/>
          <cell r="U50"/>
          <cell r="V50"/>
          <cell r="W50"/>
          <cell r="X50"/>
          <cell r="Y50"/>
          <cell r="Z50"/>
          <cell r="AA50"/>
          <cell r="AB50"/>
          <cell r="AC50"/>
          <cell r="AD50"/>
          <cell r="AE50"/>
          <cell r="AF50"/>
          <cell r="AG50"/>
          <cell r="AH50"/>
          <cell r="AI50"/>
          <cell r="AJ50"/>
          <cell r="AK50"/>
          <cell r="AL50"/>
          <cell r="AM50"/>
          <cell r="AN50"/>
          <cell r="AO50"/>
          <cell r="AP50"/>
          <cell r="AQ50"/>
          <cell r="AR50"/>
          <cell r="AS50"/>
          <cell r="AT50"/>
          <cell r="AU50"/>
          <cell r="AV50"/>
          <cell r="AW50"/>
          <cell r="AX50"/>
          <cell r="AY50"/>
          <cell r="AZ50"/>
          <cell r="BA50"/>
          <cell r="BB50"/>
          <cell r="BC50"/>
          <cell r="BD50"/>
          <cell r="BE50"/>
          <cell r="BF50"/>
          <cell r="BG50"/>
          <cell r="BH50"/>
          <cell r="BI50"/>
          <cell r="BJ50"/>
          <cell r="BK50"/>
          <cell r="BL50"/>
          <cell r="BM50"/>
          <cell r="BN50"/>
          <cell r="BO50"/>
          <cell r="BP50"/>
          <cell r="BQ50"/>
          <cell r="BR50"/>
          <cell r="BS50"/>
          <cell r="BT50"/>
          <cell r="BU50"/>
          <cell r="BV50"/>
          <cell r="BW50"/>
          <cell r="BX50"/>
          <cell r="BY50"/>
          <cell r="BZ50"/>
          <cell r="CA50"/>
          <cell r="CB50"/>
          <cell r="CC50"/>
          <cell r="CD50"/>
          <cell r="CE50"/>
          <cell r="CF50"/>
          <cell r="CG50"/>
          <cell r="CH50"/>
          <cell r="CI50"/>
          <cell r="CJ50"/>
          <cell r="CK50"/>
          <cell r="CL50"/>
          <cell r="CM50"/>
          <cell r="CN50"/>
          <cell r="CO50"/>
          <cell r="CP50"/>
          <cell r="CQ50"/>
          <cell r="CR50"/>
          <cell r="CS50"/>
          <cell r="CT50"/>
          <cell r="CU50"/>
          <cell r="CV50"/>
          <cell r="CW50"/>
          <cell r="CX50"/>
          <cell r="CY50"/>
          <cell r="CZ50"/>
          <cell r="DA50"/>
          <cell r="DB50"/>
          <cell r="DC50"/>
          <cell r="DD50"/>
          <cell r="DE50"/>
          <cell r="DF50"/>
          <cell r="DG50"/>
          <cell r="DH50"/>
          <cell r="DI50"/>
          <cell r="DJ50"/>
          <cell r="DK50"/>
          <cell r="DL50"/>
          <cell r="DM50"/>
          <cell r="DN50"/>
          <cell r="DO50"/>
          <cell r="DP50"/>
          <cell r="DQ50"/>
          <cell r="DR50"/>
          <cell r="DS50"/>
          <cell r="DT50"/>
          <cell r="DU50"/>
          <cell r="DV50"/>
          <cell r="DW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row>
        <row r="51">
          <cell r="A51" t="str">
            <v>avaudgbp12m</v>
          </cell>
          <cell r="B51" t="str">
            <v>AUD/GBP</v>
          </cell>
          <cell r="D51">
            <v>0.4449999999999999</v>
          </cell>
          <cell r="E51">
            <v>0.43307500000000004</v>
          </cell>
          <cell r="F51">
            <v>0.41307500000000003</v>
          </cell>
          <cell r="G51">
            <v>0.4182583333333334</v>
          </cell>
          <cell r="H51">
            <v>0.4281166666666667</v>
          </cell>
          <cell r="I51">
            <v>0.43619999999999992</v>
          </cell>
          <cell r="J51">
            <v>0.45310833333333328</v>
          </cell>
          <cell r="K51">
            <v>0.45322499999999999</v>
          </cell>
          <cell r="L51">
            <v>0.45439166666666669</v>
          </cell>
          <cell r="M51">
            <v>0.46283333333333326</v>
          </cell>
          <cell r="N51">
            <v>0.4698916666666666</v>
          </cell>
          <cell r="O51">
            <v>0.47715000000000002</v>
          </cell>
          <cell r="P51">
            <v>0.47505000000000003</v>
          </cell>
          <cell r="Q51">
            <v>0.46822500000000006</v>
          </cell>
          <cell r="R51">
            <v>0.46756666666666669</v>
          </cell>
          <cell r="S51">
            <v>0.46793333333333337</v>
          </cell>
          <cell r="T51">
            <v>0.47671666666666668</v>
          </cell>
          <cell r="U51">
            <v>0.49309999999999993</v>
          </cell>
          <cell r="V51">
            <v>0.50010833333333338</v>
          </cell>
          <cell r="W51">
            <v>0.49928333333333325</v>
          </cell>
          <cell r="X51">
            <v>0.49337499999999995</v>
          </cell>
          <cell r="Y51">
            <v>0.4810666666666667</v>
          </cell>
          <cell r="Z51">
            <v>0.46824166666666667</v>
          </cell>
          <cell r="AA51">
            <v>0.4501</v>
          </cell>
          <cell r="AB51">
            <v>0.43295833333333333</v>
          </cell>
          <cell r="AC51">
            <v>0.41159999999999997</v>
          </cell>
          <cell r="AD51">
            <v>0.38680833333333337</v>
          </cell>
          <cell r="AE51">
            <v>0.37884999999999996</v>
          </cell>
          <cell r="AF51">
            <v>0.37346666666666667</v>
          </cell>
          <cell r="AG51">
            <v>0.38169166666666671</v>
          </cell>
          <cell r="AH51">
            <v>0.39329166666666676</v>
          </cell>
          <cell r="AI51">
            <v>0.39920833333333322</v>
          </cell>
          <cell r="AJ51">
            <v>0.39948333333333336</v>
          </cell>
          <cell r="AK51">
            <v>0.39219999999999994</v>
          </cell>
          <cell r="AL51">
            <v>0.38865</v>
          </cell>
          <cell r="AM51">
            <v>0.38124166666666676</v>
          </cell>
          <cell r="AN51">
            <v>0.37435000000000002</v>
          </cell>
          <cell r="AO51">
            <v>0.36804166666666666</v>
          </cell>
          <cell r="AP51">
            <v>0.35988333333333333</v>
          </cell>
          <cell r="AQ51">
            <v>0.35640000000000005</v>
          </cell>
          <cell r="AR51">
            <v>0.35777499999999995</v>
          </cell>
          <cell r="AS51">
            <v>0.36198333333333332</v>
          </cell>
          <cell r="AT51">
            <v>0.36135833333333328</v>
          </cell>
          <cell r="AU51">
            <v>0.36143333333333333</v>
          </cell>
          <cell r="AV51">
            <v>0.36357499999999998</v>
          </cell>
          <cell r="AW51">
            <v>0.36957499999999999</v>
          </cell>
          <cell r="AX51">
            <v>0.38409999999999994</v>
          </cell>
          <cell r="AY51">
            <v>0.40051666666666669</v>
          </cell>
          <cell r="AZ51">
            <v>0.41073333333333339</v>
          </cell>
          <cell r="BA51">
            <v>0.40915833333333329</v>
          </cell>
          <cell r="BB51">
            <v>0.40550833333333336</v>
          </cell>
          <cell r="BC51">
            <v>0.40215063996371464</v>
          </cell>
          <cell r="BD51">
            <v>0.400900815118929</v>
          </cell>
          <cell r="BE51">
            <v>0.40684028267171218</v>
          </cell>
          <cell r="BF51">
            <v>0.41535531550159305</v>
          </cell>
          <cell r="BG51">
            <v>0.42002550887121187</v>
          </cell>
          <cell r="BH51">
            <v>0.42242533371599739</v>
          </cell>
          <cell r="BI51">
            <v>0.4199108661632141</v>
          </cell>
          <cell r="BJ51">
            <v>0.41396250000000001</v>
          </cell>
          <cell r="BK51">
            <v>0.40844166666666676</v>
          </cell>
          <cell r="BL51">
            <v>0.40390833333333331</v>
          </cell>
          <cell r="BM51">
            <v>0.40686249999999996</v>
          </cell>
          <cell r="BN51">
            <v>0.41095833333333331</v>
          </cell>
          <cell r="BO51">
            <v>0.42013750000000005</v>
          </cell>
          <cell r="BP51">
            <v>0.43444583333333336</v>
          </cell>
          <cell r="BQ51">
            <v>0.449625</v>
          </cell>
          <cell r="BR51">
            <v>0.4606041666666667</v>
          </cell>
          <cell r="BS51">
            <v>0.46064166666666667</v>
          </cell>
          <cell r="BT51">
            <v>0.45961666666666673</v>
          </cell>
          <cell r="BU51">
            <v>0.46274166666666677</v>
          </cell>
          <cell r="BV51">
            <v>0.47774999999999995</v>
          </cell>
          <cell r="BW51">
            <v>0.50606666666666678</v>
          </cell>
          <cell r="BX51">
            <v>0.53755000000000008</v>
          </cell>
          <cell r="BY51">
            <v>0.56037499999999996</v>
          </cell>
          <cell r="BZ51">
            <v>0.57715000000000005</v>
          </cell>
          <cell r="CA51">
            <v>0.59592499999999993</v>
          </cell>
          <cell r="CB51">
            <v>0.60831666666666662</v>
          </cell>
          <cell r="CC51">
            <v>0.62691666666666668</v>
          </cell>
          <cell r="CD51">
            <v>0.64169166666666666</v>
          </cell>
          <cell r="CE51">
            <v>0.64855416666666665</v>
          </cell>
          <cell r="CF51">
            <v>0.65702916666666666</v>
          </cell>
          <cell r="CG51">
            <v>0.65317499999999995</v>
          </cell>
          <cell r="CH51">
            <v>0.65434583333333329</v>
          </cell>
          <cell r="CI51">
            <v>0.65160416666666654</v>
          </cell>
          <cell r="CJ51">
            <v>0.6533916666666667</v>
          </cell>
          <cell r="CK51">
            <v>0.65106249999999999</v>
          </cell>
          <cell r="CL51">
            <v>0.63258333333333339</v>
          </cell>
          <cell r="CM51">
            <v>0.61177083333333337</v>
          </cell>
          <cell r="CN51">
            <v>0.57895416666666666</v>
          </cell>
          <cell r="CO51">
            <v>0.55885416666666665</v>
          </cell>
          <cell r="CP51">
            <v>0.55145416666666669</v>
          </cell>
          <cell r="CQ51">
            <v>0.5459208333333333</v>
          </cell>
          <cell r="CR51">
            <v>0.53863333333333341</v>
          </cell>
          <cell r="CS51">
            <v>0.52598750000000016</v>
          </cell>
          <cell r="CT51">
            <v>0.50451250000000003</v>
          </cell>
          <cell r="CU51">
            <v>0.48943750000000003</v>
          </cell>
          <cell r="CV51">
            <v>0.49012916666666667</v>
          </cell>
          <cell r="CW51">
            <v>0.49632083333333332</v>
          </cell>
          <cell r="CX51">
            <v>0.52484583333333334</v>
          </cell>
          <cell r="CY51">
            <v>0.55471666666666664</v>
          </cell>
          <cell r="CZ51">
            <v>0.57852916666666665</v>
          </cell>
          <cell r="DA51">
            <v>0.59224999999999994</v>
          </cell>
          <cell r="DB51">
            <v>0.59789166666666671</v>
          </cell>
          <cell r="DC51">
            <v>0.59100416666666666</v>
          </cell>
          <cell r="DD51">
            <v>0.57850416666666649</v>
          </cell>
          <cell r="DE51">
            <v>0.5728833333333333</v>
          </cell>
          <cell r="DF51">
            <v>0.56206250000000002</v>
          </cell>
          <cell r="DG51">
            <v>0.5593541666666666</v>
          </cell>
          <cell r="DH51">
            <v>0.55562499999999992</v>
          </cell>
          <cell r="DI51">
            <v>0.55277916666666671</v>
          </cell>
          <cell r="DJ51">
            <v>0.55200000000000005</v>
          </cell>
          <cell r="DK51">
            <v>0.54398333333333337</v>
          </cell>
          <cell r="DL51">
            <v>0.5334941666666666</v>
          </cell>
          <cell r="DM51">
            <v>0.53106999999999993</v>
          </cell>
          <cell r="DN51">
            <v>0.52992666666666655</v>
          </cell>
          <cell r="DO51">
            <v>0.53597166666666662</v>
          </cell>
          <cell r="DP51">
            <v>0.54872750000000003</v>
          </cell>
          <cell r="DQ51">
            <v>0.55127541666666657</v>
          </cell>
          <cell r="DR51">
            <v>0.54666875000000015</v>
          </cell>
          <cell r="DS51">
            <v>0.54378208333333344</v>
          </cell>
          <cell r="DT51">
            <v>0.54167299666666657</v>
          </cell>
          <cell r="DU51">
            <v>0.54610589916666652</v>
          </cell>
          <cell r="DV51">
            <v>0.55772256583333346</v>
          </cell>
          <cell r="DW51">
            <v>0.56289080583333329</v>
          </cell>
          <cell r="DX51">
            <v>0.56605030916666654</v>
          </cell>
          <cell r="DY51">
            <v>0.55572115666666666</v>
          </cell>
          <cell r="DZ51">
            <v>0.54123231250000003</v>
          </cell>
          <cell r="EA51">
            <v>0.53251073916666669</v>
          </cell>
          <cell r="EB51">
            <v>0.52200907250000006</v>
          </cell>
          <cell r="EC51">
            <v>0.5215024744451382</v>
          </cell>
          <cell r="ED51">
            <v>0.5197317646321753</v>
          </cell>
          <cell r="EE51">
            <v>0.51443556991459494</v>
          </cell>
          <cell r="EF51">
            <v>0.50861113095757338</v>
          </cell>
          <cell r="EG51">
            <v>0.49774623377591282</v>
          </cell>
          <cell r="EH51">
            <v>0.49119308378671461</v>
          </cell>
          <cell r="EI51">
            <v>0.48330398917869855</v>
          </cell>
          <cell r="EJ51">
            <v>0.48124408421877746</v>
          </cell>
          <cell r="EK51">
            <v>0.47950530269223557</v>
          </cell>
          <cell r="EL51">
            <v>0.47528644086742683</v>
          </cell>
          <cell r="EM51">
            <v>0.47512887784221669</v>
          </cell>
          <cell r="EN51">
            <v>0.47760081277283356</v>
          </cell>
          <cell r="EO51">
            <v>0.48269340536542615</v>
          </cell>
          <cell r="EP51">
            <v>0.48894340536542613</v>
          </cell>
          <cell r="EQ51">
            <v>0.49632378288957013</v>
          </cell>
          <cell r="ER51">
            <v>0.50351849268713533</v>
          </cell>
          <cell r="ES51">
            <v>0.51052015727306954</v>
          </cell>
          <cell r="ET51">
            <v>0.51732128297663404</v>
          </cell>
          <cell r="EU51">
            <v>0.52391425795138447</v>
          </cell>
          <cell r="EV51">
            <v>0.5319451372478341</v>
          </cell>
          <cell r="EW51">
            <v>0.5414452484102511</v>
          </cell>
          <cell r="EX51">
            <v>0.55244657293639543</v>
          </cell>
          <cell r="EY51">
            <v>0.5649817629916567</v>
          </cell>
          <cell r="EZ51">
            <v>0.57767101699956114</v>
          </cell>
          <cell r="FA51">
            <v>0.5905171929470554</v>
          </cell>
          <cell r="FB51">
            <v>0.60352321995439495</v>
          </cell>
          <cell r="FC51">
            <v>0.61669210050218137</v>
          </cell>
          <cell r="FD51">
            <v>0.62663001152022024</v>
          </cell>
          <cell r="FE51">
            <v>0.63329662889581573</v>
          </cell>
          <cell r="FF51">
            <v>0.6366508688783562</v>
          </cell>
          <cell r="FG51">
            <v>0.6366508688783562</v>
          </cell>
          <cell r="FH51">
            <v>0.6366508688783562</v>
          </cell>
          <cell r="FI51">
            <v>0.6366508688783562</v>
          </cell>
          <cell r="FJ51">
            <v>0.6366508688783562</v>
          </cell>
          <cell r="FK51">
            <v>0.6366508688783562</v>
          </cell>
          <cell r="FL51">
            <v>0.6366508688783562</v>
          </cell>
          <cell r="FM51">
            <v>0.6366508688783562</v>
          </cell>
          <cell r="FN51">
            <v>0.6366508688783562</v>
          </cell>
          <cell r="FO51">
            <v>0.6366508688783562</v>
          </cell>
          <cell r="FP51">
            <v>0.6366508688783562</v>
          </cell>
          <cell r="FQ51">
            <v>0.6366508688783562</v>
          </cell>
          <cell r="FR51">
            <v>0.6366508688783562</v>
          </cell>
          <cell r="FS51">
            <v>0.6366508688783562</v>
          </cell>
          <cell r="FT51">
            <v>0.6366508688783562</v>
          </cell>
          <cell r="FU51">
            <v>0.6366508688783562</v>
          </cell>
        </row>
        <row r="52">
          <cell r="A52" t="str">
            <v>avaudusd12m</v>
          </cell>
          <cell r="B52" t="str">
            <v>AUD/USD</v>
          </cell>
          <cell r="D52">
            <v>0.77221666666666666</v>
          </cell>
          <cell r="E52">
            <v>0.7680583333333334</v>
          </cell>
          <cell r="F52">
            <v>0.75225833333333336</v>
          </cell>
          <cell r="G52">
            <v>0.7307499999999999</v>
          </cell>
          <cell r="H52">
            <v>0.71470833333333339</v>
          </cell>
          <cell r="I52">
            <v>0.69703333333333328</v>
          </cell>
          <cell r="J52">
            <v>0.68347499999999994</v>
          </cell>
          <cell r="K52">
            <v>0.67841666666666667</v>
          </cell>
          <cell r="L52">
            <v>0.68213333333333326</v>
          </cell>
          <cell r="M52">
            <v>0.69304166666666667</v>
          </cell>
          <cell r="N52">
            <v>0.71083333333333332</v>
          </cell>
          <cell r="O52">
            <v>0.73442499999999999</v>
          </cell>
          <cell r="P52">
            <v>0.74325000000000008</v>
          </cell>
          <cell r="Q52">
            <v>0.74118333333333331</v>
          </cell>
          <cell r="R52">
            <v>0.74311666666666654</v>
          </cell>
          <cell r="S52">
            <v>0.73968333333333336</v>
          </cell>
          <cell r="T52">
            <v>0.74476666666666669</v>
          </cell>
          <cell r="U52">
            <v>0.76293333333333335</v>
          </cell>
          <cell r="V52">
            <v>0.77203333333333335</v>
          </cell>
          <cell r="W52">
            <v>0.78493333333333337</v>
          </cell>
          <cell r="X52">
            <v>0.78786666666666683</v>
          </cell>
          <cell r="Y52">
            <v>0.78068333333333317</v>
          </cell>
          <cell r="Z52">
            <v>0.76818333333333333</v>
          </cell>
          <cell r="AA52">
            <v>0.73744999999999994</v>
          </cell>
          <cell r="AB52">
            <v>0.71252499999999996</v>
          </cell>
          <cell r="AC52">
            <v>0.67972499999999991</v>
          </cell>
          <cell r="AD52">
            <v>0.64336666666666675</v>
          </cell>
          <cell r="AE52">
            <v>0.62937500000000002</v>
          </cell>
          <cell r="AF52">
            <v>0.61734999999999995</v>
          </cell>
          <cell r="AG52">
            <v>0.62439999999999996</v>
          </cell>
          <cell r="AH52">
            <v>0.63903333333333323</v>
          </cell>
          <cell r="AI52">
            <v>0.64459999999999995</v>
          </cell>
          <cell r="AJ52">
            <v>0.64277499999999999</v>
          </cell>
          <cell r="AK52">
            <v>0.62414999999999998</v>
          </cell>
          <cell r="AL52">
            <v>0.60380833333333328</v>
          </cell>
          <cell r="AM52">
            <v>0.57677499999999993</v>
          </cell>
          <cell r="AN52">
            <v>0.55187499999999989</v>
          </cell>
          <cell r="AO52">
            <v>0.53332499999999994</v>
          </cell>
          <cell r="AP52">
            <v>0.51927499999999993</v>
          </cell>
          <cell r="AQ52">
            <v>0.51317500000000005</v>
          </cell>
          <cell r="AR52">
            <v>0.51289999999999991</v>
          </cell>
          <cell r="AS52">
            <v>0.52443333333333342</v>
          </cell>
          <cell r="AT52">
            <v>0.53326666666666667</v>
          </cell>
          <cell r="AU52">
            <v>0.54517500000000008</v>
          </cell>
          <cell r="AV52">
            <v>0.5652666666666667</v>
          </cell>
          <cell r="AW52">
            <v>0.58895833333333336</v>
          </cell>
          <cell r="AX52">
            <v>0.61730000000000007</v>
          </cell>
          <cell r="AY52">
            <v>0.65968333333333329</v>
          </cell>
          <cell r="AZ52">
            <v>0.70167499999999994</v>
          </cell>
          <cell r="BA52">
            <v>0.71676666666666655</v>
          </cell>
          <cell r="BB52">
            <v>0.72990833333333327</v>
          </cell>
          <cell r="BC52">
            <v>0.73969583333333355</v>
          </cell>
          <cell r="BD52">
            <v>0.74272500000000008</v>
          </cell>
          <cell r="BE52">
            <v>0.75644583333333337</v>
          </cell>
          <cell r="BF52">
            <v>0.76808333333333323</v>
          </cell>
          <cell r="BG52">
            <v>0.76120833333333338</v>
          </cell>
          <cell r="BH52">
            <v>0.7509083333333334</v>
          </cell>
          <cell r="BI52">
            <v>0.74720416666666667</v>
          </cell>
          <cell r="BJ52">
            <v>0.74731666666666674</v>
          </cell>
          <cell r="BK52">
            <v>0.75828749999999989</v>
          </cell>
          <cell r="BL52">
            <v>0.77136249999999995</v>
          </cell>
          <cell r="BM52">
            <v>0.79239166666666661</v>
          </cell>
          <cell r="BN52">
            <v>0.81591250000000004</v>
          </cell>
          <cell r="BO52">
            <v>0.84433333333333349</v>
          </cell>
          <cell r="BP52">
            <v>0.87482916666666666</v>
          </cell>
          <cell r="BQ52">
            <v>0.90408333333333335</v>
          </cell>
          <cell r="BR52">
            <v>0.90692916666666668</v>
          </cell>
          <cell r="BS52">
            <v>0.85127083333333331</v>
          </cell>
          <cell r="BT52">
            <v>0.78684166666666666</v>
          </cell>
          <cell r="BU52">
            <v>0.74317083333333323</v>
          </cell>
          <cell r="BV52">
            <v>0.74069999999999991</v>
          </cell>
          <cell r="BW52">
            <v>0.79800833333333332</v>
          </cell>
          <cell r="BX52">
            <v>0.85888750000000014</v>
          </cell>
          <cell r="BY52">
            <v>0.88197083333333337</v>
          </cell>
          <cell r="BZ52">
            <v>0.89869583333333347</v>
          </cell>
          <cell r="CA52">
            <v>0.91979583333333315</v>
          </cell>
          <cell r="CB52">
            <v>0.94906250000000003</v>
          </cell>
          <cell r="CC52">
            <v>1.0011166666666667</v>
          </cell>
          <cell r="CD52">
            <v>1.0322375000000001</v>
          </cell>
          <cell r="CE52">
            <v>1.043725</v>
          </cell>
          <cell r="CF52">
            <v>1.0539504166666667</v>
          </cell>
          <cell r="CG52">
            <v>1.0376733333333334</v>
          </cell>
          <cell r="CH52">
            <v>1.0363387500000001</v>
          </cell>
          <cell r="CI52">
            <v>1.0376870833333334</v>
          </cell>
          <cell r="CJ52">
            <v>1.0322383333333336</v>
          </cell>
          <cell r="CK52">
            <v>1.02123875</v>
          </cell>
          <cell r="CL52">
            <v>0.98798208333333337</v>
          </cell>
          <cell r="CM52">
            <v>0.95702500000000013</v>
          </cell>
          <cell r="CN52">
            <v>0.92277750000000003</v>
          </cell>
          <cell r="CO52">
            <v>0.91398583333333361</v>
          </cell>
          <cell r="CP52">
            <v>0.91537541666666666</v>
          </cell>
          <cell r="CQ52">
            <v>0.89858958333333339</v>
          </cell>
          <cell r="CR52">
            <v>0.86725125000000014</v>
          </cell>
          <cell r="CS52">
            <v>0.82746958333333342</v>
          </cell>
          <cell r="CT52">
            <v>0.77787958333333329</v>
          </cell>
          <cell r="CU52">
            <v>0.74609458333333334</v>
          </cell>
          <cell r="CV52">
            <v>0.73523624999999992</v>
          </cell>
          <cell r="CW52">
            <v>0.72719208333333329</v>
          </cell>
          <cell r="CX52">
            <v>0.73839999999999995</v>
          </cell>
          <cell r="CY52">
            <v>0.74289708333333326</v>
          </cell>
          <cell r="CZ52">
            <v>0.75117166666666668</v>
          </cell>
          <cell r="DA52">
            <v>0.75377708333333349</v>
          </cell>
          <cell r="DB52">
            <v>0.76216333333333341</v>
          </cell>
          <cell r="DC52">
            <v>0.76909749999999999</v>
          </cell>
          <cell r="DD52">
            <v>0.77428666666666668</v>
          </cell>
          <cell r="DE52">
            <v>0.77344416666666671</v>
          </cell>
          <cell r="DF52">
            <v>0.75723583333333322</v>
          </cell>
          <cell r="DG52">
            <v>0.74401083333333329</v>
          </cell>
          <cell r="DH52">
            <v>0.72707375000000007</v>
          </cell>
          <cell r="DI52">
            <v>0.71460458333333332</v>
          </cell>
          <cell r="DJ52">
            <v>0.7020641666666666</v>
          </cell>
          <cell r="DK52">
            <v>0.6956699999999999</v>
          </cell>
          <cell r="DL52">
            <v>0.67791166666666658</v>
          </cell>
          <cell r="DM52">
            <v>0.67021791666666664</v>
          </cell>
          <cell r="DN52">
            <v>0.68147374999999999</v>
          </cell>
          <cell r="DO52">
            <v>0.69309249999999978</v>
          </cell>
          <cell r="DP52">
            <v>0.72322083333333342</v>
          </cell>
          <cell r="DQ52">
            <v>0.74709333333333339</v>
          </cell>
          <cell r="DR52">
            <v>0.7487691666666666</v>
          </cell>
          <cell r="DS52">
            <v>0.74744124999999995</v>
          </cell>
          <cell r="DT52">
            <v>0.73794916666666666</v>
          </cell>
          <cell r="DU52">
            <v>0.7228612499999999</v>
          </cell>
          <cell r="DV52">
            <v>0.70911333333333326</v>
          </cell>
          <cell r="DW52">
            <v>0.69324250000000009</v>
          </cell>
          <cell r="DX52">
            <v>0.68205041666666677</v>
          </cell>
          <cell r="DY52">
            <v>0.67071291666666666</v>
          </cell>
          <cell r="DZ52">
            <v>0.6656704166666666</v>
          </cell>
          <cell r="EA52">
            <v>0.66352458333333331</v>
          </cell>
          <cell r="EB52">
            <v>0.65612083333333326</v>
          </cell>
          <cell r="EC52">
            <v>0.65626499999999999</v>
          </cell>
          <cell r="ED52">
            <v>0.66116000000000008</v>
          </cell>
          <cell r="EE52">
            <v>0.65730874999999989</v>
          </cell>
          <cell r="EF52">
            <v>0.64930083333333333</v>
          </cell>
          <cell r="EG52">
            <v>0.64611666666666667</v>
          </cell>
          <cell r="EH52">
            <v>0.64074708333333341</v>
          </cell>
          <cell r="EI52">
            <v>0.65351999999999999</v>
          </cell>
          <cell r="EJ52">
            <v>0.6660950000000001</v>
          </cell>
          <cell r="EK52">
            <v>0.67157875000000011</v>
          </cell>
          <cell r="EL52">
            <v>0.6725000000000001</v>
          </cell>
          <cell r="EM52">
            <v>0.66750000000000009</v>
          </cell>
          <cell r="EN52">
            <v>0.66312499999999996</v>
          </cell>
          <cell r="EO52">
            <v>0.65937499999999993</v>
          </cell>
          <cell r="EP52">
            <v>0.66124999999999989</v>
          </cell>
          <cell r="EQ52">
            <v>0.66874999999999984</v>
          </cell>
          <cell r="ER52">
            <v>0.67624999999999991</v>
          </cell>
          <cell r="ES52">
            <v>0.68374999999999986</v>
          </cell>
          <cell r="ET52">
            <v>0.69124999999999981</v>
          </cell>
          <cell r="EU52">
            <v>0.69874999999999976</v>
          </cell>
          <cell r="EV52">
            <v>0.70737499999999975</v>
          </cell>
          <cell r="EW52">
            <v>0.7171249999999999</v>
          </cell>
          <cell r="EX52">
            <v>0.72799999999999998</v>
          </cell>
          <cell r="EY52">
            <v>0.74</v>
          </cell>
          <cell r="EZ52">
            <v>0.752</v>
          </cell>
          <cell r="FA52">
            <v>0.76400000000000001</v>
          </cell>
          <cell r="FB52">
            <v>0.77600000000000002</v>
          </cell>
          <cell r="FC52">
            <v>0.78800000000000003</v>
          </cell>
          <cell r="FD52">
            <v>0.79700000000000004</v>
          </cell>
          <cell r="FE52">
            <v>0.80300000000000005</v>
          </cell>
          <cell r="FF52">
            <v>0.80600000000000005</v>
          </cell>
          <cell r="FG52">
            <v>0.80600000000000005</v>
          </cell>
          <cell r="FH52">
            <v>0.80600000000000005</v>
          </cell>
          <cell r="FI52">
            <v>0.80600000000000005</v>
          </cell>
          <cell r="FJ52">
            <v>0.80600000000000005</v>
          </cell>
          <cell r="FK52">
            <v>0.80600000000000005</v>
          </cell>
          <cell r="FL52">
            <v>0.80600000000000005</v>
          </cell>
          <cell r="FM52">
            <v>0.80600000000000005</v>
          </cell>
          <cell r="FN52">
            <v>0.80600000000000005</v>
          </cell>
          <cell r="FO52">
            <v>0.80600000000000005</v>
          </cell>
          <cell r="FP52">
            <v>0.80600000000000005</v>
          </cell>
          <cell r="FQ52">
            <v>0.80600000000000005</v>
          </cell>
          <cell r="FR52">
            <v>0.80600000000000005</v>
          </cell>
          <cell r="FS52">
            <v>0.80600000000000005</v>
          </cell>
          <cell r="FT52">
            <v>0.80600000000000005</v>
          </cell>
          <cell r="FU52">
            <v>0.80600000000000005</v>
          </cell>
        </row>
        <row r="53">
          <cell r="A53" t="str">
            <v>avaudnzd12m</v>
          </cell>
          <cell r="B53" t="str">
            <v>AUD/NZD</v>
          </cell>
          <cell r="D53"/>
          <cell r="E53"/>
          <cell r="F53"/>
          <cell r="G53"/>
          <cell r="H53"/>
          <cell r="I53"/>
          <cell r="J53"/>
          <cell r="K53"/>
          <cell r="L53"/>
          <cell r="M53"/>
          <cell r="N53"/>
          <cell r="O53"/>
          <cell r="P53"/>
          <cell r="Q53"/>
          <cell r="R53">
            <v>1.1438916666666665</v>
          </cell>
          <cell r="S53">
            <v>1.1269666666666669</v>
          </cell>
          <cell r="T53">
            <v>1.1199833333333331</v>
          </cell>
          <cell r="U53">
            <v>1.1408416666666668</v>
          </cell>
          <cell r="V53">
            <v>1.1411416666666667</v>
          </cell>
          <cell r="W53">
            <v>1.1376000000000002</v>
          </cell>
          <cell r="X53">
            <v>1.1347416666666665</v>
          </cell>
          <cell r="Y53">
            <v>1.1236833333333334</v>
          </cell>
          <cell r="Z53">
            <v>1.125375</v>
          </cell>
          <cell r="AA53">
            <v>1.1218083333333333</v>
          </cell>
          <cell r="AB53">
            <v>1.1362833333333333</v>
          </cell>
          <cell r="AC53">
            <v>1.1530333333333331</v>
          </cell>
          <cell r="AD53">
            <v>1.1616666666666666</v>
          </cell>
          <cell r="AE53">
            <v>1.1771333333333334</v>
          </cell>
          <cell r="AF53">
            <v>1.1774666666666669</v>
          </cell>
          <cell r="AG53">
            <v>1.1865250000000001</v>
          </cell>
          <cell r="AH53">
            <v>1.2032416666666665</v>
          </cell>
          <cell r="AI53">
            <v>1.2223333333333333</v>
          </cell>
          <cell r="AJ53">
            <v>1.2423333333333335</v>
          </cell>
          <cell r="AK53">
            <v>1.248775</v>
          </cell>
          <cell r="AL53">
            <v>1.2684083333333334</v>
          </cell>
          <cell r="AM53">
            <v>1.2765250000000001</v>
          </cell>
          <cell r="AN53">
            <v>1.2675083333333332</v>
          </cell>
          <cell r="AO53">
            <v>1.2682499999999999</v>
          </cell>
          <cell r="AP53">
            <v>1.2423166666666667</v>
          </cell>
          <cell r="AQ53">
            <v>1.2287583333333332</v>
          </cell>
          <cell r="AR53">
            <v>1.2280833333333332</v>
          </cell>
          <cell r="AS53">
            <v>1.2119250000000001</v>
          </cell>
          <cell r="AT53">
            <v>1.1995666666666669</v>
          </cell>
          <cell r="AU53">
            <v>1.1696333333333333</v>
          </cell>
          <cell r="AV53">
            <v>1.1360916666666665</v>
          </cell>
          <cell r="AW53">
            <v>1.1240833333333335</v>
          </cell>
          <cell r="AX53">
            <v>1.1138916666666665</v>
          </cell>
          <cell r="AY53">
            <v>1.1217249999999999</v>
          </cell>
          <cell r="AZ53">
            <v>1.1342666666666668</v>
          </cell>
          <cell r="BA53">
            <v>1.1331416666666667</v>
          </cell>
          <cell r="BB53">
            <v>1.1225666666666665</v>
          </cell>
          <cell r="BC53">
            <v>1.1086006204230026</v>
          </cell>
          <cell r="BD53">
            <v>1.097128665453732</v>
          </cell>
          <cell r="BE53">
            <v>1.0848116036004793</v>
          </cell>
          <cell r="BF53">
            <v>1.0886763768451464</v>
          </cell>
          <cell r="BG53">
            <v>1.0826840897554773</v>
          </cell>
          <cell r="BH53">
            <v>1.0924810447247475</v>
          </cell>
          <cell r="BI53">
            <v>1.1225481065780005</v>
          </cell>
          <cell r="BJ53">
            <v>1.143025</v>
          </cell>
          <cell r="BK53">
            <v>1.1626041666666667</v>
          </cell>
          <cell r="BL53">
            <v>1.1620458333333332</v>
          </cell>
          <cell r="BM53">
            <v>1.1410708333333333</v>
          </cell>
          <cell r="BN53">
            <v>1.1337249999999999</v>
          </cell>
          <cell r="BO53">
            <v>1.1403624999999999</v>
          </cell>
          <cell r="BP53">
            <v>1.1473833333333336</v>
          </cell>
          <cell r="BQ53">
            <v>1.1757916666666668</v>
          </cell>
          <cell r="BR53">
            <v>1.1953625000000001</v>
          </cell>
          <cell r="BS53">
            <v>1.1989916666666669</v>
          </cell>
          <cell r="BT53">
            <v>1.2240541666666667</v>
          </cell>
          <cell r="BU53">
            <v>1.2324666666666668</v>
          </cell>
          <cell r="BV53">
            <v>1.2345708333333334</v>
          </cell>
          <cell r="BW53">
            <v>1.2533166666666669</v>
          </cell>
          <cell r="BX53">
            <v>1.259166666666667</v>
          </cell>
          <cell r="BY53">
            <v>1.2556</v>
          </cell>
          <cell r="BZ53">
            <v>1.2657833333333335</v>
          </cell>
          <cell r="CA53">
            <v>1.2750541666666668</v>
          </cell>
          <cell r="CB53">
            <v>1.2889166666666667</v>
          </cell>
          <cell r="CC53">
            <v>1.3055541666666668</v>
          </cell>
          <cell r="CD53">
            <v>1.3001875000000001</v>
          </cell>
          <cell r="CE53">
            <v>1.3043833333333335</v>
          </cell>
          <cell r="CF53">
            <v>1.2908641666666665</v>
          </cell>
          <cell r="CG53">
            <v>1.2827404166666667</v>
          </cell>
          <cell r="CH53">
            <v>1.28786125</v>
          </cell>
          <cell r="CI53">
            <v>1.2754691666666669</v>
          </cell>
          <cell r="CJ53">
            <v>1.2661145833333334</v>
          </cell>
          <cell r="CK53">
            <v>1.2453695833333334</v>
          </cell>
          <cell r="CL53">
            <v>1.20914375</v>
          </cell>
          <cell r="CM53">
            <v>1.1723391666666669</v>
          </cell>
          <cell r="CN53">
            <v>1.1297287500000002</v>
          </cell>
          <cell r="CO53">
            <v>1.1009654166666667</v>
          </cell>
          <cell r="CP53">
            <v>1.0951720833333336</v>
          </cell>
          <cell r="CQ53">
            <v>1.0881329166666667</v>
          </cell>
          <cell r="CR53">
            <v>1.0802837499999998</v>
          </cell>
          <cell r="CS53">
            <v>1.0804058333333335</v>
          </cell>
          <cell r="CT53">
            <v>1.0800545833333335</v>
          </cell>
          <cell r="CU53">
            <v>1.0765104166666668</v>
          </cell>
          <cell r="CV53">
            <v>1.0902025000000002</v>
          </cell>
          <cell r="CW53">
            <v>1.0860895833333333</v>
          </cell>
          <cell r="CX53">
            <v>1.0707270833333336</v>
          </cell>
          <cell r="CY53">
            <v>1.0646633333333335</v>
          </cell>
          <cell r="CZ53">
            <v>1.0569075000000001</v>
          </cell>
          <cell r="DA53">
            <v>1.05565625</v>
          </cell>
          <cell r="DB53">
            <v>1.0654133333333333</v>
          </cell>
          <cell r="DC53">
            <v>1.0803712499999998</v>
          </cell>
          <cell r="DD53">
            <v>1.0837333333333332</v>
          </cell>
          <cell r="DE53">
            <v>1.0884120833333333</v>
          </cell>
          <cell r="DF53">
            <v>1.0890720833333334</v>
          </cell>
          <cell r="DG53">
            <v>1.0784154166666666</v>
          </cell>
          <cell r="DH53">
            <v>1.0704233333333333</v>
          </cell>
          <cell r="DI53">
            <v>1.0635629166666667</v>
          </cell>
          <cell r="DJ53">
            <v>1.0570508333333335</v>
          </cell>
          <cell r="DK53">
            <v>1.0548062499999999</v>
          </cell>
          <cell r="DL53">
            <v>1.0522383333333332</v>
          </cell>
          <cell r="DM53">
            <v>1.0559691666666666</v>
          </cell>
          <cell r="DN53">
            <v>1.0614925000000002</v>
          </cell>
          <cell r="DO53">
            <v>1.062265</v>
          </cell>
          <cell r="DP53">
            <v>1.0713712499999999</v>
          </cell>
          <cell r="DQ53">
            <v>1.0720654166666668</v>
          </cell>
          <cell r="DR53">
            <v>1.0624404166666666</v>
          </cell>
          <cell r="DS53">
            <v>1.0603991666666666</v>
          </cell>
          <cell r="DT53">
            <v>1.0613012499999999</v>
          </cell>
          <cell r="DU53">
            <v>1.0685716666666665</v>
          </cell>
          <cell r="DV53">
            <v>1.0892116666666665</v>
          </cell>
          <cell r="DW53">
            <v>1.0974829166666666</v>
          </cell>
          <cell r="DX53">
            <v>1.09967375</v>
          </cell>
          <cell r="DY53">
            <v>1.0939979166666665</v>
          </cell>
          <cell r="DZ53">
            <v>1.0819379166666667</v>
          </cell>
          <cell r="EA53">
            <v>1.0804970833333336</v>
          </cell>
          <cell r="EB53">
            <v>1.0792416666666667</v>
          </cell>
          <cell r="EC53">
            <v>1.082819405978678</v>
          </cell>
          <cell r="ED53">
            <v>1.0851885726453443</v>
          </cell>
          <cell r="EE53">
            <v>1.0910935726453443</v>
          </cell>
          <cell r="EF53">
            <v>1.0973823226453445</v>
          </cell>
          <cell r="EG53">
            <v>1.0939908333333332</v>
          </cell>
          <cell r="EH53">
            <v>1.0998929166666667</v>
          </cell>
          <cell r="EI53">
            <v>1.1003862903225807</v>
          </cell>
          <cell r="EJ53">
            <v>1.0953362903225807</v>
          </cell>
          <cell r="EK53">
            <v>1.0953525601638505</v>
          </cell>
          <cell r="EL53">
            <v>1.0847959485936027</v>
          </cell>
          <cell r="EM53">
            <v>1.0948070720641254</v>
          </cell>
          <cell r="EN53">
            <v>1.1057899780470313</v>
          </cell>
          <cell r="EO53">
            <v>1.1177283692227105</v>
          </cell>
          <cell r="EP53">
            <v>1.1254980060030422</v>
          </cell>
          <cell r="EQ53">
            <v>1.128658925543272</v>
          </cell>
          <cell r="ER53">
            <v>1.1329457291039344</v>
          </cell>
          <cell r="ES53">
            <v>1.1383561507316133</v>
          </cell>
          <cell r="ET53">
            <v>1.1448877757272906</v>
          </cell>
          <cell r="EU53">
            <v>1.1525380489513344</v>
          </cell>
          <cell r="EV53">
            <v>1.1598129099101973</v>
          </cell>
          <cell r="EW53">
            <v>1.1666933400860824</v>
          </cell>
          <cell r="EX53">
            <v>1.1731612889294496</v>
          </cell>
          <cell r="EY53">
            <v>1.1791996259457405</v>
          </cell>
          <cell r="EZ53">
            <v>1.1851046678464103</v>
          </cell>
          <cell r="FA53">
            <v>1.190880780792769</v>
          </cell>
          <cell r="FB53">
            <v>1.1965321422899229</v>
          </cell>
          <cell r="FC53">
            <v>1.2020627512688082</v>
          </cell>
          <cell r="FD53">
            <v>1.2061656914182599</v>
          </cell>
          <cell r="FE53">
            <v>1.2088716182039416</v>
          </cell>
          <cell r="FF53">
            <v>1.2102102102102119</v>
          </cell>
          <cell r="FG53">
            <v>1.2102102102102119</v>
          </cell>
          <cell r="FH53">
            <v>1.2102102102102119</v>
          </cell>
          <cell r="FI53">
            <v>1.2102102102102119</v>
          </cell>
          <cell r="FJ53">
            <v>1.2102102102102119</v>
          </cell>
          <cell r="FK53">
            <v>1.2102102102102119</v>
          </cell>
          <cell r="FL53">
            <v>1.2102102102102119</v>
          </cell>
          <cell r="FM53">
            <v>1.2102102102102119</v>
          </cell>
          <cell r="FN53">
            <v>1.2102102102102119</v>
          </cell>
          <cell r="FO53">
            <v>1.2102102102102119</v>
          </cell>
          <cell r="FP53">
            <v>1.2102102102102119</v>
          </cell>
          <cell r="FQ53">
            <v>1.2102102102102119</v>
          </cell>
          <cell r="FR53">
            <v>1.2102102102102119</v>
          </cell>
          <cell r="FS53">
            <v>1.2102102102102119</v>
          </cell>
          <cell r="FT53">
            <v>1.2102102102102119</v>
          </cell>
          <cell r="FU53">
            <v>1.2102102102102119</v>
          </cell>
        </row>
        <row r="54">
          <cell r="A54" t="str">
            <v>avaudeur12m</v>
          </cell>
          <cell r="B54" t="str">
            <v>AUD/EUR</v>
          </cell>
          <cell r="D54"/>
          <cell r="E54"/>
          <cell r="F54"/>
          <cell r="G54"/>
          <cell r="H54"/>
          <cell r="I54"/>
          <cell r="J54"/>
          <cell r="K54"/>
          <cell r="L54"/>
          <cell r="M54"/>
          <cell r="N54"/>
          <cell r="O54"/>
          <cell r="P54"/>
          <cell r="Q54"/>
          <cell r="R54"/>
          <cell r="S54"/>
          <cell r="T54"/>
          <cell r="U54"/>
          <cell r="V54"/>
          <cell r="W54"/>
          <cell r="X54"/>
          <cell r="Y54"/>
          <cell r="Z54"/>
          <cell r="AA54">
            <v>0.65419166666666662</v>
          </cell>
          <cell r="AB54">
            <v>0.64689166666666675</v>
          </cell>
          <cell r="AC54">
            <v>0.62293333333333345</v>
          </cell>
          <cell r="AD54">
            <v>0.58482500000000004</v>
          </cell>
          <cell r="AE54">
            <v>0.56580833333333336</v>
          </cell>
          <cell r="AF54">
            <v>0.54994166666666666</v>
          </cell>
          <cell r="AG54">
            <v>0.5631166666666666</v>
          </cell>
          <cell r="AH54">
            <v>0.58474999999999999</v>
          </cell>
          <cell r="AI54">
            <v>0.60893333333333344</v>
          </cell>
          <cell r="AJ54">
            <v>0.6279583333333334</v>
          </cell>
          <cell r="AK54">
            <v>0.62676666666666681</v>
          </cell>
          <cell r="AL54">
            <v>0.63219999999999998</v>
          </cell>
          <cell r="AM54">
            <v>0.62590833333333329</v>
          </cell>
          <cell r="AN54">
            <v>0.60749166666666665</v>
          </cell>
          <cell r="AO54">
            <v>0.59926666666666661</v>
          </cell>
          <cell r="AP54">
            <v>0.5836083333333334</v>
          </cell>
          <cell r="AQ54">
            <v>0.57542499999999996</v>
          </cell>
          <cell r="AR54">
            <v>0.58278333333333332</v>
          </cell>
          <cell r="AS54">
            <v>0.58238333333333336</v>
          </cell>
          <cell r="AT54">
            <v>0.57933333333333337</v>
          </cell>
          <cell r="AU54">
            <v>0.57479999999999998</v>
          </cell>
          <cell r="AV54">
            <v>0.56333333333333335</v>
          </cell>
          <cell r="AW54">
            <v>0.55722499999999997</v>
          </cell>
          <cell r="AX54">
            <v>0.56434166666666663</v>
          </cell>
          <cell r="AY54">
            <v>0.577125</v>
          </cell>
          <cell r="AZ54">
            <v>0.59313333333333329</v>
          </cell>
          <cell r="BA54">
            <v>0.59820833333333334</v>
          </cell>
          <cell r="BB54">
            <v>0.59796666666666665</v>
          </cell>
          <cell r="BC54">
            <v>0.59232374962777767</v>
          </cell>
          <cell r="BD54">
            <v>0.58697385023138182</v>
          </cell>
          <cell r="BE54">
            <v>0.59442022123920013</v>
          </cell>
          <cell r="BF54">
            <v>0.60453697524440686</v>
          </cell>
          <cell r="BG54">
            <v>0.61500905894996249</v>
          </cell>
          <cell r="BH54">
            <v>0.61900062501302511</v>
          </cell>
          <cell r="BI54">
            <v>0.6122209206718735</v>
          </cell>
          <cell r="BJ54">
            <v>0.60514999999999997</v>
          </cell>
          <cell r="BK54">
            <v>0.59929583333333336</v>
          </cell>
          <cell r="BL54">
            <v>0.59589583333333318</v>
          </cell>
          <cell r="BM54">
            <v>0.6026541666666666</v>
          </cell>
          <cell r="BN54">
            <v>0.60770000000000002</v>
          </cell>
          <cell r="BO54">
            <v>0.61179166666666662</v>
          </cell>
          <cell r="BP54">
            <v>0.61161250000000011</v>
          </cell>
          <cell r="BQ54">
            <v>0.60965416666666672</v>
          </cell>
          <cell r="BR54">
            <v>0.60168750000000004</v>
          </cell>
          <cell r="BS54">
            <v>0.57613750000000008</v>
          </cell>
          <cell r="BT54">
            <v>0.55343333333333344</v>
          </cell>
          <cell r="BU54">
            <v>0.54196666666666671</v>
          </cell>
          <cell r="BV54">
            <v>0.54430833333333328</v>
          </cell>
          <cell r="BW54">
            <v>0.56979999999999997</v>
          </cell>
          <cell r="BX54">
            <v>0.60743333333333338</v>
          </cell>
          <cell r="BY54">
            <v>0.63908333333333334</v>
          </cell>
          <cell r="BZ54">
            <v>0.66636666666666666</v>
          </cell>
          <cell r="CA54">
            <v>0.69645833333333329</v>
          </cell>
          <cell r="CB54">
            <v>0.71491666666666676</v>
          </cell>
          <cell r="CC54">
            <v>0.72755833333333342</v>
          </cell>
          <cell r="CD54">
            <v>0.73803333333333343</v>
          </cell>
          <cell r="CE54">
            <v>0.74682083333333349</v>
          </cell>
          <cell r="CF54">
            <v>0.76329583333333328</v>
          </cell>
          <cell r="CG54">
            <v>0.77692083333333317</v>
          </cell>
          <cell r="CH54">
            <v>0.79783333333333351</v>
          </cell>
          <cell r="CI54">
            <v>0.80427916666666677</v>
          </cell>
          <cell r="CJ54">
            <v>0.8017333333333333</v>
          </cell>
          <cell r="CK54">
            <v>0.78856250000000017</v>
          </cell>
          <cell r="CL54">
            <v>0.75160833333333354</v>
          </cell>
          <cell r="CM54">
            <v>0.72022916666666681</v>
          </cell>
          <cell r="CN54">
            <v>0.68737916666666676</v>
          </cell>
          <cell r="CO54">
            <v>0.67194166666666666</v>
          </cell>
          <cell r="CP54">
            <v>0.67689583333333347</v>
          </cell>
          <cell r="CQ54">
            <v>0.68070416666666678</v>
          </cell>
          <cell r="CR54">
            <v>0.6912166666666667</v>
          </cell>
          <cell r="CS54">
            <v>0.69543750000000004</v>
          </cell>
          <cell r="CT54">
            <v>0.68119583333333322</v>
          </cell>
          <cell r="CU54">
            <v>0.67649166666666671</v>
          </cell>
          <cell r="CV54">
            <v>0.66725000000000001</v>
          </cell>
          <cell r="CW54">
            <v>0.65837916666666663</v>
          </cell>
          <cell r="CX54">
            <v>0.66739166666666661</v>
          </cell>
          <cell r="CY54">
            <v>0.67328333333333334</v>
          </cell>
          <cell r="CZ54">
            <v>0.68651250000000008</v>
          </cell>
          <cell r="DA54">
            <v>0.68947499999999995</v>
          </cell>
          <cell r="DB54">
            <v>0.6870666666666666</v>
          </cell>
          <cell r="DC54">
            <v>0.6760666666666667</v>
          </cell>
          <cell r="DD54">
            <v>0.65658749999999999</v>
          </cell>
          <cell r="DE54">
            <v>0.64685416666666662</v>
          </cell>
          <cell r="DF54">
            <v>0.63607916666666664</v>
          </cell>
          <cell r="DG54">
            <v>0.63136249999999994</v>
          </cell>
          <cell r="DH54">
            <v>0.62998750000000003</v>
          </cell>
          <cell r="DI54">
            <v>0.62689166666666651</v>
          </cell>
          <cell r="DJ54">
            <v>0.62466666666666659</v>
          </cell>
          <cell r="DK54">
            <v>0.6222833333333333</v>
          </cell>
          <cell r="DL54">
            <v>0.61034750000000004</v>
          </cell>
          <cell r="DM54">
            <v>0.60555958333333326</v>
          </cell>
          <cell r="DN54">
            <v>0.6043466666666667</v>
          </cell>
          <cell r="DO54">
            <v>0.6036320833333334</v>
          </cell>
          <cell r="DP54">
            <v>0.61749287333333336</v>
          </cell>
          <cell r="DQ54">
            <v>0.62555995666666664</v>
          </cell>
          <cell r="DR54">
            <v>0.62780620666666653</v>
          </cell>
          <cell r="DS54">
            <v>0.63357161166666665</v>
          </cell>
          <cell r="DT54">
            <v>0.63670498833333333</v>
          </cell>
          <cell r="DU54">
            <v>0.64424165499999997</v>
          </cell>
          <cell r="DV54">
            <v>0.65714915500000004</v>
          </cell>
          <cell r="DW54">
            <v>0.65864333333333336</v>
          </cell>
          <cell r="DX54">
            <v>0.65440999999999994</v>
          </cell>
          <cell r="DY54">
            <v>0.63960249999999996</v>
          </cell>
          <cell r="DZ54">
            <v>0.6229087499999999</v>
          </cell>
          <cell r="EA54">
            <v>0.61346534500000005</v>
          </cell>
          <cell r="EB54">
            <v>0.60595201166666668</v>
          </cell>
          <cell r="EC54">
            <v>0.60791247021983341</v>
          </cell>
          <cell r="ED54">
            <v>0.6095987202198333</v>
          </cell>
          <cell r="EE54">
            <v>0.60924581251647014</v>
          </cell>
          <cell r="EF54">
            <v>0.60623461679094448</v>
          </cell>
          <cell r="EG54">
            <v>0.59348558074546809</v>
          </cell>
          <cell r="EH54">
            <v>0.58084442354621091</v>
          </cell>
          <cell r="EI54">
            <v>0.56445981169601089</v>
          </cell>
          <cell r="EJ54">
            <v>0.5578135009134042</v>
          </cell>
          <cell r="EK54">
            <v>0.55424304295481752</v>
          </cell>
          <cell r="EL54">
            <v>0.54633843537414972</v>
          </cell>
          <cell r="EM54">
            <v>0.53675510204081633</v>
          </cell>
          <cell r="EN54">
            <v>0.53049999999999997</v>
          </cell>
          <cell r="EO54">
            <v>0.52749999999999997</v>
          </cell>
          <cell r="EP54">
            <v>0.52899999999999991</v>
          </cell>
          <cell r="EQ54">
            <v>0.53499999999999992</v>
          </cell>
          <cell r="ER54">
            <v>0.54099999999999981</v>
          </cell>
          <cell r="ES54">
            <v>0.54699999999999993</v>
          </cell>
          <cell r="ET54">
            <v>0.55299999999999983</v>
          </cell>
          <cell r="EU54">
            <v>0.55899999999999983</v>
          </cell>
          <cell r="EV54">
            <v>0.56647991967871469</v>
          </cell>
          <cell r="EW54">
            <v>0.5754637906464567</v>
          </cell>
          <cell r="EX54">
            <v>0.58597593639544465</v>
          </cell>
          <cell r="EY54">
            <v>0.59804097704585135</v>
          </cell>
          <cell r="EZ54">
            <v>0.61020391450999367</v>
          </cell>
          <cell r="FA54">
            <v>0.62246594518159604</v>
          </cell>
          <cell r="FB54">
            <v>0.6348282850293161</v>
          </cell>
          <cell r="FC54">
            <v>0.64729216999874439</v>
          </cell>
          <cell r="FD54">
            <v>0.65667823847572193</v>
          </cell>
          <cell r="FE54">
            <v>0.66296126245621245</v>
          </cell>
          <cell r="FF54">
            <v>0.66611570247933938</v>
          </cell>
          <cell r="FG54">
            <v>0.66611570247933938</v>
          </cell>
          <cell r="FH54">
            <v>0.66611570247933938</v>
          </cell>
          <cell r="FI54">
            <v>0.66611570247933938</v>
          </cell>
          <cell r="FJ54">
            <v>0.66611570247933938</v>
          </cell>
          <cell r="FK54">
            <v>0.66611570247933938</v>
          </cell>
          <cell r="FL54">
            <v>0.66611570247933938</v>
          </cell>
          <cell r="FM54">
            <v>0.66611570247933938</v>
          </cell>
          <cell r="FN54">
            <v>0.66611570247933938</v>
          </cell>
          <cell r="FO54">
            <v>0.66611570247933938</v>
          </cell>
          <cell r="FP54">
            <v>0.66611570247933938</v>
          </cell>
          <cell r="FQ54">
            <v>0.66611570247933938</v>
          </cell>
          <cell r="FR54">
            <v>0.66611570247933938</v>
          </cell>
          <cell r="FS54">
            <v>0.66611570247933938</v>
          </cell>
          <cell r="FT54">
            <v>0.66611570247933938</v>
          </cell>
          <cell r="FU54">
            <v>0.66611570247933938</v>
          </cell>
        </row>
        <row r="55">
          <cell r="A55" t="str">
            <v>avaudkrw12m</v>
          </cell>
          <cell r="B55" t="str">
            <v>AUD/KRW</v>
          </cell>
          <cell r="C55"/>
          <cell r="D55"/>
          <cell r="E55"/>
          <cell r="F55"/>
          <cell r="G55"/>
          <cell r="H55"/>
          <cell r="I55"/>
          <cell r="J55"/>
          <cell r="K55"/>
          <cell r="L55"/>
          <cell r="M55"/>
          <cell r="N55"/>
          <cell r="O55"/>
          <cell r="P55"/>
          <cell r="Q55"/>
          <cell r="R55"/>
          <cell r="S55"/>
          <cell r="T55"/>
          <cell r="U55"/>
          <cell r="V55"/>
          <cell r="W55"/>
          <cell r="X55"/>
          <cell r="Y55"/>
          <cell r="Z55"/>
          <cell r="AA55"/>
          <cell r="AB55"/>
          <cell r="AC55"/>
          <cell r="AD55"/>
          <cell r="AE55"/>
          <cell r="AF55"/>
          <cell r="AG55"/>
          <cell r="AH55"/>
          <cell r="AI55"/>
          <cell r="AJ55"/>
          <cell r="AK55"/>
          <cell r="AL55"/>
          <cell r="AM55"/>
          <cell r="AN55"/>
          <cell r="AO55"/>
          <cell r="AP55"/>
          <cell r="AQ55"/>
          <cell r="AR55"/>
          <cell r="AS55"/>
          <cell r="AT55"/>
          <cell r="AU55"/>
          <cell r="AV55"/>
          <cell r="AW55"/>
          <cell r="AX55"/>
          <cell r="AY55"/>
          <cell r="AZ55"/>
          <cell r="BA55"/>
          <cell r="BB55"/>
          <cell r="BC55"/>
          <cell r="BD55"/>
          <cell r="BE55"/>
          <cell r="BF55"/>
          <cell r="BG55"/>
          <cell r="BH55"/>
          <cell r="BI55"/>
          <cell r="BJ55"/>
          <cell r="BK55">
            <v>721.40902041666675</v>
          </cell>
          <cell r="BL55">
            <v>728.62746333333337</v>
          </cell>
          <cell r="BM55">
            <v>744.3722012500001</v>
          </cell>
          <cell r="BN55">
            <v>760.23396833333334</v>
          </cell>
          <cell r="BO55">
            <v>783.41482041666666</v>
          </cell>
          <cell r="BP55">
            <v>815.76171625000006</v>
          </cell>
          <cell r="BQ55">
            <v>866.27851583333324</v>
          </cell>
          <cell r="BR55">
            <v>906.20195708333347</v>
          </cell>
          <cell r="BS55">
            <v>924.8731825000001</v>
          </cell>
          <cell r="BT55">
            <v>940.13250000000005</v>
          </cell>
          <cell r="BU55">
            <v>942.74666666666656</v>
          </cell>
          <cell r="BV55">
            <v>964.93833333333339</v>
          </cell>
          <cell r="BW55">
            <v>1004.6908333333334</v>
          </cell>
          <cell r="BX55">
            <v>1029.6783333333335</v>
          </cell>
          <cell r="BY55">
            <v>1038.5466666666669</v>
          </cell>
          <cell r="BZ55">
            <v>1049.5875000000003</v>
          </cell>
          <cell r="CA55">
            <v>1064.8758333333333</v>
          </cell>
          <cell r="CB55">
            <v>1089.03</v>
          </cell>
          <cell r="CC55">
            <v>1122.0925</v>
          </cell>
          <cell r="CD55">
            <v>1138.5983333333331</v>
          </cell>
          <cell r="CE55">
            <v>1151.0925</v>
          </cell>
          <cell r="CF55">
            <v>1165.6266666666668</v>
          </cell>
          <cell r="CG55">
            <v>1168.7524999999998</v>
          </cell>
          <cell r="CH55">
            <v>1174.8174999999999</v>
          </cell>
          <cell r="CI55">
            <v>1162.8833333333332</v>
          </cell>
          <cell r="CJ55">
            <v>1148.95</v>
          </cell>
          <cell r="CK55">
            <v>1129.4091666666666</v>
          </cell>
          <cell r="CL55">
            <v>1086.5841666666668</v>
          </cell>
          <cell r="CM55">
            <v>1048.5533333333335</v>
          </cell>
          <cell r="CN55">
            <v>1005.2791666666667</v>
          </cell>
          <cell r="CO55">
            <v>971.47249999999985</v>
          </cell>
          <cell r="CP55">
            <v>957.32750000000021</v>
          </cell>
          <cell r="CQ55">
            <v>946.46500000000003</v>
          </cell>
          <cell r="CR55">
            <v>919.55499999999995</v>
          </cell>
          <cell r="CS55">
            <v>894.42</v>
          </cell>
          <cell r="CT55">
            <v>868.69333333333327</v>
          </cell>
          <cell r="CU55">
            <v>846.28833333333341</v>
          </cell>
          <cell r="CV55">
            <v>850.65250000000003</v>
          </cell>
          <cell r="CW55">
            <v>852.95583333333343</v>
          </cell>
          <cell r="CX55">
            <v>853.41416666666657</v>
          </cell>
          <cell r="CY55">
            <v>861.71249999999998</v>
          </cell>
          <cell r="CZ55">
            <v>860.17750000000012</v>
          </cell>
          <cell r="DA55">
            <v>857.87833333333344</v>
          </cell>
          <cell r="DB55">
            <v>871.07499999999993</v>
          </cell>
          <cell r="DC55">
            <v>862.76083333333338</v>
          </cell>
          <cell r="DD55">
            <v>856.21666666666658</v>
          </cell>
          <cell r="DE55">
            <v>846.56916666666666</v>
          </cell>
          <cell r="DF55">
            <v>825.26583333333349</v>
          </cell>
          <cell r="DG55">
            <v>816.96583333333331</v>
          </cell>
          <cell r="DH55">
            <v>808.32000000000016</v>
          </cell>
          <cell r="DI55">
            <v>809.04916666666668</v>
          </cell>
          <cell r="DJ55">
            <v>809.66833333333341</v>
          </cell>
          <cell r="DK55">
            <v>809.94250000000011</v>
          </cell>
          <cell r="DL55">
            <v>802.84666666666669</v>
          </cell>
          <cell r="DM55">
            <v>801.50500000000011</v>
          </cell>
          <cell r="DN55">
            <v>812.14166666666677</v>
          </cell>
          <cell r="DO55">
            <v>815.07833333333338</v>
          </cell>
          <cell r="DP55">
            <v>835.94960000000003</v>
          </cell>
          <cell r="DQ55">
            <v>846.54053333333343</v>
          </cell>
          <cell r="DR55">
            <v>845.39191666666659</v>
          </cell>
          <cell r="DS55">
            <v>857.1664833333333</v>
          </cell>
          <cell r="DT55">
            <v>861.69095833333324</v>
          </cell>
          <cell r="DU55">
            <v>870.56981666666661</v>
          </cell>
          <cell r="DV55">
            <v>887.36942499999986</v>
          </cell>
          <cell r="DW55">
            <v>893.01042500000005</v>
          </cell>
          <cell r="DX55">
            <v>893.12119999999993</v>
          </cell>
          <cell r="DY55">
            <v>888.77341666666678</v>
          </cell>
          <cell r="DZ55">
            <v>875.10932500000001</v>
          </cell>
          <cell r="EA55">
            <v>870.1567500000001</v>
          </cell>
          <cell r="EB55">
            <v>869.09426666666661</v>
          </cell>
          <cell r="EC55">
            <v>878.87656287436539</v>
          </cell>
          <cell r="ED55">
            <v>889.25041287436545</v>
          </cell>
          <cell r="EE55">
            <v>900.00800454103228</v>
          </cell>
          <cell r="EF55">
            <v>908.7106378743656</v>
          </cell>
          <cell r="EG55">
            <v>904.80883333333338</v>
          </cell>
          <cell r="EH55">
            <v>906.41075349999994</v>
          </cell>
          <cell r="EI55">
            <v>909.21475000000009</v>
          </cell>
          <cell r="EJ55">
            <v>902.75600000000009</v>
          </cell>
          <cell r="EK55">
            <v>902.9195000000002</v>
          </cell>
          <cell r="EL55">
            <v>886.86875000000009</v>
          </cell>
          <cell r="EM55">
            <v>872.04375000000005</v>
          </cell>
          <cell r="EN55">
            <v>859.671875</v>
          </cell>
          <cell r="EO55">
            <v>849.7718749999998</v>
          </cell>
          <cell r="EP55">
            <v>848.00624999999957</v>
          </cell>
          <cell r="EQ55">
            <v>854.28124999999955</v>
          </cell>
          <cell r="ER55">
            <v>860.48124999999948</v>
          </cell>
          <cell r="ES55">
            <v>866.60624999999948</v>
          </cell>
          <cell r="ET55">
            <v>872.65624999999955</v>
          </cell>
          <cell r="EU55">
            <v>878.63124999999945</v>
          </cell>
          <cell r="EV55">
            <v>885.58892499999956</v>
          </cell>
          <cell r="EW55">
            <v>893.50662499999976</v>
          </cell>
          <cell r="EX55">
            <v>902.36170000000016</v>
          </cell>
          <cell r="EY55">
            <v>912.1315000000003</v>
          </cell>
          <cell r="EZ55">
            <v>921.73570000000029</v>
          </cell>
          <cell r="FA55">
            <v>931.17430000000036</v>
          </cell>
          <cell r="FB55">
            <v>940.44730000000072</v>
          </cell>
          <cell r="FC55">
            <v>949.55470000000071</v>
          </cell>
          <cell r="FD55">
            <v>956.32315000000085</v>
          </cell>
          <cell r="FE55">
            <v>960.79405000000099</v>
          </cell>
          <cell r="FF55">
            <v>963.00880000000097</v>
          </cell>
          <cell r="FG55">
            <v>963.00880000000097</v>
          </cell>
          <cell r="FH55">
            <v>963.00880000000097</v>
          </cell>
          <cell r="FI55">
            <v>963.00880000000097</v>
          </cell>
          <cell r="FJ55">
            <v>963.00880000000097</v>
          </cell>
          <cell r="FK55">
            <v>963.00880000000097</v>
          </cell>
          <cell r="FL55">
            <v>963.00880000000097</v>
          </cell>
          <cell r="FM55">
            <v>963.00880000000097</v>
          </cell>
          <cell r="FN55">
            <v>963.00880000000097</v>
          </cell>
          <cell r="FO55">
            <v>963.00880000000097</v>
          </cell>
          <cell r="FP55">
            <v>963.00880000000097</v>
          </cell>
          <cell r="FQ55">
            <v>963.00880000000097</v>
          </cell>
          <cell r="FR55">
            <v>963.00880000000097</v>
          </cell>
          <cell r="FS55">
            <v>963.00880000000097</v>
          </cell>
          <cell r="FT55">
            <v>963.00880000000097</v>
          </cell>
          <cell r="FU55">
            <v>963.00880000000097</v>
          </cell>
        </row>
        <row r="56">
          <cell r="D56"/>
          <cell r="E56"/>
          <cell r="F56"/>
          <cell r="G56"/>
          <cell r="H56"/>
          <cell r="I56"/>
          <cell r="J56"/>
          <cell r="K56"/>
          <cell r="L56"/>
          <cell r="M56"/>
          <cell r="N56"/>
          <cell r="O56"/>
          <cell r="P56"/>
          <cell r="Q56"/>
          <cell r="R56"/>
          <cell r="S56"/>
          <cell r="T56"/>
          <cell r="U56"/>
          <cell r="V56"/>
          <cell r="W56"/>
          <cell r="X56"/>
          <cell r="Y56"/>
          <cell r="Z56"/>
          <cell r="AA56"/>
          <cell r="AB56"/>
          <cell r="AC56"/>
          <cell r="AD56"/>
          <cell r="AE56"/>
          <cell r="AF56"/>
          <cell r="AG56"/>
          <cell r="AH56"/>
          <cell r="AI56"/>
          <cell r="AJ56"/>
          <cell r="AK56"/>
          <cell r="AL56"/>
          <cell r="AM56"/>
          <cell r="AN56"/>
          <cell r="AO56"/>
          <cell r="AP56"/>
          <cell r="AQ56"/>
          <cell r="AR56"/>
          <cell r="AS56"/>
          <cell r="AT56"/>
          <cell r="AU56"/>
          <cell r="AV56"/>
          <cell r="AW56"/>
          <cell r="AX56"/>
          <cell r="AY56"/>
          <cell r="AZ56"/>
          <cell r="BA56"/>
          <cell r="BB56"/>
          <cell r="BC56"/>
          <cell r="BD56"/>
          <cell r="BE56"/>
          <cell r="BF56"/>
          <cell r="BG56"/>
          <cell r="BH56"/>
          <cell r="BI56"/>
          <cell r="BJ56"/>
          <cell r="BK56"/>
          <cell r="BL56"/>
          <cell r="BM56"/>
          <cell r="BN56"/>
          <cell r="BO56"/>
          <cell r="BP56"/>
          <cell r="BQ56"/>
          <cell r="BR56"/>
          <cell r="BS56"/>
          <cell r="BT56"/>
          <cell r="BU56"/>
          <cell r="BV56"/>
          <cell r="BW56"/>
          <cell r="BX56"/>
          <cell r="BY56"/>
          <cell r="BZ56"/>
          <cell r="CA56"/>
          <cell r="CB56"/>
          <cell r="CC56"/>
          <cell r="CD56"/>
          <cell r="CE56"/>
          <cell r="CF56"/>
          <cell r="CG56"/>
          <cell r="CH56"/>
          <cell r="CI56"/>
          <cell r="CJ56"/>
          <cell r="CK56"/>
          <cell r="CL56"/>
          <cell r="CM56"/>
          <cell r="CN56"/>
          <cell r="CO56"/>
          <cell r="CP56"/>
          <cell r="CQ56"/>
          <cell r="CR56"/>
          <cell r="CS56"/>
          <cell r="CT56"/>
          <cell r="CU56"/>
          <cell r="CV56"/>
          <cell r="CW56"/>
          <cell r="CX56"/>
          <cell r="CY56"/>
          <cell r="CZ56"/>
          <cell r="DA56"/>
          <cell r="DB56"/>
          <cell r="DC56"/>
          <cell r="DD56"/>
          <cell r="DE56"/>
          <cell r="DF56"/>
          <cell r="DG56"/>
          <cell r="DH56"/>
          <cell r="DI56"/>
          <cell r="DJ56"/>
          <cell r="DK56"/>
          <cell r="DL56"/>
          <cell r="DM56"/>
          <cell r="DN56"/>
          <cell r="DO56"/>
          <cell r="DP56"/>
          <cell r="DQ56"/>
          <cell r="DR56"/>
          <cell r="DS56"/>
          <cell r="DT56"/>
          <cell r="DU56"/>
          <cell r="DV56"/>
          <cell r="DW56"/>
          <cell r="DX56"/>
          <cell r="DY56"/>
          <cell r="DZ56"/>
          <cell r="EA56"/>
          <cell r="EB56"/>
          <cell r="EC56"/>
          <cell r="ED56"/>
          <cell r="EE56"/>
          <cell r="EG56"/>
          <cell r="EH56"/>
        </row>
        <row r="57">
          <cell r="B57" t="str">
            <v>Market performance (3mo)</v>
          </cell>
          <cell r="C57"/>
          <cell r="D57"/>
          <cell r="E57"/>
          <cell r="F57"/>
          <cell r="G57"/>
          <cell r="H57"/>
          <cell r="I57"/>
          <cell r="J57"/>
          <cell r="K57"/>
          <cell r="L57"/>
          <cell r="M57"/>
          <cell r="N57"/>
          <cell r="O57"/>
          <cell r="P57"/>
          <cell r="Q57"/>
          <cell r="R57"/>
          <cell r="S57"/>
          <cell r="T57"/>
          <cell r="U57"/>
          <cell r="V57"/>
          <cell r="W57"/>
          <cell r="X57"/>
          <cell r="Y57"/>
          <cell r="Z57"/>
          <cell r="AA57"/>
          <cell r="AB57"/>
          <cell r="AC57"/>
          <cell r="AD57"/>
          <cell r="AE57"/>
          <cell r="AF57"/>
          <cell r="AG57"/>
          <cell r="AH57"/>
          <cell r="AI57"/>
          <cell r="AJ57"/>
          <cell r="AK57"/>
          <cell r="AL57"/>
          <cell r="AM57"/>
          <cell r="AN57"/>
          <cell r="AO57"/>
          <cell r="AP57"/>
          <cell r="AQ57"/>
          <cell r="AR57"/>
          <cell r="AS57"/>
          <cell r="AT57"/>
          <cell r="AU57"/>
          <cell r="AV57"/>
          <cell r="AW57"/>
          <cell r="AX57"/>
          <cell r="AY57"/>
          <cell r="AZ57"/>
          <cell r="BA57"/>
          <cell r="BB57"/>
          <cell r="BC57"/>
          <cell r="BD57"/>
          <cell r="BE57"/>
          <cell r="BF57"/>
          <cell r="BG57"/>
          <cell r="BH57"/>
          <cell r="BI57"/>
          <cell r="BJ57"/>
          <cell r="BK57"/>
          <cell r="BL57"/>
          <cell r="BM57"/>
          <cell r="BN57"/>
          <cell r="BO57"/>
          <cell r="BP57"/>
          <cell r="BQ57"/>
          <cell r="BR57"/>
          <cell r="BS57"/>
          <cell r="BT57"/>
          <cell r="BU57"/>
          <cell r="BV57"/>
          <cell r="BW57"/>
          <cell r="BX57"/>
          <cell r="BY57"/>
          <cell r="BZ57"/>
          <cell r="CA57"/>
          <cell r="CB57"/>
          <cell r="CC57"/>
          <cell r="CD57"/>
          <cell r="CE57"/>
          <cell r="CF57"/>
          <cell r="CG57"/>
          <cell r="CH57"/>
          <cell r="CI57"/>
          <cell r="CJ57"/>
          <cell r="CK57"/>
          <cell r="CL57"/>
          <cell r="CM57"/>
          <cell r="CN57"/>
          <cell r="CO57"/>
          <cell r="CP57"/>
          <cell r="CQ57"/>
          <cell r="CR57"/>
          <cell r="CS57"/>
          <cell r="CT57"/>
          <cell r="CU57"/>
          <cell r="CV57"/>
          <cell r="CW57"/>
          <cell r="CX57"/>
          <cell r="CY57"/>
          <cell r="CZ57"/>
          <cell r="DA57"/>
          <cell r="DB57"/>
          <cell r="DC57"/>
          <cell r="DD57"/>
          <cell r="DE57"/>
          <cell r="DF57"/>
          <cell r="DG57"/>
          <cell r="DH57"/>
          <cell r="DI57"/>
          <cell r="DJ57"/>
          <cell r="DK57"/>
          <cell r="DL57"/>
          <cell r="DM57"/>
          <cell r="DN57"/>
          <cell r="DO57"/>
          <cell r="DP57"/>
          <cell r="DQ57"/>
          <cell r="DR57"/>
          <cell r="DS57"/>
          <cell r="DT57"/>
          <cell r="DU57"/>
          <cell r="DV57"/>
          <cell r="DW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row>
        <row r="58">
          <cell r="A58" t="str">
            <v>3MoASX200AIg</v>
          </cell>
          <cell r="B58" t="str">
            <v>ASX-200 Accumulation Index return</v>
          </cell>
          <cell r="D58"/>
          <cell r="E58"/>
          <cell r="F58">
            <v>-0.10137305841186262</v>
          </cell>
          <cell r="G58">
            <v>6.7358662198597319E-2</v>
          </cell>
          <cell r="H58">
            <v>7.8164379138083939E-2</v>
          </cell>
          <cell r="I58">
            <v>4.7472266912245153E-2</v>
          </cell>
          <cell r="J58">
            <v>0.11349478544594561</v>
          </cell>
          <cell r="K58">
            <v>0.11369381742804328</v>
          </cell>
          <cell r="L58">
            <v>-5.6472592884779245E-2</v>
          </cell>
          <cell r="M58">
            <v>-1.4877994991172816E-2</v>
          </cell>
          <cell r="N58">
            <v>2.6236357426732582E-2</v>
          </cell>
          <cell r="O58">
            <v>-4.3453302632797557E-2</v>
          </cell>
          <cell r="P58">
            <v>1.4561625313571414E-2</v>
          </cell>
          <cell r="Q58">
            <v>7.387623764562723E-2</v>
          </cell>
          <cell r="R58">
            <v>6.3882412022607582E-2</v>
          </cell>
          <cell r="S58">
            <v>4.4805634518949367E-2</v>
          </cell>
          <cell r="T58">
            <v>1.3026839583972771E-2</v>
          </cell>
          <cell r="U58">
            <v>1.519670334829093E-2</v>
          </cell>
          <cell r="V58">
            <v>3.0130536363572435E-2</v>
          </cell>
          <cell r="W58">
            <v>7.9411805924158418E-2</v>
          </cell>
          <cell r="X58">
            <v>5.8948979533048895E-3</v>
          </cell>
          <cell r="Y58">
            <v>0.14079514002176219</v>
          </cell>
          <cell r="Z58">
            <v>2.2776827508393049E-2</v>
          </cell>
          <cell r="AA58">
            <v>-3.9990661452154463E-2</v>
          </cell>
          <cell r="AB58">
            <v>5.5343417613101353E-2</v>
          </cell>
          <cell r="AC58">
            <v>-1.5424489002431985E-2</v>
          </cell>
          <cell r="AD58">
            <v>-3.2283001104202236E-2</v>
          </cell>
          <cell r="AE58">
            <v>9.1977945243786774E-2</v>
          </cell>
          <cell r="AF58">
            <v>6.4120490448528855E-2</v>
          </cell>
          <cell r="AG58">
            <v>2.1001635312234868E-2</v>
          </cell>
          <cell r="AH58">
            <v>-2.1254773198823962E-2</v>
          </cell>
          <cell r="AI58">
            <v>0.11666426186975443</v>
          </cell>
          <cell r="AJ58">
            <v>1.4293053710177972E-2</v>
          </cell>
          <cell r="AK58">
            <v>6.3849919557752211E-2</v>
          </cell>
          <cell r="AL58">
            <v>5.5221269516252391E-3</v>
          </cell>
          <cell r="AM58">
            <v>-1.9739995033059121E-2</v>
          </cell>
          <cell r="AN58">
            <v>-9.1598732586745113E-3</v>
          </cell>
          <cell r="AO58">
            <v>0.11673982834305185</v>
          </cell>
          <cell r="AP58">
            <v>-0.11835865483901242</v>
          </cell>
          <cell r="AQ58">
            <v>0.13124021104807992</v>
          </cell>
          <cell r="AR58">
            <v>6.9354809980346488E-3</v>
          </cell>
          <cell r="AS58">
            <v>-5.0953714035343885E-2</v>
          </cell>
          <cell r="AT58">
            <v>-6.5680536101894504E-2</v>
          </cell>
          <cell r="AU58">
            <v>2.1715251664748303E-2</v>
          </cell>
          <cell r="AV58">
            <v>-2.7889513657180953E-2</v>
          </cell>
          <cell r="AW58">
            <v>5.9123793565416083E-2</v>
          </cell>
          <cell r="AX58">
            <v>5.93968436948209E-2</v>
          </cell>
          <cell r="AY58">
            <v>5.0777061106247023E-2</v>
          </cell>
          <cell r="AZ58">
            <v>4.6709636228290385E-2</v>
          </cell>
          <cell r="BA58">
            <v>4.3675476813211045E-2</v>
          </cell>
          <cell r="BB58">
            <v>5.1558191539877285E-2</v>
          </cell>
          <cell r="BC58">
            <v>0.11419978379683027</v>
          </cell>
          <cell r="BD58">
            <v>2.7387801707146275E-2</v>
          </cell>
          <cell r="BE58">
            <v>4.9686590334564462E-2</v>
          </cell>
          <cell r="BF58">
            <v>9.979742730765008E-2</v>
          </cell>
          <cell r="BG58">
            <v>3.5607377124214024E-2</v>
          </cell>
          <cell r="BH58">
            <v>9.0307696712247587E-2</v>
          </cell>
          <cell r="BI58">
            <v>-2.0183757433597238E-3</v>
          </cell>
          <cell r="BJ58">
            <v>2.9045734588334149E-2</v>
          </cell>
          <cell r="BK58">
            <v>0.10940691995857099</v>
          </cell>
          <cell r="BL58">
            <v>6.8915920057318392E-2</v>
          </cell>
          <cell r="BM58">
            <v>5.4322477512655398E-2</v>
          </cell>
          <cell r="BN58">
            <v>5.8922942280971169E-2</v>
          </cell>
          <cell r="BO58">
            <v>-2.734866637067157E-2</v>
          </cell>
          <cell r="BP58">
            <v>-0.1439344710670144</v>
          </cell>
          <cell r="BQ58">
            <v>-1.7876275704718725E-2</v>
          </cell>
          <cell r="BR58">
            <v>-0.10439957645872611</v>
          </cell>
          <cell r="BS58">
            <v>-0.18252180321548406</v>
          </cell>
          <cell r="BT58">
            <v>-1.9806603483353391E-2</v>
          </cell>
          <cell r="BU58">
            <v>0.11285713374862126</v>
          </cell>
          <cell r="BV58">
            <v>0.21500966580907299</v>
          </cell>
          <cell r="BW58">
            <v>3.3935187999267757E-2</v>
          </cell>
          <cell r="BX58">
            <v>1.3614285091707812E-2</v>
          </cell>
          <cell r="BY58">
            <v>-0.11142929562643988</v>
          </cell>
          <cell r="BZ58">
            <v>8.0365919208558415E-2</v>
          </cell>
          <cell r="CA58">
            <v>4.3802974683393892E-2</v>
          </cell>
          <cell r="CB58">
            <v>3.2258360904893202E-2</v>
          </cell>
          <cell r="CC58">
            <v>-4.0170773863490217E-2</v>
          </cell>
          <cell r="CD58">
            <v>-0.11582426962763082</v>
          </cell>
          <cell r="CE58">
            <v>2.1154746061187391E-2</v>
          </cell>
          <cell r="CF58">
            <v>8.3979409168563071E-2</v>
          </cell>
          <cell r="CG58">
            <v>-4.6838848940895739E-2</v>
          </cell>
          <cell r="CH58">
            <v>8.8361734001106029E-2</v>
          </cell>
          <cell r="CI58">
            <v>6.9430165067436933E-2</v>
          </cell>
          <cell r="CJ58">
            <v>8.1498090896543682E-2</v>
          </cell>
          <cell r="CK58">
            <v>-2.4841468188896876E-2</v>
          </cell>
          <cell r="CL58">
            <v>0.10199866616133857</v>
          </cell>
          <cell r="CM58">
            <v>3.4228776855606657E-2</v>
          </cell>
          <cell r="CN58">
            <v>2.0896893734981603E-2</v>
          </cell>
          <cell r="CO58">
            <v>9.2913475980813676E-3</v>
          </cell>
          <cell r="CP58">
            <v>-5.9702885351921031E-3</v>
          </cell>
          <cell r="CQ58">
            <v>3.1117543426175009E-2</v>
          </cell>
          <cell r="CR58">
            <v>0.10325723358210759</v>
          </cell>
          <cell r="CS58">
            <v>-6.5461636442562976E-2</v>
          </cell>
          <cell r="CT58">
            <v>-6.5786536505705762E-2</v>
          </cell>
          <cell r="CU58">
            <v>6.4783875477170572E-2</v>
          </cell>
          <cell r="CV58">
            <v>-2.7465038179009249E-2</v>
          </cell>
          <cell r="CW58">
            <v>3.9427310175444097E-2</v>
          </cell>
          <cell r="CX58">
            <v>5.143262813171412E-2</v>
          </cell>
          <cell r="CY58">
            <v>5.1841399692300394E-2</v>
          </cell>
          <cell r="CZ58">
            <v>4.8158027452311014E-2</v>
          </cell>
          <cell r="DA58">
            <v>-1.5785679216924309E-2</v>
          </cell>
          <cell r="DB58">
            <v>6.8047844094052401E-3</v>
          </cell>
          <cell r="DC58">
            <v>7.6378102518869229E-2</v>
          </cell>
          <cell r="DD58">
            <v>-3.8612761843862531E-2</v>
          </cell>
          <cell r="DE58">
            <v>8.474258789032918E-2</v>
          </cell>
          <cell r="DF58">
            <v>1.5291930507370433E-2</v>
          </cell>
          <cell r="DG58">
            <v>-8.2358862854275627E-2</v>
          </cell>
          <cell r="DH58">
            <v>0.10886554016882609</v>
          </cell>
          <cell r="DI58">
            <v>7.9729968953993424E-2</v>
          </cell>
          <cell r="DJ58">
            <v>2.3654995358830533E-2</v>
          </cell>
          <cell r="DK58">
            <v>6.8166705670353878E-3</v>
          </cell>
          <cell r="DL58">
            <v>-0.2309836854284365</v>
          </cell>
          <cell r="DM58">
            <v>0.16480373951138105</v>
          </cell>
          <cell r="DN58">
            <v>-4.3886372269199558E-3</v>
          </cell>
          <cell r="DO58">
            <v>0.1370032915705679</v>
          </cell>
          <cell r="DP58">
            <v>4.2555441694224205E-2</v>
          </cell>
          <cell r="DQ58">
            <v>8.2869187804724978E-2</v>
          </cell>
          <cell r="DR58">
            <v>1.7113530549660805E-2</v>
          </cell>
          <cell r="DS58">
            <v>2.0938152974717683E-2</v>
          </cell>
          <cell r="DT58">
            <v>2.2426415464591454E-2</v>
          </cell>
          <cell r="DU58">
            <v>-0.11902911045192098</v>
          </cell>
          <cell r="DV58">
            <v>3.8649494454481292E-3</v>
          </cell>
          <cell r="DW58">
            <v>9.3999652919359189E-2</v>
          </cell>
          <cell r="DX58">
            <v>3.4627665716804756E-2</v>
          </cell>
          <cell r="DY58">
            <v>1.0141160481879075E-2</v>
          </cell>
          <cell r="DZ58">
            <v>-7.6606645989021338E-3</v>
          </cell>
          <cell r="EA58">
            <v>8.3957812482639227E-2</v>
          </cell>
          <cell r="EB58">
            <v>5.3278087768471538E-2</v>
          </cell>
          <cell r="EC58">
            <v>-1.0527194940382012E-2</v>
          </cell>
          <cell r="ED58">
            <v>7.7862652772300089E-2</v>
          </cell>
          <cell r="EE58">
            <v>-7.9546413602259447E-3</v>
          </cell>
          <cell r="EF58">
            <v>-2.8014442821112984E-2</v>
          </cell>
          <cell r="EG58">
            <v>9.5044100066280959E-2</v>
          </cell>
          <cell r="EH58">
            <v>4.7106268391733819E-2</v>
          </cell>
          <cell r="EI58">
            <v>2.5000000000000001E-2</v>
          </cell>
          <cell r="EJ58">
            <v>2.5000000000000001E-2</v>
          </cell>
          <cell r="EK58">
            <v>2.5000000000000001E-2</v>
          </cell>
          <cell r="EL58">
            <v>2.5000000000000001E-2</v>
          </cell>
          <cell r="EM58">
            <v>2.5000000000000001E-2</v>
          </cell>
          <cell r="EN58">
            <v>2.5000000000000001E-2</v>
          </cell>
          <cell r="EO58">
            <v>2.5000000000000001E-2</v>
          </cell>
          <cell r="EP58">
            <v>2.5000000000000001E-2</v>
          </cell>
          <cell r="EQ58">
            <v>2.5000000000000001E-2</v>
          </cell>
          <cell r="ER58">
            <v>2.5000000000000001E-2</v>
          </cell>
          <cell r="ES58">
            <v>2.5000000000000001E-2</v>
          </cell>
          <cell r="ET58">
            <v>2.5000000000000001E-2</v>
          </cell>
          <cell r="EU58">
            <v>2.5000000000000001E-2</v>
          </cell>
          <cell r="EV58">
            <v>2.5000000000000001E-2</v>
          </cell>
          <cell r="EW58">
            <v>2.5000000000000001E-2</v>
          </cell>
          <cell r="EX58">
            <v>2.5000000000000001E-2</v>
          </cell>
          <cell r="EY58">
            <v>2.5000000000000001E-2</v>
          </cell>
          <cell r="EZ58">
            <v>2.5000000000000001E-2</v>
          </cell>
          <cell r="FA58">
            <v>2.5000000000000001E-2</v>
          </cell>
          <cell r="FB58">
            <v>2.5000000000000001E-2</v>
          </cell>
          <cell r="FC58">
            <v>2.5000000000000001E-2</v>
          </cell>
          <cell r="FD58">
            <v>2.5000000000000001E-2</v>
          </cell>
          <cell r="FE58">
            <v>2.5000000000000001E-2</v>
          </cell>
          <cell r="FF58">
            <v>2.5000000000000001E-2</v>
          </cell>
          <cell r="FG58">
            <v>2.5000000000000001E-2</v>
          </cell>
          <cell r="FH58">
            <v>2.5000000000000001E-2</v>
          </cell>
          <cell r="FI58">
            <v>2.5000000000000001E-2</v>
          </cell>
          <cell r="FJ58">
            <v>2.5000000000000001E-2</v>
          </cell>
          <cell r="FK58">
            <v>2.5000000000000001E-2</v>
          </cell>
          <cell r="FL58">
            <v>2.5000000000000001E-2</v>
          </cell>
          <cell r="FM58">
            <v>2.5000000000000001E-2</v>
          </cell>
          <cell r="FN58">
            <v>2.5000000000000001E-2</v>
          </cell>
          <cell r="FO58">
            <v>2.5000000000000001E-2</v>
          </cell>
          <cell r="FP58">
            <v>2.5000000000000001E-2</v>
          </cell>
          <cell r="FQ58">
            <v>2.5000000000000001E-2</v>
          </cell>
          <cell r="FR58">
            <v>2.5000000000000001E-2</v>
          </cell>
          <cell r="FS58">
            <v>2.5000000000000001E-2</v>
          </cell>
          <cell r="FT58">
            <v>2.5000000000000001E-2</v>
          </cell>
          <cell r="FU58">
            <v>2.5000000000000001E-2</v>
          </cell>
        </row>
        <row r="59">
          <cell r="A59" t="str">
            <v>3MoFIg</v>
          </cell>
          <cell r="B59" t="str">
            <v>Fixed income return</v>
          </cell>
          <cell r="C59"/>
          <cell r="D59">
            <v>-4.7406211978894275E-3</v>
          </cell>
          <cell r="E59">
            <v>7.2024424076971405E-2</v>
          </cell>
          <cell r="F59">
            <v>1.0150784647381395E-2</v>
          </cell>
          <cell r="G59">
            <v>2.4461003942304327E-2</v>
          </cell>
          <cell r="H59">
            <v>6.4225683422020285E-2</v>
          </cell>
          <cell r="I59">
            <v>3.4517776573657288E-2</v>
          </cell>
          <cell r="J59">
            <v>3.311702822072049E-2</v>
          </cell>
          <cell r="K59">
            <v>2.2678787452877991E-2</v>
          </cell>
          <cell r="L59">
            <v>-3.0240263086853014E-2</v>
          </cell>
          <cell r="M59">
            <v>-3.5055219816372607E-2</v>
          </cell>
          <cell r="N59">
            <v>6.6614913348161942E-4</v>
          </cell>
          <cell r="O59">
            <v>1.7879701218713073E-2</v>
          </cell>
          <cell r="P59">
            <v>4.1547794382705172E-2</v>
          </cell>
          <cell r="Q59">
            <v>5.4594717533398729E-2</v>
          </cell>
          <cell r="R59">
            <v>4.2077676093316363E-2</v>
          </cell>
          <cell r="S59">
            <v>3.6235046407313565E-2</v>
          </cell>
          <cell r="T59">
            <v>-9.9164658634537384E-3</v>
          </cell>
          <cell r="U59">
            <v>2.3280946114117462E-2</v>
          </cell>
          <cell r="V59">
            <v>6.886218127276611E-2</v>
          </cell>
          <cell r="W59">
            <v>3.3521946344181819E-2</v>
          </cell>
          <cell r="X59">
            <v>-3.8133291954380866E-3</v>
          </cell>
          <cell r="Y59">
            <v>6.1464931443903303E-2</v>
          </cell>
          <cell r="Z59">
            <v>4.8594691170892546E-2</v>
          </cell>
          <cell r="AA59">
            <v>1.2154205166062138E-2</v>
          </cell>
          <cell r="AB59">
            <v>2.6830152678352093E-2</v>
          </cell>
          <cell r="AC59">
            <v>1.7444145431916525E-2</v>
          </cell>
          <cell r="AD59">
            <v>3.3770616552796673E-2</v>
          </cell>
          <cell r="AE59">
            <v>1.4232586125228819E-2</v>
          </cell>
          <cell r="AF59">
            <v>-2.556334983701003E-4</v>
          </cell>
          <cell r="AG59">
            <v>-1.4677196834687267E-2</v>
          </cell>
          <cell r="AH59">
            <v>1.4543515496255655E-2</v>
          </cell>
          <cell r="AI59">
            <v>-1.1594275749451488E-2</v>
          </cell>
          <cell r="AJ59">
            <v>3.0191702226207262E-2</v>
          </cell>
          <cell r="AK59">
            <v>2.7728861092428225E-2</v>
          </cell>
          <cell r="AL59">
            <v>1.1828163653605728E-2</v>
          </cell>
          <cell r="AM59">
            <v>4.5895998055759835E-2</v>
          </cell>
          <cell r="AN59">
            <v>2.8017849083382673E-2</v>
          </cell>
          <cell r="AO59">
            <v>-1.2742405933753975E-2</v>
          </cell>
          <cell r="AP59">
            <v>4.2552079763308104E-2</v>
          </cell>
          <cell r="AQ59">
            <v>-3.1059984274653951E-3</v>
          </cell>
          <cell r="AR59">
            <v>-2.7334803911367445E-3</v>
          </cell>
          <cell r="AS59">
            <v>2.4546247444821478E-2</v>
          </cell>
          <cell r="AT59">
            <v>3.8406870026462148E-2</v>
          </cell>
          <cell r="AU59">
            <v>2.5571457468116066E-2</v>
          </cell>
          <cell r="AV59">
            <v>9.3005174268261381E-3</v>
          </cell>
          <cell r="AW59">
            <v>2.1700752449281158E-2</v>
          </cell>
          <cell r="AX59">
            <v>-2.3346880883693411E-3</v>
          </cell>
          <cell r="AY59">
            <v>1.6370437404564786E-3</v>
          </cell>
          <cell r="AZ59">
            <v>2.0264478381021078E-2</v>
          </cell>
          <cell r="BA59">
            <v>3.6548510711391646E-3</v>
          </cell>
          <cell r="BB59">
            <v>2.5998098836938155E-2</v>
          </cell>
          <cell r="BC59">
            <v>1.8063429305124723E-2</v>
          </cell>
          <cell r="BD59">
            <v>-3.3242500548225085E-4</v>
          </cell>
          <cell r="BE59">
            <v>3.2280522028958369E-2</v>
          </cell>
          <cell r="BF59">
            <v>6.5659124661481272E-3</v>
          </cell>
          <cell r="BG59">
            <v>1.8440118866601463E-2</v>
          </cell>
          <cell r="BH59">
            <v>8.6715558990781982E-3</v>
          </cell>
          <cell r="BI59">
            <v>1.1173172557921163E-4</v>
          </cell>
          <cell r="BJ59">
            <v>1.9883716952011854E-2</v>
          </cell>
          <cell r="BK59">
            <v>2.6479638730860788E-3</v>
          </cell>
          <cell r="BL59">
            <v>1.4002805038475286E-2</v>
          </cell>
          <cell r="BM59">
            <v>2.8703489675163674E-3</v>
          </cell>
          <cell r="BN59">
            <v>1.483594713016223E-2</v>
          </cell>
          <cell r="BO59">
            <v>2.5466440302757132E-3</v>
          </cell>
          <cell r="BP59">
            <v>2.2112927456247711E-2</v>
          </cell>
          <cell r="BQ59">
            <v>4.1224707170608443E-3</v>
          </cell>
          <cell r="BR59">
            <v>5.3249175059349341E-2</v>
          </cell>
          <cell r="BS59">
            <v>6.338388515496729E-2</v>
          </cell>
          <cell r="BT59">
            <v>2.7682008205447417E-3</v>
          </cell>
          <cell r="BU59">
            <v>-1.3258164481938506E-2</v>
          </cell>
          <cell r="BV59">
            <v>1.7633571107029677E-2</v>
          </cell>
          <cell r="BW59">
            <v>1.0349797386242088E-2</v>
          </cell>
          <cell r="BX59">
            <v>1.2553588948949868E-2</v>
          </cell>
          <cell r="BY59">
            <v>3.600521845055038E-2</v>
          </cell>
          <cell r="BZ59">
            <v>1.2763088075998352E-2</v>
          </cell>
          <cell r="CA59">
            <v>-1.9281657441698741E-3</v>
          </cell>
          <cell r="CB59">
            <v>2.0402768877064714E-2</v>
          </cell>
          <cell r="CC59">
            <v>2.3301758442302534E-2</v>
          </cell>
          <cell r="CD59">
            <v>4.631714159429956E-2</v>
          </cell>
          <cell r="CE59">
            <v>1.9400605545980776E-2</v>
          </cell>
          <cell r="CF59">
            <v>7.843133247519507E-3</v>
          </cell>
          <cell r="CG59">
            <v>4.5691438486235025E-2</v>
          </cell>
          <cell r="CH59">
            <v>1.9842057938989965E-2</v>
          </cell>
          <cell r="CI59">
            <v>2.0788741485022744E-3</v>
          </cell>
          <cell r="CJ59">
            <v>1.6346802648128378E-3</v>
          </cell>
          <cell r="CK59">
            <v>4.0473004032770543E-3</v>
          </cell>
          <cell r="CL59">
            <v>1.03549373798002E-2</v>
          </cell>
          <cell r="CM59">
            <v>3.6949952275564524E-3</v>
          </cell>
          <cell r="CN59">
            <v>1.4517531912989767E-2</v>
          </cell>
          <cell r="CO59">
            <v>3.1149573074711556E-2</v>
          </cell>
          <cell r="CP59">
            <v>9.7097417037388389E-3</v>
          </cell>
          <cell r="CQ59">
            <v>3.959256283285062E-2</v>
          </cell>
          <cell r="CR59">
            <v>2.6687782848157093E-2</v>
          </cell>
          <cell r="CS59">
            <v>-1.9879524695589845E-2</v>
          </cell>
          <cell r="CT59">
            <v>2.2002474251316295E-2</v>
          </cell>
          <cell r="CU59">
            <v>-2.4844800598924355E-3</v>
          </cell>
          <cell r="CV59">
            <v>2.0511563348071471E-2</v>
          </cell>
          <cell r="CW59">
            <v>2.8650137591583524E-2</v>
          </cell>
          <cell r="CX59">
            <v>9.3288954729460194E-3</v>
          </cell>
          <cell r="CY59">
            <v>-2.8648837633279745E-2</v>
          </cell>
          <cell r="CZ59">
            <v>1.2295351537542576E-2</v>
          </cell>
          <cell r="DA59">
            <v>1.0104783569503839E-2</v>
          </cell>
          <cell r="DB59">
            <v>-7.0145061874471448E-4</v>
          </cell>
          <cell r="DC59">
            <v>1.4432538184959709E-2</v>
          </cell>
          <cell r="DD59">
            <v>8.672572096035891E-3</v>
          </cell>
          <cell r="DE59">
            <v>8.1571468651848722E-3</v>
          </cell>
          <cell r="DF59">
            <v>5.4290269217991405E-3</v>
          </cell>
          <cell r="DG59">
            <v>2.2427095924253626E-2</v>
          </cell>
          <cell r="DH59">
            <v>3.4338874563020871E-2</v>
          </cell>
          <cell r="DI59">
            <v>3.0513227269436172E-2</v>
          </cell>
          <cell r="DJ59">
            <v>1.9758496779586965E-2</v>
          </cell>
          <cell r="DK59">
            <v>-1.3205720786201081E-2</v>
          </cell>
          <cell r="DL59">
            <v>2.9869809259696511E-2</v>
          </cell>
          <cell r="DM59">
            <v>5.2598695685854846E-3</v>
          </cell>
          <cell r="DN59">
            <v>1.0233975220604652E-2</v>
          </cell>
          <cell r="DO59">
            <v>-1.0303410461541818E-3</v>
          </cell>
          <cell r="DP59">
            <v>-3.2166898417059331E-2</v>
          </cell>
          <cell r="DQ59">
            <v>1.5224932608919772E-2</v>
          </cell>
          <cell r="DR59">
            <v>3.105062740017539E-3</v>
          </cell>
          <cell r="DS59">
            <v>-1.4575419545912682E-2</v>
          </cell>
          <cell r="DT59">
            <v>-5.8819408377136062E-2</v>
          </cell>
          <cell r="DU59">
            <v>-3.805093785096314E-2</v>
          </cell>
          <cell r="DV59">
            <v>-6.44987795071994E-3</v>
          </cell>
          <cell r="DW59">
            <v>3.7890734154637506E-3</v>
          </cell>
          <cell r="DX59">
            <v>4.5976040044242605E-2</v>
          </cell>
          <cell r="DY59">
            <v>-2.9489086586415025E-2</v>
          </cell>
          <cell r="DZ59">
            <v>-2.8224229497852971E-3</v>
          </cell>
          <cell r="EA59">
            <v>3.7856109848143582E-2</v>
          </cell>
          <cell r="EB59">
            <v>1.0259837568803221E-2</v>
          </cell>
          <cell r="EC59">
            <v>-8.3854139366149605E-3</v>
          </cell>
          <cell r="ED59">
            <v>3.0205582832367739E-2</v>
          </cell>
          <cell r="EE59">
            <v>-2.6442544452786043E-3</v>
          </cell>
          <cell r="EF59">
            <v>1.293069505799882E-2</v>
          </cell>
          <cell r="EG59">
            <v>2.6274125342319543E-2</v>
          </cell>
          <cell r="EH59">
            <v>3.9874039069125455E-3</v>
          </cell>
          <cell r="EI59">
            <v>1.4468749999999999E-2</v>
          </cell>
          <cell r="EJ59">
            <v>1.4156250000000002E-2</v>
          </cell>
          <cell r="EK59">
            <v>1.4000000000000002E-2</v>
          </cell>
          <cell r="EL59">
            <v>1.4000000000000002E-2</v>
          </cell>
          <cell r="EM59">
            <v>1.4000000000000002E-2</v>
          </cell>
          <cell r="EN59">
            <v>1.4000000000000002E-2</v>
          </cell>
          <cell r="EO59">
            <v>1.4000000000000002E-2</v>
          </cell>
          <cell r="EP59">
            <v>1.4000000000000002E-2</v>
          </cell>
          <cell r="EQ59">
            <v>1.4000000000000002E-2</v>
          </cell>
          <cell r="ER59">
            <v>1.4000000000000002E-2</v>
          </cell>
          <cell r="ES59">
            <v>1.4000000000000002E-2</v>
          </cell>
          <cell r="ET59">
            <v>1.4000000000000002E-2</v>
          </cell>
          <cell r="EU59">
            <v>1.4000000000000002E-2</v>
          </cell>
          <cell r="EV59">
            <v>1.4000000000000002E-2</v>
          </cell>
          <cell r="EW59">
            <v>1.4000000000000002E-2</v>
          </cell>
          <cell r="EX59">
            <v>1.4000000000000002E-2</v>
          </cell>
          <cell r="EY59">
            <v>1.4000000000000002E-2</v>
          </cell>
          <cell r="EZ59">
            <v>1.4000000000000002E-2</v>
          </cell>
          <cell r="FA59">
            <v>1.4000000000000002E-2</v>
          </cell>
          <cell r="FB59">
            <v>1.4000000000000002E-2</v>
          </cell>
          <cell r="FC59">
            <v>1.4000000000000002E-2</v>
          </cell>
          <cell r="FD59">
            <v>1.4000000000000002E-2</v>
          </cell>
          <cell r="FE59">
            <v>1.4000000000000002E-2</v>
          </cell>
          <cell r="FF59">
            <v>1.4000000000000002E-2</v>
          </cell>
          <cell r="FG59">
            <v>1.4000000000000002E-2</v>
          </cell>
          <cell r="FH59">
            <v>1.4000000000000002E-2</v>
          </cell>
          <cell r="FI59">
            <v>1.4000000000000002E-2</v>
          </cell>
          <cell r="FJ59">
            <v>1.4000000000000002E-2</v>
          </cell>
          <cell r="FK59">
            <v>1.4000000000000002E-2</v>
          </cell>
          <cell r="FL59">
            <v>1.4000000000000002E-2</v>
          </cell>
          <cell r="FM59">
            <v>1.4000000000000002E-2</v>
          </cell>
          <cell r="FN59">
            <v>1.4000000000000002E-2</v>
          </cell>
          <cell r="FO59">
            <v>1.4000000000000002E-2</v>
          </cell>
          <cell r="FP59">
            <v>1.4000000000000002E-2</v>
          </cell>
          <cell r="FQ59">
            <v>1.4000000000000002E-2</v>
          </cell>
          <cell r="FR59">
            <v>1.4000000000000002E-2</v>
          </cell>
          <cell r="FS59">
            <v>1.4000000000000002E-2</v>
          </cell>
          <cell r="FT59">
            <v>1.4000000000000002E-2</v>
          </cell>
          <cell r="FU59">
            <v>1.4000000000000002E-2</v>
          </cell>
        </row>
        <row r="60">
          <cell r="A60" t="str">
            <v>3MoCashg</v>
          </cell>
          <cell r="B60" t="str">
            <v>Cash return</v>
          </cell>
          <cell r="D60">
            <v>1.8749999999999999E-2</v>
          </cell>
          <cell r="E60">
            <v>1.7041666666666667E-2</v>
          </cell>
          <cell r="F60">
            <v>1.3708333333333333E-2</v>
          </cell>
          <cell r="G60">
            <v>1.4291666666666664E-2</v>
          </cell>
          <cell r="H60">
            <v>1.3833333333333335E-2</v>
          </cell>
          <cell r="I60">
            <v>1.2958333333333334E-2</v>
          </cell>
          <cell r="J60">
            <v>1.1791666666666666E-2</v>
          </cell>
          <cell r="K60">
            <v>1.1916666666666666E-2</v>
          </cell>
          <cell r="L60">
            <v>1.1833333333333333E-2</v>
          </cell>
          <cell r="M60">
            <v>1.1541666666666667E-2</v>
          </cell>
          <cell r="N60">
            <v>1.2958333333333334E-2</v>
          </cell>
          <cell r="O60">
            <v>1.6916666666666667E-2</v>
          </cell>
          <cell r="P60">
            <v>1.8624999999999999E-2</v>
          </cell>
          <cell r="Q60">
            <v>1.8558333333333333E-2</v>
          </cell>
          <cell r="R60">
            <v>1.8500000000000003E-2</v>
          </cell>
          <cell r="S60">
            <v>1.8583333333333334E-2</v>
          </cell>
          <cell r="T60">
            <v>1.8499999999999999E-2</v>
          </cell>
          <cell r="U60">
            <v>1.8083333333333333E-2</v>
          </cell>
          <cell r="V60">
            <v>1.7500000000000002E-2</v>
          </cell>
          <cell r="W60">
            <v>1.6308333333333334E-2</v>
          </cell>
          <cell r="X60">
            <v>1.5075E-2</v>
          </cell>
          <cell r="Y60">
            <v>1.4241666666666666E-2</v>
          </cell>
          <cell r="Z60">
            <v>1.2458333333333333E-2</v>
          </cell>
          <cell r="AA60">
            <v>1.2450000000000001E-2</v>
          </cell>
          <cell r="AB60">
            <v>1.2450000000000001E-2</v>
          </cell>
          <cell r="AC60">
            <v>1.2433333333333334E-2</v>
          </cell>
          <cell r="AD60">
            <v>1.2458333333333333E-2</v>
          </cell>
          <cell r="AE60">
            <v>1.2233333333333334E-2</v>
          </cell>
          <cell r="AF60">
            <v>1.1816666666666666E-2</v>
          </cell>
          <cell r="AG60">
            <v>1.1883333333333334E-2</v>
          </cell>
          <cell r="AH60">
            <v>1.1899999999999999E-2</v>
          </cell>
          <cell r="AI60">
            <v>1.2266666666666665E-2</v>
          </cell>
          <cell r="AJ60">
            <v>1.3333333333333332E-2</v>
          </cell>
          <cell r="AK60">
            <v>1.4791666666666668E-2</v>
          </cell>
          <cell r="AL60">
            <v>1.5416666666666667E-2</v>
          </cell>
          <cell r="AM60">
            <v>1.5625E-2</v>
          </cell>
          <cell r="AN60">
            <v>1.4583333333333332E-2</v>
          </cell>
          <cell r="AO60">
            <v>1.2500000000000001E-2</v>
          </cell>
          <cell r="AP60">
            <v>1.2291666666666668E-2</v>
          </cell>
          <cell r="AQ60">
            <v>1.1041666666666667E-2</v>
          </cell>
          <cell r="AR60">
            <v>1.0625000000000001E-2</v>
          </cell>
          <cell r="AS60">
            <v>1.125E-2</v>
          </cell>
          <cell r="AT60">
            <v>1.1875E-2</v>
          </cell>
          <cell r="AU60">
            <v>1.1875E-2</v>
          </cell>
          <cell r="AV60">
            <v>1.1875E-2</v>
          </cell>
          <cell r="AW60">
            <v>1.1875E-2</v>
          </cell>
          <cell r="AX60">
            <v>1.1875E-2</v>
          </cell>
          <cell r="AY60">
            <v>1.2500000000000001E-2</v>
          </cell>
          <cell r="AZ60">
            <v>1.3125E-2</v>
          </cell>
          <cell r="BA60">
            <v>1.3125E-2</v>
          </cell>
          <cell r="BB60">
            <v>1.3125E-2</v>
          </cell>
          <cell r="BC60">
            <v>1.3125E-2</v>
          </cell>
          <cell r="BD60">
            <v>1.3333333333333332E-2</v>
          </cell>
          <cell r="BE60">
            <v>1.375E-2</v>
          </cell>
          <cell r="BF60">
            <v>1.375E-2</v>
          </cell>
          <cell r="BG60">
            <v>1.375E-2</v>
          </cell>
          <cell r="BH60">
            <v>1.375E-2</v>
          </cell>
          <cell r="BI60">
            <v>1.4166666666666668E-2</v>
          </cell>
          <cell r="BJ60">
            <v>1.4791666666666668E-2</v>
          </cell>
          <cell r="BK60">
            <v>1.5416666666666667E-2</v>
          </cell>
          <cell r="BL60">
            <v>1.5625E-2</v>
          </cell>
          <cell r="BM60">
            <v>1.5625E-2</v>
          </cell>
          <cell r="BN60">
            <v>1.6041666666666666E-2</v>
          </cell>
          <cell r="BO60">
            <v>1.6666666666666666E-2</v>
          </cell>
          <cell r="BP60">
            <v>1.7500000000000002E-2</v>
          </cell>
          <cell r="BQ60">
            <v>1.8124999999999999E-2</v>
          </cell>
          <cell r="BR60">
            <v>1.7916666666666668E-2</v>
          </cell>
          <cell r="BS60">
            <v>1.2916666666666667E-2</v>
          </cell>
          <cell r="BT60">
            <v>8.9583333333333338E-3</v>
          </cell>
          <cell r="BU60">
            <v>7.4999999999999997E-3</v>
          </cell>
          <cell r="BV60">
            <v>7.4999999999999997E-3</v>
          </cell>
          <cell r="BW60">
            <v>8.7500000000000008E-3</v>
          </cell>
          <cell r="BX60">
            <v>9.5833333333333343E-3</v>
          </cell>
          <cell r="BY60">
            <v>1.1041666666666667E-2</v>
          </cell>
          <cell r="BZ60">
            <v>1.125E-2</v>
          </cell>
          <cell r="CA60">
            <v>1.1666666666666667E-2</v>
          </cell>
          <cell r="CB60">
            <v>1.1875E-2</v>
          </cell>
          <cell r="CC60">
            <v>1.1875E-2</v>
          </cell>
          <cell r="CD60">
            <v>1.1875E-2</v>
          </cell>
          <cell r="CE60">
            <v>1.125E-2</v>
          </cell>
          <cell r="CF60">
            <v>1.0625000000000001E-2</v>
          </cell>
          <cell r="CG60">
            <v>9.5833333333333343E-3</v>
          </cell>
          <cell r="CH60">
            <v>8.7500000000000008E-3</v>
          </cell>
          <cell r="CI60">
            <v>7.9166666666666656E-3</v>
          </cell>
          <cell r="CJ60">
            <v>7.4999999999999997E-3</v>
          </cell>
          <cell r="CK60">
            <v>7.0833333333333338E-3</v>
          </cell>
          <cell r="CL60">
            <v>6.4583333333333333E-3</v>
          </cell>
          <cell r="CM60">
            <v>6.2500000000000003E-3</v>
          </cell>
          <cell r="CN60">
            <v>6.2500000000000003E-3</v>
          </cell>
          <cell r="CO60">
            <v>6.2500000000000003E-3</v>
          </cell>
          <cell r="CP60">
            <v>6.2500000000000003E-3</v>
          </cell>
          <cell r="CQ60">
            <v>6.2500000000000003E-3</v>
          </cell>
          <cell r="CR60">
            <v>5.8333333333333336E-3</v>
          </cell>
          <cell r="CS60">
            <v>5.2083333333333339E-3</v>
          </cell>
          <cell r="CT60">
            <v>5.0000000000000001E-3</v>
          </cell>
          <cell r="CU60">
            <v>5.0000000000000001E-3</v>
          </cell>
          <cell r="CV60">
            <v>5.0000000000000001E-3</v>
          </cell>
          <cell r="CW60">
            <v>4.5833333333333334E-3</v>
          </cell>
          <cell r="CX60">
            <v>3.9583333333333328E-3</v>
          </cell>
          <cell r="CY60">
            <v>3.7499999999999999E-3</v>
          </cell>
          <cell r="CZ60">
            <v>3.7499999999999999E-3</v>
          </cell>
          <cell r="DA60">
            <v>3.7499999999999999E-3</v>
          </cell>
          <cell r="DB60">
            <v>3.7499999999999999E-3</v>
          </cell>
          <cell r="DC60">
            <v>3.7499999999999999E-3</v>
          </cell>
          <cell r="DD60">
            <v>3.7499999999999999E-3</v>
          </cell>
          <cell r="DE60">
            <v>3.7499999999999999E-3</v>
          </cell>
          <cell r="DF60">
            <v>3.7499999999999999E-3</v>
          </cell>
          <cell r="DG60">
            <v>3.7499999999999999E-3</v>
          </cell>
          <cell r="DH60">
            <v>3.7499999999999999E-3</v>
          </cell>
          <cell r="DI60">
            <v>3.5416666666666669E-3</v>
          </cell>
          <cell r="DJ60">
            <v>2.5000000000000001E-3</v>
          </cell>
          <cell r="DK60">
            <v>1.8749999999999999E-3</v>
          </cell>
          <cell r="DL60">
            <v>1.4583333333333334E-3</v>
          </cell>
          <cell r="DM60">
            <v>6.2500000000000001E-4</v>
          </cell>
          <cell r="DN60">
            <v>6.2500000000000001E-4</v>
          </cell>
          <cell r="DO60">
            <v>3.7500000000000001E-4</v>
          </cell>
          <cell r="DP60">
            <v>2.5000000000000006E-4</v>
          </cell>
          <cell r="DQ60">
            <v>2.5000000000000006E-4</v>
          </cell>
          <cell r="DR60">
            <v>2.5000000000000006E-4</v>
          </cell>
          <cell r="DS60">
            <v>2.5000000000000006E-4</v>
          </cell>
          <cell r="DT60">
            <v>2.5000000000000006E-4</v>
          </cell>
          <cell r="DU60">
            <v>1.0833333333333333E-3</v>
          </cell>
          <cell r="DV60">
            <v>4.6250000000000006E-3</v>
          </cell>
          <cell r="DW60">
            <v>7.1250000000000003E-3</v>
          </cell>
          <cell r="DX60">
            <v>8.3750000000000005E-3</v>
          </cell>
          <cell r="DY60">
            <v>9.6249999999999999E-3</v>
          </cell>
          <cell r="DZ60">
            <v>1.0249999999999999E-2</v>
          </cell>
          <cell r="EA60">
            <v>1.0666666666666666E-2</v>
          </cell>
          <cell r="EB60">
            <v>1.0874999999999999E-2</v>
          </cell>
          <cell r="EC60">
            <v>1.0874999999999999E-2</v>
          </cell>
          <cell r="ED60">
            <v>1.0874999999999999E-2</v>
          </cell>
          <cell r="EE60">
            <v>1.0874999999999999E-2</v>
          </cell>
          <cell r="EF60">
            <v>1.0458333333333332E-2</v>
          </cell>
          <cell r="EG60">
            <v>9.8333333333333328E-3</v>
          </cell>
          <cell r="EH60">
            <v>9.208333333333334E-3</v>
          </cell>
          <cell r="EI60">
            <v>9.4687499999999997E-3</v>
          </cell>
          <cell r="EJ60">
            <v>9.1562500000000012E-3</v>
          </cell>
          <cell r="EK60">
            <v>9.0000000000000011E-3</v>
          </cell>
          <cell r="EL60">
            <v>9.0000000000000011E-3</v>
          </cell>
          <cell r="EM60">
            <v>9.0000000000000011E-3</v>
          </cell>
          <cell r="EN60">
            <v>9.0000000000000011E-3</v>
          </cell>
          <cell r="EO60">
            <v>9.0000000000000011E-3</v>
          </cell>
          <cell r="EP60">
            <v>9.0000000000000011E-3</v>
          </cell>
          <cell r="EQ60">
            <v>9.0000000000000011E-3</v>
          </cell>
          <cell r="ER60">
            <v>9.0000000000000011E-3</v>
          </cell>
          <cell r="ES60">
            <v>9.0000000000000011E-3</v>
          </cell>
          <cell r="ET60">
            <v>9.0000000000000011E-3</v>
          </cell>
          <cell r="EU60">
            <v>9.0000000000000011E-3</v>
          </cell>
          <cell r="EV60">
            <v>9.0000000000000011E-3</v>
          </cell>
          <cell r="EW60">
            <v>9.0000000000000011E-3</v>
          </cell>
          <cell r="EX60">
            <v>9.0000000000000011E-3</v>
          </cell>
          <cell r="EY60">
            <v>9.0000000000000011E-3</v>
          </cell>
          <cell r="EZ60">
            <v>9.0000000000000011E-3</v>
          </cell>
          <cell r="FA60">
            <v>9.0000000000000011E-3</v>
          </cell>
          <cell r="FB60">
            <v>9.0000000000000011E-3</v>
          </cell>
          <cell r="FC60">
            <v>9.0000000000000011E-3</v>
          </cell>
          <cell r="FD60">
            <v>9.0000000000000011E-3</v>
          </cell>
          <cell r="FE60">
            <v>9.0000000000000011E-3</v>
          </cell>
          <cell r="FF60">
            <v>9.0000000000000011E-3</v>
          </cell>
          <cell r="FG60">
            <v>9.0000000000000011E-3</v>
          </cell>
          <cell r="FH60">
            <v>9.0000000000000011E-3</v>
          </cell>
          <cell r="FI60">
            <v>9.0000000000000011E-3</v>
          </cell>
          <cell r="FJ60">
            <v>9.0000000000000011E-3</v>
          </cell>
          <cell r="FK60">
            <v>9.0000000000000011E-3</v>
          </cell>
          <cell r="FL60">
            <v>9.0000000000000011E-3</v>
          </cell>
          <cell r="FM60">
            <v>9.0000000000000011E-3</v>
          </cell>
          <cell r="FN60">
            <v>9.0000000000000011E-3</v>
          </cell>
          <cell r="FO60">
            <v>9.0000000000000011E-3</v>
          </cell>
          <cell r="FP60">
            <v>9.0000000000000011E-3</v>
          </cell>
          <cell r="FQ60">
            <v>9.0000000000000011E-3</v>
          </cell>
          <cell r="FR60">
            <v>9.0000000000000011E-3</v>
          </cell>
          <cell r="FS60">
            <v>9.0000000000000011E-3</v>
          </cell>
          <cell r="FT60">
            <v>9.0000000000000011E-3</v>
          </cell>
          <cell r="FU60">
            <v>9.0000000000000011E-3</v>
          </cell>
        </row>
        <row r="61">
          <cell r="D61"/>
          <cell r="E61"/>
          <cell r="F61"/>
          <cell r="G61"/>
          <cell r="H61"/>
          <cell r="I61"/>
          <cell r="J61"/>
          <cell r="K61"/>
          <cell r="L61"/>
          <cell r="M61"/>
          <cell r="N61"/>
          <cell r="O61"/>
          <cell r="P61"/>
          <cell r="Q61"/>
          <cell r="R61"/>
          <cell r="S61"/>
          <cell r="T61"/>
          <cell r="U61"/>
          <cell r="V61"/>
          <cell r="W61"/>
          <cell r="X61"/>
          <cell r="Y61"/>
          <cell r="Z61"/>
          <cell r="AA61"/>
          <cell r="AB61"/>
          <cell r="AC61"/>
          <cell r="AD61"/>
          <cell r="AE61"/>
          <cell r="AF61"/>
          <cell r="AG61"/>
          <cell r="AH61"/>
          <cell r="AI61"/>
          <cell r="AJ61"/>
          <cell r="AK61"/>
          <cell r="AL61"/>
          <cell r="AM61"/>
          <cell r="AN61"/>
          <cell r="AO61"/>
          <cell r="AP61"/>
          <cell r="AQ61"/>
          <cell r="AR61"/>
          <cell r="AS61"/>
          <cell r="AT61"/>
          <cell r="AU61"/>
          <cell r="AV61"/>
          <cell r="AW61"/>
          <cell r="AX61"/>
          <cell r="AY61"/>
          <cell r="AZ61"/>
          <cell r="BA61"/>
          <cell r="BB61"/>
          <cell r="BC61"/>
          <cell r="BD61"/>
          <cell r="BE61"/>
          <cell r="BF61"/>
          <cell r="BG61"/>
          <cell r="BH61"/>
          <cell r="BI61"/>
          <cell r="BJ61"/>
          <cell r="BK61"/>
          <cell r="BL61"/>
          <cell r="BM61"/>
          <cell r="BN61"/>
          <cell r="BO61"/>
          <cell r="BP61"/>
          <cell r="BQ61"/>
          <cell r="BR61"/>
          <cell r="BS61"/>
          <cell r="BT61"/>
          <cell r="BU61"/>
          <cell r="BV61"/>
          <cell r="BW61"/>
          <cell r="BX61"/>
          <cell r="BY61"/>
          <cell r="BZ61"/>
          <cell r="CA61"/>
          <cell r="CB61"/>
          <cell r="CC61"/>
          <cell r="CD61"/>
          <cell r="CE61"/>
          <cell r="CF61"/>
          <cell r="CG61"/>
          <cell r="CH61"/>
          <cell r="CI61"/>
          <cell r="CJ61"/>
          <cell r="CK61"/>
          <cell r="CL61"/>
          <cell r="CM61"/>
          <cell r="CN61"/>
          <cell r="CO61"/>
          <cell r="CP61"/>
          <cell r="CQ61"/>
          <cell r="CR61"/>
          <cell r="CS61"/>
          <cell r="CT61"/>
          <cell r="CU61"/>
          <cell r="CV61"/>
          <cell r="CW61"/>
          <cell r="CX61"/>
          <cell r="CY61"/>
          <cell r="CZ61"/>
          <cell r="DA61"/>
          <cell r="DB61"/>
          <cell r="DC61"/>
          <cell r="DD61"/>
          <cell r="DE61"/>
          <cell r="DF61"/>
          <cell r="DG61"/>
          <cell r="DH61"/>
          <cell r="DI61"/>
          <cell r="DJ61"/>
          <cell r="DK61"/>
          <cell r="DL61"/>
          <cell r="DM61"/>
          <cell r="DN61"/>
          <cell r="DO61"/>
          <cell r="DP61"/>
          <cell r="DQ61"/>
          <cell r="DR61"/>
          <cell r="DS61"/>
          <cell r="DT61"/>
          <cell r="DU61"/>
          <cell r="DV61"/>
          <cell r="DW61"/>
          <cell r="DX61"/>
          <cell r="DY61"/>
          <cell r="DZ61"/>
          <cell r="EA61"/>
          <cell r="EB61"/>
          <cell r="EC61"/>
          <cell r="ED61"/>
          <cell r="EE61"/>
          <cell r="EG61"/>
          <cell r="EH61"/>
        </row>
        <row r="62">
          <cell r="B62" t="str">
            <v>Market performance (6mo)</v>
          </cell>
          <cell r="C62"/>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E62"/>
          <cell r="AF62"/>
          <cell r="AG62"/>
          <cell r="AH62"/>
          <cell r="AI62"/>
          <cell r="AJ62"/>
          <cell r="AK62"/>
          <cell r="AL62"/>
          <cell r="AM62"/>
          <cell r="AN62"/>
          <cell r="AO62"/>
          <cell r="AP62"/>
          <cell r="AQ62"/>
          <cell r="AR62"/>
          <cell r="AS62"/>
          <cell r="AT62"/>
          <cell r="AU62"/>
          <cell r="AV62"/>
          <cell r="AW62"/>
          <cell r="AX62"/>
          <cell r="AY62"/>
          <cell r="AZ62"/>
          <cell r="BA62"/>
          <cell r="BB62"/>
          <cell r="BC62"/>
          <cell r="BD62"/>
          <cell r="BE62"/>
          <cell r="BF62"/>
          <cell r="BG62"/>
          <cell r="BH62"/>
          <cell r="BI62"/>
          <cell r="BJ62"/>
          <cell r="BK62"/>
          <cell r="BL62"/>
          <cell r="BM62"/>
          <cell r="BN62"/>
          <cell r="BO62"/>
          <cell r="BP62"/>
          <cell r="BQ62"/>
          <cell r="BR62"/>
          <cell r="BS62"/>
          <cell r="BT62"/>
          <cell r="BU62"/>
          <cell r="BV62"/>
          <cell r="BW62"/>
          <cell r="BX62"/>
          <cell r="BY62"/>
          <cell r="BZ62"/>
          <cell r="CA62"/>
          <cell r="CB62"/>
          <cell r="CC62"/>
          <cell r="CD62"/>
          <cell r="CE62"/>
          <cell r="CF62"/>
          <cell r="CG62"/>
          <cell r="CH62"/>
          <cell r="CI62"/>
          <cell r="CJ62"/>
          <cell r="CK62"/>
          <cell r="CL62"/>
          <cell r="CM62"/>
          <cell r="CN62"/>
          <cell r="CO62"/>
          <cell r="CP62"/>
          <cell r="CQ62"/>
          <cell r="CR62"/>
          <cell r="CS62"/>
          <cell r="CT62"/>
          <cell r="CU62"/>
          <cell r="CV62"/>
          <cell r="CW62"/>
          <cell r="CX62"/>
          <cell r="CY62"/>
          <cell r="CZ62"/>
          <cell r="DA62"/>
          <cell r="DB62"/>
          <cell r="DC62"/>
          <cell r="DD62"/>
          <cell r="DE62"/>
          <cell r="DF62"/>
          <cell r="DG62"/>
          <cell r="DH62"/>
          <cell r="DI62"/>
          <cell r="DJ62"/>
          <cell r="DK62"/>
          <cell r="DL62"/>
          <cell r="DM62"/>
          <cell r="DN62"/>
          <cell r="DO62"/>
          <cell r="DP62"/>
          <cell r="DQ62"/>
          <cell r="DR62"/>
          <cell r="DS62"/>
          <cell r="DT62"/>
          <cell r="DU62"/>
          <cell r="DV62"/>
          <cell r="DW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row>
        <row r="63">
          <cell r="A63" t="str">
            <v>6MoASX200AIg</v>
          </cell>
          <cell r="B63" t="str">
            <v>ASX-200 Accumulation Index return</v>
          </cell>
          <cell r="D63"/>
          <cell r="E63"/>
          <cell r="F63"/>
          <cell r="G63">
            <v>-4.0842749810868655E-2</v>
          </cell>
          <cell r="H63">
            <v>0.15078808934700638</v>
          </cell>
          <cell r="I63">
            <v>0.12934728631980197</v>
          </cell>
          <cell r="J63">
            <v>0.16635490710602863</v>
          </cell>
          <cell r="K63">
            <v>0.24009225828951508</v>
          </cell>
          <cell r="L63">
            <v>5.0800639878133769E-2</v>
          </cell>
          <cell r="M63">
            <v>-7.051038892187389E-2</v>
          </cell>
          <cell r="N63">
            <v>1.0968018041177974E-2</v>
          </cell>
          <cell r="O63">
            <v>-1.8357001585311061E-2</v>
          </cell>
          <cell r="P63">
            <v>-2.952442803080213E-2</v>
          </cell>
          <cell r="Q63">
            <v>8.9513621051370507E-2</v>
          </cell>
          <cell r="R63">
            <v>0.14247804192019276</v>
          </cell>
          <cell r="S63">
            <v>0.11155033854683083</v>
          </cell>
          <cell r="T63">
            <v>5.8416149916258764E-2</v>
          </cell>
          <cell r="U63">
            <v>2.8421507948987124E-2</v>
          </cell>
          <cell r="V63">
            <v>4.5785124534705401E-2</v>
          </cell>
          <cell r="W63">
            <v>0.11193506259382581</v>
          </cell>
          <cell r="X63">
            <v>8.5774828369673983E-2</v>
          </cell>
          <cell r="Y63">
            <v>0.14752001095781653</v>
          </cell>
          <cell r="Z63">
            <v>0.16677883414845085</v>
          </cell>
          <cell r="AA63">
            <v>-1.8124694341603798E-2</v>
          </cell>
          <cell r="AB63">
            <v>1.3139536283576225E-2</v>
          </cell>
          <cell r="AC63">
            <v>3.9065284674339118E-2</v>
          </cell>
          <cell r="AD63">
            <v>-4.7209541311136964E-2</v>
          </cell>
          <cell r="AE63">
            <v>5.6725620031717217E-2</v>
          </cell>
          <cell r="AF63">
            <v>0.1619961066517952</v>
          </cell>
          <cell r="AG63">
            <v>8.646876091720547E-2</v>
          </cell>
          <cell r="AH63">
            <v>-6.9952288195496148E-4</v>
          </cell>
          <cell r="AI63">
            <v>9.2929816244480712E-2</v>
          </cell>
          <cell r="AJ63">
            <v>0.13262480414089528</v>
          </cell>
          <cell r="AK63">
            <v>7.9055583597559709E-2</v>
          </cell>
          <cell r="AL63">
            <v>6.9724633871026453E-2</v>
          </cell>
          <cell r="AM63">
            <v>-1.4326874840030701E-2</v>
          </cell>
          <cell r="AN63">
            <v>-2.8719052439103998E-2</v>
          </cell>
          <cell r="AO63">
            <v>0.1065106330525154</v>
          </cell>
          <cell r="AP63">
            <v>-1.5435995544781478E-2</v>
          </cell>
          <cell r="AQ63">
            <v>-2.6518586313712955E-3</v>
          </cell>
          <cell r="AR63">
            <v>0.13908590603601678</v>
          </cell>
          <cell r="AS63">
            <v>-4.4371621552780634E-2</v>
          </cell>
          <cell r="AT63">
            <v>-0.11328758288301444</v>
          </cell>
          <cell r="AU63">
            <v>-4.5391553808074366E-2</v>
          </cell>
          <cell r="AV63">
            <v>-6.7798898003056385E-3</v>
          </cell>
          <cell r="AW63">
            <v>2.9585346060128082E-2</v>
          </cell>
          <cell r="AX63">
            <v>0.12203240398528671</v>
          </cell>
          <cell r="AY63">
            <v>0.11318990196287813</v>
          </cell>
          <cell r="AZ63">
            <v>9.9858475387551979E-2</v>
          </cell>
          <cell r="BA63">
            <v>9.2425178675543673E-2</v>
          </cell>
          <cell r="BB63">
            <v>9.7485496952219197E-2</v>
          </cell>
          <cell r="BC63">
            <v>0.17164590966351725</v>
          </cell>
          <cell r="BD63">
            <v>0.14471526653760303</v>
          </cell>
          <cell r="BE63">
            <v>7.8435198525297789E-2</v>
          </cell>
          <cell r="BF63">
            <v>0.15444261152929317</v>
          </cell>
          <cell r="BG63">
            <v>0.13895832906203398</v>
          </cell>
          <cell r="BH63">
            <v>0.12913069405051369</v>
          </cell>
          <cell r="BI63">
            <v>8.8107046104405118E-2</v>
          </cell>
          <cell r="BJ63">
            <v>2.696873363883312E-2</v>
          </cell>
          <cell r="BK63">
            <v>0.14163045890614878</v>
          </cell>
          <cell r="BL63">
            <v>0.18586271856547154</v>
          </cell>
          <cell r="BM63">
            <v>0.12698208108755127</v>
          </cell>
          <cell r="BN63">
            <v>0.11644626000066417</v>
          </cell>
          <cell r="BO63">
            <v>2.9962812020279062E-2</v>
          </cell>
          <cell r="BP63">
            <v>-0.16734672160923514</v>
          </cell>
          <cell r="BQ63">
            <v>-0.15923773448352629</v>
          </cell>
          <cell r="BR63">
            <v>-0.12040957655121275</v>
          </cell>
          <cell r="BS63">
            <v>-0.26786618072403068</v>
          </cell>
          <cell r="BT63">
            <v>-0.19871326971548176</v>
          </cell>
          <cell r="BU63">
            <v>9.0815213766841207E-2</v>
          </cell>
          <cell r="BV63">
            <v>0.35213217416915521</v>
          </cell>
          <cell r="BW63">
            <v>0.25624124723923147</v>
          </cell>
          <cell r="BX63">
            <v>4.8011476415038334E-2</v>
          </cell>
          <cell r="BY63">
            <v>-9.9332040732958551E-2</v>
          </cell>
          <cell r="BZ63">
            <v>-4.0018494187662575E-2</v>
          </cell>
          <cell r="CA63">
            <v>0.12768916021645249</v>
          </cell>
          <cell r="CB63">
            <v>7.747434775433204E-2</v>
          </cell>
          <cell r="CC63">
            <v>-9.208256279714222E-3</v>
          </cell>
          <cell r="CD63">
            <v>-0.1513422929480055</v>
          </cell>
          <cell r="CE63">
            <v>-9.7119756578138428E-2</v>
          </cell>
          <cell r="CF63">
            <v>0.10691071830508016</v>
          </cell>
          <cell r="CG63">
            <v>3.320706136747531E-2</v>
          </cell>
          <cell r="CH63">
            <v>3.7384123149176718E-2</v>
          </cell>
          <cell r="CI63">
            <v>0.16392686884588456</v>
          </cell>
          <cell r="CJ63">
            <v>0.15658668186760871</v>
          </cell>
          <cell r="CK63">
            <v>5.4632090475184469E-2</v>
          </cell>
          <cell r="CL63">
            <v>7.4623401351684882E-2</v>
          </cell>
          <cell r="CM63">
            <v>0.13971873260055134</v>
          </cell>
          <cell r="CN63">
            <v>5.5840945703218292E-2</v>
          </cell>
          <cell r="CO63">
            <v>3.0382401636474876E-2</v>
          </cell>
          <cell r="CP63">
            <v>3.2655870368478723E-3</v>
          </cell>
          <cell r="CQ63">
            <v>2.4961474178222254E-2</v>
          </cell>
          <cell r="CR63">
            <v>0.13758788845834058</v>
          </cell>
          <cell r="CS63">
            <v>3.1036209654727864E-2</v>
          </cell>
          <cell r="CT63">
            <v>-0.12694167861271677</v>
          </cell>
          <cell r="CU63">
            <v>-5.2645678175951005E-3</v>
          </cell>
          <cell r="CV63">
            <v>3.553954568479667E-2</v>
          </cell>
          <cell r="CW63">
            <v>1.0879399417170754E-2</v>
          </cell>
          <cell r="CX63">
            <v>9.288778848964574E-2</v>
          </cell>
          <cell r="CY63">
            <v>0.10594036725621603</v>
          </cell>
          <cell r="CZ63">
            <v>0.10249600669415937</v>
          </cell>
          <cell r="DA63">
            <v>3.1612141062304699E-2</v>
          </cell>
          <cell r="DB63">
            <v>-9.0883129513462668E-3</v>
          </cell>
          <cell r="DC63">
            <v>8.3702623449514846E-2</v>
          </cell>
          <cell r="DD63">
            <v>3.481617119235958E-2</v>
          </cell>
          <cell r="DE63">
            <v>4.285768068222473E-2</v>
          </cell>
          <cell r="DF63">
            <v>0.10133039616273321</v>
          </cell>
          <cell r="DG63">
            <v>-6.8326358354338756E-2</v>
          </cell>
          <cell r="DH63">
            <v>1.7540635222229595E-2</v>
          </cell>
          <cell r="DI63">
            <v>0.19727535526063966</v>
          </cell>
          <cell r="DJ63">
            <v>0.10527097635839035</v>
          </cell>
          <cell r="DK63">
            <v>3.0632914236491837E-2</v>
          </cell>
          <cell r="DL63">
            <v>-0.2257415545513265</v>
          </cell>
          <cell r="DM63">
            <v>-0.10424692104178235</v>
          </cell>
          <cell r="DN63">
            <v>0.15969183845810586</v>
          </cell>
          <cell r="DO63">
            <v>0.13201339659805078</v>
          </cell>
          <cell r="DP63">
            <v>0.18538896885114009</v>
          </cell>
          <cell r="DQ63">
            <v>0.12895116438882104</v>
          </cell>
          <cell r="DR63">
            <v>0.10140090273150747</v>
          </cell>
          <cell r="DS63">
            <v>3.8410009244964849E-2</v>
          </cell>
          <cell r="DT63">
            <v>4.3834136156981396E-2</v>
          </cell>
          <cell r="DU63">
            <v>-9.9272091270705007E-2</v>
          </cell>
          <cell r="DV63">
            <v>-0.11562420250090621</v>
          </cell>
          <cell r="DW63">
            <v>9.8227906271230334E-2</v>
          </cell>
          <cell r="DX63">
            <v>0.13188230719495131</v>
          </cell>
          <cell r="DY63">
            <v>4.5119990913830899E-2</v>
          </cell>
          <cell r="DZ63">
            <v>2.4028078538818054E-3</v>
          </cell>
          <cell r="EA63">
            <v>7.5653975241849913E-2</v>
          </cell>
          <cell r="EB63">
            <v>0.14170901195340968</v>
          </cell>
          <cell r="EC63">
            <v>4.2190024012100258E-2</v>
          </cell>
          <cell r="ED63">
            <v>6.6515782507608812E-2</v>
          </cell>
          <cell r="EE63">
            <v>6.9288641933914707E-2</v>
          </cell>
          <cell r="EF63">
            <v>-3.5746239335790464E-2</v>
          </cell>
          <cell r="EG63">
            <v>6.4367049738376814E-2</v>
          </cell>
          <cell r="EH63">
            <v>0.14662754134478773</v>
          </cell>
          <cell r="EI63">
            <v>7.3283925101527148E-2</v>
          </cell>
          <cell r="EJ63">
            <v>5.062499999999992E-2</v>
          </cell>
          <cell r="EK63">
            <v>5.062499999999992E-2</v>
          </cell>
          <cell r="EL63">
            <v>5.062499999999992E-2</v>
          </cell>
          <cell r="EM63">
            <v>5.062499999999992E-2</v>
          </cell>
          <cell r="EN63">
            <v>5.062499999999992E-2</v>
          </cell>
          <cell r="EO63">
            <v>5.062499999999992E-2</v>
          </cell>
          <cell r="EP63">
            <v>5.062499999999992E-2</v>
          </cell>
          <cell r="EQ63">
            <v>5.062499999999992E-2</v>
          </cell>
          <cell r="ER63">
            <v>5.062499999999992E-2</v>
          </cell>
          <cell r="ES63">
            <v>5.062499999999992E-2</v>
          </cell>
          <cell r="ET63">
            <v>5.062499999999992E-2</v>
          </cell>
          <cell r="EU63">
            <v>5.062499999999992E-2</v>
          </cell>
          <cell r="EV63">
            <v>5.062499999999992E-2</v>
          </cell>
          <cell r="EW63">
            <v>5.062499999999992E-2</v>
          </cell>
          <cell r="EX63">
            <v>5.062499999999992E-2</v>
          </cell>
          <cell r="EY63">
            <v>5.062499999999992E-2</v>
          </cell>
          <cell r="EZ63">
            <v>5.062499999999992E-2</v>
          </cell>
          <cell r="FA63">
            <v>5.062499999999992E-2</v>
          </cell>
          <cell r="FB63">
            <v>5.062499999999992E-2</v>
          </cell>
          <cell r="FC63">
            <v>5.062499999999992E-2</v>
          </cell>
          <cell r="FD63">
            <v>5.062499999999992E-2</v>
          </cell>
          <cell r="FE63">
            <v>5.062499999999992E-2</v>
          </cell>
          <cell r="FF63">
            <v>5.062499999999992E-2</v>
          </cell>
          <cell r="FG63">
            <v>5.062499999999992E-2</v>
          </cell>
          <cell r="FH63">
            <v>5.062499999999992E-2</v>
          </cell>
          <cell r="FI63">
            <v>5.062499999999992E-2</v>
          </cell>
          <cell r="FJ63">
            <v>5.062499999999992E-2</v>
          </cell>
          <cell r="FK63">
            <v>5.062499999999992E-2</v>
          </cell>
          <cell r="FL63">
            <v>5.062499999999992E-2</v>
          </cell>
          <cell r="FM63">
            <v>5.062499999999992E-2</v>
          </cell>
          <cell r="FN63">
            <v>5.062499999999992E-2</v>
          </cell>
          <cell r="FO63">
            <v>5.062499999999992E-2</v>
          </cell>
          <cell r="FP63">
            <v>5.062499999999992E-2</v>
          </cell>
          <cell r="FQ63">
            <v>5.062499999999992E-2</v>
          </cell>
          <cell r="FR63">
            <v>5.062499999999992E-2</v>
          </cell>
          <cell r="FS63">
            <v>5.062499999999992E-2</v>
          </cell>
          <cell r="FT63">
            <v>5.062499999999992E-2</v>
          </cell>
          <cell r="FU63">
            <v>5.062499999999992E-2</v>
          </cell>
        </row>
        <row r="64">
          <cell r="A64" t="str">
            <v>6MoFIg</v>
          </cell>
          <cell r="B64" t="str">
            <v>Fixed income return</v>
          </cell>
          <cell r="D64">
            <v>7.0084114493313532E-2</v>
          </cell>
          <cell r="E64">
            <v>6.6942362367536923E-2</v>
          </cell>
          <cell r="F64">
            <v>8.2906313142509833E-2</v>
          </cell>
          <cell r="G64">
            <v>3.4860086972962723E-2</v>
          </cell>
          <cell r="H64">
            <v>9.0257712059707659E-2</v>
          </cell>
          <cell r="I64">
            <v>0.10096038778632919</v>
          </cell>
          <cell r="J64">
            <v>6.8777930975284063E-2</v>
          </cell>
          <cell r="K64">
            <v>5.6546869717686965E-2</v>
          </cell>
          <cell r="L64">
            <v>-8.2472881330408754E-3</v>
          </cell>
          <cell r="M64">
            <v>-6.4235403833410976E-2</v>
          </cell>
          <cell r="N64">
            <v>-3.4412422687195687E-2</v>
          </cell>
          <cell r="O64">
            <v>1.8557760899668541E-2</v>
          </cell>
          <cell r="P64">
            <v>6.017035775127777E-2</v>
          </cell>
          <cell r="Q64">
            <v>9.8410802014563536E-2</v>
          </cell>
          <cell r="R64">
            <v>9.8969612467491461E-2</v>
          </cell>
          <cell r="S64">
            <v>7.9837409046583208E-2</v>
          </cell>
          <cell r="T64">
            <v>2.5959256943101083E-2</v>
          </cell>
          <cell r="U64">
            <v>1.3133615543254207E-2</v>
          </cell>
          <cell r="V64">
            <v>9.3746304118395477E-2</v>
          </cell>
          <cell r="W64">
            <v>0.10469252196271706</v>
          </cell>
          <cell r="X64">
            <v>2.9580786932061676E-2</v>
          </cell>
          <cell r="Y64">
            <v>5.7417216230894574E-2</v>
          </cell>
          <cell r="Z64">
            <v>0.11304649197615246</v>
          </cell>
          <cell r="AA64">
            <v>6.1339526183427084E-2</v>
          </cell>
          <cell r="AB64">
            <v>3.9310457024703815E-2</v>
          </cell>
          <cell r="AC64">
            <v>4.4742327195550491E-2</v>
          </cell>
          <cell r="AD64">
            <v>5.1803861531185769E-2</v>
          </cell>
          <cell r="AE64">
            <v>4.8483845886615251E-2</v>
          </cell>
          <cell r="AF64">
            <v>1.3973314301076734E-2</v>
          </cell>
          <cell r="AG64">
            <v>-1.4929078349884217E-2</v>
          </cell>
          <cell r="AH64">
            <v>-3.471393780384302E-4</v>
          </cell>
          <cell r="AI64">
            <v>2.7806182177743111E-3</v>
          </cell>
          <cell r="AJ64">
            <v>1.8247375555799694E-2</v>
          </cell>
          <cell r="AK64">
            <v>5.8757744835809866E-2</v>
          </cell>
          <cell r="AL64">
            <v>3.9885006252963207E-2</v>
          </cell>
          <cell r="AM64">
            <v>5.8267027085414647E-2</v>
          </cell>
          <cell r="AN64">
            <v>7.519975428619996E-2</v>
          </cell>
          <cell r="AO64">
            <v>1.4918428343217549E-2</v>
          </cell>
          <cell r="AP64">
            <v>2.9267457955884479E-2</v>
          </cell>
          <cell r="AQ64">
            <v>3.9313914643012593E-2</v>
          </cell>
          <cell r="AR64">
            <v>-5.8309886328057337E-3</v>
          </cell>
          <cell r="AS64">
            <v>2.1745670367618208E-2</v>
          </cell>
          <cell r="AT64">
            <v>6.3895862006534188E-2</v>
          </cell>
          <cell r="AU64">
            <v>6.4960447137943245E-2</v>
          </cell>
          <cell r="AV64">
            <v>3.5109802680753699E-2</v>
          </cell>
          <cell r="AW64">
            <v>3.1203098102437155E-2</v>
          </cell>
          <cell r="AX64">
            <v>1.9315399872659844E-2</v>
          </cell>
          <cell r="AY64">
            <v>-7.0146633443379791E-4</v>
          </cell>
          <cell r="AZ64">
            <v>2.1934695958964801E-2</v>
          </cell>
          <cell r="BA64">
            <v>2.3993393102677008E-2</v>
          </cell>
          <cell r="BB64">
            <v>2.9747969087458914E-2</v>
          </cell>
          <cell r="BC64">
            <v>4.4531142962471515E-2</v>
          </cell>
          <cell r="BD64">
            <v>1.7724999564056709E-2</v>
          </cell>
          <cell r="BE64">
            <v>3.1937366170763593E-2</v>
          </cell>
          <cell r="BF64">
            <v>3.9058385577110277E-2</v>
          </cell>
          <cell r="BG64">
            <v>2.5127107539093085E-2</v>
          </cell>
          <cell r="BH64">
            <v>2.7271579287217129E-2</v>
          </cell>
          <cell r="BI64">
            <v>8.7842565125615391E-3</v>
          </cell>
          <cell r="BJ64">
            <v>1.9997670319596983E-2</v>
          </cell>
          <cell r="BK64">
            <v>2.2584332189249601E-2</v>
          </cell>
          <cell r="BL64">
            <v>1.668784783342514E-2</v>
          </cell>
          <cell r="BM64">
            <v>1.6913346942976082E-2</v>
          </cell>
          <cell r="BN64">
            <v>1.7748880443205994E-2</v>
          </cell>
          <cell r="BO64">
            <v>1.7420373036630465E-2</v>
          </cell>
          <cell r="BP64">
            <v>2.4715885241221702E-2</v>
          </cell>
          <cell r="BQ64">
            <v>2.6326558069215356E-2</v>
          </cell>
          <cell r="BR64">
            <v>5.7591163941300039E-2</v>
          </cell>
          <cell r="BS64">
            <v>0.12000819981087506</v>
          </cell>
          <cell r="BT64">
            <v>6.6327545298407342E-2</v>
          </cell>
          <cell r="BU64">
            <v>-1.0526664923191542E-2</v>
          </cell>
          <cell r="BV64">
            <v>4.1416178389501734E-3</v>
          </cell>
          <cell r="BW64">
            <v>2.8165872381425539E-2</v>
          </cell>
          <cell r="BX64">
            <v>2.3033313437283987E-2</v>
          </cell>
          <cell r="BY64">
            <v>4.901080211194575E-2</v>
          </cell>
          <cell r="BZ64">
            <v>4.9227844300828494E-2</v>
          </cell>
          <cell r="CA64">
            <v>1.0810312982610482E-2</v>
          </cell>
          <cell r="CB64">
            <v>1.8435263212859931E-2</v>
          </cell>
          <cell r="CC64">
            <v>4.4179947711294743E-2</v>
          </cell>
          <cell r="CD64">
            <v>7.0698170881770439E-2</v>
          </cell>
          <cell r="CE64">
            <v>6.6616327734368763E-2</v>
          </cell>
          <cell r="CF64">
            <v>2.7395900327880085E-2</v>
          </cell>
          <cell r="CG64">
            <v>5.3892935774072948E-2</v>
          </cell>
          <cell r="CH64">
            <v>6.6440108594984615E-2</v>
          </cell>
          <cell r="CI64">
            <v>2.1962181228794675E-2</v>
          </cell>
          <cell r="CJ64">
            <v>3.7169527078586562E-3</v>
          </cell>
          <cell r="CK64">
            <v>5.6885967101847346E-3</v>
          </cell>
          <cell r="CL64">
            <v>1.4444147325310297E-2</v>
          </cell>
          <cell r="CM64">
            <v>1.4088194051556702E-2</v>
          </cell>
          <cell r="CN64">
            <v>1.8266169351680794E-2</v>
          </cell>
          <cell r="CO64">
            <v>4.6119319908889622E-2</v>
          </cell>
          <cell r="CP64">
            <v>4.1161769087187494E-2</v>
          </cell>
          <cell r="CQ64">
            <v>4.9686738095085392E-2</v>
          </cell>
          <cell r="CR64">
            <v>6.7336983400292816E-2</v>
          </cell>
          <cell r="CS64">
            <v>6.2777177143666929E-3</v>
          </cell>
          <cell r="CT64">
            <v>1.6855508254831619E-3</v>
          </cell>
          <cell r="CU64">
            <v>1.94633294828781E-2</v>
          </cell>
          <cell r="CV64">
            <v>1.7976122718043497E-2</v>
          </cell>
          <cell r="CW64">
            <v>4.9749360051795755E-2</v>
          </cell>
          <cell r="CX64">
            <v>3.8246307203407159E-2</v>
          </cell>
          <cell r="CY64">
            <v>-1.9587204172035855E-2</v>
          </cell>
          <cell r="CZ64">
            <v>-1.6705733625580366E-2</v>
          </cell>
          <cell r="DA64">
            <v>2.2524376973244165E-2</v>
          </cell>
          <cell r="DB64">
            <v>9.3962449440720963E-3</v>
          </cell>
          <cell r="DC64">
            <v>1.3720963853375068E-2</v>
          </cell>
          <cell r="DD64">
            <v>2.3230277508933472E-2</v>
          </cell>
          <cell r="DE64">
            <v>1.6900462405507133E-2</v>
          </cell>
          <cell r="DF64">
            <v>1.3630459156920294E-2</v>
          </cell>
          <cell r="DG64">
            <v>2.7977880153603252E-2</v>
          </cell>
          <cell r="DH64">
            <v>5.7536091721030358E-2</v>
          </cell>
          <cell r="DI64">
            <v>6.5899891716175274E-2</v>
          </cell>
          <cell r="DJ64">
            <v>5.0874619551761091E-2</v>
          </cell>
          <cell r="DK64">
            <v>6.2918508017597574E-3</v>
          </cell>
          <cell r="DL64">
            <v>1.6269636112474783E-2</v>
          </cell>
          <cell r="DM64">
            <v>3.528679012902658E-2</v>
          </cell>
          <cell r="DN64">
            <v>1.554767416401881E-2</v>
          </cell>
          <cell r="DO64">
            <v>9.193089689715217E-3</v>
          </cell>
          <cell r="DP64">
            <v>-3.3164096587447012E-2</v>
          </cell>
          <cell r="DQ64">
            <v>-1.7431704668777415E-2</v>
          </cell>
          <cell r="DR64">
            <v>1.8377269719900502E-2</v>
          </cell>
          <cell r="DS64">
            <v>-1.1515614398047158E-2</v>
          </cell>
          <cell r="DT64">
            <v>-7.2537510368509639E-2</v>
          </cell>
          <cell r="DU64">
            <v>-9.4632212575510355E-2</v>
          </cell>
          <cell r="DV64">
            <v>-4.4255391896633862E-2</v>
          </cell>
          <cell r="DW64">
            <v>-2.6852435963321541E-3</v>
          </cell>
          <cell r="DX64">
            <v>4.9939320050786273E-2</v>
          </cell>
          <cell r="DY64">
            <v>1.513116203206244E-2</v>
          </cell>
          <cell r="DZ64">
            <v>-3.2228278861450521E-2</v>
          </cell>
          <cell r="EA64">
            <v>3.4926840945133319E-2</v>
          </cell>
          <cell r="EB64">
            <v>4.8504344954975354E-2</v>
          </cell>
          <cell r="EC64">
            <v>1.7883906472513367E-3</v>
          </cell>
          <cell r="ED64">
            <v>2.1566882580506874E-2</v>
          </cell>
          <cell r="EE64">
            <v>2.7481457140412502E-2</v>
          </cell>
          <cell r="EF64">
            <v>1.0252248564832644E-2</v>
          </cell>
          <cell r="EG64">
            <v>3.9544563103035557E-2</v>
          </cell>
          <cell r="EH64">
            <v>3.0366294799272664E-2</v>
          </cell>
          <cell r="EI64">
            <v>1.8513846657190802E-2</v>
          </cell>
          <cell r="EJ64">
            <v>2.8829823242187524E-2</v>
          </cell>
          <cell r="EK64">
            <v>2.8354437499999996E-2</v>
          </cell>
          <cell r="EL64">
            <v>2.819600000000011E-2</v>
          </cell>
          <cell r="EM64">
            <v>2.819600000000011E-2</v>
          </cell>
          <cell r="EN64">
            <v>2.819600000000011E-2</v>
          </cell>
          <cell r="EO64">
            <v>2.819600000000011E-2</v>
          </cell>
          <cell r="EP64">
            <v>2.819600000000011E-2</v>
          </cell>
          <cell r="EQ64">
            <v>2.819600000000011E-2</v>
          </cell>
          <cell r="ER64">
            <v>2.819600000000011E-2</v>
          </cell>
          <cell r="ES64">
            <v>2.819600000000011E-2</v>
          </cell>
          <cell r="ET64">
            <v>2.819600000000011E-2</v>
          </cell>
          <cell r="EU64">
            <v>2.819600000000011E-2</v>
          </cell>
          <cell r="EV64">
            <v>2.819600000000011E-2</v>
          </cell>
          <cell r="EW64">
            <v>2.819600000000011E-2</v>
          </cell>
          <cell r="EX64">
            <v>2.819600000000011E-2</v>
          </cell>
          <cell r="EY64">
            <v>2.819600000000011E-2</v>
          </cell>
          <cell r="EZ64">
            <v>2.819600000000011E-2</v>
          </cell>
          <cell r="FA64">
            <v>2.819600000000011E-2</v>
          </cell>
          <cell r="FB64">
            <v>2.819600000000011E-2</v>
          </cell>
          <cell r="FC64">
            <v>2.819600000000011E-2</v>
          </cell>
          <cell r="FD64">
            <v>2.819600000000011E-2</v>
          </cell>
          <cell r="FE64">
            <v>2.819600000000011E-2</v>
          </cell>
          <cell r="FF64">
            <v>2.819600000000011E-2</v>
          </cell>
          <cell r="FG64">
            <v>2.819600000000011E-2</v>
          </cell>
          <cell r="FH64">
            <v>2.819600000000011E-2</v>
          </cell>
          <cell r="FI64">
            <v>2.819600000000011E-2</v>
          </cell>
          <cell r="FJ64">
            <v>2.819600000000011E-2</v>
          </cell>
          <cell r="FK64">
            <v>2.819600000000011E-2</v>
          </cell>
          <cell r="FL64">
            <v>2.819600000000011E-2</v>
          </cell>
          <cell r="FM64">
            <v>2.819600000000011E-2</v>
          </cell>
          <cell r="FN64">
            <v>2.819600000000011E-2</v>
          </cell>
          <cell r="FO64">
            <v>2.819600000000011E-2</v>
          </cell>
          <cell r="FP64">
            <v>2.819600000000011E-2</v>
          </cell>
          <cell r="FQ64">
            <v>2.819600000000011E-2</v>
          </cell>
          <cell r="FR64">
            <v>2.819600000000011E-2</v>
          </cell>
          <cell r="FS64">
            <v>2.819600000000011E-2</v>
          </cell>
          <cell r="FT64">
            <v>2.819600000000011E-2</v>
          </cell>
          <cell r="FU64">
            <v>2.819600000000011E-2</v>
          </cell>
        </row>
        <row r="65">
          <cell r="A65" t="str">
            <v>6MoCashg</v>
          </cell>
          <cell r="B65" t="str">
            <v>Cash return</v>
          </cell>
          <cell r="D65">
            <v>4.0791666666666664E-2</v>
          </cell>
          <cell r="E65">
            <v>3.5791666666666673E-2</v>
          </cell>
          <cell r="F65">
            <v>3.0749999999999996E-2</v>
          </cell>
          <cell r="G65">
            <v>2.8000000000000004E-2</v>
          </cell>
          <cell r="H65">
            <v>2.8125000000000001E-2</v>
          </cell>
          <cell r="I65">
            <v>2.6791666666666668E-2</v>
          </cell>
          <cell r="J65">
            <v>2.4750000000000001E-2</v>
          </cell>
          <cell r="K65">
            <v>2.3708333333333331E-2</v>
          </cell>
          <cell r="L65">
            <v>2.375E-2</v>
          </cell>
          <cell r="M65">
            <v>2.3375E-2</v>
          </cell>
          <cell r="N65">
            <v>2.4499999999999997E-2</v>
          </cell>
          <cell r="O65">
            <v>2.9875000000000002E-2</v>
          </cell>
          <cell r="P65">
            <v>3.5541666666666673E-2</v>
          </cell>
          <cell r="Q65">
            <v>3.7183333333333332E-2</v>
          </cell>
          <cell r="R65">
            <v>3.7058333333333332E-2</v>
          </cell>
          <cell r="S65">
            <v>3.7083333333333336E-2</v>
          </cell>
          <cell r="T65">
            <v>3.7083333333333336E-2</v>
          </cell>
          <cell r="U65">
            <v>3.6583333333333329E-2</v>
          </cell>
          <cell r="V65">
            <v>3.5583333333333328E-2</v>
          </cell>
          <cell r="W65">
            <v>3.3808333333333336E-2</v>
          </cell>
          <cell r="X65">
            <v>3.1383333333333339E-2</v>
          </cell>
          <cell r="Y65">
            <v>2.9316666666666668E-2</v>
          </cell>
          <cell r="Z65">
            <v>2.6699999999999998E-2</v>
          </cell>
          <cell r="AA65">
            <v>2.4908333333333331E-2</v>
          </cell>
          <cell r="AB65">
            <v>2.4900000000000002E-2</v>
          </cell>
          <cell r="AC65">
            <v>2.4883333333333337E-2</v>
          </cell>
          <cell r="AD65">
            <v>2.4891666666666673E-2</v>
          </cell>
          <cell r="AE65">
            <v>2.4691666666666667E-2</v>
          </cell>
          <cell r="AF65">
            <v>2.4049999999999998E-2</v>
          </cell>
          <cell r="AG65">
            <v>2.3699999999999995E-2</v>
          </cell>
          <cell r="AH65">
            <v>2.3783333333333333E-2</v>
          </cell>
          <cell r="AI65">
            <v>2.4166666666666666E-2</v>
          </cell>
          <cell r="AJ65">
            <v>2.5600000000000001E-2</v>
          </cell>
          <cell r="AK65">
            <v>2.8125000000000001E-2</v>
          </cell>
          <cell r="AL65">
            <v>3.0208333333333334E-2</v>
          </cell>
          <cell r="AM65">
            <v>3.1041666666666665E-2</v>
          </cell>
          <cell r="AN65">
            <v>3.0208333333333334E-2</v>
          </cell>
          <cell r="AO65">
            <v>2.7083333333333334E-2</v>
          </cell>
          <cell r="AP65">
            <v>2.4791666666666667E-2</v>
          </cell>
          <cell r="AQ65">
            <v>2.3333333333333334E-2</v>
          </cell>
          <cell r="AR65">
            <v>2.1666666666666664E-2</v>
          </cell>
          <cell r="AS65">
            <v>2.1874999999999999E-2</v>
          </cell>
          <cell r="AT65">
            <v>2.3125E-2</v>
          </cell>
          <cell r="AU65">
            <v>2.375E-2</v>
          </cell>
          <cell r="AV65">
            <v>2.375E-2</v>
          </cell>
          <cell r="AW65">
            <v>2.375E-2</v>
          </cell>
          <cell r="AX65">
            <v>2.375E-2</v>
          </cell>
          <cell r="AY65">
            <v>2.4375000000000001E-2</v>
          </cell>
          <cell r="AZ65">
            <v>2.5624999999999998E-2</v>
          </cell>
          <cell r="BA65">
            <v>2.6249999999999999E-2</v>
          </cell>
          <cell r="BB65">
            <v>2.6249999999999999E-2</v>
          </cell>
          <cell r="BC65">
            <v>2.6249999999999999E-2</v>
          </cell>
          <cell r="BD65">
            <v>2.6458333333333334E-2</v>
          </cell>
          <cell r="BE65">
            <v>2.7083333333333334E-2</v>
          </cell>
          <cell r="BF65">
            <v>2.75E-2</v>
          </cell>
          <cell r="BG65">
            <v>2.75E-2</v>
          </cell>
          <cell r="BH65">
            <v>2.75E-2</v>
          </cell>
          <cell r="BI65">
            <v>2.7916666666666666E-2</v>
          </cell>
          <cell r="BJ65">
            <v>2.8958333333333336E-2</v>
          </cell>
          <cell r="BK65">
            <v>3.0208333333333334E-2</v>
          </cell>
          <cell r="BL65">
            <v>3.1041666666666665E-2</v>
          </cell>
          <cell r="BM65">
            <v>3.125E-2</v>
          </cell>
          <cell r="BN65">
            <v>3.1666666666666662E-2</v>
          </cell>
          <cell r="BO65">
            <v>3.2708333333333332E-2</v>
          </cell>
          <cell r="BP65">
            <v>3.4166666666666665E-2</v>
          </cell>
          <cell r="BQ65">
            <v>3.5624999999999997E-2</v>
          </cell>
          <cell r="BR65">
            <v>3.6041666666666666E-2</v>
          </cell>
          <cell r="BS65">
            <v>3.0833333333333334E-2</v>
          </cell>
          <cell r="BT65">
            <v>2.1874999999999999E-2</v>
          </cell>
          <cell r="BU65">
            <v>1.6458333333333332E-2</v>
          </cell>
          <cell r="BV65">
            <v>1.4999999999999999E-2</v>
          </cell>
          <cell r="BW65">
            <v>1.6250000000000001E-2</v>
          </cell>
          <cell r="BX65">
            <v>1.8333333333333333E-2</v>
          </cell>
          <cell r="BY65">
            <v>2.0625000000000001E-2</v>
          </cell>
          <cell r="BZ65">
            <v>2.2291666666666664E-2</v>
          </cell>
          <cell r="CA65">
            <v>2.2916666666666665E-2</v>
          </cell>
          <cell r="CB65">
            <v>2.3541666666666666E-2</v>
          </cell>
          <cell r="CC65">
            <v>2.375E-2</v>
          </cell>
          <cell r="CD65">
            <v>2.375E-2</v>
          </cell>
          <cell r="CE65">
            <v>2.3125E-2</v>
          </cell>
          <cell r="CF65">
            <v>2.1874999999999999E-2</v>
          </cell>
          <cell r="CG65">
            <v>2.0208333333333335E-2</v>
          </cell>
          <cell r="CH65">
            <v>1.8333333333333333E-2</v>
          </cell>
          <cell r="CI65">
            <v>1.6666666666666666E-2</v>
          </cell>
          <cell r="CJ65">
            <v>1.5416666666666667E-2</v>
          </cell>
          <cell r="CK65">
            <v>1.4583333333333332E-2</v>
          </cell>
          <cell r="CL65">
            <v>1.3541666666666667E-2</v>
          </cell>
          <cell r="CM65">
            <v>1.2708333333333332E-2</v>
          </cell>
          <cell r="CN65">
            <v>1.2500000000000001E-2</v>
          </cell>
          <cell r="CO65">
            <v>1.2500000000000001E-2</v>
          </cell>
          <cell r="CP65">
            <v>1.2500000000000001E-2</v>
          </cell>
          <cell r="CQ65">
            <v>1.2500000000000001E-2</v>
          </cell>
          <cell r="CR65">
            <v>1.2083333333333333E-2</v>
          </cell>
          <cell r="CS65">
            <v>1.1041666666666667E-2</v>
          </cell>
          <cell r="CT65">
            <v>1.0208333333333333E-2</v>
          </cell>
          <cell r="CU65">
            <v>0.01</v>
          </cell>
          <cell r="CV65">
            <v>0.01</v>
          </cell>
          <cell r="CW65">
            <v>9.5833333333333343E-3</v>
          </cell>
          <cell r="CX65">
            <v>8.5416666666666662E-3</v>
          </cell>
          <cell r="CY65">
            <v>7.7083333333333335E-3</v>
          </cell>
          <cell r="CZ65">
            <v>7.4999999999999997E-3</v>
          </cell>
          <cell r="DA65">
            <v>7.4999999999999997E-3</v>
          </cell>
          <cell r="DB65">
            <v>7.4999999999999997E-3</v>
          </cell>
          <cell r="DC65">
            <v>7.4999999999999997E-3</v>
          </cell>
          <cell r="DD65">
            <v>7.4999999999999997E-3</v>
          </cell>
          <cell r="DE65">
            <v>7.4999999999999997E-3</v>
          </cell>
          <cell r="DF65">
            <v>7.4999999999999997E-3</v>
          </cell>
          <cell r="DG65">
            <v>7.4999999999999997E-3</v>
          </cell>
          <cell r="DH65">
            <v>7.4999999999999997E-3</v>
          </cell>
          <cell r="DI65">
            <v>7.2916666666666659E-3</v>
          </cell>
          <cell r="DJ65">
            <v>6.0416666666666665E-3</v>
          </cell>
          <cell r="DK65">
            <v>4.3750000000000004E-3</v>
          </cell>
          <cell r="DL65">
            <v>3.3333333333333331E-3</v>
          </cell>
          <cell r="DM65">
            <v>2.0833333333333333E-3</v>
          </cell>
          <cell r="DN65">
            <v>1.25E-3</v>
          </cell>
          <cell r="DO65">
            <v>1.0000000000000002E-3</v>
          </cell>
          <cell r="DP65">
            <v>6.249999999999999E-4</v>
          </cell>
          <cell r="DQ65">
            <v>5.0000000000000001E-4</v>
          </cell>
          <cell r="DR65">
            <v>5.0000000000000001E-4</v>
          </cell>
          <cell r="DS65">
            <v>5.0000000000000001E-4</v>
          </cell>
          <cell r="DT65">
            <v>5.0000000000000001E-4</v>
          </cell>
          <cell r="DU65">
            <v>1.3333333333333333E-3</v>
          </cell>
          <cell r="DV65">
            <v>5.7083333333333326E-3</v>
          </cell>
          <cell r="DW65">
            <v>1.175E-2</v>
          </cell>
          <cell r="DX65">
            <v>1.55E-2</v>
          </cell>
          <cell r="DY65">
            <v>1.8000000000000002E-2</v>
          </cell>
          <cell r="DZ65">
            <v>1.9875E-2</v>
          </cell>
          <cell r="EA65">
            <v>2.0916666666666667E-2</v>
          </cell>
          <cell r="EB65">
            <v>2.1541666666666667E-2</v>
          </cell>
          <cell r="EC65">
            <v>2.1750000000000002E-2</v>
          </cell>
          <cell r="ED65">
            <v>2.1750000000000002E-2</v>
          </cell>
          <cell r="EE65">
            <v>2.1750000000000002E-2</v>
          </cell>
          <cell r="EF65">
            <v>2.1333333333333333E-2</v>
          </cell>
          <cell r="EG65">
            <v>2.0291666666666666E-2</v>
          </cell>
          <cell r="EH65">
            <v>1.9041666666666669E-2</v>
          </cell>
          <cell r="EI65">
            <v>1.8764274739583087E-2</v>
          </cell>
          <cell r="EJ65">
            <v>1.8711698242187325E-2</v>
          </cell>
          <cell r="EK65">
            <v>1.8238656249999874E-2</v>
          </cell>
          <cell r="EL65">
            <v>1.8080999999999792E-2</v>
          </cell>
          <cell r="EM65">
            <v>1.8080999999999792E-2</v>
          </cell>
          <cell r="EN65">
            <v>1.8080999999999792E-2</v>
          </cell>
          <cell r="EO65">
            <v>1.8080999999999792E-2</v>
          </cell>
          <cell r="EP65">
            <v>1.8080999999999792E-2</v>
          </cell>
          <cell r="EQ65">
            <v>1.8080999999999792E-2</v>
          </cell>
          <cell r="ER65">
            <v>1.8080999999999792E-2</v>
          </cell>
          <cell r="ES65">
            <v>1.8080999999999792E-2</v>
          </cell>
          <cell r="ET65">
            <v>1.8080999999999792E-2</v>
          </cell>
          <cell r="EU65">
            <v>1.8080999999999792E-2</v>
          </cell>
          <cell r="EV65">
            <v>1.8080999999999792E-2</v>
          </cell>
          <cell r="EW65">
            <v>1.8080999999999792E-2</v>
          </cell>
          <cell r="EX65">
            <v>1.8080999999999792E-2</v>
          </cell>
          <cell r="EY65">
            <v>1.8080999999999792E-2</v>
          </cell>
          <cell r="EZ65">
            <v>1.8080999999999792E-2</v>
          </cell>
          <cell r="FA65">
            <v>1.8080999999999792E-2</v>
          </cell>
          <cell r="FB65">
            <v>1.8080999999999792E-2</v>
          </cell>
          <cell r="FC65">
            <v>1.8080999999999792E-2</v>
          </cell>
          <cell r="FD65">
            <v>1.8080999999999792E-2</v>
          </cell>
          <cell r="FE65">
            <v>1.8080999999999792E-2</v>
          </cell>
          <cell r="FF65">
            <v>1.8080999999999792E-2</v>
          </cell>
          <cell r="FG65">
            <v>1.8080999999999792E-2</v>
          </cell>
          <cell r="FH65">
            <v>1.8080999999999792E-2</v>
          </cell>
          <cell r="FI65">
            <v>1.8080999999999792E-2</v>
          </cell>
          <cell r="FJ65">
            <v>1.8080999999999792E-2</v>
          </cell>
          <cell r="FK65">
            <v>1.8080999999999792E-2</v>
          </cell>
          <cell r="FL65">
            <v>1.8080999999999792E-2</v>
          </cell>
          <cell r="FM65">
            <v>1.8080999999999792E-2</v>
          </cell>
          <cell r="FN65">
            <v>1.8080999999999792E-2</v>
          </cell>
          <cell r="FO65">
            <v>1.8080999999999792E-2</v>
          </cell>
          <cell r="FP65">
            <v>1.8080999999999792E-2</v>
          </cell>
          <cell r="FQ65">
            <v>1.8080999999999792E-2</v>
          </cell>
          <cell r="FR65">
            <v>1.8080999999999792E-2</v>
          </cell>
          <cell r="FS65">
            <v>1.8080999999999792E-2</v>
          </cell>
          <cell r="FT65">
            <v>1.8080999999999792E-2</v>
          </cell>
          <cell r="FU65">
            <v>1.8080999999999792E-2</v>
          </cell>
        </row>
        <row r="66">
          <cell r="D66"/>
          <cell r="E66"/>
          <cell r="F66"/>
          <cell r="G66"/>
          <cell r="H66"/>
          <cell r="I66"/>
          <cell r="J66"/>
          <cell r="K66"/>
          <cell r="L66"/>
          <cell r="M66"/>
          <cell r="N66"/>
          <cell r="O66"/>
          <cell r="P66"/>
          <cell r="Q66"/>
          <cell r="R66"/>
          <cell r="S66"/>
          <cell r="T66"/>
          <cell r="U66"/>
          <cell r="V66"/>
          <cell r="W66"/>
          <cell r="X66"/>
          <cell r="Y66"/>
          <cell r="Z66"/>
          <cell r="AA66"/>
          <cell r="AB66"/>
          <cell r="AC66"/>
          <cell r="AD66"/>
          <cell r="AE66"/>
          <cell r="AF66"/>
          <cell r="AG66"/>
          <cell r="AH66"/>
          <cell r="AI66"/>
          <cell r="AJ66"/>
          <cell r="AK66"/>
          <cell r="AL66"/>
          <cell r="AM66"/>
          <cell r="AN66"/>
          <cell r="AO66"/>
          <cell r="AP66"/>
          <cell r="AQ66"/>
          <cell r="AR66"/>
          <cell r="AS66"/>
          <cell r="AT66"/>
          <cell r="AU66"/>
          <cell r="AV66"/>
          <cell r="AW66"/>
          <cell r="AX66"/>
          <cell r="AY66"/>
          <cell r="AZ66"/>
          <cell r="BA66"/>
          <cell r="BB66"/>
          <cell r="BC66"/>
          <cell r="BD66"/>
          <cell r="BE66"/>
          <cell r="BF66"/>
          <cell r="BG66"/>
          <cell r="BH66"/>
          <cell r="BI66"/>
          <cell r="BJ66"/>
          <cell r="BK66"/>
          <cell r="BL66"/>
          <cell r="BM66"/>
          <cell r="BN66"/>
          <cell r="BO66"/>
          <cell r="BP66"/>
          <cell r="BQ66"/>
          <cell r="BR66"/>
          <cell r="BS66"/>
          <cell r="BT66"/>
          <cell r="BU66"/>
          <cell r="BV66"/>
          <cell r="BW66"/>
          <cell r="BX66"/>
          <cell r="BY66"/>
          <cell r="BZ66"/>
          <cell r="CA66"/>
          <cell r="CB66"/>
          <cell r="CC66"/>
          <cell r="CD66"/>
          <cell r="CE66"/>
          <cell r="CF66"/>
          <cell r="CG66"/>
          <cell r="CH66"/>
          <cell r="CI66"/>
          <cell r="CJ66"/>
          <cell r="CK66"/>
          <cell r="CL66"/>
          <cell r="CM66"/>
          <cell r="CN66"/>
          <cell r="CO66"/>
          <cell r="CP66"/>
          <cell r="CQ66"/>
          <cell r="CR66"/>
          <cell r="CS66"/>
          <cell r="CT66"/>
          <cell r="CU66"/>
          <cell r="CV66"/>
          <cell r="CW66"/>
          <cell r="CX66"/>
          <cell r="CY66"/>
          <cell r="CZ66"/>
          <cell r="DA66"/>
          <cell r="DB66"/>
          <cell r="DC66"/>
          <cell r="DD66"/>
          <cell r="DE66"/>
          <cell r="DF66"/>
          <cell r="DG66"/>
          <cell r="DH66"/>
          <cell r="DI66"/>
          <cell r="DJ66"/>
          <cell r="DK66"/>
          <cell r="DL66"/>
          <cell r="DM66"/>
          <cell r="DN66"/>
          <cell r="DO66"/>
          <cell r="DP66"/>
          <cell r="DQ66"/>
          <cell r="DR66"/>
          <cell r="DS66"/>
          <cell r="DT66"/>
          <cell r="DU66"/>
          <cell r="DV66"/>
          <cell r="DW66"/>
          <cell r="DX66"/>
          <cell r="DY66"/>
          <cell r="DZ66"/>
          <cell r="EA66"/>
          <cell r="EB66"/>
          <cell r="EC66"/>
          <cell r="ED66"/>
          <cell r="EE66"/>
          <cell r="EG66"/>
          <cell r="EH66"/>
        </row>
        <row r="67">
          <cell r="B67" t="str">
            <v>Market performance (12mo)</v>
          </cell>
          <cell r="C67"/>
          <cell r="D67"/>
          <cell r="E67"/>
          <cell r="F67"/>
          <cell r="G67"/>
          <cell r="H67"/>
          <cell r="I67"/>
          <cell r="J67"/>
          <cell r="K67"/>
          <cell r="L67"/>
          <cell r="M67"/>
          <cell r="N67"/>
          <cell r="O67"/>
          <cell r="P67"/>
          <cell r="Q67"/>
          <cell r="R67"/>
          <cell r="S67"/>
          <cell r="T67"/>
          <cell r="U67"/>
          <cell r="V67"/>
          <cell r="W67"/>
          <cell r="X67"/>
          <cell r="Y67"/>
          <cell r="Z67"/>
          <cell r="AA67"/>
          <cell r="AB67"/>
          <cell r="AC67"/>
          <cell r="AD67"/>
          <cell r="AE67"/>
          <cell r="AF67"/>
          <cell r="AG67"/>
          <cell r="AH67"/>
          <cell r="AI67"/>
          <cell r="AJ67"/>
          <cell r="AK67"/>
          <cell r="AL67"/>
          <cell r="AM67"/>
          <cell r="AN67"/>
          <cell r="AO67"/>
          <cell r="AP67"/>
          <cell r="AQ67"/>
          <cell r="AR67"/>
          <cell r="AS67"/>
          <cell r="AT67"/>
          <cell r="AU67"/>
          <cell r="AV67"/>
          <cell r="AW67"/>
          <cell r="AX67"/>
          <cell r="AY67"/>
          <cell r="AZ67"/>
          <cell r="BA67"/>
          <cell r="BB67"/>
          <cell r="BC67"/>
          <cell r="BD67"/>
          <cell r="BE67"/>
          <cell r="BF67"/>
          <cell r="BG67"/>
          <cell r="BH67"/>
          <cell r="BI67"/>
          <cell r="BJ67"/>
          <cell r="BK67"/>
          <cell r="BL67"/>
          <cell r="BM67"/>
          <cell r="BN67"/>
          <cell r="BO67"/>
          <cell r="BP67"/>
          <cell r="BQ67"/>
          <cell r="BR67"/>
          <cell r="BS67"/>
          <cell r="BT67"/>
          <cell r="BU67"/>
          <cell r="BV67"/>
          <cell r="BW67"/>
          <cell r="BX67"/>
          <cell r="BY67"/>
          <cell r="BZ67"/>
          <cell r="CA67"/>
          <cell r="CB67"/>
          <cell r="CC67"/>
          <cell r="CD67"/>
          <cell r="CE67"/>
          <cell r="CF67"/>
          <cell r="CG67"/>
          <cell r="CH67"/>
          <cell r="CI67"/>
          <cell r="CJ67"/>
          <cell r="CK67"/>
          <cell r="CL67"/>
          <cell r="CM67"/>
          <cell r="CN67"/>
          <cell r="CO67"/>
          <cell r="CP67"/>
          <cell r="CQ67"/>
          <cell r="CR67"/>
          <cell r="CS67"/>
          <cell r="CT67"/>
          <cell r="CU67"/>
          <cell r="CV67"/>
          <cell r="CW67"/>
          <cell r="CX67"/>
          <cell r="CY67"/>
          <cell r="CZ67"/>
          <cell r="DA67"/>
          <cell r="DB67"/>
          <cell r="DC67"/>
          <cell r="DD67"/>
          <cell r="DE67"/>
          <cell r="DF67"/>
          <cell r="DG67"/>
          <cell r="DH67"/>
          <cell r="DI67"/>
          <cell r="DJ67"/>
          <cell r="DK67"/>
          <cell r="DL67"/>
          <cell r="DM67"/>
          <cell r="DN67"/>
          <cell r="DO67"/>
          <cell r="DP67"/>
          <cell r="DQ67"/>
          <cell r="DR67"/>
          <cell r="DS67"/>
          <cell r="DT67"/>
          <cell r="DU67"/>
          <cell r="DV67"/>
          <cell r="DW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row>
        <row r="68">
          <cell r="A68" t="str">
            <v>12MoASX200AIg</v>
          </cell>
          <cell r="B68" t="str">
            <v>ASX-200 Accumulation Index return</v>
          </cell>
          <cell r="D68"/>
          <cell r="E68"/>
          <cell r="F68"/>
          <cell r="G68"/>
          <cell r="H68"/>
          <cell r="I68">
            <v>8.3221637655058966E-2</v>
          </cell>
          <cell r="J68">
            <v>0.34222733504905195</v>
          </cell>
          <cell r="K68">
            <v>0.40049482668545894</v>
          </cell>
          <cell r="L68">
            <v>0.22560648271201611</v>
          </cell>
          <cell r="M68">
            <v>0.15265287085851664</v>
          </cell>
          <cell r="N68">
            <v>6.2325840253998566E-2</v>
          </cell>
          <cell r="O68">
            <v>-8.7573031185965267E-2</v>
          </cell>
          <cell r="P68">
            <v>-1.8880234448921396E-2</v>
          </cell>
          <cell r="Q68">
            <v>6.9513417782512521E-2</v>
          </cell>
          <cell r="R68">
            <v>0.10874703119474827</v>
          </cell>
          <cell r="S68">
            <v>0.21104923433103462</v>
          </cell>
          <cell r="T68">
            <v>0.20921721049303632</v>
          </cell>
          <cell r="U68">
            <v>0.14314227532953883</v>
          </cell>
          <cell r="V68">
            <v>0.10687586514971791</v>
          </cell>
          <cell r="W68">
            <v>0.14353793381409363</v>
          </cell>
          <cell r="X68">
            <v>0.13548716410322781</v>
          </cell>
          <cell r="Y68">
            <v>0.27596773521204732</v>
          </cell>
          <cell r="Z68">
            <v>0.26685908839290251</v>
          </cell>
          <cell r="AA68">
            <v>0.12672156150833236</v>
          </cell>
          <cell r="AB68">
            <v>0.18210976697465298</v>
          </cell>
          <cell r="AC68">
            <v>2.0232543988645268E-2</v>
          </cell>
          <cell r="AD68">
            <v>-3.4690316508549479E-2</v>
          </cell>
          <cell r="AE68">
            <v>9.8006907200923532E-2</v>
          </cell>
          <cell r="AF68">
            <v>0.10713880345143689</v>
          </cell>
          <cell r="AG68">
            <v>0.14809937502532544</v>
          </cell>
          <cell r="AH68">
            <v>0.16118326378644965</v>
          </cell>
          <cell r="AI68">
            <v>0.18743410322461007</v>
          </cell>
          <cell r="AJ68">
            <v>0.13183250717372896</v>
          </cell>
          <cell r="AK68">
            <v>0.17933202069886178</v>
          </cell>
          <cell r="AL68">
            <v>0.21159665392286223</v>
          </cell>
          <cell r="AM68">
            <v>6.3596089305921089E-2</v>
          </cell>
          <cell r="AN68">
            <v>3.9003156015483098E-2</v>
          </cell>
          <cell r="AO68">
            <v>9.0657793703608824E-2</v>
          </cell>
          <cell r="AP68">
            <v>-4.3711740818385018E-2</v>
          </cell>
          <cell r="AQ68">
            <v>0.10357632327955102</v>
          </cell>
          <cell r="AR68">
            <v>0.12150298106532142</v>
          </cell>
          <cell r="AS68">
            <v>-4.6905812916549279E-2</v>
          </cell>
          <cell r="AT68">
            <v>1.0041617045087881E-2</v>
          </cell>
          <cell r="AU68">
            <v>-8.7749078513590484E-2</v>
          </cell>
          <cell r="AV68">
            <v>-0.11929939535563028</v>
          </cell>
          <cell r="AW68">
            <v>-1.7149132575565051E-2</v>
          </cell>
          <cell r="AX68">
            <v>0.11442514793389445</v>
          </cell>
          <cell r="AY68">
            <v>0.14612401044308987</v>
          </cell>
          <cell r="AZ68">
            <v>0.2340768491826872</v>
          </cell>
          <cell r="BA68">
            <v>0.21607667755160787</v>
          </cell>
          <cell r="BB68">
            <v>0.20707872543781769</v>
          </cell>
          <cell r="BC68">
            <v>0.27993549220863745</v>
          </cell>
          <cell r="BD68">
            <v>0.25630840316481351</v>
          </cell>
          <cell r="BE68">
            <v>0.2635441891893282</v>
          </cell>
          <cell r="BF68">
            <v>0.32150808175912138</v>
          </cell>
          <cell r="BG68">
            <v>0.22829275171405627</v>
          </cell>
          <cell r="BH68">
            <v>0.30351658719755847</v>
          </cell>
          <cell r="BI68">
            <v>0.23930858307169878</v>
          </cell>
          <cell r="BJ68">
            <v>0.15958191898179286</v>
          </cell>
          <cell r="BK68">
            <v>0.24221614638318598</v>
          </cell>
          <cell r="BL68">
            <v>0.2178439343546863</v>
          </cell>
          <cell r="BM68">
            <v>0.2865970704109877</v>
          </cell>
          <cell r="BN68">
            <v>0.3239519970166409</v>
          </cell>
          <cell r="BO68">
            <v>0.16074963333340045</v>
          </cell>
          <cell r="BP68">
            <v>-7.0387361463338793E-2</v>
          </cell>
          <cell r="BQ68">
            <v>-0.13404613276811228</v>
          </cell>
          <cell r="BR68">
            <v>-0.26760615027424617</v>
          </cell>
          <cell r="BS68">
            <v>-0.38444951144430756</v>
          </cell>
          <cell r="BT68">
            <v>-0.29519586560514643</v>
          </cell>
          <cell r="BU68">
            <v>-0.20137729142054972</v>
          </cell>
          <cell r="BV68">
            <v>8.3445568752499089E-2</v>
          </cell>
          <cell r="BW68">
            <v>0.37032706464998538</v>
          </cell>
          <cell r="BX68">
            <v>0.41705003615929215</v>
          </cell>
          <cell r="BY68">
            <v>0.1314562404980415</v>
          </cell>
          <cell r="BZ68">
            <v>6.0716352375194127E-3</v>
          </cell>
          <cell r="CA68">
            <v>1.56734946197159E-2</v>
          </cell>
          <cell r="CB68">
            <v>3.4355446831369818E-2</v>
          </cell>
          <cell r="CC68">
            <v>0.1173051094253237</v>
          </cell>
          <cell r="CD68">
            <v>-8.559309062746534E-2</v>
          </cell>
          <cell r="CE68">
            <v>-0.10543370924945773</v>
          </cell>
          <cell r="CF68">
            <v>-6.0611687891934614E-2</v>
          </cell>
          <cell r="CG68">
            <v>-6.713775692734758E-2</v>
          </cell>
          <cell r="CH68">
            <v>0.14829160491334092</v>
          </cell>
          <cell r="CI68">
            <v>0.20257745980690323</v>
          </cell>
          <cell r="CJ68">
            <v>0.19982466081524522</v>
          </cell>
          <cell r="CK68">
            <v>0.22751462685117119</v>
          </cell>
          <cell r="CL68">
            <v>0.24289511402662889</v>
          </cell>
          <cell r="CM68">
            <v>0.20198394951624721</v>
          </cell>
          <cell r="CN68">
            <v>0.13463138835797217</v>
          </cell>
          <cell r="CO68">
            <v>0.17434612488703549</v>
          </cell>
          <cell r="CP68">
            <v>5.9288886208479941E-2</v>
          </cell>
          <cell r="CQ68">
            <v>5.6102265348618507E-2</v>
          </cell>
          <cell r="CR68">
            <v>0.14130278072016522</v>
          </cell>
          <cell r="CS68">
            <v>5.6772393378836439E-2</v>
          </cell>
          <cell r="CT68">
            <v>-6.8194276720573432E-3</v>
          </cell>
          <cell r="CU68">
            <v>2.560824960660435E-2</v>
          </cell>
          <cell r="CV68">
            <v>-9.5913582514281503E-2</v>
          </cell>
          <cell r="CW68">
            <v>5.557556263529273E-3</v>
          </cell>
          <cell r="CX68">
            <v>0.13172852397702983</v>
          </cell>
          <cell r="CY68">
            <v>0.1179723342431689</v>
          </cell>
          <cell r="CZ68">
            <v>0.20490442257464525</v>
          </cell>
          <cell r="DA68">
            <v>0.1409015101524167</v>
          </cell>
          <cell r="DB68">
            <v>9.2476177957713221E-2</v>
          </cell>
          <cell r="DC68">
            <v>0.11796078365159059</v>
          </cell>
          <cell r="DD68">
            <v>2.5411437981449625E-2</v>
          </cell>
          <cell r="DE68">
            <v>0.13014760443980355</v>
          </cell>
          <cell r="DF68">
            <v>0.13967450377488411</v>
          </cell>
          <cell r="DG68">
            <v>-2.839698692064363E-2</v>
          </cell>
          <cell r="DH68">
            <v>0.12064843090097721</v>
          </cell>
          <cell r="DI68">
            <v>0.11546989028828293</v>
          </cell>
          <cell r="DJ68">
            <v>0.12465813137641035</v>
          </cell>
          <cell r="DK68">
            <v>0.23395138853580419</v>
          </cell>
          <cell r="DL68">
            <v>-0.14423461204521515</v>
          </cell>
          <cell r="DM68">
            <v>-7.680739379698176E-2</v>
          </cell>
          <cell r="DN68">
            <v>-0.10209879995591276</v>
          </cell>
          <cell r="DO68">
            <v>1.4004485424653934E-2</v>
          </cell>
          <cell r="DP68">
            <v>0.37468591257493711</v>
          </cell>
          <cell r="DQ68">
            <v>0.27798784219311368</v>
          </cell>
          <cell r="DR68">
            <v>0.30558848038061659</v>
          </cell>
          <cell r="DS68">
            <v>0.1723141890501094</v>
          </cell>
          <cell r="DT68">
            <v>0.14967985986526267</v>
          </cell>
          <cell r="DU68">
            <v>-6.4675123969214932E-2</v>
          </cell>
          <cell r="DV68">
            <v>-7.6858353379391842E-2</v>
          </cell>
          <cell r="DW68">
            <v>-1.0795474676162486E-2</v>
          </cell>
          <cell r="DX68">
            <v>1.0093181006494145E-3</v>
          </cell>
          <cell r="DY68">
            <v>0.14777993942350376</v>
          </cell>
          <cell r="DZ68">
            <v>0.13460200289234914</v>
          </cell>
          <cell r="EA68">
            <v>0.12418747283118826</v>
          </cell>
          <cell r="EB68">
            <v>0.1444523193341789</v>
          </cell>
          <cell r="EC68">
            <v>0.12103584228601472</v>
          </cell>
          <cell r="ED68">
            <v>0.21765068027947976</v>
          </cell>
          <cell r="EE68">
            <v>0.11440195541297271</v>
          </cell>
          <cell r="EF68">
            <v>2.8391854090694002E-2</v>
          </cell>
          <cell r="EG68">
            <v>0.13811559713395649</v>
          </cell>
          <cell r="EH68">
            <v>0.10563991882286781</v>
          </cell>
          <cell r="EI68">
            <v>0.14236804489193777</v>
          </cell>
          <cell r="EJ68">
            <v>0.2046755606253674</v>
          </cell>
          <cell r="EK68">
            <v>0.12761892380979178</v>
          </cell>
          <cell r="EL68">
            <v>0.10381289062499977</v>
          </cell>
          <cell r="EM68">
            <v>0.10381289062499977</v>
          </cell>
          <cell r="EN68">
            <v>0.10381289062499977</v>
          </cell>
          <cell r="EO68">
            <v>0.10381289062499977</v>
          </cell>
          <cell r="EP68">
            <v>0.10381289062499977</v>
          </cell>
          <cell r="EQ68">
            <v>0.10381289062499977</v>
          </cell>
          <cell r="ER68">
            <v>0.10381289062499977</v>
          </cell>
          <cell r="ES68">
            <v>0.10381289062499977</v>
          </cell>
          <cell r="ET68">
            <v>0.10381289062499977</v>
          </cell>
          <cell r="EU68">
            <v>0.10381289062499977</v>
          </cell>
          <cell r="EV68">
            <v>0.10381289062499977</v>
          </cell>
          <cell r="EW68">
            <v>0.10381289062499977</v>
          </cell>
          <cell r="EX68">
            <v>0.10381289062499977</v>
          </cell>
          <cell r="EY68">
            <v>0.10381289062499977</v>
          </cell>
          <cell r="EZ68">
            <v>0.10381289062499977</v>
          </cell>
          <cell r="FA68">
            <v>0.10381289062499977</v>
          </cell>
          <cell r="FB68">
            <v>0.10381289062499977</v>
          </cell>
          <cell r="FC68">
            <v>0.10381289062499977</v>
          </cell>
          <cell r="FD68">
            <v>0.10381289062499977</v>
          </cell>
          <cell r="FE68">
            <v>0.10381289062499977</v>
          </cell>
          <cell r="FF68">
            <v>0.10381289062499977</v>
          </cell>
          <cell r="FG68">
            <v>0.10381289062499977</v>
          </cell>
          <cell r="FH68">
            <v>0.10381289062499977</v>
          </cell>
          <cell r="FI68">
            <v>0.10381289062499977</v>
          </cell>
          <cell r="FJ68">
            <v>0.10381289062499977</v>
          </cell>
          <cell r="FK68">
            <v>0.10381289062499977</v>
          </cell>
          <cell r="FL68">
            <v>0.10381289062499977</v>
          </cell>
          <cell r="FM68">
            <v>0.10381289062499977</v>
          </cell>
          <cell r="FN68">
            <v>0.10381289062499977</v>
          </cell>
          <cell r="FO68">
            <v>0.10381289062499977</v>
          </cell>
          <cell r="FP68">
            <v>0.10381289062499977</v>
          </cell>
          <cell r="FQ68">
            <v>0.10381289062499977</v>
          </cell>
          <cell r="FR68">
            <v>0.10381289062499977</v>
          </cell>
          <cell r="FS68">
            <v>0.10381289062499977</v>
          </cell>
          <cell r="FT68">
            <v>0.10381289062499977</v>
          </cell>
          <cell r="FU68">
            <v>0.10381289062499977</v>
          </cell>
        </row>
        <row r="69">
          <cell r="A69" t="str">
            <v>12MoFIg</v>
          </cell>
          <cell r="B69" t="str">
            <v>Fixed income return</v>
          </cell>
          <cell r="D69">
            <v>0.18626021880259658</v>
          </cell>
          <cell r="E69">
            <v>0.22120484014113462</v>
          </cell>
          <cell r="F69">
            <v>0.15880084317832144</v>
          </cell>
          <cell r="G69">
            <v>0.1041360659148076</v>
          </cell>
          <cell r="H69">
            <v>0.18064695934176611</v>
          </cell>
          <cell r="I69">
            <v>0.13933996265834736</v>
          </cell>
          <cell r="J69">
            <v>0.1652433817250214</v>
          </cell>
          <cell r="K69">
            <v>0.1632162513988169</v>
          </cell>
          <cell r="L69">
            <v>5.9963411428295421E-2</v>
          </cell>
          <cell r="M69">
            <v>-1.1320845127554935E-2</v>
          </cell>
          <cell r="N69">
            <v>-4.2375901654979294E-2</v>
          </cell>
          <cell r="O69">
            <v>-4.6869708199376629E-2</v>
          </cell>
          <cell r="P69">
            <v>2.368732727990519E-2</v>
          </cell>
          <cell r="Q69">
            <v>0.11879484704796273</v>
          </cell>
          <cell r="R69">
            <v>0.1650950072074433</v>
          </cell>
          <cell r="S69">
            <v>0.18610507451618563</v>
          </cell>
          <cell r="T69">
            <v>0.12749804701019518</v>
          </cell>
          <cell r="U69">
            <v>9.4019578426224548E-2</v>
          </cell>
          <cell r="V69">
            <v>0.12213914545757198</v>
          </cell>
          <cell r="W69">
            <v>0.11920112883968305</v>
          </cell>
          <cell r="X69">
            <v>0.12610018049825156</v>
          </cell>
          <cell r="Y69">
            <v>0.1681208913649026</v>
          </cell>
          <cell r="Z69">
            <v>0.14597128310077756</v>
          </cell>
          <cell r="AA69">
            <v>0.12227868725269619</v>
          </cell>
          <cell r="AB69">
            <v>0.15680085826547829</v>
          </cell>
          <cell r="AC69">
            <v>0.10882632652949663</v>
          </cell>
          <cell r="AD69">
            <v>9.3150752028324776E-2</v>
          </cell>
          <cell r="AE69">
            <v>9.5395453178523257E-2</v>
          </cell>
          <cell r="AF69">
            <v>6.6501047471447139E-2</v>
          </cell>
          <cell r="AG69">
            <v>3.2830948402785998E-2</v>
          </cell>
          <cell r="AH69">
            <v>1.3621324235402632E-2</v>
          </cell>
          <cell r="AI69">
            <v>-1.2189972199344257E-2</v>
          </cell>
          <cell r="AJ69">
            <v>1.7893901795160039E-2</v>
          </cell>
          <cell r="AK69">
            <v>6.170174590930988E-2</v>
          </cell>
          <cell r="AL69">
            <v>5.8860178496906279E-2</v>
          </cell>
          <cell r="AM69">
            <v>0.12044841103105043</v>
          </cell>
          <cell r="AN69">
            <v>0.11808410320908959</v>
          </cell>
          <cell r="AO69">
            <v>7.4054707896978211E-2</v>
          </cell>
          <cell r="AP69">
            <v>0.10666811788894881</v>
          </cell>
          <cell r="AQ69">
            <v>5.4818844804723321E-2</v>
          </cell>
          <cell r="AR69">
            <v>2.3265811108426959E-2</v>
          </cell>
          <cell r="AS69">
            <v>6.1914492439318458E-2</v>
          </cell>
          <cell r="AT69">
            <v>5.7692297328685083E-2</v>
          </cell>
          <cell r="AU69">
            <v>8.811872597595638E-2</v>
          </cell>
          <cell r="AV69">
            <v>0.10124903579445398</v>
          </cell>
          <cell r="AW69">
            <v>9.819051244520359E-2</v>
          </cell>
          <cell r="AX69">
            <v>5.5103362431642378E-2</v>
          </cell>
          <cell r="AY69">
            <v>3.0479743845154506E-2</v>
          </cell>
          <cell r="AZ69">
            <v>4.1673773255157309E-2</v>
          </cell>
          <cell r="BA69">
            <v>2.3275096210732871E-2</v>
          </cell>
          <cell r="BB69">
            <v>5.2335177703753955E-2</v>
          </cell>
          <cell r="BC69">
            <v>6.9592989283558726E-2</v>
          </cell>
          <cell r="BD69">
            <v>4.8000251390622362E-2</v>
          </cell>
          <cell r="BE69">
            <v>7.789071655203017E-2</v>
          </cell>
          <cell r="BF69">
            <v>5.7475695008494032E-2</v>
          </cell>
          <cell r="BG69">
            <v>5.7866967344144982E-2</v>
          </cell>
          <cell r="BH69">
            <v>6.7395148723424336E-2</v>
          </cell>
          <cell r="BI69">
            <v>3.4132087009696832E-2</v>
          </cell>
          <cell r="BJ69">
            <v>4.7814617658494596E-2</v>
          </cell>
          <cell r="BK69">
            <v>3.1566975268926267E-2</v>
          </cell>
          <cell r="BL69">
            <v>3.7019236232338493E-2</v>
          </cell>
          <cell r="BM69">
            <v>3.9879655778017886E-2</v>
          </cell>
          <cell r="BN69">
            <v>3.473291889268082E-2</v>
          </cell>
          <cell r="BO69">
            <v>3.4628356792651305E-2</v>
          </cell>
          <cell r="BP69">
            <v>4.2903444976622129E-2</v>
          </cell>
          <cell r="BQ69">
            <v>4.4205549568182123E-2</v>
          </cell>
          <cell r="BR69">
            <v>8.3730465781403307E-2</v>
          </cell>
          <cell r="BS69">
            <v>0.14949416072119348</v>
          </cell>
          <cell r="BT69">
            <v>0.12773858977481178</v>
          </cell>
          <cell r="BU69">
            <v>0.10821824878023921</v>
          </cell>
          <cell r="BV69">
            <v>7.0743866482179119E-2</v>
          </cell>
          <cell r="BW69">
            <v>1.7342714757405231E-2</v>
          </cell>
          <cell r="BX69">
            <v>2.7270326458056049E-2</v>
          </cell>
          <cell r="BY69">
            <v>7.8557106490967588E-2</v>
          </cell>
          <cell r="BZ69">
            <v>7.3395038105735333E-2</v>
          </cell>
          <cell r="CA69">
            <v>6.0350937204915134E-2</v>
          </cell>
          <cell r="CB69">
            <v>6.8570635780775824E-2</v>
          </cell>
          <cell r="CC69">
            <v>5.5467859756219706E-2</v>
          </cell>
          <cell r="CD69">
            <v>9.043677348350343E-2</v>
          </cell>
          <cell r="CE69">
            <v>0.11373938132168625</v>
          </cell>
          <cell r="CF69">
            <v>0.10003091125249108</v>
          </cell>
          <cell r="CG69">
            <v>0.1240994129805346</v>
          </cell>
          <cell r="CH69">
            <v>9.5656195515706491E-2</v>
          </cell>
          <cell r="CI69">
            <v>7.7038723425289612E-2</v>
          </cell>
          <cell r="CJ69">
            <v>7.0404016044395723E-2</v>
          </cell>
          <cell r="CK69">
            <v>2.7775711930865921E-2</v>
          </cell>
          <cell r="CL69">
            <v>1.8214788245682456E-2</v>
          </cell>
          <cell r="CM69">
            <v>1.985693281607559E-2</v>
          </cell>
          <cell r="CN69">
            <v>3.2974155918175763E-2</v>
          </cell>
          <cell r="CO69">
            <v>6.0857251888848385E-2</v>
          </cell>
          <cell r="CP69">
            <v>6.0179806283829684E-2</v>
          </cell>
          <cell r="CQ69">
            <v>9.8097576573411546E-2</v>
          </cell>
          <cell r="CR69">
            <v>0.11127046184923106</v>
          </cell>
          <cell r="CS69">
            <v>5.6276375125360767E-2</v>
          </cell>
          <cell r="CT69">
            <v>6.9136034133731927E-2</v>
          </cell>
          <cell r="CU69">
            <v>2.5863232485519916E-2</v>
          </cell>
          <cell r="CV69">
            <v>1.9691973212013103E-2</v>
          </cell>
          <cell r="CW69">
            <v>7.0180977720924353E-2</v>
          </cell>
          <cell r="CX69">
            <v>5.6909950233251072E-2</v>
          </cell>
          <cell r="CY69">
            <v>2.91877050069973E-2</v>
          </cell>
          <cell r="CZ69">
            <v>2.0901640957524448E-2</v>
          </cell>
          <cell r="DA69">
            <v>2.4959832305855301E-3</v>
          </cell>
          <cell r="DB69">
            <v>-7.4664598466247512E-3</v>
          </cell>
          <cell r="DC69">
            <v>3.6554396988888849E-2</v>
          </cell>
          <cell r="DD69">
            <v>3.2844799830598292E-2</v>
          </cell>
          <cell r="DE69">
            <v>3.0853316892653471E-2</v>
          </cell>
          <cell r="DF69">
            <v>3.7177376014643215E-2</v>
          </cell>
          <cell r="DG69">
            <v>4.5351181670832075E-2</v>
          </cell>
          <cell r="DH69">
            <v>7.1950794226202763E-2</v>
          </cell>
          <cell r="DI69">
            <v>9.5721511142349058E-2</v>
          </cell>
          <cell r="DJ69">
            <v>0.11133783804959396</v>
          </cell>
          <cell r="DK69">
            <v>7.260637480446519E-2</v>
          </cell>
          <cell r="DL69">
            <v>6.7971967211703621E-2</v>
          </cell>
          <cell r="DM69">
            <v>4.1800660149551083E-2</v>
          </cell>
          <cell r="DN69">
            <v>3.2070265277537535E-2</v>
          </cell>
          <cell r="DO69">
            <v>4.4804274445260139E-2</v>
          </cell>
          <cell r="DP69">
            <v>-1.8132046991113926E-2</v>
          </cell>
          <cell r="DQ69">
            <v>-8.3988662035268113E-3</v>
          </cell>
          <cell r="DR69">
            <v>-1.539629241555085E-2</v>
          </cell>
          <cell r="DS69">
            <v>-2.874658227755833E-2</v>
          </cell>
          <cell r="DT69">
            <v>-5.5493282041461311E-2</v>
          </cell>
          <cell r="DU69">
            <v>-0.10505807890390395</v>
          </cell>
          <cell r="DV69">
            <v>-0.11358272631657895</v>
          </cell>
          <cell r="DW69">
            <v>-9.7063345629017417E-2</v>
          </cell>
          <cell r="DX69">
            <v>3.4738439742534322E-3</v>
          </cell>
          <cell r="DY69">
            <v>1.2405287579778657E-2</v>
          </cell>
          <cell r="DZ69">
            <v>1.6101582856587804E-2</v>
          </cell>
          <cell r="EA69">
            <v>5.0586486666804431E-2</v>
          </cell>
          <cell r="EB69">
            <v>1.4712854538323938E-2</v>
          </cell>
          <cell r="EC69">
            <v>3.6777694428068886E-2</v>
          </cell>
          <cell r="ED69">
            <v>7.1117315047770635E-2</v>
          </cell>
          <cell r="EE69">
            <v>2.931899536858662E-2</v>
          </cell>
          <cell r="EF69">
            <v>3.2040240186323343E-2</v>
          </cell>
          <cell r="EG69">
            <v>6.8112762459500376E-2</v>
          </cell>
          <cell r="EH69">
            <v>4.0929866166380391E-2</v>
          </cell>
          <cell r="EI69">
            <v>5.8790531737641372E-2</v>
          </cell>
          <cell r="EJ69">
            <v>6.0071572953043439E-2</v>
          </cell>
          <cell r="EK69">
            <v>4.7393233865116846E-2</v>
          </cell>
          <cell r="EL69">
            <v>5.7838708938324102E-2</v>
          </cell>
          <cell r="EM69">
            <v>5.7349919219749967E-2</v>
          </cell>
          <cell r="EN69">
            <v>5.718701441600027E-2</v>
          </cell>
          <cell r="EO69">
            <v>5.718701441600027E-2</v>
          </cell>
          <cell r="EP69">
            <v>5.718701441600027E-2</v>
          </cell>
          <cell r="EQ69">
            <v>5.718701441600027E-2</v>
          </cell>
          <cell r="ER69">
            <v>5.718701441600027E-2</v>
          </cell>
          <cell r="ES69">
            <v>5.718701441600027E-2</v>
          </cell>
          <cell r="ET69">
            <v>5.718701441600027E-2</v>
          </cell>
          <cell r="EU69">
            <v>5.718701441600027E-2</v>
          </cell>
          <cell r="EV69">
            <v>5.718701441600027E-2</v>
          </cell>
          <cell r="EW69">
            <v>5.718701441600027E-2</v>
          </cell>
          <cell r="EX69">
            <v>5.718701441600027E-2</v>
          </cell>
          <cell r="EY69">
            <v>5.718701441600027E-2</v>
          </cell>
          <cell r="EZ69">
            <v>5.718701441600027E-2</v>
          </cell>
          <cell r="FA69">
            <v>5.718701441600027E-2</v>
          </cell>
          <cell r="FB69">
            <v>5.718701441600027E-2</v>
          </cell>
          <cell r="FC69">
            <v>5.718701441600027E-2</v>
          </cell>
          <cell r="FD69">
            <v>5.718701441600027E-2</v>
          </cell>
          <cell r="FE69">
            <v>5.718701441600027E-2</v>
          </cell>
          <cell r="FF69">
            <v>5.718701441600027E-2</v>
          </cell>
          <cell r="FG69">
            <v>5.718701441600027E-2</v>
          </cell>
          <cell r="FH69">
            <v>5.718701441600027E-2</v>
          </cell>
          <cell r="FI69">
            <v>5.718701441600027E-2</v>
          </cell>
          <cell r="FJ69">
            <v>5.718701441600027E-2</v>
          </cell>
          <cell r="FK69">
            <v>5.718701441600027E-2</v>
          </cell>
          <cell r="FL69">
            <v>5.718701441600027E-2</v>
          </cell>
          <cell r="FM69">
            <v>5.718701441600027E-2</v>
          </cell>
          <cell r="FN69">
            <v>5.718701441600027E-2</v>
          </cell>
          <cell r="FO69">
            <v>5.718701441600027E-2</v>
          </cell>
          <cell r="FP69">
            <v>5.718701441600027E-2</v>
          </cell>
          <cell r="FQ69">
            <v>5.718701441600027E-2</v>
          </cell>
          <cell r="FR69">
            <v>5.718701441600027E-2</v>
          </cell>
          <cell r="FS69">
            <v>5.718701441600027E-2</v>
          </cell>
          <cell r="FT69">
            <v>5.718701441600027E-2</v>
          </cell>
          <cell r="FU69">
            <v>5.718701441600027E-2</v>
          </cell>
        </row>
        <row r="70">
          <cell r="A70" t="str">
            <v>12MoCashg</v>
          </cell>
          <cell r="B70" t="str">
            <v>Cash return</v>
          </cell>
          <cell r="D70">
            <v>9.3208333333333351E-2</v>
          </cell>
          <cell r="E70">
            <v>8.3291666666666681E-2</v>
          </cell>
          <cell r="F70">
            <v>7.154166666666667E-2</v>
          </cell>
          <cell r="G70">
            <v>6.3791666666666663E-2</v>
          </cell>
          <cell r="H70">
            <v>5.8875000000000004E-2</v>
          </cell>
          <cell r="I70">
            <v>5.4791666666666676E-2</v>
          </cell>
          <cell r="J70">
            <v>5.2875000000000005E-2</v>
          </cell>
          <cell r="K70">
            <v>5.0499999999999996E-2</v>
          </cell>
          <cell r="L70">
            <v>4.8500000000000008E-2</v>
          </cell>
          <cell r="M70">
            <v>4.7083333333333338E-2</v>
          </cell>
          <cell r="N70">
            <v>4.8250000000000001E-2</v>
          </cell>
          <cell r="O70">
            <v>5.3249999999999999E-2</v>
          </cell>
          <cell r="P70">
            <v>6.0041666666666674E-2</v>
          </cell>
          <cell r="Q70">
            <v>6.7058333333333345E-2</v>
          </cell>
          <cell r="R70">
            <v>7.2600000000000026E-2</v>
          </cell>
          <cell r="S70">
            <v>7.4266666666666661E-2</v>
          </cell>
          <cell r="T70">
            <v>7.4141666666666675E-2</v>
          </cell>
          <cell r="U70">
            <v>7.3666666666666672E-2</v>
          </cell>
          <cell r="V70">
            <v>7.2666666666666657E-2</v>
          </cell>
          <cell r="W70">
            <v>7.0391666666666672E-2</v>
          </cell>
          <cell r="X70">
            <v>6.696666666666666E-2</v>
          </cell>
          <cell r="Y70">
            <v>6.3125000000000014E-2</v>
          </cell>
          <cell r="Z70">
            <v>5.8083333333333348E-2</v>
          </cell>
          <cell r="AA70">
            <v>5.4225000000000023E-2</v>
          </cell>
          <cell r="AB70">
            <v>5.1600000000000007E-2</v>
          </cell>
          <cell r="AC70">
            <v>4.9791666666666679E-2</v>
          </cell>
          <cell r="AD70">
            <v>4.9791666666666679E-2</v>
          </cell>
          <cell r="AE70">
            <v>4.9575000000000008E-2</v>
          </cell>
          <cell r="AF70">
            <v>4.8941666666666668E-2</v>
          </cell>
          <cell r="AG70">
            <v>4.8391666666666666E-2</v>
          </cell>
          <cell r="AH70">
            <v>4.7833333333333325E-2</v>
          </cell>
          <cell r="AI70">
            <v>4.7866666666666662E-2</v>
          </cell>
          <cell r="AJ70">
            <v>4.9383333333333335E-2</v>
          </cell>
          <cell r="AK70">
            <v>5.2291666666666667E-2</v>
          </cell>
          <cell r="AL70">
            <v>5.5808333333333335E-2</v>
          </cell>
          <cell r="AM70">
            <v>5.9166666666666673E-2</v>
          </cell>
          <cell r="AN70">
            <v>6.0416666666666667E-2</v>
          </cell>
          <cell r="AO70">
            <v>5.8125000000000003E-2</v>
          </cell>
          <cell r="AP70">
            <v>5.5E-2</v>
          </cell>
          <cell r="AQ70">
            <v>5.0416666666666672E-2</v>
          </cell>
          <cell r="AR70">
            <v>4.6458333333333331E-2</v>
          </cell>
          <cell r="AS70">
            <v>4.520833333333333E-2</v>
          </cell>
          <cell r="AT70">
            <v>4.4791666666666667E-2</v>
          </cell>
          <cell r="AU70">
            <v>4.5624999999999999E-2</v>
          </cell>
          <cell r="AV70">
            <v>4.6875E-2</v>
          </cell>
          <cell r="AW70">
            <v>4.7500000000000001E-2</v>
          </cell>
          <cell r="AX70">
            <v>4.7500000000000001E-2</v>
          </cell>
          <cell r="AY70">
            <v>4.8125000000000001E-2</v>
          </cell>
          <cell r="AZ70">
            <v>4.9375000000000002E-2</v>
          </cell>
          <cell r="BA70">
            <v>5.0625000000000003E-2</v>
          </cell>
          <cell r="BB70">
            <v>5.1874999999999998E-2</v>
          </cell>
          <cell r="BC70">
            <v>5.2499999999999998E-2</v>
          </cell>
          <cell r="BD70">
            <v>5.2708333333333329E-2</v>
          </cell>
          <cell r="BE70">
            <v>5.333333333333333E-2</v>
          </cell>
          <cell r="BF70">
            <v>5.395833333333333E-2</v>
          </cell>
          <cell r="BG70">
            <v>5.4583333333333331E-2</v>
          </cell>
          <cell r="BH70">
            <v>5.5E-2</v>
          </cell>
          <cell r="BI70">
            <v>5.541666666666667E-2</v>
          </cell>
          <cell r="BJ70">
            <v>5.6458333333333333E-2</v>
          </cell>
          <cell r="BK70">
            <v>5.8125000000000003E-2</v>
          </cell>
          <cell r="BL70">
            <v>0.06</v>
          </cell>
          <cell r="BM70">
            <v>6.145833333333333E-2</v>
          </cell>
          <cell r="BN70">
            <v>6.2708333333333324E-2</v>
          </cell>
          <cell r="BO70">
            <v>6.3958333333333325E-2</v>
          </cell>
          <cell r="BP70">
            <v>6.5833333333333327E-2</v>
          </cell>
          <cell r="BQ70">
            <v>6.8333333333333329E-2</v>
          </cell>
          <cell r="BR70">
            <v>7.0208333333333331E-2</v>
          </cell>
          <cell r="BS70">
            <v>6.6458333333333328E-2</v>
          </cell>
          <cell r="BT70">
            <v>5.7916666666666672E-2</v>
          </cell>
          <cell r="BU70">
            <v>4.7291666666666669E-2</v>
          </cell>
          <cell r="BV70">
            <v>3.6874999999999998E-2</v>
          </cell>
          <cell r="BW70">
            <v>3.2708333333333332E-2</v>
          </cell>
          <cell r="BX70">
            <v>3.3333333333333333E-2</v>
          </cell>
          <cell r="BY70">
            <v>3.6874999999999998E-2</v>
          </cell>
          <cell r="BZ70">
            <v>4.0625000000000001E-2</v>
          </cell>
          <cell r="CA70">
            <v>4.3541666666666673E-2</v>
          </cell>
          <cell r="CB70">
            <v>4.583333333333333E-2</v>
          </cell>
          <cell r="CC70">
            <v>4.6666666666666669E-2</v>
          </cell>
          <cell r="CD70">
            <v>4.7291666666666669E-2</v>
          </cell>
          <cell r="CE70">
            <v>4.6875E-2</v>
          </cell>
          <cell r="CF70">
            <v>4.5624999999999999E-2</v>
          </cell>
          <cell r="CG70">
            <v>4.3333333333333328E-2</v>
          </cell>
          <cell r="CH70">
            <v>4.0208333333333332E-2</v>
          </cell>
          <cell r="CI70">
            <v>3.6874999999999998E-2</v>
          </cell>
          <cell r="CJ70">
            <v>3.3750000000000002E-2</v>
          </cell>
          <cell r="CK70">
            <v>3.125E-2</v>
          </cell>
          <cell r="CL70">
            <v>2.8958333333333336E-2</v>
          </cell>
          <cell r="CM70">
            <v>2.7291666666666665E-2</v>
          </cell>
          <cell r="CN70">
            <v>2.6041666666666664E-2</v>
          </cell>
          <cell r="CO70">
            <v>2.5208333333333336E-2</v>
          </cell>
          <cell r="CP70">
            <v>2.5000000000000001E-2</v>
          </cell>
          <cell r="CQ70">
            <v>2.5000000000000001E-2</v>
          </cell>
          <cell r="CR70">
            <v>2.4583333333333336E-2</v>
          </cell>
          <cell r="CS70">
            <v>2.3541666666666666E-2</v>
          </cell>
          <cell r="CT70">
            <v>2.2291666666666664E-2</v>
          </cell>
          <cell r="CU70">
            <v>2.1041666666666667E-2</v>
          </cell>
          <cell r="CV70">
            <v>2.0208333333333335E-2</v>
          </cell>
          <cell r="CW70">
            <v>1.9583333333333331E-2</v>
          </cell>
          <cell r="CX70">
            <v>1.8541666666666668E-2</v>
          </cell>
          <cell r="CY70">
            <v>1.7291666666666667E-2</v>
          </cell>
          <cell r="CZ70">
            <v>1.6041666666666666E-2</v>
          </cell>
          <cell r="DA70">
            <v>1.5208333333333332E-2</v>
          </cell>
          <cell r="DB70">
            <v>1.4999999999999999E-2</v>
          </cell>
          <cell r="DC70">
            <v>1.4999999999999999E-2</v>
          </cell>
          <cell r="DD70">
            <v>1.4999999999999999E-2</v>
          </cell>
          <cell r="DE70">
            <v>1.4999999999999999E-2</v>
          </cell>
          <cell r="DF70">
            <v>1.4999999999999999E-2</v>
          </cell>
          <cell r="DG70">
            <v>1.4999999999999999E-2</v>
          </cell>
          <cell r="DH70">
            <v>1.4999999999999999E-2</v>
          </cell>
          <cell r="DI70">
            <v>1.4791666666666668E-2</v>
          </cell>
          <cell r="DJ70">
            <v>1.3541666666666667E-2</v>
          </cell>
          <cell r="DK70">
            <v>1.1666666666666667E-2</v>
          </cell>
          <cell r="DL70">
            <v>9.3749999999999997E-3</v>
          </cell>
          <cell r="DM70">
            <v>6.4583333333333333E-3</v>
          </cell>
          <cell r="DN70">
            <v>4.5833333333333334E-3</v>
          </cell>
          <cell r="DO70">
            <v>3.0833333333333333E-3</v>
          </cell>
          <cell r="DP70">
            <v>1.8750000000000004E-3</v>
          </cell>
          <cell r="DQ70">
            <v>1.5000000000000005E-3</v>
          </cell>
          <cell r="DR70">
            <v>1.1250000000000001E-3</v>
          </cell>
          <cell r="DS70">
            <v>1E-3</v>
          </cell>
          <cell r="DT70">
            <v>1E-3</v>
          </cell>
          <cell r="DU70">
            <v>1.8333333333333333E-3</v>
          </cell>
          <cell r="DV70">
            <v>6.2083333333333322E-3</v>
          </cell>
          <cell r="DW70">
            <v>1.3083333333333334E-2</v>
          </cell>
          <cell r="DX70">
            <v>2.1208333333333336E-2</v>
          </cell>
          <cell r="DY70">
            <v>2.9750000000000002E-2</v>
          </cell>
          <cell r="DZ70">
            <v>3.5375000000000011E-2</v>
          </cell>
          <cell r="EA70">
            <v>3.8916666666666676E-2</v>
          </cell>
          <cell r="EB70">
            <v>4.1416666666666678E-2</v>
          </cell>
          <cell r="EC70">
            <v>4.2666666666666672E-2</v>
          </cell>
          <cell r="ED70">
            <v>4.3291666666666673E-2</v>
          </cell>
          <cell r="EE70">
            <v>4.3500000000000004E-2</v>
          </cell>
          <cell r="EF70">
            <v>4.3083333333333342E-2</v>
          </cell>
          <cell r="EG70">
            <v>4.2041666666666672E-2</v>
          </cell>
          <cell r="EH70">
            <v>4.0375000000000008E-2</v>
          </cell>
          <cell r="EI70">
            <v>3.9541469815511432E-2</v>
          </cell>
          <cell r="EJ70">
            <v>3.8201909758947439E-2</v>
          </cell>
          <cell r="EK70">
            <v>3.7345166146338871E-2</v>
          </cell>
          <cell r="EL70">
            <v>3.7131024458104234E-2</v>
          </cell>
          <cell r="EM70">
            <v>3.6649429393655897E-2</v>
          </cell>
          <cell r="EN70">
            <v>3.6488922560999448E-2</v>
          </cell>
          <cell r="EO70">
            <v>3.6488922560999448E-2</v>
          </cell>
          <cell r="EP70">
            <v>3.6488922560999448E-2</v>
          </cell>
          <cell r="EQ70">
            <v>3.6488922560999448E-2</v>
          </cell>
          <cell r="ER70">
            <v>3.6488922560999448E-2</v>
          </cell>
          <cell r="ES70">
            <v>3.6488922560999448E-2</v>
          </cell>
          <cell r="ET70">
            <v>3.6488922560999448E-2</v>
          </cell>
          <cell r="EU70">
            <v>3.6488922560999448E-2</v>
          </cell>
          <cell r="EV70">
            <v>3.6488922560999448E-2</v>
          </cell>
          <cell r="EW70">
            <v>3.6488922560999448E-2</v>
          </cell>
          <cell r="EX70">
            <v>3.6488922560999448E-2</v>
          </cell>
          <cell r="EY70">
            <v>3.6488922560999448E-2</v>
          </cell>
          <cell r="EZ70">
            <v>3.6488922560999448E-2</v>
          </cell>
          <cell r="FA70">
            <v>3.6488922560999448E-2</v>
          </cell>
          <cell r="FB70">
            <v>3.6488922560999448E-2</v>
          </cell>
          <cell r="FC70">
            <v>3.6488922560999448E-2</v>
          </cell>
          <cell r="FD70">
            <v>3.6488922560999448E-2</v>
          </cell>
          <cell r="FE70">
            <v>3.6488922560999448E-2</v>
          </cell>
          <cell r="FF70">
            <v>3.6488922560999448E-2</v>
          </cell>
          <cell r="FG70">
            <v>3.6488922560999448E-2</v>
          </cell>
          <cell r="FH70">
            <v>3.6488922560999448E-2</v>
          </cell>
          <cell r="FI70">
            <v>3.6488922560999448E-2</v>
          </cell>
          <cell r="FJ70">
            <v>3.6488922560999448E-2</v>
          </cell>
          <cell r="FK70">
            <v>3.6488922560999448E-2</v>
          </cell>
          <cell r="FL70">
            <v>3.6488922560999448E-2</v>
          </cell>
          <cell r="FM70">
            <v>3.6488922560999448E-2</v>
          </cell>
          <cell r="FN70">
            <v>3.6488922560999448E-2</v>
          </cell>
          <cell r="FO70">
            <v>3.6488922560999448E-2</v>
          </cell>
          <cell r="FP70">
            <v>3.6488922560999448E-2</v>
          </cell>
          <cell r="FQ70">
            <v>3.6488922560999448E-2</v>
          </cell>
          <cell r="FR70">
            <v>3.6488922560999448E-2</v>
          </cell>
          <cell r="FS70">
            <v>3.6488922560999448E-2</v>
          </cell>
          <cell r="FT70">
            <v>3.6488922560999448E-2</v>
          </cell>
          <cell r="FU70">
            <v>3.6488922560999448E-2</v>
          </cell>
        </row>
        <row r="71">
          <cell r="D71"/>
          <cell r="E71"/>
          <cell r="F71"/>
          <cell r="G71"/>
          <cell r="H71"/>
          <cell r="I71"/>
          <cell r="J71"/>
          <cell r="K71"/>
          <cell r="L71"/>
          <cell r="M71"/>
          <cell r="N71"/>
          <cell r="O71"/>
          <cell r="P71"/>
          <cell r="Q71"/>
          <cell r="R71"/>
          <cell r="S71"/>
          <cell r="T71"/>
          <cell r="U71"/>
          <cell r="V71"/>
          <cell r="W71"/>
          <cell r="X71"/>
          <cell r="Y71"/>
          <cell r="Z71"/>
          <cell r="AA71"/>
          <cell r="AB71"/>
          <cell r="AC71"/>
          <cell r="AD71"/>
          <cell r="AE71"/>
          <cell r="AF71"/>
          <cell r="AG71"/>
          <cell r="AH71"/>
          <cell r="AI71"/>
          <cell r="AJ71"/>
          <cell r="AK71"/>
          <cell r="AL71"/>
          <cell r="AM71"/>
          <cell r="AN71"/>
          <cell r="AO71"/>
          <cell r="AP71"/>
          <cell r="AQ71"/>
          <cell r="AR71"/>
          <cell r="AS71"/>
          <cell r="AT71"/>
          <cell r="AU71"/>
          <cell r="AV71"/>
          <cell r="AW71"/>
          <cell r="AX71"/>
          <cell r="AY71"/>
          <cell r="AZ71"/>
          <cell r="BA71"/>
          <cell r="BB71"/>
          <cell r="BC71"/>
          <cell r="BD71"/>
          <cell r="BE71"/>
          <cell r="BF71"/>
          <cell r="BG71"/>
          <cell r="BH71"/>
          <cell r="BI71"/>
          <cell r="BJ71"/>
          <cell r="BK71"/>
          <cell r="BL71"/>
          <cell r="BM71"/>
          <cell r="BN71"/>
          <cell r="BO71"/>
          <cell r="BP71"/>
          <cell r="BQ71"/>
          <cell r="BR71"/>
          <cell r="BS71"/>
          <cell r="BT71"/>
          <cell r="BU71"/>
          <cell r="BV71"/>
          <cell r="BW71"/>
          <cell r="BX71"/>
          <cell r="BY71"/>
          <cell r="BZ71"/>
          <cell r="CA71"/>
          <cell r="CB71"/>
          <cell r="CC71"/>
          <cell r="CD71"/>
          <cell r="CE71"/>
          <cell r="CF71"/>
          <cell r="CG71"/>
          <cell r="CH71"/>
          <cell r="CI71"/>
          <cell r="CJ71"/>
          <cell r="CK71"/>
          <cell r="CL71"/>
          <cell r="CM71"/>
          <cell r="CN71"/>
          <cell r="CO71"/>
          <cell r="CP71"/>
          <cell r="CQ71"/>
          <cell r="CR71"/>
          <cell r="CS71"/>
          <cell r="CT71"/>
          <cell r="CU71"/>
          <cell r="CV71"/>
          <cell r="CW71"/>
          <cell r="CX71"/>
          <cell r="CY71"/>
          <cell r="CZ71"/>
          <cell r="DA71"/>
          <cell r="DB71"/>
          <cell r="DC71"/>
          <cell r="DD71"/>
          <cell r="DE71"/>
          <cell r="DF71"/>
          <cell r="DG71"/>
          <cell r="DH71"/>
          <cell r="DI71"/>
          <cell r="DJ71"/>
          <cell r="DK71"/>
          <cell r="DL71"/>
          <cell r="DM71"/>
          <cell r="DN71"/>
          <cell r="DO71"/>
          <cell r="DP71"/>
          <cell r="DQ71"/>
          <cell r="DR71"/>
          <cell r="DS71"/>
          <cell r="DT71"/>
          <cell r="DU71"/>
          <cell r="DV71"/>
          <cell r="DW71"/>
          <cell r="DX71"/>
          <cell r="DY71"/>
          <cell r="DZ71"/>
          <cell r="EA71"/>
          <cell r="EB71"/>
          <cell r="EC71"/>
          <cell r="ED71"/>
          <cell r="EE71"/>
          <cell r="EG71"/>
          <cell r="EH71"/>
        </row>
        <row r="72">
          <cell r="B72" t="str">
            <v>Miscellaneous</v>
          </cell>
          <cell r="C72"/>
          <cell r="D72"/>
          <cell r="E72"/>
          <cell r="F72"/>
          <cell r="G72"/>
          <cell r="H72"/>
          <cell r="I72"/>
          <cell r="J72"/>
          <cell r="K72"/>
          <cell r="L72"/>
          <cell r="M72"/>
          <cell r="N72"/>
          <cell r="O72"/>
          <cell r="P72"/>
          <cell r="Q72"/>
          <cell r="R72"/>
          <cell r="S72"/>
          <cell r="T72"/>
          <cell r="U72"/>
          <cell r="V72"/>
          <cell r="W72"/>
          <cell r="X72"/>
          <cell r="Y72"/>
          <cell r="Z72"/>
          <cell r="AA72"/>
          <cell r="AB72"/>
          <cell r="AC72"/>
          <cell r="AD72"/>
          <cell r="AE72"/>
          <cell r="AF72"/>
          <cell r="AG72"/>
          <cell r="AH72"/>
          <cell r="AI72"/>
          <cell r="AJ72"/>
          <cell r="AK72"/>
          <cell r="AL72"/>
          <cell r="AM72"/>
          <cell r="AN72"/>
          <cell r="AO72"/>
          <cell r="AP72"/>
          <cell r="AQ72"/>
          <cell r="AR72"/>
          <cell r="AS72"/>
          <cell r="AT72"/>
          <cell r="AU72"/>
          <cell r="AV72"/>
          <cell r="AW72"/>
          <cell r="AX72"/>
          <cell r="AY72"/>
          <cell r="AZ72"/>
          <cell r="BA72"/>
          <cell r="BB72"/>
          <cell r="BC72"/>
          <cell r="BD72"/>
          <cell r="BE72"/>
          <cell r="BF72"/>
          <cell r="BG72"/>
          <cell r="BH72"/>
          <cell r="BI72"/>
          <cell r="BJ72"/>
          <cell r="BK72"/>
          <cell r="BL72"/>
          <cell r="BM72"/>
          <cell r="BN72"/>
          <cell r="BO72"/>
          <cell r="BP72"/>
          <cell r="BQ72"/>
          <cell r="BR72"/>
          <cell r="BS72"/>
          <cell r="BT72"/>
          <cell r="BU72"/>
          <cell r="BV72"/>
          <cell r="BW72"/>
          <cell r="BX72"/>
          <cell r="BY72"/>
          <cell r="BZ72"/>
          <cell r="CA72"/>
          <cell r="CB72"/>
          <cell r="CC72"/>
          <cell r="CD72"/>
          <cell r="CE72"/>
          <cell r="CF72"/>
          <cell r="CG72"/>
          <cell r="CH72"/>
          <cell r="CI72"/>
          <cell r="CJ72"/>
          <cell r="CK72"/>
          <cell r="CL72"/>
          <cell r="CM72"/>
          <cell r="CN72"/>
          <cell r="CO72"/>
          <cell r="CP72"/>
          <cell r="CQ72"/>
          <cell r="CR72"/>
          <cell r="CS72"/>
          <cell r="CT72"/>
          <cell r="CU72"/>
          <cell r="CV72"/>
          <cell r="CW72"/>
          <cell r="CX72"/>
          <cell r="CY72"/>
          <cell r="CZ72"/>
          <cell r="DA72"/>
          <cell r="DB72"/>
          <cell r="DC72"/>
          <cell r="DD72"/>
          <cell r="DE72"/>
          <cell r="DF72"/>
          <cell r="DG72"/>
          <cell r="DH72"/>
          <cell r="DI72"/>
          <cell r="DJ72"/>
          <cell r="DK72"/>
          <cell r="DL72"/>
          <cell r="DM72"/>
          <cell r="DN72"/>
          <cell r="DO72"/>
          <cell r="DP72"/>
          <cell r="DQ72"/>
          <cell r="DR72"/>
          <cell r="DS72"/>
          <cell r="DT72"/>
          <cell r="DU72"/>
          <cell r="DV72"/>
          <cell r="DW72"/>
          <cell r="DX72"/>
          <cell r="DY72"/>
          <cell r="DZ72"/>
          <cell r="EA72"/>
          <cell r="EB72"/>
          <cell r="EC72"/>
          <cell r="ED72"/>
          <cell r="EE72"/>
          <cell r="EF72"/>
          <cell r="EG72"/>
          <cell r="EH72"/>
          <cell r="EI72"/>
          <cell r="EJ72"/>
          <cell r="EK72"/>
          <cell r="EL72"/>
          <cell r="EM72"/>
          <cell r="EN72"/>
          <cell r="EO72"/>
          <cell r="EP72"/>
          <cell r="EQ72"/>
          <cell r="ER72"/>
          <cell r="ES72"/>
          <cell r="ET72"/>
          <cell r="EU72"/>
          <cell r="EV72"/>
          <cell r="EW72"/>
          <cell r="EX72"/>
          <cell r="EY72"/>
          <cell r="EZ72"/>
          <cell r="FA72"/>
          <cell r="FB72"/>
          <cell r="FC72"/>
          <cell r="FD72"/>
          <cell r="FE72"/>
          <cell r="FF72"/>
          <cell r="FG72"/>
          <cell r="FH72"/>
          <cell r="FI72"/>
          <cell r="FJ72"/>
          <cell r="FK72"/>
          <cell r="FL72"/>
          <cell r="FM72"/>
          <cell r="FN72"/>
          <cell r="FO72"/>
          <cell r="FP72"/>
          <cell r="FQ72"/>
          <cell r="FR72"/>
          <cell r="FS72"/>
          <cell r="FT72"/>
          <cell r="FU72"/>
        </row>
        <row r="73">
          <cell r="A73" t="str">
            <v>ASS_TXCorpRate</v>
          </cell>
          <cell r="B73" t="str">
            <v>Corporate tax rate</v>
          </cell>
          <cell r="D73">
            <v>0.33</v>
          </cell>
          <cell r="E73">
            <v>0.33</v>
          </cell>
          <cell r="F73">
            <v>0.33</v>
          </cell>
          <cell r="G73">
            <v>0.33</v>
          </cell>
          <cell r="H73">
            <v>0.33</v>
          </cell>
          <cell r="I73">
            <v>0.33</v>
          </cell>
          <cell r="J73">
            <v>0.33</v>
          </cell>
          <cell r="K73">
            <v>0.33</v>
          </cell>
          <cell r="L73">
            <v>0.33</v>
          </cell>
          <cell r="M73">
            <v>0.33</v>
          </cell>
          <cell r="N73">
            <v>0.33</v>
          </cell>
          <cell r="O73">
            <v>0.33</v>
          </cell>
          <cell r="P73">
            <v>0.33</v>
          </cell>
          <cell r="Q73">
            <v>0.33</v>
          </cell>
          <cell r="R73">
            <v>0.33</v>
          </cell>
          <cell r="S73">
            <v>0.36</v>
          </cell>
          <cell r="T73">
            <v>0.36</v>
          </cell>
          <cell r="U73">
            <v>0.36</v>
          </cell>
          <cell r="V73">
            <v>0.36</v>
          </cell>
          <cell r="W73">
            <v>0.36</v>
          </cell>
          <cell r="X73">
            <v>0.36</v>
          </cell>
          <cell r="Y73">
            <v>0.36</v>
          </cell>
          <cell r="Z73">
            <v>0.36</v>
          </cell>
          <cell r="AA73">
            <v>0.36</v>
          </cell>
          <cell r="AB73">
            <v>0.36</v>
          </cell>
          <cell r="AC73">
            <v>0.36</v>
          </cell>
          <cell r="AD73">
            <v>0.36</v>
          </cell>
          <cell r="AE73">
            <v>0.36</v>
          </cell>
          <cell r="AF73">
            <v>0.36</v>
          </cell>
          <cell r="AG73">
            <v>0.36</v>
          </cell>
          <cell r="AH73">
            <v>0.36</v>
          </cell>
          <cell r="AI73">
            <v>0.36</v>
          </cell>
          <cell r="AJ73">
            <v>0.36</v>
          </cell>
          <cell r="AK73">
            <v>0.36</v>
          </cell>
          <cell r="AL73">
            <v>0.36</v>
          </cell>
          <cell r="AM73">
            <v>0.34</v>
          </cell>
          <cell r="AN73">
            <v>0.34</v>
          </cell>
          <cell r="AO73">
            <v>0.34</v>
          </cell>
          <cell r="AP73">
            <v>0.34</v>
          </cell>
          <cell r="AQ73">
            <v>0.3</v>
          </cell>
          <cell r="AR73">
            <v>0.3</v>
          </cell>
          <cell r="AS73">
            <v>0.3</v>
          </cell>
          <cell r="AT73">
            <v>0.3</v>
          </cell>
          <cell r="AU73">
            <v>0.3</v>
          </cell>
          <cell r="AV73">
            <v>0.3</v>
          </cell>
          <cell r="AW73">
            <v>0.3</v>
          </cell>
          <cell r="AX73">
            <v>0.3</v>
          </cell>
          <cell r="AY73">
            <v>0.3</v>
          </cell>
          <cell r="AZ73">
            <v>0.3</v>
          </cell>
          <cell r="BA73">
            <v>0.3</v>
          </cell>
          <cell r="BB73">
            <v>0.3</v>
          </cell>
          <cell r="BC73">
            <v>0.3</v>
          </cell>
          <cell r="BD73">
            <v>0.3</v>
          </cell>
          <cell r="BE73">
            <v>0.3</v>
          </cell>
          <cell r="BF73">
            <v>0.3</v>
          </cell>
          <cell r="BG73">
            <v>0.3</v>
          </cell>
          <cell r="BH73">
            <v>0.3</v>
          </cell>
          <cell r="BI73">
            <v>0.3</v>
          </cell>
          <cell r="BJ73">
            <v>0.3</v>
          </cell>
          <cell r="BK73">
            <v>0.3</v>
          </cell>
          <cell r="BL73">
            <v>0.3</v>
          </cell>
          <cell r="BM73">
            <v>0.3</v>
          </cell>
          <cell r="BN73">
            <v>0.3</v>
          </cell>
          <cell r="BO73">
            <v>0.3</v>
          </cell>
          <cell r="BP73">
            <v>0.3</v>
          </cell>
          <cell r="BQ73">
            <v>0.3</v>
          </cell>
          <cell r="BR73">
            <v>0.3</v>
          </cell>
          <cell r="BS73">
            <v>0.3</v>
          </cell>
          <cell r="BT73">
            <v>0.3</v>
          </cell>
          <cell r="BU73">
            <v>0.3</v>
          </cell>
          <cell r="BV73">
            <v>0.3</v>
          </cell>
          <cell r="BW73">
            <v>0.3</v>
          </cell>
          <cell r="BX73">
            <v>0.3</v>
          </cell>
          <cell r="BY73">
            <v>0.3</v>
          </cell>
          <cell r="BZ73">
            <v>0.3</v>
          </cell>
          <cell r="CA73">
            <v>0.3</v>
          </cell>
          <cell r="CB73">
            <v>0.3</v>
          </cell>
          <cell r="CC73">
            <v>0.3</v>
          </cell>
          <cell r="CD73">
            <v>0.3</v>
          </cell>
          <cell r="CE73">
            <v>0.3</v>
          </cell>
          <cell r="CF73">
            <v>0.3</v>
          </cell>
          <cell r="CG73">
            <v>0.3</v>
          </cell>
          <cell r="CH73">
            <v>0.3</v>
          </cell>
          <cell r="CI73">
            <v>0.3</v>
          </cell>
          <cell r="CJ73">
            <v>0.3</v>
          </cell>
          <cell r="CK73">
            <v>0.3</v>
          </cell>
          <cell r="CL73">
            <v>0.3</v>
          </cell>
          <cell r="CM73">
            <v>0.3</v>
          </cell>
          <cell r="CN73">
            <v>0.3</v>
          </cell>
          <cell r="CO73">
            <v>0.3</v>
          </cell>
          <cell r="CP73">
            <v>0.3</v>
          </cell>
          <cell r="CQ73">
            <v>0.3</v>
          </cell>
          <cell r="CR73">
            <v>0.3</v>
          </cell>
          <cell r="CS73">
            <v>0.3</v>
          </cell>
          <cell r="CT73">
            <v>0.3</v>
          </cell>
          <cell r="CU73">
            <v>0.3</v>
          </cell>
          <cell r="CV73">
            <v>0.3</v>
          </cell>
          <cell r="CW73">
            <v>0.3</v>
          </cell>
          <cell r="CX73">
            <v>0.3</v>
          </cell>
          <cell r="CY73">
            <v>0.3</v>
          </cell>
          <cell r="CZ73">
            <v>0.3</v>
          </cell>
          <cell r="DA73">
            <v>0.3</v>
          </cell>
          <cell r="DB73">
            <v>0.3</v>
          </cell>
          <cell r="DC73">
            <v>0.3</v>
          </cell>
          <cell r="DD73">
            <v>0.3</v>
          </cell>
          <cell r="DE73">
            <v>0.3</v>
          </cell>
          <cell r="DF73">
            <v>0.3</v>
          </cell>
          <cell r="DG73">
            <v>0.3</v>
          </cell>
          <cell r="DH73">
            <v>0.3</v>
          </cell>
          <cell r="DI73">
            <v>0.3</v>
          </cell>
          <cell r="DJ73">
            <v>0.3</v>
          </cell>
          <cell r="DK73">
            <v>0.3</v>
          </cell>
          <cell r="DL73">
            <v>0.3</v>
          </cell>
          <cell r="DM73">
            <v>0.3</v>
          </cell>
          <cell r="DN73">
            <v>0.3</v>
          </cell>
          <cell r="DO73">
            <v>0.3</v>
          </cell>
          <cell r="DP73">
            <v>0.3</v>
          </cell>
          <cell r="DQ73">
            <v>0.3</v>
          </cell>
          <cell r="DR73">
            <v>0.3</v>
          </cell>
          <cell r="DS73">
            <v>0.3</v>
          </cell>
          <cell r="DT73">
            <v>0.3</v>
          </cell>
          <cell r="DU73">
            <v>0.3</v>
          </cell>
          <cell r="DV73">
            <v>0.3</v>
          </cell>
          <cell r="DW73">
            <v>0.3</v>
          </cell>
          <cell r="DX73">
            <v>0.3</v>
          </cell>
          <cell r="DY73">
            <v>0.3</v>
          </cell>
          <cell r="DZ73">
            <v>0.3</v>
          </cell>
          <cell r="EA73">
            <v>0.3</v>
          </cell>
          <cell r="EB73">
            <v>0.3</v>
          </cell>
          <cell r="EC73">
            <v>0.3</v>
          </cell>
          <cell r="ED73">
            <v>0.3</v>
          </cell>
          <cell r="EE73">
            <v>0.3</v>
          </cell>
          <cell r="EF73">
            <v>0.3</v>
          </cell>
          <cell r="EG73">
            <v>0.3</v>
          </cell>
          <cell r="EH73">
            <v>0.3</v>
          </cell>
          <cell r="EI73">
            <v>0.3</v>
          </cell>
          <cell r="EJ73">
            <v>0.3</v>
          </cell>
          <cell r="EK73">
            <v>0.3</v>
          </cell>
          <cell r="EL73">
            <v>0.3</v>
          </cell>
          <cell r="EM73">
            <v>0.3</v>
          </cell>
          <cell r="EN73">
            <v>0.3</v>
          </cell>
          <cell r="EO73">
            <v>0.3</v>
          </cell>
          <cell r="EP73">
            <v>0.3</v>
          </cell>
          <cell r="EQ73">
            <v>0.3</v>
          </cell>
          <cell r="ER73">
            <v>0.3</v>
          </cell>
          <cell r="ES73">
            <v>0.3</v>
          </cell>
          <cell r="ET73">
            <v>0.3</v>
          </cell>
          <cell r="EU73">
            <v>0.3</v>
          </cell>
          <cell r="EV73">
            <v>0.3</v>
          </cell>
          <cell r="EW73">
            <v>0.3</v>
          </cell>
          <cell r="EX73">
            <v>0.3</v>
          </cell>
          <cell r="EY73">
            <v>0.3</v>
          </cell>
          <cell r="EZ73">
            <v>0.3</v>
          </cell>
          <cell r="FA73">
            <v>0.3</v>
          </cell>
          <cell r="FB73">
            <v>0.3</v>
          </cell>
          <cell r="FC73">
            <v>0.3</v>
          </cell>
          <cell r="FD73">
            <v>0.3</v>
          </cell>
          <cell r="FE73">
            <v>0.3</v>
          </cell>
          <cell r="FF73">
            <v>0.3</v>
          </cell>
          <cell r="FG73">
            <v>0.3</v>
          </cell>
          <cell r="FH73">
            <v>0.3</v>
          </cell>
          <cell r="FI73">
            <v>0.3</v>
          </cell>
          <cell r="FJ73">
            <v>0.3</v>
          </cell>
          <cell r="FK73">
            <v>0.3</v>
          </cell>
          <cell r="FL73">
            <v>0.3</v>
          </cell>
          <cell r="FM73">
            <v>0.3</v>
          </cell>
          <cell r="FN73">
            <v>0.3</v>
          </cell>
          <cell r="FO73">
            <v>0.3</v>
          </cell>
          <cell r="FP73">
            <v>0.3</v>
          </cell>
          <cell r="FQ73">
            <v>0.3</v>
          </cell>
          <cell r="FR73">
            <v>0.3</v>
          </cell>
          <cell r="FS73">
            <v>0.3</v>
          </cell>
          <cell r="FT73">
            <v>0.3</v>
          </cell>
          <cell r="FU73">
            <v>0.3</v>
          </cell>
        </row>
        <row r="74">
          <cell r="A74" t="str">
            <v>ASS_TXFrankingValued</v>
          </cell>
          <cell r="B74" t="str">
            <v>Proportion of franking credits valued</v>
          </cell>
          <cell r="D74">
            <v>0.6</v>
          </cell>
          <cell r="E74">
            <v>0.6</v>
          </cell>
          <cell r="F74">
            <v>0.6</v>
          </cell>
          <cell r="G74">
            <v>0.6</v>
          </cell>
          <cell r="H74">
            <v>0.6</v>
          </cell>
          <cell r="I74">
            <v>0.6</v>
          </cell>
          <cell r="J74">
            <v>0.6</v>
          </cell>
          <cell r="K74">
            <v>0.6</v>
          </cell>
          <cell r="L74">
            <v>0.6</v>
          </cell>
          <cell r="M74">
            <v>0.6</v>
          </cell>
          <cell r="N74">
            <v>0.6</v>
          </cell>
          <cell r="O74">
            <v>0.6</v>
          </cell>
          <cell r="P74">
            <v>0.6</v>
          </cell>
          <cell r="Q74">
            <v>0.6</v>
          </cell>
          <cell r="R74">
            <v>0.6</v>
          </cell>
          <cell r="S74">
            <v>0.6</v>
          </cell>
          <cell r="T74">
            <v>0.6</v>
          </cell>
          <cell r="U74">
            <v>0.6</v>
          </cell>
          <cell r="V74">
            <v>0.6</v>
          </cell>
          <cell r="W74">
            <v>0.6</v>
          </cell>
          <cell r="X74">
            <v>0.6</v>
          </cell>
          <cell r="Y74">
            <v>0.6</v>
          </cell>
          <cell r="Z74">
            <v>0.6</v>
          </cell>
          <cell r="AA74">
            <v>0.6</v>
          </cell>
          <cell r="AB74">
            <v>0.6</v>
          </cell>
          <cell r="AC74">
            <v>0.6</v>
          </cell>
          <cell r="AD74">
            <v>0.6</v>
          </cell>
          <cell r="AE74">
            <v>0.6</v>
          </cell>
          <cell r="AF74">
            <v>0.6</v>
          </cell>
          <cell r="AG74">
            <v>0.6</v>
          </cell>
          <cell r="AH74">
            <v>0.6</v>
          </cell>
          <cell r="AI74">
            <v>0.6</v>
          </cell>
          <cell r="AJ74">
            <v>0.6</v>
          </cell>
          <cell r="AK74">
            <v>0.6</v>
          </cell>
          <cell r="AL74">
            <v>0.6</v>
          </cell>
          <cell r="AM74">
            <v>0.6</v>
          </cell>
          <cell r="AN74">
            <v>0.6</v>
          </cell>
          <cell r="AO74">
            <v>0.6</v>
          </cell>
          <cell r="AP74">
            <v>0.6</v>
          </cell>
          <cell r="AQ74">
            <v>0.6</v>
          </cell>
          <cell r="AR74">
            <v>0.6</v>
          </cell>
          <cell r="AS74">
            <v>0.6</v>
          </cell>
          <cell r="AT74">
            <v>0.6</v>
          </cell>
          <cell r="AU74">
            <v>0.6</v>
          </cell>
          <cell r="AV74">
            <v>0.6</v>
          </cell>
          <cell r="AW74">
            <v>0.6</v>
          </cell>
          <cell r="AX74">
            <v>0.6</v>
          </cell>
          <cell r="AY74">
            <v>0.6</v>
          </cell>
          <cell r="AZ74">
            <v>0.6</v>
          </cell>
          <cell r="BA74">
            <v>0.6</v>
          </cell>
          <cell r="BB74">
            <v>0.6</v>
          </cell>
          <cell r="BC74">
            <v>0.6</v>
          </cell>
          <cell r="BD74">
            <v>0.6</v>
          </cell>
          <cell r="BE74">
            <v>0.6</v>
          </cell>
          <cell r="BF74">
            <v>0.6</v>
          </cell>
          <cell r="BG74">
            <v>0.6</v>
          </cell>
          <cell r="BH74">
            <v>0.6</v>
          </cell>
          <cell r="BI74">
            <v>0.6</v>
          </cell>
          <cell r="BJ74">
            <v>0.6</v>
          </cell>
          <cell r="BK74">
            <v>0.6</v>
          </cell>
          <cell r="BL74">
            <v>0.6</v>
          </cell>
          <cell r="BM74">
            <v>0.6</v>
          </cell>
          <cell r="BN74">
            <v>0.6</v>
          </cell>
          <cell r="BO74">
            <v>0.6</v>
          </cell>
          <cell r="BP74">
            <v>0.6</v>
          </cell>
          <cell r="BQ74">
            <v>0.6</v>
          </cell>
          <cell r="BR74">
            <v>0.6</v>
          </cell>
          <cell r="BS74">
            <v>0.6</v>
          </cell>
          <cell r="BT74">
            <v>0.6</v>
          </cell>
          <cell r="BU74">
            <v>0.6</v>
          </cell>
          <cell r="BV74">
            <v>0.6</v>
          </cell>
          <cell r="BW74">
            <v>0.6</v>
          </cell>
          <cell r="BX74">
            <v>0.6</v>
          </cell>
          <cell r="BY74">
            <v>0.6</v>
          </cell>
          <cell r="BZ74">
            <v>0.6</v>
          </cell>
          <cell r="CA74">
            <v>0.6</v>
          </cell>
          <cell r="CB74">
            <v>0.6</v>
          </cell>
          <cell r="CC74">
            <v>0.6</v>
          </cell>
          <cell r="CD74">
            <v>0.6</v>
          </cell>
          <cell r="CE74">
            <v>0.6</v>
          </cell>
          <cell r="CF74">
            <v>0.6</v>
          </cell>
          <cell r="CG74">
            <v>0.6</v>
          </cell>
          <cell r="CH74">
            <v>0.6</v>
          </cell>
          <cell r="CI74">
            <v>0.6</v>
          </cell>
          <cell r="CJ74">
            <v>0.6</v>
          </cell>
          <cell r="CK74">
            <v>0.6</v>
          </cell>
          <cell r="CL74">
            <v>0.6</v>
          </cell>
          <cell r="CM74">
            <v>0.6</v>
          </cell>
          <cell r="CN74">
            <v>0.6</v>
          </cell>
          <cell r="CO74">
            <v>0.6</v>
          </cell>
          <cell r="CP74">
            <v>0.6</v>
          </cell>
          <cell r="CQ74">
            <v>0.6</v>
          </cell>
          <cell r="CR74">
            <v>0.6</v>
          </cell>
          <cell r="CS74">
            <v>0.6</v>
          </cell>
          <cell r="CT74">
            <v>0.6</v>
          </cell>
          <cell r="CU74">
            <v>0.6</v>
          </cell>
          <cell r="CV74">
            <v>0.6</v>
          </cell>
          <cell r="CW74">
            <v>0.6</v>
          </cell>
          <cell r="CX74">
            <v>0.6</v>
          </cell>
          <cell r="CY74">
            <v>0.6</v>
          </cell>
          <cell r="CZ74">
            <v>0.6</v>
          </cell>
          <cell r="DA74">
            <v>0.6</v>
          </cell>
          <cell r="DB74">
            <v>0.6</v>
          </cell>
          <cell r="DC74">
            <v>0.6</v>
          </cell>
          <cell r="DD74">
            <v>0.6</v>
          </cell>
          <cell r="DE74">
            <v>0.6</v>
          </cell>
          <cell r="DF74">
            <v>0.6</v>
          </cell>
          <cell r="DG74">
            <v>0.6</v>
          </cell>
          <cell r="DH74">
            <v>0.6</v>
          </cell>
          <cell r="DI74">
            <v>0.6</v>
          </cell>
          <cell r="DJ74">
            <v>0.6</v>
          </cell>
          <cell r="DK74">
            <v>0.6</v>
          </cell>
          <cell r="DL74">
            <v>0.6</v>
          </cell>
          <cell r="DM74">
            <v>0.6</v>
          </cell>
          <cell r="DN74">
            <v>0.6</v>
          </cell>
          <cell r="DO74">
            <v>0.6</v>
          </cell>
          <cell r="DP74">
            <v>0.6</v>
          </cell>
          <cell r="DQ74">
            <v>0.6</v>
          </cell>
          <cell r="DR74">
            <v>0.6</v>
          </cell>
          <cell r="DS74">
            <v>0.6</v>
          </cell>
          <cell r="DT74">
            <v>0.6</v>
          </cell>
          <cell r="DU74">
            <v>0.6</v>
          </cell>
          <cell r="DV74">
            <v>0.6</v>
          </cell>
          <cell r="DW74">
            <v>0.6</v>
          </cell>
          <cell r="DX74">
            <v>0.6</v>
          </cell>
          <cell r="DY74">
            <v>0.6</v>
          </cell>
          <cell r="DZ74">
            <v>0.6</v>
          </cell>
          <cell r="EA74">
            <v>0.6</v>
          </cell>
          <cell r="EB74">
            <v>0.6</v>
          </cell>
          <cell r="EC74">
            <v>0.6</v>
          </cell>
          <cell r="ED74">
            <v>0.6</v>
          </cell>
          <cell r="EE74">
            <v>0.6</v>
          </cell>
          <cell r="EF74">
            <v>0.6</v>
          </cell>
          <cell r="EG74">
            <v>0.6</v>
          </cell>
          <cell r="EH74">
            <v>0.6</v>
          </cell>
          <cell r="EI74">
            <v>0.6</v>
          </cell>
          <cell r="EJ74">
            <v>0.6</v>
          </cell>
          <cell r="EK74">
            <v>0.6</v>
          </cell>
          <cell r="EL74">
            <v>0.6</v>
          </cell>
          <cell r="EM74">
            <v>0.6</v>
          </cell>
          <cell r="EN74">
            <v>0.6</v>
          </cell>
          <cell r="EO74">
            <v>0.6</v>
          </cell>
          <cell r="EP74">
            <v>0.6</v>
          </cell>
          <cell r="EQ74">
            <v>0.6</v>
          </cell>
          <cell r="ER74">
            <v>0.6</v>
          </cell>
          <cell r="ES74">
            <v>0.6</v>
          </cell>
          <cell r="ET74">
            <v>0.6</v>
          </cell>
          <cell r="EU74">
            <v>0.6</v>
          </cell>
          <cell r="EV74">
            <v>0.6</v>
          </cell>
          <cell r="EW74">
            <v>0.6</v>
          </cell>
          <cell r="EX74">
            <v>0.6</v>
          </cell>
          <cell r="EY74">
            <v>0.6</v>
          </cell>
          <cell r="EZ74">
            <v>0.6</v>
          </cell>
          <cell r="FA74">
            <v>0.6</v>
          </cell>
          <cell r="FB74">
            <v>0.6</v>
          </cell>
          <cell r="FC74">
            <v>0.6</v>
          </cell>
          <cell r="FD74">
            <v>0.6</v>
          </cell>
          <cell r="FE74">
            <v>0.6</v>
          </cell>
          <cell r="FF74">
            <v>0.6</v>
          </cell>
          <cell r="FG74">
            <v>0.6</v>
          </cell>
          <cell r="FH74">
            <v>0.6</v>
          </cell>
          <cell r="FI74">
            <v>0.6</v>
          </cell>
          <cell r="FJ74">
            <v>0.6</v>
          </cell>
          <cell r="FK74">
            <v>0.6</v>
          </cell>
          <cell r="FL74">
            <v>0.6</v>
          </cell>
          <cell r="FM74">
            <v>0.6</v>
          </cell>
          <cell r="FN74">
            <v>0.6</v>
          </cell>
          <cell r="FO74">
            <v>0.6</v>
          </cell>
          <cell r="FP74">
            <v>0.6</v>
          </cell>
          <cell r="FQ74">
            <v>0.6</v>
          </cell>
          <cell r="FR74">
            <v>0.6</v>
          </cell>
          <cell r="FS74">
            <v>0.6</v>
          </cell>
          <cell r="FT74">
            <v>0.6</v>
          </cell>
          <cell r="FU74">
            <v>0.6</v>
          </cell>
        </row>
        <row r="75">
          <cell r="A75" t="str">
            <v>au_cpi_yoy</v>
          </cell>
          <cell r="B75" t="str">
            <v>Cost inflation (6mo)</v>
          </cell>
          <cell r="D75">
            <v>1.7000000000000001E-2</v>
          </cell>
          <cell r="E75">
            <v>1.2E-2</v>
          </cell>
          <cell r="F75">
            <v>8.0000000000000002E-3</v>
          </cell>
          <cell r="G75">
            <v>3.0000000000000001E-3</v>
          </cell>
          <cell r="H75">
            <v>1.2E-2</v>
          </cell>
          <cell r="I75">
            <v>1.8000000000000002E-2</v>
          </cell>
          <cell r="J75">
            <v>2.2000000000000002E-2</v>
          </cell>
          <cell r="K75">
            <v>1.8000000000000002E-2</v>
          </cell>
          <cell r="L75">
            <v>1.4999999999999999E-2</v>
          </cell>
          <cell r="M75">
            <v>1.8000000000000002E-2</v>
          </cell>
          <cell r="N75">
            <v>0.02</v>
          </cell>
          <cell r="O75">
            <v>2.6000000000000002E-2</v>
          </cell>
          <cell r="P75">
            <v>3.7000000000000005E-2</v>
          </cell>
          <cell r="Q75">
            <v>4.4999999999999998E-2</v>
          </cell>
          <cell r="R75">
            <v>5.0999999999999997E-2</v>
          </cell>
          <cell r="S75">
            <v>5.0999999999999997E-2</v>
          </cell>
          <cell r="T75">
            <v>3.7999999999999999E-2</v>
          </cell>
          <cell r="U75">
            <v>3.1E-2</v>
          </cell>
          <cell r="V75">
            <v>2.1000000000000001E-2</v>
          </cell>
          <cell r="W75">
            <v>1.4999999999999999E-2</v>
          </cell>
          <cell r="X75">
            <v>1.3999999999999999E-2</v>
          </cell>
          <cell r="Y75">
            <v>3.0000000000000001E-3</v>
          </cell>
          <cell r="Z75">
            <v>-4.0000000000000001E-3</v>
          </cell>
          <cell r="AA75">
            <v>-3.0000000000000001E-3</v>
          </cell>
          <cell r="AB75">
            <v>-1E-3</v>
          </cell>
          <cell r="AC75">
            <v>6.9999999999999993E-3</v>
          </cell>
          <cell r="AD75">
            <v>1.3999999999999999E-2</v>
          </cell>
          <cell r="AE75">
            <v>1.4999999999999999E-2</v>
          </cell>
          <cell r="AF75">
            <v>1.2E-2</v>
          </cell>
          <cell r="AG75">
            <v>0.01</v>
          </cell>
          <cell r="AH75">
            <v>1.8000000000000002E-2</v>
          </cell>
          <cell r="AI75">
            <v>1.9E-2</v>
          </cell>
          <cell r="AJ75">
            <v>2.7999999999999997E-2</v>
          </cell>
          <cell r="AK75">
            <v>3.1E-2</v>
          </cell>
          <cell r="AL75">
            <v>6.0999999999999999E-2</v>
          </cell>
          <cell r="AM75">
            <v>5.7999999999999996E-2</v>
          </cell>
          <cell r="AN75">
            <v>0.06</v>
          </cell>
          <cell r="AO75">
            <v>6.0999999999999999E-2</v>
          </cell>
          <cell r="AP75">
            <v>2.5000000000000001E-2</v>
          </cell>
          <cell r="AQ75">
            <v>3.1E-2</v>
          </cell>
          <cell r="AR75">
            <v>0.03</v>
          </cell>
          <cell r="AS75">
            <v>2.7999999999999997E-2</v>
          </cell>
          <cell r="AT75">
            <v>3.2000000000000001E-2</v>
          </cell>
          <cell r="AU75">
            <v>2.8999999999999998E-2</v>
          </cell>
          <cell r="AV75">
            <v>3.3000000000000002E-2</v>
          </cell>
          <cell r="AW75">
            <v>2.6000000000000002E-2</v>
          </cell>
          <cell r="AX75">
            <v>2.6000000000000002E-2</v>
          </cell>
          <cell r="AY75">
            <v>2.4E-2</v>
          </cell>
          <cell r="AZ75">
            <v>0.02</v>
          </cell>
          <cell r="BA75">
            <v>2.5000000000000001E-2</v>
          </cell>
          <cell r="BB75">
            <v>2.3E-2</v>
          </cell>
          <cell r="BC75">
            <v>2.5000000000000001E-2</v>
          </cell>
          <cell r="BD75">
            <v>2.4E-2</v>
          </cell>
          <cell r="BE75">
            <v>2.5000000000000001E-2</v>
          </cell>
          <cell r="BF75">
            <v>3.1E-2</v>
          </cell>
          <cell r="BG75">
            <v>2.7999999999999997E-2</v>
          </cell>
          <cell r="BH75">
            <v>2.8999999999999998E-2</v>
          </cell>
          <cell r="BI75">
            <v>0.04</v>
          </cell>
          <cell r="BJ75">
            <v>0.04</v>
          </cell>
          <cell r="BK75">
            <v>3.3000000000000002E-2</v>
          </cell>
          <cell r="BL75">
            <v>2.5000000000000001E-2</v>
          </cell>
          <cell r="BM75">
            <v>2.1000000000000001E-2</v>
          </cell>
          <cell r="BN75">
            <v>1.8000000000000002E-2</v>
          </cell>
          <cell r="BO75">
            <v>2.8999999999999998E-2</v>
          </cell>
          <cell r="BP75">
            <v>4.2999999999999997E-2</v>
          </cell>
          <cell r="BQ75">
            <v>4.4000000000000004E-2</v>
          </cell>
          <cell r="BR75">
            <v>0.05</v>
          </cell>
          <cell r="BS75">
            <v>3.7000000000000005E-2</v>
          </cell>
          <cell r="BT75">
            <v>2.4E-2</v>
          </cell>
          <cell r="BU75">
            <v>1.3999999999999999E-2</v>
          </cell>
          <cell r="BV75">
            <v>1.2E-2</v>
          </cell>
          <cell r="BW75">
            <v>2.1000000000000001E-2</v>
          </cell>
          <cell r="BX75">
            <v>2.8999999999999998E-2</v>
          </cell>
          <cell r="BY75">
            <v>3.1E-2</v>
          </cell>
          <cell r="BZ75">
            <v>2.8999999999999998E-2</v>
          </cell>
          <cell r="CA75">
            <v>2.7999999999999997E-2</v>
          </cell>
          <cell r="CB75">
            <v>3.3000000000000002E-2</v>
          </cell>
          <cell r="CC75">
            <v>3.5000000000000003E-2</v>
          </cell>
          <cell r="CD75">
            <v>3.4000000000000002E-2</v>
          </cell>
          <cell r="CE75">
            <v>0.03</v>
          </cell>
          <cell r="CF75">
            <v>1.6E-2</v>
          </cell>
          <cell r="CG75">
            <v>1.2E-2</v>
          </cell>
          <cell r="CH75">
            <v>0.02</v>
          </cell>
          <cell r="CI75">
            <v>2.2000000000000002E-2</v>
          </cell>
          <cell r="CJ75">
            <v>2.5000000000000001E-2</v>
          </cell>
          <cell r="CK75">
            <v>2.4E-2</v>
          </cell>
          <cell r="CL75">
            <v>2.2000000000000002E-2</v>
          </cell>
          <cell r="CM75">
            <v>2.7000000000000003E-2</v>
          </cell>
          <cell r="CN75">
            <v>2.8999999999999998E-2</v>
          </cell>
          <cell r="CO75">
            <v>0.03</v>
          </cell>
          <cell r="CP75">
            <v>2.3E-2</v>
          </cell>
          <cell r="CQ75">
            <v>1.7000000000000001E-2</v>
          </cell>
          <cell r="CR75">
            <v>1.3000000000000001E-2</v>
          </cell>
          <cell r="CS75">
            <v>1.4999999999999999E-2</v>
          </cell>
          <cell r="CT75">
            <v>1.4999999999999999E-2</v>
          </cell>
          <cell r="CU75">
            <v>1.7000000000000001E-2</v>
          </cell>
          <cell r="CV75">
            <v>1.3000000000000001E-2</v>
          </cell>
          <cell r="CW75">
            <v>0.01</v>
          </cell>
          <cell r="CX75">
            <v>1.3000000000000001E-2</v>
          </cell>
          <cell r="CY75">
            <v>1.4999999999999999E-2</v>
          </cell>
          <cell r="CZ75">
            <v>2.1000000000000001E-2</v>
          </cell>
          <cell r="DA75">
            <v>1.9E-2</v>
          </cell>
          <cell r="DB75">
            <v>1.8000000000000002E-2</v>
          </cell>
          <cell r="DC75">
            <v>1.9E-2</v>
          </cell>
          <cell r="DD75">
            <v>1.9E-2</v>
          </cell>
          <cell r="DE75">
            <v>2.1000000000000001E-2</v>
          </cell>
          <cell r="DF75">
            <v>1.9E-2</v>
          </cell>
          <cell r="DG75">
            <v>1.8000000000000002E-2</v>
          </cell>
          <cell r="DH75">
            <v>1.3000000000000001E-2</v>
          </cell>
          <cell r="DI75">
            <v>1.6E-2</v>
          </cell>
          <cell r="DJ75">
            <v>1.7000000000000001E-2</v>
          </cell>
          <cell r="DK75">
            <v>1.8000000000000002E-2</v>
          </cell>
          <cell r="DL75">
            <v>2.2000000000000002E-2</v>
          </cell>
          <cell r="DM75">
            <v>-3.0000000000000001E-3</v>
          </cell>
          <cell r="DN75">
            <v>6.9999999999999993E-3</v>
          </cell>
          <cell r="DO75">
            <v>9.0000000000000011E-3</v>
          </cell>
          <cell r="DP75">
            <v>1.1000000000000001E-2</v>
          </cell>
          <cell r="DQ75">
            <v>3.7999999999999999E-2</v>
          </cell>
          <cell r="DR75">
            <v>0.03</v>
          </cell>
          <cell r="DS75">
            <v>3.5000000000000003E-2</v>
          </cell>
          <cell r="DT75">
            <v>5.0999999999999997E-2</v>
          </cell>
          <cell r="DU75">
            <v>6.0999999999999999E-2</v>
          </cell>
          <cell r="DV75">
            <v>7.2999999999999995E-2</v>
          </cell>
          <cell r="DW75">
            <v>7.8E-2</v>
          </cell>
          <cell r="DX75">
            <v>7.0000000000000007E-2</v>
          </cell>
          <cell r="DY75">
            <v>0.06</v>
          </cell>
          <cell r="DZ75">
            <v>5.4000000000000006E-2</v>
          </cell>
          <cell r="EA75">
            <v>4.0999999999999995E-2</v>
          </cell>
          <cell r="EB75">
            <v>3.6000000000000004E-2</v>
          </cell>
          <cell r="EC75">
            <v>3.7999999999999999E-2</v>
          </cell>
          <cell r="ED75">
            <v>2.7999999999999997E-2</v>
          </cell>
          <cell r="EE75">
            <v>2.4E-2</v>
          </cell>
          <cell r="EF75">
            <v>2.4E-2</v>
          </cell>
          <cell r="EG75">
            <v>2.1000000000000001E-2</v>
          </cell>
          <cell r="EH75">
            <v>3.2000000000000001E-2</v>
          </cell>
          <cell r="EI75">
            <v>2.9000000000000001E-2</v>
          </cell>
          <cell r="EJ75">
            <v>2.8000000000000001E-2</v>
          </cell>
          <cell r="EK75">
            <v>2.7E-2</v>
          </cell>
          <cell r="EL75">
            <v>2.5000000000000001E-2</v>
          </cell>
          <cell r="EM75">
            <v>2.5000000000000001E-2</v>
          </cell>
          <cell r="EN75">
            <v>2.5000000000000001E-2</v>
          </cell>
          <cell r="EO75">
            <v>2.5000000000000001E-2</v>
          </cell>
          <cell r="EP75">
            <v>2.5000000000000001E-2</v>
          </cell>
          <cell r="EQ75">
            <v>2.5000000000000001E-2</v>
          </cell>
          <cell r="ER75">
            <v>2.5000000000000001E-2</v>
          </cell>
          <cell r="ES75">
            <v>2.5000000000000001E-2</v>
          </cell>
          <cell r="ET75">
            <v>2.5000000000000001E-2</v>
          </cell>
          <cell r="EU75">
            <v>2.5000000000000001E-2</v>
          </cell>
          <cell r="EV75">
            <v>2.5000000000000001E-2</v>
          </cell>
          <cell r="EW75">
            <v>2.5000000000000001E-2</v>
          </cell>
          <cell r="EX75">
            <v>2.5000000000000001E-2</v>
          </cell>
          <cell r="EY75">
            <v>2.5000000000000001E-2</v>
          </cell>
          <cell r="EZ75">
            <v>2.5000000000000001E-2</v>
          </cell>
          <cell r="FA75">
            <v>2.5000000000000001E-2</v>
          </cell>
          <cell r="FB75">
            <v>2.5000000000000001E-2</v>
          </cell>
          <cell r="FC75">
            <v>2.5000000000000001E-2</v>
          </cell>
          <cell r="FD75">
            <v>2.5000000000000001E-2</v>
          </cell>
          <cell r="FE75">
            <v>2.5000000000000001E-2</v>
          </cell>
          <cell r="FF75">
            <v>2.5000000000000001E-2</v>
          </cell>
          <cell r="FG75">
            <v>2.5000000000000001E-2</v>
          </cell>
          <cell r="FH75">
            <v>2.5000000000000001E-2</v>
          </cell>
          <cell r="FI75">
            <v>2.5000000000000001E-2</v>
          </cell>
          <cell r="FJ75">
            <v>2.5000000000000001E-2</v>
          </cell>
          <cell r="FK75">
            <v>2.5000000000000001E-2</v>
          </cell>
          <cell r="FL75">
            <v>2.5000000000000001E-2</v>
          </cell>
          <cell r="FM75">
            <v>2.5000000000000001E-2</v>
          </cell>
          <cell r="FN75">
            <v>2.5000000000000001E-2</v>
          </cell>
          <cell r="FO75">
            <v>2.5000000000000001E-2</v>
          </cell>
          <cell r="FP75">
            <v>2.5000000000000001E-2</v>
          </cell>
          <cell r="FQ75">
            <v>2.5000000000000001E-2</v>
          </cell>
          <cell r="FR75">
            <v>2.5000000000000001E-2</v>
          </cell>
          <cell r="FS75">
            <v>2.5000000000000001E-2</v>
          </cell>
          <cell r="FT75">
            <v>2.5000000000000001E-2</v>
          </cell>
          <cell r="FU75">
            <v>2.5000000000000001E-2</v>
          </cell>
        </row>
        <row r="76">
          <cell r="B76" t="str">
            <v>Target capital ratio</v>
          </cell>
          <cell r="D76"/>
          <cell r="E76"/>
          <cell r="F76"/>
          <cell r="G76"/>
          <cell r="H76"/>
          <cell r="I76"/>
          <cell r="J76"/>
          <cell r="K76"/>
          <cell r="L76"/>
          <cell r="M76"/>
          <cell r="N76"/>
          <cell r="O76"/>
          <cell r="P76"/>
          <cell r="Q76"/>
          <cell r="R76"/>
          <cell r="S76"/>
          <cell r="T76"/>
          <cell r="U76"/>
          <cell r="V76"/>
          <cell r="W76"/>
          <cell r="X76"/>
          <cell r="Y76"/>
          <cell r="Z76"/>
          <cell r="AA76"/>
          <cell r="AB76"/>
          <cell r="AC76"/>
          <cell r="AD76"/>
          <cell r="AE76"/>
          <cell r="AF76"/>
          <cell r="AG76"/>
          <cell r="AH76"/>
          <cell r="AI76"/>
          <cell r="AJ76"/>
          <cell r="AK76"/>
          <cell r="AL76"/>
          <cell r="AM76"/>
          <cell r="AN76"/>
          <cell r="AO76"/>
          <cell r="AP76"/>
          <cell r="AQ76"/>
          <cell r="AR76"/>
          <cell r="AS76"/>
          <cell r="AT76"/>
          <cell r="AU76"/>
          <cell r="AV76"/>
          <cell r="AW76"/>
          <cell r="AX76"/>
          <cell r="AY76"/>
          <cell r="AZ76"/>
          <cell r="BA76"/>
          <cell r="BB76"/>
          <cell r="BC76"/>
          <cell r="BD76"/>
          <cell r="BE76"/>
          <cell r="BF76"/>
          <cell r="BG76"/>
          <cell r="BH76"/>
          <cell r="BI76"/>
          <cell r="BJ76"/>
          <cell r="BK76"/>
          <cell r="BL76"/>
          <cell r="BM76"/>
          <cell r="BN76"/>
          <cell r="BO76"/>
          <cell r="BP76"/>
          <cell r="BQ76"/>
          <cell r="BR76"/>
          <cell r="BS76"/>
          <cell r="BT76"/>
          <cell r="BU76"/>
          <cell r="BV76"/>
          <cell r="BW76"/>
          <cell r="BX76"/>
          <cell r="BY76"/>
          <cell r="BZ76"/>
          <cell r="CA76"/>
          <cell r="CB76"/>
          <cell r="CC76"/>
          <cell r="CD76"/>
          <cell r="CE76"/>
          <cell r="CF76"/>
          <cell r="CG76"/>
          <cell r="CH76"/>
          <cell r="CI76"/>
          <cell r="CJ76"/>
          <cell r="CK76"/>
          <cell r="CL76"/>
          <cell r="CM76"/>
          <cell r="CN76"/>
          <cell r="CO76"/>
          <cell r="CP76"/>
          <cell r="CQ76"/>
          <cell r="CR76"/>
          <cell r="CS76"/>
          <cell r="CT76"/>
          <cell r="CU76"/>
          <cell r="CV76"/>
          <cell r="CW76"/>
          <cell r="CX76"/>
          <cell r="CY76"/>
          <cell r="CZ76"/>
          <cell r="DA76"/>
          <cell r="DB76"/>
          <cell r="DC76"/>
          <cell r="DD76"/>
          <cell r="DE76"/>
          <cell r="DF76"/>
          <cell r="DG76"/>
          <cell r="DH76"/>
          <cell r="DI76"/>
          <cell r="DJ76"/>
          <cell r="DK76"/>
          <cell r="DL76"/>
          <cell r="DM76"/>
          <cell r="DN76"/>
          <cell r="DO76"/>
          <cell r="DP76"/>
          <cell r="DQ76"/>
          <cell r="DR76"/>
          <cell r="DS76"/>
          <cell r="DT76"/>
          <cell r="DU76"/>
          <cell r="DV76"/>
          <cell r="DW76"/>
          <cell r="DX76"/>
          <cell r="DY76"/>
          <cell r="DZ76"/>
          <cell r="EA76"/>
          <cell r="EB76"/>
          <cell r="EC76"/>
          <cell r="ED76"/>
          <cell r="EE76"/>
          <cell r="EG76"/>
          <cell r="EH76"/>
          <cell r="EJ76"/>
          <cell r="EL76"/>
        </row>
        <row r="77">
          <cell r="B77"/>
          <cell r="D77"/>
          <cell r="E77"/>
          <cell r="F77"/>
          <cell r="G77"/>
          <cell r="H77"/>
          <cell r="I77"/>
          <cell r="J77"/>
          <cell r="K77"/>
          <cell r="L77"/>
          <cell r="M77"/>
          <cell r="N77"/>
          <cell r="O77"/>
          <cell r="P77"/>
          <cell r="Q77"/>
          <cell r="R77"/>
          <cell r="S77"/>
          <cell r="T77"/>
          <cell r="U77"/>
          <cell r="V77"/>
          <cell r="W77"/>
          <cell r="X77"/>
          <cell r="Y77"/>
          <cell r="Z77"/>
          <cell r="AA77"/>
          <cell r="AB77"/>
          <cell r="AC77"/>
          <cell r="AD77"/>
          <cell r="AE77"/>
          <cell r="AF77"/>
          <cell r="AG77"/>
          <cell r="AH77"/>
          <cell r="AI77"/>
          <cell r="AJ77"/>
          <cell r="AK77"/>
          <cell r="AL77"/>
          <cell r="AM77"/>
          <cell r="AN77"/>
          <cell r="AO77"/>
          <cell r="AP77"/>
          <cell r="AQ77"/>
          <cell r="AR77"/>
          <cell r="AS77"/>
          <cell r="AT77"/>
          <cell r="AU77"/>
          <cell r="AV77"/>
          <cell r="AW77"/>
          <cell r="AX77"/>
          <cell r="AY77"/>
          <cell r="AZ77"/>
          <cell r="BA77"/>
          <cell r="BB77"/>
          <cell r="BC77"/>
          <cell r="BD77"/>
          <cell r="BE77"/>
          <cell r="BF77"/>
          <cell r="BG77"/>
          <cell r="BH77"/>
          <cell r="BI77"/>
          <cell r="BJ77"/>
          <cell r="BK77"/>
          <cell r="BL77"/>
          <cell r="BM77"/>
          <cell r="BN77"/>
          <cell r="BO77"/>
          <cell r="BP77"/>
          <cell r="BQ77"/>
          <cell r="BR77"/>
          <cell r="BS77"/>
          <cell r="BT77"/>
          <cell r="BU77"/>
          <cell r="BV77"/>
          <cell r="BW77"/>
          <cell r="BX77"/>
          <cell r="BY77"/>
          <cell r="BZ77"/>
          <cell r="CA77"/>
          <cell r="CB77"/>
          <cell r="CC77"/>
          <cell r="CD77"/>
          <cell r="CE77"/>
          <cell r="CF77"/>
          <cell r="CG77"/>
          <cell r="CH77"/>
          <cell r="CI77"/>
          <cell r="CJ77"/>
          <cell r="CK77"/>
          <cell r="CL77"/>
          <cell r="CM77"/>
          <cell r="CN77"/>
          <cell r="CO77"/>
          <cell r="CP77"/>
          <cell r="CQ77"/>
          <cell r="CR77"/>
          <cell r="CS77"/>
          <cell r="CT77"/>
          <cell r="CU77"/>
          <cell r="CV77"/>
          <cell r="CW77"/>
          <cell r="CX77"/>
          <cell r="CY77"/>
          <cell r="CZ77"/>
          <cell r="DA77"/>
          <cell r="DB77"/>
          <cell r="DC77"/>
          <cell r="DD77"/>
          <cell r="DE77"/>
          <cell r="DF77"/>
          <cell r="DG77"/>
          <cell r="DH77"/>
          <cell r="DI77"/>
          <cell r="DJ77"/>
          <cell r="DK77"/>
          <cell r="DL77"/>
          <cell r="DM77"/>
          <cell r="DN77"/>
          <cell r="DO77"/>
          <cell r="DP77"/>
          <cell r="DQ77"/>
          <cell r="DR77"/>
          <cell r="DS77"/>
          <cell r="DT77"/>
          <cell r="DU77"/>
          <cell r="DV77"/>
          <cell r="DW77"/>
          <cell r="DX77"/>
          <cell r="DY77"/>
          <cell r="DZ77"/>
          <cell r="EA77"/>
          <cell r="EB77"/>
          <cell r="EC77"/>
          <cell r="ED77"/>
          <cell r="EE77"/>
          <cell r="EF77"/>
          <cell r="EG77"/>
          <cell r="EH77"/>
          <cell r="EI77"/>
        </row>
        <row r="78">
          <cell r="B78" t="str">
            <v>System volume growth (3mo)</v>
          </cell>
          <cell r="C78"/>
          <cell r="D78"/>
          <cell r="E78"/>
          <cell r="F78"/>
          <cell r="G78"/>
          <cell r="H78"/>
          <cell r="I78"/>
          <cell r="J78"/>
          <cell r="K78"/>
          <cell r="L78"/>
          <cell r="M78"/>
          <cell r="N78"/>
          <cell r="O78"/>
          <cell r="P78"/>
          <cell r="Q78"/>
          <cell r="R78"/>
          <cell r="S78"/>
          <cell r="T78"/>
          <cell r="U78"/>
          <cell r="V78"/>
          <cell r="W78"/>
          <cell r="X78"/>
          <cell r="Y78"/>
          <cell r="Z78"/>
          <cell r="AA78"/>
          <cell r="AB78"/>
          <cell r="AC78"/>
          <cell r="AD78"/>
          <cell r="AE78"/>
          <cell r="AF78"/>
          <cell r="AG78"/>
          <cell r="AH78"/>
          <cell r="AI78"/>
          <cell r="AJ78"/>
          <cell r="AK78"/>
          <cell r="AL78"/>
          <cell r="AM78"/>
          <cell r="AN78"/>
          <cell r="AO78"/>
          <cell r="AP78"/>
          <cell r="AQ78"/>
          <cell r="AR78"/>
          <cell r="AS78"/>
          <cell r="AT78"/>
          <cell r="AU78"/>
          <cell r="AV78"/>
          <cell r="AW78"/>
          <cell r="AX78"/>
          <cell r="AY78"/>
          <cell r="AZ78"/>
          <cell r="BA78"/>
          <cell r="BB78"/>
          <cell r="BC78"/>
          <cell r="BD78"/>
          <cell r="BE78"/>
          <cell r="BF78"/>
          <cell r="BG78"/>
          <cell r="BH78"/>
          <cell r="BI78"/>
          <cell r="BJ78"/>
          <cell r="BK78"/>
          <cell r="BL78"/>
          <cell r="BM78"/>
          <cell r="BN78"/>
          <cell r="BO78"/>
          <cell r="BP78"/>
          <cell r="BQ78"/>
          <cell r="BR78"/>
          <cell r="BS78"/>
          <cell r="BT78"/>
          <cell r="BU78"/>
          <cell r="BV78"/>
          <cell r="BW78"/>
          <cell r="BX78"/>
          <cell r="BY78"/>
          <cell r="BZ78"/>
          <cell r="CA78"/>
          <cell r="CB78"/>
          <cell r="CC78"/>
          <cell r="CD78"/>
          <cell r="CE78"/>
          <cell r="CF78"/>
          <cell r="CG78"/>
          <cell r="CH78"/>
          <cell r="CI78"/>
          <cell r="CJ78"/>
          <cell r="CK78"/>
          <cell r="CL78"/>
          <cell r="CM78"/>
          <cell r="CN78"/>
          <cell r="CO78"/>
          <cell r="CP78"/>
          <cell r="CQ78"/>
          <cell r="CR78"/>
          <cell r="CS78"/>
          <cell r="CT78"/>
          <cell r="CU78"/>
          <cell r="CV78"/>
          <cell r="CW78"/>
          <cell r="CX78"/>
          <cell r="CY78"/>
          <cell r="CZ78"/>
          <cell r="DA78"/>
          <cell r="DB78"/>
          <cell r="DC78"/>
          <cell r="DD78"/>
          <cell r="DE78"/>
          <cell r="DF78"/>
          <cell r="DG78"/>
          <cell r="DH78"/>
          <cell r="DI78"/>
          <cell r="DJ78"/>
          <cell r="DK78"/>
          <cell r="DL78"/>
          <cell r="DM78"/>
          <cell r="DN78"/>
          <cell r="DO78"/>
          <cell r="DP78"/>
          <cell r="DQ78"/>
          <cell r="DR78"/>
          <cell r="DS78"/>
          <cell r="DT78"/>
          <cell r="DU78"/>
          <cell r="DV78"/>
          <cell r="DW78"/>
          <cell r="DX78"/>
          <cell r="DY78"/>
          <cell r="DZ78"/>
          <cell r="EA78"/>
          <cell r="EB78"/>
          <cell r="EC78"/>
          <cell r="ED78"/>
          <cell r="EE78"/>
          <cell r="EF78"/>
          <cell r="EG78"/>
          <cell r="EH78"/>
          <cell r="EI78"/>
          <cell r="EJ78"/>
          <cell r="EK78"/>
          <cell r="EL78"/>
          <cell r="EM78"/>
          <cell r="EN78"/>
          <cell r="EO78"/>
          <cell r="EP78"/>
          <cell r="EQ78"/>
          <cell r="ER78"/>
          <cell r="ES78"/>
          <cell r="ET78"/>
          <cell r="EU78"/>
          <cell r="EV78"/>
          <cell r="EW78"/>
          <cell r="EX78"/>
          <cell r="EY78"/>
          <cell r="EZ78"/>
          <cell r="FA78"/>
          <cell r="FB78"/>
          <cell r="FC78"/>
          <cell r="FD78"/>
          <cell r="FE78"/>
          <cell r="FF78"/>
          <cell r="FG78"/>
          <cell r="FH78"/>
          <cell r="FI78"/>
          <cell r="FJ78"/>
          <cell r="FK78"/>
          <cell r="FL78"/>
          <cell r="FM78"/>
          <cell r="FN78"/>
          <cell r="FO78"/>
          <cell r="FP78"/>
          <cell r="FQ78"/>
          <cell r="FR78"/>
          <cell r="FS78"/>
          <cell r="FT78"/>
          <cell r="FU78"/>
        </row>
        <row r="79">
          <cell r="A79" t="str">
            <v>3MoSystemAUHCg</v>
          </cell>
          <cell r="B79" t="str">
            <v>Australian housing</v>
          </cell>
          <cell r="D79">
            <v>2.6447229839134057E-2</v>
          </cell>
          <cell r="E79">
            <v>2.9699747226410445E-2</v>
          </cell>
          <cell r="F79">
            <v>3.0280888960947827E-2</v>
          </cell>
          <cell r="G79">
            <v>4.0256851649135728E-2</v>
          </cell>
          <cell r="H79">
            <v>3.6990675750982582E-2</v>
          </cell>
          <cell r="I79">
            <v>4.3286017484811312E-2</v>
          </cell>
          <cell r="J79">
            <v>4.3305734203385349E-2</v>
          </cell>
          <cell r="K79">
            <v>4.4990967918923097E-2</v>
          </cell>
          <cell r="L79">
            <v>5.2440319656710699E-2</v>
          </cell>
          <cell r="M79">
            <v>5.4486523131771714E-2</v>
          </cell>
          <cell r="N79">
            <v>4.8363271200830171E-2</v>
          </cell>
          <cell r="O79">
            <v>3.8632002322383174E-2</v>
          </cell>
          <cell r="P79">
            <v>3.4939791092913008E-2</v>
          </cell>
          <cell r="Q79">
            <v>2.291655634283285E-2</v>
          </cell>
          <cell r="R79">
            <v>2.5682333994439643E-2</v>
          </cell>
          <cell r="S79">
            <v>3.4556798308364556E-2</v>
          </cell>
          <cell r="T79">
            <v>2.938906939873287E-2</v>
          </cell>
          <cell r="U79">
            <v>2.4945338180931254E-2</v>
          </cell>
          <cell r="V79">
            <v>2.9897744297113782E-2</v>
          </cell>
          <cell r="W79">
            <v>2.4047289403414496E-2</v>
          </cell>
          <cell r="X79">
            <v>2.7852791595463833E-2</v>
          </cell>
          <cell r="Y79">
            <v>3.1821132719278111E-2</v>
          </cell>
          <cell r="Z79">
            <v>3.2354577453088007E-2</v>
          </cell>
          <cell r="AA79">
            <v>2.4624665549273672E-2</v>
          </cell>
          <cell r="AB79">
            <v>2.6980135985570364E-2</v>
          </cell>
          <cell r="AC79">
            <v>3.2058004561756448E-2</v>
          </cell>
          <cell r="AD79">
            <v>2.5036127881891357E-2</v>
          </cell>
          <cell r="AE79">
            <v>3.1017372478267191E-2</v>
          </cell>
          <cell r="AF79">
            <v>2.6833572261108607E-2</v>
          </cell>
          <cell r="AG79">
            <v>3.1987354993422201E-2</v>
          </cell>
          <cell r="AH79">
            <v>4.0396350068920173E-2</v>
          </cell>
          <cell r="AI79">
            <v>3.7562748925881628E-2</v>
          </cell>
          <cell r="AJ79">
            <v>4.5118593548579389E-2</v>
          </cell>
          <cell r="AK79">
            <v>3.6816127749241145E-2</v>
          </cell>
          <cell r="AL79">
            <v>2.8888128549387604E-2</v>
          </cell>
          <cell r="AM79">
            <v>2.4207846519223919E-2</v>
          </cell>
          <cell r="AN79">
            <v>3.1190159883006663E-2</v>
          </cell>
          <cell r="AO79">
            <v>3.5461230769255447E-2</v>
          </cell>
          <cell r="AP79">
            <v>3.9620780591983928E-2</v>
          </cell>
          <cell r="AQ79">
            <v>4.5551036045328619E-2</v>
          </cell>
          <cell r="AR79">
            <v>4.6652003813565157E-2</v>
          </cell>
          <cell r="AS79">
            <v>3.7199715282480783E-2</v>
          </cell>
          <cell r="AT79">
            <v>5.029540588427861E-2</v>
          </cell>
          <cell r="AU79">
            <v>3.863271308267846E-2</v>
          </cell>
          <cell r="AV79">
            <v>4.0629589485216444E-2</v>
          </cell>
          <cell r="AW79">
            <v>4.9230125247588852E-2</v>
          </cell>
          <cell r="AX79">
            <v>5.1496581805683173E-2</v>
          </cell>
          <cell r="AY79">
            <v>5.3368963164418304E-2</v>
          </cell>
          <cell r="AZ79">
            <v>4.9340464123147409E-2</v>
          </cell>
          <cell r="BA79">
            <v>3.88224453418895E-2</v>
          </cell>
          <cell r="BB79">
            <v>3.9213280212258228E-2</v>
          </cell>
          <cell r="BC79">
            <v>3.9594943562812679E-2</v>
          </cell>
          <cell r="BD79">
            <v>3.0374399978352784E-2</v>
          </cell>
          <cell r="BE79">
            <v>3.0084557033081216E-2</v>
          </cell>
          <cell r="BF79">
            <v>2.7235043439624906E-2</v>
          </cell>
          <cell r="BG79">
            <v>3.4017042836049338E-2</v>
          </cell>
          <cell r="BH79">
            <v>3.1311352639842971E-2</v>
          </cell>
          <cell r="BI79">
            <v>3.7788386373634353E-2</v>
          </cell>
          <cell r="BJ79">
            <v>3.4643243523051703E-2</v>
          </cell>
          <cell r="BK79">
            <v>2.6461412092120273E-2</v>
          </cell>
          <cell r="BL79">
            <v>2.9672814817619519E-2</v>
          </cell>
          <cell r="BM79">
            <v>3.3106727642933098E-2</v>
          </cell>
          <cell r="BN79">
            <v>2.4824547276508513E-2</v>
          </cell>
          <cell r="BO79">
            <v>2.582545540586989E-2</v>
          </cell>
          <cell r="BP79">
            <v>2.3743776312179055E-2</v>
          </cell>
          <cell r="BQ79">
            <v>1.831913977676991E-2</v>
          </cell>
          <cell r="BR79">
            <v>1.4252091707782633E-2</v>
          </cell>
          <cell r="BS79">
            <v>1.5179229217876511E-2</v>
          </cell>
          <cell r="BT79">
            <v>1.5602906729651256E-2</v>
          </cell>
          <cell r="BU79">
            <v>1.86591540210157E-2</v>
          </cell>
          <cell r="BV79">
            <v>2.0126061748432456E-2</v>
          </cell>
          <cell r="BW79">
            <v>2.0330963610193376E-2</v>
          </cell>
          <cell r="BX79">
            <v>2.0804579076316498E-2</v>
          </cell>
          <cell r="BY79">
            <v>1.6654876483758629E-2</v>
          </cell>
          <cell r="BZ79">
            <v>1.6417439755721741E-2</v>
          </cell>
          <cell r="CA79">
            <v>1.6099562828890246E-2</v>
          </cell>
          <cell r="CB79">
            <v>1.3874515514932906E-2</v>
          </cell>
          <cell r="CC79">
            <v>1.2874893423024281E-2</v>
          </cell>
          <cell r="CD79">
            <v>1.4117079490260975E-2</v>
          </cell>
          <cell r="CE79">
            <v>1.2033844482276956E-2</v>
          </cell>
          <cell r="CF79">
            <v>1.2671585225877635E-2</v>
          </cell>
          <cell r="CG79">
            <v>1.0511839749008267E-2</v>
          </cell>
          <cell r="CH79">
            <v>1.0948943778810394E-2</v>
          </cell>
          <cell r="CI79">
            <v>1.0413041118869426E-2</v>
          </cell>
          <cell r="CJ79">
            <v>1.1696654920734018E-2</v>
          </cell>
          <cell r="CK79">
            <v>1.236705212389988E-2</v>
          </cell>
          <cell r="CL79">
            <v>1.3715365173011307E-2</v>
          </cell>
          <cell r="CM79">
            <v>1.5459305434951442E-2</v>
          </cell>
          <cell r="CN79">
            <v>1.6056410775546759E-2</v>
          </cell>
          <cell r="CO79">
            <v>1.7591517781401445E-2</v>
          </cell>
          <cell r="CP79">
            <v>1.6767735304895837E-2</v>
          </cell>
          <cell r="CQ79">
            <v>1.8066652452652487E-2</v>
          </cell>
          <cell r="CR79">
            <v>1.7709830246990022E-2</v>
          </cell>
          <cell r="CS79">
            <v>1.8428902295341443E-2</v>
          </cell>
          <cell r="CT79">
            <v>1.8422998645567956E-2</v>
          </cell>
          <cell r="CU79">
            <v>1.740981089241922E-2</v>
          </cell>
          <cell r="CV79">
            <v>1.4678292334081799E-2</v>
          </cell>
          <cell r="CW79">
            <v>1.5034039791709253E-2</v>
          </cell>
          <cell r="CX79">
            <v>1.5695774485765979E-2</v>
          </cell>
          <cell r="CY79">
            <v>1.6399665223218118E-2</v>
          </cell>
          <cell r="CZ79">
            <v>1.6182874876405906E-2</v>
          </cell>
          <cell r="DA79">
            <v>1.656090922296638E-2</v>
          </cell>
          <cell r="DB79">
            <v>1.5097382999058384E-2</v>
          </cell>
          <cell r="DC79">
            <v>1.4123135642750473E-2</v>
          </cell>
          <cell r="DD79">
            <v>1.4284023489936626E-2</v>
          </cell>
          <cell r="DE79">
            <v>1.1564482508253704E-2</v>
          </cell>
          <cell r="DF79">
            <v>1.1551878275877225E-2</v>
          </cell>
          <cell r="DG79">
            <v>8.5994129128383889E-3</v>
          </cell>
          <cell r="DH79">
            <v>7.217563496257684E-3</v>
          </cell>
          <cell r="DI79">
            <v>6.6964133421609784E-3</v>
          </cell>
          <cell r="DJ79">
            <v>7.1032794091028251E-3</v>
          </cell>
          <cell r="DK79">
            <v>8.4080760718614478E-3</v>
          </cell>
          <cell r="DL79">
            <v>9.1588501667563271E-3</v>
          </cell>
          <cell r="DM79">
            <v>6.1953918543238284E-3</v>
          </cell>
          <cell r="DN79">
            <v>8.5322536625993539E-3</v>
          </cell>
          <cell r="DO79">
            <v>1.1141216695968792E-2</v>
          </cell>
          <cell r="DP79">
            <v>1.4877459989031339E-2</v>
          </cell>
          <cell r="DQ79">
            <v>1.8153101511475311E-2</v>
          </cell>
          <cell r="DR79">
            <v>1.9199616605253489E-2</v>
          </cell>
          <cell r="DS79">
            <v>2.0259671468420004E-2</v>
          </cell>
          <cell r="DT79">
            <v>1.9659809868530997E-2</v>
          </cell>
          <cell r="DU79">
            <v>1.7920095050807605E-2</v>
          </cell>
          <cell r="DV79">
            <v>1.4334107727999035E-2</v>
          </cell>
          <cell r="DW79">
            <v>1.1192207210688476E-2</v>
          </cell>
          <cell r="DX79">
            <v>1.0292721503670554E-2</v>
          </cell>
          <cell r="DY79">
            <v>9.8884239455618861E-3</v>
          </cell>
          <cell r="DZ79">
            <v>1.0014575228990186E-2</v>
          </cell>
          <cell r="EA79">
            <v>1.0868333633207827E-2</v>
          </cell>
          <cell r="EB79">
            <v>1.1826271872425798E-2</v>
          </cell>
          <cell r="EC79">
            <v>1.3540649167885999E-2</v>
          </cell>
          <cell r="ED79">
            <v>1.4035116400460179E-2</v>
          </cell>
          <cell r="EE79">
            <v>1.4539856975503973E-2</v>
          </cell>
          <cell r="EF79">
            <v>1.376264507416991E-2</v>
          </cell>
          <cell r="EG79">
            <v>1.5822689132960255E-2</v>
          </cell>
          <cell r="EH79">
            <v>1.7500896679904177E-2</v>
          </cell>
          <cell r="EI79">
            <v>1.6E-2</v>
          </cell>
          <cell r="EJ79">
            <v>1.6E-2</v>
          </cell>
          <cell r="EK79">
            <v>1.4500000000000001E-2</v>
          </cell>
          <cell r="EL79">
            <v>1.4500000000000001E-2</v>
          </cell>
          <cell r="EM79">
            <v>1.4500000000000001E-2</v>
          </cell>
          <cell r="EN79">
            <v>1.4500000000000001E-2</v>
          </cell>
          <cell r="EO79">
            <v>1.4500000000000001E-2</v>
          </cell>
          <cell r="EP79">
            <v>1.4500000000000001E-2</v>
          </cell>
          <cell r="EQ79">
            <v>1.4500000000000001E-2</v>
          </cell>
          <cell r="ER79">
            <v>1.4500000000000001E-2</v>
          </cell>
          <cell r="ES79">
            <v>1.4500000000000001E-2</v>
          </cell>
          <cell r="ET79">
            <v>1.4500000000000001E-2</v>
          </cell>
          <cell r="EU79">
            <v>1.4500000000000001E-2</v>
          </cell>
          <cell r="EV79">
            <v>1.2500000000000001E-2</v>
          </cell>
          <cell r="EW79">
            <v>1.2500000000000001E-2</v>
          </cell>
          <cell r="EX79">
            <v>1.2500000000000001E-2</v>
          </cell>
          <cell r="EY79">
            <v>1.2500000000000001E-2</v>
          </cell>
          <cell r="EZ79">
            <v>0.01</v>
          </cell>
          <cell r="FA79">
            <v>0.01</v>
          </cell>
          <cell r="FB79">
            <v>0.01</v>
          </cell>
          <cell r="FC79">
            <v>0.01</v>
          </cell>
          <cell r="FD79">
            <v>0.01</v>
          </cell>
          <cell r="FE79">
            <v>0.01</v>
          </cell>
          <cell r="FF79">
            <v>0.01</v>
          </cell>
          <cell r="FG79">
            <v>0.01</v>
          </cell>
          <cell r="FH79">
            <v>0.01</v>
          </cell>
          <cell r="FI79">
            <v>0.01</v>
          </cell>
          <cell r="FJ79">
            <v>0.01</v>
          </cell>
          <cell r="FK79">
            <v>0.01</v>
          </cell>
          <cell r="FL79">
            <v>0.01</v>
          </cell>
          <cell r="FM79">
            <v>0.01</v>
          </cell>
          <cell r="FN79">
            <v>0.01</v>
          </cell>
          <cell r="FO79">
            <v>0.01</v>
          </cell>
          <cell r="FP79">
            <v>0.01</v>
          </cell>
          <cell r="FQ79">
            <v>0.01</v>
          </cell>
          <cell r="FR79">
            <v>0.01</v>
          </cell>
          <cell r="FS79">
            <v>0.01</v>
          </cell>
          <cell r="FT79">
            <v>0.01</v>
          </cell>
          <cell r="FU79">
            <v>0.01</v>
          </cell>
        </row>
        <row r="80">
          <cell r="A80" t="str">
            <v>3MoSystemAUBCg</v>
          </cell>
          <cell r="B80" t="str">
            <v>Australian business</v>
          </cell>
          <cell r="D80">
            <v>-1.6185188420262731E-2</v>
          </cell>
          <cell r="E80">
            <v>-1.3975016183885858E-2</v>
          </cell>
          <cell r="F80">
            <v>-1.2749160530807657E-2</v>
          </cell>
          <cell r="G80">
            <v>-2.7672379657232238E-2</v>
          </cell>
          <cell r="H80">
            <v>5.3688021109987716E-4</v>
          </cell>
          <cell r="I80">
            <v>-7.4825150068072999E-3</v>
          </cell>
          <cell r="J80">
            <v>-4.3470938319585262E-3</v>
          </cell>
          <cell r="K80">
            <v>-3.219192286038064E-3</v>
          </cell>
          <cell r="L80">
            <v>-2.2820778708827483E-3</v>
          </cell>
          <cell r="M80">
            <v>6.5897567417878555E-3</v>
          </cell>
          <cell r="N80">
            <v>8.6630665567979381E-3</v>
          </cell>
          <cell r="O80">
            <v>1.076617413626102E-2</v>
          </cell>
          <cell r="P80">
            <v>1.0294732180073041E-2</v>
          </cell>
          <cell r="Q80">
            <v>2.5473399166718647E-2</v>
          </cell>
          <cell r="R80">
            <v>2.3693185065090328E-2</v>
          </cell>
          <cell r="S80">
            <v>3.8891785309081772E-2</v>
          </cell>
          <cell r="T80">
            <v>4.3683836214568617E-2</v>
          </cell>
          <cell r="U80">
            <v>2.1908447643912865E-2</v>
          </cell>
          <cell r="V80">
            <v>2.4572256523677005E-2</v>
          </cell>
          <cell r="W80">
            <v>1.9034499056178822E-2</v>
          </cell>
          <cell r="X80">
            <v>1.5700038719529408E-2</v>
          </cell>
          <cell r="Y80">
            <v>3.0519016342077654E-2</v>
          </cell>
          <cell r="Z80">
            <v>3.2880066600138314E-2</v>
          </cell>
          <cell r="AA80">
            <v>3.2128876197894618E-2</v>
          </cell>
          <cell r="AB80">
            <v>1.3320604754656351E-2</v>
          </cell>
          <cell r="AC80">
            <v>2.1570005566274864E-2</v>
          </cell>
          <cell r="AD80">
            <v>2.219431274861372E-2</v>
          </cell>
          <cell r="AE80">
            <v>2.3257539860125798E-2</v>
          </cell>
          <cell r="AF80">
            <v>2.0474695309051327E-2</v>
          </cell>
          <cell r="AG80">
            <v>1.5283037699135527E-2</v>
          </cell>
          <cell r="AH80">
            <v>1.3723127554112313E-2</v>
          </cell>
          <cell r="AI80">
            <v>2.0465232023075597E-2</v>
          </cell>
          <cell r="AJ80">
            <v>2.3628927902352492E-2</v>
          </cell>
          <cell r="AK80">
            <v>2.6053617447861388E-2</v>
          </cell>
          <cell r="AL80">
            <v>2.1557690161388532E-2</v>
          </cell>
          <cell r="AM80">
            <v>1.1868295038063081E-2</v>
          </cell>
          <cell r="AN80">
            <v>2.407332776740434E-2</v>
          </cell>
          <cell r="AO80">
            <v>4.6628311540206635E-3</v>
          </cell>
          <cell r="AP80">
            <v>-6.6273127248671626E-3</v>
          </cell>
          <cell r="AQ80">
            <v>-1.3048917517000103E-4</v>
          </cell>
          <cell r="AR80">
            <v>6.8454099165877746E-3</v>
          </cell>
          <cell r="AS80">
            <v>1.7680345780443973E-2</v>
          </cell>
          <cell r="AT80">
            <v>2.245837932909911E-2</v>
          </cell>
          <cell r="AU80">
            <v>3.5105546589593306E-3</v>
          </cell>
          <cell r="AV80">
            <v>3.2325924009051654E-2</v>
          </cell>
          <cell r="AW80">
            <v>4.9230846606087564E-3</v>
          </cell>
          <cell r="AX80">
            <v>2.3727470451093691E-2</v>
          </cell>
          <cell r="AY80">
            <v>2.5994260126582125E-2</v>
          </cell>
          <cell r="AZ80">
            <v>4.9032050715676068E-3</v>
          </cell>
          <cell r="BA80">
            <v>2.8803664452951905E-2</v>
          </cell>
          <cell r="BB80">
            <v>2.348102192559276E-2</v>
          </cell>
          <cell r="BC80">
            <v>2.0880719770479006E-2</v>
          </cell>
          <cell r="BD80">
            <v>3.1282244473737952E-2</v>
          </cell>
          <cell r="BE80">
            <v>3.510426998224303E-2</v>
          </cell>
          <cell r="BF80">
            <v>3.7830102177404124E-2</v>
          </cell>
          <cell r="BG80">
            <v>4.0307250495885016E-2</v>
          </cell>
          <cell r="BH80">
            <v>4.281286289794739E-2</v>
          </cell>
          <cell r="BI80">
            <v>3.7298399069120691E-2</v>
          </cell>
          <cell r="BJ80">
            <v>3.2633031966955661E-2</v>
          </cell>
          <cell r="BK80">
            <v>3.9126635082594508E-2</v>
          </cell>
          <cell r="BL80">
            <v>4.9683851472470897E-2</v>
          </cell>
          <cell r="BM80">
            <v>5.9384848333800866E-2</v>
          </cell>
          <cell r="BN80">
            <v>5.7487334445244009E-2</v>
          </cell>
          <cell r="BO80">
            <v>5.5065590761410377E-2</v>
          </cell>
          <cell r="BP80">
            <v>2.8990350120147168E-2</v>
          </cell>
          <cell r="BQ80">
            <v>1.7234595633705663E-2</v>
          </cell>
          <cell r="BR80">
            <v>3.0646844846142551E-2</v>
          </cell>
          <cell r="BS80">
            <v>9.9816150591440778E-3</v>
          </cell>
          <cell r="BT80">
            <v>-7.4273639894085752E-3</v>
          </cell>
          <cell r="BU80">
            <v>-2.0595892035167873E-2</v>
          </cell>
          <cell r="BV80">
            <v>-2.172569314832884E-2</v>
          </cell>
          <cell r="BW80">
            <v>-1.7535116010381824E-2</v>
          </cell>
          <cell r="BX80">
            <v>-3.1933054230249835E-3</v>
          </cell>
          <cell r="BY80">
            <v>5.6839256576002306E-4</v>
          </cell>
          <cell r="BZ80">
            <v>-1.5274507015876293E-2</v>
          </cell>
          <cell r="CA80">
            <v>-3.7371996432624677E-3</v>
          </cell>
          <cell r="CB80">
            <v>1.0553344316363233E-2</v>
          </cell>
          <cell r="CC80">
            <v>-1.7379487764082047E-2</v>
          </cell>
          <cell r="CD80">
            <v>9.4369449846674058E-3</v>
          </cell>
          <cell r="CE80">
            <v>7.3147710935710375E-3</v>
          </cell>
          <cell r="CF80">
            <v>1.0597871313788865E-2</v>
          </cell>
          <cell r="CG80">
            <v>1.6329791497455615E-2</v>
          </cell>
          <cell r="CH80">
            <v>5.6316378019938274E-3</v>
          </cell>
          <cell r="CI80">
            <v>-4.7639492011808393E-4</v>
          </cell>
          <cell r="CJ80">
            <v>-1.1629029768621679E-3</v>
          </cell>
          <cell r="CK80">
            <v>8.5609709835079428E-3</v>
          </cell>
          <cell r="CL80">
            <v>3.3502401759331057E-3</v>
          </cell>
          <cell r="CM80">
            <v>5.2326602224701535E-3</v>
          </cell>
          <cell r="CN80">
            <v>8.5217742669665419E-3</v>
          </cell>
          <cell r="CO80">
            <v>1.7105342128643342E-2</v>
          </cell>
          <cell r="CP80">
            <v>6.4406898397313395E-3</v>
          </cell>
          <cell r="CQ80">
            <v>1.3799119470677024E-2</v>
          </cell>
          <cell r="CR80">
            <v>1.6031091346346615E-2</v>
          </cell>
          <cell r="CS80">
            <v>7.9852320714137726E-3</v>
          </cell>
          <cell r="CT80">
            <v>2.4464608312284808E-2</v>
          </cell>
          <cell r="CU80">
            <v>1.4625306017883588E-2</v>
          </cell>
          <cell r="CV80">
            <v>1.690005403770134E-2</v>
          </cell>
          <cell r="CW80">
            <v>9.0478299971326059E-3</v>
          </cell>
          <cell r="CX80">
            <v>7.658183791715123E-3</v>
          </cell>
          <cell r="CY80">
            <v>2.0954107486579998E-2</v>
          </cell>
          <cell r="CZ80">
            <v>-4.2089148627615369E-3</v>
          </cell>
          <cell r="DA80">
            <v>1.6773753627359778E-2</v>
          </cell>
          <cell r="DB80">
            <v>7.575881990204536E-3</v>
          </cell>
          <cell r="DC80">
            <v>1.0652603465132415E-2</v>
          </cell>
          <cell r="DD80">
            <v>3.2899417534322239E-3</v>
          </cell>
          <cell r="DE80">
            <v>9.4406446807069333E-3</v>
          </cell>
          <cell r="DF80">
            <v>1.9804406377684547E-2</v>
          </cell>
          <cell r="DG80">
            <v>1.4507869713494159E-2</v>
          </cell>
          <cell r="DH80">
            <v>3.9786720022763067E-3</v>
          </cell>
          <cell r="DI80">
            <v>1.5845213765428579E-3</v>
          </cell>
          <cell r="DJ80">
            <v>9.8992068534480282E-3</v>
          </cell>
          <cell r="DK80">
            <v>3.1972498366434898E-3</v>
          </cell>
          <cell r="DL80">
            <v>3.3644789764252225E-2</v>
          </cell>
          <cell r="DM80">
            <v>-1.5864765281707771E-2</v>
          </cell>
          <cell r="DN80">
            <v>-1.0157051292571273E-2</v>
          </cell>
          <cell r="DO80">
            <v>-4.6629811837131108E-3</v>
          </cell>
          <cell r="DP80">
            <v>6.7863344558858341E-3</v>
          </cell>
          <cell r="DQ80">
            <v>1.5376486272493439E-2</v>
          </cell>
          <cell r="DR80">
            <v>2.3826566835390972E-2</v>
          </cell>
          <cell r="DS80">
            <v>2.8310838061026633E-2</v>
          </cell>
          <cell r="DT80">
            <v>2.151456801128826E-2</v>
          </cell>
          <cell r="DU80">
            <v>4.0632413208641083E-2</v>
          </cell>
          <cell r="DV80">
            <v>3.6878990034217685E-2</v>
          </cell>
          <cell r="DW80">
            <v>1.2428800854181743E-2</v>
          </cell>
          <cell r="DX80">
            <v>1.111438617579541E-2</v>
          </cell>
          <cell r="DY80">
            <v>1.8601492035993816E-2</v>
          </cell>
          <cell r="DZ80">
            <v>2.2663837769799411E-2</v>
          </cell>
          <cell r="EA80">
            <v>9.903617940928422E-3</v>
          </cell>
          <cell r="EB80">
            <v>2.3785555620031928E-2</v>
          </cell>
          <cell r="EC80">
            <v>1.9776880951135833E-2</v>
          </cell>
          <cell r="ED80">
            <v>2.039362421424995E-2</v>
          </cell>
          <cell r="EE80">
            <v>2.6510332698320038E-2</v>
          </cell>
          <cell r="EF80">
            <v>1.6063878104000118E-2</v>
          </cell>
          <cell r="EG80">
            <v>2.0918096188802027E-2</v>
          </cell>
          <cell r="EH80">
            <v>2.7496409750719986E-2</v>
          </cell>
          <cell r="EI80">
            <v>2.5000000000000001E-2</v>
          </cell>
          <cell r="EJ80">
            <v>0.02</v>
          </cell>
          <cell r="EK80">
            <v>0.02</v>
          </cell>
          <cell r="EL80">
            <v>1.4999999999999999E-2</v>
          </cell>
          <cell r="EM80">
            <v>1.4999999999999999E-2</v>
          </cell>
          <cell r="EN80">
            <v>1.4999999999999999E-2</v>
          </cell>
          <cell r="EO80">
            <v>1.4999999999999999E-2</v>
          </cell>
          <cell r="EP80">
            <v>0.01</v>
          </cell>
          <cell r="EQ80">
            <v>0.01</v>
          </cell>
          <cell r="ER80">
            <v>0.01</v>
          </cell>
          <cell r="ES80">
            <v>0.01</v>
          </cell>
          <cell r="ET80">
            <v>0.01</v>
          </cell>
          <cell r="EU80">
            <v>0.01</v>
          </cell>
          <cell r="EV80">
            <v>0.01</v>
          </cell>
          <cell r="EW80">
            <v>0.01</v>
          </cell>
          <cell r="EX80">
            <v>0.01</v>
          </cell>
          <cell r="EY80">
            <v>0.01</v>
          </cell>
          <cell r="EZ80">
            <v>0.01</v>
          </cell>
          <cell r="FA80">
            <v>0.01</v>
          </cell>
          <cell r="FB80">
            <v>0.01</v>
          </cell>
          <cell r="FC80">
            <v>0.01</v>
          </cell>
          <cell r="FD80">
            <v>0.01</v>
          </cell>
          <cell r="FE80">
            <v>0.01</v>
          </cell>
          <cell r="FF80">
            <v>0.01</v>
          </cell>
          <cell r="FG80">
            <v>0.01</v>
          </cell>
          <cell r="FH80">
            <v>0.01</v>
          </cell>
          <cell r="FI80">
            <v>0.01</v>
          </cell>
          <cell r="FJ80">
            <v>0.01</v>
          </cell>
          <cell r="FK80">
            <v>0.01</v>
          </cell>
          <cell r="FL80">
            <v>0.01</v>
          </cell>
          <cell r="FM80">
            <v>0.01</v>
          </cell>
          <cell r="FN80">
            <v>0.01</v>
          </cell>
          <cell r="FO80">
            <v>0.01</v>
          </cell>
          <cell r="FP80">
            <v>0.01</v>
          </cell>
          <cell r="FQ80">
            <v>0.01</v>
          </cell>
          <cell r="FR80">
            <v>0.01</v>
          </cell>
          <cell r="FS80">
            <v>0.01</v>
          </cell>
          <cell r="FT80">
            <v>0.01</v>
          </cell>
          <cell r="FU80">
            <v>0.01</v>
          </cell>
        </row>
        <row r="81">
          <cell r="A81" t="str">
            <v>3MoSystemAUPCg</v>
          </cell>
          <cell r="B81" t="str">
            <v>Australian personal</v>
          </cell>
          <cell r="D81">
            <v>-6.7645561521026965E-3</v>
          </cell>
          <cell r="E81">
            <v>-1.3028540048630632E-2</v>
          </cell>
          <cell r="F81">
            <v>-2.4133734517317595E-4</v>
          </cell>
          <cell r="G81">
            <v>1.8767509439492347E-3</v>
          </cell>
          <cell r="H81">
            <v>-6.9641152944610596E-5</v>
          </cell>
          <cell r="I81">
            <v>-6.8909607149497676E-3</v>
          </cell>
          <cell r="J81">
            <v>6.6657605185600488E-3</v>
          </cell>
          <cell r="K81">
            <v>8.1939007528322172E-3</v>
          </cell>
          <cell r="L81">
            <v>9.8774160141295031E-3</v>
          </cell>
          <cell r="M81">
            <v>1.5592956314465223E-2</v>
          </cell>
          <cell r="N81">
            <v>1.4792323293824516E-2</v>
          </cell>
          <cell r="O81">
            <v>2.4267692393810991E-2</v>
          </cell>
          <cell r="P81">
            <v>2.4979874094333665E-2</v>
          </cell>
          <cell r="Q81">
            <v>3.3558414111374057E-2</v>
          </cell>
          <cell r="R81">
            <v>2.5628287424976248E-2</v>
          </cell>
          <cell r="S81">
            <v>1.5419369870144806E-2</v>
          </cell>
          <cell r="T81">
            <v>2.3213283288271214E-2</v>
          </cell>
          <cell r="U81">
            <v>3.6110943050731814E-2</v>
          </cell>
          <cell r="V81">
            <v>3.6362446184882602E-2</v>
          </cell>
          <cell r="W81">
            <v>1.492212179705632E-2</v>
          </cell>
          <cell r="X81">
            <v>1.8574865109723726E-2</v>
          </cell>
          <cell r="Y81">
            <v>1.4858585877375319E-2</v>
          </cell>
          <cell r="Z81">
            <v>2.4440227032610062E-2</v>
          </cell>
          <cell r="AA81">
            <v>4.0653172330398224E-2</v>
          </cell>
          <cell r="AB81">
            <v>2.6028040032864519E-2</v>
          </cell>
          <cell r="AC81">
            <v>2.1842200379640131E-2</v>
          </cell>
          <cell r="AD81">
            <v>3.3499801377963045E-2</v>
          </cell>
          <cell r="AE81">
            <v>3.8418120231812125E-2</v>
          </cell>
          <cell r="AF81">
            <v>4.6486716991239074E-2</v>
          </cell>
          <cell r="AG81">
            <v>3.5082559689550763E-2</v>
          </cell>
          <cell r="AH81">
            <v>3.7442188266877841E-2</v>
          </cell>
          <cell r="AI81">
            <v>3.5691517138008111E-2</v>
          </cell>
          <cell r="AJ81">
            <v>3.8012510434905389E-2</v>
          </cell>
          <cell r="AK81">
            <v>4.0943452050115736E-2</v>
          </cell>
          <cell r="AL81">
            <v>1.2320694952614009E-2</v>
          </cell>
          <cell r="AM81">
            <v>4.4369480793924998E-2</v>
          </cell>
          <cell r="AN81">
            <v>2.4231543605863326E-2</v>
          </cell>
          <cell r="AO81">
            <v>2.193293815942976E-2</v>
          </cell>
          <cell r="AP81">
            <v>1.4163177397873428E-2</v>
          </cell>
          <cell r="AQ81">
            <v>2.230557964899349E-2</v>
          </cell>
          <cell r="AR81">
            <v>2.2421691444482583E-2</v>
          </cell>
          <cell r="AS81">
            <v>3.0984346658995188E-2</v>
          </cell>
          <cell r="AT81">
            <v>2.5925554860771749E-2</v>
          </cell>
          <cell r="AU81">
            <v>1.4808491338694774E-2</v>
          </cell>
          <cell r="AV81">
            <v>3.2130798151041029E-2</v>
          </cell>
          <cell r="AW81">
            <v>4.5617309502319348E-2</v>
          </cell>
          <cell r="AX81">
            <v>3.592347561415643E-2</v>
          </cell>
          <cell r="AY81">
            <v>2.5447160693798487E-2</v>
          </cell>
          <cell r="AZ81">
            <v>3.2024826012033492E-2</v>
          </cell>
          <cell r="BA81">
            <v>1.906975253188814E-2</v>
          </cell>
          <cell r="BB81">
            <v>3.2861313371904233E-2</v>
          </cell>
          <cell r="BC81">
            <v>4.2416576091019564E-2</v>
          </cell>
          <cell r="BD81">
            <v>2.6458623715435392E-2</v>
          </cell>
          <cell r="BE81">
            <v>2.6647719023921823E-2</v>
          </cell>
          <cell r="BF81">
            <v>2.7961166940273952E-2</v>
          </cell>
          <cell r="BG81">
            <v>1.4692801626090546E-2</v>
          </cell>
          <cell r="BH81">
            <v>2.7616706829205029E-2</v>
          </cell>
          <cell r="BI81">
            <v>2.3728785809644881E-2</v>
          </cell>
          <cell r="BJ81">
            <v>4.1353201401598927E-2</v>
          </cell>
          <cell r="BK81">
            <v>1.7239516190927118E-2</v>
          </cell>
          <cell r="BL81">
            <v>3.055020583769319E-2</v>
          </cell>
          <cell r="BM81">
            <v>6.3617121121336995E-2</v>
          </cell>
          <cell r="BN81">
            <v>2.726030871279983E-3</v>
          </cell>
          <cell r="BO81">
            <v>3.4186964902543915E-2</v>
          </cell>
          <cell r="BP81">
            <v>-1.2593255594068875E-3</v>
          </cell>
          <cell r="BQ81">
            <v>-2.5180458074304246E-3</v>
          </cell>
          <cell r="BR81">
            <v>-9.0032756105109524E-3</v>
          </cell>
          <cell r="BS81">
            <v>-3.8165701177244049E-2</v>
          </cell>
          <cell r="BT81">
            <v>-1.8470953300682824E-2</v>
          </cell>
          <cell r="BU81">
            <v>-6.7021760637849814E-3</v>
          </cell>
          <cell r="BV81">
            <v>7.681749174972774E-3</v>
          </cell>
          <cell r="BW81">
            <v>1.5465785844542612E-2</v>
          </cell>
          <cell r="BX81">
            <v>6.8820800456987907E-3</v>
          </cell>
          <cell r="BY81">
            <v>-6.1737005099626874E-4</v>
          </cell>
          <cell r="BZ81">
            <v>6.1801458061188086E-3</v>
          </cell>
          <cell r="CA81">
            <v>1.5014868104223922E-4</v>
          </cell>
          <cell r="CB81">
            <v>4.4564951850580847E-3</v>
          </cell>
          <cell r="CC81">
            <v>-4.2376007087958634E-3</v>
          </cell>
          <cell r="CD81">
            <v>-7.488182406725219E-3</v>
          </cell>
          <cell r="CE81">
            <v>-2.0557071337733435E-3</v>
          </cell>
          <cell r="CF81">
            <v>1.0722573174581917E-4</v>
          </cell>
          <cell r="CG81">
            <v>-2.3635374651831409E-3</v>
          </cell>
          <cell r="CH81">
            <v>-2.9421162143937751E-3</v>
          </cell>
          <cell r="CI81">
            <v>1.8934862800845664E-3</v>
          </cell>
          <cell r="CJ81">
            <v>2.8048147290078429E-3</v>
          </cell>
          <cell r="CK81">
            <v>9.1998997416742334E-4</v>
          </cell>
          <cell r="CL81">
            <v>1.2521428109004695E-3</v>
          </cell>
          <cell r="CM81">
            <v>1.7386736482840615E-3</v>
          </cell>
          <cell r="CN81">
            <v>-5.9026105531434503E-5</v>
          </cell>
          <cell r="CO81">
            <v>4.2254002138548685E-3</v>
          </cell>
          <cell r="CP81">
            <v>5.1452587566918062E-3</v>
          </cell>
          <cell r="CQ81">
            <v>1.5063739592153791E-3</v>
          </cell>
          <cell r="CR81">
            <v>2.5105645616121386E-3</v>
          </cell>
          <cell r="CS81">
            <v>-2.0136278072913072E-4</v>
          </cell>
          <cell r="CT81">
            <v>1.0731065833224918E-4</v>
          </cell>
          <cell r="CU81">
            <v>-2.5902831874339283E-3</v>
          </cell>
          <cell r="CV81">
            <v>-2.0664909982917035E-3</v>
          </cell>
          <cell r="CW81">
            <v>-1.745697423246706E-3</v>
          </cell>
          <cell r="CX81">
            <v>-2.9718443328926591E-3</v>
          </cell>
          <cell r="CY81">
            <v>-2.0822518501839582E-3</v>
          </cell>
          <cell r="CZ81">
            <v>-3.6114206232222834E-3</v>
          </cell>
          <cell r="DA81">
            <v>-7.5557384317559428E-4</v>
          </cell>
          <cell r="DB81">
            <v>-2.3852330378942854E-3</v>
          </cell>
          <cell r="DC81">
            <v>-5.4740293016534158E-3</v>
          </cell>
          <cell r="DD81">
            <v>-2.9319491783386109E-3</v>
          </cell>
          <cell r="DE81">
            <v>-2.092858337949588E-3</v>
          </cell>
          <cell r="DF81">
            <v>-3.5114091365253675E-3</v>
          </cell>
          <cell r="DG81">
            <v>-1.3175979690661199E-2</v>
          </cell>
          <cell r="DH81">
            <v>-9.7701918606212246E-3</v>
          </cell>
          <cell r="DI81">
            <v>-8.5617373582483891E-3</v>
          </cell>
          <cell r="DJ81">
            <v>-1.1813693312713314E-2</v>
          </cell>
          <cell r="DK81">
            <v>-2.0028085081412517E-2</v>
          </cell>
          <cell r="DL81">
            <v>-2.8375602963418012E-2</v>
          </cell>
          <cell r="DM81">
            <v>-5.2138717756465613E-2</v>
          </cell>
          <cell r="DN81">
            <v>-3.5437306247879996E-2</v>
          </cell>
          <cell r="DO81">
            <v>-1.4660048299211303E-2</v>
          </cell>
          <cell r="DP81">
            <v>-9.1728158767581114E-3</v>
          </cell>
          <cell r="DQ81">
            <v>-4.4242547559977252E-3</v>
          </cell>
          <cell r="DR81">
            <v>-2.6835944232908582E-2</v>
          </cell>
          <cell r="DS81">
            <v>3.462640991646726E-3</v>
          </cell>
          <cell r="DT81">
            <v>-4.1128835061170488E-3</v>
          </cell>
          <cell r="DU81">
            <v>3.036288291313749E-4</v>
          </cell>
          <cell r="DV81">
            <v>-2.5038234511063351E-3</v>
          </cell>
          <cell r="DW81">
            <v>2.3849367865460547E-3</v>
          </cell>
          <cell r="DX81">
            <v>-1.4616947458955254E-3</v>
          </cell>
          <cell r="DY81">
            <v>5.7269859986144311E-3</v>
          </cell>
          <cell r="DZ81">
            <v>1.2268011716026983E-2</v>
          </cell>
          <cell r="EA81">
            <v>2.0883937539231123E-3</v>
          </cell>
          <cell r="EB81">
            <v>1.2006069995250002E-2</v>
          </cell>
          <cell r="EC81">
            <v>2.0676718806080796E-3</v>
          </cell>
          <cell r="ED81">
            <v>7.1824532097750637E-3</v>
          </cell>
          <cell r="EE81">
            <v>4.7914949579488386E-3</v>
          </cell>
          <cell r="EF81">
            <v>8.6686088097078784E-3</v>
          </cell>
          <cell r="EG81">
            <v>1.6221147207199804E-2</v>
          </cell>
          <cell r="EH81">
            <v>1.3307167669207809E-2</v>
          </cell>
          <cell r="EI81">
            <v>1.2E-2</v>
          </cell>
          <cell r="EJ81">
            <v>0.01</v>
          </cell>
          <cell r="EK81">
            <v>0.01</v>
          </cell>
          <cell r="EL81">
            <v>7.4999999999999997E-3</v>
          </cell>
          <cell r="EM81">
            <v>5.0000000000000001E-3</v>
          </cell>
          <cell r="EN81">
            <v>5.0000000000000001E-3</v>
          </cell>
          <cell r="EO81">
            <v>5.0000000000000001E-3</v>
          </cell>
          <cell r="EP81">
            <v>5.0000000000000001E-3</v>
          </cell>
          <cell r="EQ81">
            <v>5.0000000000000001E-3</v>
          </cell>
          <cell r="ER81">
            <v>5.0000000000000001E-3</v>
          </cell>
          <cell r="ES81">
            <v>5.0000000000000001E-3</v>
          </cell>
          <cell r="ET81">
            <v>5.0000000000000001E-3</v>
          </cell>
          <cell r="EU81">
            <v>5.0000000000000001E-3</v>
          </cell>
          <cell r="EV81">
            <v>5.0000000000000001E-3</v>
          </cell>
          <cell r="EW81">
            <v>5.0000000000000001E-3</v>
          </cell>
          <cell r="EX81">
            <v>5.0000000000000001E-3</v>
          </cell>
          <cell r="EY81">
            <v>5.0000000000000001E-3</v>
          </cell>
          <cell r="EZ81">
            <v>5.0000000000000001E-3</v>
          </cell>
          <cell r="FA81">
            <v>5.0000000000000001E-3</v>
          </cell>
          <cell r="FB81">
            <v>5.0000000000000001E-3</v>
          </cell>
          <cell r="FC81">
            <v>5.0000000000000001E-3</v>
          </cell>
          <cell r="FD81">
            <v>5.0000000000000001E-3</v>
          </cell>
          <cell r="FE81">
            <v>5.0000000000000001E-3</v>
          </cell>
          <cell r="FF81">
            <v>5.0000000000000001E-3</v>
          </cell>
          <cell r="FG81">
            <v>5.0000000000000001E-3</v>
          </cell>
          <cell r="FH81">
            <v>5.0000000000000001E-3</v>
          </cell>
          <cell r="FI81">
            <v>5.0000000000000001E-3</v>
          </cell>
          <cell r="FJ81">
            <v>5.0000000000000001E-3</v>
          </cell>
          <cell r="FK81">
            <v>5.0000000000000001E-3</v>
          </cell>
          <cell r="FL81">
            <v>5.0000000000000001E-3</v>
          </cell>
          <cell r="FM81">
            <v>5.0000000000000001E-3</v>
          </cell>
          <cell r="FN81">
            <v>5.0000000000000001E-3</v>
          </cell>
          <cell r="FO81">
            <v>5.0000000000000001E-3</v>
          </cell>
          <cell r="FP81">
            <v>5.0000000000000001E-3</v>
          </cell>
          <cell r="FQ81">
            <v>5.0000000000000001E-3</v>
          </cell>
          <cell r="FR81">
            <v>5.0000000000000001E-3</v>
          </cell>
          <cell r="FS81">
            <v>5.0000000000000001E-3</v>
          </cell>
          <cell r="FT81">
            <v>5.0000000000000001E-3</v>
          </cell>
          <cell r="FU81">
            <v>5.0000000000000001E-3</v>
          </cell>
        </row>
        <row r="82">
          <cell r="A82" t="str">
            <v>3MoSystemNZHCg</v>
          </cell>
          <cell r="B82" t="str">
            <v>New Zealand housing</v>
          </cell>
          <cell r="D82"/>
          <cell r="E82"/>
          <cell r="F82"/>
          <cell r="G82"/>
          <cell r="H82"/>
          <cell r="I82"/>
          <cell r="J82"/>
          <cell r="K82"/>
          <cell r="L82"/>
          <cell r="M82"/>
          <cell r="N82"/>
          <cell r="O82"/>
          <cell r="P82"/>
          <cell r="Q82"/>
          <cell r="R82"/>
          <cell r="S82"/>
          <cell r="T82"/>
          <cell r="U82"/>
          <cell r="V82"/>
          <cell r="W82"/>
          <cell r="X82"/>
          <cell r="Y82"/>
          <cell r="Z82"/>
          <cell r="AA82"/>
          <cell r="AB82"/>
          <cell r="AC82"/>
          <cell r="AD82">
            <v>3.5239091386321197E-2</v>
          </cell>
          <cell r="AE82">
            <v>2.7001755258263094E-2</v>
          </cell>
          <cell r="AF82">
            <v>2.9438525382823766E-2</v>
          </cell>
          <cell r="AG82">
            <v>2.5834864688995873E-2</v>
          </cell>
          <cell r="AH82">
            <v>2.4302481157728817E-2</v>
          </cell>
          <cell r="AI82">
            <v>2.1014197511517896E-2</v>
          </cell>
          <cell r="AJ82">
            <v>1.7375869318984272E-2</v>
          </cell>
          <cell r="AK82">
            <v>1.4704546471917102E-2</v>
          </cell>
          <cell r="AL82">
            <v>1.2166210889234419E-2</v>
          </cell>
          <cell r="AM82">
            <v>2.137167292236053E-2</v>
          </cell>
          <cell r="AN82">
            <v>1.6238109465056105E-2</v>
          </cell>
          <cell r="AO82">
            <v>1.9695290028259205E-2</v>
          </cell>
          <cell r="AP82">
            <v>1.3859000307493874E-2</v>
          </cell>
          <cell r="AQ82">
            <v>2.0587856457434883E-2</v>
          </cell>
          <cell r="AR82">
            <v>2.2382215727853261E-2</v>
          </cell>
          <cell r="AS82">
            <v>2.282024879355582E-2</v>
          </cell>
          <cell r="AT82">
            <v>1.8841848321830001E-2</v>
          </cell>
          <cell r="AU82">
            <v>2.9450740535814202E-2</v>
          </cell>
          <cell r="AV82">
            <v>3.3874577710194309E-2</v>
          </cell>
          <cell r="AW82">
            <v>3.5798591812386205E-2</v>
          </cell>
          <cell r="AX82">
            <v>3.8843777249805811E-2</v>
          </cell>
          <cell r="AY82">
            <v>4.5546414241751432E-2</v>
          </cell>
          <cell r="AZ82">
            <v>3.9911326765093902E-2</v>
          </cell>
          <cell r="BA82">
            <v>3.8127121402333986E-2</v>
          </cell>
          <cell r="BB82">
            <v>3.4070428437227074E-2</v>
          </cell>
          <cell r="BC82">
            <v>3.9779406600653822E-2</v>
          </cell>
          <cell r="BD82">
            <v>3.8994672095326921E-2</v>
          </cell>
          <cell r="BE82">
            <v>3.8294072412040858E-2</v>
          </cell>
          <cell r="BF82">
            <v>3.6928093674248208E-2</v>
          </cell>
          <cell r="BG82">
            <v>3.8130676955879572E-2</v>
          </cell>
          <cell r="BH82">
            <v>3.0575280209643507E-2</v>
          </cell>
          <cell r="BI82">
            <v>3.2754789139979312E-2</v>
          </cell>
          <cell r="BJ82">
            <v>2.9643439113220538E-2</v>
          </cell>
          <cell r="BK82">
            <v>3.5019966685748694E-2</v>
          </cell>
          <cell r="BL82">
            <v>3.7402435067966033E-2</v>
          </cell>
          <cell r="BM82">
            <v>3.4738658221793228E-2</v>
          </cell>
          <cell r="BN82">
            <v>2.3797776428347017E-2</v>
          </cell>
          <cell r="BO82">
            <v>2.6665514166128501E-2</v>
          </cell>
          <cell r="BP82">
            <v>2.2531961574812742E-2</v>
          </cell>
          <cell r="BQ82">
            <v>1.0119595216191435E-2</v>
          </cell>
          <cell r="BR82">
            <v>7.1394548841894334E-3</v>
          </cell>
          <cell r="BS82">
            <v>3.8721799996541684E-3</v>
          </cell>
          <cell r="BT82">
            <v>8.9948006825515403E-3</v>
          </cell>
          <cell r="BU82">
            <v>9.9690274128765299E-3</v>
          </cell>
          <cell r="BV82">
            <v>7.7059127179313069E-3</v>
          </cell>
          <cell r="BW82">
            <v>8.1211675645962433E-3</v>
          </cell>
          <cell r="BX82">
            <v>7.7143457323394227E-3</v>
          </cell>
          <cell r="BY82">
            <v>5.0832399196958367E-3</v>
          </cell>
          <cell r="BZ82">
            <v>4.1358427061646275E-3</v>
          </cell>
          <cell r="CA82">
            <v>7.1883583659637651E-4</v>
          </cell>
          <cell r="CB82">
            <v>4.8877309187034257E-3</v>
          </cell>
          <cell r="CC82">
            <v>4.6385181574191137E-3</v>
          </cell>
          <cell r="CD82">
            <v>1.7492394047196047E-3</v>
          </cell>
          <cell r="CE82">
            <v>4.9927257453852292E-4</v>
          </cell>
          <cell r="CF82">
            <v>7.4361694481206442E-3</v>
          </cell>
          <cell r="CG82">
            <v>8.6564888549467423E-3</v>
          </cell>
          <cell r="CH82">
            <v>7.7920106024964575E-3</v>
          </cell>
          <cell r="CI82">
            <v>1.2181269008535001E-2</v>
          </cell>
          <cell r="CJ82">
            <v>1.5450460882436845E-2</v>
          </cell>
          <cell r="CK82">
            <v>1.5217753195503558E-2</v>
          </cell>
          <cell r="CL82">
            <v>1.3979488143628149E-2</v>
          </cell>
          <cell r="CM82">
            <v>1.266528092071173E-2</v>
          </cell>
          <cell r="CN82">
            <v>1.3450254935826189E-2</v>
          </cell>
          <cell r="CO82">
            <v>1.1956233157998319E-2</v>
          </cell>
          <cell r="CP82">
            <v>8.1373374943352061E-3</v>
          </cell>
          <cell r="CQ82">
            <v>1.1669710366424058E-2</v>
          </cell>
          <cell r="CR82">
            <v>1.6504007996298808E-2</v>
          </cell>
          <cell r="CS82">
            <v>1.625792686094929E-2</v>
          </cell>
          <cell r="CT82">
            <v>2.0479060784661662E-2</v>
          </cell>
          <cell r="CU82">
            <v>1.872686806414392E-2</v>
          </cell>
          <cell r="CV82">
            <v>1.9147827819268048E-2</v>
          </cell>
          <cell r="CW82">
            <v>2.6525457800229191E-2</v>
          </cell>
          <cell r="CX82">
            <v>2.1673282686397455E-2</v>
          </cell>
          <cell r="CY82">
            <v>2.0530868746022835E-2</v>
          </cell>
          <cell r="CZ82">
            <v>1.5633680726142796E-2</v>
          </cell>
          <cell r="DA82">
            <v>1.5411028613622646E-2</v>
          </cell>
          <cell r="DB82">
            <v>1.2656618484831572E-2</v>
          </cell>
          <cell r="DC82">
            <v>1.4149102456601836E-2</v>
          </cell>
          <cell r="DD82">
            <v>1.4396657972200355E-2</v>
          </cell>
          <cell r="DE82">
            <v>1.6075327707032239E-2</v>
          </cell>
          <cell r="DF82">
            <v>1.3650254157308694E-2</v>
          </cell>
          <cell r="DG82">
            <v>1.5199479123549242E-2</v>
          </cell>
          <cell r="DH82">
            <v>1.6038424121477046E-2</v>
          </cell>
          <cell r="DI82">
            <v>1.6872378181166159E-2</v>
          </cell>
          <cell r="DJ82">
            <v>1.6722487565495436E-2</v>
          </cell>
          <cell r="DK82">
            <v>1.8214072516431257E-2</v>
          </cell>
          <cell r="DL82">
            <v>1.7093244278614694E-2</v>
          </cell>
          <cell r="DM82">
            <v>8.7493555480746554E-3</v>
          </cell>
          <cell r="DN82">
            <v>2.2570460222097521E-2</v>
          </cell>
          <cell r="DO82">
            <v>3.2327077673137694E-2</v>
          </cell>
          <cell r="DP82">
            <v>3.1215699139902409E-2</v>
          </cell>
          <cell r="DQ82">
            <v>2.8107227428765258E-2</v>
          </cell>
          <cell r="DR82">
            <v>1.9542568721011788E-2</v>
          </cell>
          <cell r="DS82">
            <v>2.22090136801667E-2</v>
          </cell>
          <cell r="DT82">
            <v>1.4432118979465836E-2</v>
          </cell>
          <cell r="DU82">
            <v>1.125522792159539E-2</v>
          </cell>
          <cell r="DV82">
            <v>8.1912972107702764E-3</v>
          </cell>
          <cell r="DW82">
            <v>1.0590677024320039E-2</v>
          </cell>
          <cell r="DX82">
            <v>5.0558516500758266E-3</v>
          </cell>
          <cell r="DY82">
            <v>7.4675173361620217E-3</v>
          </cell>
          <cell r="DZ82">
            <v>7.5857510717813881E-3</v>
          </cell>
          <cell r="EA82">
            <v>8.3075850845406585E-3</v>
          </cell>
          <cell r="EB82">
            <v>7.7333975311018044E-3</v>
          </cell>
          <cell r="EC82">
            <v>7.8944233399713681E-3</v>
          </cell>
          <cell r="ED82">
            <v>8.7668355330803305E-3</v>
          </cell>
          <cell r="EE82" t="e">
            <v>#N/A</v>
          </cell>
          <cell r="EF82" t="e">
            <v>#N/A</v>
          </cell>
          <cell r="EG82">
            <v>1.466530718198622E-2</v>
          </cell>
          <cell r="EH82">
            <v>1.3575066398347824E-2</v>
          </cell>
          <cell r="EI82">
            <v>0.01</v>
          </cell>
          <cell r="EJ82">
            <v>0.01</v>
          </cell>
          <cell r="EK82">
            <v>0.01</v>
          </cell>
          <cell r="EL82">
            <v>0.01</v>
          </cell>
          <cell r="EM82">
            <v>0.01</v>
          </cell>
          <cell r="EN82">
            <v>0.01</v>
          </cell>
          <cell r="EO82">
            <v>0.01</v>
          </cell>
          <cell r="EP82">
            <v>0.01</v>
          </cell>
          <cell r="EQ82">
            <v>0.01</v>
          </cell>
          <cell r="ER82">
            <v>0.01</v>
          </cell>
          <cell r="ES82">
            <v>0.01</v>
          </cell>
          <cell r="ET82">
            <v>0.01</v>
          </cell>
          <cell r="EU82">
            <v>0.01</v>
          </cell>
          <cell r="EV82">
            <v>0.01</v>
          </cell>
          <cell r="EW82">
            <v>0.01</v>
          </cell>
          <cell r="EX82">
            <v>0.01</v>
          </cell>
          <cell r="EY82">
            <v>0.01</v>
          </cell>
          <cell r="EZ82">
            <v>0.01</v>
          </cell>
          <cell r="FA82">
            <v>0.01</v>
          </cell>
          <cell r="FB82">
            <v>0.01</v>
          </cell>
          <cell r="FC82">
            <v>0.01</v>
          </cell>
          <cell r="FD82">
            <v>0.01</v>
          </cell>
          <cell r="FE82">
            <v>0.01</v>
          </cell>
          <cell r="FF82">
            <v>0.01</v>
          </cell>
          <cell r="FG82">
            <v>0.01</v>
          </cell>
          <cell r="FH82">
            <v>0.01</v>
          </cell>
          <cell r="FI82">
            <v>0.01</v>
          </cell>
          <cell r="FJ82">
            <v>0.01</v>
          </cell>
          <cell r="FK82">
            <v>0.01</v>
          </cell>
          <cell r="FL82">
            <v>0.01</v>
          </cell>
          <cell r="FM82">
            <v>0.01</v>
          </cell>
          <cell r="FN82">
            <v>0.01</v>
          </cell>
          <cell r="FO82">
            <v>0.01</v>
          </cell>
          <cell r="FP82">
            <v>0.01</v>
          </cell>
          <cell r="FQ82">
            <v>0.01</v>
          </cell>
          <cell r="FR82">
            <v>0.01</v>
          </cell>
          <cell r="FS82">
            <v>0.01</v>
          </cell>
          <cell r="FT82">
            <v>0.01</v>
          </cell>
          <cell r="FU82">
            <v>0.01</v>
          </cell>
        </row>
        <row r="83">
          <cell r="A83" t="str">
            <v>3MoSystemNZNHCg</v>
          </cell>
          <cell r="B83" t="str">
            <v>New Zealand non-housing</v>
          </cell>
          <cell r="D83"/>
          <cell r="E83"/>
          <cell r="F83"/>
          <cell r="G83"/>
          <cell r="H83"/>
          <cell r="I83"/>
          <cell r="J83"/>
          <cell r="K83"/>
          <cell r="L83"/>
          <cell r="M83"/>
          <cell r="N83"/>
          <cell r="O83"/>
          <cell r="P83"/>
          <cell r="Q83"/>
          <cell r="R83"/>
          <cell r="S83"/>
          <cell r="T83"/>
          <cell r="U83"/>
          <cell r="V83"/>
          <cell r="W83"/>
          <cell r="X83"/>
          <cell r="Y83"/>
          <cell r="Z83"/>
          <cell r="AA83"/>
          <cell r="AB83"/>
          <cell r="AC83"/>
          <cell r="AD83">
            <v>-4.0964974245727426E-4</v>
          </cell>
          <cell r="AE83">
            <v>3.5417887269958426E-2</v>
          </cell>
          <cell r="AF83">
            <v>-4.6013829804907314E-3</v>
          </cell>
          <cell r="AG83">
            <v>3.6858207659979492E-2</v>
          </cell>
          <cell r="AH83">
            <v>5.514441685772864E-3</v>
          </cell>
          <cell r="AI83">
            <v>4.8490246283048322E-2</v>
          </cell>
          <cell r="AJ83">
            <v>2.5340089186090431E-2</v>
          </cell>
          <cell r="AK83">
            <v>7.1985028262304684E-3</v>
          </cell>
          <cell r="AL83">
            <v>-2.6497165658915578E-2</v>
          </cell>
          <cell r="AM83">
            <v>3.8754559762570917E-2</v>
          </cell>
          <cell r="AN83">
            <v>-1.0746815404893195E-2</v>
          </cell>
          <cell r="AO83">
            <v>1.6504553502485253E-2</v>
          </cell>
          <cell r="AP83">
            <v>3.1779186049862629E-2</v>
          </cell>
          <cell r="AQ83">
            <v>2.1774311957921455E-2</v>
          </cell>
          <cell r="AR83">
            <v>3.003607732533764E-2</v>
          </cell>
          <cell r="AS83">
            <v>-1.7945890426257494E-3</v>
          </cell>
          <cell r="AT83">
            <v>1.8704816325698648E-3</v>
          </cell>
          <cell r="AU83">
            <v>4.3277834099623824E-2</v>
          </cell>
          <cell r="AV83">
            <v>4.024714082384806E-3</v>
          </cell>
          <cell r="AW83">
            <v>7.5467709884025069E-4</v>
          </cell>
          <cell r="AX83">
            <v>-1.679906113136953E-3</v>
          </cell>
          <cell r="AY83">
            <v>2.8705576898551799E-2</v>
          </cell>
          <cell r="AZ83">
            <v>2.1095084125759556E-2</v>
          </cell>
          <cell r="BA83">
            <v>2.27102501013976E-2</v>
          </cell>
          <cell r="BB83">
            <v>2.6470775503186772E-3</v>
          </cell>
          <cell r="BC83">
            <v>5.8131253606096722E-2</v>
          </cell>
          <cell r="BD83">
            <v>3.379922145454306E-2</v>
          </cell>
          <cell r="BE83">
            <v>4.6827201564767496E-2</v>
          </cell>
          <cell r="BF83">
            <v>2.0501942146461172E-2</v>
          </cell>
          <cell r="BG83">
            <v>3.73806730788242E-2</v>
          </cell>
          <cell r="BH83">
            <v>2.4077205870123519E-2</v>
          </cell>
          <cell r="BI83">
            <v>3.3255577080520959E-2</v>
          </cell>
          <cell r="BJ83">
            <v>3.395583554060444E-2</v>
          </cell>
          <cell r="BK83">
            <v>4.8788081738548872E-2</v>
          </cell>
          <cell r="BL83">
            <v>1.740020998989511E-2</v>
          </cell>
          <cell r="BM83">
            <v>5.6478040908155336E-2</v>
          </cell>
          <cell r="BN83">
            <v>4.0433124097072115E-2</v>
          </cell>
          <cell r="BO83">
            <v>3.6951696714470295E-2</v>
          </cell>
          <cell r="BP83">
            <v>2.5466087870328336E-2</v>
          </cell>
          <cell r="BQ83">
            <v>4.3500200854179161E-2</v>
          </cell>
          <cell r="BR83">
            <v>3.948378940641617E-2</v>
          </cell>
          <cell r="BS83">
            <v>2.5202511821592166E-2</v>
          </cell>
          <cell r="BT83">
            <v>-1.2653180001456432E-2</v>
          </cell>
          <cell r="BU83">
            <v>-9.150627180029125E-3</v>
          </cell>
          <cell r="BV83">
            <v>2.0633350192700295E-3</v>
          </cell>
          <cell r="BW83">
            <v>-1.5532845161635556E-2</v>
          </cell>
          <cell r="BX83">
            <v>-1.2977897103463754E-2</v>
          </cell>
          <cell r="BY83">
            <v>1.4035198436634921E-3</v>
          </cell>
          <cell r="BZ83">
            <v>3.3102702556473407E-3</v>
          </cell>
          <cell r="CA83">
            <v>1.3794570608388623E-2</v>
          </cell>
          <cell r="CB83">
            <v>-5.9930147424540614E-3</v>
          </cell>
          <cell r="CC83">
            <v>2.4731182698880527E-3</v>
          </cell>
          <cell r="CD83">
            <v>4.392159776205995E-3</v>
          </cell>
          <cell r="CE83">
            <v>4.5717544640815344E-2</v>
          </cell>
          <cell r="CF83">
            <v>5.7605602971897429E-3</v>
          </cell>
          <cell r="CG83">
            <v>8.3056602416826664E-3</v>
          </cell>
          <cell r="CH83">
            <v>3.4947574644086377E-3</v>
          </cell>
          <cell r="CI83">
            <v>2.9219748987315164E-2</v>
          </cell>
          <cell r="CJ83">
            <v>-5.3553985420229377E-4</v>
          </cell>
          <cell r="CK83">
            <v>5.8104070424711551E-3</v>
          </cell>
          <cell r="CL83">
            <v>4.3408767605304099E-3</v>
          </cell>
          <cell r="CM83">
            <v>2.0480361330088348E-2</v>
          </cell>
          <cell r="CN83">
            <v>-8.194489562166507E-3</v>
          </cell>
          <cell r="CO83">
            <v>9.0575348489698726E-3</v>
          </cell>
          <cell r="CP83">
            <v>1.2199744754418873E-2</v>
          </cell>
          <cell r="CQ83">
            <v>1.9618493569592665E-2</v>
          </cell>
          <cell r="CR83">
            <v>1.8564469488178359E-2</v>
          </cell>
          <cell r="CS83">
            <v>2.3713014564618939E-2</v>
          </cell>
          <cell r="CT83">
            <v>1.9840304674945131E-3</v>
          </cell>
          <cell r="CU83">
            <v>2.9411809305129655E-2</v>
          </cell>
          <cell r="CV83">
            <v>1.7638333641751602E-2</v>
          </cell>
          <cell r="CW83">
            <v>3.4704413919521837E-3</v>
          </cell>
          <cell r="CX83">
            <v>1.7845976237601535E-2</v>
          </cell>
          <cell r="CY83">
            <v>5.7649919448639064E-3</v>
          </cell>
          <cell r="CZ83">
            <v>7.1230724522672872E-3</v>
          </cell>
          <cell r="DA83">
            <v>1.0227855274735909E-2</v>
          </cell>
          <cell r="DB83">
            <v>8.8586191939656889E-3</v>
          </cell>
          <cell r="DC83">
            <v>9.8033800401595705E-3</v>
          </cell>
          <cell r="DD83">
            <v>3.6584728948212408E-3</v>
          </cell>
          <cell r="DE83">
            <v>2.7257175310466675E-2</v>
          </cell>
          <cell r="DF83">
            <v>6.1704111084119884E-3</v>
          </cell>
          <cell r="DG83">
            <v>7.8563416712187362E-3</v>
          </cell>
          <cell r="DH83">
            <v>1.528740002114537E-2</v>
          </cell>
          <cell r="DI83">
            <v>1.0040175416835995E-2</v>
          </cell>
          <cell r="DJ83">
            <v>2.1675969843331089E-2</v>
          </cell>
          <cell r="DK83">
            <v>-9.5654585387903168E-3</v>
          </cell>
          <cell r="DL83">
            <v>3.3999563668910326E-2</v>
          </cell>
          <cell r="DM83">
            <v>-3.0159356925694714E-2</v>
          </cell>
          <cell r="DN83">
            <v>-2.3989241977821929E-2</v>
          </cell>
          <cell r="DO83">
            <v>-2.4860266549520116E-4</v>
          </cell>
          <cell r="DP83">
            <v>-1.8174439425215461E-2</v>
          </cell>
          <cell r="DQ83">
            <v>4.2092905465134223E-3</v>
          </cell>
          <cell r="DR83">
            <v>-1.007855289731352E-3</v>
          </cell>
          <cell r="DS83">
            <v>9.7318180959558021E-3</v>
          </cell>
          <cell r="DT83">
            <v>1.0579873164848763E-3</v>
          </cell>
          <cell r="DU83">
            <v>2.5864697571158057E-2</v>
          </cell>
          <cell r="DV83">
            <v>2.962100130042078E-2</v>
          </cell>
          <cell r="DW83">
            <v>-1.7723602179476883E-2</v>
          </cell>
          <cell r="DX83">
            <v>-2.7174162879948227E-3</v>
          </cell>
          <cell r="DY83">
            <v>7.2690970976576619E-3</v>
          </cell>
          <cell r="DZ83">
            <v>2.0374535458564935E-3</v>
          </cell>
          <cell r="EA83">
            <v>8.0364049321719477E-3</v>
          </cell>
          <cell r="EB83">
            <v>4.2875159272743879E-3</v>
          </cell>
          <cell r="EC83">
            <v>-6.3414979508158442E-4</v>
          </cell>
          <cell r="ED83">
            <v>1.1930741286855451E-2</v>
          </cell>
          <cell r="EE83" t="e">
            <v>#N/A</v>
          </cell>
          <cell r="EF83" t="e">
            <v>#N/A</v>
          </cell>
          <cell r="EG83">
            <v>-2.4940836368274599E-3</v>
          </cell>
          <cell r="EH83">
            <v>2.7138886126540696E-2</v>
          </cell>
          <cell r="EI83">
            <v>6.0000000000000001E-3</v>
          </cell>
          <cell r="EJ83">
            <v>6.0000000000000001E-3</v>
          </cell>
          <cell r="EK83">
            <v>6.0000000000000001E-3</v>
          </cell>
          <cell r="EL83">
            <v>6.0000000000000001E-3</v>
          </cell>
          <cell r="EM83">
            <v>6.0000000000000001E-3</v>
          </cell>
          <cell r="EN83">
            <v>6.0000000000000001E-3</v>
          </cell>
          <cell r="EO83">
            <v>6.0000000000000001E-3</v>
          </cell>
          <cell r="EP83">
            <v>6.0000000000000001E-3</v>
          </cell>
          <cell r="EQ83">
            <v>6.0000000000000001E-3</v>
          </cell>
          <cell r="ER83">
            <v>6.0000000000000001E-3</v>
          </cell>
          <cell r="ES83">
            <v>6.0000000000000001E-3</v>
          </cell>
          <cell r="ET83">
            <v>6.0000000000000001E-3</v>
          </cell>
          <cell r="EU83">
            <v>6.0000000000000001E-3</v>
          </cell>
          <cell r="EV83">
            <v>6.0000000000000001E-3</v>
          </cell>
          <cell r="EW83">
            <v>6.0000000000000001E-3</v>
          </cell>
          <cell r="EX83">
            <v>6.0000000000000001E-3</v>
          </cell>
          <cell r="EY83">
            <v>6.0000000000000001E-3</v>
          </cell>
          <cell r="EZ83">
            <v>6.0000000000000001E-3</v>
          </cell>
          <cell r="FA83">
            <v>6.0000000000000001E-3</v>
          </cell>
          <cell r="FB83">
            <v>6.0000000000000001E-3</v>
          </cell>
          <cell r="FC83">
            <v>6.0000000000000001E-3</v>
          </cell>
          <cell r="FD83">
            <v>6.0000000000000001E-3</v>
          </cell>
          <cell r="FE83">
            <v>6.0000000000000001E-3</v>
          </cell>
          <cell r="FF83">
            <v>6.0000000000000001E-3</v>
          </cell>
          <cell r="FG83">
            <v>6.0000000000000001E-3</v>
          </cell>
          <cell r="FH83">
            <v>6.0000000000000001E-3</v>
          </cell>
          <cell r="FI83">
            <v>6.0000000000000001E-3</v>
          </cell>
          <cell r="FJ83">
            <v>6.0000000000000001E-3</v>
          </cell>
          <cell r="FK83">
            <v>6.0000000000000001E-3</v>
          </cell>
          <cell r="FL83">
            <v>6.0000000000000001E-3</v>
          </cell>
          <cell r="FM83">
            <v>6.0000000000000001E-3</v>
          </cell>
          <cell r="FN83">
            <v>6.0000000000000001E-3</v>
          </cell>
          <cell r="FO83">
            <v>6.0000000000000001E-3</v>
          </cell>
          <cell r="FP83">
            <v>6.0000000000000001E-3</v>
          </cell>
          <cell r="FQ83">
            <v>6.0000000000000001E-3</v>
          </cell>
          <cell r="FR83">
            <v>6.0000000000000001E-3</v>
          </cell>
          <cell r="FS83">
            <v>6.0000000000000001E-3</v>
          </cell>
          <cell r="FT83">
            <v>6.0000000000000001E-3</v>
          </cell>
          <cell r="FU83">
            <v>6.0000000000000001E-3</v>
          </cell>
        </row>
        <row r="84">
          <cell r="A84" t="str">
            <v>3MoSystemUKHCg</v>
          </cell>
          <cell r="B84" t="str">
            <v>UK housing</v>
          </cell>
          <cell r="D84"/>
          <cell r="E84"/>
          <cell r="F84"/>
          <cell r="G84"/>
          <cell r="H84"/>
          <cell r="I84"/>
          <cell r="J84" t="e">
            <v>#REF!</v>
          </cell>
          <cell r="K84" t="e">
            <v>#REF!</v>
          </cell>
          <cell r="L84" t="e">
            <v>#REF!</v>
          </cell>
          <cell r="M84" t="e">
            <v>#REF!</v>
          </cell>
          <cell r="N84" t="e">
            <v>#REF!</v>
          </cell>
          <cell r="O84" t="e">
            <v>#REF!</v>
          </cell>
          <cell r="P84" t="e">
            <v>#REF!</v>
          </cell>
          <cell r="Q84" t="e">
            <v>#REF!</v>
          </cell>
          <cell r="R84" t="e">
            <v>#REF!</v>
          </cell>
          <cell r="S84" t="e">
            <v>#REF!</v>
          </cell>
          <cell r="T84" t="e">
            <v>#REF!</v>
          </cell>
          <cell r="U84" t="e">
            <v>#REF!</v>
          </cell>
          <cell r="V84" t="e">
            <v>#REF!</v>
          </cell>
          <cell r="W84" t="e">
            <v>#REF!</v>
          </cell>
          <cell r="X84" t="e">
            <v>#REF!</v>
          </cell>
          <cell r="Y84" t="e">
            <v>#REF!</v>
          </cell>
          <cell r="Z84" t="e">
            <v>#REF!</v>
          </cell>
          <cell r="AA84" t="e">
            <v>#REF!</v>
          </cell>
          <cell r="AB84" t="e">
            <v>#REF!</v>
          </cell>
          <cell r="AC84" t="e">
            <v>#REF!</v>
          </cell>
          <cell r="AD84" t="e">
            <v>#REF!</v>
          </cell>
          <cell r="AE84" t="e">
            <v>#REF!</v>
          </cell>
          <cell r="AF84" t="e">
            <v>#REF!</v>
          </cell>
          <cell r="AG84" t="e">
            <v>#REF!</v>
          </cell>
          <cell r="AH84" t="e">
            <v>#REF!</v>
          </cell>
          <cell r="AI84" t="e">
            <v>#REF!</v>
          </cell>
          <cell r="AJ84" t="e">
            <v>#REF!</v>
          </cell>
          <cell r="AK84" t="e">
            <v>#REF!</v>
          </cell>
          <cell r="AL84" t="e">
            <v>#REF!</v>
          </cell>
          <cell r="AM84" t="e">
            <v>#REF!</v>
          </cell>
          <cell r="AN84" t="e">
            <v>#REF!</v>
          </cell>
          <cell r="AO84" t="e">
            <v>#REF!</v>
          </cell>
          <cell r="AP84" t="e">
            <v>#REF!</v>
          </cell>
          <cell r="AQ84" t="e">
            <v>#REF!</v>
          </cell>
          <cell r="AR84" t="e">
            <v>#REF!</v>
          </cell>
          <cell r="AS84" t="e">
            <v>#REF!</v>
          </cell>
          <cell r="AT84" t="e">
            <v>#REF!</v>
          </cell>
          <cell r="AU84" t="e">
            <v>#REF!</v>
          </cell>
          <cell r="AV84" t="e">
            <v>#REF!</v>
          </cell>
          <cell r="AW84" t="e">
            <v>#REF!</v>
          </cell>
          <cell r="AX84" t="e">
            <v>#REF!</v>
          </cell>
          <cell r="AY84" t="e">
            <v>#REF!</v>
          </cell>
          <cell r="AZ84" t="e">
            <v>#REF!</v>
          </cell>
          <cell r="BA84" t="e">
            <v>#REF!</v>
          </cell>
          <cell r="BB84" t="e">
            <v>#REF!</v>
          </cell>
          <cell r="BC84" t="e">
            <v>#REF!</v>
          </cell>
          <cell r="BD84" t="e">
            <v>#REF!</v>
          </cell>
          <cell r="BE84" t="e">
            <v>#REF!</v>
          </cell>
          <cell r="BF84" t="e">
            <v>#REF!</v>
          </cell>
          <cell r="BG84" t="e">
            <v>#REF!</v>
          </cell>
          <cell r="BH84" t="e">
            <v>#REF!</v>
          </cell>
          <cell r="BI84" t="e">
            <v>#REF!</v>
          </cell>
          <cell r="BJ84" t="e">
            <v>#REF!</v>
          </cell>
          <cell r="BK84" t="e">
            <v>#REF!</v>
          </cell>
          <cell r="BL84" t="e">
            <v>#REF!</v>
          </cell>
          <cell r="BM84" t="e">
            <v>#REF!</v>
          </cell>
          <cell r="BN84" t="e">
            <v>#REF!</v>
          </cell>
          <cell r="BO84" t="e">
            <v>#REF!</v>
          </cell>
          <cell r="BP84" t="e">
            <v>#REF!</v>
          </cell>
          <cell r="BQ84" t="e">
            <v>#REF!</v>
          </cell>
          <cell r="BR84" t="e">
            <v>#REF!</v>
          </cell>
          <cell r="BS84" t="e">
            <v>#REF!</v>
          </cell>
          <cell r="BT84" t="e">
            <v>#REF!</v>
          </cell>
          <cell r="BU84" t="e">
            <v>#REF!</v>
          </cell>
          <cell r="BV84" t="e">
            <v>#REF!</v>
          </cell>
          <cell r="BW84" t="e">
            <v>#REF!</v>
          </cell>
          <cell r="BX84" t="e">
            <v>#REF!</v>
          </cell>
          <cell r="BY84" t="e">
            <v>#REF!</v>
          </cell>
          <cell r="BZ84" t="e">
            <v>#REF!</v>
          </cell>
          <cell r="CA84" t="e">
            <v>#REF!</v>
          </cell>
          <cell r="CB84" t="e">
            <v>#REF!</v>
          </cell>
          <cell r="CC84" t="e">
            <v>#REF!</v>
          </cell>
          <cell r="CD84" t="e">
            <v>#REF!</v>
          </cell>
          <cell r="CE84" t="e">
            <v>#REF!</v>
          </cell>
          <cell r="CF84" t="e">
            <v>#REF!</v>
          </cell>
          <cell r="CG84" t="e">
            <v>#REF!</v>
          </cell>
          <cell r="CH84" t="e">
            <v>#REF!</v>
          </cell>
          <cell r="CI84" t="e">
            <v>#REF!</v>
          </cell>
          <cell r="CJ84" t="e">
            <v>#REF!</v>
          </cell>
          <cell r="CK84" t="e">
            <v>#REF!</v>
          </cell>
          <cell r="CL84" t="e">
            <v>#REF!</v>
          </cell>
          <cell r="CM84" t="e">
            <v>#REF!</v>
          </cell>
          <cell r="CN84" t="e">
            <v>#REF!</v>
          </cell>
          <cell r="CO84" t="e">
            <v>#REF!</v>
          </cell>
          <cell r="CP84" t="e">
            <v>#REF!</v>
          </cell>
          <cell r="CQ84" t="e">
            <v>#REF!</v>
          </cell>
          <cell r="CR84" t="e">
            <v>#REF!</v>
          </cell>
          <cell r="CS84" t="e">
            <v>#REF!</v>
          </cell>
          <cell r="CT84" t="e">
            <v>#REF!</v>
          </cell>
          <cell r="CU84" t="e">
            <v>#REF!</v>
          </cell>
          <cell r="CV84" t="e">
            <v>#REF!</v>
          </cell>
          <cell r="CW84" t="e">
            <v>#REF!</v>
          </cell>
          <cell r="CX84"/>
          <cell r="CY84"/>
          <cell r="CZ84"/>
          <cell r="DA84"/>
          <cell r="DB84"/>
          <cell r="DC84"/>
          <cell r="DD84"/>
          <cell r="DE84"/>
          <cell r="DF84"/>
          <cell r="DG84"/>
          <cell r="DH84"/>
          <cell r="DI84"/>
          <cell r="DJ84"/>
          <cell r="DK84"/>
          <cell r="DL84"/>
          <cell r="DM84"/>
          <cell r="DN84"/>
          <cell r="DO84"/>
          <cell r="DP84"/>
          <cell r="DQ84"/>
          <cell r="DR84"/>
          <cell r="DS84"/>
          <cell r="DT84"/>
          <cell r="DU84"/>
          <cell r="DV84"/>
          <cell r="DW84"/>
          <cell r="DX84"/>
          <cell r="DY84"/>
          <cell r="DZ84"/>
          <cell r="EA84"/>
          <cell r="EB84"/>
          <cell r="EC84"/>
          <cell r="ED84"/>
          <cell r="EE84"/>
          <cell r="EF84"/>
          <cell r="EG84"/>
          <cell r="EH84"/>
          <cell r="EI84"/>
          <cell r="EJ84"/>
          <cell r="EK84"/>
          <cell r="EL84"/>
          <cell r="EM84"/>
          <cell r="EN84"/>
          <cell r="EO84"/>
          <cell r="EP84"/>
          <cell r="EQ84"/>
          <cell r="ER84"/>
          <cell r="ES84"/>
          <cell r="ET84"/>
          <cell r="EU84"/>
          <cell r="EV84"/>
          <cell r="EW84"/>
          <cell r="EX84"/>
          <cell r="EY84"/>
          <cell r="EZ84"/>
          <cell r="FA84"/>
          <cell r="FB84"/>
          <cell r="FC84"/>
          <cell r="FD84"/>
          <cell r="FE84"/>
          <cell r="FF84"/>
          <cell r="FG84"/>
          <cell r="FH84"/>
          <cell r="FI84"/>
          <cell r="FJ84"/>
          <cell r="FK84"/>
          <cell r="FL84"/>
          <cell r="FM84"/>
          <cell r="FN84"/>
          <cell r="FO84"/>
          <cell r="FP84"/>
          <cell r="FQ84"/>
          <cell r="FR84"/>
          <cell r="FS84"/>
          <cell r="FT84"/>
          <cell r="FU84"/>
        </row>
        <row r="85">
          <cell r="A85" t="str">
            <v>3MoSystemUKNHCg</v>
          </cell>
          <cell r="B85" t="str">
            <v>UK non-housing</v>
          </cell>
          <cell r="D85"/>
          <cell r="E85"/>
          <cell r="F85"/>
          <cell r="G85"/>
          <cell r="H85"/>
          <cell r="I85"/>
          <cell r="J85"/>
          <cell r="K85"/>
          <cell r="L85"/>
          <cell r="M85"/>
          <cell r="N85"/>
          <cell r="O85"/>
          <cell r="P85"/>
          <cell r="Q85"/>
          <cell r="R85"/>
          <cell r="S85"/>
          <cell r="T85"/>
          <cell r="U85"/>
          <cell r="V85"/>
          <cell r="W85"/>
          <cell r="X85"/>
          <cell r="Y85"/>
          <cell r="Z85"/>
          <cell r="AA85" t="e">
            <v>#REF!</v>
          </cell>
          <cell r="AB85" t="e">
            <v>#REF!</v>
          </cell>
          <cell r="AC85" t="e">
            <v>#REF!</v>
          </cell>
          <cell r="AD85" t="e">
            <v>#REF!</v>
          </cell>
          <cell r="AE85" t="e">
            <v>#REF!</v>
          </cell>
          <cell r="AF85" t="e">
            <v>#REF!</v>
          </cell>
          <cell r="AG85" t="e">
            <v>#REF!</v>
          </cell>
          <cell r="AH85" t="e">
            <v>#REF!</v>
          </cell>
          <cell r="AI85" t="e">
            <v>#REF!</v>
          </cell>
          <cell r="AJ85" t="e">
            <v>#REF!</v>
          </cell>
          <cell r="AK85" t="e">
            <v>#REF!</v>
          </cell>
          <cell r="AL85" t="e">
            <v>#REF!</v>
          </cell>
          <cell r="AM85" t="e">
            <v>#REF!</v>
          </cell>
          <cell r="AN85" t="e">
            <v>#REF!</v>
          </cell>
          <cell r="AO85" t="e">
            <v>#REF!</v>
          </cell>
          <cell r="AP85" t="e">
            <v>#REF!</v>
          </cell>
          <cell r="AQ85" t="e">
            <v>#REF!</v>
          </cell>
          <cell r="AR85" t="e">
            <v>#REF!</v>
          </cell>
          <cell r="AS85" t="e">
            <v>#REF!</v>
          </cell>
          <cell r="AT85" t="e">
            <v>#REF!</v>
          </cell>
          <cell r="AU85" t="e">
            <v>#REF!</v>
          </cell>
          <cell r="AV85" t="e">
            <v>#REF!</v>
          </cell>
          <cell r="AW85" t="e">
            <v>#REF!</v>
          </cell>
          <cell r="AX85" t="e">
            <v>#REF!</v>
          </cell>
          <cell r="AY85" t="e">
            <v>#REF!</v>
          </cell>
          <cell r="AZ85" t="e">
            <v>#REF!</v>
          </cell>
          <cell r="BA85" t="e">
            <v>#REF!</v>
          </cell>
          <cell r="BB85" t="e">
            <v>#REF!</v>
          </cell>
          <cell r="BC85" t="e">
            <v>#REF!</v>
          </cell>
          <cell r="BD85" t="e">
            <v>#REF!</v>
          </cell>
          <cell r="BE85" t="e">
            <v>#REF!</v>
          </cell>
          <cell r="BF85" t="e">
            <v>#REF!</v>
          </cell>
          <cell r="BG85" t="e">
            <v>#REF!</v>
          </cell>
          <cell r="BH85" t="e">
            <v>#REF!</v>
          </cell>
          <cell r="BI85" t="e">
            <v>#REF!</v>
          </cell>
          <cell r="BJ85" t="e">
            <v>#REF!</v>
          </cell>
          <cell r="BK85" t="e">
            <v>#REF!</v>
          </cell>
          <cell r="BL85" t="e">
            <v>#REF!</v>
          </cell>
          <cell r="BM85" t="e">
            <v>#REF!</v>
          </cell>
          <cell r="BN85" t="e">
            <v>#REF!</v>
          </cell>
          <cell r="BO85" t="e">
            <v>#REF!</v>
          </cell>
          <cell r="BP85" t="e">
            <v>#REF!</v>
          </cell>
          <cell r="BQ85" t="e">
            <v>#REF!</v>
          </cell>
          <cell r="BR85" t="e">
            <v>#REF!</v>
          </cell>
          <cell r="BS85" t="e">
            <v>#REF!</v>
          </cell>
          <cell r="BT85" t="e">
            <v>#REF!</v>
          </cell>
          <cell r="BU85" t="e">
            <v>#REF!</v>
          </cell>
          <cell r="BV85" t="e">
            <v>#REF!</v>
          </cell>
          <cell r="BW85" t="e">
            <v>#REF!</v>
          </cell>
          <cell r="BX85" t="e">
            <v>#REF!</v>
          </cell>
          <cell r="BY85" t="e">
            <v>#REF!</v>
          </cell>
          <cell r="BZ85" t="e">
            <v>#REF!</v>
          </cell>
          <cell r="CA85" t="e">
            <v>#REF!</v>
          </cell>
          <cell r="CB85" t="e">
            <v>#REF!</v>
          </cell>
          <cell r="CC85" t="e">
            <v>#REF!</v>
          </cell>
          <cell r="CD85" t="e">
            <v>#REF!</v>
          </cell>
          <cell r="CE85" t="e">
            <v>#REF!</v>
          </cell>
          <cell r="CF85" t="e">
            <v>#REF!</v>
          </cell>
          <cell r="CG85" t="e">
            <v>#REF!</v>
          </cell>
          <cell r="CH85" t="e">
            <v>#REF!</v>
          </cell>
          <cell r="CI85" t="e">
            <v>#REF!</v>
          </cell>
          <cell r="CJ85" t="e">
            <v>#REF!</v>
          </cell>
          <cell r="CK85" t="e">
            <v>#REF!</v>
          </cell>
          <cell r="CL85" t="e">
            <v>#REF!</v>
          </cell>
          <cell r="CM85" t="e">
            <v>#REF!</v>
          </cell>
          <cell r="CN85" t="e">
            <v>#REF!</v>
          </cell>
          <cell r="CO85" t="e">
            <v>#REF!</v>
          </cell>
          <cell r="CP85" t="e">
            <v>#REF!</v>
          </cell>
          <cell r="CQ85" t="e">
            <v>#REF!</v>
          </cell>
          <cell r="CR85" t="e">
            <v>#REF!</v>
          </cell>
          <cell r="CS85" t="e">
            <v>#REF!</v>
          </cell>
          <cell r="CT85" t="e">
            <v>#REF!</v>
          </cell>
          <cell r="CU85" t="e">
            <v>#REF!</v>
          </cell>
          <cell r="CV85" t="e">
            <v>#REF!</v>
          </cell>
          <cell r="CW85" t="e">
            <v>#REF!</v>
          </cell>
          <cell r="CX85"/>
          <cell r="CY85"/>
          <cell r="CZ85"/>
          <cell r="DA85"/>
          <cell r="DB85"/>
          <cell r="DC85"/>
          <cell r="DD85"/>
          <cell r="DE85"/>
          <cell r="DF85"/>
          <cell r="DG85"/>
          <cell r="DH85"/>
          <cell r="DI85"/>
          <cell r="DJ85"/>
          <cell r="DK85"/>
          <cell r="DL85"/>
          <cell r="DM85"/>
          <cell r="DN85"/>
          <cell r="DO85"/>
          <cell r="DP85"/>
          <cell r="DQ85"/>
          <cell r="DR85"/>
          <cell r="DS85"/>
          <cell r="DT85"/>
          <cell r="DU85"/>
          <cell r="DV85"/>
          <cell r="DW85"/>
          <cell r="DX85"/>
          <cell r="DY85"/>
          <cell r="DZ85"/>
          <cell r="EA85"/>
          <cell r="EB85"/>
          <cell r="EC85"/>
          <cell r="ED85"/>
          <cell r="EE85"/>
          <cell r="EF85"/>
          <cell r="EG85"/>
          <cell r="EH85"/>
          <cell r="EI85"/>
          <cell r="EJ85"/>
          <cell r="EK85"/>
          <cell r="EL85"/>
          <cell r="EM85"/>
          <cell r="EN85"/>
          <cell r="EO85"/>
          <cell r="EP85"/>
          <cell r="EQ85"/>
          <cell r="ER85"/>
          <cell r="ES85"/>
          <cell r="ET85"/>
          <cell r="EU85"/>
          <cell r="EV85"/>
          <cell r="EW85"/>
          <cell r="EX85"/>
          <cell r="EY85"/>
          <cell r="EZ85"/>
          <cell r="FA85"/>
          <cell r="FB85"/>
          <cell r="FC85"/>
          <cell r="FD85"/>
          <cell r="FE85"/>
          <cell r="FF85"/>
          <cell r="FG85"/>
          <cell r="FH85"/>
          <cell r="FI85"/>
          <cell r="FJ85"/>
          <cell r="FK85"/>
          <cell r="FL85"/>
          <cell r="FM85"/>
          <cell r="FN85"/>
          <cell r="FO85"/>
          <cell r="FP85"/>
          <cell r="FQ85"/>
          <cell r="FR85"/>
          <cell r="FS85"/>
          <cell r="FT85"/>
          <cell r="FU85"/>
        </row>
        <row r="86">
          <cell r="B86"/>
          <cell r="D86"/>
          <cell r="E86"/>
          <cell r="F86"/>
          <cell r="G86"/>
          <cell r="H86"/>
          <cell r="I86"/>
          <cell r="J86"/>
          <cell r="K86"/>
          <cell r="L86"/>
          <cell r="M86"/>
          <cell r="N86"/>
          <cell r="O86"/>
          <cell r="P86"/>
          <cell r="Q86"/>
          <cell r="R86"/>
          <cell r="S86"/>
          <cell r="T86"/>
          <cell r="U86"/>
          <cell r="V86"/>
          <cell r="W86"/>
          <cell r="X86"/>
          <cell r="Y86"/>
          <cell r="Z86"/>
          <cell r="AA86"/>
          <cell r="AB86"/>
          <cell r="AC86"/>
          <cell r="AD86"/>
          <cell r="AE86"/>
          <cell r="AF86"/>
          <cell r="AG86"/>
          <cell r="AH86"/>
          <cell r="AI86"/>
          <cell r="AJ86"/>
          <cell r="AK86"/>
          <cell r="AL86"/>
          <cell r="AM86"/>
          <cell r="AN86"/>
          <cell r="AO86"/>
          <cell r="AP86"/>
          <cell r="AQ86"/>
          <cell r="AR86"/>
          <cell r="AS86"/>
          <cell r="AT86"/>
          <cell r="AU86"/>
          <cell r="AV86"/>
          <cell r="AW86"/>
          <cell r="AX86"/>
          <cell r="AY86"/>
          <cell r="AZ86"/>
          <cell r="BA86"/>
          <cell r="BB86"/>
          <cell r="BC86"/>
          <cell r="BD86"/>
          <cell r="BE86"/>
          <cell r="BF86"/>
          <cell r="BG86"/>
          <cell r="BH86"/>
          <cell r="BI86"/>
          <cell r="BJ86"/>
          <cell r="BK86"/>
          <cell r="BL86"/>
          <cell r="BM86"/>
          <cell r="BN86"/>
          <cell r="BO86"/>
          <cell r="BP86"/>
          <cell r="BQ86"/>
          <cell r="BR86"/>
          <cell r="BS86"/>
          <cell r="BT86"/>
          <cell r="BU86"/>
          <cell r="BV86"/>
          <cell r="BW86"/>
          <cell r="BX86"/>
          <cell r="BY86"/>
          <cell r="BZ86"/>
          <cell r="CA86"/>
          <cell r="CB86"/>
          <cell r="CC86"/>
          <cell r="CD86"/>
          <cell r="CE86"/>
          <cell r="CF86"/>
          <cell r="CG86"/>
          <cell r="CH86"/>
          <cell r="CI86"/>
          <cell r="CJ86"/>
          <cell r="CK86"/>
          <cell r="CL86"/>
          <cell r="CM86"/>
          <cell r="CN86"/>
          <cell r="CO86"/>
          <cell r="CP86"/>
          <cell r="CQ86"/>
          <cell r="CR86"/>
          <cell r="CS86"/>
          <cell r="CT86"/>
          <cell r="CU86"/>
          <cell r="CV86"/>
          <cell r="CW86"/>
          <cell r="CX86"/>
          <cell r="CY86"/>
          <cell r="CZ86"/>
          <cell r="DA86"/>
          <cell r="DB86"/>
          <cell r="DC86"/>
          <cell r="DD86"/>
          <cell r="DF86"/>
          <cell r="DG86"/>
          <cell r="DH86"/>
          <cell r="DI86"/>
          <cell r="DJ86"/>
          <cell r="DK86"/>
          <cell r="DL86"/>
          <cell r="DM86"/>
          <cell r="DN86"/>
          <cell r="DO86"/>
          <cell r="DP86"/>
          <cell r="DQ86"/>
          <cell r="DR86"/>
          <cell r="DS86"/>
          <cell r="DT86"/>
          <cell r="DU86"/>
          <cell r="DV86"/>
          <cell r="DW86"/>
          <cell r="DX86"/>
          <cell r="DY86"/>
          <cell r="DZ86"/>
          <cell r="EA86"/>
          <cell r="EB86"/>
          <cell r="EC86"/>
          <cell r="ED86"/>
          <cell r="EE86"/>
          <cell r="EG86"/>
          <cell r="EH86"/>
          <cell r="EJ86"/>
          <cell r="EL86"/>
        </row>
        <row r="87">
          <cell r="B87" t="str">
            <v>System volume growth (6mo)</v>
          </cell>
          <cell r="C87"/>
          <cell r="D87"/>
          <cell r="E87"/>
          <cell r="F87"/>
          <cell r="G87"/>
          <cell r="H87"/>
          <cell r="I87"/>
          <cell r="J87"/>
          <cell r="K87"/>
          <cell r="L87"/>
          <cell r="M87"/>
          <cell r="N87"/>
          <cell r="O87"/>
          <cell r="P87"/>
          <cell r="Q87"/>
          <cell r="R87"/>
          <cell r="S87"/>
          <cell r="T87"/>
          <cell r="U87"/>
          <cell r="V87"/>
          <cell r="W87"/>
          <cell r="X87"/>
          <cell r="Y87"/>
          <cell r="Z87"/>
          <cell r="AA87"/>
          <cell r="AB87"/>
          <cell r="AC87"/>
          <cell r="AD87"/>
          <cell r="AE87"/>
          <cell r="AF87"/>
          <cell r="AG87"/>
          <cell r="AH87"/>
          <cell r="AI87"/>
          <cell r="AJ87"/>
          <cell r="AK87"/>
          <cell r="AL87"/>
          <cell r="AM87"/>
          <cell r="AN87"/>
          <cell r="AO87"/>
          <cell r="AP87"/>
          <cell r="AQ87"/>
          <cell r="AR87"/>
          <cell r="AS87"/>
          <cell r="AT87"/>
          <cell r="AU87"/>
          <cell r="AV87"/>
          <cell r="AW87"/>
          <cell r="AX87"/>
          <cell r="AY87"/>
          <cell r="AZ87"/>
          <cell r="BA87"/>
          <cell r="BB87"/>
          <cell r="BC87"/>
          <cell r="BD87"/>
          <cell r="BE87"/>
          <cell r="BF87"/>
          <cell r="BG87"/>
          <cell r="BH87"/>
          <cell r="BI87"/>
          <cell r="BJ87"/>
          <cell r="BK87"/>
          <cell r="BL87"/>
          <cell r="BM87"/>
          <cell r="BN87"/>
          <cell r="BO87"/>
          <cell r="BP87"/>
          <cell r="BQ87"/>
          <cell r="BR87"/>
          <cell r="BS87"/>
          <cell r="BT87"/>
          <cell r="BU87"/>
          <cell r="BV87"/>
          <cell r="BW87"/>
          <cell r="BX87"/>
          <cell r="BY87"/>
          <cell r="BZ87"/>
          <cell r="CA87"/>
          <cell r="CB87"/>
          <cell r="CC87"/>
          <cell r="CD87"/>
          <cell r="CE87"/>
          <cell r="CF87"/>
          <cell r="CG87"/>
          <cell r="CH87"/>
          <cell r="CI87"/>
          <cell r="CJ87"/>
          <cell r="CK87"/>
          <cell r="CL87"/>
          <cell r="CM87"/>
          <cell r="CN87"/>
          <cell r="CO87"/>
          <cell r="CP87"/>
          <cell r="CQ87"/>
          <cell r="CR87"/>
          <cell r="CS87"/>
          <cell r="CT87"/>
          <cell r="CU87"/>
          <cell r="CV87"/>
          <cell r="CW87"/>
          <cell r="CX87"/>
          <cell r="CY87"/>
          <cell r="CZ87"/>
          <cell r="DA87"/>
          <cell r="DB87"/>
          <cell r="DC87"/>
          <cell r="DD87"/>
          <cell r="DE87"/>
          <cell r="DF87"/>
          <cell r="DG87"/>
          <cell r="DH87"/>
          <cell r="DI87"/>
          <cell r="DJ87"/>
          <cell r="DK87"/>
          <cell r="DL87"/>
          <cell r="DM87"/>
          <cell r="DN87"/>
          <cell r="DO87"/>
          <cell r="DP87"/>
          <cell r="DQ87"/>
          <cell r="DR87"/>
          <cell r="DS87"/>
          <cell r="DT87"/>
          <cell r="DU87"/>
          <cell r="DV87"/>
          <cell r="DW87"/>
          <cell r="DX87"/>
          <cell r="DY87"/>
          <cell r="DZ87"/>
          <cell r="EA87"/>
          <cell r="EB87"/>
          <cell r="EC87"/>
          <cell r="ED87"/>
          <cell r="EE87"/>
          <cell r="EF87"/>
          <cell r="EG87"/>
          <cell r="EH87"/>
          <cell r="EI87"/>
          <cell r="EJ87"/>
          <cell r="EK87"/>
          <cell r="EL87"/>
          <cell r="EM87"/>
          <cell r="EN87"/>
          <cell r="EO87"/>
          <cell r="EP87"/>
          <cell r="EQ87"/>
          <cell r="ER87"/>
          <cell r="ES87"/>
          <cell r="ET87"/>
          <cell r="EU87"/>
          <cell r="EV87"/>
          <cell r="EW87"/>
          <cell r="EX87"/>
          <cell r="EY87"/>
          <cell r="EZ87"/>
          <cell r="FA87"/>
          <cell r="FB87"/>
          <cell r="FC87"/>
          <cell r="FD87"/>
          <cell r="FE87"/>
          <cell r="FF87"/>
          <cell r="FG87"/>
          <cell r="FH87"/>
          <cell r="FI87"/>
          <cell r="FJ87"/>
          <cell r="FK87"/>
          <cell r="FL87"/>
          <cell r="FM87"/>
          <cell r="FN87"/>
          <cell r="FO87"/>
          <cell r="FP87"/>
          <cell r="FQ87"/>
          <cell r="FR87"/>
          <cell r="FS87"/>
          <cell r="FT87"/>
          <cell r="FU87"/>
        </row>
        <row r="88">
          <cell r="A88" t="str">
            <v>6MoSystemAUHCg</v>
          </cell>
          <cell r="B88" t="str">
            <v>Australian housing</v>
          </cell>
          <cell r="D88">
            <v>6.2807456476395185E-2</v>
          </cell>
          <cell r="E88">
            <v>5.6932453106605774E-2</v>
          </cell>
          <cell r="F88">
            <v>6.0879970935289185E-2</v>
          </cell>
          <cell r="G88">
            <v>7.1756753864788081E-2</v>
          </cell>
          <cell r="H88">
            <v>7.8736655546226997E-2</v>
          </cell>
          <cell r="I88">
            <v>8.1877872273125943E-2</v>
          </cell>
          <cell r="J88">
            <v>8.8466284456117025E-2</v>
          </cell>
          <cell r="K88">
            <v>9.024506902055851E-2</v>
          </cell>
          <cell r="L88">
            <v>9.9790628314966767E-2</v>
          </cell>
          <cell r="M88">
            <v>0.10978413347849525</v>
          </cell>
          <cell r="N88">
            <v>0.10548494082761417</v>
          </cell>
          <cell r="O88">
            <v>8.8863643528561909E-2</v>
          </cell>
          <cell r="P88">
            <v>7.4921587505941245E-2</v>
          </cell>
          <cell r="Q88">
            <v>5.8657047126933426E-2</v>
          </cell>
          <cell r="R88">
            <v>4.9187440991271592E-2</v>
          </cell>
          <cell r="S88">
            <v>6.1126631538737985E-2</v>
          </cell>
          <cell r="T88">
            <v>6.4961459850779946E-2</v>
          </cell>
          <cell r="U88">
            <v>5.5067527854638421E-2</v>
          </cell>
          <cell r="V88">
            <v>5.5588891820383735E-2</v>
          </cell>
          <cell r="W88">
            <v>5.4663993410150269E-2</v>
          </cell>
          <cell r="X88">
            <v>5.2569865139067584E-2</v>
          </cell>
          <cell r="Y88">
            <v>6.0560231692703637E-2</v>
          </cell>
          <cell r="Z88">
            <v>6.5205269475576921E-2</v>
          </cell>
          <cell r="AA88">
            <v>5.7775963651132134E-2</v>
          </cell>
          <cell r="AB88">
            <v>5.2269178359962698E-2</v>
          </cell>
          <cell r="AC88">
            <v>5.9903069869829073E-2</v>
          </cell>
          <cell r="AD88">
            <v>5.7896740745494002E-2</v>
          </cell>
          <cell r="AE88">
            <v>5.68300552640848E-2</v>
          </cell>
          <cell r="AF88">
            <v>5.8683251645121004E-2</v>
          </cell>
          <cell r="AG88">
            <v>5.9679262256188581E-2</v>
          </cell>
          <cell r="AH88">
            <v>7.3675877452435534E-2</v>
          </cell>
          <cell r="AI88">
            <v>7.9476496949962616E-2</v>
          </cell>
          <cell r="AJ88">
            <v>8.4376120875815364E-2</v>
          </cell>
          <cell r="AK88">
            <v>8.3595813201770883E-2</v>
          </cell>
          <cell r="AL88">
            <v>6.676780532973936E-2</v>
          </cell>
          <cell r="AM88">
            <v>5.379529445076292E-2</v>
          </cell>
          <cell r="AN88">
            <v>5.6153053005588482E-2</v>
          </cell>
          <cell r="AO88">
            <v>6.7757432109603499E-2</v>
          </cell>
          <cell r="AP88">
            <v>7.6487013005069882E-2</v>
          </cell>
          <cell r="AQ88">
            <v>8.6976584242201907E-2</v>
          </cell>
          <cell r="AR88">
            <v>9.4328086966191993E-2</v>
          </cell>
          <cell r="AS88">
            <v>8.5587160355268033E-2</v>
          </cell>
          <cell r="AT88">
            <v>8.9366095945671464E-2</v>
          </cell>
          <cell r="AU88">
            <v>9.0871166951861149E-2</v>
          </cell>
          <cell r="AV88">
            <v>8.0831933841144052E-2</v>
          </cell>
          <cell r="AW88">
            <v>9.1859914511920771E-2</v>
          </cell>
          <cell r="AX88">
            <v>0.10326189022538834</v>
          </cell>
          <cell r="AY88">
            <v>0.10761386414758235</v>
          </cell>
          <cell r="AZ88">
            <v>0.1053426766998693</v>
          </cell>
          <cell r="BA88">
            <v>9.007842693660105E-2</v>
          </cell>
          <cell r="BB88">
            <v>7.9558080981864343E-2</v>
          </cell>
          <cell r="BC88">
            <v>8.0360871391988109E-2</v>
          </cell>
          <cell r="BD88">
            <v>7.117201619406277E-2</v>
          </cell>
          <cell r="BE88">
            <v>6.1372757379928089E-2</v>
          </cell>
          <cell r="BF88">
            <v>5.8138954690363898E-2</v>
          </cell>
          <cell r="BG88">
            <v>6.2178541915001606E-2</v>
          </cell>
          <cell r="BH88">
            <v>6.6393515099896439E-2</v>
          </cell>
          <cell r="BI88">
            <v>7.0282944504912681E-2</v>
          </cell>
          <cell r="BJ88">
            <v>7.374074216817128E-2</v>
          </cell>
          <cell r="BK88">
            <v>6.2021364758243047E-2</v>
          </cell>
          <cell r="BL88">
            <v>5.6919411490562011E-2</v>
          </cell>
          <cell r="BM88">
            <v>6.3761912259118647E-2</v>
          </cell>
          <cell r="BN88">
            <v>5.875313444498409E-2</v>
          </cell>
          <cell r="BO88">
            <v>5.1291107921038748E-2</v>
          </cell>
          <cell r="BP88">
            <v>5.0182425554365917E-2</v>
          </cell>
          <cell r="BQ88">
            <v>4.2497881646039959E-2</v>
          </cell>
          <cell r="BR88">
            <v>3.2832317544658762E-2</v>
          </cell>
          <cell r="BS88">
            <v>2.964765669252567E-2</v>
          </cell>
          <cell r="BT88">
            <v>3.1018976045242397E-2</v>
          </cell>
          <cell r="BU88">
            <v>3.4553197790511136E-2</v>
          </cell>
          <cell r="BV88">
            <v>3.9160751055448806E-2</v>
          </cell>
          <cell r="BW88">
            <v>4.0866207587649583E-2</v>
          </cell>
          <cell r="BX88">
            <v>4.1558519826635942E-2</v>
          </cell>
          <cell r="BY88">
            <v>3.7805953254887781E-2</v>
          </cell>
          <cell r="BZ88">
            <v>3.3345746670791376E-2</v>
          </cell>
          <cell r="CA88">
            <v>3.2781316187448839E-2</v>
          </cell>
          <cell r="CB88">
            <v>3.0197451978076328E-2</v>
          </cell>
          <cell r="CC88">
            <v>2.69280418465081E-2</v>
          </cell>
          <cell r="CD88">
            <v>2.717372880716673E-2</v>
          </cell>
          <cell r="CE88">
            <v>2.632080671166781E-2</v>
          </cell>
          <cell r="CF88">
            <v>2.4857917594106382E-2</v>
          </cell>
          <cell r="CG88">
            <v>2.3316626648146155E-2</v>
          </cell>
          <cell r="CH88">
            <v>2.1575877070242555E-2</v>
          </cell>
          <cell r="CI88">
            <v>2.1475996699456879E-2</v>
          </cell>
          <cell r="CJ88">
            <v>2.2231493788246182E-2</v>
          </cell>
          <cell r="CK88">
            <v>2.4208360185713929E-2</v>
          </cell>
          <cell r="CL88">
            <v>2.6252035932903928E-2</v>
          </cell>
          <cell r="CM88">
            <v>2.9386700627324291E-2</v>
          </cell>
          <cell r="CN88">
            <v>3.1763937168866496E-2</v>
          </cell>
          <cell r="CO88">
            <v>3.3930385192611823E-2</v>
          </cell>
          <cell r="CP88">
            <v>3.4654223000067041E-2</v>
          </cell>
          <cell r="CQ88">
            <v>3.5137324603719877E-2</v>
          </cell>
          <cell r="CR88">
            <v>3.6096440047710399E-2</v>
          </cell>
          <cell r="CS88">
            <v>3.6465105273620457E-2</v>
          </cell>
          <cell r="CT88">
            <v>3.7191416582935677E-2</v>
          </cell>
          <cell r="CU88">
            <v>3.6153550460477746E-2</v>
          </cell>
          <cell r="CV88">
            <v>3.234364952026092E-2</v>
          </cell>
          <cell r="CW88">
            <v>2.9933006156816155E-2</v>
          </cell>
          <cell r="CX88">
            <v>3.0965785175655736E-2</v>
          </cell>
          <cell r="CY88">
            <v>3.2352845155969812E-2</v>
          </cell>
          <cell r="CZ88">
            <v>3.284793382994633E-2</v>
          </cell>
          <cell r="DA88">
            <v>3.3011787221167266E-2</v>
          </cell>
          <cell r="DB88">
            <v>3.1908318611376663E-2</v>
          </cell>
          <cell r="DC88">
            <v>2.9433741029755378E-2</v>
          </cell>
          <cell r="DD88">
            <v>2.8608894333959745E-2</v>
          </cell>
          <cell r="DE88">
            <v>2.6013693337987087E-2</v>
          </cell>
          <cell r="DF88">
            <v>2.3249952278389774E-2</v>
          </cell>
          <cell r="DG88">
            <v>2.0250630559928595E-2</v>
          </cell>
          <cell r="DH88">
            <v>1.5879043217825073E-2</v>
          </cell>
          <cell r="DI88">
            <v>1.3962308626912945E-2</v>
          </cell>
          <cell r="DJ88">
            <v>1.3847259246271948E-2</v>
          </cell>
          <cell r="DK88">
            <v>1.5571080394595649E-2</v>
          </cell>
          <cell r="DL88">
            <v>1.7643934547550755E-2</v>
          </cell>
          <cell r="DM88">
            <v>1.5410984686798246E-2</v>
          </cell>
          <cell r="DN88">
            <v>1.4780506171763408E-2</v>
          </cell>
          <cell r="DO88">
            <v>1.9768530045528143E-2</v>
          </cell>
          <cell r="DP88">
            <v>2.6184429690623512E-2</v>
          </cell>
          <cell r="DQ88">
            <v>3.3300633541920144E-2</v>
          </cell>
          <cell r="DR88">
            <v>3.7701250705945322E-2</v>
          </cell>
          <cell r="DS88">
            <v>3.9848265998415622E-2</v>
          </cell>
          <cell r="DT88">
            <v>4.0317782626018817E-2</v>
          </cell>
          <cell r="DU88">
            <v>3.7932210580863712E-2</v>
          </cell>
          <cell r="DV88">
            <v>3.2511071351760901E-2</v>
          </cell>
          <cell r="DW88">
            <v>2.5686745242559317E-2</v>
          </cell>
          <cell r="DX88">
            <v>2.1600126986190293E-2</v>
          </cell>
          <cell r="DY88">
            <v>2.0282924243014255E-2</v>
          </cell>
          <cell r="DZ88">
            <v>2.0002027540050982E-2</v>
          </cell>
          <cell r="EA88">
            <v>2.0991750606981663E-2</v>
          </cell>
          <cell r="EB88">
            <v>2.2823137373980007E-2</v>
          </cell>
          <cell r="EC88">
            <v>2.5527056438700235E-2</v>
          </cell>
          <cell r="ED88">
            <v>2.7765810155555126E-2</v>
          </cell>
          <cell r="EE88">
            <v>2.8779041961061624E-2</v>
          </cell>
          <cell r="EF88">
            <v>2.8502608940657259E-2</v>
          </cell>
          <cell r="EG88">
            <v>2.9803096261785678E-2</v>
          </cell>
          <cell r="EH88">
            <v>3.3600497060578549E-2</v>
          </cell>
          <cell r="EI88">
            <v>3.3780911026782601E-2</v>
          </cell>
          <cell r="EJ88">
            <v>3.2256000000000062E-2</v>
          </cell>
          <cell r="EK88">
            <v>3.0731999999999982E-2</v>
          </cell>
          <cell r="EL88">
            <v>2.9210249999999993E-2</v>
          </cell>
          <cell r="EM88">
            <v>2.9210249999999993E-2</v>
          </cell>
          <cell r="EN88">
            <v>2.9210249999999993E-2</v>
          </cell>
          <cell r="EO88">
            <v>2.9210249999999993E-2</v>
          </cell>
          <cell r="EP88">
            <v>2.9210249999999993E-2</v>
          </cell>
          <cell r="EQ88">
            <v>2.9210249999999993E-2</v>
          </cell>
          <cell r="ER88">
            <v>2.9210249999999993E-2</v>
          </cell>
          <cell r="ES88">
            <v>2.9210249999999993E-2</v>
          </cell>
          <cell r="ET88">
            <v>2.9210249999999993E-2</v>
          </cell>
          <cell r="EU88">
            <v>2.9210249999999993E-2</v>
          </cell>
          <cell r="EV88">
            <v>2.7181249999999935E-2</v>
          </cell>
          <cell r="EW88">
            <v>2.5156249999999991E-2</v>
          </cell>
          <cell r="EX88">
            <v>2.5156249999999991E-2</v>
          </cell>
          <cell r="EY88">
            <v>2.5156249999999991E-2</v>
          </cell>
          <cell r="EZ88">
            <v>2.2624999999999895E-2</v>
          </cell>
          <cell r="FA88">
            <v>2.0100000000000007E-2</v>
          </cell>
          <cell r="FB88">
            <v>2.0100000000000007E-2</v>
          </cell>
          <cell r="FC88">
            <v>2.0100000000000007E-2</v>
          </cell>
          <cell r="FD88">
            <v>2.0100000000000007E-2</v>
          </cell>
          <cell r="FE88">
            <v>2.0100000000000007E-2</v>
          </cell>
          <cell r="FF88">
            <v>2.0100000000000007E-2</v>
          </cell>
          <cell r="FG88">
            <v>2.0100000000000007E-2</v>
          </cell>
          <cell r="FH88">
            <v>2.0100000000000007E-2</v>
          </cell>
          <cell r="FI88">
            <v>2.0100000000000007E-2</v>
          </cell>
          <cell r="FJ88">
            <v>2.0100000000000007E-2</v>
          </cell>
          <cell r="FK88">
            <v>2.0100000000000007E-2</v>
          </cell>
          <cell r="FL88">
            <v>2.0100000000000007E-2</v>
          </cell>
          <cell r="FM88">
            <v>2.0100000000000007E-2</v>
          </cell>
          <cell r="FN88">
            <v>2.0100000000000007E-2</v>
          </cell>
          <cell r="FO88">
            <v>2.0100000000000007E-2</v>
          </cell>
          <cell r="FP88">
            <v>2.0100000000000007E-2</v>
          </cell>
          <cell r="FQ88">
            <v>2.0100000000000007E-2</v>
          </cell>
          <cell r="FR88">
            <v>2.0100000000000007E-2</v>
          </cell>
          <cell r="FS88">
            <v>2.0100000000000007E-2</v>
          </cell>
          <cell r="FT88">
            <v>2.0100000000000007E-2</v>
          </cell>
          <cell r="FU88">
            <v>2.0100000000000007E-2</v>
          </cell>
        </row>
        <row r="89">
          <cell r="A89" t="str">
            <v>6MoSystemAUBCg</v>
          </cell>
          <cell r="B89" t="str">
            <v>Australian business</v>
          </cell>
          <cell r="D89">
            <v>-3.3295841711464158E-2</v>
          </cell>
          <cell r="E89">
            <v>-2.993401633403614E-2</v>
          </cell>
          <cell r="F89">
            <v>-2.6546006989944582E-2</v>
          </cell>
          <cell r="G89">
            <v>-4.0068740577520308E-2</v>
          </cell>
          <cell r="H89">
            <v>-2.7150356199164283E-2</v>
          </cell>
          <cell r="I89">
            <v>-6.9496520099436854E-3</v>
          </cell>
          <cell r="J89">
            <v>-1.1797081643932228E-2</v>
          </cell>
          <cell r="K89">
            <v>-7.5522919870660843E-3</v>
          </cell>
          <cell r="L89">
            <v>-5.493923709442794E-3</v>
          </cell>
          <cell r="M89">
            <v>4.2926405328702621E-3</v>
          </cell>
          <cell r="N89">
            <v>1.5309910799833126E-2</v>
          </cell>
          <cell r="O89">
            <v>1.9522508776163461E-2</v>
          </cell>
          <cell r="P89">
            <v>2.1171741195670668E-2</v>
          </cell>
          <cell r="Q89">
            <v>3.6030373168929097E-2</v>
          </cell>
          <cell r="R89">
            <v>4.9770130192503093E-2</v>
          </cell>
          <cell r="S89">
            <v>6.3506440641011741E-2</v>
          </cell>
          <cell r="T89">
            <v>8.4274563903184538E-2</v>
          </cell>
          <cell r="U89">
            <v>6.6549328897073545E-2</v>
          </cell>
          <cell r="V89">
            <v>4.701904416313174E-2</v>
          </cell>
          <cell r="W89">
            <v>4.4074476173463717E-2</v>
          </cell>
          <cell r="X89">
            <v>3.5033380147897253E-2</v>
          </cell>
          <cell r="Y89">
            <v>4.6698204799859422E-2</v>
          </cell>
          <cell r="Z89">
            <v>6.4402550232113942E-2</v>
          </cell>
          <cell r="AA89">
            <v>6.6065342387207515E-2</v>
          </cell>
          <cell r="AB89">
            <v>4.5877457013594469E-2</v>
          </cell>
          <cell r="AC89">
            <v>3.5177935839635577E-2</v>
          </cell>
          <cell r="AD89">
            <v>4.4243049764415732E-2</v>
          </cell>
          <cell r="AE89">
            <v>4.5968037722158295E-2</v>
          </cell>
          <cell r="AF89">
            <v>4.4208426211451046E-2</v>
          </cell>
          <cell r="AG89">
            <v>3.6070648548473416E-2</v>
          </cell>
          <cell r="AH89">
            <v>2.9215896329007451E-2</v>
          </cell>
          <cell r="AI89">
            <v>3.4469206566665189E-2</v>
          </cell>
          <cell r="AJ89">
            <v>4.4577731417406063E-2</v>
          </cell>
          <cell r="AK89">
            <v>5.0298164398484779E-2</v>
          </cell>
          <cell r="AL89">
            <v>4.817296342177424E-2</v>
          </cell>
          <cell r="AM89">
            <v>3.3681838226626182E-2</v>
          </cell>
          <cell r="AN89">
            <v>3.6227332161959058E-2</v>
          </cell>
          <cell r="AO89">
            <v>2.8848408784119872E-2</v>
          </cell>
          <cell r="AP89">
            <v>-1.9953836110875312E-3</v>
          </cell>
          <cell r="AQ89">
            <v>-6.7569371074661655E-3</v>
          </cell>
          <cell r="AR89">
            <v>6.7140274895243213E-3</v>
          </cell>
          <cell r="AS89">
            <v>2.4646784911365627E-2</v>
          </cell>
          <cell r="AT89">
            <v>4.0535797021749698E-2</v>
          </cell>
          <cell r="AU89">
            <v>2.6047775356244696E-2</v>
          </cell>
          <cell r="AV89">
            <v>3.5949960591146191E-2</v>
          </cell>
          <cell r="AW89">
            <v>3.7408151930289568E-2</v>
          </cell>
          <cell r="AX89">
            <v>2.8767367457515292E-2</v>
          </cell>
          <cell r="AY89">
            <v>5.0338508616727173E-2</v>
          </cell>
          <cell r="AZ89">
            <v>3.1024920386234056E-2</v>
          </cell>
          <cell r="BA89">
            <v>3.3848099798144959E-2</v>
          </cell>
          <cell r="BB89">
            <v>5.2961025855101873E-2</v>
          </cell>
          <cell r="BC89">
            <v>4.4852042334824427E-2</v>
          </cell>
          <cell r="BD89">
            <v>5.2816160024864667E-2</v>
          </cell>
          <cell r="BE89">
            <v>6.7484654811637679E-2</v>
          </cell>
          <cell r="BF89">
            <v>7.4262370279938761E-2</v>
          </cell>
          <cell r="BG89">
            <v>7.9662180078038825E-2</v>
          </cell>
          <cell r="BH89">
            <v>8.48457821831059E-2</v>
          </cell>
          <cell r="BI89">
            <v>8.1708113212727293E-2</v>
          </cell>
          <cell r="BJ89">
            <v>7.114859088521519E-2</v>
          </cell>
          <cell r="BK89">
            <v>7.303648778295968E-2</v>
          </cell>
          <cell r="BL89">
            <v>9.0754448481126668E-2</v>
          </cell>
          <cell r="BM89">
            <v>0.11201916779060372</v>
          </cell>
          <cell r="BN89">
            <v>0.12028605941619031</v>
          </cell>
          <cell r="BO89">
            <v>0.11571849923918066</v>
          </cell>
          <cell r="BP89">
            <v>8.565231163730358E-2</v>
          </cell>
          <cell r="BQ89">
            <v>4.6724582715452989E-2</v>
          </cell>
          <cell r="BR89">
            <v>4.8409626458220556E-2</v>
          </cell>
          <cell r="BS89">
            <v>4.0934364913318255E-2</v>
          </cell>
          <cell r="BT89">
            <v>2.4801139814889517E-3</v>
          </cell>
          <cell r="BU89">
            <v>-2.787028283774462E-2</v>
          </cell>
          <cell r="BV89">
            <v>-4.1874125153024577E-2</v>
          </cell>
          <cell r="BW89">
            <v>-3.8879846608948831E-2</v>
          </cell>
          <cell r="BX89">
            <v>-2.0672426452357451E-2</v>
          </cell>
          <cell r="BY89">
            <v>-2.6267279083277417E-3</v>
          </cell>
          <cell r="BZ89">
            <v>-1.4714796366349758E-2</v>
          </cell>
          <cell r="CA89">
            <v>-1.8954622776967911E-2</v>
          </cell>
          <cell r="CB89">
            <v>6.7767047184863483E-3</v>
          </cell>
          <cell r="CC89">
            <v>-7.0095551661353284E-3</v>
          </cell>
          <cell r="CD89">
            <v>-8.1065520493061038E-3</v>
          </cell>
          <cell r="CE89">
            <v>1.682074517062393E-2</v>
          </cell>
          <cell r="CF89">
            <v>1.799016341009918E-2</v>
          </cell>
          <cell r="CG89">
            <v>2.7100723840115748E-2</v>
          </cell>
          <cell r="CH89">
            <v>2.2053392770545299E-2</v>
          </cell>
          <cell r="CI89">
            <v>5.1525599982349402E-3</v>
          </cell>
          <cell r="CJ89">
            <v>-1.6387438959093448E-3</v>
          </cell>
          <cell r="CK89">
            <v>7.3881124280041899E-3</v>
          </cell>
          <cell r="CL89">
            <v>1.193989246837468E-2</v>
          </cell>
          <cell r="CM89">
            <v>8.6004310669076656E-3</v>
          </cell>
          <cell r="CN89">
            <v>1.3799026038668227E-2</v>
          </cell>
          <cell r="CO89">
            <v>2.5772884259989581E-2</v>
          </cell>
          <cell r="CP89">
            <v>2.3656202171627783E-2</v>
          </cell>
          <cell r="CQ89">
            <v>2.0328685158980342E-2</v>
          </cell>
          <cell r="CR89">
            <v>3.0051425761757233E-2</v>
          </cell>
          <cell r="CS89">
            <v>2.4144335402519035E-2</v>
          </cell>
          <cell r="CT89">
            <v>3.2645195958608708E-2</v>
          </cell>
          <cell r="CU89">
            <v>3.944771671334335E-2</v>
          </cell>
          <cell r="CV89">
            <v>3.1772528517604925E-2</v>
          </cell>
          <cell r="CW89">
            <v>2.610079285070932E-2</v>
          </cell>
          <cell r="CX89">
            <v>1.677530373388203E-2</v>
          </cell>
          <cell r="CY89">
            <v>2.8772761684618731E-2</v>
          </cell>
          <cell r="CZ89">
            <v>1.665699856938252E-2</v>
          </cell>
          <cell r="DA89">
            <v>1.249423946365158E-2</v>
          </cell>
          <cell r="DB89">
            <v>2.447671159557796E-2</v>
          </cell>
          <cell r="DC89">
            <v>1.8309188322077397E-2</v>
          </cell>
          <cell r="DD89">
            <v>1.3977591663487221E-2</v>
          </cell>
          <cell r="DE89">
            <v>1.2761645605253502E-2</v>
          </cell>
          <cell r="DF89">
            <v>2.9432017422115431E-2</v>
          </cell>
          <cell r="DG89">
            <v>3.4599595838659347E-2</v>
          </cell>
          <cell r="DH89">
            <v>1.8544263770812197E-2</v>
          </cell>
          <cell r="DI89">
            <v>5.5694976696569753E-3</v>
          </cell>
          <cell r="DJ89">
            <v>1.1499413734860964E-2</v>
          </cell>
          <cell r="DK89">
            <v>1.3128106927586813E-2</v>
          </cell>
          <cell r="DL89">
            <v>3.6949610399473309E-2</v>
          </cell>
          <cell r="DM89">
            <v>1.7246257789982122E-2</v>
          </cell>
          <cell r="DN89">
            <v>-2.5860677339568094E-2</v>
          </cell>
          <cell r="DO89">
            <v>-1.4772670337225069E-2</v>
          </cell>
          <cell r="DP89">
            <v>2.0917087222984687E-3</v>
          </cell>
          <cell r="DQ89">
            <v>2.2267170706980366E-2</v>
          </cell>
          <cell r="DR89">
            <v>3.9569421985749642E-2</v>
          </cell>
          <cell r="DS89">
            <v>5.2811954971644592E-2</v>
          </cell>
          <cell r="DT89">
            <v>5.0434501523235475E-2</v>
          </cell>
          <cell r="DU89">
            <v>6.302117003736929E-2</v>
          </cell>
          <cell r="DV89">
            <v>7.900988560464639E-2</v>
          </cell>
          <cell r="DW89">
            <v>4.9766152511238282E-2</v>
          </cell>
          <cell r="DX89">
            <v>2.3681325522372454E-2</v>
          </cell>
          <cell r="DY89">
            <v>2.9922622377723362E-2</v>
          </cell>
          <cell r="DZ89">
            <v>4.1686911003573357E-2</v>
          </cell>
          <cell r="EA89">
            <v>3.279190970107515E-2</v>
          </cell>
          <cell r="EB89">
            <v>3.3924736616333773E-2</v>
          </cell>
          <cell r="EC89">
            <v>4.4032840673021933E-2</v>
          </cell>
          <cell r="ED89">
            <v>4.0573827443633359E-2</v>
          </cell>
          <cell r="EE89">
            <v>4.7444598675414174E-2</v>
          </cell>
          <cell r="EF89">
            <v>4.300006955528235E-2</v>
          </cell>
          <cell r="EG89">
            <v>3.7318000040146959E-2</v>
          </cell>
          <cell r="EH89">
            <v>4.8989678483534194E-2</v>
          </cell>
          <cell r="EI89">
            <v>5.3183819994487846E-2</v>
          </cell>
          <cell r="EJ89">
            <v>4.5499999999999874E-2</v>
          </cell>
          <cell r="EK89">
            <v>4.0399999999999991E-2</v>
          </cell>
          <cell r="EL89">
            <v>3.5299999999999887E-2</v>
          </cell>
          <cell r="EM89">
            <v>3.0224999999999724E-2</v>
          </cell>
          <cell r="EN89">
            <v>3.0224999999999724E-2</v>
          </cell>
          <cell r="EO89">
            <v>3.0224999999999724E-2</v>
          </cell>
          <cell r="EP89">
            <v>2.5150000000000006E-2</v>
          </cell>
          <cell r="EQ89">
            <v>2.0100000000000007E-2</v>
          </cell>
          <cell r="ER89">
            <v>2.0100000000000007E-2</v>
          </cell>
          <cell r="ES89">
            <v>2.0100000000000007E-2</v>
          </cell>
          <cell r="ET89">
            <v>2.0100000000000007E-2</v>
          </cell>
          <cell r="EU89">
            <v>2.0100000000000007E-2</v>
          </cell>
          <cell r="EV89">
            <v>2.0100000000000007E-2</v>
          </cell>
          <cell r="EW89">
            <v>2.0100000000000007E-2</v>
          </cell>
          <cell r="EX89">
            <v>2.0100000000000007E-2</v>
          </cell>
          <cell r="EY89">
            <v>2.0100000000000007E-2</v>
          </cell>
          <cell r="EZ89">
            <v>2.0100000000000007E-2</v>
          </cell>
          <cell r="FA89">
            <v>2.0100000000000007E-2</v>
          </cell>
          <cell r="FB89">
            <v>2.0100000000000007E-2</v>
          </cell>
          <cell r="FC89">
            <v>2.0100000000000007E-2</v>
          </cell>
          <cell r="FD89">
            <v>2.0100000000000007E-2</v>
          </cell>
          <cell r="FE89">
            <v>2.0100000000000007E-2</v>
          </cell>
          <cell r="FF89">
            <v>2.0100000000000007E-2</v>
          </cell>
          <cell r="FG89">
            <v>2.0100000000000007E-2</v>
          </cell>
          <cell r="FH89">
            <v>2.0100000000000007E-2</v>
          </cell>
          <cell r="FI89">
            <v>2.0100000000000007E-2</v>
          </cell>
          <cell r="FJ89">
            <v>2.0100000000000007E-2</v>
          </cell>
          <cell r="FK89">
            <v>2.0100000000000007E-2</v>
          </cell>
          <cell r="FL89">
            <v>2.0100000000000007E-2</v>
          </cell>
          <cell r="FM89">
            <v>2.0100000000000007E-2</v>
          </cell>
          <cell r="FN89">
            <v>2.0100000000000007E-2</v>
          </cell>
          <cell r="FO89">
            <v>2.0100000000000007E-2</v>
          </cell>
          <cell r="FP89">
            <v>2.0100000000000007E-2</v>
          </cell>
          <cell r="FQ89">
            <v>2.0100000000000007E-2</v>
          </cell>
          <cell r="FR89">
            <v>2.0100000000000007E-2</v>
          </cell>
          <cell r="FS89">
            <v>2.0100000000000007E-2</v>
          </cell>
          <cell r="FT89">
            <v>2.0100000000000007E-2</v>
          </cell>
          <cell r="FU89">
            <v>2.0100000000000007E-2</v>
          </cell>
        </row>
        <row r="90">
          <cell r="A90" t="str">
            <v>6MoSystemAUPCg</v>
          </cell>
          <cell r="B90" t="str">
            <v>Australian personal</v>
          </cell>
          <cell r="D90">
            <v>-2.3835661488468163E-2</v>
          </cell>
          <cell r="E90">
            <v>-1.9704963909994544E-2</v>
          </cell>
          <cell r="F90">
            <v>-1.3266733120537055E-2</v>
          </cell>
          <cell r="G90">
            <v>1.6349606686858476E-3</v>
          </cell>
          <cell r="H90">
            <v>1.806979091905081E-3</v>
          </cell>
          <cell r="I90">
            <v>-6.9601219734453101E-3</v>
          </cell>
          <cell r="J90">
            <v>-2.7113369025844047E-4</v>
          </cell>
          <cell r="K90">
            <v>1.4914279851523604E-2</v>
          </cell>
          <cell r="L90">
            <v>1.8152251333475977E-2</v>
          </cell>
          <cell r="M90">
            <v>2.5624390445002865E-2</v>
          </cell>
          <cell r="N90">
            <v>3.0615935659199955E-2</v>
          </cell>
          <cell r="O90">
            <v>3.9418991239119627E-2</v>
          </cell>
          <cell r="P90">
            <v>4.9853770388701868E-2</v>
          </cell>
          <cell r="Q90">
            <v>5.9376573165015323E-2</v>
          </cell>
          <cell r="R90">
            <v>6.0046746218723079E-2</v>
          </cell>
          <cell r="S90">
            <v>4.144282933806509E-2</v>
          </cell>
          <cell r="T90">
            <v>3.8990587359338358E-2</v>
          </cell>
          <cell r="U90">
            <v>6.0162479889846354E-2</v>
          </cell>
          <cell r="V90">
            <v>7.3786471458982206E-2</v>
          </cell>
          <cell r="W90">
            <v>5.1827172832748625E-2</v>
          </cell>
          <cell r="X90">
            <v>3.3774163306311111E-2</v>
          </cell>
          <cell r="Y90">
            <v>3.3709447215492627E-2</v>
          </cell>
          <cell r="Z90">
            <v>3.9661960122211903E-2</v>
          </cell>
          <cell r="AA90">
            <v>6.60869721243591E-2</v>
          </cell>
          <cell r="AB90">
            <v>6.7739334760141379E-2</v>
          </cell>
          <cell r="AC90">
            <v>4.8438750078392045E-2</v>
          </cell>
          <cell r="AD90">
            <v>5.6073711131978898E-2</v>
          </cell>
          <cell r="AE90">
            <v>7.3204921006855495E-2</v>
          </cell>
          <cell r="AF90">
            <v>8.6690769505602727E-2</v>
          </cell>
          <cell r="AG90">
            <v>8.3200149704406368E-2</v>
          </cell>
          <cell r="AH90">
            <v>7.3838315761208584E-2</v>
          </cell>
          <cell r="AI90">
            <v>7.4470073909097767E-2</v>
          </cell>
          <cell r="AJ90">
            <v>7.5060751740559706E-2</v>
          </cell>
          <cell r="AK90">
            <v>8.0512325883317359E-2</v>
          </cell>
          <cell r="AL90">
            <v>5.3768598785746358E-2</v>
          </cell>
          <cell r="AM90">
            <v>5.7236838584606931E-2</v>
          </cell>
          <cell r="AN90">
            <v>6.9676165408415702E-2</v>
          </cell>
          <cell r="AO90">
            <v>4.6695950712707823E-2</v>
          </cell>
          <cell r="AP90">
            <v>3.6406755651311906E-2</v>
          </cell>
          <cell r="AQ90">
            <v>3.6784674928397987E-2</v>
          </cell>
          <cell r="AR90">
            <v>4.5227399917856292E-2</v>
          </cell>
          <cell r="AS90">
            <v>5.4100759563874723E-2</v>
          </cell>
          <cell r="AT90">
            <v>5.771318789890012E-2</v>
          </cell>
          <cell r="AU90">
            <v>4.1117964554073128E-2</v>
          </cell>
          <cell r="AV90">
            <v>4.7415098135860756E-2</v>
          </cell>
          <cell r="AW90">
            <v>7.9213828217173043E-2</v>
          </cell>
          <cell r="AX90">
            <v>8.317951742196561E-2</v>
          </cell>
          <cell r="AY90">
            <v>6.2284786764588151E-2</v>
          </cell>
          <cell r="AZ90">
            <v>5.8286927599551008E-2</v>
          </cell>
          <cell r="BA90">
            <v>5.1705284050848066E-2</v>
          </cell>
          <cell r="BB90">
            <v>5.2557723017667479E-2</v>
          </cell>
          <cell r="BC90">
            <v>7.6671753862013858E-2</v>
          </cell>
          <cell r="BD90">
            <v>6.9997484032544577E-2</v>
          </cell>
          <cell r="BE90">
            <v>5.3811404709885879E-2</v>
          </cell>
          <cell r="BF90">
            <v>5.5353987284401107E-2</v>
          </cell>
          <cell r="BG90">
            <v>4.3064796445451581E-2</v>
          </cell>
          <cell r="BH90">
            <v>4.2715275250303053E-2</v>
          </cell>
          <cell r="BI90">
            <v>5.2000803559967945E-2</v>
          </cell>
          <cell r="BJ90">
            <v>6.606324846984557E-2</v>
          </cell>
          <cell r="BK90">
            <v>5.9305626777635512E-2</v>
          </cell>
          <cell r="BL90">
            <v>4.8316392796795116E-2</v>
          </cell>
          <cell r="BM90">
            <v>9.6110843104088448E-2</v>
          </cell>
          <cell r="BN90">
            <v>6.6516574228735692E-2</v>
          </cell>
          <cell r="BO90">
            <v>3.7006190495543434E-2</v>
          </cell>
          <cell r="BP90">
            <v>3.2884586824436735E-2</v>
          </cell>
          <cell r="BQ90">
            <v>-3.7742003273921743E-3</v>
          </cell>
          <cell r="BR90">
            <v>-1.1498650757536977E-2</v>
          </cell>
          <cell r="BS90">
            <v>-4.6825360461187786E-2</v>
          </cell>
          <cell r="BT90">
            <v>-5.5931697593794238E-2</v>
          </cell>
          <cell r="BU90">
            <v>-2.504933378338059E-2</v>
          </cell>
          <cell r="BV90">
            <v>9.2808867573945797E-4</v>
          </cell>
          <cell r="BW90">
            <v>2.3266339307167039E-2</v>
          </cell>
          <cell r="BX90">
            <v>2.2454302666393255E-2</v>
          </cell>
          <cell r="BY90">
            <v>6.2604612045937813E-3</v>
          </cell>
          <cell r="BZ90">
            <v>5.5589603181911418E-3</v>
          </cell>
          <cell r="CA90">
            <v>6.3312224279026275E-3</v>
          </cell>
          <cell r="CB90">
            <v>4.6073130029744558E-3</v>
          </cell>
          <cell r="CC90">
            <v>2.0000962910726727E-4</v>
          </cell>
          <cell r="CD90">
            <v>-1.1694051188446686E-2</v>
          </cell>
          <cell r="CE90">
            <v>-9.528496030505873E-3</v>
          </cell>
          <cell r="CF90">
            <v>-1.9487018267291267E-3</v>
          </cell>
          <cell r="CG90">
            <v>-2.256565165471569E-3</v>
          </cell>
          <cell r="CH90">
            <v>-5.298699877677393E-3</v>
          </cell>
          <cell r="CI90">
            <v>-1.0542007909956075E-3</v>
          </cell>
          <cell r="CJ90">
            <v>4.7036118872998411E-3</v>
          </cell>
          <cell r="CK90">
            <v>3.7273851046053519E-3</v>
          </cell>
          <cell r="CL90">
            <v>2.1732847439002168E-3</v>
          </cell>
          <cell r="CM90">
            <v>2.9929935268935282E-3</v>
          </cell>
          <cell r="CN90">
            <v>1.6795449156183917E-3</v>
          </cell>
          <cell r="CO90">
            <v>4.1661246994046941E-3</v>
          </cell>
          <cell r="CP90">
            <v>9.3923997479976595E-3</v>
          </cell>
          <cell r="CQ90">
            <v>6.6593833997117269E-3</v>
          </cell>
          <cell r="CR90">
            <v>4.0207203699058613E-3</v>
          </cell>
          <cell r="CS90">
            <v>2.3086962466216665E-3</v>
          </cell>
          <cell r="CT90">
            <v>-9.4073730769528296E-5</v>
          </cell>
          <cell r="CU90">
            <v>-2.4832504940958122E-3</v>
          </cell>
          <cell r="CV90">
            <v>-4.6514213888356748E-3</v>
          </cell>
          <cell r="CW90">
            <v>-3.8085809535275406E-3</v>
          </cell>
          <cell r="CX90">
            <v>-4.7123538151451205E-3</v>
          </cell>
          <cell r="CY90">
            <v>-5.0479080547159993E-3</v>
          </cell>
          <cell r="CZ90">
            <v>-5.6861525861319206E-3</v>
          </cell>
          <cell r="DA90">
            <v>-4.3642657714382249E-3</v>
          </cell>
          <cell r="DB90">
            <v>-3.1390046613766209E-3</v>
          </cell>
          <cell r="DC90">
            <v>-7.8462055040069423E-3</v>
          </cell>
          <cell r="DD90">
            <v>-8.3899289042788094E-3</v>
          </cell>
          <cell r="DE90">
            <v>-5.0186713620039569E-3</v>
          </cell>
          <cell r="DF90">
            <v>-5.596918592585487E-3</v>
          </cell>
          <cell r="DG90">
            <v>-1.6641122571718125E-2</v>
          </cell>
          <cell r="DH90">
            <v>-2.2817439701753095E-2</v>
          </cell>
          <cell r="DI90">
            <v>-1.8248279402219292E-2</v>
          </cell>
          <cell r="DJ90">
            <v>-2.0274284931587339E-2</v>
          </cell>
          <cell r="DK90">
            <v>-3.1605172739333165E-2</v>
          </cell>
          <cell r="DL90">
            <v>-4.7835379054442795E-2</v>
          </cell>
          <cell r="DM90">
            <v>-7.9034853165804386E-2</v>
          </cell>
          <cell r="DN90">
            <v>-8.5728368295838062E-2</v>
          </cell>
          <cell r="DO90">
            <v>-4.9577841925903421E-2</v>
          </cell>
          <cell r="DP90">
            <v>-2.369839025217646E-2</v>
          </cell>
          <cell r="DQ90">
            <v>-1.3556487758487279E-2</v>
          </cell>
          <cell r="DR90">
            <v>-3.1141469935002219E-2</v>
          </cell>
          <cell r="DS90">
            <v>-2.3466226481812402E-2</v>
          </cell>
          <cell r="DT90">
            <v>-6.6448395349250067E-4</v>
          </cell>
          <cell r="DU90">
            <v>-3.8105034669889681E-3</v>
          </cell>
          <cell r="DV90">
            <v>-2.2009548549577485E-3</v>
          </cell>
          <cell r="DW90">
            <v>-1.2485812521589867E-4</v>
          </cell>
          <cell r="DX90">
            <v>9.1975599108029549E-4</v>
          </cell>
          <cell r="DY90">
            <v>4.2569201473749985E-3</v>
          </cell>
          <cell r="DZ90">
            <v>1.8065256445970235E-2</v>
          </cell>
          <cell r="EA90">
            <v>1.4382025908990848E-2</v>
          </cell>
          <cell r="EB90">
            <v>1.4119537150760308E-2</v>
          </cell>
          <cell r="EC90">
            <v>1.4098566489183728E-2</v>
          </cell>
          <cell r="ED90">
            <v>9.2649760469187825E-3</v>
          </cell>
          <cell r="EE90">
            <v>1.2008362856064325E-2</v>
          </cell>
          <cell r="EF90">
            <v>1.3501639363060702E-2</v>
          </cell>
          <cell r="EG90">
            <v>2.5030370796491619E-2</v>
          </cell>
          <cell r="EH90">
            <v>2.9744172402080826E-2</v>
          </cell>
          <cell r="EI90">
            <v>2.5466853681238355E-2</v>
          </cell>
          <cell r="EJ90">
            <v>2.2119999999999918E-2</v>
          </cell>
          <cell r="EK90">
            <v>2.0100000000000007E-2</v>
          </cell>
          <cell r="EL90">
            <v>1.7575000000000118E-2</v>
          </cell>
          <cell r="EM90">
            <v>1.2537499999999868E-2</v>
          </cell>
          <cell r="EN90">
            <v>1.0024999999999729E-2</v>
          </cell>
          <cell r="EO90">
            <v>1.0024999999999729E-2</v>
          </cell>
          <cell r="EP90">
            <v>1.0024999999999729E-2</v>
          </cell>
          <cell r="EQ90">
            <v>1.0024999999999729E-2</v>
          </cell>
          <cell r="ER90">
            <v>1.0024999999999729E-2</v>
          </cell>
          <cell r="ES90">
            <v>1.0024999999999729E-2</v>
          </cell>
          <cell r="ET90">
            <v>1.0024999999999729E-2</v>
          </cell>
          <cell r="EU90">
            <v>1.0024999999999729E-2</v>
          </cell>
          <cell r="EV90">
            <v>1.0024999999999729E-2</v>
          </cell>
          <cell r="EW90">
            <v>1.0024999999999729E-2</v>
          </cell>
          <cell r="EX90">
            <v>1.0024999999999729E-2</v>
          </cell>
          <cell r="EY90">
            <v>1.0024999999999729E-2</v>
          </cell>
          <cell r="EZ90">
            <v>1.0024999999999729E-2</v>
          </cell>
          <cell r="FA90">
            <v>1.0024999999999729E-2</v>
          </cell>
          <cell r="FB90">
            <v>1.0024999999999729E-2</v>
          </cell>
          <cell r="FC90">
            <v>1.0024999999999729E-2</v>
          </cell>
          <cell r="FD90">
            <v>1.0024999999999729E-2</v>
          </cell>
          <cell r="FE90">
            <v>1.0024999999999729E-2</v>
          </cell>
          <cell r="FF90">
            <v>1.0024999999999729E-2</v>
          </cell>
          <cell r="FG90">
            <v>1.0024999999999729E-2</v>
          </cell>
          <cell r="FH90">
            <v>1.0024999999999729E-2</v>
          </cell>
          <cell r="FI90">
            <v>1.0024999999999729E-2</v>
          </cell>
          <cell r="FJ90">
            <v>1.0024999999999729E-2</v>
          </cell>
          <cell r="FK90">
            <v>1.0024999999999729E-2</v>
          </cell>
          <cell r="FL90">
            <v>1.0024999999999729E-2</v>
          </cell>
          <cell r="FM90">
            <v>1.0024999999999729E-2</v>
          </cell>
          <cell r="FN90">
            <v>1.0024999999999729E-2</v>
          </cell>
          <cell r="FO90">
            <v>1.0024999999999729E-2</v>
          </cell>
          <cell r="FP90">
            <v>1.0024999999999729E-2</v>
          </cell>
          <cell r="FQ90">
            <v>1.0024999999999729E-2</v>
          </cell>
          <cell r="FR90">
            <v>1.0024999999999729E-2</v>
          </cell>
          <cell r="FS90">
            <v>1.0024999999999729E-2</v>
          </cell>
          <cell r="FT90">
            <v>1.0024999999999729E-2</v>
          </cell>
          <cell r="FU90">
            <v>1.0024999999999729E-2</v>
          </cell>
        </row>
        <row r="91">
          <cell r="A91" t="str">
            <v>6MoSystemNZHCg</v>
          </cell>
          <cell r="B91" t="str">
            <v>New Zealand housing</v>
          </cell>
          <cell r="D91"/>
          <cell r="E91"/>
          <cell r="F91"/>
          <cell r="G91"/>
          <cell r="H91"/>
          <cell r="I91"/>
          <cell r="J91"/>
          <cell r="K91"/>
          <cell r="L91"/>
          <cell r="M91"/>
          <cell r="N91"/>
          <cell r="O91"/>
          <cell r="P91"/>
          <cell r="Q91"/>
          <cell r="R91"/>
          <cell r="S91"/>
          <cell r="T91"/>
          <cell r="U91"/>
          <cell r="V91"/>
          <cell r="W91"/>
          <cell r="X91"/>
          <cell r="Y91"/>
          <cell r="Z91"/>
          <cell r="AA91"/>
          <cell r="AB91"/>
          <cell r="AC91"/>
          <cell r="AD91"/>
          <cell r="AE91">
            <v>6.3192363965721476E-2</v>
          </cell>
          <cell r="AF91">
            <v>5.7235172498638187E-2</v>
          </cell>
          <cell r="AG91">
            <v>5.6033930391728548E-2</v>
          </cell>
          <cell r="AH91">
            <v>5.0765197159041708E-2</v>
          </cell>
          <cell r="AI91">
            <v>4.5827375808315196E-2</v>
          </cell>
          <cell r="AJ91">
            <v>3.875520678030564E-2</v>
          </cell>
          <cell r="AK91">
            <v>3.2335920068792268E-2</v>
          </cell>
          <cell r="AL91">
            <v>2.7049655974559439E-2</v>
          </cell>
          <cell r="AM91">
            <v>3.3797896091424251E-2</v>
          </cell>
          <cell r="AN91">
            <v>3.7956817951781519E-2</v>
          </cell>
          <cell r="AO91">
            <v>3.6253213768740356E-2</v>
          </cell>
          <cell r="AP91">
            <v>3.382724736631082E-2</v>
          </cell>
          <cell r="AQ91">
            <v>3.4732183873902978E-2</v>
          </cell>
          <cell r="AR91">
            <v>4.3430874029892541E-2</v>
          </cell>
          <cell r="AS91">
            <v>4.5713232252869718E-2</v>
          </cell>
          <cell r="AT91">
            <v>4.2092072781820589E-2</v>
          </cell>
          <cell r="AU91">
            <v>4.8847495243785621E-2</v>
          </cell>
          <cell r="AV91">
            <v>6.4322949644911587E-2</v>
          </cell>
          <cell r="AW91">
            <v>7.088583170284446E-2</v>
          </cell>
          <cell r="AX91">
            <v>7.6032921588409019E-2</v>
          </cell>
          <cell r="AY91">
            <v>8.6159386260891355E-2</v>
          </cell>
          <cell r="AZ91">
            <v>8.727555882862624E-2</v>
          </cell>
          <cell r="BA91">
            <v>7.9560152168328901E-2</v>
          </cell>
          <cell r="BB91">
            <v>7.3496557200816826E-2</v>
          </cell>
          <cell r="BC91">
            <v>7.5205136463744049E-2</v>
          </cell>
          <cell r="BD91">
            <v>8.0325263612520015E-2</v>
          </cell>
          <cell r="BE91">
            <v>7.8782009304269929E-2</v>
          </cell>
          <cell r="BF91">
            <v>7.6636293179489279E-2</v>
          </cell>
          <cell r="BG91">
            <v>7.6466863840616961E-2</v>
          </cell>
          <cell r="BH91">
            <v>6.9871813298032492E-2</v>
          </cell>
          <cell r="BI91">
            <v>6.4331556205785567E-2</v>
          </cell>
          <cell r="BJ91">
            <v>6.3369192850737166E-2</v>
          </cell>
          <cell r="BK91">
            <v>6.5701518049165131E-2</v>
          </cell>
          <cell r="BL91">
            <v>7.3732233783760925E-2</v>
          </cell>
          <cell r="BM91">
            <v>7.3440403698248335E-2</v>
          </cell>
          <cell r="BN91">
            <v>5.9363137471923455E-2</v>
          </cell>
          <cell r="BO91">
            <v>5.1097870538947987E-2</v>
          </cell>
          <cell r="BP91">
            <v>4.9798302081505152E-2</v>
          </cell>
          <cell r="BQ91">
            <v>3.2879571121567919E-2</v>
          </cell>
          <cell r="BR91">
            <v>1.733129849387316E-2</v>
          </cell>
          <cell r="BS91">
            <v>1.1039280138254837E-2</v>
          </cell>
          <cell r="BT91">
            <v>1.2901810169509753E-2</v>
          </cell>
          <cell r="BU91">
            <v>1.9053497510005846E-2</v>
          </cell>
          <cell r="BV91">
            <v>1.7751760585934306E-2</v>
          </cell>
          <cell r="BW91">
            <v>1.5889661290948043E-2</v>
          </cell>
          <cell r="BX91">
            <v>1.5898162791279091E-2</v>
          </cell>
          <cell r="BY91">
            <v>1.283679952221628E-2</v>
          </cell>
          <cell r="BZ91">
            <v>9.240106106606083E-3</v>
          </cell>
          <cell r="CA91">
            <v>4.8576515347127369E-3</v>
          </cell>
          <cell r="CB91">
            <v>5.6100802314438258E-3</v>
          </cell>
          <cell r="CC91">
            <v>9.54892090473769E-3</v>
          </cell>
          <cell r="CD91">
            <v>6.3958714408791639E-3</v>
          </cell>
          <cell r="CE91">
            <v>2.2493853265190822E-3</v>
          </cell>
          <cell r="CF91">
            <v>7.9391546981242289E-3</v>
          </cell>
          <cell r="CG91">
            <v>1.6157029421018487E-2</v>
          </cell>
          <cell r="CH91">
            <v>1.6515950910381383E-2</v>
          </cell>
          <cell r="CI91">
            <v>2.0068196188298026E-2</v>
          </cell>
          <cell r="CJ91">
            <v>2.7819936111286747E-2</v>
          </cell>
          <cell r="CK91">
            <v>3.0903335378405838E-2</v>
          </cell>
          <cell r="CL91">
            <v>2.9409977739500937E-2</v>
          </cell>
          <cell r="CM91">
            <v>2.6821823208806661E-2</v>
          </cell>
          <cell r="CN91">
            <v>2.6285887113755235E-2</v>
          </cell>
          <cell r="CO91">
            <v>2.5567302477871756E-2</v>
          </cell>
          <cell r="CP91">
            <v>2.0190862556701106E-2</v>
          </cell>
          <cell r="CQ91">
            <v>1.9902008232472124E-2</v>
          </cell>
          <cell r="CR91">
            <v>2.836631535592482E-2</v>
          </cell>
          <cell r="CS91">
            <v>3.3030255812164233E-2</v>
          </cell>
          <cell r="CT91">
            <v>3.7069934718028996E-2</v>
          </cell>
          <cell r="CU91">
            <v>3.9589437518197768E-2</v>
          </cell>
          <cell r="CV91">
            <v>3.8233274728698419E-2</v>
          </cell>
          <cell r="CW91">
            <v>4.6181190518283177E-2</v>
          </cell>
          <cell r="CX91">
            <v>4.877363423191694E-2</v>
          </cell>
          <cell r="CY91">
            <v>4.2649122754550017E-2</v>
          </cell>
          <cell r="CZ91">
            <v>3.6485522519171143E-2</v>
          </cell>
          <cell r="DA91">
            <v>3.12856404407722E-2</v>
          </cell>
          <cell r="DB91">
            <v>2.826269860807562E-2</v>
          </cell>
          <cell r="DC91">
            <v>2.6984800733129255E-2</v>
          </cell>
          <cell r="DD91">
            <v>2.8749460217483591E-2</v>
          </cell>
          <cell r="DE91">
            <v>3.0703416674021655E-2</v>
          </cell>
          <cell r="DF91">
            <v>2.9945014173203832E-2</v>
          </cell>
          <cell r="DG91">
            <v>2.9057210033953007E-2</v>
          </cell>
          <cell r="DH91">
            <v>3.1481678937635316E-2</v>
          </cell>
          <cell r="DI91">
            <v>3.3181408659850753E-2</v>
          </cell>
          <cell r="DJ91">
            <v>3.3877013880996287E-2</v>
          </cell>
          <cell r="DK91">
            <v>3.5241144683099801E-2</v>
          </cell>
          <cell r="DL91">
            <v>3.5618654385877635E-2</v>
          </cell>
          <cell r="DM91">
            <v>2.5992154698353032E-2</v>
          </cell>
          <cell r="DN91">
            <v>3.1517292751539028E-2</v>
          </cell>
          <cell r="DO91">
            <v>5.562717491595337E-2</v>
          </cell>
          <cell r="DP91">
            <v>6.4551889143756869E-2</v>
          </cell>
          <cell r="DQ91">
            <v>6.0200313323740762E-2</v>
          </cell>
          <cell r="DR91">
            <v>4.8199083573360779E-2</v>
          </cell>
          <cell r="DS91">
            <v>4.2185603577249209E-2</v>
          </cell>
          <cell r="DT91">
            <v>3.6961655787481451E-2</v>
          </cell>
          <cell r="DU91">
            <v>2.5849783689566808E-2</v>
          </cell>
          <cell r="DV91">
            <v>1.9538720049446567E-2</v>
          </cell>
          <cell r="DW91">
            <v>1.8868725618259807E-2</v>
          </cell>
          <cell r="DX91">
            <v>1.5700073566304873E-2</v>
          </cell>
          <cell r="DY91">
            <v>1.256112364608386E-2</v>
          </cell>
          <cell r="DZ91">
            <v>1.5109915135579577E-2</v>
          </cell>
          <cell r="EA91">
            <v>1.5956355428780933E-2</v>
          </cell>
          <cell r="EB91">
            <v>1.6105228473624722E-2</v>
          </cell>
          <cell r="EC91">
            <v>1.5688871585039843E-2</v>
          </cell>
          <cell r="ED91">
            <v>1.6730467984101827E-2</v>
          </cell>
          <cell r="EE91" t="e">
            <v>#N/A</v>
          </cell>
          <cell r="EF91">
            <v>2.4853717687836063E-2</v>
          </cell>
          <cell r="EG91" t="e">
            <v>#N/A</v>
          </cell>
          <cell r="EH91">
            <v>2.8439456099081717E-2</v>
          </cell>
          <cell r="EI91">
            <v>2.3710817062331246E-2</v>
          </cell>
          <cell r="EJ91">
            <v>2.0100000000000007E-2</v>
          </cell>
          <cell r="EK91">
            <v>2.0100000000000007E-2</v>
          </cell>
          <cell r="EL91">
            <v>2.0100000000000007E-2</v>
          </cell>
          <cell r="EM91">
            <v>2.0100000000000007E-2</v>
          </cell>
          <cell r="EN91">
            <v>2.0100000000000007E-2</v>
          </cell>
          <cell r="EO91">
            <v>2.0100000000000007E-2</v>
          </cell>
          <cell r="EP91">
            <v>2.0100000000000007E-2</v>
          </cell>
          <cell r="EQ91">
            <v>2.0100000000000007E-2</v>
          </cell>
          <cell r="ER91">
            <v>2.0100000000000007E-2</v>
          </cell>
          <cell r="ES91">
            <v>2.0100000000000007E-2</v>
          </cell>
          <cell r="ET91">
            <v>2.0100000000000007E-2</v>
          </cell>
          <cell r="EU91">
            <v>2.0100000000000007E-2</v>
          </cell>
          <cell r="EV91">
            <v>2.0100000000000007E-2</v>
          </cell>
          <cell r="EW91">
            <v>2.0100000000000007E-2</v>
          </cell>
          <cell r="EX91">
            <v>2.0100000000000007E-2</v>
          </cell>
          <cell r="EY91">
            <v>2.0100000000000007E-2</v>
          </cell>
          <cell r="EZ91">
            <v>2.0100000000000007E-2</v>
          </cell>
          <cell r="FA91">
            <v>2.0100000000000007E-2</v>
          </cell>
          <cell r="FB91">
            <v>2.0100000000000007E-2</v>
          </cell>
          <cell r="FC91">
            <v>2.0100000000000007E-2</v>
          </cell>
          <cell r="FD91">
            <v>2.0100000000000007E-2</v>
          </cell>
          <cell r="FE91">
            <v>2.0100000000000007E-2</v>
          </cell>
          <cell r="FF91">
            <v>2.0100000000000007E-2</v>
          </cell>
          <cell r="FG91">
            <v>2.0100000000000007E-2</v>
          </cell>
          <cell r="FH91">
            <v>2.0100000000000007E-2</v>
          </cell>
          <cell r="FI91">
            <v>2.0100000000000007E-2</v>
          </cell>
          <cell r="FJ91">
            <v>2.0100000000000007E-2</v>
          </cell>
          <cell r="FK91">
            <v>2.0100000000000007E-2</v>
          </cell>
          <cell r="FL91">
            <v>2.0100000000000007E-2</v>
          </cell>
          <cell r="FM91">
            <v>2.0100000000000007E-2</v>
          </cell>
          <cell r="FN91">
            <v>2.0100000000000007E-2</v>
          </cell>
          <cell r="FO91">
            <v>2.0100000000000007E-2</v>
          </cell>
          <cell r="FP91">
            <v>2.0100000000000007E-2</v>
          </cell>
          <cell r="FQ91">
            <v>2.0100000000000007E-2</v>
          </cell>
          <cell r="FR91">
            <v>2.0100000000000007E-2</v>
          </cell>
          <cell r="FS91">
            <v>2.0100000000000007E-2</v>
          </cell>
          <cell r="FT91">
            <v>2.0100000000000007E-2</v>
          </cell>
          <cell r="FU91">
            <v>2.0100000000000007E-2</v>
          </cell>
        </row>
        <row r="92">
          <cell r="A92" t="str">
            <v>6MoSystemNZNHCg</v>
          </cell>
          <cell r="B92" t="str">
            <v>New Zealand non-housing</v>
          </cell>
          <cell r="D92"/>
          <cell r="E92"/>
          <cell r="F92"/>
          <cell r="G92"/>
          <cell r="H92"/>
          <cell r="I92"/>
          <cell r="J92"/>
          <cell r="K92"/>
          <cell r="L92"/>
          <cell r="M92"/>
          <cell r="N92"/>
          <cell r="O92"/>
          <cell r="P92"/>
          <cell r="Q92"/>
          <cell r="R92"/>
          <cell r="S92"/>
          <cell r="T92"/>
          <cell r="U92"/>
          <cell r="V92"/>
          <cell r="W92"/>
          <cell r="X92"/>
          <cell r="Y92"/>
          <cell r="Z92"/>
          <cell r="AA92"/>
          <cell r="AB92"/>
          <cell r="AC92"/>
          <cell r="AD92"/>
          <cell r="AE92">
            <v>3.4993728599102658E-2</v>
          </cell>
          <cell r="AF92">
            <v>3.0653533025778668E-2</v>
          </cell>
          <cell r="AG92">
            <v>3.208722595007063E-2</v>
          </cell>
          <cell r="AH92">
            <v>4.2575901782535563E-2</v>
          </cell>
          <cell r="AI92">
            <v>5.4272084604277904E-2</v>
          </cell>
          <cell r="AJ92">
            <v>7.5059082634606478E-2</v>
          </cell>
          <cell r="AK92">
            <v>3.2721002715943914E-2</v>
          </cell>
          <cell r="AL92">
            <v>-1.9489402754567786E-2</v>
          </cell>
          <cell r="AM92">
            <v>1.1230508113588167E-2</v>
          </cell>
          <cell r="AN92">
            <v>2.7591256257811558E-2</v>
          </cell>
          <cell r="AO92">
            <v>5.5803667077607422E-3</v>
          </cell>
          <cell r="AP92">
            <v>4.880824082877333E-2</v>
          </cell>
          <cell r="AQ92">
            <v>5.424546791860263E-2</v>
          </cell>
          <cell r="AR92">
            <v>5.2464404200933235E-2</v>
          </cell>
          <cell r="AS92">
            <v>2.8187585867460285E-2</v>
          </cell>
          <cell r="AT92">
            <v>7.2535844101828673E-5</v>
          </cell>
          <cell r="AU92">
            <v>4.5229266125974332E-2</v>
          </cell>
          <cell r="AV92">
            <v>4.7476729090364378E-2</v>
          </cell>
          <cell r="AW92">
            <v>4.7824285407722655E-3</v>
          </cell>
          <cell r="AX92">
            <v>-9.2649680096856812E-4</v>
          </cell>
          <cell r="AY92">
            <v>2.6977448111301872E-2</v>
          </cell>
          <cell r="AZ92">
            <v>5.0406207583864715E-2</v>
          </cell>
          <cell r="BA92">
            <v>4.4284408863562996E-2</v>
          </cell>
          <cell r="BB92">
            <v>2.5417443444921917E-2</v>
          </cell>
          <cell r="BC92">
            <v>6.0932209092807943E-2</v>
          </cell>
          <cell r="BD92">
            <v>9.3895266174702355E-2</v>
          </cell>
          <cell r="BE92">
            <v>8.2209145975094669E-2</v>
          </cell>
          <cell r="BF92">
            <v>6.8289192288590206E-2</v>
          </cell>
          <cell r="BG92">
            <v>5.8648991622143098E-2</v>
          </cell>
          <cell r="BH92">
            <v>6.2357901110230429E-2</v>
          </cell>
          <cell r="BI92">
            <v>5.8133484326342133E-2</v>
          </cell>
          <cell r="BJ92">
            <v>6.8340633527279593E-2</v>
          </cell>
          <cell r="BK92">
            <v>8.440055735900899E-2</v>
          </cell>
          <cell r="BL92">
            <v>6.703721459569878E-2</v>
          </cell>
          <cell r="BM92">
            <v>7.4860980669670063E-2</v>
          </cell>
          <cell r="BN92">
            <v>9.9194748642026376E-2</v>
          </cell>
          <cell r="BO92">
            <v>7.8878893350396106E-2</v>
          </cell>
          <cell r="BP92">
            <v>6.3358799740287131E-2</v>
          </cell>
          <cell r="BQ92">
            <v>7.0074068661836852E-2</v>
          </cell>
          <cell r="BR92">
            <v>8.4701543030258453E-2</v>
          </cell>
          <cell r="BS92">
            <v>6.5681391897284946E-2</v>
          </cell>
          <cell r="BT92">
            <v>1.2230439901568246E-2</v>
          </cell>
          <cell r="BU92">
            <v>-2.1688022648650329E-2</v>
          </cell>
          <cell r="BV92">
            <v>-7.1061729702678322E-3</v>
          </cell>
          <cell r="BW92">
            <v>-1.3501559605736402E-2</v>
          </cell>
          <cell r="BX92">
            <v>-2.8309158598867623E-2</v>
          </cell>
          <cell r="BY92">
            <v>-1.1592591995913892E-2</v>
          </cell>
          <cell r="BZ92">
            <v>4.7184361293026722E-3</v>
          </cell>
          <cell r="CA92">
            <v>1.7150504620810247E-2</v>
          </cell>
          <cell r="CB92">
            <v>7.7188848009126509E-3</v>
          </cell>
          <cell r="CC92">
            <v>-3.5347179068171419E-3</v>
          </cell>
          <cell r="CD92">
            <v>6.8761403766810503E-3</v>
          </cell>
          <cell r="CE92">
            <v>5.0310503177659616E-2</v>
          </cell>
          <cell r="CF92">
            <v>5.1741463610547989E-2</v>
          </cell>
          <cell r="CG92">
            <v>1.411406579550234E-2</v>
          </cell>
          <cell r="CH92">
            <v>1.1829443974217702E-2</v>
          </cell>
          <cell r="CI92">
            <v>3.281662238760541E-2</v>
          </cell>
          <cell r="CJ92">
            <v>2.8668560793000397E-2</v>
          </cell>
          <cell r="CK92">
            <v>5.2717554837284908E-3</v>
          </cell>
          <cell r="CL92">
            <v>1.0176506063901192E-2</v>
          </cell>
          <cell r="CM92">
            <v>2.4910140815163739E-2</v>
          </cell>
          <cell r="CN92">
            <v>1.2118045660773014E-2</v>
          </cell>
          <cell r="CO92">
            <v>7.8882341202435313E-4</v>
          </cell>
          <cell r="CP92">
            <v>2.1367779216650451E-2</v>
          </cell>
          <cell r="CQ92">
            <v>3.2057578938026854E-2</v>
          </cell>
          <cell r="CR92">
            <v>3.8547169983047747E-2</v>
          </cell>
          <cell r="CS92">
            <v>4.2717703588154743E-2</v>
          </cell>
          <cell r="CT92">
            <v>2.5744092375485916E-2</v>
          </cell>
          <cell r="CU92">
            <v>3.1454193698389643E-2</v>
          </cell>
          <cell r="CV92">
            <v>4.7568918252412828E-2</v>
          </cell>
          <cell r="CW92">
            <v>2.1169987836859194E-2</v>
          </cell>
          <cell r="CX92">
            <v>2.137835104416852E-2</v>
          </cell>
          <cell r="CY92">
            <v>2.3713850091723554E-2</v>
          </cell>
          <cell r="CZ92">
            <v>1.292912885244113E-2</v>
          </cell>
          <cell r="DA92">
            <v>1.742378148115642E-2</v>
          </cell>
          <cell r="DB92">
            <v>1.9177079143751552E-2</v>
          </cell>
          <cell r="DC92">
            <v>1.8748843644714741E-2</v>
          </cell>
          <cell r="DD92">
            <v>1.3497718335135245E-2</v>
          </cell>
          <cell r="DE92">
            <v>3.1015367842350594E-2</v>
          </cell>
          <cell r="DF92">
            <v>3.3595774396198319E-2</v>
          </cell>
          <cell r="DG92">
            <v>1.4075229637550368E-2</v>
          </cell>
          <cell r="DH92">
            <v>2.3263844730194716E-2</v>
          </cell>
          <cell r="DI92">
            <v>2.5481063615860888E-2</v>
          </cell>
          <cell r="DJ92">
            <v>3.1933775799724229E-2</v>
          </cell>
          <cell r="DK92">
            <v>1.1903170713716493E-2</v>
          </cell>
          <cell r="DL92">
            <v>2.4108883713508167E-2</v>
          </cell>
          <cell r="DM92">
            <v>2.8148017672069425E-3</v>
          </cell>
          <cell r="DN92">
            <v>-5.3425098792330594E-2</v>
          </cell>
          <cell r="DO92">
            <v>-2.4231880853818222E-2</v>
          </cell>
          <cell r="DP92">
            <v>-1.8418523876625681E-2</v>
          </cell>
          <cell r="DQ92">
            <v>-1.4041650374762682E-2</v>
          </cell>
          <cell r="DR92">
            <v>3.1971929010388145E-3</v>
          </cell>
          <cell r="DS92">
            <v>8.7141545418776278E-3</v>
          </cell>
          <cell r="DT92">
            <v>1.0800101552552732E-2</v>
          </cell>
          <cell r="DU92">
            <v>2.6950049409617982E-2</v>
          </cell>
          <cell r="DV92">
            <v>5.6251837111969127E-2</v>
          </cell>
          <cell r="DW92">
            <v>1.1372408277737556E-2</v>
          </cell>
          <cell r="DX92">
            <v>-2.0392856062227294E-2</v>
          </cell>
          <cell r="DY92">
            <v>4.5319276468105407E-3</v>
          </cell>
          <cell r="DZ92">
            <v>9.3213610911708766E-3</v>
          </cell>
          <cell r="EA92">
            <v>1.0090232279753364E-2</v>
          </cell>
          <cell r="EB92">
            <v>1.2358377073591109E-2</v>
          </cell>
          <cell r="EC92">
            <v>3.6506472048463134E-3</v>
          </cell>
          <cell r="ED92">
            <v>1.1289025614631631E-2</v>
          </cell>
          <cell r="EE92" t="e">
            <v>#N/A</v>
          </cell>
          <cell r="EF92">
            <v>1.3258490092054487E-2</v>
          </cell>
          <cell r="EG92" t="e">
            <v>#N/A</v>
          </cell>
          <cell r="EH92">
            <v>2.4577115837903341E-2</v>
          </cell>
          <cell r="EI92">
            <v>3.3301719443299849E-2</v>
          </cell>
          <cell r="EJ92">
            <v>1.2035999999999936E-2</v>
          </cell>
          <cell r="EK92">
            <v>1.2035999999999936E-2</v>
          </cell>
          <cell r="EL92">
            <v>1.2035999999999936E-2</v>
          </cell>
          <cell r="EM92">
            <v>1.2035999999999936E-2</v>
          </cell>
          <cell r="EN92">
            <v>1.2035999999999936E-2</v>
          </cell>
          <cell r="EO92">
            <v>1.2035999999999936E-2</v>
          </cell>
          <cell r="EP92">
            <v>1.2035999999999936E-2</v>
          </cell>
          <cell r="EQ92">
            <v>1.2035999999999936E-2</v>
          </cell>
          <cell r="ER92">
            <v>1.2035999999999936E-2</v>
          </cell>
          <cell r="ES92">
            <v>1.2035999999999936E-2</v>
          </cell>
          <cell r="ET92">
            <v>1.2035999999999936E-2</v>
          </cell>
          <cell r="EU92">
            <v>1.2035999999999936E-2</v>
          </cell>
          <cell r="EV92">
            <v>1.2035999999999936E-2</v>
          </cell>
          <cell r="EW92">
            <v>1.2035999999999936E-2</v>
          </cell>
          <cell r="EX92">
            <v>1.2035999999999936E-2</v>
          </cell>
          <cell r="EY92">
            <v>1.2035999999999936E-2</v>
          </cell>
          <cell r="EZ92">
            <v>1.2035999999999936E-2</v>
          </cell>
          <cell r="FA92">
            <v>1.2035999999999936E-2</v>
          </cell>
          <cell r="FB92">
            <v>1.2035999999999936E-2</v>
          </cell>
          <cell r="FC92">
            <v>1.2035999999999936E-2</v>
          </cell>
          <cell r="FD92">
            <v>1.2035999999999936E-2</v>
          </cell>
          <cell r="FE92">
            <v>1.2035999999999936E-2</v>
          </cell>
          <cell r="FF92">
            <v>1.2035999999999936E-2</v>
          </cell>
          <cell r="FG92">
            <v>1.2035999999999936E-2</v>
          </cell>
          <cell r="FH92">
            <v>1.2035999999999936E-2</v>
          </cell>
          <cell r="FI92">
            <v>1.2035999999999936E-2</v>
          </cell>
          <cell r="FJ92">
            <v>1.2035999999999936E-2</v>
          </cell>
          <cell r="FK92">
            <v>1.2035999999999936E-2</v>
          </cell>
          <cell r="FL92">
            <v>1.2035999999999936E-2</v>
          </cell>
          <cell r="FM92">
            <v>1.2035999999999936E-2</v>
          </cell>
          <cell r="FN92">
            <v>1.2035999999999936E-2</v>
          </cell>
          <cell r="FO92">
            <v>1.2035999999999936E-2</v>
          </cell>
          <cell r="FP92">
            <v>1.2035999999999936E-2</v>
          </cell>
          <cell r="FQ92">
            <v>1.2035999999999936E-2</v>
          </cell>
          <cell r="FR92">
            <v>1.2035999999999936E-2</v>
          </cell>
          <cell r="FS92">
            <v>1.2035999999999936E-2</v>
          </cell>
          <cell r="FT92">
            <v>1.2035999999999936E-2</v>
          </cell>
          <cell r="FU92">
            <v>1.2035999999999936E-2</v>
          </cell>
        </row>
        <row r="93">
          <cell r="A93" t="str">
            <v>6MoSystemUKHCg</v>
          </cell>
          <cell r="B93" t="str">
            <v>UK housing</v>
          </cell>
          <cell r="D93"/>
          <cell r="E93"/>
          <cell r="F93"/>
          <cell r="G93"/>
          <cell r="H93"/>
          <cell r="I93"/>
          <cell r="J93"/>
          <cell r="K93" t="e">
            <v>#REF!</v>
          </cell>
          <cell r="L93" t="e">
            <v>#REF!</v>
          </cell>
          <cell r="M93" t="e">
            <v>#REF!</v>
          </cell>
          <cell r="N93" t="e">
            <v>#REF!</v>
          </cell>
          <cell r="O93" t="e">
            <v>#REF!</v>
          </cell>
          <cell r="P93" t="e">
            <v>#REF!</v>
          </cell>
          <cell r="Q93" t="e">
            <v>#REF!</v>
          </cell>
          <cell r="R93" t="e">
            <v>#REF!</v>
          </cell>
          <cell r="S93" t="e">
            <v>#REF!</v>
          </cell>
          <cell r="T93" t="e">
            <v>#REF!</v>
          </cell>
          <cell r="U93" t="e">
            <v>#REF!</v>
          </cell>
          <cell r="V93" t="e">
            <v>#REF!</v>
          </cell>
          <cell r="W93" t="e">
            <v>#REF!</v>
          </cell>
          <cell r="X93" t="e">
            <v>#REF!</v>
          </cell>
          <cell r="Y93" t="e">
            <v>#REF!</v>
          </cell>
          <cell r="Z93" t="e">
            <v>#REF!</v>
          </cell>
          <cell r="AA93" t="e">
            <v>#REF!</v>
          </cell>
          <cell r="AB93" t="e">
            <v>#REF!</v>
          </cell>
          <cell r="AC93" t="e">
            <v>#REF!</v>
          </cell>
          <cell r="AD93" t="e">
            <v>#REF!</v>
          </cell>
          <cell r="AE93" t="e">
            <v>#REF!</v>
          </cell>
          <cell r="AF93" t="e">
            <v>#REF!</v>
          </cell>
          <cell r="AG93" t="e">
            <v>#REF!</v>
          </cell>
          <cell r="AH93" t="e">
            <v>#REF!</v>
          </cell>
          <cell r="AI93" t="e">
            <v>#REF!</v>
          </cell>
          <cell r="AJ93" t="e">
            <v>#REF!</v>
          </cell>
          <cell r="AK93" t="e">
            <v>#REF!</v>
          </cell>
          <cell r="AL93" t="e">
            <v>#REF!</v>
          </cell>
          <cell r="AM93" t="e">
            <v>#REF!</v>
          </cell>
          <cell r="AN93" t="e">
            <v>#REF!</v>
          </cell>
          <cell r="AO93" t="e">
            <v>#REF!</v>
          </cell>
          <cell r="AP93" t="e">
            <v>#REF!</v>
          </cell>
          <cell r="AQ93" t="e">
            <v>#REF!</v>
          </cell>
          <cell r="AR93" t="e">
            <v>#REF!</v>
          </cell>
          <cell r="AS93" t="e">
            <v>#REF!</v>
          </cell>
          <cell r="AT93" t="e">
            <v>#REF!</v>
          </cell>
          <cell r="AU93" t="e">
            <v>#REF!</v>
          </cell>
          <cell r="AV93" t="e">
            <v>#REF!</v>
          </cell>
          <cell r="AW93" t="e">
            <v>#REF!</v>
          </cell>
          <cell r="AX93" t="e">
            <v>#REF!</v>
          </cell>
          <cell r="AY93" t="e">
            <v>#REF!</v>
          </cell>
          <cell r="AZ93" t="e">
            <v>#REF!</v>
          </cell>
          <cell r="BA93" t="e">
            <v>#REF!</v>
          </cell>
          <cell r="BB93" t="e">
            <v>#REF!</v>
          </cell>
          <cell r="BC93" t="e">
            <v>#REF!</v>
          </cell>
          <cell r="BD93" t="e">
            <v>#REF!</v>
          </cell>
          <cell r="BE93" t="e">
            <v>#REF!</v>
          </cell>
          <cell r="BF93" t="e">
            <v>#REF!</v>
          </cell>
          <cell r="BG93" t="e">
            <v>#REF!</v>
          </cell>
          <cell r="BH93" t="e">
            <v>#REF!</v>
          </cell>
          <cell r="BI93" t="e">
            <v>#REF!</v>
          </cell>
          <cell r="BJ93" t="e">
            <v>#REF!</v>
          </cell>
          <cell r="BK93" t="e">
            <v>#REF!</v>
          </cell>
          <cell r="BL93" t="e">
            <v>#REF!</v>
          </cell>
          <cell r="BM93" t="e">
            <v>#REF!</v>
          </cell>
          <cell r="BN93" t="e">
            <v>#REF!</v>
          </cell>
          <cell r="BO93" t="e">
            <v>#REF!</v>
          </cell>
          <cell r="BP93" t="e">
            <v>#REF!</v>
          </cell>
          <cell r="BQ93" t="e">
            <v>#REF!</v>
          </cell>
          <cell r="BR93" t="e">
            <v>#REF!</v>
          </cell>
          <cell r="BS93" t="e">
            <v>#REF!</v>
          </cell>
          <cell r="BT93" t="e">
            <v>#REF!</v>
          </cell>
          <cell r="BU93" t="e">
            <v>#REF!</v>
          </cell>
          <cell r="BV93" t="e">
            <v>#REF!</v>
          </cell>
          <cell r="BW93" t="e">
            <v>#REF!</v>
          </cell>
          <cell r="BX93" t="e">
            <v>#REF!</v>
          </cell>
          <cell r="BY93" t="e">
            <v>#REF!</v>
          </cell>
          <cell r="BZ93" t="e">
            <v>#REF!</v>
          </cell>
          <cell r="CA93" t="e">
            <v>#REF!</v>
          </cell>
          <cell r="CB93" t="e">
            <v>#REF!</v>
          </cell>
          <cell r="CC93" t="e">
            <v>#REF!</v>
          </cell>
          <cell r="CD93" t="e">
            <v>#REF!</v>
          </cell>
          <cell r="CE93" t="e">
            <v>#REF!</v>
          </cell>
          <cell r="CF93" t="e">
            <v>#REF!</v>
          </cell>
          <cell r="CG93" t="e">
            <v>#REF!</v>
          </cell>
          <cell r="CH93" t="e">
            <v>#REF!</v>
          </cell>
          <cell r="CI93" t="e">
            <v>#REF!</v>
          </cell>
          <cell r="CJ93" t="e">
            <v>#REF!</v>
          </cell>
          <cell r="CK93" t="e">
            <v>#REF!</v>
          </cell>
          <cell r="CL93" t="e">
            <v>#REF!</v>
          </cell>
          <cell r="CM93" t="e">
            <v>#REF!</v>
          </cell>
          <cell r="CN93" t="e">
            <v>#REF!</v>
          </cell>
          <cell r="CO93" t="e">
            <v>#REF!</v>
          </cell>
          <cell r="CP93" t="e">
            <v>#REF!</v>
          </cell>
          <cell r="CQ93" t="e">
            <v>#REF!</v>
          </cell>
          <cell r="CR93" t="e">
            <v>#REF!</v>
          </cell>
          <cell r="CS93" t="e">
            <v>#REF!</v>
          </cell>
          <cell r="CT93" t="e">
            <v>#REF!</v>
          </cell>
          <cell r="CU93" t="e">
            <v>#REF!</v>
          </cell>
          <cell r="CV93" t="e">
            <v>#REF!</v>
          </cell>
          <cell r="CW93" t="e">
            <v>#REF!</v>
          </cell>
          <cell r="CX93"/>
          <cell r="CY93"/>
          <cell r="CZ93"/>
          <cell r="DA93"/>
          <cell r="DB93"/>
          <cell r="DC93"/>
          <cell r="DD93"/>
          <cell r="DE93"/>
          <cell r="DF93"/>
          <cell r="DG93"/>
          <cell r="DH93"/>
          <cell r="DI93"/>
          <cell r="DJ93"/>
          <cell r="DK93"/>
          <cell r="DL93"/>
          <cell r="DM93"/>
          <cell r="DN93"/>
          <cell r="DO93"/>
          <cell r="DP93"/>
          <cell r="DQ93"/>
          <cell r="DR93"/>
          <cell r="DS93"/>
          <cell r="DT93"/>
          <cell r="DU93"/>
          <cell r="DV93"/>
          <cell r="DW93"/>
          <cell r="DX93"/>
          <cell r="DY93"/>
          <cell r="DZ93"/>
          <cell r="EA93"/>
          <cell r="EB93"/>
          <cell r="EC93"/>
          <cell r="ED93"/>
          <cell r="EE93"/>
          <cell r="EF93"/>
          <cell r="EG93"/>
          <cell r="EH93"/>
          <cell r="EI93"/>
          <cell r="EJ93"/>
          <cell r="EK93"/>
          <cell r="EL93"/>
          <cell r="EM93"/>
          <cell r="EN93"/>
          <cell r="EO93"/>
          <cell r="EP93"/>
          <cell r="EQ93"/>
          <cell r="ER93"/>
          <cell r="ES93"/>
          <cell r="ET93"/>
          <cell r="EU93"/>
          <cell r="EV93"/>
          <cell r="EW93"/>
          <cell r="EX93"/>
          <cell r="EY93"/>
          <cell r="EZ93"/>
          <cell r="FA93"/>
          <cell r="FB93"/>
          <cell r="FC93"/>
          <cell r="FD93"/>
          <cell r="FE93"/>
          <cell r="FF93"/>
          <cell r="FG93"/>
          <cell r="FH93"/>
          <cell r="FI93"/>
          <cell r="FJ93"/>
          <cell r="FK93"/>
          <cell r="FL93"/>
          <cell r="FM93"/>
          <cell r="FN93"/>
          <cell r="FO93"/>
          <cell r="FP93"/>
          <cell r="FQ93"/>
          <cell r="FR93"/>
          <cell r="FS93"/>
          <cell r="FT93"/>
          <cell r="FU93"/>
        </row>
        <row r="94">
          <cell r="A94" t="str">
            <v>6MoSystemUKNHCg</v>
          </cell>
          <cell r="B94" t="str">
            <v>UK non-housing</v>
          </cell>
          <cell r="D94"/>
          <cell r="E94"/>
          <cell r="F94"/>
          <cell r="G94"/>
          <cell r="H94"/>
          <cell r="I94"/>
          <cell r="J94"/>
          <cell r="K94"/>
          <cell r="L94"/>
          <cell r="M94"/>
          <cell r="N94"/>
          <cell r="O94"/>
          <cell r="P94"/>
          <cell r="Q94"/>
          <cell r="R94"/>
          <cell r="S94"/>
          <cell r="T94"/>
          <cell r="U94"/>
          <cell r="V94"/>
          <cell r="W94"/>
          <cell r="X94"/>
          <cell r="Y94"/>
          <cell r="Z94"/>
          <cell r="AA94" t="e">
            <v>#REF!</v>
          </cell>
          <cell r="AB94" t="e">
            <v>#REF!</v>
          </cell>
          <cell r="AC94" t="e">
            <v>#REF!</v>
          </cell>
          <cell r="AD94" t="e">
            <v>#REF!</v>
          </cell>
          <cell r="AE94" t="e">
            <v>#REF!</v>
          </cell>
          <cell r="AF94" t="e">
            <v>#REF!</v>
          </cell>
          <cell r="AG94" t="e">
            <v>#REF!</v>
          </cell>
          <cell r="AH94" t="e">
            <v>#REF!</v>
          </cell>
          <cell r="AI94" t="e">
            <v>#REF!</v>
          </cell>
          <cell r="AJ94" t="e">
            <v>#REF!</v>
          </cell>
          <cell r="AK94" t="e">
            <v>#REF!</v>
          </cell>
          <cell r="AL94" t="e">
            <v>#REF!</v>
          </cell>
          <cell r="AM94" t="e">
            <v>#REF!</v>
          </cell>
          <cell r="AN94" t="e">
            <v>#REF!</v>
          </cell>
          <cell r="AO94" t="e">
            <v>#REF!</v>
          </cell>
          <cell r="AP94" t="e">
            <v>#REF!</v>
          </cell>
          <cell r="AQ94" t="e">
            <v>#REF!</v>
          </cell>
          <cell r="AR94" t="e">
            <v>#REF!</v>
          </cell>
          <cell r="AS94" t="e">
            <v>#REF!</v>
          </cell>
          <cell r="AT94" t="e">
            <v>#REF!</v>
          </cell>
          <cell r="AU94" t="e">
            <v>#REF!</v>
          </cell>
          <cell r="AV94" t="e">
            <v>#REF!</v>
          </cell>
          <cell r="AW94" t="e">
            <v>#REF!</v>
          </cell>
          <cell r="AX94" t="e">
            <v>#REF!</v>
          </cell>
          <cell r="AY94" t="e">
            <v>#REF!</v>
          </cell>
          <cell r="AZ94" t="e">
            <v>#REF!</v>
          </cell>
          <cell r="BA94" t="e">
            <v>#REF!</v>
          </cell>
          <cell r="BB94" t="e">
            <v>#REF!</v>
          </cell>
          <cell r="BC94" t="e">
            <v>#REF!</v>
          </cell>
          <cell r="BD94" t="e">
            <v>#REF!</v>
          </cell>
          <cell r="BE94" t="e">
            <v>#REF!</v>
          </cell>
          <cell r="BF94" t="e">
            <v>#REF!</v>
          </cell>
          <cell r="BG94" t="e">
            <v>#REF!</v>
          </cell>
          <cell r="BH94" t="e">
            <v>#REF!</v>
          </cell>
          <cell r="BI94" t="e">
            <v>#REF!</v>
          </cell>
          <cell r="BJ94" t="e">
            <v>#REF!</v>
          </cell>
          <cell r="BK94" t="e">
            <v>#REF!</v>
          </cell>
          <cell r="BL94" t="e">
            <v>#REF!</v>
          </cell>
          <cell r="BM94" t="e">
            <v>#REF!</v>
          </cell>
          <cell r="BN94" t="e">
            <v>#REF!</v>
          </cell>
          <cell r="BO94" t="e">
            <v>#REF!</v>
          </cell>
          <cell r="BP94" t="e">
            <v>#REF!</v>
          </cell>
          <cell r="BQ94" t="e">
            <v>#REF!</v>
          </cell>
          <cell r="BR94" t="e">
            <v>#REF!</v>
          </cell>
          <cell r="BS94" t="e">
            <v>#REF!</v>
          </cell>
          <cell r="BT94" t="e">
            <v>#REF!</v>
          </cell>
          <cell r="BU94" t="e">
            <v>#REF!</v>
          </cell>
          <cell r="BV94" t="e">
            <v>#REF!</v>
          </cell>
          <cell r="BW94" t="e">
            <v>#REF!</v>
          </cell>
          <cell r="BX94" t="e">
            <v>#REF!</v>
          </cell>
          <cell r="BY94" t="e">
            <v>#REF!</v>
          </cell>
          <cell r="BZ94" t="e">
            <v>#REF!</v>
          </cell>
          <cell r="CA94" t="e">
            <v>#REF!</v>
          </cell>
          <cell r="CB94" t="e">
            <v>#REF!</v>
          </cell>
          <cell r="CC94" t="e">
            <v>#REF!</v>
          </cell>
          <cell r="CD94" t="e">
            <v>#REF!</v>
          </cell>
          <cell r="CE94" t="e">
            <v>#REF!</v>
          </cell>
          <cell r="CF94" t="e">
            <v>#REF!</v>
          </cell>
          <cell r="CG94" t="e">
            <v>#REF!</v>
          </cell>
          <cell r="CH94" t="e">
            <v>#REF!</v>
          </cell>
          <cell r="CI94" t="e">
            <v>#REF!</v>
          </cell>
          <cell r="CJ94" t="e">
            <v>#REF!</v>
          </cell>
          <cell r="CK94" t="e">
            <v>#REF!</v>
          </cell>
          <cell r="CL94" t="e">
            <v>#REF!</v>
          </cell>
          <cell r="CM94" t="e">
            <v>#REF!</v>
          </cell>
          <cell r="CN94" t="e">
            <v>#REF!</v>
          </cell>
          <cell r="CO94" t="e">
            <v>#REF!</v>
          </cell>
          <cell r="CP94" t="e">
            <v>#REF!</v>
          </cell>
          <cell r="CQ94" t="e">
            <v>#REF!</v>
          </cell>
          <cell r="CR94" t="e">
            <v>#REF!</v>
          </cell>
          <cell r="CS94" t="e">
            <v>#REF!</v>
          </cell>
          <cell r="CT94" t="e">
            <v>#REF!</v>
          </cell>
          <cell r="CU94" t="e">
            <v>#REF!</v>
          </cell>
          <cell r="CV94" t="e">
            <v>#REF!</v>
          </cell>
          <cell r="CW94" t="e">
            <v>#REF!</v>
          </cell>
          <cell r="CX94"/>
          <cell r="CY94"/>
          <cell r="CZ94"/>
          <cell r="DA94"/>
          <cell r="DB94"/>
          <cell r="DC94"/>
          <cell r="DD94"/>
          <cell r="DE94"/>
          <cell r="DF94"/>
          <cell r="DG94"/>
          <cell r="DH94"/>
          <cell r="DI94"/>
          <cell r="DJ94"/>
          <cell r="DK94"/>
          <cell r="DL94"/>
          <cell r="DM94"/>
          <cell r="DN94"/>
          <cell r="DO94"/>
          <cell r="DP94"/>
          <cell r="DQ94"/>
          <cell r="DR94"/>
          <cell r="DS94"/>
          <cell r="DT94"/>
          <cell r="DU94"/>
          <cell r="DV94"/>
          <cell r="DW94"/>
          <cell r="DX94"/>
          <cell r="DY94"/>
          <cell r="DZ94"/>
          <cell r="EA94"/>
          <cell r="EB94"/>
          <cell r="EC94"/>
          <cell r="ED94"/>
          <cell r="EE94"/>
          <cell r="EF94"/>
          <cell r="EG94"/>
          <cell r="EH94"/>
          <cell r="EI94"/>
          <cell r="EJ94"/>
          <cell r="EK94"/>
          <cell r="EL94"/>
          <cell r="EM94"/>
          <cell r="EN94"/>
          <cell r="EO94"/>
          <cell r="EP94"/>
          <cell r="EQ94"/>
          <cell r="ER94"/>
          <cell r="ES94"/>
          <cell r="ET94"/>
          <cell r="EU94"/>
          <cell r="EV94"/>
          <cell r="EW94"/>
          <cell r="EX94"/>
          <cell r="EY94"/>
          <cell r="EZ94"/>
          <cell r="FA94"/>
          <cell r="FB94"/>
          <cell r="FC94"/>
          <cell r="FD94"/>
          <cell r="FE94"/>
          <cell r="FF94"/>
          <cell r="FG94"/>
          <cell r="FH94"/>
          <cell r="FI94"/>
          <cell r="FJ94"/>
          <cell r="FK94"/>
          <cell r="FL94"/>
          <cell r="FM94"/>
          <cell r="FN94"/>
          <cell r="FO94"/>
          <cell r="FP94"/>
          <cell r="FQ94"/>
          <cell r="FR94"/>
          <cell r="FS94"/>
          <cell r="FT94"/>
          <cell r="FU94"/>
        </row>
        <row r="95">
          <cell r="B95"/>
          <cell r="D95"/>
          <cell r="E95"/>
          <cell r="F95"/>
          <cell r="G95"/>
          <cell r="H95"/>
          <cell r="I95"/>
          <cell r="J95"/>
          <cell r="K95"/>
          <cell r="L95"/>
          <cell r="M95"/>
          <cell r="N95"/>
          <cell r="O95"/>
          <cell r="P95"/>
          <cell r="Q95"/>
          <cell r="R95"/>
          <cell r="S95"/>
          <cell r="T95"/>
          <cell r="U95"/>
          <cell r="V95"/>
          <cell r="W95"/>
          <cell r="X95"/>
          <cell r="Y95"/>
          <cell r="Z95"/>
          <cell r="AA95"/>
          <cell r="AB95"/>
          <cell r="AC95"/>
          <cell r="AD95"/>
          <cell r="AE95"/>
          <cell r="AF95"/>
          <cell r="AG95"/>
          <cell r="AH95"/>
          <cell r="AI95"/>
          <cell r="AJ95"/>
          <cell r="AK95"/>
          <cell r="AL95"/>
          <cell r="AM95"/>
          <cell r="AN95"/>
          <cell r="AO95"/>
          <cell r="AP95"/>
          <cell r="AQ95"/>
          <cell r="AR95"/>
          <cell r="AS95"/>
          <cell r="AT95"/>
          <cell r="AU95"/>
          <cell r="AV95"/>
          <cell r="AW95"/>
          <cell r="AX95"/>
          <cell r="AY95"/>
          <cell r="AZ95"/>
          <cell r="BA95"/>
          <cell r="BB95"/>
          <cell r="BC95"/>
          <cell r="BD95"/>
          <cell r="BE95"/>
          <cell r="BF95"/>
          <cell r="BG95"/>
          <cell r="BH95"/>
          <cell r="BI95"/>
          <cell r="BJ95"/>
          <cell r="BK95"/>
          <cell r="BL95"/>
          <cell r="BM95"/>
          <cell r="BN95"/>
          <cell r="BO95"/>
          <cell r="BP95"/>
          <cell r="BQ95"/>
          <cell r="BR95"/>
          <cell r="BS95"/>
          <cell r="BT95"/>
          <cell r="BU95"/>
          <cell r="BV95"/>
          <cell r="BW95"/>
          <cell r="BX95"/>
          <cell r="BY95"/>
          <cell r="BZ95"/>
          <cell r="CA95"/>
          <cell r="CB95"/>
          <cell r="CC95"/>
          <cell r="CD95"/>
          <cell r="CE95"/>
          <cell r="CF95"/>
          <cell r="CG95"/>
          <cell r="CH95"/>
          <cell r="CI95"/>
          <cell r="CJ95"/>
          <cell r="CK95"/>
          <cell r="CL95"/>
          <cell r="CM95"/>
          <cell r="CN95"/>
          <cell r="CO95"/>
          <cell r="CP95"/>
          <cell r="CQ95"/>
          <cell r="CR95"/>
          <cell r="CS95"/>
          <cell r="CT95"/>
          <cell r="CU95"/>
          <cell r="CV95"/>
          <cell r="CW95"/>
          <cell r="CX95"/>
          <cell r="CY95"/>
          <cell r="CZ95"/>
          <cell r="DA95"/>
          <cell r="DB95"/>
          <cell r="DC95"/>
          <cell r="DD95"/>
          <cell r="DF95"/>
          <cell r="DG95"/>
          <cell r="DH95"/>
          <cell r="DI95"/>
          <cell r="DJ95"/>
          <cell r="DK95"/>
          <cell r="DL95"/>
          <cell r="DM95"/>
          <cell r="DN95"/>
          <cell r="DO95"/>
          <cell r="DP95"/>
          <cell r="DQ95"/>
          <cell r="DR95"/>
          <cell r="DS95"/>
          <cell r="DT95"/>
          <cell r="DU95"/>
          <cell r="DV95"/>
          <cell r="DW95"/>
          <cell r="DX95"/>
          <cell r="DY95"/>
          <cell r="DZ95"/>
          <cell r="EA95"/>
          <cell r="EB95"/>
          <cell r="EC95"/>
          <cell r="ED95"/>
          <cell r="EE95"/>
          <cell r="EG95"/>
          <cell r="EH95"/>
        </row>
        <row r="96">
          <cell r="B96" t="str">
            <v>System volume growth (12mo)</v>
          </cell>
          <cell r="C96"/>
          <cell r="D96"/>
          <cell r="E96"/>
          <cell r="F96"/>
          <cell r="G96"/>
          <cell r="H96"/>
          <cell r="I96"/>
          <cell r="J96"/>
          <cell r="K96"/>
          <cell r="L96"/>
          <cell r="M96"/>
          <cell r="N96"/>
          <cell r="O96"/>
          <cell r="P96"/>
          <cell r="Q96"/>
          <cell r="R96"/>
          <cell r="S96"/>
          <cell r="T96"/>
          <cell r="U96"/>
          <cell r="V96"/>
          <cell r="W96"/>
          <cell r="X96"/>
          <cell r="Y96"/>
          <cell r="Z96"/>
          <cell r="AA96"/>
          <cell r="AB96"/>
          <cell r="AC96"/>
          <cell r="AD96"/>
          <cell r="AE96"/>
          <cell r="AF96"/>
          <cell r="AG96"/>
          <cell r="AH96"/>
          <cell r="AI96"/>
          <cell r="AJ96"/>
          <cell r="AK96"/>
          <cell r="AL96"/>
          <cell r="AM96"/>
          <cell r="AN96"/>
          <cell r="AO96"/>
          <cell r="AP96"/>
          <cell r="AQ96"/>
          <cell r="AR96"/>
          <cell r="AS96"/>
          <cell r="AT96"/>
          <cell r="AU96"/>
          <cell r="AV96"/>
          <cell r="AW96"/>
          <cell r="AX96"/>
          <cell r="AY96"/>
          <cell r="AZ96"/>
          <cell r="BA96"/>
          <cell r="BB96"/>
          <cell r="BC96"/>
          <cell r="BD96"/>
          <cell r="BE96"/>
          <cell r="BF96"/>
          <cell r="BG96"/>
          <cell r="BH96"/>
          <cell r="BI96"/>
          <cell r="BJ96"/>
          <cell r="BK96"/>
          <cell r="BL96"/>
          <cell r="BM96"/>
          <cell r="BN96"/>
          <cell r="BO96"/>
          <cell r="BP96"/>
          <cell r="BQ96"/>
          <cell r="BR96"/>
          <cell r="BS96"/>
          <cell r="BT96"/>
          <cell r="BU96"/>
          <cell r="BV96"/>
          <cell r="BW96"/>
          <cell r="BX96"/>
          <cell r="BY96"/>
          <cell r="BZ96"/>
          <cell r="CA96"/>
          <cell r="CB96"/>
          <cell r="CC96"/>
          <cell r="CD96"/>
          <cell r="CE96"/>
          <cell r="CF96"/>
          <cell r="CG96"/>
          <cell r="CH96"/>
          <cell r="CI96"/>
          <cell r="CJ96"/>
          <cell r="CK96"/>
          <cell r="CL96"/>
          <cell r="CM96"/>
          <cell r="CN96"/>
          <cell r="CO96"/>
          <cell r="CP96"/>
          <cell r="CQ96"/>
          <cell r="CR96"/>
          <cell r="CS96"/>
          <cell r="CT96"/>
          <cell r="CU96"/>
          <cell r="CV96"/>
          <cell r="CW96"/>
          <cell r="CX96"/>
          <cell r="CY96"/>
          <cell r="CZ96"/>
          <cell r="DA96"/>
          <cell r="DB96"/>
          <cell r="DC96"/>
          <cell r="DD96"/>
          <cell r="DE96"/>
          <cell r="DF96"/>
          <cell r="DG96"/>
          <cell r="DH96"/>
          <cell r="DI96"/>
          <cell r="DJ96"/>
          <cell r="DK96"/>
          <cell r="DL96"/>
          <cell r="DM96"/>
          <cell r="DN96"/>
          <cell r="DO96"/>
          <cell r="DP96"/>
          <cell r="DQ96"/>
          <cell r="DR96"/>
          <cell r="DS96"/>
          <cell r="DT96"/>
          <cell r="DU96"/>
          <cell r="DV96"/>
          <cell r="DW96"/>
          <cell r="DX96"/>
          <cell r="DY96"/>
          <cell r="DZ96"/>
          <cell r="EA96"/>
          <cell r="EB96"/>
          <cell r="EC96"/>
          <cell r="ED96"/>
          <cell r="EE96"/>
          <cell r="EF96"/>
          <cell r="EG96"/>
          <cell r="EH96"/>
          <cell r="EI96"/>
          <cell r="EJ96"/>
          <cell r="EK96"/>
          <cell r="EL96"/>
          <cell r="EM96"/>
          <cell r="EN96"/>
          <cell r="EO96"/>
          <cell r="EP96"/>
          <cell r="EQ96"/>
          <cell r="ER96"/>
          <cell r="ES96"/>
          <cell r="ET96"/>
          <cell r="EU96"/>
          <cell r="EV96"/>
          <cell r="EW96"/>
          <cell r="EX96"/>
          <cell r="EY96"/>
          <cell r="EZ96"/>
          <cell r="FA96"/>
          <cell r="FB96"/>
          <cell r="FC96"/>
          <cell r="FD96"/>
          <cell r="FE96"/>
          <cell r="FF96"/>
          <cell r="FG96"/>
          <cell r="FH96"/>
          <cell r="FI96"/>
          <cell r="FJ96"/>
          <cell r="FK96"/>
          <cell r="FL96"/>
          <cell r="FM96"/>
          <cell r="FN96"/>
          <cell r="FO96"/>
          <cell r="FP96"/>
          <cell r="FQ96"/>
          <cell r="FR96"/>
          <cell r="FS96"/>
          <cell r="FT96"/>
          <cell r="FU96"/>
        </row>
        <row r="97">
          <cell r="A97" t="str">
            <v>12MoSystemAUHCg</v>
          </cell>
          <cell r="B97" t="str">
            <v>Australian housing</v>
          </cell>
          <cell r="D97">
            <v>0.11468739095120985</v>
          </cell>
          <cell r="E97">
            <v>0.12082280708391992</v>
          </cell>
          <cell r="F97">
            <v>0.12751114353648685</v>
          </cell>
          <cell r="G97">
            <v>0.13277449499588312</v>
          </cell>
          <cell r="H97">
            <v>0.1444101117827119</v>
          </cell>
          <cell r="I97">
            <v>0.15950991646558932</v>
          </cell>
          <cell r="J97">
            <v>0.17416847936902013</v>
          </cell>
          <cell r="K97">
            <v>0.17951201552822904</v>
          </cell>
          <cell r="L97">
            <v>0.19708501888165064</v>
          </cell>
          <cell r="M97">
            <v>0.20993667920218287</v>
          </cell>
          <cell r="N97">
            <v>0.21580197766553552</v>
          </cell>
          <cell r="O97">
            <v>0.20840359510958195</v>
          </cell>
          <cell r="P97">
            <v>0.1883096275583305</v>
          </cell>
          <cell r="Q97">
            <v>0.15273316958182104</v>
          </cell>
          <cell r="R97">
            <v>0.12779422966163367</v>
          </cell>
          <cell r="S97">
            <v>0.12336918637255012</v>
          </cell>
          <cell r="T97">
            <v>0.11734418881516895</v>
          </cell>
          <cell r="U97">
            <v>0.11956025187829609</v>
          </cell>
          <cell r="V97">
            <v>0.12416148723530294</v>
          </cell>
          <cell r="W97">
            <v>0.11274173224454787</v>
          </cell>
          <cell r="X97">
            <v>0.11108105750567931</v>
          </cell>
          <cell r="Y97">
            <v>0.11853468920902156</v>
          </cell>
          <cell r="Z97">
            <v>0.12120296683733243</v>
          </cell>
          <cell r="AA97">
            <v>0.12183512108881756</v>
          </cell>
          <cell r="AB97">
            <v>0.12088267369576776</v>
          </cell>
          <cell r="AC97">
            <v>0.12113999110835148</v>
          </cell>
          <cell r="AD97">
            <v>0.11319213417394348</v>
          </cell>
          <cell r="AE97">
            <v>0.12013741990510463</v>
          </cell>
          <cell r="AF97">
            <v>0.11997756139721538</v>
          </cell>
          <cell r="AG97">
            <v>0.11990089329241214</v>
          </cell>
          <cell r="AH97">
            <v>0.13668266915427263</v>
          </cell>
          <cell r="AI97">
            <v>0.14389885791083135</v>
          </cell>
          <cell r="AJ97">
            <v>0.16426848306980937</v>
          </cell>
          <cell r="AK97">
            <v>0.16971621254469427</v>
          </cell>
          <cell r="AL97">
            <v>0.15677753461866972</v>
          </cell>
          <cell r="AM97">
            <v>0.14188816903857382</v>
          </cell>
          <cell r="AN97">
            <v>0.12667007444707545</v>
          </cell>
          <cell r="AO97">
            <v>0.12519775757192986</v>
          </cell>
          <cell r="AP97">
            <v>0.13693504530617107</v>
          </cell>
          <cell r="AQ97">
            <v>0.16062732635372168</v>
          </cell>
          <cell r="AR97">
            <v>0.17802997358578843</v>
          </cell>
          <cell r="AS97">
            <v>0.18000782346016031</v>
          </cell>
          <cell r="AT97">
            <v>0.19212391578205579</v>
          </cell>
          <cell r="AU97">
            <v>0.18423573244470837</v>
          </cell>
          <cell r="AV97">
            <v>0.17742166414193772</v>
          </cell>
          <cell r="AW97">
            <v>0.19107849909157815</v>
          </cell>
          <cell r="AX97">
            <v>0.1924406823455429</v>
          </cell>
          <cell r="AY97">
            <v>0.20935917902039747</v>
          </cell>
          <cell r="AZ97">
            <v>0.21948245084268803</v>
          </cell>
          <cell r="BA97">
            <v>0.20738597868316647</v>
          </cell>
          <cell r="BB97">
            <v>0.19328161888546802</v>
          </cell>
          <cell r="BC97">
            <v>0.17767807921083389</v>
          </cell>
          <cell r="BD97">
            <v>0.15639240620393702</v>
          </cell>
          <cell r="BE97">
            <v>0.14666559703469684</v>
          </cell>
          <cell r="BF97">
            <v>0.13344883750915515</v>
          </cell>
          <cell r="BG97">
            <v>0.12736736786211655</v>
          </cell>
          <cell r="BH97">
            <v>0.12839251935638707</v>
          </cell>
          <cell r="BI97">
            <v>0.13683157743072272</v>
          </cell>
          <cell r="BJ97">
            <v>0.14503016434668781</v>
          </cell>
          <cell r="BK97">
            <v>0.13666335340057834</v>
          </cell>
          <cell r="BL97">
            <v>0.13485743330582256</v>
          </cell>
          <cell r="BM97">
            <v>0.12973787783526758</v>
          </cell>
          <cell r="BN97">
            <v>0.11901673977138059</v>
          </cell>
          <cell r="BO97">
            <v>0.11832343930309186</v>
          </cell>
          <cell r="BP97">
            <v>0.11188393479472092</v>
          </cell>
          <cell r="BQ97">
            <v>9.5968753001001161E-2</v>
          </cell>
          <cell r="BR97">
            <v>8.4662348429986878E-2</v>
          </cell>
          <cell r="BS97">
            <v>7.3405500943767077E-2</v>
          </cell>
          <cell r="BT97">
            <v>6.4869718461328718E-2</v>
          </cell>
          <cell r="BU97">
            <v>6.5225275828758811E-2</v>
          </cell>
          <cell r="BV97">
            <v>7.1394453499593835E-2</v>
          </cell>
          <cell r="BW97">
            <v>7.6831463531884969E-2</v>
          </cell>
          <cell r="BX97">
            <v>8.2346733731248248E-2</v>
          </cell>
          <cell r="BY97">
            <v>8.0217146776300444E-2</v>
          </cell>
          <cell r="BZ97">
            <v>7.6290066371579313E-2</v>
          </cell>
          <cell r="CA97">
            <v>7.1826598349752802E-2</v>
          </cell>
          <cell r="CB97">
            <v>6.4550155232632189E-2</v>
          </cell>
          <cell r="CC97">
            <v>6.0592094688036058E-2</v>
          </cell>
          <cell r="CD97">
            <v>5.8191758155962781E-2</v>
          </cell>
          <cell r="CE97">
            <v>5.3957616342741543E-2</v>
          </cell>
          <cell r="CF97">
            <v>5.2707128712686346E-2</v>
          </cell>
          <cell r="CG97">
            <v>5.0251145782987727E-2</v>
          </cell>
          <cell r="CH97">
            <v>4.6970126038581084E-2</v>
          </cell>
          <cell r="CI97">
            <v>4.5293371144541128E-2</v>
          </cell>
          <cell r="CJ97">
            <v>4.4287034835551964E-2</v>
          </cell>
          <cell r="CK97">
            <v>4.6204255548618178E-2</v>
          </cell>
          <cell r="CL97">
            <v>4.9067151694921707E-2</v>
          </cell>
          <cell r="CM97">
            <v>5.4306464646493913E-2</v>
          </cell>
          <cell r="CN97">
            <v>5.8849841121697777E-2</v>
          </cell>
          <cell r="CO97">
            <v>6.4314187891761465E-2</v>
          </cell>
          <cell r="CP97">
            <v>6.7518914730944068E-2</v>
          </cell>
          <cell r="CQ97">
            <v>7.0259932754773935E-2</v>
          </cell>
          <cell r="CR97">
            <v>7.2001557130699334E-2</v>
          </cell>
          <cell r="CS97">
            <v>7.2883716118048225E-2</v>
          </cell>
          <cell r="CT97">
            <v>7.463033436962152E-2</v>
          </cell>
          <cell r="CU97">
            <v>7.3936998757654582E-2</v>
          </cell>
          <cell r="CV97">
            <v>7.073797224631706E-2</v>
          </cell>
          <cell r="CW97">
            <v>6.7168741065817716E-2</v>
          </cell>
          <cell r="CX97">
            <v>6.4310981198757888E-2</v>
          </cell>
          <cell r="CY97">
            <v>6.325426922603028E-2</v>
          </cell>
          <cell r="CZ97">
            <v>6.4830881068044688E-2</v>
          </cell>
          <cell r="DA97">
            <v>6.6432657617425228E-2</v>
          </cell>
          <cell r="DB97">
            <v>6.5804374779694363E-2</v>
          </cell>
          <cell r="DC97">
            <v>6.3417188646919476E-2</v>
          </cell>
          <cell r="DD97">
            <v>6.1430074660863809E-2</v>
          </cell>
          <cell r="DE97">
            <v>5.6213114680680132E-2</v>
          </cell>
          <cell r="DF97">
            <v>5.2524002040351236E-2</v>
          </cell>
          <cell r="DG97">
            <v>4.6791117591202358E-2</v>
          </cell>
          <cell r="DH97">
            <v>3.9498182493255429E-2</v>
          </cell>
          <cell r="DI97">
            <v>3.4495684740608823E-2</v>
          </cell>
          <cell r="DJ97">
            <v>2.9946183692117101E-2</v>
          </cell>
          <cell r="DK97">
            <v>2.9750797251632433E-2</v>
          </cell>
          <cell r="DL97">
            <v>3.1735513929626924E-2</v>
          </cell>
          <cell r="DM97">
            <v>3.1222030762912079E-2</v>
          </cell>
          <cell r="DN97">
            <v>3.2685227002788642E-2</v>
          </cell>
          <cell r="DO97">
            <v>3.5484167246138343E-2</v>
          </cell>
          <cell r="DP97">
            <v>4.1351954987032924E-2</v>
          </cell>
          <cell r="DQ97">
            <v>5.3727468162157122E-2</v>
          </cell>
          <cell r="DR97">
            <v>6.4872866144927155E-2</v>
          </cell>
          <cell r="DS97">
            <v>7.447587204362982E-2</v>
          </cell>
          <cell r="DT97">
            <v>7.9539064162655881E-2</v>
          </cell>
          <cell r="DU97">
            <v>7.9292009396413121E-2</v>
          </cell>
          <cell r="DV97">
            <v>7.4139628285478931E-2</v>
          </cell>
          <cell r="DW97">
            <v>6.459331085310116E-2</v>
          </cell>
          <cell r="DX97">
            <v>5.4813441607606483E-2</v>
          </cell>
          <cell r="DY97">
            <v>4.6490671793377958E-2</v>
          </cell>
          <cell r="DZ97">
            <v>4.2034200861087667E-2</v>
          </cell>
          <cell r="EA97">
            <v>4.1700448937285417E-2</v>
          </cell>
          <cell r="EB97">
            <v>4.3281673936336196E-2</v>
          </cell>
          <cell r="EC97">
            <v>4.7054664648173761E-2</v>
          </cell>
          <cell r="ED97">
            <v>5.1222650429014971E-2</v>
          </cell>
          <cell r="EE97">
            <v>5.5040742628153172E-2</v>
          </cell>
          <cell r="EF97">
            <v>5.7059817124996526E-2</v>
          </cell>
          <cell r="EG97">
            <v>5.9439842780734997E-2</v>
          </cell>
          <cell r="EH97">
            <v>6.3060807829165011E-2</v>
          </cell>
          <cell r="EI97">
            <v>6.459078303171073E-2</v>
          </cell>
          <cell r="EJ97">
            <v>6.6940314693764602E-2</v>
          </cell>
          <cell r="EK97">
            <v>6.555106598445759E-2</v>
          </cell>
          <cell r="EL97">
            <v>6.240845582400012E-2</v>
          </cell>
          <cell r="EM97">
            <v>6.0839939402999921E-2</v>
          </cell>
          <cell r="EN97">
            <v>5.9273738705062362E-2</v>
          </cell>
          <cell r="EO97">
            <v>5.9273738705062362E-2</v>
          </cell>
          <cell r="EP97">
            <v>5.9273738705062362E-2</v>
          </cell>
          <cell r="EQ97">
            <v>5.9273738705062362E-2</v>
          </cell>
          <cell r="ER97">
            <v>5.9273738705062362E-2</v>
          </cell>
          <cell r="ES97">
            <v>5.9273738705062362E-2</v>
          </cell>
          <cell r="ET97">
            <v>5.9273738705062362E-2</v>
          </cell>
          <cell r="EU97">
            <v>5.9273738705062362E-2</v>
          </cell>
          <cell r="EV97">
            <v>5.7185471107812358E-2</v>
          </cell>
          <cell r="EW97">
            <v>5.5101320351562233E-2</v>
          </cell>
          <cell r="EX97">
            <v>5.3021278320312337E-2</v>
          </cell>
          <cell r="EY97">
            <v>5.0945336914062223E-2</v>
          </cell>
          <cell r="EZ97">
            <v>4.8350410156249746E-2</v>
          </cell>
          <cell r="FA97">
            <v>4.5761890624999912E-2</v>
          </cell>
          <cell r="FB97">
            <v>4.3179762500000107E-2</v>
          </cell>
          <cell r="FC97">
            <v>4.0604010000000024E-2</v>
          </cell>
          <cell r="FD97">
            <v>4.0604010000000024E-2</v>
          </cell>
          <cell r="FE97">
            <v>4.0604010000000024E-2</v>
          </cell>
          <cell r="FF97">
            <v>4.0604010000000024E-2</v>
          </cell>
          <cell r="FG97">
            <v>4.0604010000000024E-2</v>
          </cell>
          <cell r="FH97">
            <v>4.0604010000000024E-2</v>
          </cell>
          <cell r="FI97">
            <v>4.0604010000000024E-2</v>
          </cell>
          <cell r="FJ97">
            <v>4.0604010000000024E-2</v>
          </cell>
          <cell r="FK97">
            <v>4.0604010000000024E-2</v>
          </cell>
          <cell r="FL97">
            <v>4.0604010000000024E-2</v>
          </cell>
          <cell r="FM97">
            <v>4.0604010000000024E-2</v>
          </cell>
          <cell r="FN97">
            <v>4.0604010000000024E-2</v>
          </cell>
          <cell r="FO97">
            <v>4.0604010000000024E-2</v>
          </cell>
          <cell r="FP97">
            <v>4.0604010000000024E-2</v>
          </cell>
          <cell r="FQ97">
            <v>4.0604010000000024E-2</v>
          </cell>
          <cell r="FR97">
            <v>4.0604010000000024E-2</v>
          </cell>
          <cell r="FS97">
            <v>4.0604010000000024E-2</v>
          </cell>
          <cell r="FT97">
            <v>4.0604010000000024E-2</v>
          </cell>
          <cell r="FU97">
            <v>4.0604010000000024E-2</v>
          </cell>
        </row>
        <row r="98">
          <cell r="A98" t="str">
            <v>12MoSystemAUBCg</v>
          </cell>
          <cell r="B98" t="str">
            <v>Australian business</v>
          </cell>
          <cell r="D98">
            <v>-5.7930307969056398E-2</v>
          </cell>
          <cell r="E98">
            <v>-5.7336531936571289E-2</v>
          </cell>
          <cell r="F98">
            <v>-5.8957977054600159E-2</v>
          </cell>
          <cell r="G98">
            <v>-6.8803338576624795E-2</v>
          </cell>
          <cell r="H98">
            <v>-5.2975629643666311E-2</v>
          </cell>
          <cell r="I98">
            <v>-4.6739928783973594E-2</v>
          </cell>
          <cell r="J98">
            <v>-3.8627142874353093E-2</v>
          </cell>
          <cell r="K98">
            <v>-1.4449458195822107E-2</v>
          </cell>
          <cell r="L98">
            <v>-1.7226193086829045E-2</v>
          </cell>
          <cell r="M98">
            <v>-3.2920707288955908E-3</v>
          </cell>
          <cell r="N98">
            <v>9.7318756084576741E-3</v>
          </cell>
          <cell r="O98">
            <v>2.3898952421509856E-2</v>
          </cell>
          <cell r="P98">
            <v>3.6805789464686933E-2</v>
          </cell>
          <cell r="Q98">
            <v>5.625628522149162E-2</v>
          </cell>
          <cell r="R98">
            <v>7.1995591703884365E-2</v>
          </cell>
          <cell r="S98">
            <v>0.10182497456486717</v>
          </cell>
          <cell r="T98">
            <v>0.13823905011306525</v>
          </cell>
          <cell r="U98">
            <v>0.13428208054338664</v>
          </cell>
          <cell r="V98">
            <v>0.13525611750830913</v>
          </cell>
          <cell r="W98">
            <v>0.11355693188137161</v>
          </cell>
          <cell r="X98">
            <v>8.369966035938671E-2</v>
          </cell>
          <cell r="Y98">
            <v>9.283087988811832E-2</v>
          </cell>
          <cell r="Z98">
            <v>0.10169216940478677</v>
          </cell>
          <cell r="AA98">
            <v>0.1158486800760372</v>
          </cell>
          <cell r="AB98">
            <v>0.11323463247554821</v>
          </cell>
          <cell r="AC98">
            <v>0.10356732060256357</v>
          </cell>
          <cell r="AD98">
            <v>9.2150265391727229E-2</v>
          </cell>
          <cell r="AE98">
            <v>8.2763034243457767E-2</v>
          </cell>
          <cell r="AF98">
            <v>9.0407391576746723E-2</v>
          </cell>
          <cell r="AG98">
            <v>8.3696783203770497E-2</v>
          </cell>
          <cell r="AH98">
            <v>7.471591133752109E-2</v>
          </cell>
          <cell r="AI98">
            <v>7.1783181750949554E-2</v>
          </cell>
          <cell r="AJ98">
            <v>7.5096006126087245E-2</v>
          </cell>
          <cell r="AK98">
            <v>8.6501108783725744E-2</v>
          </cell>
          <cell r="AL98">
            <v>9.4898136264176744E-2</v>
          </cell>
          <cell r="AM98">
            <v>8.5674137261476879E-2</v>
          </cell>
          <cell r="AN98">
            <v>8.6145473530839775E-2</v>
          </cell>
          <cell r="AO98">
            <v>6.3501914448508279E-2</v>
          </cell>
          <cell r="AP98">
            <v>3.4159661126002216E-2</v>
          </cell>
          <cell r="AQ98">
            <v>2.1896544792848749E-2</v>
          </cell>
          <cell r="AR98">
            <v>4.7052468180195373E-3</v>
          </cell>
          <cell r="AS98">
            <v>1.7723311028352562E-2</v>
          </cell>
          <cell r="AT98">
            <v>4.752198296678789E-2</v>
          </cell>
          <cell r="AU98">
            <v>5.1336554184235439E-2</v>
          </cell>
          <cell r="AV98">
            <v>7.7943017918358448E-2</v>
          </cell>
          <cell r="AW98">
            <v>6.4430326424506523E-2</v>
          </cell>
          <cell r="AX98">
            <v>6.575151377507038E-2</v>
          </cell>
          <cell r="AY98">
            <v>8.962973112529582E-2</v>
          </cell>
          <cell r="AZ98">
            <v>6.068479312884012E-2</v>
          </cell>
          <cell r="BA98">
            <v>8.5890471278220706E-2</v>
          </cell>
          <cell r="BB98">
            <v>8.5629057852063539E-2</v>
          </cell>
          <cell r="BC98">
            <v>8.0218298538069721E-2</v>
          </cell>
          <cell r="BD98">
            <v>0.10857438389661045</v>
          </cell>
          <cell r="BE98">
            <v>0.11536352174102449</v>
          </cell>
          <cell r="BF98">
            <v>0.13100078353733391</v>
          </cell>
          <cell r="BG98">
            <v>0.15252280961378539</v>
          </cell>
          <cell r="BH98">
            <v>0.16540900135621772</v>
          </cell>
          <cell r="BI98">
            <v>0.1678793397193552</v>
          </cell>
          <cell r="BJ98">
            <v>0.16203103091320295</v>
          </cell>
          <cell r="BK98">
            <v>0.1607122746081171</v>
          </cell>
          <cell r="BL98">
            <v>0.16836009049233902</v>
          </cell>
          <cell r="BM98">
            <v>0.19323714215335919</v>
          </cell>
          <cell r="BN98">
            <v>0.22195700287960166</v>
          </cell>
          <cell r="BO98">
            <v>0.24070035701253456</v>
          </cell>
          <cell r="BP98">
            <v>0.2162411501002324</v>
          </cell>
          <cell r="BQ98">
            <v>0.16784998054404277</v>
          </cell>
          <cell r="BR98">
            <v>0.13820833450716874</v>
          </cell>
          <cell r="BS98">
            <v>8.9571588748068157E-2</v>
          </cell>
          <cell r="BT98">
            <v>5.1009801831127577E-2</v>
          </cell>
          <cell r="BU98">
            <v>1.1923229747655917E-2</v>
          </cell>
          <cell r="BV98">
            <v>-3.9497863774790254E-2</v>
          </cell>
          <cell r="BW98">
            <v>-6.5666537125014024E-2</v>
          </cell>
          <cell r="BX98">
            <v>-6.1680911832899366E-2</v>
          </cell>
          <cell r="BY98">
            <v>-4.140444773911723E-2</v>
          </cell>
          <cell r="BZ98">
            <v>-3.508303227306242E-2</v>
          </cell>
          <cell r="CA98">
            <v>-2.1531562048655584E-2</v>
          </cell>
          <cell r="CB98">
            <v>-8.0378094778308373E-3</v>
          </cell>
          <cell r="CC98">
            <v>-2.5831314469094702E-2</v>
          </cell>
          <cell r="CD98">
            <v>-1.3847830403430628E-3</v>
          </cell>
          <cell r="CE98">
            <v>9.693284063279517E-3</v>
          </cell>
          <cell r="CF98">
            <v>9.7377731647338983E-3</v>
          </cell>
          <cell r="CG98">
            <v>4.4377323380393241E-2</v>
          </cell>
          <cell r="CH98">
            <v>4.0440300320333744E-2</v>
          </cell>
          <cell r="CI98">
            <v>3.2392921943932285E-2</v>
          </cell>
          <cell r="CJ98">
            <v>2.0378509011848678E-2</v>
          </cell>
          <cell r="CK98">
            <v>1.2578740118798226E-2</v>
          </cell>
          <cell r="CL98">
            <v>1.0281582146564938E-2</v>
          </cell>
          <cell r="CM98">
            <v>1.6052084446563031E-2</v>
          </cell>
          <cell r="CN98">
            <v>2.5903677394112812E-2</v>
          </cell>
          <cell r="CO98">
            <v>3.4594973241370619E-2</v>
          </cell>
          <cell r="CP98">
            <v>3.7781660760038083E-2</v>
          </cell>
          <cell r="CQ98">
            <v>4.662549826872997E-2</v>
          </cell>
          <cell r="CR98">
            <v>5.4418530536750831E-2</v>
          </cell>
          <cell r="CS98">
            <v>4.4963843154270267E-2</v>
          </cell>
          <cell r="CT98">
            <v>6.3677656403194005E-2</v>
          </cell>
          <cell r="CU98">
            <v>6.4544491019052463E-2</v>
          </cell>
          <cell r="CV98">
            <v>6.5454944895771305E-2</v>
          </cell>
          <cell r="CW98">
            <v>6.6578126246421343E-2</v>
          </cell>
          <cell r="CX98">
            <v>4.9080826067763095E-2</v>
          </cell>
          <cell r="CY98">
            <v>5.5624546427801347E-2</v>
          </cell>
          <cell r="CZ98">
            <v>3.3711728513560635E-2</v>
          </cell>
          <cell r="DA98">
            <v>4.1626494922788471E-2</v>
          </cell>
          <cell r="DB98">
            <v>4.1541418714991396E-2</v>
          </cell>
          <cell r="DC98">
            <v>3.1032187169010017E-2</v>
          </cell>
          <cell r="DD98">
            <v>3.8796428739013233E-2</v>
          </cell>
          <cell r="DE98">
            <v>3.1304489300017169E-2</v>
          </cell>
          <cell r="DF98">
            <v>4.3820997806961692E-2</v>
          </cell>
          <cell r="DG98">
            <v>4.7802789224090869E-2</v>
          </cell>
          <cell r="DH98">
            <v>4.8522076287310645E-2</v>
          </cell>
          <cell r="DI98">
            <v>4.0361795876710849E-2</v>
          </cell>
          <cell r="DJ98">
            <v>3.0256925667182077E-2</v>
          </cell>
          <cell r="DK98">
            <v>1.8770721558183601E-2</v>
          </cell>
          <cell r="DL98">
            <v>4.8873922991659935E-2</v>
          </cell>
          <cell r="DM98">
            <v>3.0600775433936578E-2</v>
          </cell>
          <cell r="DN98">
            <v>1.0133391107541412E-2</v>
          </cell>
          <cell r="DO98">
            <v>2.2188141718748611E-3</v>
          </cell>
          <cell r="DP98">
            <v>-2.3823061621625397E-2</v>
          </cell>
          <cell r="DQ98">
            <v>7.1655547975584266E-3</v>
          </cell>
          <cell r="DR98">
            <v>4.1743898413151515E-2</v>
          </cell>
          <cell r="DS98">
            <v>7.6255098495347839E-2</v>
          </cell>
          <cell r="DT98">
            <v>9.1999587582399123E-2</v>
          </cell>
          <cell r="DU98">
            <v>0.11916139620328803</v>
          </cell>
          <cell r="DV98">
            <v>0.13342921132376007</v>
          </cell>
          <cell r="DW98">
            <v>0.1159236437081239</v>
          </cell>
          <cell r="DX98">
            <v>0.10456226994750818</v>
          </cell>
          <cell r="DY98">
            <v>8.1177908677747337E-2</v>
          </cell>
          <cell r="DZ98">
            <v>6.635543783544362E-2</v>
          </cell>
          <cell r="EA98">
            <v>6.3695752009828244E-2</v>
          </cell>
          <cell r="EB98">
            <v>7.7025865096051804E-2</v>
          </cell>
          <cell r="EC98">
            <v>7.8268671309328575E-2</v>
          </cell>
          <cell r="ED98">
            <v>7.5875020469508891E-2</v>
          </cell>
          <cell r="EE98">
            <v>9.3566559802706242E-2</v>
          </cell>
          <cell r="EF98">
            <v>8.5318574401115801E-2</v>
          </cell>
          <cell r="EG98">
            <v>8.65331362508346E-2</v>
          </cell>
          <cell r="EH98">
            <v>9.4096307621099662E-2</v>
          </cell>
          <cell r="EI98">
            <v>9.2486533831324103E-2</v>
          </cell>
          <cell r="EJ98">
            <v>9.6718708854534929E-2</v>
          </cell>
          <cell r="EK98">
            <v>9.5732446322265075E-2</v>
          </cell>
          <cell r="EL98">
            <v>8.2406149999999734E-2</v>
          </cell>
          <cell r="EM98">
            <v>7.1846089999999974E-2</v>
          </cell>
          <cell r="EN98">
            <v>6.6591942499999668E-2</v>
          </cell>
          <cell r="EO98">
            <v>6.136355062499943E-2</v>
          </cell>
          <cell r="EP98">
            <v>5.6135158749999636E-2</v>
          </cell>
          <cell r="EQ98">
            <v>5.093252249999991E-2</v>
          </cell>
          <cell r="ER98">
            <v>4.5755515000000191E-2</v>
          </cell>
          <cell r="ES98">
            <v>4.0604010000000024E-2</v>
          </cell>
          <cell r="ET98">
            <v>4.0604010000000024E-2</v>
          </cell>
          <cell r="EU98">
            <v>4.0604010000000024E-2</v>
          </cell>
          <cell r="EV98">
            <v>4.0604010000000024E-2</v>
          </cell>
          <cell r="EW98">
            <v>4.0604010000000024E-2</v>
          </cell>
          <cell r="EX98">
            <v>4.0604010000000024E-2</v>
          </cell>
          <cell r="EY98">
            <v>4.0604010000000024E-2</v>
          </cell>
          <cell r="EZ98">
            <v>4.0604010000000024E-2</v>
          </cell>
          <cell r="FA98">
            <v>4.0604010000000024E-2</v>
          </cell>
          <cell r="FB98">
            <v>4.0604010000000024E-2</v>
          </cell>
          <cell r="FC98">
            <v>4.0604010000000024E-2</v>
          </cell>
          <cell r="FD98">
            <v>4.0604010000000024E-2</v>
          </cell>
          <cell r="FE98">
            <v>4.0604010000000024E-2</v>
          </cell>
          <cell r="FF98">
            <v>4.0604010000000024E-2</v>
          </cell>
          <cell r="FG98">
            <v>4.0604010000000024E-2</v>
          </cell>
          <cell r="FH98">
            <v>4.0604010000000024E-2</v>
          </cell>
          <cell r="FI98">
            <v>4.0604010000000024E-2</v>
          </cell>
          <cell r="FJ98">
            <v>4.0604010000000024E-2</v>
          </cell>
          <cell r="FK98">
            <v>4.0604010000000024E-2</v>
          </cell>
          <cell r="FL98">
            <v>4.0604010000000024E-2</v>
          </cell>
          <cell r="FM98">
            <v>4.0604010000000024E-2</v>
          </cell>
          <cell r="FN98">
            <v>4.0604010000000024E-2</v>
          </cell>
          <cell r="FO98">
            <v>4.0604010000000024E-2</v>
          </cell>
          <cell r="FP98">
            <v>4.0604010000000024E-2</v>
          </cell>
          <cell r="FQ98">
            <v>4.0604010000000024E-2</v>
          </cell>
          <cell r="FR98">
            <v>4.0604010000000024E-2</v>
          </cell>
          <cell r="FS98">
            <v>4.0604010000000024E-2</v>
          </cell>
          <cell r="FT98">
            <v>4.0604010000000024E-2</v>
          </cell>
          <cell r="FU98">
            <v>4.0604010000000024E-2</v>
          </cell>
        </row>
        <row r="99">
          <cell r="A99" t="str">
            <v>12MoSystemAUPCg</v>
          </cell>
          <cell r="B99" t="str">
            <v>Australian personal</v>
          </cell>
          <cell r="D99">
            <v>-4.9203187174602474E-2</v>
          </cell>
          <cell r="E99">
            <v>-5.1446486942879129E-2</v>
          </cell>
          <cell r="F99">
            <v>-3.6786173249286236E-2</v>
          </cell>
          <cell r="G99">
            <v>-1.8102220082279685E-2</v>
          </cell>
          <cell r="H99">
            <v>-1.1483726737998468E-2</v>
          </cell>
          <cell r="I99">
            <v>-5.3365408304351103E-3</v>
          </cell>
          <cell r="J99">
            <v>1.5353554687371762E-3</v>
          </cell>
          <cell r="K99">
            <v>7.8503526711655169E-3</v>
          </cell>
          <cell r="L99">
            <v>1.7876195956326946E-2</v>
          </cell>
          <cell r="M99">
            <v>4.0920839626647831E-2</v>
          </cell>
          <cell r="N99">
            <v>4.9323935151570852E-2</v>
          </cell>
          <cell r="O99">
            <v>6.6053469306581958E-2</v>
          </cell>
          <cell r="P99">
            <v>8.1996025874490966E-2</v>
          </cell>
          <cell r="Q99">
            <v>0.10113612902153557</v>
          </cell>
          <cell r="R99">
            <v>0.11289407330600178</v>
          </cell>
          <cell r="S99">
            <v>0.10328013569143725</v>
          </cell>
          <cell r="T99">
            <v>0.10137859148214655</v>
          </cell>
          <cell r="U99">
            <v>0.10409861261454134</v>
          </cell>
          <cell r="V99">
            <v>0.11565403667967944</v>
          </cell>
          <cell r="W99">
            <v>0.11510770396589297</v>
          </cell>
          <cell r="X99">
            <v>0.11005271110214544</v>
          </cell>
          <cell r="Y99">
            <v>8.7283685395174823E-2</v>
          </cell>
          <cell r="Z99">
            <v>7.4775672946739258E-2</v>
          </cell>
          <cell r="AA99">
            <v>0.10202417463830947</v>
          </cell>
          <cell r="AB99">
            <v>0.1100879696763155</v>
          </cell>
          <cell r="AC99">
            <v>0.11772689252892053</v>
          </cell>
          <cell r="AD99">
            <v>0.12761144178173267</v>
          </cell>
          <cell r="AE99">
            <v>0.12518962595840688</v>
          </cell>
          <cell r="AF99">
            <v>0.14762555380464759</v>
          </cell>
          <cell r="AG99">
            <v>0.16249573109813142</v>
          </cell>
          <cell r="AH99">
            <v>0.1669301856791483</v>
          </cell>
          <cell r="AI99">
            <v>0.16386614491123885</v>
          </cell>
          <cell r="AJ99">
            <v>0.15444142699006091</v>
          </cell>
          <cell r="AK99">
            <v>0.16097815865153886</v>
          </cell>
          <cell r="AL99">
            <v>0.13286526197120097</v>
          </cell>
          <cell r="AM99">
            <v>0.14235743546857904</v>
          </cell>
          <cell r="AN99">
            <v>0.12719115397693637</v>
          </cell>
          <cell r="AO99">
            <v>0.10660551789081296</v>
          </cell>
          <cell r="AP99">
            <v>0.10861960418847216</v>
          </cell>
          <cell r="AQ99">
            <v>8.5198321008545186E-2</v>
          </cell>
          <cell r="AR99">
            <v>8.3280738466721585E-2</v>
          </cell>
          <cell r="AS99">
            <v>9.2875513346209151E-2</v>
          </cell>
          <cell r="AT99">
            <v>0.10555080524639404</v>
          </cell>
          <cell r="AU99">
            <v>9.7443237232043747E-2</v>
          </cell>
          <cell r="AV99">
            <v>0.10786476250272091</v>
          </cell>
          <cell r="AW99">
            <v>0.12358890415207213</v>
          </cell>
          <cell r="AX99">
            <v>0.13453858053928291</v>
          </cell>
          <cell r="AY99">
            <v>0.14643243138107409</v>
          </cell>
          <cell r="AZ99">
            <v>0.14631472353125607</v>
          </cell>
          <cell r="BA99">
            <v>0.11721052340714566</v>
          </cell>
          <cell r="BB99">
            <v>0.1139080788135467</v>
          </cell>
          <cell r="BC99">
            <v>0.13234137272497404</v>
          </cell>
          <cell r="BD99">
            <v>0.12623411542792828</v>
          </cell>
          <cell r="BE99">
            <v>0.13460897334878519</v>
          </cell>
          <cell r="BF99">
            <v>0.12922611115802329</v>
          </cell>
          <cell r="BG99">
            <v>9.9193578345612821E-2</v>
          </cell>
          <cell r="BH99">
            <v>0.10043372333775903</v>
          </cell>
          <cell r="BI99">
            <v>9.7305004025729711E-2</v>
          </cell>
          <cell r="BJ99">
            <v>0.11160043356246717</v>
          </cell>
          <cell r="BK99">
            <v>0.11439037058566835</v>
          </cell>
          <cell r="BL99">
            <v>0.11757157912914205</v>
          </cell>
          <cell r="BM99">
            <v>0.16111638367213854</v>
          </cell>
          <cell r="BN99">
            <v>0.11804680795346334</v>
          </cell>
          <cell r="BO99">
            <v>0.13667372976822922</v>
          </cell>
          <cell r="BP99">
            <v>0.10158853111366174</v>
          </cell>
          <cell r="BQ99">
            <v>3.3092321391867685E-2</v>
          </cell>
          <cell r="BR99">
            <v>2.1007807687699831E-2</v>
          </cell>
          <cell r="BS99">
            <v>-5.0422832497797006E-2</v>
          </cell>
          <cell r="BT99">
            <v>-6.6787209294423944E-2</v>
          </cell>
          <cell r="BU99">
            <v>-7.0701750160849119E-2</v>
          </cell>
          <cell r="BV99">
            <v>-5.5055518493206342E-2</v>
          </cell>
          <cell r="BW99">
            <v>-2.3658007754361332E-3</v>
          </cell>
          <cell r="BX99">
            <v>2.3403230926158702E-2</v>
          </cell>
          <cell r="BY99">
            <v>2.9672458526366352E-2</v>
          </cell>
          <cell r="BZ99">
            <v>2.8138085562079418E-2</v>
          </cell>
          <cell r="CA99">
            <v>1.2631320004883984E-2</v>
          </cell>
          <cell r="CB99">
            <v>1.0191885191322747E-2</v>
          </cell>
          <cell r="CC99">
            <v>6.5324983624595045E-3</v>
          </cell>
          <cell r="CD99">
            <v>-7.1406163395700828E-3</v>
          </cell>
          <cell r="CE99">
            <v>-9.3303921923558741E-3</v>
          </cell>
          <cell r="CF99">
            <v>-1.3619964796262929E-2</v>
          </cell>
          <cell r="CG99">
            <v>-1.1763559523755629E-2</v>
          </cell>
          <cell r="CH99">
            <v>-7.2370761182756205E-3</v>
          </cell>
          <cell r="CI99">
            <v>-3.3083870836847495E-3</v>
          </cell>
          <cell r="CJ99">
            <v>-6.2001101810937875E-4</v>
          </cell>
          <cell r="CK99">
            <v>2.6692549012838906E-3</v>
          </cell>
          <cell r="CL99">
            <v>6.8871189191561655E-3</v>
          </cell>
          <cell r="CM99">
            <v>6.7315346709895252E-3</v>
          </cell>
          <cell r="CN99">
            <v>3.8564797888602786E-3</v>
          </cell>
          <cell r="CO99">
            <v>7.1715874105555688E-3</v>
          </cell>
          <cell r="CP99">
            <v>1.1087719620858083E-2</v>
          </cell>
          <cell r="CQ99">
            <v>1.085325192078046E-2</v>
          </cell>
          <cell r="CR99">
            <v>1.345088433089292E-2</v>
          </cell>
          <cell r="CS99">
            <v>8.9834541397928458E-3</v>
          </cell>
          <cell r="CT99">
            <v>3.9262683949707888E-3</v>
          </cell>
          <cell r="CU99">
            <v>-1.8028731856911673E-4</v>
          </cell>
          <cell r="CV99">
            <v>-4.7450575430418862E-3</v>
          </cell>
          <cell r="CW99">
            <v>-6.2823737870887353E-3</v>
          </cell>
          <cell r="CX99">
            <v>-9.3418560606531864E-3</v>
          </cell>
          <cell r="CY99">
            <v>-8.8372636417711758E-3</v>
          </cell>
          <cell r="CZ99">
            <v>-1.037171123844427E-2</v>
          </cell>
          <cell r="DA99">
            <v>-9.390143413813612E-3</v>
          </cell>
          <cell r="DB99">
            <v>-8.8073083880352288E-3</v>
          </cell>
          <cell r="DC99">
            <v>-1.2176228349328411E-2</v>
          </cell>
          <cell r="DD99">
            <v>-1.1502597539716386E-2</v>
          </cell>
          <cell r="DE99">
            <v>-1.2825499339147561E-2</v>
          </cell>
          <cell r="DF99">
            <v>-1.3939889747789591E-2</v>
          </cell>
          <cell r="DG99">
            <v>-2.157627760843972E-2</v>
          </cell>
          <cell r="DH99">
            <v>-2.8286650941836466E-2</v>
          </cell>
          <cell r="DI99">
            <v>-3.4585730119682134E-2</v>
          </cell>
          <cell r="DJ99">
            <v>-4.2629117359417767E-2</v>
          </cell>
          <cell r="DK99">
            <v>-4.9276712118849882E-2</v>
          </cell>
          <cell r="DL99">
            <v>-6.7139835881269816E-2</v>
          </cell>
          <cell r="DM99">
            <v>-0.10814211571840449</v>
          </cell>
          <cell r="DN99">
            <v>-0.12946289835713043</v>
          </cell>
          <cell r="DO99">
            <v>-0.12469431763481664</v>
          </cell>
          <cell r="DP99">
            <v>-0.10739513422045732</v>
          </cell>
          <cell r="DQ99">
            <v>-6.2462228277229803E-2</v>
          </cell>
          <cell r="DR99">
            <v>-5.4101857479632705E-2</v>
          </cell>
          <cell r="DS99">
            <v>-3.6704594628261034E-2</v>
          </cell>
          <cell r="DT99">
            <v>-3.178526088143474E-2</v>
          </cell>
          <cell r="DU99">
            <v>-2.7187311811435522E-2</v>
          </cell>
          <cell r="DV99">
            <v>-2.8639763092666026E-3</v>
          </cell>
          <cell r="DW99">
            <v>-3.9348858198857695E-3</v>
          </cell>
          <cell r="DX99">
            <v>-1.283223205291173E-3</v>
          </cell>
          <cell r="DY99">
            <v>4.1315305110902756E-3</v>
          </cell>
          <cell r="DZ99">
            <v>1.9001628064897025E-2</v>
          </cell>
          <cell r="EA99">
            <v>1.8700169192217952E-2</v>
          </cell>
          <cell r="EB99">
            <v>3.2439866656257532E-2</v>
          </cell>
          <cell r="EC99">
            <v>2.8683358346701882E-2</v>
          </cell>
          <cell r="ED99">
            <v>2.351533037117437E-2</v>
          </cell>
          <cell r="EE99">
            <v>2.627623004740065E-2</v>
          </cell>
          <cell r="EF99">
            <v>2.2891707775272163E-2</v>
          </cell>
          <cell r="EG99">
            <v>3.7339307427501911E-2</v>
          </cell>
          <cell r="EH99">
            <v>4.3647406854067317E-2</v>
          </cell>
          <cell r="EI99">
            <v>5.1134669268391386E-2</v>
          </cell>
          <cell r="EJ99">
            <v>5.2522113495614864E-2</v>
          </cell>
          <cell r="EK99">
            <v>4.6078737440231166E-2</v>
          </cell>
          <cell r="EL99">
            <v>4.008375899999983E-2</v>
          </cell>
          <cell r="EM99">
            <v>3.2889503749999882E-2</v>
          </cell>
          <cell r="EN99">
            <v>2.7776189374999927E-2</v>
          </cell>
          <cell r="EO99">
            <v>2.2688188437499646E-2</v>
          </cell>
          <cell r="EP99">
            <v>2.0150500624999568E-2</v>
          </cell>
          <cell r="EQ99">
            <v>2.0150500624999568E-2</v>
          </cell>
          <cell r="ER99">
            <v>2.0150500624999568E-2</v>
          </cell>
          <cell r="ES99">
            <v>2.0150500624999568E-2</v>
          </cell>
          <cell r="ET99">
            <v>2.0150500624999568E-2</v>
          </cell>
          <cell r="EU99">
            <v>2.0150500624999568E-2</v>
          </cell>
          <cell r="EV99">
            <v>2.0150500624999568E-2</v>
          </cell>
          <cell r="EW99">
            <v>2.0150500624999568E-2</v>
          </cell>
          <cell r="EX99">
            <v>2.0150500624999568E-2</v>
          </cell>
          <cell r="EY99">
            <v>2.0150500624999568E-2</v>
          </cell>
          <cell r="EZ99">
            <v>2.0150500624999568E-2</v>
          </cell>
          <cell r="FA99">
            <v>2.0150500624999568E-2</v>
          </cell>
          <cell r="FB99">
            <v>2.0150500624999568E-2</v>
          </cell>
          <cell r="FC99">
            <v>2.0150500624999568E-2</v>
          </cell>
          <cell r="FD99">
            <v>2.0150500624999568E-2</v>
          </cell>
          <cell r="FE99">
            <v>2.0150500624999568E-2</v>
          </cell>
          <cell r="FF99">
            <v>2.0150500624999568E-2</v>
          </cell>
          <cell r="FG99">
            <v>2.0150500624999568E-2</v>
          </cell>
          <cell r="FH99">
            <v>2.0150500624999568E-2</v>
          </cell>
          <cell r="FI99">
            <v>2.0150500624999568E-2</v>
          </cell>
          <cell r="FJ99">
            <v>2.0150500624999568E-2</v>
          </cell>
          <cell r="FK99">
            <v>2.0150500624999568E-2</v>
          </cell>
          <cell r="FL99">
            <v>2.0150500624999568E-2</v>
          </cell>
          <cell r="FM99">
            <v>2.0150500624999568E-2</v>
          </cell>
          <cell r="FN99">
            <v>2.0150500624999568E-2</v>
          </cell>
          <cell r="FO99">
            <v>2.0150500624999568E-2</v>
          </cell>
          <cell r="FP99">
            <v>2.0150500624999568E-2</v>
          </cell>
          <cell r="FQ99">
            <v>2.0150500624999568E-2</v>
          </cell>
          <cell r="FR99">
            <v>2.0150500624999568E-2</v>
          </cell>
          <cell r="FS99">
            <v>2.0150500624999568E-2</v>
          </cell>
          <cell r="FT99">
            <v>2.0150500624999568E-2</v>
          </cell>
          <cell r="FU99">
            <v>2.0150500624999568E-2</v>
          </cell>
        </row>
        <row r="100">
          <cell r="A100" t="str">
            <v>12MoSystemNZHCg</v>
          </cell>
          <cell r="B100" t="str">
            <v>New Zealand housing</v>
          </cell>
          <cell r="D100"/>
          <cell r="E100"/>
          <cell r="F100"/>
          <cell r="G100"/>
          <cell r="H100"/>
          <cell r="I100"/>
          <cell r="J100"/>
          <cell r="K100"/>
          <cell r="L100"/>
          <cell r="M100"/>
          <cell r="N100"/>
          <cell r="O100"/>
          <cell r="P100"/>
          <cell r="Q100"/>
          <cell r="R100"/>
          <cell r="S100"/>
          <cell r="T100"/>
          <cell r="U100"/>
          <cell r="V100"/>
          <cell r="W100"/>
          <cell r="X100"/>
          <cell r="Y100"/>
          <cell r="Z100"/>
          <cell r="AA100"/>
          <cell r="AB100"/>
          <cell r="AC100"/>
          <cell r="AD100"/>
          <cell r="AE100"/>
          <cell r="AF100"/>
          <cell r="AG100">
            <v>0.10400000000000001</v>
          </cell>
          <cell r="AH100">
            <v>0.111</v>
          </cell>
          <cell r="AI100">
            <v>0.10400000000000001</v>
          </cell>
          <cell r="AJ100">
            <v>9.0999999999999998E-2</v>
          </cell>
          <cell r="AK100">
            <v>0.08</v>
          </cell>
          <cell r="AL100">
            <v>6.7000000000000004E-2</v>
          </cell>
          <cell r="AM100">
            <v>6.7000000000000004E-2</v>
          </cell>
          <cell r="AN100">
            <v>6.6000000000000003E-2</v>
          </cell>
          <cell r="AO100">
            <v>7.0999999999999994E-2</v>
          </cell>
          <cell r="AP100">
            <v>7.2999999999999995E-2</v>
          </cell>
          <cell r="AQ100">
            <v>7.2000000000000008E-2</v>
          </cell>
          <cell r="AR100">
            <v>7.9000000000000001E-2</v>
          </cell>
          <cell r="AS100">
            <v>8.199999999999999E-2</v>
          </cell>
          <cell r="AT100">
            <v>8.6999999999999994E-2</v>
          </cell>
          <cell r="AU100">
            <v>9.6999999999999989E-2</v>
          </cell>
          <cell r="AV100">
            <v>0.109</v>
          </cell>
          <cell r="AW100">
            <v>0.12300000000000001</v>
          </cell>
          <cell r="AX100">
            <v>0.14499999999999999</v>
          </cell>
          <cell r="AY100">
            <v>0.16300000000000001</v>
          </cell>
          <cell r="AZ100">
            <v>0.17</v>
          </cell>
          <cell r="BA100">
            <v>0.17300000000000001</v>
          </cell>
          <cell r="BB100">
            <v>0.16699999999999998</v>
          </cell>
          <cell r="BC100">
            <v>0.161</v>
          </cell>
          <cell r="BD100">
            <v>0.16</v>
          </cell>
          <cell r="BE100">
            <v>0.16</v>
          </cell>
          <cell r="BF100">
            <v>0.16300000000000001</v>
          </cell>
          <cell r="BG100">
            <v>0.161</v>
          </cell>
          <cell r="BH100">
            <v>0.152</v>
          </cell>
          <cell r="BI100">
            <v>0.14599999999999999</v>
          </cell>
          <cell r="BJ100">
            <v>0.13800000000000001</v>
          </cell>
          <cell r="BK100">
            <v>0.13400000000000001</v>
          </cell>
          <cell r="BL100">
            <v>0.14199999999999999</v>
          </cell>
          <cell r="BM100">
            <v>0.14400000000000002</v>
          </cell>
          <cell r="BN100">
            <v>0.13800000000000001</v>
          </cell>
          <cell r="BO100">
            <v>0.128</v>
          </cell>
          <cell r="BP100">
            <v>0.11199999999999999</v>
          </cell>
          <cell r="BQ100">
            <v>8.5999999999999993E-2</v>
          </cell>
          <cell r="BR100">
            <v>6.8000000000000005E-2</v>
          </cell>
          <cell r="BS100">
            <v>4.4000000000000004E-2</v>
          </cell>
          <cell r="BT100">
            <v>0.03</v>
          </cell>
          <cell r="BU100">
            <v>0.03</v>
          </cell>
          <cell r="BV100">
            <v>3.1E-2</v>
          </cell>
          <cell r="BW100">
            <v>3.5000000000000003E-2</v>
          </cell>
          <cell r="BX100">
            <v>3.4000000000000002E-2</v>
          </cell>
          <cell r="BY100">
            <v>2.8999999999999998E-2</v>
          </cell>
          <cell r="BZ100">
            <v>2.5000000000000001E-2</v>
          </cell>
          <cell r="CA100">
            <v>1.8000000000000002E-2</v>
          </cell>
          <cell r="CB100">
            <v>1.4999999999999999E-2</v>
          </cell>
          <cell r="CC100">
            <v>1.3999999999999999E-2</v>
          </cell>
          <cell r="CD100">
            <v>1.2E-2</v>
          </cell>
          <cell r="CE100">
            <v>1.2E-2</v>
          </cell>
          <cell r="CF100">
            <v>1.3999999999999999E-2</v>
          </cell>
          <cell r="CG100">
            <v>1.8000000000000002E-2</v>
          </cell>
          <cell r="CH100">
            <v>2.5000000000000001E-2</v>
          </cell>
          <cell r="CI100">
            <v>3.7000000000000005E-2</v>
          </cell>
          <cell r="CJ100">
            <v>4.4999999999999998E-2</v>
          </cell>
          <cell r="CK100">
            <v>5.2000000000000005E-2</v>
          </cell>
          <cell r="CL100">
            <v>5.7999999999999996E-2</v>
          </cell>
          <cell r="CM100">
            <v>5.9000000000000004E-2</v>
          </cell>
          <cell r="CN100">
            <v>5.5999999999999994E-2</v>
          </cell>
          <cell r="CO100">
            <v>5.2999999999999999E-2</v>
          </cell>
          <cell r="CP100">
            <v>4.7E-2</v>
          </cell>
          <cell r="CQ100">
            <v>4.5999999999999999E-2</v>
          </cell>
          <cell r="CR100">
            <v>4.9000000000000002E-2</v>
          </cell>
          <cell r="CS100">
            <v>5.4000000000000006E-2</v>
          </cell>
          <cell r="CT100">
            <v>6.6000000000000003E-2</v>
          </cell>
          <cell r="CU100">
            <v>7.400000000000001E-2</v>
          </cell>
          <cell r="CV100">
            <v>7.6999999999999999E-2</v>
          </cell>
          <cell r="CW100">
            <v>8.8000000000000009E-2</v>
          </cell>
          <cell r="CX100">
            <v>9.0999999999999998E-2</v>
          </cell>
          <cell r="CY100">
            <v>9.3000000000000013E-2</v>
          </cell>
          <cell r="CZ100">
            <v>8.900000000000001E-2</v>
          </cell>
          <cell r="DA100">
            <v>7.6999999999999999E-2</v>
          </cell>
          <cell r="DB100">
            <v>6.6000000000000003E-2</v>
          </cell>
          <cell r="DC100">
            <v>5.9000000000000004E-2</v>
          </cell>
          <cell r="DD100">
            <v>5.7999999999999996E-2</v>
          </cell>
          <cell r="DE100">
            <v>5.9000000000000004E-2</v>
          </cell>
          <cell r="DF100">
            <v>0.06</v>
          </cell>
          <cell r="DG100">
            <v>6.0999999999999999E-2</v>
          </cell>
          <cell r="DH100">
            <v>6.2E-2</v>
          </cell>
          <cell r="DI100">
            <v>6.3E-2</v>
          </cell>
          <cell r="DJ100">
            <v>6.6000000000000003E-2</v>
          </cell>
          <cell r="DK100">
            <v>7.0000000000000007E-2</v>
          </cell>
          <cell r="DL100">
            <v>7.0999999999999994E-2</v>
          </cell>
          <cell r="DM100">
            <v>6.2E-2</v>
          </cell>
          <cell r="DN100">
            <v>6.8000000000000005E-2</v>
          </cell>
          <cell r="DO100">
            <v>8.3000000000000004E-2</v>
          </cell>
          <cell r="DP100">
            <v>9.8000000000000004E-2</v>
          </cell>
          <cell r="DQ100">
            <v>0.11900000000000001</v>
          </cell>
          <cell r="DR100">
            <v>0.11599999999999999</v>
          </cell>
          <cell r="DS100">
            <v>0.105</v>
          </cell>
          <cell r="DT100">
            <v>8.6999999999999994E-2</v>
          </cell>
          <cell r="DU100">
            <v>6.9000000000000006E-2</v>
          </cell>
          <cell r="DV100">
            <v>5.7000000000000002E-2</v>
          </cell>
          <cell r="DW100">
            <v>4.4000000000000004E-2</v>
          </cell>
          <cell r="DX100">
            <v>3.5000000000000003E-2</v>
          </cell>
          <cell r="DY100">
            <v>3.1E-2</v>
          </cell>
          <cell r="DZ100">
            <v>0.03</v>
          </cell>
          <cell r="EA100">
            <v>2.8999999999999998E-2</v>
          </cell>
          <cell r="EB100">
            <v>3.1E-2</v>
          </cell>
          <cell r="EC100">
            <v>3.2000000000000001E-2</v>
          </cell>
          <cell r="ED100">
            <v>3.3000000000000002E-2</v>
          </cell>
          <cell r="EE100">
            <v>3.7999999999999999E-2</v>
          </cell>
          <cell r="EF100">
            <v>4.2000000000000003E-2</v>
          </cell>
          <cell r="EG100">
            <v>4.9000000000000002E-2</v>
          </cell>
          <cell r="EH100" t="e">
            <v>#N/A</v>
          </cell>
          <cell r="EI100" t="e">
            <v>#N/A</v>
          </cell>
          <cell r="EJ100">
            <v>4.9111089166673283E-2</v>
          </cell>
          <cell r="EK100">
            <v>4.4287404485284121E-2</v>
          </cell>
          <cell r="EL100">
            <v>4.0604010000000024E-2</v>
          </cell>
          <cell r="EM100">
            <v>4.0604010000000024E-2</v>
          </cell>
          <cell r="EN100">
            <v>4.0604010000000024E-2</v>
          </cell>
          <cell r="EO100">
            <v>4.0604010000000024E-2</v>
          </cell>
          <cell r="EP100">
            <v>4.0604010000000024E-2</v>
          </cell>
          <cell r="EQ100">
            <v>4.0604010000000024E-2</v>
          </cell>
          <cell r="ER100">
            <v>4.0604010000000024E-2</v>
          </cell>
          <cell r="ES100">
            <v>4.0604010000000024E-2</v>
          </cell>
          <cell r="ET100">
            <v>4.0604010000000024E-2</v>
          </cell>
          <cell r="EU100">
            <v>4.0604010000000024E-2</v>
          </cell>
          <cell r="EV100">
            <v>4.0604010000000024E-2</v>
          </cell>
          <cell r="EW100">
            <v>4.0604010000000024E-2</v>
          </cell>
          <cell r="EX100">
            <v>4.0604010000000024E-2</v>
          </cell>
          <cell r="EY100">
            <v>4.0604010000000024E-2</v>
          </cell>
          <cell r="EZ100">
            <v>4.0604010000000024E-2</v>
          </cell>
          <cell r="FA100">
            <v>4.0604010000000024E-2</v>
          </cell>
          <cell r="FB100">
            <v>4.0604010000000024E-2</v>
          </cell>
          <cell r="FC100">
            <v>4.0604010000000024E-2</v>
          </cell>
          <cell r="FD100">
            <v>4.0604010000000024E-2</v>
          </cell>
          <cell r="FE100">
            <v>4.0604010000000024E-2</v>
          </cell>
          <cell r="FF100">
            <v>4.0604010000000024E-2</v>
          </cell>
          <cell r="FG100">
            <v>4.0604010000000024E-2</v>
          </cell>
          <cell r="FH100">
            <v>4.0604010000000024E-2</v>
          </cell>
          <cell r="FI100">
            <v>4.0604010000000024E-2</v>
          </cell>
          <cell r="FJ100">
            <v>4.0604010000000024E-2</v>
          </cell>
          <cell r="FK100">
            <v>4.0604010000000024E-2</v>
          </cell>
          <cell r="FL100">
            <v>4.0604010000000024E-2</v>
          </cell>
          <cell r="FM100">
            <v>4.0604010000000024E-2</v>
          </cell>
          <cell r="FN100">
            <v>4.0604010000000024E-2</v>
          </cell>
          <cell r="FO100">
            <v>4.0604010000000024E-2</v>
          </cell>
          <cell r="FP100">
            <v>4.0604010000000024E-2</v>
          </cell>
          <cell r="FQ100">
            <v>4.0604010000000024E-2</v>
          </cell>
          <cell r="FR100">
            <v>4.0604010000000024E-2</v>
          </cell>
          <cell r="FS100">
            <v>4.0604010000000024E-2</v>
          </cell>
          <cell r="FT100">
            <v>4.0604010000000024E-2</v>
          </cell>
          <cell r="FU100">
            <v>4.0604010000000024E-2</v>
          </cell>
        </row>
        <row r="101">
          <cell r="A101" t="str">
            <v>12MoSystemNZNHCg</v>
          </cell>
          <cell r="B101" t="str">
            <v>New Zealand non-housing</v>
          </cell>
          <cell r="D101"/>
          <cell r="E101"/>
          <cell r="F101"/>
          <cell r="G101"/>
          <cell r="H101"/>
          <cell r="I101"/>
          <cell r="J101"/>
          <cell r="K101"/>
          <cell r="L101"/>
          <cell r="M101"/>
          <cell r="N101"/>
          <cell r="O101"/>
          <cell r="P101"/>
          <cell r="Q101"/>
          <cell r="R101"/>
          <cell r="S101"/>
          <cell r="T101"/>
          <cell r="U101"/>
          <cell r="V101"/>
          <cell r="W101"/>
          <cell r="X101"/>
          <cell r="Y101"/>
          <cell r="Z101"/>
          <cell r="AA101"/>
          <cell r="AB101"/>
          <cell r="AC101"/>
          <cell r="AD101"/>
          <cell r="AE101"/>
          <cell r="AF101"/>
          <cell r="AG101">
            <v>6.820380622556832E-2</v>
          </cell>
          <cell r="AH101">
            <v>7.4534536619707659E-2</v>
          </cell>
          <cell r="AI101">
            <v>8.8100751195827373E-2</v>
          </cell>
          <cell r="AJ101">
            <v>0.12083069254728042</v>
          </cell>
          <cell r="AK101">
            <v>8.8768924347958342E-2</v>
          </cell>
          <cell r="AL101">
            <v>5.4106823188184494E-2</v>
          </cell>
          <cell r="AM101">
            <v>4.4318984316018328E-2</v>
          </cell>
          <cell r="AN101">
            <v>7.5641163975308512E-3</v>
          </cell>
          <cell r="AO101">
            <v>1.687354517493711E-2</v>
          </cell>
          <cell r="AP101">
            <v>7.7746177766784497E-2</v>
          </cell>
          <cell r="AQ101">
            <v>6.0128544229583358E-2</v>
          </cell>
          <cell r="AR101">
            <v>0.10383334030488388</v>
          </cell>
          <cell r="AS101">
            <v>8.3962102570939154E-2</v>
          </cell>
          <cell r="AT101">
            <v>5.2540745594878979E-2</v>
          </cell>
          <cell r="AU101">
            <v>7.4691755816082894E-2</v>
          </cell>
          <cell r="AV101">
            <v>4.7552708699085899E-2</v>
          </cell>
          <cell r="AW101">
            <v>5.0228000399945794E-2</v>
          </cell>
          <cell r="AX101">
            <v>4.6506245251773271E-2</v>
          </cell>
          <cell r="AY101">
            <v>3.188889436987874E-2</v>
          </cell>
          <cell r="AZ101">
            <v>4.943300959282082E-2</v>
          </cell>
          <cell r="BA101">
            <v>7.2456537317121539E-2</v>
          </cell>
          <cell r="BB101">
            <v>7.7104847959322376E-2</v>
          </cell>
          <cell r="BC101">
            <v>0.10791496481679719</v>
          </cell>
          <cell r="BD101">
            <v>0.12169928723736569</v>
          </cell>
          <cell r="BE101">
            <v>0.14815053993979821</v>
          </cell>
          <cell r="BF101">
            <v>0.16859649035008517</v>
          </cell>
          <cell r="BG101">
            <v>0.14567962111079469</v>
          </cell>
          <cell r="BH101">
            <v>0.13490546409844995</v>
          </cell>
          <cell r="BI101">
            <v>0.12019194618370686</v>
          </cell>
          <cell r="BJ101">
            <v>0.13496011310481437</v>
          </cell>
          <cell r="BK101">
            <v>0.14744054016371555</v>
          </cell>
          <cell r="BL101">
            <v>0.13995921383835253</v>
          </cell>
          <cell r="BM101">
            <v>0.16557984652164115</v>
          </cell>
          <cell r="BN101">
            <v>0.1728817028892071</v>
          </cell>
          <cell r="BO101">
            <v>0.15964482533041502</v>
          </cell>
          <cell r="BP101">
            <v>0.16883840859681176</v>
          </cell>
          <cell r="BQ101">
            <v>0.15448032700083836</v>
          </cell>
          <cell r="BR101">
            <v>0.15342693087309311</v>
          </cell>
          <cell r="BS101">
            <v>0.1403580229247372</v>
          </cell>
          <cell r="BT101">
            <v>9.7967920063428485E-2</v>
          </cell>
          <cell r="BU101">
            <v>4.2568869733571324E-2</v>
          </cell>
          <cell r="BV101">
            <v>5.0373553098574941E-3</v>
          </cell>
          <cell r="BW101">
            <v>-3.4896760123865445E-2</v>
          </cell>
          <cell r="BX101">
            <v>-3.5214161791489063E-2</v>
          </cell>
          <cell r="BY101">
            <v>-2.4937633529832581E-2</v>
          </cell>
          <cell r="BZ101">
            <v>-2.372429742628801E-2</v>
          </cell>
          <cell r="CA101">
            <v>5.3590938223033735E-3</v>
          </cell>
          <cell r="CB101">
            <v>1.2473741995137733E-2</v>
          </cell>
          <cell r="CC101">
            <v>1.3555164518199048E-2</v>
          </cell>
          <cell r="CD101">
            <v>1.4648101313036177E-2</v>
          </cell>
          <cell r="CE101">
            <v>4.6597951834359552E-2</v>
          </cell>
          <cell r="CF101">
            <v>5.8973385554309976E-2</v>
          </cell>
          <cell r="CG101">
            <v>6.5134654725216512E-2</v>
          </cell>
          <cell r="CH101">
            <v>6.4182980329690498E-2</v>
          </cell>
          <cell r="CI101">
            <v>4.7393864150672593E-2</v>
          </cell>
          <cell r="CJ101">
            <v>4.0837137900940235E-2</v>
          </cell>
          <cell r="CK101">
            <v>3.82613790803632E-2</v>
          </cell>
          <cell r="CL101">
            <v>3.9136812639654961E-2</v>
          </cell>
          <cell r="CM101">
            <v>3.0313216470335025E-2</v>
          </cell>
          <cell r="CN101">
            <v>2.2417871089823738E-2</v>
          </cell>
          <cell r="CO101">
            <v>2.5718613929460066E-2</v>
          </cell>
          <cell r="CP101">
            <v>3.3744760601640111E-2</v>
          </cell>
          <cell r="CQ101">
            <v>3.2871690118850383E-2</v>
          </cell>
          <cell r="CR101">
            <v>6.0738616617322494E-2</v>
          </cell>
          <cell r="CS101">
            <v>7.6144708681010309E-2</v>
          </cell>
          <cell r="CT101">
            <v>6.5283624263390738E-2</v>
          </cell>
          <cell r="CU101">
            <v>7.5515548209556638E-2</v>
          </cell>
          <cell r="CV101">
            <v>7.4537629253590643E-2</v>
          </cell>
          <cell r="CW101">
            <v>5.3290066433262062E-2</v>
          </cell>
          <cell r="CX101">
            <v>6.9964214329772734E-2</v>
          </cell>
          <cell r="CY101">
            <v>4.5385859846589716E-2</v>
          </cell>
          <cell r="CZ101">
            <v>3.4583883351912537E-2</v>
          </cell>
          <cell r="DA101">
            <v>4.1550816514954958E-2</v>
          </cell>
          <cell r="DB101">
            <v>3.2354150923455727E-2</v>
          </cell>
          <cell r="DC101">
            <v>3.649930088056097E-2</v>
          </cell>
          <cell r="DD101">
            <v>3.2933644291659681E-2</v>
          </cell>
          <cell r="DE101">
            <v>5.034571376932484E-2</v>
          </cell>
          <cell r="DF101">
            <v>4.7546959031384395E-2</v>
          </cell>
          <cell r="DG101">
            <v>4.5527145904575184E-2</v>
          </cell>
          <cell r="DH101">
            <v>5.7641186005537026E-2</v>
          </cell>
          <cell r="DI101">
            <v>3.9914945075213648E-2</v>
          </cell>
          <cell r="DJ101">
            <v>5.5940522931772652E-2</v>
          </cell>
          <cell r="DK101">
            <v>3.7687539779764023E-2</v>
          </cell>
          <cell r="DL101">
            <v>5.6812547200521202E-2</v>
          </cell>
          <cell r="DM101">
            <v>1.4751477546883773E-2</v>
          </cell>
          <cell r="DN101">
            <v>-3.0604234572989553E-2</v>
          </cell>
          <cell r="DO101">
            <v>-2.1485287027661282E-2</v>
          </cell>
          <cell r="DP101">
            <v>-7.0859611211238738E-2</v>
          </cell>
          <cell r="DQ101">
            <v>-3.7933275629708718E-2</v>
          </cell>
          <cell r="DR101">
            <v>-1.5280218549372893E-2</v>
          </cell>
          <cell r="DS101">
            <v>-5.4498569442736899E-3</v>
          </cell>
          <cell r="DT101">
            <v>1.403182446160578E-2</v>
          </cell>
          <cell r="DU101">
            <v>3.5899050846962322E-2</v>
          </cell>
          <cell r="DV101">
            <v>6.7659464217848742E-2</v>
          </cell>
          <cell r="DW101">
            <v>3.8628944652346897E-2</v>
          </cell>
          <cell r="DX101">
            <v>3.4711845432281452E-2</v>
          </cell>
          <cell r="DY101">
            <v>1.5955874856032892E-2</v>
          </cell>
          <cell r="DZ101">
            <v>-1.1261584146092685E-2</v>
          </cell>
          <cell r="EA101">
            <v>1.4667888129195283E-2</v>
          </cell>
          <cell r="EB101">
            <v>2.179493505996577E-2</v>
          </cell>
          <cell r="EC101">
            <v>1.377771536286776E-2</v>
          </cell>
          <cell r="ED101">
            <v>2.3786916723561813E-2</v>
          </cell>
          <cell r="EE101" t="e">
            <v>#N/A</v>
          </cell>
          <cell r="EF101">
            <v>2.4697191140946595E-2</v>
          </cell>
          <cell r="EG101">
            <v>2.279011278425247E-2</v>
          </cell>
          <cell r="EH101" t="e">
            <v>#N/A</v>
          </cell>
          <cell r="EI101" t="e">
            <v>#N/A</v>
          </cell>
          <cell r="EJ101">
            <v>3.6908926004128428E-2</v>
          </cell>
          <cell r="EK101">
            <v>4.5738538938519424E-2</v>
          </cell>
          <cell r="EL101">
            <v>2.4216865295999979E-2</v>
          </cell>
          <cell r="EM101">
            <v>2.4216865295999979E-2</v>
          </cell>
          <cell r="EN101">
            <v>2.4216865295999979E-2</v>
          </cell>
          <cell r="EO101">
            <v>2.4216865295999979E-2</v>
          </cell>
          <cell r="EP101">
            <v>2.4216865295999979E-2</v>
          </cell>
          <cell r="EQ101">
            <v>2.4216865295999979E-2</v>
          </cell>
          <cell r="ER101">
            <v>2.4216865295999979E-2</v>
          </cell>
          <cell r="ES101">
            <v>2.4216865295999979E-2</v>
          </cell>
          <cell r="ET101">
            <v>2.4216865295999979E-2</v>
          </cell>
          <cell r="EU101">
            <v>2.4216865295999979E-2</v>
          </cell>
          <cell r="EV101">
            <v>2.4216865295999979E-2</v>
          </cell>
          <cell r="EW101">
            <v>2.4216865295999979E-2</v>
          </cell>
          <cell r="EX101">
            <v>2.4216865295999979E-2</v>
          </cell>
          <cell r="EY101">
            <v>2.4216865295999979E-2</v>
          </cell>
          <cell r="EZ101">
            <v>2.4216865295999979E-2</v>
          </cell>
          <cell r="FA101">
            <v>2.4216865295999979E-2</v>
          </cell>
          <cell r="FB101">
            <v>2.4216865295999979E-2</v>
          </cell>
          <cell r="FC101">
            <v>2.4216865295999979E-2</v>
          </cell>
          <cell r="FD101">
            <v>2.4216865295999979E-2</v>
          </cell>
          <cell r="FE101">
            <v>2.4216865295999979E-2</v>
          </cell>
          <cell r="FF101">
            <v>2.4216865295999979E-2</v>
          </cell>
          <cell r="FG101">
            <v>2.4216865295999979E-2</v>
          </cell>
          <cell r="FH101">
            <v>2.4216865295999979E-2</v>
          </cell>
          <cell r="FI101">
            <v>2.4216865295999979E-2</v>
          </cell>
          <cell r="FJ101">
            <v>2.4216865295999979E-2</v>
          </cell>
          <cell r="FK101">
            <v>2.4216865295999979E-2</v>
          </cell>
          <cell r="FL101">
            <v>2.4216865295999979E-2</v>
          </cell>
          <cell r="FM101">
            <v>2.4216865295999979E-2</v>
          </cell>
          <cell r="FN101">
            <v>2.4216865295999979E-2</v>
          </cell>
          <cell r="FO101">
            <v>2.4216865295999979E-2</v>
          </cell>
          <cell r="FP101">
            <v>2.4216865295999979E-2</v>
          </cell>
          <cell r="FQ101">
            <v>2.4216865295999979E-2</v>
          </cell>
          <cell r="FR101">
            <v>2.4216865295999979E-2</v>
          </cell>
          <cell r="FS101">
            <v>2.4216865295999979E-2</v>
          </cell>
          <cell r="FT101">
            <v>2.4216865295999979E-2</v>
          </cell>
          <cell r="FU101">
            <v>2.4216865295999979E-2</v>
          </cell>
        </row>
        <row r="102">
          <cell r="A102" t="str">
            <v>12MoSystemUKHCg</v>
          </cell>
          <cell r="B102" t="str">
            <v>UK housing</v>
          </cell>
          <cell r="D102"/>
          <cell r="E102"/>
          <cell r="F102"/>
          <cell r="G102"/>
          <cell r="H102"/>
          <cell r="I102"/>
          <cell r="J102"/>
          <cell r="K102"/>
          <cell r="L102"/>
          <cell r="M102" t="e">
            <v>#REF!</v>
          </cell>
          <cell r="N102" t="e">
            <v>#REF!</v>
          </cell>
          <cell r="O102" t="e">
            <v>#REF!</v>
          </cell>
          <cell r="P102" t="e">
            <v>#REF!</v>
          </cell>
          <cell r="Q102" t="e">
            <v>#REF!</v>
          </cell>
          <cell r="R102" t="e">
            <v>#REF!</v>
          </cell>
          <cell r="S102" t="e">
            <v>#REF!</v>
          </cell>
          <cell r="T102" t="e">
            <v>#REF!</v>
          </cell>
          <cell r="U102" t="e">
            <v>#REF!</v>
          </cell>
          <cell r="V102" t="e">
            <v>#REF!</v>
          </cell>
          <cell r="W102" t="e">
            <v>#REF!</v>
          </cell>
          <cell r="X102" t="e">
            <v>#REF!</v>
          </cell>
          <cell r="Y102" t="e">
            <v>#REF!</v>
          </cell>
          <cell r="Z102" t="e">
            <v>#REF!</v>
          </cell>
          <cell r="AA102" t="e">
            <v>#REF!</v>
          </cell>
          <cell r="AB102" t="e">
            <v>#REF!</v>
          </cell>
          <cell r="AC102" t="e">
            <v>#REF!</v>
          </cell>
          <cell r="AD102" t="e">
            <v>#REF!</v>
          </cell>
          <cell r="AE102" t="e">
            <v>#REF!</v>
          </cell>
          <cell r="AF102" t="e">
            <v>#REF!</v>
          </cell>
          <cell r="AG102" t="e">
            <v>#REF!</v>
          </cell>
          <cell r="AH102" t="e">
            <v>#REF!</v>
          </cell>
          <cell r="AI102" t="e">
            <v>#REF!</v>
          </cell>
          <cell r="AJ102" t="e">
            <v>#REF!</v>
          </cell>
          <cell r="AK102" t="e">
            <v>#REF!</v>
          </cell>
          <cell r="AL102" t="e">
            <v>#REF!</v>
          </cell>
          <cell r="AM102" t="e">
            <v>#REF!</v>
          </cell>
          <cell r="AN102" t="e">
            <v>#REF!</v>
          </cell>
          <cell r="AO102" t="e">
            <v>#REF!</v>
          </cell>
          <cell r="AP102" t="e">
            <v>#REF!</v>
          </cell>
          <cell r="AQ102" t="e">
            <v>#REF!</v>
          </cell>
          <cell r="AR102" t="e">
            <v>#REF!</v>
          </cell>
          <cell r="AS102" t="e">
            <v>#REF!</v>
          </cell>
          <cell r="AT102" t="e">
            <v>#REF!</v>
          </cell>
          <cell r="AU102" t="e">
            <v>#REF!</v>
          </cell>
          <cell r="AV102" t="e">
            <v>#REF!</v>
          </cell>
          <cell r="AW102" t="e">
            <v>#REF!</v>
          </cell>
          <cell r="AX102" t="e">
            <v>#REF!</v>
          </cell>
          <cell r="AY102" t="e">
            <v>#REF!</v>
          </cell>
          <cell r="AZ102" t="e">
            <v>#REF!</v>
          </cell>
          <cell r="BA102" t="e">
            <v>#REF!</v>
          </cell>
          <cell r="BB102" t="e">
            <v>#REF!</v>
          </cell>
          <cell r="BC102" t="e">
            <v>#REF!</v>
          </cell>
          <cell r="BD102" t="e">
            <v>#REF!</v>
          </cell>
          <cell r="BE102" t="e">
            <v>#REF!</v>
          </cell>
          <cell r="BF102" t="e">
            <v>#REF!</v>
          </cell>
          <cell r="BG102" t="e">
            <v>#REF!</v>
          </cell>
          <cell r="BH102" t="e">
            <v>#REF!</v>
          </cell>
          <cell r="BI102" t="e">
            <v>#REF!</v>
          </cell>
          <cell r="BJ102" t="e">
            <v>#REF!</v>
          </cell>
          <cell r="BK102" t="e">
            <v>#REF!</v>
          </cell>
          <cell r="BL102" t="e">
            <v>#REF!</v>
          </cell>
          <cell r="BM102" t="e">
            <v>#REF!</v>
          </cell>
          <cell r="BN102" t="e">
            <v>#REF!</v>
          </cell>
          <cell r="BO102" t="e">
            <v>#REF!</v>
          </cell>
          <cell r="BP102" t="e">
            <v>#REF!</v>
          </cell>
          <cell r="BQ102" t="e">
            <v>#REF!</v>
          </cell>
          <cell r="BR102" t="e">
            <v>#REF!</v>
          </cell>
          <cell r="BS102" t="e">
            <v>#REF!</v>
          </cell>
          <cell r="BT102" t="e">
            <v>#REF!</v>
          </cell>
          <cell r="BU102" t="e">
            <v>#REF!</v>
          </cell>
          <cell r="BV102" t="e">
            <v>#REF!</v>
          </cell>
          <cell r="BW102" t="e">
            <v>#REF!</v>
          </cell>
          <cell r="BX102" t="e">
            <v>#REF!</v>
          </cell>
          <cell r="BY102" t="e">
            <v>#REF!</v>
          </cell>
          <cell r="BZ102" t="e">
            <v>#REF!</v>
          </cell>
          <cell r="CA102" t="e">
            <v>#REF!</v>
          </cell>
          <cell r="CB102" t="e">
            <v>#REF!</v>
          </cell>
          <cell r="CC102" t="e">
            <v>#REF!</v>
          </cell>
          <cell r="CD102" t="e">
            <v>#REF!</v>
          </cell>
          <cell r="CE102" t="e">
            <v>#REF!</v>
          </cell>
          <cell r="CF102" t="e">
            <v>#REF!</v>
          </cell>
          <cell r="CG102" t="e">
            <v>#REF!</v>
          </cell>
          <cell r="CH102" t="e">
            <v>#REF!</v>
          </cell>
          <cell r="CI102" t="e">
            <v>#REF!</v>
          </cell>
          <cell r="CJ102" t="e">
            <v>#REF!</v>
          </cell>
          <cell r="CK102" t="e">
            <v>#REF!</v>
          </cell>
          <cell r="CL102" t="e">
            <v>#REF!</v>
          </cell>
          <cell r="CM102" t="e">
            <v>#REF!</v>
          </cell>
          <cell r="CN102" t="e">
            <v>#REF!</v>
          </cell>
          <cell r="CO102" t="e">
            <v>#REF!</v>
          </cell>
          <cell r="CP102" t="e">
            <v>#REF!</v>
          </cell>
          <cell r="CQ102" t="e">
            <v>#REF!</v>
          </cell>
          <cell r="CR102" t="e">
            <v>#REF!</v>
          </cell>
          <cell r="CS102" t="e">
            <v>#REF!</v>
          </cell>
          <cell r="CT102" t="e">
            <v>#REF!</v>
          </cell>
          <cell r="CU102" t="e">
            <v>#REF!</v>
          </cell>
          <cell r="CV102" t="e">
            <v>#REF!</v>
          </cell>
          <cell r="CW102" t="e">
            <v>#REF!</v>
          </cell>
          <cell r="CX102"/>
          <cell r="CY102"/>
          <cell r="CZ102"/>
          <cell r="DA102"/>
          <cell r="DB102"/>
          <cell r="DC102"/>
          <cell r="DD102"/>
          <cell r="DE102"/>
          <cell r="DF102"/>
          <cell r="DG102"/>
          <cell r="DH102"/>
          <cell r="DI102"/>
          <cell r="DJ102"/>
          <cell r="DK102"/>
          <cell r="DL102"/>
          <cell r="DM102"/>
          <cell r="DN102"/>
          <cell r="DO102"/>
          <cell r="DP102"/>
          <cell r="DQ102"/>
          <cell r="DR102"/>
          <cell r="DS102"/>
          <cell r="DT102"/>
          <cell r="DU102"/>
          <cell r="DV102"/>
          <cell r="DW102"/>
          <cell r="DX102"/>
          <cell r="DY102"/>
          <cell r="DZ102"/>
          <cell r="EA102"/>
          <cell r="EB102"/>
          <cell r="EC102"/>
          <cell r="ED102"/>
          <cell r="EE102"/>
          <cell r="EF102"/>
          <cell r="EG102"/>
          <cell r="EH102"/>
          <cell r="EI102"/>
          <cell r="EJ102"/>
          <cell r="EK102"/>
          <cell r="EL102"/>
          <cell r="EM102"/>
          <cell r="EN102"/>
          <cell r="EO102"/>
          <cell r="EP102"/>
          <cell r="EQ102"/>
          <cell r="ER102"/>
          <cell r="ES102"/>
          <cell r="ET102"/>
          <cell r="EU102"/>
          <cell r="EV102"/>
          <cell r="EW102"/>
          <cell r="EX102"/>
          <cell r="EY102"/>
          <cell r="EZ102"/>
          <cell r="FA102"/>
          <cell r="FB102"/>
          <cell r="FC102"/>
          <cell r="FD102"/>
          <cell r="FE102"/>
          <cell r="FF102"/>
          <cell r="FG102"/>
          <cell r="FH102"/>
          <cell r="FI102"/>
          <cell r="FJ102"/>
          <cell r="FK102"/>
          <cell r="FL102"/>
          <cell r="FM102"/>
          <cell r="FN102"/>
          <cell r="FO102"/>
          <cell r="FP102"/>
          <cell r="FQ102"/>
          <cell r="FR102"/>
          <cell r="FS102"/>
          <cell r="FT102"/>
          <cell r="FU102"/>
        </row>
        <row r="103">
          <cell r="A103" t="str">
            <v>12MoSystemUKNHCg</v>
          </cell>
          <cell r="B103" t="str">
            <v>UK non-housing</v>
          </cell>
          <cell r="D103"/>
          <cell r="E103"/>
          <cell r="F103"/>
          <cell r="G103"/>
          <cell r="H103"/>
          <cell r="I103"/>
          <cell r="J103"/>
          <cell r="K103"/>
          <cell r="L103"/>
          <cell r="M103"/>
          <cell r="N103"/>
          <cell r="O103"/>
          <cell r="P103"/>
          <cell r="Q103"/>
          <cell r="R103"/>
          <cell r="S103"/>
          <cell r="T103"/>
          <cell r="U103"/>
          <cell r="V103"/>
          <cell r="W103"/>
          <cell r="X103"/>
          <cell r="Y103"/>
          <cell r="Z103"/>
          <cell r="AA103"/>
          <cell r="AB103"/>
          <cell r="AC103"/>
          <cell r="AD103" t="e">
            <v>#REF!</v>
          </cell>
          <cell r="AE103" t="e">
            <v>#REF!</v>
          </cell>
          <cell r="AF103" t="e">
            <v>#REF!</v>
          </cell>
          <cell r="AG103" t="e">
            <v>#REF!</v>
          </cell>
          <cell r="AH103" t="e">
            <v>#REF!</v>
          </cell>
          <cell r="AI103" t="e">
            <v>#REF!</v>
          </cell>
          <cell r="AJ103" t="e">
            <v>#REF!</v>
          </cell>
          <cell r="AK103" t="e">
            <v>#REF!</v>
          </cell>
          <cell r="AL103" t="e">
            <v>#REF!</v>
          </cell>
          <cell r="AM103" t="e">
            <v>#REF!</v>
          </cell>
          <cell r="AN103" t="e">
            <v>#REF!</v>
          </cell>
          <cell r="AO103" t="e">
            <v>#REF!</v>
          </cell>
          <cell r="AP103" t="e">
            <v>#REF!</v>
          </cell>
          <cell r="AQ103" t="e">
            <v>#REF!</v>
          </cell>
          <cell r="AR103" t="e">
            <v>#REF!</v>
          </cell>
          <cell r="AS103" t="e">
            <v>#REF!</v>
          </cell>
          <cell r="AT103" t="e">
            <v>#REF!</v>
          </cell>
          <cell r="AU103" t="e">
            <v>#REF!</v>
          </cell>
          <cell r="AV103" t="e">
            <v>#REF!</v>
          </cell>
          <cell r="AW103" t="e">
            <v>#REF!</v>
          </cell>
          <cell r="AX103" t="e">
            <v>#REF!</v>
          </cell>
          <cell r="AY103" t="e">
            <v>#REF!</v>
          </cell>
          <cell r="AZ103" t="e">
            <v>#REF!</v>
          </cell>
          <cell r="BA103" t="e">
            <v>#REF!</v>
          </cell>
          <cell r="BB103" t="e">
            <v>#REF!</v>
          </cell>
          <cell r="BC103" t="e">
            <v>#REF!</v>
          </cell>
          <cell r="BD103" t="e">
            <v>#REF!</v>
          </cell>
          <cell r="BE103" t="e">
            <v>#REF!</v>
          </cell>
          <cell r="BF103" t="e">
            <v>#REF!</v>
          </cell>
          <cell r="BG103" t="e">
            <v>#REF!</v>
          </cell>
          <cell r="BH103" t="e">
            <v>#REF!</v>
          </cell>
          <cell r="BI103" t="e">
            <v>#REF!</v>
          </cell>
          <cell r="BJ103" t="e">
            <v>#REF!</v>
          </cell>
          <cell r="BK103" t="e">
            <v>#REF!</v>
          </cell>
          <cell r="BL103" t="e">
            <v>#REF!</v>
          </cell>
          <cell r="BM103" t="e">
            <v>#REF!</v>
          </cell>
          <cell r="BN103" t="e">
            <v>#REF!</v>
          </cell>
          <cell r="BO103" t="e">
            <v>#REF!</v>
          </cell>
          <cell r="BP103" t="e">
            <v>#REF!</v>
          </cell>
          <cell r="BQ103" t="e">
            <v>#REF!</v>
          </cell>
          <cell r="BR103" t="e">
            <v>#REF!</v>
          </cell>
          <cell r="BS103" t="e">
            <v>#REF!</v>
          </cell>
          <cell r="BT103" t="e">
            <v>#REF!</v>
          </cell>
          <cell r="BU103" t="e">
            <v>#REF!</v>
          </cell>
          <cell r="BV103" t="e">
            <v>#REF!</v>
          </cell>
          <cell r="BW103" t="e">
            <v>#REF!</v>
          </cell>
          <cell r="BX103" t="e">
            <v>#REF!</v>
          </cell>
          <cell r="BY103" t="e">
            <v>#REF!</v>
          </cell>
          <cell r="BZ103" t="e">
            <v>#REF!</v>
          </cell>
          <cell r="CA103" t="e">
            <v>#REF!</v>
          </cell>
          <cell r="CB103" t="e">
            <v>#REF!</v>
          </cell>
          <cell r="CC103" t="e">
            <v>#REF!</v>
          </cell>
          <cell r="CD103" t="e">
            <v>#REF!</v>
          </cell>
          <cell r="CE103" t="e">
            <v>#REF!</v>
          </cell>
          <cell r="CF103" t="e">
            <v>#REF!</v>
          </cell>
          <cell r="CG103" t="e">
            <v>#REF!</v>
          </cell>
          <cell r="CH103" t="e">
            <v>#REF!</v>
          </cell>
          <cell r="CI103" t="e">
            <v>#REF!</v>
          </cell>
          <cell r="CJ103" t="e">
            <v>#REF!</v>
          </cell>
          <cell r="CK103" t="e">
            <v>#REF!</v>
          </cell>
          <cell r="CL103" t="e">
            <v>#REF!</v>
          </cell>
          <cell r="CM103" t="e">
            <v>#REF!</v>
          </cell>
          <cell r="CN103" t="e">
            <v>#REF!</v>
          </cell>
          <cell r="CO103" t="e">
            <v>#REF!</v>
          </cell>
          <cell r="CP103" t="e">
            <v>#REF!</v>
          </cell>
          <cell r="CQ103" t="e">
            <v>#REF!</v>
          </cell>
          <cell r="CR103" t="e">
            <v>#REF!</v>
          </cell>
          <cell r="CS103" t="e">
            <v>#REF!</v>
          </cell>
          <cell r="CT103" t="e">
            <v>#REF!</v>
          </cell>
          <cell r="CU103" t="e">
            <v>#REF!</v>
          </cell>
          <cell r="CV103" t="e">
            <v>#REF!</v>
          </cell>
          <cell r="CW103" t="e">
            <v>#REF!</v>
          </cell>
          <cell r="CX103"/>
          <cell r="CY103"/>
          <cell r="CZ103"/>
          <cell r="DA103"/>
          <cell r="DB103"/>
          <cell r="DC103"/>
          <cell r="DD103"/>
          <cell r="DE103"/>
          <cell r="DF103"/>
          <cell r="DG103"/>
          <cell r="DH103"/>
          <cell r="DI103"/>
          <cell r="DJ103"/>
          <cell r="DK103"/>
          <cell r="DL103"/>
          <cell r="DM103"/>
          <cell r="DN103"/>
          <cell r="DO103"/>
          <cell r="DP103"/>
          <cell r="DQ103"/>
          <cell r="DR103"/>
          <cell r="DS103"/>
          <cell r="DT103"/>
          <cell r="DU103"/>
          <cell r="DV103"/>
          <cell r="DW103"/>
          <cell r="DX103"/>
          <cell r="DY103"/>
          <cell r="DZ103"/>
          <cell r="EA103"/>
          <cell r="EB103"/>
          <cell r="EC103"/>
          <cell r="ED103"/>
          <cell r="EE103"/>
          <cell r="EF103"/>
          <cell r="EG103"/>
          <cell r="EH103"/>
          <cell r="EI103"/>
          <cell r="EJ103"/>
          <cell r="EK103"/>
          <cell r="EL103"/>
          <cell r="EM103"/>
          <cell r="EN103"/>
          <cell r="EO103"/>
          <cell r="EP103"/>
          <cell r="EQ103"/>
          <cell r="ER103"/>
          <cell r="ES103"/>
          <cell r="ET103"/>
          <cell r="EU103"/>
          <cell r="EV103"/>
          <cell r="EW103"/>
          <cell r="EX103"/>
          <cell r="EY103"/>
          <cell r="EZ103"/>
          <cell r="FA103"/>
          <cell r="FB103"/>
          <cell r="FC103"/>
          <cell r="FD103"/>
          <cell r="FE103"/>
          <cell r="FF103"/>
          <cell r="FG103"/>
          <cell r="FH103"/>
          <cell r="FI103"/>
          <cell r="FJ103"/>
          <cell r="FK103"/>
          <cell r="FL103"/>
          <cell r="FM103"/>
          <cell r="FN103"/>
          <cell r="FO103"/>
          <cell r="FP103"/>
          <cell r="FQ103"/>
          <cell r="FR103"/>
          <cell r="FS103"/>
          <cell r="FT103"/>
          <cell r="FU103"/>
        </row>
        <row r="104">
          <cell r="D104"/>
          <cell r="E104"/>
          <cell r="F104"/>
          <cell r="G104"/>
          <cell r="H104"/>
          <cell r="I104"/>
          <cell r="J104"/>
          <cell r="K104"/>
          <cell r="L104"/>
          <cell r="M104"/>
          <cell r="N104"/>
          <cell r="O104"/>
          <cell r="P104"/>
          <cell r="Q104"/>
          <cell r="R104"/>
          <cell r="S104"/>
          <cell r="T104"/>
          <cell r="U104"/>
          <cell r="V104"/>
          <cell r="W104"/>
          <cell r="X104"/>
          <cell r="Y104"/>
          <cell r="Z104"/>
          <cell r="AA104"/>
          <cell r="AB104"/>
          <cell r="AC104"/>
          <cell r="AD104"/>
          <cell r="AE104"/>
          <cell r="AF104"/>
          <cell r="AG104"/>
          <cell r="AH104"/>
          <cell r="AI104"/>
          <cell r="AJ104"/>
          <cell r="AK104"/>
          <cell r="AL104"/>
          <cell r="AM104"/>
          <cell r="AN104"/>
          <cell r="AO104"/>
          <cell r="AP104"/>
          <cell r="AQ104"/>
          <cell r="AR104"/>
          <cell r="AS104"/>
          <cell r="AT104"/>
          <cell r="AU104"/>
          <cell r="AV104"/>
          <cell r="AW104"/>
          <cell r="AX104"/>
          <cell r="AY104"/>
          <cell r="AZ104"/>
          <cell r="BA104"/>
          <cell r="BB104"/>
          <cell r="BC104"/>
          <cell r="BD104"/>
          <cell r="BE104"/>
          <cell r="BF104"/>
          <cell r="BG104"/>
          <cell r="BH104"/>
          <cell r="BI104"/>
          <cell r="BJ104"/>
          <cell r="BK104"/>
          <cell r="BL104"/>
          <cell r="BM104"/>
          <cell r="BN104"/>
          <cell r="BO104"/>
          <cell r="BP104"/>
          <cell r="BQ104"/>
          <cell r="BR104"/>
          <cell r="BS104"/>
          <cell r="BT104"/>
          <cell r="BU104"/>
          <cell r="BV104"/>
          <cell r="BW104"/>
          <cell r="BX104"/>
          <cell r="BY104"/>
          <cell r="BZ104"/>
          <cell r="CA104"/>
          <cell r="CB104"/>
          <cell r="CC104"/>
          <cell r="CD104"/>
          <cell r="CE104"/>
          <cell r="CF104"/>
          <cell r="CG104"/>
          <cell r="CH104"/>
          <cell r="CI104"/>
          <cell r="CJ104"/>
          <cell r="CK104"/>
          <cell r="CL104"/>
          <cell r="CM104"/>
          <cell r="CN104"/>
          <cell r="CO104"/>
          <cell r="CP104"/>
          <cell r="CQ104"/>
          <cell r="CR104"/>
          <cell r="CS104"/>
          <cell r="CT104"/>
          <cell r="CU104"/>
          <cell r="CV104"/>
          <cell r="CW104"/>
          <cell r="CX104"/>
          <cell r="CY104"/>
          <cell r="CZ104"/>
          <cell r="DA104"/>
          <cell r="DB104"/>
          <cell r="DC104"/>
          <cell r="DD104"/>
          <cell r="DE104"/>
          <cell r="DF104"/>
          <cell r="DG104"/>
          <cell r="DH104"/>
          <cell r="DI104"/>
          <cell r="DJ104"/>
          <cell r="DK104"/>
          <cell r="DL104"/>
          <cell r="DM104"/>
          <cell r="DN104"/>
          <cell r="DO104"/>
          <cell r="DP104"/>
          <cell r="DQ104"/>
          <cell r="DR104"/>
          <cell r="DS104"/>
          <cell r="DT104"/>
          <cell r="DU104"/>
          <cell r="DV104"/>
          <cell r="DW104"/>
          <cell r="DX104"/>
          <cell r="DY104"/>
          <cell r="DZ104"/>
          <cell r="EA104"/>
          <cell r="EB104"/>
          <cell r="EC104"/>
          <cell r="ED104"/>
          <cell r="EE104"/>
        </row>
        <row r="105">
          <cell r="B105" t="str">
            <v>Net interest margins (6mo)</v>
          </cell>
          <cell r="C105"/>
          <cell r="D105"/>
          <cell r="E105"/>
          <cell r="F105"/>
          <cell r="G105"/>
          <cell r="H105"/>
          <cell r="I105"/>
          <cell r="J105"/>
          <cell r="K105"/>
          <cell r="L105"/>
          <cell r="M105"/>
          <cell r="N105"/>
          <cell r="O105"/>
          <cell r="P105"/>
          <cell r="Q105"/>
          <cell r="R105"/>
          <cell r="S105"/>
          <cell r="T105"/>
          <cell r="U105"/>
          <cell r="V105"/>
          <cell r="W105"/>
          <cell r="X105"/>
          <cell r="Y105"/>
          <cell r="Z105"/>
          <cell r="AA105"/>
          <cell r="AB105"/>
          <cell r="AC105"/>
          <cell r="AD105"/>
          <cell r="AE105"/>
          <cell r="AF105"/>
          <cell r="AG105"/>
          <cell r="AH105"/>
          <cell r="AI105"/>
          <cell r="AJ105"/>
          <cell r="AK105"/>
          <cell r="AL105"/>
          <cell r="AM105"/>
          <cell r="AN105"/>
          <cell r="AO105"/>
          <cell r="AP105"/>
          <cell r="AQ105"/>
          <cell r="AR105"/>
          <cell r="AS105"/>
          <cell r="AT105"/>
          <cell r="AU105"/>
          <cell r="AV105"/>
          <cell r="AW105"/>
          <cell r="AX105"/>
          <cell r="AY105"/>
          <cell r="AZ105"/>
          <cell r="BA105"/>
          <cell r="BB105"/>
          <cell r="BC105"/>
          <cell r="BD105"/>
          <cell r="BE105"/>
          <cell r="BF105"/>
          <cell r="BG105"/>
          <cell r="BH105"/>
          <cell r="BI105"/>
          <cell r="BJ105"/>
          <cell r="BK105"/>
          <cell r="BL105"/>
          <cell r="BM105"/>
          <cell r="BN105"/>
          <cell r="BO105"/>
          <cell r="BP105"/>
          <cell r="BQ105"/>
          <cell r="BR105"/>
          <cell r="BS105"/>
          <cell r="BT105"/>
          <cell r="BU105"/>
          <cell r="BV105"/>
          <cell r="BW105"/>
          <cell r="BX105"/>
          <cell r="BY105"/>
          <cell r="BZ105"/>
          <cell r="CA105"/>
          <cell r="CB105"/>
          <cell r="CC105"/>
          <cell r="CD105"/>
          <cell r="CE105"/>
          <cell r="CF105"/>
          <cell r="CG105"/>
          <cell r="CH105"/>
          <cell r="CI105"/>
          <cell r="CJ105"/>
          <cell r="CK105"/>
          <cell r="CL105"/>
          <cell r="CM105"/>
          <cell r="CN105"/>
          <cell r="CO105"/>
          <cell r="CP105"/>
          <cell r="CQ105"/>
          <cell r="CR105"/>
          <cell r="CS105"/>
          <cell r="CT105"/>
          <cell r="CU105"/>
          <cell r="CV105"/>
          <cell r="CW105"/>
          <cell r="CX105"/>
          <cell r="CY105"/>
          <cell r="CZ105"/>
          <cell r="DA105"/>
          <cell r="DB105"/>
          <cell r="DC105"/>
          <cell r="DD105"/>
          <cell r="DE105"/>
          <cell r="DF105"/>
          <cell r="DG105"/>
          <cell r="DH105"/>
          <cell r="DI105"/>
          <cell r="DJ105"/>
          <cell r="DK105"/>
          <cell r="DL105"/>
          <cell r="DM105"/>
          <cell r="DN105"/>
          <cell r="DO105"/>
          <cell r="DP105"/>
          <cell r="DQ105"/>
          <cell r="DR105"/>
          <cell r="DS105"/>
          <cell r="DT105"/>
          <cell r="DU105"/>
          <cell r="DV105"/>
          <cell r="DW105"/>
          <cell r="DX105"/>
          <cell r="DY105"/>
          <cell r="DZ105"/>
          <cell r="EA105"/>
          <cell r="EB105"/>
          <cell r="EC105"/>
          <cell r="ED105"/>
          <cell r="EE105"/>
          <cell r="EF105"/>
          <cell r="EG105"/>
          <cell r="EH105"/>
          <cell r="EI105"/>
          <cell r="EJ105"/>
          <cell r="EK105"/>
          <cell r="EL105"/>
          <cell r="EM105"/>
          <cell r="EN105"/>
          <cell r="EO105"/>
          <cell r="EP105"/>
          <cell r="EQ105"/>
          <cell r="ER105"/>
          <cell r="ES105"/>
          <cell r="ET105"/>
          <cell r="EU105"/>
          <cell r="EV105"/>
          <cell r="EW105"/>
          <cell r="EX105"/>
          <cell r="EY105"/>
          <cell r="EZ105"/>
          <cell r="FA105"/>
          <cell r="FB105"/>
          <cell r="FC105"/>
          <cell r="FD105"/>
          <cell r="FE105"/>
          <cell r="FF105"/>
          <cell r="FG105"/>
          <cell r="FH105"/>
          <cell r="FI105"/>
          <cell r="FJ105"/>
          <cell r="FK105"/>
          <cell r="FL105"/>
          <cell r="FM105"/>
          <cell r="FN105"/>
          <cell r="FO105"/>
          <cell r="FP105"/>
          <cell r="FQ105"/>
          <cell r="FR105"/>
          <cell r="FS105"/>
          <cell r="FT105"/>
          <cell r="FU105"/>
        </row>
        <row r="106">
          <cell r="A106" t="str">
            <v>ASS_NIMAUHousing</v>
          </cell>
          <cell r="B106" t="str">
            <v>Australian housing</v>
          </cell>
          <cell r="D106">
            <v>2.9873641666666624E-2</v>
          </cell>
          <cell r="E106">
            <v>3.05678083333333E-2</v>
          </cell>
          <cell r="F106">
            <v>3.2933641666666638E-2</v>
          </cell>
          <cell r="G106">
            <v>3.296197499999997E-2</v>
          </cell>
          <cell r="H106">
            <v>3.2579474999999969E-2</v>
          </cell>
          <cell r="I106">
            <v>3.3996141666666639E-2</v>
          </cell>
          <cell r="J106">
            <v>3.6222461111111062E-2</v>
          </cell>
          <cell r="K106">
            <v>3.7214058333333279E-2</v>
          </cell>
          <cell r="L106">
            <v>3.6586072222222168E-2</v>
          </cell>
          <cell r="M106">
            <v>3.6077252777777735E-2</v>
          </cell>
          <cell r="N106">
            <v>3.3820863888888858E-2</v>
          </cell>
          <cell r="O106">
            <v>2.8043572222222184E-2</v>
          </cell>
          <cell r="P106">
            <v>2.3878711111111051E-2</v>
          </cell>
          <cell r="Q106">
            <v>2.5078433333333278E-2</v>
          </cell>
          <cell r="R106">
            <v>2.7042877777777728E-2</v>
          </cell>
          <cell r="S106">
            <v>2.8020169444444371E-2</v>
          </cell>
          <cell r="T106">
            <v>2.7832530555555492E-2</v>
          </cell>
          <cell r="U106">
            <v>2.5865655555555523E-2</v>
          </cell>
          <cell r="V106">
            <v>2.3577183333333303E-2</v>
          </cell>
          <cell r="W106">
            <v>2.2234822222222183E-2</v>
          </cell>
          <cell r="X106">
            <v>1.9095516666666632E-2</v>
          </cell>
          <cell r="Y106">
            <v>1.6000655555555555E-2</v>
          </cell>
          <cell r="Z106">
            <v>1.6487947222222233E-2</v>
          </cell>
          <cell r="AA106">
            <v>1.5968224999999975E-2</v>
          </cell>
          <cell r="AB106">
            <v>1.4596766666666646E-2</v>
          </cell>
          <cell r="AC106">
            <v>1.4256627777777742E-2</v>
          </cell>
          <cell r="AD106">
            <v>1.3597391666666566E-2</v>
          </cell>
          <cell r="AE106">
            <v>1.4363224999999931E-2</v>
          </cell>
          <cell r="AF106">
            <v>1.473079444444449E-2</v>
          </cell>
          <cell r="AG106">
            <v>1.36834333333333E-2</v>
          </cell>
          <cell r="AH106">
            <v>1.3169752777777707E-2</v>
          </cell>
          <cell r="AI106">
            <v>1.1590169444444447E-2</v>
          </cell>
          <cell r="AJ106">
            <v>1.0612252777777765E-2</v>
          </cell>
          <cell r="AK106">
            <v>1.1646627777777679E-2</v>
          </cell>
          <cell r="AL106">
            <v>1.1979058333333275E-2</v>
          </cell>
          <cell r="AM106">
            <v>1.3072877777777776E-2</v>
          </cell>
          <cell r="AN106">
            <v>1.6153849999999956E-2</v>
          </cell>
          <cell r="AO106">
            <v>1.6435933333333326E-2</v>
          </cell>
          <cell r="AP106">
            <v>1.5428502777777704E-2</v>
          </cell>
          <cell r="AQ106">
            <v>1.5919752777777671E-2</v>
          </cell>
          <cell r="AR106">
            <v>1.4608225000000013E-2</v>
          </cell>
          <cell r="AS106">
            <v>1.2329127777777829E-2</v>
          </cell>
          <cell r="AT106">
            <v>1.2194058333333356E-2</v>
          </cell>
          <cell r="AU106">
            <v>1.339829444444442E-2</v>
          </cell>
          <cell r="AV106">
            <v>1.4038988888888788E-2</v>
          </cell>
          <cell r="AW106">
            <v>1.4326245833333247E-2</v>
          </cell>
          <cell r="AX106">
            <v>1.399159305555555E-2</v>
          </cell>
          <cell r="AY106">
            <v>1.2691176388888933E-2</v>
          </cell>
          <cell r="AZ106">
            <v>1.1687204166666708E-2</v>
          </cell>
          <cell r="BA106">
            <v>2.9787097222221982E-3</v>
          </cell>
          <cell r="BB106">
            <v>6.9794333333333056E-3</v>
          </cell>
          <cell r="BC106">
            <v>9.817905555555546E-3</v>
          </cell>
          <cell r="BD106">
            <v>8.8399819444444153E-3</v>
          </cell>
          <cell r="BE106">
            <v>8.4945652777777235E-3</v>
          </cell>
          <cell r="BF106">
            <v>9.0907319444444041E-3</v>
          </cell>
          <cell r="BG106">
            <v>8.8003430555555311E-3</v>
          </cell>
          <cell r="BH106">
            <v>8.6306555555555331E-3</v>
          </cell>
          <cell r="BI106">
            <v>8.1543013888888613E-3</v>
          </cell>
          <cell r="BJ106">
            <v>7.5932944444444227E-3</v>
          </cell>
          <cell r="BK106">
            <v>7.6080930555555218E-3</v>
          </cell>
          <cell r="BL106">
            <v>8.0042944444444104E-3</v>
          </cell>
          <cell r="BM106">
            <v>8.3322527777777416E-3</v>
          </cell>
          <cell r="BN106">
            <v>7.3717180555555161E-3</v>
          </cell>
          <cell r="BO106">
            <v>5.800669444444408E-3</v>
          </cell>
          <cell r="BP106">
            <v>5.07039166666662E-3</v>
          </cell>
          <cell r="BQ106">
            <v>6.5584333333332905E-3</v>
          </cell>
          <cell r="BR106">
            <v>1.043110694444443E-2</v>
          </cell>
          <cell r="BS106">
            <v>1.5186329166666658E-2</v>
          </cell>
          <cell r="BT106">
            <v>1.8490780555555524E-2</v>
          </cell>
          <cell r="BU106">
            <v>1.7912606944444413E-2</v>
          </cell>
          <cell r="BV106">
            <v>1.6079843055555511E-2</v>
          </cell>
          <cell r="BW106">
            <v>1.5119099999999958E-2</v>
          </cell>
          <cell r="BX106">
            <v>1.5407926388888854E-2</v>
          </cell>
          <cell r="BY106">
            <v>1.6638620833333319E-2</v>
          </cell>
          <cell r="BZ106">
            <v>1.7582634722222209E-2</v>
          </cell>
          <cell r="CA106">
            <v>1.8763197222222194E-2</v>
          </cell>
          <cell r="CB106">
            <v>2.0047843055555539E-2</v>
          </cell>
          <cell r="CC106">
            <v>2.0380273611111093E-2</v>
          </cell>
          <cell r="CD106">
            <v>2.0428197222222177E-2</v>
          </cell>
          <cell r="CE106">
            <v>2.0964238888888844E-2</v>
          </cell>
          <cell r="CF106">
            <v>2.1541308333333276E-2</v>
          </cell>
          <cell r="CG106">
            <v>2.3648926388888832E-2</v>
          </cell>
          <cell r="CH106">
            <v>2.4829683333333352E-2</v>
          </cell>
          <cell r="CI106">
            <v>2.4509891666666665E-2</v>
          </cell>
          <cell r="CJ106">
            <v>2.4725933333333248E-2</v>
          </cell>
          <cell r="CK106">
            <v>2.3896943749999969E-2</v>
          </cell>
          <cell r="CL106">
            <v>2.3864336111111082E-2</v>
          </cell>
          <cell r="CM106">
            <v>2.3450377777777733E-2</v>
          </cell>
          <cell r="CN106">
            <v>2.2945099999999958E-2</v>
          </cell>
          <cell r="CO106">
            <v>2.2563849999999955E-2</v>
          </cell>
          <cell r="CP106">
            <v>2.2476488888888837E-2</v>
          </cell>
          <cell r="CQ106">
            <v>2.2263086111111042E-2</v>
          </cell>
          <cell r="CR106">
            <v>2.275336388888885E-2</v>
          </cell>
          <cell r="CS106">
            <v>2.3435030555555517E-2</v>
          </cell>
          <cell r="CT106">
            <v>2.3239197222222171E-2</v>
          </cell>
          <cell r="CU106">
            <v>2.3350794444444423E-2</v>
          </cell>
          <cell r="CV106">
            <v>2.357780833333328E-2</v>
          </cell>
          <cell r="CW106">
            <v>2.3983711111111066E-2</v>
          </cell>
          <cell r="CX106">
            <v>2.4674405555555532E-2</v>
          </cell>
          <cell r="CY106">
            <v>2.491537777777773E-2</v>
          </cell>
          <cell r="CZ106">
            <v>2.4835863888888823E-2</v>
          </cell>
          <cell r="DA106">
            <v>2.5169683333333182E-2</v>
          </cell>
          <cell r="DB106">
            <v>2.5204822222222079E-2</v>
          </cell>
          <cell r="DC106">
            <v>2.4891072222222196E-2</v>
          </cell>
          <cell r="DD106">
            <v>2.4386349999999956E-2</v>
          </cell>
          <cell r="DE106">
            <v>2.3145447222222105E-2</v>
          </cell>
          <cell r="DF106">
            <v>2.2852599999999938E-2</v>
          </cell>
          <cell r="DG106">
            <v>2.3711488888888865E-2</v>
          </cell>
          <cell r="DH106">
            <v>2.4508349999999936E-2</v>
          </cell>
          <cell r="DI106">
            <v>2.677534444444445E-2</v>
          </cell>
          <cell r="DJ106">
            <v>2.8899999999999999E-2</v>
          </cell>
          <cell r="DK106">
            <v>2.8250269273151052E-2</v>
          </cell>
          <cell r="DL106">
            <v>2.8065393242717618E-2</v>
          </cell>
          <cell r="DM106">
            <v>2.9505419585783208E-2</v>
          </cell>
          <cell r="DN106">
            <v>3.0314753095374888E-2</v>
          </cell>
          <cell r="DO106">
            <v>2.9879089617949012E-2</v>
          </cell>
          <cell r="DP106">
            <v>2.926148050862834E-2</v>
          </cell>
          <cell r="DQ106">
            <v>2.8448043234391363E-2</v>
          </cell>
          <cell r="DR106">
            <v>2.7664337659002766E-2</v>
          </cell>
          <cell r="DS106">
            <v>2.6836724461759387E-2</v>
          </cell>
          <cell r="DT106">
            <v>2.605436888822828E-2</v>
          </cell>
          <cell r="DU106">
            <v>2.2974869087428487E-2</v>
          </cell>
          <cell r="DV106">
            <v>2.0068221160826214E-2</v>
          </cell>
          <cell r="DW106">
            <v>2.0719381799387596E-2</v>
          </cell>
          <cell r="DX106">
            <v>2.1328954863088116E-2</v>
          </cell>
          <cell r="DY106">
            <v>2.0952050218593823E-2</v>
          </cell>
          <cell r="DZ106">
            <v>2.0941275720756852E-2</v>
          </cell>
          <cell r="EA106">
            <v>2.0858823983164562E-2</v>
          </cell>
          <cell r="EB106">
            <v>2.0868098554208837E-2</v>
          </cell>
          <cell r="EC106">
            <v>2.0805326121862575E-2</v>
          </cell>
          <cell r="ED106">
            <v>2.0805326121862575E-2</v>
          </cell>
          <cell r="EE106">
            <v>2.0805326121862575E-2</v>
          </cell>
          <cell r="EF106"/>
          <cell r="EG106"/>
          <cell r="EH106"/>
          <cell r="EI106"/>
          <cell r="EJ106"/>
          <cell r="EK106"/>
          <cell r="EL106"/>
          <cell r="EM106"/>
          <cell r="EN106"/>
          <cell r="EO106"/>
          <cell r="EP106"/>
          <cell r="EQ106"/>
          <cell r="ER106"/>
          <cell r="ES106"/>
          <cell r="ET106"/>
          <cell r="EU106"/>
          <cell r="EV106"/>
          <cell r="EW106"/>
          <cell r="EX106"/>
          <cell r="EY106"/>
          <cell r="EZ106"/>
          <cell r="FA106"/>
          <cell r="FB106"/>
          <cell r="FC106"/>
          <cell r="FD106"/>
          <cell r="FE106"/>
          <cell r="FF106"/>
          <cell r="FG106"/>
          <cell r="FH106"/>
          <cell r="FI106"/>
          <cell r="FJ106"/>
          <cell r="FK106"/>
          <cell r="FL106"/>
          <cell r="FM106"/>
          <cell r="FN106"/>
          <cell r="FO106"/>
          <cell r="FP106"/>
          <cell r="FQ106"/>
          <cell r="FR106"/>
          <cell r="FS106"/>
          <cell r="FT106"/>
          <cell r="FU106"/>
        </row>
        <row r="107">
          <cell r="A107" t="str">
            <v>ASS_NIMAUSME</v>
          </cell>
          <cell r="B107" t="str">
            <v>Australian SME</v>
          </cell>
          <cell r="D107" t="e">
            <v>#N/A</v>
          </cell>
          <cell r="E107" t="e">
            <v>#N/A</v>
          </cell>
          <cell r="F107" t="e">
            <v>#N/A</v>
          </cell>
          <cell r="G107" t="e">
            <v>#N/A</v>
          </cell>
          <cell r="H107" t="e">
            <v>#N/A</v>
          </cell>
          <cell r="I107" t="e">
            <v>#N/A</v>
          </cell>
          <cell r="J107" t="e">
            <v>#N/A</v>
          </cell>
          <cell r="K107">
            <v>1.2493572248074994E-2</v>
          </cell>
          <cell r="L107">
            <v>2.8154784951932903E-2</v>
          </cell>
          <cell r="M107">
            <v>2.7436075255752805E-2</v>
          </cell>
          <cell r="N107">
            <v>2.4953242247678871E-2</v>
          </cell>
          <cell r="O107">
            <v>1.8855555811574359E-2</v>
          </cell>
          <cell r="P107">
            <v>1.7883069443715746E-2</v>
          </cell>
          <cell r="Q107">
            <v>2.230756501304533E-2</v>
          </cell>
          <cell r="R107">
            <v>2.3176687153658851E-2</v>
          </cell>
          <cell r="S107">
            <v>2.2804066879256804E-2</v>
          </cell>
          <cell r="T107">
            <v>2.1979719480412524E-2</v>
          </cell>
          <cell r="U107">
            <v>2.1052610872657612E-2</v>
          </cell>
          <cell r="V107">
            <v>2.8417139575273337E-2</v>
          </cell>
          <cell r="W107">
            <v>3.6804373148386471E-2</v>
          </cell>
          <cell r="X107">
            <v>3.5606463972488595E-2</v>
          </cell>
          <cell r="Y107">
            <v>3.528072648721825E-2</v>
          </cell>
          <cell r="Z107">
            <v>3.5373163160989679E-2</v>
          </cell>
          <cell r="AA107">
            <v>3.3205536632767874E-2</v>
          </cell>
          <cell r="AB107">
            <v>3.2726332487140353E-2</v>
          </cell>
          <cell r="AC107">
            <v>3.2151400386331186E-2</v>
          </cell>
          <cell r="AD107">
            <v>3.1483297432153334E-2</v>
          </cell>
          <cell r="AE107">
            <v>3.1542806382124589E-2</v>
          </cell>
          <cell r="AF107">
            <v>3.1041885039925776E-2</v>
          </cell>
          <cell r="AG107">
            <v>3.0174814067284284E-2</v>
          </cell>
          <cell r="AH107">
            <v>2.867361648840222E-2</v>
          </cell>
          <cell r="AI107">
            <v>2.6702929290382926E-2</v>
          </cell>
          <cell r="AJ107">
            <v>2.5573899810224454E-2</v>
          </cell>
          <cell r="AK107">
            <v>2.5525672293044588E-2</v>
          </cell>
          <cell r="AL107">
            <v>2.4692790971263145E-2</v>
          </cell>
          <cell r="AM107">
            <v>2.483234891036884E-2</v>
          </cell>
          <cell r="AN107">
            <v>2.6952019230113478E-2</v>
          </cell>
          <cell r="AO107">
            <v>2.6515636183866487E-2</v>
          </cell>
          <cell r="AP107">
            <v>2.6197480827113595E-2</v>
          </cell>
          <cell r="AQ107">
            <v>2.6298422710389069E-2</v>
          </cell>
          <cell r="AR107">
            <v>2.3956810034853671E-2</v>
          </cell>
          <cell r="AS107">
            <v>2.2058940843833752E-2</v>
          </cell>
          <cell r="AT107">
            <v>2.1905802315802636E-2</v>
          </cell>
          <cell r="AU107">
            <v>2.254133001474401E-2</v>
          </cell>
          <cell r="AV107">
            <v>2.2440773840474493E-2</v>
          </cell>
          <cell r="AW107">
            <v>2.2587906391744017E-2</v>
          </cell>
          <cell r="AX107">
            <v>2.1877184802169825E-2</v>
          </cell>
          <cell r="AY107">
            <v>1.9929990342290704E-2</v>
          </cell>
          <cell r="AZ107">
            <v>1.9410123615064334E-2</v>
          </cell>
          <cell r="BA107">
            <v>1.9661709918541215E-2</v>
          </cell>
          <cell r="BB107">
            <v>1.9572953769419033E-2</v>
          </cell>
          <cell r="BC107">
            <v>1.9244571097848051E-2</v>
          </cell>
          <cell r="BD107">
            <v>1.7478928887580736E-2</v>
          </cell>
          <cell r="BE107">
            <v>1.6857532300595168E-2</v>
          </cell>
          <cell r="BF107">
            <v>1.7565141392041683E-2</v>
          </cell>
          <cell r="BG107">
            <v>1.7149227409423817E-2</v>
          </cell>
          <cell r="BH107">
            <v>1.687164535966923E-2</v>
          </cell>
          <cell r="BI107">
            <v>1.5897354058396207E-2</v>
          </cell>
          <cell r="BJ107">
            <v>1.4950871234944541E-2</v>
          </cell>
          <cell r="BK107">
            <v>1.4866969304818678E-2</v>
          </cell>
          <cell r="BL107">
            <v>1.4397025036505973E-2</v>
          </cell>
          <cell r="BM107">
            <v>1.4207438097186831E-2</v>
          </cell>
          <cell r="BN107">
            <v>1.3361674348231878E-2</v>
          </cell>
          <cell r="BO107">
            <v>1.2143238194871731E-2</v>
          </cell>
          <cell r="BP107">
            <v>1.1405160783031998E-2</v>
          </cell>
          <cell r="BQ107">
            <v>1.1687509333655033E-2</v>
          </cell>
          <cell r="BR107">
            <v>1.5099215944443412E-2</v>
          </cell>
          <cell r="BS107">
            <v>2.1997480030668592E-2</v>
          </cell>
          <cell r="BT107">
            <v>2.6671259436659489E-2</v>
          </cell>
          <cell r="BU107">
            <v>2.7080497684543237E-2</v>
          </cell>
          <cell r="BV107">
            <v>2.6726162840427059E-2</v>
          </cell>
          <cell r="BW107">
            <v>2.6171740771211427E-2</v>
          </cell>
          <cell r="BX107">
            <v>2.6313070915424119E-2</v>
          </cell>
          <cell r="BY107">
            <v>2.6545840605477822E-2</v>
          </cell>
          <cell r="BZ107">
            <v>2.6908276271163101E-2</v>
          </cell>
          <cell r="CA107">
            <v>2.8502241144599427E-2</v>
          </cell>
          <cell r="CB107">
            <v>3.0174631443157462E-2</v>
          </cell>
          <cell r="CC107">
            <v>3.0917115179291077E-2</v>
          </cell>
          <cell r="CD107">
            <v>3.1848487022388072E-2</v>
          </cell>
          <cell r="CE107">
            <v>3.23548112542974E-2</v>
          </cell>
          <cell r="CF107">
            <v>3.2633245474479433E-2</v>
          </cell>
          <cell r="CG107">
            <v>3.4073607247926296E-2</v>
          </cell>
          <cell r="CH107">
            <v>3.5312886781760033E-2</v>
          </cell>
          <cell r="CI107">
            <v>3.530143649481654E-2</v>
          </cell>
          <cell r="CJ107">
            <v>3.4819712298446825E-2</v>
          </cell>
          <cell r="CK107">
            <v>3.5320725378313433E-2</v>
          </cell>
          <cell r="CL107">
            <v>3.5718445803580634E-2</v>
          </cell>
          <cell r="CM107">
            <v>3.5629129458359943E-2</v>
          </cell>
          <cell r="CN107">
            <v>3.5222716312464986E-2</v>
          </cell>
          <cell r="CO107">
            <v>3.5403413111693149E-2</v>
          </cell>
          <cell r="CP107">
            <v>3.4965744055591941E-2</v>
          </cell>
          <cell r="CQ107">
            <v>3.4256548680391408E-2</v>
          </cell>
          <cell r="CR107">
            <v>3.476672874466824E-2</v>
          </cell>
          <cell r="CS107">
            <v>3.494003822147751E-2</v>
          </cell>
          <cell r="CT107">
            <v>3.3973478780346955E-2</v>
          </cell>
          <cell r="CU107">
            <v>3.2946400854567903E-2</v>
          </cell>
          <cell r="CV107">
            <v>3.2424799556296069E-2</v>
          </cell>
          <cell r="CW107">
            <v>3.3033057755038397E-2</v>
          </cell>
          <cell r="CX107">
            <v>3.3443217158303007E-2</v>
          </cell>
          <cell r="CY107">
            <v>3.3172997416979877E-2</v>
          </cell>
          <cell r="CZ107">
            <v>3.2738938233455986E-2</v>
          </cell>
          <cell r="DA107">
            <v>3.2888242512773447E-2</v>
          </cell>
          <cell r="DB107">
            <v>3.2837831902301939E-2</v>
          </cell>
          <cell r="DC107">
            <v>3.2556594473240219E-2</v>
          </cell>
          <cell r="DD107">
            <v>3.1513483474842729E-2</v>
          </cell>
          <cell r="DE107">
            <v>3.0373643242260773E-2</v>
          </cell>
          <cell r="DF107">
            <v>3.054692454897312E-2</v>
          </cell>
          <cell r="DG107">
            <v>3.0589779429510022E-2</v>
          </cell>
          <cell r="DH107">
            <v>3.1203907504882E-2</v>
          </cell>
          <cell r="DI107">
            <v>3.3323039406147892E-2</v>
          </cell>
          <cell r="DJ107">
            <v>3.4299999999999997E-2</v>
          </cell>
          <cell r="DK107">
            <v>3.3672120612451943E-2</v>
          </cell>
          <cell r="DL107">
            <v>3.3532435182180353E-2</v>
          </cell>
          <cell r="DM107">
            <v>3.4699984042093325E-2</v>
          </cell>
          <cell r="DN107">
            <v>3.4820726722394058E-2</v>
          </cell>
          <cell r="DO107">
            <v>3.4129720277799501E-2</v>
          </cell>
          <cell r="DP107">
            <v>3.3579290462787327E-2</v>
          </cell>
          <cell r="DQ107">
            <v>3.2712703587712798E-2</v>
          </cell>
          <cell r="DR107">
            <v>3.1926173758044803E-2</v>
          </cell>
          <cell r="DS107">
            <v>3.1015078852221999E-2</v>
          </cell>
          <cell r="DT107">
            <v>2.9990526851627366E-2</v>
          </cell>
          <cell r="DU107">
            <v>2.5428800563193955E-2</v>
          </cell>
          <cell r="DV107">
            <v>2.0490667115181705E-2</v>
          </cell>
          <cell r="DW107">
            <v>2.0634596626374107E-2</v>
          </cell>
          <cell r="DX107">
            <v>2.1599427785411147E-2</v>
          </cell>
          <cell r="DY107">
            <v>2.0650919426219706E-2</v>
          </cell>
          <cell r="DZ107">
            <v>2.0455563257273882E-2</v>
          </cell>
          <cell r="EA107">
            <v>2.0848663812578726E-2</v>
          </cell>
          <cell r="EB107">
            <v>2.1223941903063214E-2</v>
          </cell>
          <cell r="EC107">
            <v>2.1617185607577083E-2</v>
          </cell>
          <cell r="ED107">
            <v>2.1617185607577083E-2</v>
          </cell>
          <cell r="EE107">
            <v>2.1617185607577083E-2</v>
          </cell>
          <cell r="EF107"/>
          <cell r="EG107"/>
          <cell r="EH107"/>
          <cell r="EI107"/>
          <cell r="EJ107"/>
          <cell r="EK107"/>
          <cell r="EL107"/>
          <cell r="EM107"/>
          <cell r="EN107"/>
          <cell r="EO107"/>
          <cell r="EP107"/>
          <cell r="EQ107"/>
          <cell r="ER107"/>
          <cell r="ES107"/>
          <cell r="ET107"/>
          <cell r="EU107"/>
          <cell r="EV107"/>
          <cell r="EW107"/>
          <cell r="EX107"/>
          <cell r="EY107"/>
          <cell r="EZ107"/>
          <cell r="FA107"/>
          <cell r="FB107"/>
          <cell r="FC107"/>
          <cell r="FD107"/>
          <cell r="FE107"/>
          <cell r="FF107"/>
          <cell r="FG107"/>
          <cell r="FH107"/>
          <cell r="FI107"/>
          <cell r="FJ107"/>
          <cell r="FK107"/>
          <cell r="FL107"/>
          <cell r="FM107"/>
          <cell r="FN107"/>
          <cell r="FO107"/>
          <cell r="FP107"/>
          <cell r="FQ107"/>
          <cell r="FR107"/>
          <cell r="FS107"/>
          <cell r="FT107"/>
          <cell r="FU107"/>
        </row>
        <row r="108">
          <cell r="A108" t="str">
            <v>ASS_NIMAUInsto</v>
          </cell>
          <cell r="B108" t="str">
            <v>Australian institutional</v>
          </cell>
          <cell r="D108" t="e">
            <v>#N/A</v>
          </cell>
          <cell r="E108" t="e">
            <v>#N/A</v>
          </cell>
          <cell r="F108" t="e">
            <v>#N/A</v>
          </cell>
          <cell r="G108" t="e">
            <v>#N/A</v>
          </cell>
          <cell r="H108" t="e">
            <v>#N/A</v>
          </cell>
          <cell r="I108" t="e">
            <v>#N/A</v>
          </cell>
          <cell r="J108" t="e">
            <v>#N/A</v>
          </cell>
          <cell r="K108">
            <v>6.1947525053628518E-3</v>
          </cell>
          <cell r="L108">
            <v>1.3366348018432912E-2</v>
          </cell>
          <cell r="M108">
            <v>1.1878857619488767E-2</v>
          </cell>
          <cell r="N108">
            <v>1.0285122970384995E-2</v>
          </cell>
          <cell r="O108">
            <v>5.9028977429936916E-3</v>
          </cell>
          <cell r="P108">
            <v>6.0636236950549725E-3</v>
          </cell>
          <cell r="Q108">
            <v>1.0149000554201662E-2</v>
          </cell>
          <cell r="R108">
            <v>1.0230528052764573E-2</v>
          </cell>
          <cell r="S108">
            <v>9.8668981137028586E-3</v>
          </cell>
          <cell r="T108">
            <v>9.3056366501240301E-3</v>
          </cell>
          <cell r="U108">
            <v>8.4141929877692839E-3</v>
          </cell>
          <cell r="V108">
            <v>1.1802670879211767E-2</v>
          </cell>
          <cell r="W108">
            <v>1.645856367850497E-2</v>
          </cell>
          <cell r="X108">
            <v>1.5645207191782723E-2</v>
          </cell>
          <cell r="Y108">
            <v>1.6141856341443106E-2</v>
          </cell>
          <cell r="Z108">
            <v>1.7422514738054382E-2</v>
          </cell>
          <cell r="AA108">
            <v>1.4817926843355519E-2</v>
          </cell>
          <cell r="AB108">
            <v>1.3443762068712686E-2</v>
          </cell>
          <cell r="AC108">
            <v>1.2796997498259577E-2</v>
          </cell>
          <cell r="AD108">
            <v>1.2711671723974083E-2</v>
          </cell>
          <cell r="AE108">
            <v>1.3409286617566296E-2</v>
          </cell>
          <cell r="AF108">
            <v>1.2570723636901704E-2</v>
          </cell>
          <cell r="AG108">
            <v>1.1641537577916972E-2</v>
          </cell>
          <cell r="AH108">
            <v>1.1163735296157579E-2</v>
          </cell>
          <cell r="AI108">
            <v>1.0130437798989617E-2</v>
          </cell>
          <cell r="AJ108">
            <v>8.7701042148945474E-3</v>
          </cell>
          <cell r="AK108">
            <v>8.630446115322904E-3</v>
          </cell>
          <cell r="AL108">
            <v>8.2316549052307564E-3</v>
          </cell>
          <cell r="AM108">
            <v>8.9830520076338571E-3</v>
          </cell>
          <cell r="AN108">
            <v>1.2244813596300447E-2</v>
          </cell>
          <cell r="AO108">
            <v>1.2785930428537179E-2</v>
          </cell>
          <cell r="AP108">
            <v>1.2891318543784225E-2</v>
          </cell>
          <cell r="AQ108">
            <v>1.3069962220898651E-2</v>
          </cell>
          <cell r="AR108">
            <v>1.0406769744372324E-2</v>
          </cell>
          <cell r="AS108">
            <v>8.1472331093421779E-3</v>
          </cell>
          <cell r="AT108">
            <v>8.5330757236089239E-3</v>
          </cell>
          <cell r="AU108">
            <v>9.5459754879739789E-3</v>
          </cell>
          <cell r="AV108">
            <v>9.5590420089419204E-3</v>
          </cell>
          <cell r="AW108">
            <v>1.0117477787032952E-2</v>
          </cell>
          <cell r="AX108">
            <v>9.9834116614997137E-3</v>
          </cell>
          <cell r="AY108">
            <v>7.990918332989122E-3</v>
          </cell>
          <cell r="AZ108">
            <v>6.7679449546556303E-3</v>
          </cell>
          <cell r="BA108">
            <v>6.9542673185478965E-3</v>
          </cell>
          <cell r="BB108">
            <v>6.8904179019461942E-3</v>
          </cell>
          <cell r="BC108">
            <v>6.3877366173136496E-3</v>
          </cell>
          <cell r="BD108">
            <v>5.0977988134979502E-3</v>
          </cell>
          <cell r="BE108">
            <v>5.0320088258416773E-3</v>
          </cell>
          <cell r="BF108">
            <v>5.9190109459399676E-3</v>
          </cell>
          <cell r="BG108">
            <v>5.721484703329921E-3</v>
          </cell>
          <cell r="BH108">
            <v>5.8370913427853999E-3</v>
          </cell>
          <cell r="BI108">
            <v>4.8352217142259846E-3</v>
          </cell>
          <cell r="BJ108">
            <v>4.079538466653404E-3</v>
          </cell>
          <cell r="BK108">
            <v>4.088018902026952E-3</v>
          </cell>
          <cell r="BL108">
            <v>3.4812327419857236E-3</v>
          </cell>
          <cell r="BM108">
            <v>3.6484902544386688E-3</v>
          </cell>
          <cell r="BN108">
            <v>3.2702832531529002E-3</v>
          </cell>
          <cell r="BO108">
            <v>2.4376684944776017E-3</v>
          </cell>
          <cell r="BP108">
            <v>1.035647210948204E-3</v>
          </cell>
          <cell r="BQ108">
            <v>7.8174943656597606E-4</v>
          </cell>
          <cell r="BR108">
            <v>4.5806903803943533E-3</v>
          </cell>
          <cell r="BS108">
            <v>1.1146655179982173E-2</v>
          </cell>
          <cell r="BT108">
            <v>1.5647569322055493E-2</v>
          </cell>
          <cell r="BU108">
            <v>1.6357971911311359E-2</v>
          </cell>
          <cell r="BV108">
            <v>1.6003753693033168E-2</v>
          </cell>
          <cell r="BW108">
            <v>1.5066703239595164E-2</v>
          </cell>
          <cell r="BX108">
            <v>1.3883636615989264E-2</v>
          </cell>
          <cell r="BY108">
            <v>1.32574403600422E-2</v>
          </cell>
          <cell r="BZ108">
            <v>1.340749215056572E-2</v>
          </cell>
          <cell r="CA108">
            <v>1.4322394226318397E-2</v>
          </cell>
          <cell r="CB108">
            <v>1.524140746501404E-2</v>
          </cell>
          <cell r="CC108">
            <v>1.5404766536497111E-2</v>
          </cell>
          <cell r="CD108">
            <v>1.5814605414257471E-2</v>
          </cell>
          <cell r="CE108">
            <v>1.6743964406536388E-2</v>
          </cell>
          <cell r="CF108">
            <v>1.7551547542313944E-2</v>
          </cell>
          <cell r="CG108">
            <v>1.8806992692877139E-2</v>
          </cell>
          <cell r="CH108">
            <v>1.9849287805589394E-2</v>
          </cell>
          <cell r="CI108">
            <v>2.0035148886554693E-2</v>
          </cell>
          <cell r="CJ108">
            <v>1.9597128383604806E-2</v>
          </cell>
          <cell r="CK108">
            <v>1.9314497220474486E-2</v>
          </cell>
          <cell r="CL108">
            <v>1.9501090736962962E-2</v>
          </cell>
          <cell r="CM108">
            <v>1.8964537568443324E-2</v>
          </cell>
          <cell r="CN108">
            <v>1.8201204849672387E-2</v>
          </cell>
          <cell r="CO108">
            <v>1.9196195951896505E-2</v>
          </cell>
          <cell r="CP108">
            <v>1.8595218424045906E-2</v>
          </cell>
          <cell r="CQ108">
            <v>1.7900611008851347E-2</v>
          </cell>
          <cell r="CR108">
            <v>1.8149705688012246E-2</v>
          </cell>
          <cell r="CS108">
            <v>1.8113541812741746E-2</v>
          </cell>
          <cell r="CT108">
            <v>1.7107429014213277E-2</v>
          </cell>
          <cell r="CU108">
            <v>1.6024126926331178E-2</v>
          </cell>
          <cell r="CV108">
            <v>1.5709162814582817E-2</v>
          </cell>
          <cell r="CW108">
            <v>1.6361201619021576E-2</v>
          </cell>
          <cell r="CX108">
            <v>1.6469369285923269E-2</v>
          </cell>
          <cell r="CY108">
            <v>1.5947586731394653E-2</v>
          </cell>
          <cell r="CZ108">
            <v>1.5522141841090159E-2</v>
          </cell>
          <cell r="DA108">
            <v>1.5582303735037134E-2</v>
          </cell>
          <cell r="DB108">
            <v>1.5374235079751802E-2</v>
          </cell>
          <cell r="DC108">
            <v>1.4990216924481131E-2</v>
          </cell>
          <cell r="DD108">
            <v>1.4107791718530743E-2</v>
          </cell>
          <cell r="DE108">
            <v>1.3769765216046587E-2</v>
          </cell>
          <cell r="DF108">
            <v>1.4739378947506127E-2</v>
          </cell>
          <cell r="DG108">
            <v>1.4926457217797978E-2</v>
          </cell>
          <cell r="DH108">
            <v>1.5627528183324829E-2</v>
          </cell>
          <cell r="DI108">
            <v>1.7472537335659372E-2</v>
          </cell>
          <cell r="DJ108">
            <v>1.7399999999999999E-2</v>
          </cell>
          <cell r="DK108">
            <v>1.6816333333333336E-2</v>
          </cell>
          <cell r="DL108">
            <v>1.6623833333333334E-2</v>
          </cell>
          <cell r="DM108">
            <v>1.7353166666666666E-2</v>
          </cell>
          <cell r="DN108">
            <v>1.6908666666666666E-2</v>
          </cell>
          <cell r="DO108">
            <v>1.6255333333333333E-2</v>
          </cell>
          <cell r="DP108">
            <v>1.6063666666666667E-2</v>
          </cell>
          <cell r="DQ108">
            <v>1.5614500000000003E-2</v>
          </cell>
          <cell r="DR108">
            <v>1.52525E-2</v>
          </cell>
          <cell r="DS108">
            <v>1.4737166666666668E-2</v>
          </cell>
          <cell r="DT108">
            <v>1.4163666666666666E-2</v>
          </cell>
          <cell r="DU108">
            <v>1.0803166666666668E-2</v>
          </cell>
          <cell r="DV108">
            <v>7.9461666666666656E-3</v>
          </cell>
          <cell r="DW108">
            <v>9.9333333333333339E-3</v>
          </cell>
          <cell r="DX108">
            <v>1.1899499999999999E-2</v>
          </cell>
          <cell r="DY108">
            <v>1.2264333333333334E-2</v>
          </cell>
          <cell r="DZ108">
            <v>1.3303500000000001E-2</v>
          </cell>
          <cell r="EA108">
            <v>1.3824333333333334E-2</v>
          </cell>
          <cell r="EB108">
            <v>1.4035861321966568E-2</v>
          </cell>
          <cell r="EC108">
            <v>1.4453485514408504E-2</v>
          </cell>
          <cell r="ED108">
            <v>1.4453485514408504E-2</v>
          </cell>
          <cell r="EE108">
            <v>1.4453485514408504E-2</v>
          </cell>
          <cell r="EF108"/>
          <cell r="EG108"/>
          <cell r="EH108"/>
          <cell r="EI108"/>
          <cell r="EJ108"/>
          <cell r="EK108"/>
          <cell r="EL108"/>
          <cell r="EM108"/>
          <cell r="EN108"/>
          <cell r="EO108"/>
          <cell r="EP108"/>
          <cell r="EQ108"/>
          <cell r="ER108"/>
          <cell r="ES108"/>
          <cell r="ET108"/>
          <cell r="EU108"/>
          <cell r="EV108"/>
          <cell r="EW108"/>
          <cell r="EX108"/>
          <cell r="EY108"/>
          <cell r="EZ108"/>
          <cell r="FA108"/>
          <cell r="FB108"/>
          <cell r="FC108"/>
          <cell r="FD108"/>
          <cell r="FE108"/>
          <cell r="FF108"/>
          <cell r="FG108"/>
          <cell r="FH108"/>
          <cell r="FI108"/>
          <cell r="FJ108"/>
          <cell r="FK108"/>
          <cell r="FL108"/>
          <cell r="FM108"/>
          <cell r="FN108"/>
          <cell r="FO108"/>
          <cell r="FP108"/>
          <cell r="FQ108"/>
          <cell r="FR108"/>
          <cell r="FS108"/>
          <cell r="FT108"/>
          <cell r="FU108"/>
        </row>
        <row r="109">
          <cell r="A109" t="str">
            <v>ASS_NIMAUPersonal</v>
          </cell>
          <cell r="B109" t="str">
            <v>Australian personal</v>
          </cell>
          <cell r="D109">
            <v>4.9896505725063683E-2</v>
          </cell>
          <cell r="E109">
            <v>5.0645544055657243E-2</v>
          </cell>
          <cell r="F109">
            <v>5.2829740652467816E-2</v>
          </cell>
          <cell r="G109">
            <v>5.2775710009410171E-2</v>
          </cell>
          <cell r="H109">
            <v>5.1933956911767082E-2</v>
          </cell>
          <cell r="I109">
            <v>5.2135341106150326E-2</v>
          </cell>
          <cell r="J109">
            <v>4.9004872993377552E-2</v>
          </cell>
          <cell r="K109">
            <v>4.3460129738482081E-2</v>
          </cell>
          <cell r="L109">
            <v>3.8877674699627912E-2</v>
          </cell>
          <cell r="M109">
            <v>3.4880678997188122E-2</v>
          </cell>
          <cell r="N109">
            <v>2.9959431317875179E-2</v>
          </cell>
          <cell r="O109">
            <v>1.9685032287483153E-2</v>
          </cell>
          <cell r="P109">
            <v>1.1999083499939271E-2</v>
          </cell>
          <cell r="Q109">
            <v>1.3897307181857922E-2</v>
          </cell>
          <cell r="R109">
            <v>1.6912246382950517E-2</v>
          </cell>
          <cell r="S109">
            <v>1.822255841123728E-2</v>
          </cell>
          <cell r="T109">
            <v>1.7429540249032531E-2</v>
          </cell>
          <cell r="U109">
            <v>1.4666523617908947E-2</v>
          </cell>
          <cell r="V109">
            <v>1.6368207651450188E-2</v>
          </cell>
          <cell r="W109">
            <v>2.1533232655971624E-2</v>
          </cell>
          <cell r="X109">
            <v>2.2237899204357703E-2</v>
          </cell>
          <cell r="Y109">
            <v>2.2883692151280347E-2</v>
          </cell>
          <cell r="Z109">
            <v>2.5444435381126354E-2</v>
          </cell>
          <cell r="AA109">
            <v>2.4085305949524585E-2</v>
          </cell>
          <cell r="AB109">
            <v>2.2181544602496509E-2</v>
          </cell>
          <cell r="AC109">
            <v>2.040628589746251E-2</v>
          </cell>
          <cell r="AD109">
            <v>1.7607193618867235E-2</v>
          </cell>
          <cell r="AE109">
            <v>1.8172045162823405E-2</v>
          </cell>
          <cell r="AF109">
            <v>1.8646231300562935E-2</v>
          </cell>
          <cell r="AG109">
            <v>1.6471887032980963E-2</v>
          </cell>
          <cell r="AH109">
            <v>1.5543819438844121E-2</v>
          </cell>
          <cell r="AI109">
            <v>1.3766328261544551E-2</v>
          </cell>
          <cell r="AJ109">
            <v>1.1665048506369693E-2</v>
          </cell>
          <cell r="AK109">
            <v>1.149211959175063E-2</v>
          </cell>
          <cell r="AL109">
            <v>1.0551065727938472E-2</v>
          </cell>
          <cell r="AM109">
            <v>1.1058168955816974E-2</v>
          </cell>
          <cell r="AN109">
            <v>1.573894388316343E-2</v>
          </cell>
          <cell r="AO109">
            <v>1.8635766098308963E-2</v>
          </cell>
          <cell r="AP109">
            <v>1.8730193848851322E-2</v>
          </cell>
          <cell r="AQ109">
            <v>2.095898584894347E-2</v>
          </cell>
          <cell r="AR109">
            <v>2.1581375229213023E-2</v>
          </cell>
          <cell r="AS109">
            <v>1.9173711396496998E-2</v>
          </cell>
          <cell r="AT109">
            <v>1.8717203925846228E-2</v>
          </cell>
          <cell r="AU109">
            <v>2.0128833264515748E-2</v>
          </cell>
          <cell r="AV109">
            <v>2.1694437593833563E-2</v>
          </cell>
          <cell r="AW109">
            <v>2.247326063061994E-2</v>
          </cell>
          <cell r="AX109">
            <v>2.1055072497303456E-2</v>
          </cell>
          <cell r="AY109">
            <v>1.7603788034111403E-2</v>
          </cell>
          <cell r="AZ109">
            <v>1.4999862262611366E-2</v>
          </cell>
          <cell r="BA109">
            <v>1.5193249894360321E-2</v>
          </cell>
          <cell r="BB109">
            <v>1.5766950521205317E-2</v>
          </cell>
          <cell r="BC109">
            <v>1.5666062258918416E-2</v>
          </cell>
          <cell r="BD109">
            <v>1.4347605755451902E-2</v>
          </cell>
          <cell r="BE109">
            <v>1.4007067780205176E-2</v>
          </cell>
          <cell r="BF109">
            <v>1.4931058796965616E-2</v>
          </cell>
          <cell r="BG109">
            <v>1.4801320878503013E-2</v>
          </cell>
          <cell r="BH109">
            <v>1.4859737964153887E-2</v>
          </cell>
          <cell r="BI109">
            <v>1.3926433757629177E-2</v>
          </cell>
          <cell r="BJ109">
            <v>1.2057686892376289E-2</v>
          </cell>
          <cell r="BK109">
            <v>1.1254514139820294E-2</v>
          </cell>
          <cell r="BL109">
            <v>1.0756606695925555E-2</v>
          </cell>
          <cell r="BM109">
            <v>9.7096577564007164E-3</v>
          </cell>
          <cell r="BN109">
            <v>8.6252253791488515E-3</v>
          </cell>
          <cell r="BO109">
            <v>8.0553150180827232E-3</v>
          </cell>
          <cell r="BP109">
            <v>7.9901286428591192E-3</v>
          </cell>
          <cell r="BQ109">
            <v>1.0201520200173654E-2</v>
          </cell>
          <cell r="BR109">
            <v>1.5817441263599179E-2</v>
          </cell>
          <cell r="BS109">
            <v>3.017232629464317E-2</v>
          </cell>
          <cell r="BT109">
            <v>4.6217900993245145E-2</v>
          </cell>
          <cell r="BU109">
            <v>5.0699940408169525E-2</v>
          </cell>
          <cell r="BV109">
            <v>4.9068265320456383E-2</v>
          </cell>
          <cell r="BW109">
            <v>4.6205490430322627E-2</v>
          </cell>
          <cell r="BX109">
            <v>4.4920333623463371E-2</v>
          </cell>
          <cell r="BY109">
            <v>4.5607568128101406E-2</v>
          </cell>
          <cell r="BZ109">
            <v>4.5912143564777935E-2</v>
          </cell>
          <cell r="CA109">
            <v>4.5919721677392111E-2</v>
          </cell>
          <cell r="CB109">
            <v>4.5818906078204741E-2</v>
          </cell>
          <cell r="CC109">
            <v>4.5852977655322924E-2</v>
          </cell>
          <cell r="CD109">
            <v>4.5951908405942099E-2</v>
          </cell>
          <cell r="CE109">
            <v>4.7479169678848201E-2</v>
          </cell>
          <cell r="CF109">
            <v>4.9110116765833503E-2</v>
          </cell>
          <cell r="CG109">
            <v>5.2863213445058982E-2</v>
          </cell>
          <cell r="CH109">
            <v>5.602576058690692E-2</v>
          </cell>
          <cell r="CI109">
            <v>5.719106706515209E-2</v>
          </cell>
          <cell r="CJ109">
            <v>5.949526133650658E-2</v>
          </cell>
          <cell r="CK109">
            <v>6.0971445207642042E-2</v>
          </cell>
          <cell r="CL109">
            <v>6.2473165828630009E-2</v>
          </cell>
          <cell r="CM109">
            <v>6.3403021973661502E-2</v>
          </cell>
          <cell r="CN109">
            <v>6.2953191456779869E-2</v>
          </cell>
          <cell r="CO109">
            <v>6.2475750323156554E-2</v>
          </cell>
          <cell r="CP109">
            <v>6.2076962662938634E-2</v>
          </cell>
          <cell r="CQ109">
            <v>6.0691182513120445E-2</v>
          </cell>
          <cell r="CR109">
            <v>6.1086688750458557E-2</v>
          </cell>
          <cell r="CS109">
            <v>6.3061193138813046E-2</v>
          </cell>
          <cell r="CT109">
            <v>6.3456004858359144E-2</v>
          </cell>
          <cell r="CU109">
            <v>6.2745247817979966E-2</v>
          </cell>
          <cell r="CV109">
            <v>6.1618824051398541E-2</v>
          </cell>
          <cell r="CW109">
            <v>6.2559540615919979E-2</v>
          </cell>
          <cell r="CX109">
            <v>6.472948790063851E-2</v>
          </cell>
          <cell r="CY109">
            <v>6.5622224154752523E-2</v>
          </cell>
          <cell r="CZ109">
            <v>6.6715858764929387E-2</v>
          </cell>
          <cell r="DA109">
            <v>6.6534907280107497E-2</v>
          </cell>
          <cell r="DB109">
            <v>6.4933720663044106E-2</v>
          </cell>
          <cell r="DC109">
            <v>6.3516017403794756E-2</v>
          </cell>
          <cell r="DD109">
            <v>6.2643651647930135E-2</v>
          </cell>
          <cell r="DE109">
            <v>6.0883479145981717E-2</v>
          </cell>
          <cell r="DF109">
            <v>6.0102091070292296E-2</v>
          </cell>
          <cell r="DG109">
            <v>5.991977299858231E-2</v>
          </cell>
          <cell r="DH109">
            <v>6.0771909715954614E-2</v>
          </cell>
          <cell r="DI109">
            <v>6.3927599172305755E-2</v>
          </cell>
          <cell r="DJ109">
            <v>6.7964945839474641E-2</v>
          </cell>
          <cell r="DK109">
            <v>6.5064945839474642E-2</v>
          </cell>
          <cell r="DL109">
            <v>6.4651928814098245E-2</v>
          </cell>
          <cell r="DM109">
            <v>6.7192655931039E-2</v>
          </cell>
          <cell r="DN109">
            <v>6.7364974378858841E-2</v>
          </cell>
          <cell r="DO109">
            <v>6.543315368452092E-2</v>
          </cell>
          <cell r="DP109">
            <v>6.4945367625723019E-2</v>
          </cell>
          <cell r="DQ109">
            <v>6.4049455243246622E-2</v>
          </cell>
          <cell r="DR109">
            <v>6.3182258410767342E-2</v>
          </cell>
          <cell r="DS109">
            <v>6.1699692125150675E-2</v>
          </cell>
          <cell r="DT109">
            <v>6.0273743392607299E-2</v>
          </cell>
          <cell r="DU109">
            <v>5.5344288326760784E-2</v>
          </cell>
          <cell r="DV109">
            <v>4.7778298419845988E-2</v>
          </cell>
          <cell r="DW109">
            <v>4.3797034590042229E-2</v>
          </cell>
          <cell r="DX109">
            <v>4.2396244113031729E-2</v>
          </cell>
          <cell r="DY109">
            <v>4.090926467368753E-2</v>
          </cell>
          <cell r="DZ109">
            <v>3.9998182793032432E-2</v>
          </cell>
          <cell r="EA109">
            <v>3.9797449907440212E-2</v>
          </cell>
          <cell r="EB109">
            <v>3.9969301790231088E-2</v>
          </cell>
          <cell r="EC109">
            <v>4.0862480625620173E-2</v>
          </cell>
          <cell r="ED109">
            <v>4.0862480625620173E-2</v>
          </cell>
          <cell r="EE109">
            <v>4.0862480625620173E-2</v>
          </cell>
          <cell r="EF109"/>
          <cell r="EG109"/>
          <cell r="EH109"/>
          <cell r="EI109"/>
          <cell r="EJ109"/>
          <cell r="EK109"/>
          <cell r="EL109"/>
          <cell r="EM109"/>
          <cell r="EN109"/>
          <cell r="EO109"/>
          <cell r="EP109"/>
          <cell r="EQ109"/>
          <cell r="ER109"/>
          <cell r="ES109"/>
          <cell r="ET109"/>
          <cell r="EU109"/>
          <cell r="EV109"/>
          <cell r="EW109"/>
          <cell r="EX109"/>
          <cell r="EY109"/>
          <cell r="EZ109"/>
          <cell r="FA109"/>
          <cell r="FB109"/>
          <cell r="FC109"/>
          <cell r="FD109"/>
          <cell r="FE109"/>
          <cell r="FF109"/>
          <cell r="FG109"/>
          <cell r="FH109"/>
          <cell r="FI109"/>
          <cell r="FJ109"/>
          <cell r="FK109"/>
          <cell r="FL109"/>
          <cell r="FM109"/>
          <cell r="FN109"/>
          <cell r="FO109"/>
          <cell r="FP109"/>
          <cell r="FQ109"/>
          <cell r="FR109"/>
          <cell r="FS109"/>
          <cell r="FT109"/>
          <cell r="FU109"/>
        </row>
        <row r="110">
          <cell r="C110"/>
          <cell r="D110"/>
          <cell r="E110"/>
          <cell r="F110"/>
          <cell r="G110"/>
          <cell r="H110"/>
          <cell r="I110"/>
          <cell r="J110"/>
          <cell r="K110"/>
          <cell r="L110"/>
          <cell r="M110"/>
          <cell r="N110"/>
          <cell r="O110"/>
          <cell r="P110"/>
          <cell r="Q110"/>
          <cell r="R110"/>
          <cell r="S110"/>
          <cell r="T110"/>
          <cell r="U110"/>
          <cell r="V110"/>
          <cell r="W110"/>
          <cell r="X110"/>
          <cell r="Y110"/>
          <cell r="Z110"/>
          <cell r="AA110"/>
          <cell r="AB110"/>
          <cell r="AC110"/>
          <cell r="AD110"/>
          <cell r="AE110"/>
          <cell r="AF110"/>
          <cell r="AG110"/>
          <cell r="AH110"/>
          <cell r="AI110"/>
          <cell r="AJ110"/>
          <cell r="AK110"/>
          <cell r="AL110"/>
          <cell r="AM110"/>
          <cell r="AN110"/>
          <cell r="AO110"/>
          <cell r="AP110"/>
          <cell r="AQ110"/>
          <cell r="AR110"/>
          <cell r="AS110"/>
          <cell r="AT110"/>
          <cell r="AU110"/>
          <cell r="AV110"/>
          <cell r="AW110"/>
          <cell r="AX110"/>
          <cell r="AY110"/>
          <cell r="AZ110"/>
          <cell r="BA110"/>
          <cell r="BB110"/>
          <cell r="BC110"/>
          <cell r="BD110"/>
          <cell r="BE110"/>
          <cell r="BF110"/>
          <cell r="BG110"/>
          <cell r="BH110"/>
          <cell r="BI110"/>
          <cell r="BJ110"/>
          <cell r="BK110"/>
          <cell r="BL110"/>
          <cell r="BM110"/>
          <cell r="BN110"/>
          <cell r="BO110"/>
          <cell r="BP110"/>
          <cell r="BQ110"/>
          <cell r="BR110"/>
          <cell r="BS110"/>
          <cell r="BT110"/>
          <cell r="BU110"/>
          <cell r="BV110"/>
          <cell r="BW110"/>
          <cell r="BX110"/>
          <cell r="BY110"/>
          <cell r="BZ110"/>
          <cell r="CA110"/>
          <cell r="CB110"/>
          <cell r="CC110"/>
          <cell r="CD110"/>
          <cell r="CE110"/>
          <cell r="CF110"/>
          <cell r="CG110"/>
          <cell r="CH110"/>
          <cell r="CI110"/>
          <cell r="CJ110"/>
          <cell r="CK110"/>
          <cell r="CL110"/>
          <cell r="CM110"/>
          <cell r="CN110"/>
          <cell r="CO110"/>
          <cell r="CP110"/>
          <cell r="CQ110"/>
          <cell r="CR110"/>
          <cell r="CS110"/>
          <cell r="CT110"/>
          <cell r="CU110"/>
          <cell r="CV110"/>
          <cell r="CW110"/>
          <cell r="CX110"/>
          <cell r="CY110"/>
          <cell r="CZ110"/>
          <cell r="DA110"/>
          <cell r="DB110"/>
          <cell r="DC110"/>
          <cell r="DD110"/>
          <cell r="DE110"/>
          <cell r="DF110"/>
          <cell r="DG110"/>
          <cell r="DH110"/>
          <cell r="DI110"/>
          <cell r="DJ110"/>
          <cell r="DK110"/>
          <cell r="DL110"/>
          <cell r="DM110"/>
          <cell r="DN110"/>
          <cell r="DO110"/>
          <cell r="DP110"/>
          <cell r="DQ110"/>
          <cell r="DR110"/>
          <cell r="DS110"/>
        </row>
        <row r="111">
          <cell r="K111"/>
          <cell r="M111"/>
          <cell r="O111"/>
          <cell r="Q111"/>
          <cell r="S111"/>
          <cell r="U111"/>
          <cell r="W111"/>
          <cell r="Y111"/>
          <cell r="AA111"/>
          <cell r="AC111"/>
          <cell r="AE111"/>
          <cell r="AG111"/>
          <cell r="AI111"/>
          <cell r="AK111"/>
          <cell r="AM111"/>
          <cell r="AO111"/>
          <cell r="AQ111"/>
          <cell r="AS111"/>
          <cell r="AU111"/>
          <cell r="AW111"/>
          <cell r="AY111"/>
          <cell r="BA111"/>
          <cell r="BC111"/>
          <cell r="BE111"/>
          <cell r="BG111"/>
          <cell r="BI111"/>
          <cell r="BK111"/>
          <cell r="BM111"/>
          <cell r="BO111"/>
          <cell r="BQ111"/>
          <cell r="BS111"/>
          <cell r="BU111"/>
          <cell r="BW111"/>
          <cell r="BY111"/>
          <cell r="BZ111"/>
          <cell r="CA111"/>
          <cell r="CB111"/>
          <cell r="CC111"/>
          <cell r="CD111"/>
          <cell r="CE111"/>
          <cell r="CF111"/>
          <cell r="CG111"/>
          <cell r="CH111"/>
          <cell r="CI111"/>
          <cell r="CJ111"/>
          <cell r="CQ111"/>
          <cell r="CR111"/>
          <cell r="CW111"/>
          <cell r="DC111"/>
        </row>
        <row r="112">
          <cell r="D112"/>
          <cell r="L112"/>
          <cell r="N112"/>
          <cell r="P112"/>
          <cell r="R112"/>
          <cell r="T112"/>
          <cell r="V112"/>
          <cell r="X112"/>
          <cell r="Z112"/>
          <cell r="AB112"/>
          <cell r="AD112"/>
          <cell r="AF112"/>
          <cell r="AH112"/>
          <cell r="AJ112"/>
          <cell r="AL112"/>
          <cell r="AN112"/>
          <cell r="AP112"/>
          <cell r="AR112"/>
          <cell r="AT112"/>
          <cell r="AV112"/>
          <cell r="AX112"/>
          <cell r="AZ112"/>
          <cell r="BB112"/>
          <cell r="BD112"/>
          <cell r="BF112"/>
          <cell r="BH112"/>
          <cell r="BJ112"/>
          <cell r="BL112"/>
          <cell r="BN112"/>
          <cell r="BP112"/>
          <cell r="BR112"/>
          <cell r="BT112"/>
          <cell r="BV112"/>
          <cell r="BX112"/>
          <cell r="BY112"/>
          <cell r="BZ112"/>
          <cell r="CB112"/>
          <cell r="CC112"/>
          <cell r="CD112"/>
          <cell r="CE112"/>
          <cell r="CF112"/>
          <cell r="CG112"/>
          <cell r="CH112"/>
          <cell r="CQ112"/>
          <cell r="CR112"/>
        </row>
        <row r="113">
          <cell r="BZ113"/>
          <cell r="CA113"/>
          <cell r="CQ113"/>
          <cell r="CR113"/>
        </row>
        <row r="114">
          <cell r="E114"/>
          <cell r="G114"/>
          <cell r="I114"/>
          <cell r="K114"/>
          <cell r="M114"/>
          <cell r="O114"/>
          <cell r="Q114"/>
          <cell r="S114"/>
          <cell r="U114"/>
          <cell r="W114"/>
          <cell r="Y114"/>
          <cell r="AA114"/>
          <cell r="AC114"/>
          <cell r="AE114"/>
          <cell r="AG114"/>
          <cell r="AI114"/>
          <cell r="AK114"/>
          <cell r="AM114"/>
          <cell r="AO114"/>
          <cell r="AQ114"/>
          <cell r="AS114"/>
          <cell r="AU114"/>
          <cell r="AW114"/>
          <cell r="AY114"/>
          <cell r="BA114"/>
          <cell r="BC114"/>
          <cell r="BE114"/>
          <cell r="BG114"/>
          <cell r="BI114"/>
          <cell r="BK114"/>
          <cell r="BM114"/>
          <cell r="BO114"/>
          <cell r="BQ114"/>
          <cell r="BS114"/>
          <cell r="BU114"/>
          <cell r="BW114"/>
          <cell r="BY114"/>
          <cell r="BZ114"/>
          <cell r="CA114"/>
          <cell r="CB114"/>
          <cell r="CC114"/>
          <cell r="CD114"/>
          <cell r="CE114"/>
          <cell r="CF114"/>
          <cell r="CG114"/>
          <cell r="CH114"/>
          <cell r="CI114"/>
          <cell r="CJ114"/>
          <cell r="CQ114"/>
          <cell r="CR114"/>
        </row>
        <row r="115">
          <cell r="D115"/>
          <cell r="F115"/>
          <cell r="H115"/>
          <cell r="J115"/>
          <cell r="L115"/>
          <cell r="N115"/>
          <cell r="P115"/>
          <cell r="R115"/>
          <cell r="T115"/>
          <cell r="V115"/>
          <cell r="X115"/>
          <cell r="Z115"/>
          <cell r="AB115"/>
          <cell r="AD115"/>
          <cell r="AF115"/>
          <cell r="AH115"/>
          <cell r="AJ115"/>
          <cell r="AL115"/>
          <cell r="AN115"/>
          <cell r="AP115"/>
          <cell r="AR115"/>
          <cell r="AT115"/>
          <cell r="AV115"/>
          <cell r="AX115"/>
          <cell r="AZ115"/>
          <cell r="BB115"/>
          <cell r="BD115"/>
          <cell r="BF115"/>
          <cell r="BH115"/>
          <cell r="BJ115"/>
          <cell r="BL115"/>
          <cell r="BN115"/>
          <cell r="BP115"/>
          <cell r="BR115"/>
          <cell r="BT115"/>
          <cell r="BV115"/>
          <cell r="BX115"/>
          <cell r="BY115"/>
          <cell r="BZ115"/>
          <cell r="CB115"/>
          <cell r="CC115"/>
          <cell r="CD115"/>
          <cell r="CE115"/>
          <cell r="CF115"/>
          <cell r="CG115"/>
          <cell r="CH115"/>
          <cell r="CQ115"/>
          <cell r="CR115"/>
        </row>
        <row r="116">
          <cell r="BZ116"/>
          <cell r="CA116"/>
          <cell r="CQ116"/>
          <cell r="CR116"/>
        </row>
        <row r="117">
          <cell r="BZ117"/>
          <cell r="CA117"/>
          <cell r="CQ117"/>
          <cell r="CR117"/>
        </row>
        <row r="118">
          <cell r="BZ118"/>
          <cell r="CA118"/>
          <cell r="CQ118"/>
          <cell r="CR118"/>
        </row>
        <row r="119">
          <cell r="BZ119"/>
          <cell r="CA119"/>
          <cell r="CQ119"/>
          <cell r="CR119"/>
        </row>
        <row r="120">
          <cell r="BZ120"/>
          <cell r="CA120"/>
          <cell r="CQ120"/>
          <cell r="CR120"/>
        </row>
        <row r="121">
          <cell r="BZ121"/>
          <cell r="CA121"/>
          <cell r="CQ121"/>
          <cell r="CR121"/>
        </row>
        <row r="122">
          <cell r="BZ122"/>
          <cell r="CA122"/>
          <cell r="CQ122"/>
          <cell r="CR122"/>
        </row>
        <row r="123">
          <cell r="BZ123"/>
          <cell r="CA123"/>
          <cell r="CQ123"/>
          <cell r="CR123"/>
        </row>
        <row r="124">
          <cell r="BZ124"/>
          <cell r="CA124"/>
          <cell r="CQ124"/>
          <cell r="CR124"/>
        </row>
        <row r="125">
          <cell r="BZ125"/>
          <cell r="CA125"/>
          <cell r="CQ125"/>
          <cell r="CR125"/>
        </row>
        <row r="126">
          <cell r="BZ126"/>
          <cell r="CA126"/>
          <cell r="CQ126"/>
          <cell r="CR126"/>
        </row>
        <row r="127">
          <cell r="BZ127"/>
          <cell r="CA127"/>
          <cell r="CQ127"/>
          <cell r="CR127"/>
        </row>
        <row r="128">
          <cell r="BZ128"/>
          <cell r="CA128"/>
          <cell r="CQ128"/>
          <cell r="CR128"/>
        </row>
        <row r="129">
          <cell r="BZ129"/>
          <cell r="CA129"/>
          <cell r="CQ129"/>
          <cell r="CR129"/>
        </row>
        <row r="130">
          <cell r="BZ130"/>
          <cell r="CA130"/>
          <cell r="CQ130"/>
          <cell r="CR130"/>
        </row>
        <row r="131">
          <cell r="BZ131"/>
          <cell r="CA131"/>
          <cell r="CQ131"/>
          <cell r="CR131"/>
        </row>
        <row r="132">
          <cell r="BZ132"/>
          <cell r="CA132"/>
          <cell r="CQ132"/>
          <cell r="CR132"/>
        </row>
        <row r="133">
          <cell r="BZ133"/>
          <cell r="CA133"/>
          <cell r="CQ133"/>
          <cell r="CR133"/>
        </row>
        <row r="134">
          <cell r="BZ134"/>
          <cell r="CA134"/>
        </row>
        <row r="135">
          <cell r="BZ135"/>
          <cell r="CA135"/>
        </row>
        <row r="136">
          <cell r="BZ136"/>
          <cell r="CA136"/>
        </row>
        <row r="137">
          <cell r="BZ137"/>
          <cell r="CA137"/>
        </row>
        <row r="138">
          <cell r="BZ138"/>
          <cell r="CA138"/>
        </row>
        <row r="139">
          <cell r="BZ139"/>
          <cell r="CA139"/>
        </row>
        <row r="140">
          <cell r="BZ140"/>
          <cell r="CA140"/>
        </row>
        <row r="141">
          <cell r="BZ141"/>
          <cell r="CA141"/>
        </row>
        <row r="142">
          <cell r="BZ142"/>
          <cell r="CA142"/>
        </row>
      </sheetData>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des"/>
      <sheetName val="ddeiress"/>
    </sheetNames>
    <definedNames>
      <definedName name="IRESSRtd"/>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Z"/>
      <sheetName val="CBA"/>
      <sheetName val="NAB"/>
      <sheetName val="WBC"/>
      <sheetName val="BEN"/>
      <sheetName val="BOQ"/>
      <sheetName val="JDO"/>
      <sheetName val="MQG - Divisional ROE Reco"/>
      <sheetName val="MQG - Consolidation Analysis"/>
      <sheetName val="MQG - Sum-of-the-Parts "/>
      <sheetName val="CBA 3Q"/>
    </sheetNames>
    <sheetDataSet>
      <sheetData sheetId="0">
        <row r="9">
          <cell r="J9">
            <v>1.5354854808742975E-2</v>
          </cell>
          <cell r="K9">
            <v>1.5571544536685598E-2</v>
          </cell>
          <cell r="L9">
            <v>1.5652534381261584E-2</v>
          </cell>
          <cell r="M9">
            <v>1.5536107259616641E-2</v>
          </cell>
          <cell r="N9">
            <v>1.5428488662613784E-2</v>
          </cell>
          <cell r="O9">
            <v>1.5364400587753187E-2</v>
          </cell>
          <cell r="P9">
            <v>1.5309726572993133E-2</v>
          </cell>
          <cell r="Q9">
            <v>1.5270828803668117E-2</v>
          </cell>
          <cell r="R9">
            <v>1.5224997640886428E-2</v>
          </cell>
          <cell r="S9">
            <v>1.5130764641043843E-2</v>
          </cell>
          <cell r="T9">
            <v>1.505183049125179E-2</v>
          </cell>
          <cell r="Y9">
            <v>1.54884207648836E-2</v>
          </cell>
          <cell r="Z9">
            <v>1.5612862066963083E-2</v>
          </cell>
          <cell r="AA9">
            <v>1.5482062526312431E-2</v>
          </cell>
          <cell r="AB9">
            <v>1.5336831657607306E-2</v>
          </cell>
          <cell r="AC9">
            <v>1.524799679763973E-2</v>
          </cell>
          <cell r="AD9">
            <v>1.5091206395024669E-2</v>
          </cell>
        </row>
        <row r="10">
          <cell r="J10">
            <v>9092</v>
          </cell>
          <cell r="K10">
            <v>9274.454534165041</v>
          </cell>
          <cell r="L10">
            <v>9535.5291353917419</v>
          </cell>
          <cell r="M10">
            <v>9543.0040430925928</v>
          </cell>
          <cell r="N10">
            <v>9677.3537766753489</v>
          </cell>
          <cell r="O10">
            <v>9777.0823092118972</v>
          </cell>
          <cell r="P10">
            <v>9909.0091536078253</v>
          </cell>
          <cell r="Q10">
            <v>10020.150545983584</v>
          </cell>
          <cell r="R10">
            <v>10202.09403720055</v>
          </cell>
          <cell r="S10">
            <v>10255.78258167491</v>
          </cell>
          <cell r="T10">
            <v>10445.190044685511</v>
          </cell>
        </row>
        <row r="16">
          <cell r="K16">
            <v>-1.3026748562783831E-4</v>
          </cell>
          <cell r="L16">
            <v>-3.0446466666277517E-5</v>
          </cell>
          <cell r="M16">
            <v>-1.3068330820345365E-4</v>
          </cell>
          <cell r="N16">
            <v>-1.3094430027587917E-4</v>
          </cell>
          <cell r="O16">
            <v>-1.3130661634727935E-4</v>
          </cell>
          <cell r="P16">
            <v>-1.3167897259873826E-4</v>
          </cell>
          <cell r="Q16">
            <v>-8.2072651647977938E-5</v>
          </cell>
          <cell r="R16">
            <v>-8.2437038934571005E-5</v>
          </cell>
          <cell r="S16">
            <v>-8.26945770012607E-5</v>
          </cell>
          <cell r="T16">
            <v>-8.2836187922434291E-5</v>
          </cell>
        </row>
        <row r="137">
          <cell r="K137">
            <v>941.5771210547847</v>
          </cell>
          <cell r="L137">
            <v>942.74787777218705</v>
          </cell>
          <cell r="M137">
            <v>940.88794765221871</v>
          </cell>
          <cell r="N137">
            <v>950.8157054538525</v>
          </cell>
          <cell r="O137">
            <v>954.33250781412994</v>
          </cell>
          <cell r="P137">
            <v>960.1226405091362</v>
          </cell>
          <cell r="Q137">
            <v>962.61522791773564</v>
          </cell>
          <cell r="R137">
            <v>971.98650343412112</v>
          </cell>
          <cell r="S137">
            <v>971.70761808408008</v>
          </cell>
          <cell r="T137">
            <v>982.80881296508164</v>
          </cell>
        </row>
        <row r="138">
          <cell r="K138">
            <v>943.8</v>
          </cell>
          <cell r="L138">
            <v>869.92000000000007</v>
          </cell>
          <cell r="M138">
            <v>924.92399999999998</v>
          </cell>
          <cell r="N138">
            <v>852.52160000000003</v>
          </cell>
          <cell r="O138">
            <v>952.67172000000005</v>
          </cell>
          <cell r="P138">
            <v>878.09724800000004</v>
          </cell>
          <cell r="Q138">
            <v>962.19843720000006</v>
          </cell>
          <cell r="R138">
            <v>886.8782204800001</v>
          </cell>
          <cell r="S138">
            <v>971.8204215720001</v>
          </cell>
          <cell r="T138">
            <v>895.74700268480012</v>
          </cell>
        </row>
        <row r="140">
          <cell r="K140">
            <v>282.8</v>
          </cell>
          <cell r="L140">
            <v>281.79000000000002</v>
          </cell>
          <cell r="M140">
            <v>285.62799999999999</v>
          </cell>
          <cell r="N140">
            <v>284.60790000000003</v>
          </cell>
          <cell r="O140">
            <v>288.48428000000001</v>
          </cell>
          <cell r="P140">
            <v>287.453979</v>
          </cell>
          <cell r="Q140">
            <v>291.36912280000001</v>
          </cell>
          <cell r="R140">
            <v>290.32851879000003</v>
          </cell>
          <cell r="S140">
            <v>294.28281402800002</v>
          </cell>
          <cell r="T140">
            <v>293.23180397790003</v>
          </cell>
        </row>
        <row r="141">
          <cell r="T141">
            <v>2171.7876196277821</v>
          </cell>
        </row>
        <row r="143">
          <cell r="H143">
            <v>-10</v>
          </cell>
          <cell r="I143">
            <v>0</v>
          </cell>
          <cell r="J143">
            <v>-285</v>
          </cell>
          <cell r="K143">
            <v>0</v>
          </cell>
          <cell r="L143">
            <v>0</v>
          </cell>
          <cell r="M143">
            <v>0</v>
          </cell>
          <cell r="N143">
            <v>0</v>
          </cell>
          <cell r="O143">
            <v>0</v>
          </cell>
          <cell r="P143">
            <v>0</v>
          </cell>
          <cell r="Q143">
            <v>0</v>
          </cell>
          <cell r="R143">
            <v>0</v>
          </cell>
          <cell r="S143">
            <v>0</v>
          </cell>
          <cell r="T143">
            <v>0</v>
          </cell>
        </row>
        <row r="144">
          <cell r="J144">
            <v>1812</v>
          </cell>
          <cell r="K144">
            <v>2168.1771210547849</v>
          </cell>
          <cell r="L144">
            <v>2094.4578777721872</v>
          </cell>
          <cell r="M144">
            <v>2151.439947652219</v>
          </cell>
          <cell r="N144">
            <v>2087.9452054538524</v>
          </cell>
          <cell r="O144">
            <v>2195.4885078141301</v>
          </cell>
          <cell r="P144">
            <v>2125.673867509136</v>
          </cell>
          <cell r="Q144">
            <v>2216.1827879177354</v>
          </cell>
          <cell r="R144">
            <v>2149.1932427041211</v>
          </cell>
          <cell r="S144">
            <v>2237.81085368408</v>
          </cell>
        </row>
        <row r="175">
          <cell r="C175">
            <v>2601</v>
          </cell>
          <cell r="D175">
            <v>2604</v>
          </cell>
          <cell r="E175">
            <v>2893</v>
          </cell>
          <cell r="F175">
            <v>2869</v>
          </cell>
          <cell r="G175">
            <v>3062</v>
          </cell>
          <cell r="H175">
            <v>3116</v>
          </cell>
          <cell r="I175">
            <v>3312</v>
          </cell>
          <cell r="J175">
            <v>3443</v>
          </cell>
          <cell r="K175">
            <v>3299.1123333333335</v>
          </cell>
          <cell r="L175">
            <v>3365.4875435184586</v>
          </cell>
          <cell r="M175">
            <v>3254.6519316115387</v>
          </cell>
          <cell r="N175">
            <v>3455.1081919776093</v>
          </cell>
          <cell r="O175">
            <v>3315.9012171760055</v>
          </cell>
          <cell r="P175">
            <v>3550.5330986869935</v>
          </cell>
          <cell r="Q175">
            <v>3426.1171232525708</v>
          </cell>
          <cell r="R175">
            <v>3637.8213565193537</v>
          </cell>
          <cell r="S175">
            <v>3508.9353586327497</v>
          </cell>
          <cell r="T175">
            <v>3741.5335906509786</v>
          </cell>
          <cell r="V175">
            <v>5205</v>
          </cell>
          <cell r="W175">
            <v>5762</v>
          </cell>
          <cell r="X175">
            <v>6178</v>
          </cell>
          <cell r="Y175">
            <v>6755</v>
          </cell>
          <cell r="Z175">
            <v>6664.599876851792</v>
          </cell>
          <cell r="AA175">
            <v>6709.760123589148</v>
          </cell>
          <cell r="AB175">
            <v>6866.434315862999</v>
          </cell>
          <cell r="AC175">
            <v>7063.9384797719249</v>
          </cell>
          <cell r="AD175">
            <v>7250.4689492837279</v>
          </cell>
        </row>
        <row r="176">
          <cell r="C176">
            <v>801</v>
          </cell>
          <cell r="D176">
            <v>801</v>
          </cell>
          <cell r="E176">
            <v>836</v>
          </cell>
          <cell r="F176">
            <v>864</v>
          </cell>
          <cell r="G176">
            <v>898</v>
          </cell>
          <cell r="H176">
            <v>1017</v>
          </cell>
          <cell r="I176">
            <v>1057</v>
          </cell>
          <cell r="J176">
            <v>1186</v>
          </cell>
          <cell r="K176">
            <v>817.24139654482292</v>
          </cell>
          <cell r="L176">
            <v>907.4576029767785</v>
          </cell>
          <cell r="M176">
            <v>751.38171259442061</v>
          </cell>
          <cell r="N176">
            <v>936.52363845456659</v>
          </cell>
          <cell r="O176">
            <v>775.48944793539192</v>
          </cell>
          <cell r="P176">
            <v>983.89605177502892</v>
          </cell>
          <cell r="Q176">
            <v>757.65490350907794</v>
          </cell>
          <cell r="R176">
            <v>974.362497717824</v>
          </cell>
          <cell r="S176">
            <v>743.49389387409258</v>
          </cell>
          <cell r="T176">
            <v>979.56732717115256</v>
          </cell>
          <cell r="V176">
            <v>1602</v>
          </cell>
          <cell r="W176">
            <v>1700</v>
          </cell>
          <cell r="X176">
            <v>1915</v>
          </cell>
          <cell r="Y176">
            <v>2243</v>
          </cell>
          <cell r="Z176">
            <v>1724.6989995216013</v>
          </cell>
          <cell r="AA176">
            <v>1687.9053510489871</v>
          </cell>
          <cell r="AB176">
            <v>1759.3854997104208</v>
          </cell>
          <cell r="AC176">
            <v>1732.0174012269019</v>
          </cell>
          <cell r="AD176">
            <v>1723.061221045245</v>
          </cell>
        </row>
        <row r="177">
          <cell r="C177">
            <v>341</v>
          </cell>
          <cell r="D177">
            <v>333</v>
          </cell>
          <cell r="E177">
            <v>334</v>
          </cell>
          <cell r="F177">
            <v>324</v>
          </cell>
          <cell r="G177">
            <v>321</v>
          </cell>
          <cell r="H177">
            <v>338</v>
          </cell>
          <cell r="I177">
            <v>348</v>
          </cell>
          <cell r="J177">
            <v>362</v>
          </cell>
          <cell r="K177">
            <v>302.43266666666665</v>
          </cell>
          <cell r="L177">
            <v>314.61634714566281</v>
          </cell>
          <cell r="M177">
            <v>295.45936125388886</v>
          </cell>
          <cell r="N177">
            <v>330.72438920058931</v>
          </cell>
          <cell r="O177">
            <v>311.31254223783628</v>
          </cell>
          <cell r="P177">
            <v>349.904901775832</v>
          </cell>
          <cell r="Q177">
            <v>326.85834216771661</v>
          </cell>
          <cell r="R177">
            <v>362.49968814495503</v>
          </cell>
          <cell r="S177">
            <v>338.828466230998</v>
          </cell>
          <cell r="T177">
            <v>378.60603896776098</v>
          </cell>
          <cell r="V177">
            <v>674</v>
          </cell>
          <cell r="W177">
            <v>658</v>
          </cell>
          <cell r="X177">
            <v>659</v>
          </cell>
          <cell r="Y177">
            <v>710</v>
          </cell>
          <cell r="Z177">
            <v>617.04901381232946</v>
          </cell>
          <cell r="AA177">
            <v>626.18375045447817</v>
          </cell>
          <cell r="AB177">
            <v>661.21744401366823</v>
          </cell>
          <cell r="AC177">
            <v>689.35803031267164</v>
          </cell>
          <cell r="AD177">
            <v>717.43450519875898</v>
          </cell>
        </row>
        <row r="178">
          <cell r="C178">
            <v>812</v>
          </cell>
          <cell r="D178">
            <v>888</v>
          </cell>
          <cell r="E178">
            <v>781</v>
          </cell>
          <cell r="F178">
            <v>1085</v>
          </cell>
          <cell r="G178">
            <v>934</v>
          </cell>
          <cell r="H178">
            <v>1055</v>
          </cell>
          <cell r="I178">
            <v>1025</v>
          </cell>
          <cell r="J178">
            <v>1116</v>
          </cell>
          <cell r="K178">
            <v>1125.3</v>
          </cell>
          <cell r="L178">
            <v>1144.0549999999998</v>
          </cell>
          <cell r="M178">
            <v>1170.7496166666665</v>
          </cell>
          <cell r="N178">
            <v>1198.0671077222221</v>
          </cell>
          <cell r="O178">
            <v>1222.0284498766666</v>
          </cell>
          <cell r="P178">
            <v>1246.4690188741999</v>
          </cell>
          <cell r="Q178">
            <v>1254.7788123333612</v>
          </cell>
          <cell r="R178">
            <v>1263.1440044155836</v>
          </cell>
          <cell r="S178">
            <v>1271.5649644450207</v>
          </cell>
          <cell r="T178">
            <v>1280.0420642079873</v>
          </cell>
          <cell r="V178">
            <v>1700</v>
          </cell>
          <cell r="W178">
            <v>1866</v>
          </cell>
          <cell r="X178">
            <v>1989</v>
          </cell>
          <cell r="Y178">
            <v>2141</v>
          </cell>
          <cell r="Z178">
            <v>2269.3549999999996</v>
          </cell>
          <cell r="AA178">
            <v>2368.8167243888884</v>
          </cell>
          <cell r="AB178">
            <v>2468.4974687508666</v>
          </cell>
          <cell r="AC178">
            <v>2517.9228167489446</v>
          </cell>
          <cell r="AD178">
            <v>2551.607028653008</v>
          </cell>
        </row>
        <row r="181">
          <cell r="G181">
            <v>0</v>
          </cell>
          <cell r="H181">
            <v>0</v>
          </cell>
          <cell r="I181">
            <v>0</v>
          </cell>
          <cell r="J181">
            <v>1031</v>
          </cell>
          <cell r="K181">
            <v>111.25</v>
          </cell>
          <cell r="L181">
            <v>111.25</v>
          </cell>
          <cell r="M181">
            <v>111.25</v>
          </cell>
          <cell r="N181">
            <v>111.25</v>
          </cell>
          <cell r="O181">
            <v>0</v>
          </cell>
          <cell r="P181">
            <v>0</v>
          </cell>
          <cell r="Q181">
            <v>0</v>
          </cell>
          <cell r="R181">
            <v>0</v>
          </cell>
          <cell r="S181">
            <v>0</v>
          </cell>
          <cell r="T181">
            <v>0</v>
          </cell>
        </row>
        <row r="182">
          <cell r="J182">
            <v>7138</v>
          </cell>
          <cell r="K182">
            <v>5655.3363965448234</v>
          </cell>
          <cell r="L182">
            <v>5842.8664936409004</v>
          </cell>
          <cell r="M182">
            <v>5583.4926221265141</v>
          </cell>
          <cell r="N182">
            <v>6031.6733273549871</v>
          </cell>
          <cell r="O182">
            <v>5624.7316572259006</v>
          </cell>
          <cell r="P182">
            <v>6130.8030711120537</v>
          </cell>
          <cell r="Q182">
            <v>5765.4091812627266</v>
          </cell>
          <cell r="R182">
            <v>6237.8275467977164</v>
          </cell>
          <cell r="S182">
            <v>5862.8226831828606</v>
          </cell>
          <cell r="T182">
            <v>6379.7490209978796</v>
          </cell>
        </row>
        <row r="206">
          <cell r="K206">
            <v>8.0000000000000002E-3</v>
          </cell>
          <cell r="L206">
            <v>8.0000000000000002E-3</v>
          </cell>
          <cell r="M206">
            <v>1.4999999999999999E-2</v>
          </cell>
          <cell r="N206">
            <v>1.4999999999999999E-2</v>
          </cell>
          <cell r="O206">
            <v>1.2500000000000001E-2</v>
          </cell>
          <cell r="P206">
            <v>1.2500000000000001E-2</v>
          </cell>
          <cell r="Q206">
            <v>7.4999999999999997E-3</v>
          </cell>
          <cell r="R206">
            <v>7.4999999999999997E-3</v>
          </cell>
          <cell r="S206">
            <v>7.4999999999999997E-3</v>
          </cell>
          <cell r="T206">
            <v>7.4999999999999997E-3</v>
          </cell>
        </row>
        <row r="232">
          <cell r="K232">
            <v>191.22692725298583</v>
          </cell>
          <cell r="L232">
            <v>199.23778501628658</v>
          </cell>
          <cell r="M232">
            <v>196.96373507057544</v>
          </cell>
          <cell r="N232">
            <v>205.2149185667752</v>
          </cell>
          <cell r="O232">
            <v>202.87264712269268</v>
          </cell>
          <cell r="P232">
            <v>211.37136612377844</v>
          </cell>
          <cell r="Q232">
            <v>208.95882653637349</v>
          </cell>
          <cell r="R232">
            <v>217.71250710749183</v>
          </cell>
          <cell r="S232">
            <v>215.22759133246475</v>
          </cell>
          <cell r="T232">
            <v>224.24388232071664</v>
          </cell>
        </row>
        <row r="233">
          <cell r="K233">
            <v>-240.27772227772229</v>
          </cell>
          <cell r="L233">
            <v>-228.46829010892961</v>
          </cell>
          <cell r="M233">
            <v>-221.43077589581571</v>
          </cell>
          <cell r="N233">
            <v>-215.5401097231055</v>
          </cell>
          <cell r="O233">
            <v>-213.05422453961336</v>
          </cell>
          <cell r="P233">
            <v>-210.6029156909841</v>
          </cell>
          <cell r="Q233">
            <v>-210.78792723374477</v>
          </cell>
          <cell r="R233">
            <v>-210.34755433857347</v>
          </cell>
          <cell r="S233">
            <v>-212.12073477544592</v>
          </cell>
          <cell r="T233">
            <v>-212.86873920126163</v>
          </cell>
        </row>
        <row r="255">
          <cell r="J255">
            <v>296</v>
          </cell>
          <cell r="K255">
            <v>315.8678176424711</v>
          </cell>
          <cell r="L255">
            <v>356.0782308247704</v>
          </cell>
          <cell r="M255">
            <v>427.72863205069257</v>
          </cell>
          <cell r="N255">
            <v>534.19107553923209</v>
          </cell>
          <cell r="O255">
            <v>529.99517101503318</v>
          </cell>
          <cell r="P255">
            <v>510.25994074499647</v>
          </cell>
          <cell r="Q255">
            <v>485.54714579794791</v>
          </cell>
          <cell r="R255">
            <v>466.53979881955445</v>
          </cell>
          <cell r="S255">
            <v>500.51857264108224</v>
          </cell>
          <cell r="T255">
            <v>497.79970094603516</v>
          </cell>
        </row>
        <row r="266">
          <cell r="J266">
            <v>8442</v>
          </cell>
          <cell r="K266">
            <v>9258.8920663534973</v>
          </cell>
          <cell r="L266">
            <v>10046.082354404462</v>
          </cell>
          <cell r="M266">
            <v>10848.853598797339</v>
          </cell>
          <cell r="N266">
            <v>11718.013578833383</v>
          </cell>
          <cell r="O266">
            <v>12018.496181574317</v>
          </cell>
          <cell r="P266">
            <v>12328.689709881459</v>
          </cell>
          <cell r="Q266">
            <v>11832.65227742318</v>
          </cell>
          <cell r="R266">
            <v>11309.45420246297</v>
          </cell>
          <cell r="S266">
            <v>11282.258245458108</v>
          </cell>
          <cell r="T266">
            <v>11237.070057612438</v>
          </cell>
        </row>
        <row r="284">
          <cell r="K284">
            <v>1.1580907575544299E-2</v>
          </cell>
          <cell r="L284">
            <v>1.1627562159803116E-2</v>
          </cell>
          <cell r="M284">
            <v>1.1667286278605818E-2</v>
          </cell>
          <cell r="N284">
            <v>1.1710190359235935E-2</v>
          </cell>
          <cell r="O284">
            <v>1.1719758618025322E-2</v>
          </cell>
          <cell r="P284">
            <v>1.172987308944845E-2</v>
          </cell>
          <cell r="Q284">
            <v>1.1738723249840337E-2</v>
          </cell>
          <cell r="R284">
            <v>1.1747347591905939E-2</v>
          </cell>
          <cell r="S284">
            <v>1.1760652894993921E-2</v>
          </cell>
          <cell r="T284">
            <v>1.1773349856813086E-2</v>
          </cell>
        </row>
      </sheetData>
      <sheetData sheetId="1"/>
      <sheetData sheetId="2"/>
      <sheetData sheetId="3"/>
      <sheetData sheetId="4"/>
      <sheetData sheetId="5"/>
      <sheetData sheetId="6"/>
      <sheetData sheetId="7"/>
      <sheetData sheetId="8"/>
      <sheetData sheetId="9"/>
      <sheetData sheetId="10"/>
    </sheetDataSet>
  </externalBook>
</externalLink>
</file>

<file path=xl/persons/person.xml><?xml version="1.0" encoding="utf-8"?>
<personList xmlns="http://schemas.microsoft.com/office/spreadsheetml/2018/threadedcomments" xmlns:x="http://schemas.openxmlformats.org/spreadsheetml/2006/main">
  <person displayName="Li, John Y [GIR]" id="{258B5EFD-39A2-4123-92CE-D1FE54823D41}" userId="S::lijohyl@firmwide.corp.gs.com::c7eb5a96-b318-4b3b-8963-914823f44312"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S540" dT="2022-10-27T02:17:34.75" personId="{258B5EFD-39A2-4123-92CE-D1FE54823D41}" id="{0D85BC41-2C45-426A-B37C-3182A6EBBDF9}">
    <text>ANZ Bank New Zealand Perpetual Preference Shares issued</text>
  </threadedComment>
  <threadedComment ref="AW610" dT="2024-11-07T23:00:19.04" personId="{258B5EFD-39A2-4123-92CE-D1FE54823D41}" id="{7D239FEA-381C-4460-93DF-5F671E3A3BC3}">
    <text>Uptick from SUN acquisition</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1AEE1EC-42F7-4BEA-AEA2-F6E01CC2B631}">
  <we:reference id="49825c50-e8d8-4c4a-9a2c-e6f24181e018" version="1.0.0.0" store="EXCatalog" storeType="EXCatalog"/>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ustomProperty" Target="../customProperty5.bin"/><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7.bin"/><Relationship Id="rId2" Type="http://schemas.openxmlformats.org/officeDocument/2006/relationships/customProperty" Target="../customProperty6.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9.bin"/><Relationship Id="rId2" Type="http://schemas.openxmlformats.org/officeDocument/2006/relationships/customProperty" Target="../customProperty8.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11.bin"/><Relationship Id="rId2" Type="http://schemas.openxmlformats.org/officeDocument/2006/relationships/customProperty" Target="../customProperty10.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john.y.li@gs.com" TargetMode="External"/><Relationship Id="rId1" Type="http://schemas.openxmlformats.org/officeDocument/2006/relationships/hyperlink" Target="mailto:andrew.lyons@gs.com" TargetMode="External"/><Relationship Id="rId5" Type="http://schemas.openxmlformats.org/officeDocument/2006/relationships/drawing" Target="../drawings/drawing1.xml"/><Relationship Id="rId4" Type="http://schemas.openxmlformats.org/officeDocument/2006/relationships/customProperty" Target="../customProperty12.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6.bin"/><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customProperty" Target="../customProperty15.bin"/></Relationships>
</file>

<file path=xl/worksheets/_rels/sheet7.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ustomProperty" Target="../customProperty17.bin"/><Relationship Id="rId7" Type="http://schemas.openxmlformats.org/officeDocument/2006/relationships/vmlDrawing" Target="../drawings/vmlDrawing2.vml"/><Relationship Id="rId2" Type="http://schemas.openxmlformats.org/officeDocument/2006/relationships/customProperty" Target="../customProperty16.bin"/><Relationship Id="rId1" Type="http://schemas.openxmlformats.org/officeDocument/2006/relationships/printerSettings" Target="../printerSettings/printerSettings7.bin"/><Relationship Id="rId6" Type="http://schemas.openxmlformats.org/officeDocument/2006/relationships/drawing" Target="../drawings/drawing2.xml"/><Relationship Id="rId5" Type="http://schemas.openxmlformats.org/officeDocument/2006/relationships/customProperty" Target="../customProperty19.bin"/><Relationship Id="rId4" Type="http://schemas.openxmlformats.org/officeDocument/2006/relationships/customProperty" Target="../customProperty18.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21.bin"/><Relationship Id="rId7" Type="http://schemas.microsoft.com/office/2017/10/relationships/threadedComment" Target="../threadedComments/threadedComment1.xml"/><Relationship Id="rId2" Type="http://schemas.openxmlformats.org/officeDocument/2006/relationships/customProperty" Target="../customProperty20.bin"/><Relationship Id="rId1" Type="http://schemas.openxmlformats.org/officeDocument/2006/relationships/printerSettings" Target="../printerSettings/printerSettings8.bin"/><Relationship Id="rId6" Type="http://schemas.openxmlformats.org/officeDocument/2006/relationships/comments" Target="../comments3.xml"/><Relationship Id="rId5" Type="http://schemas.openxmlformats.org/officeDocument/2006/relationships/vmlDrawing" Target="../drawings/vmlDrawing3.vml"/><Relationship Id="rId4" Type="http://schemas.openxmlformats.org/officeDocument/2006/relationships/customProperty" Target="../customProperty22.bin"/></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customProperty" Target="../customProperty25.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2.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P477"/>
  <sheetViews>
    <sheetView workbookViewId="0"/>
  </sheetViews>
  <sheetFormatPr defaultRowHeight="12.75"/>
  <sheetData>
    <row r="1" spans="1:16">
      <c r="A1">
        <v>1374155</v>
      </c>
      <c r="F1">
        <v>2006</v>
      </c>
      <c r="G1">
        <v>2007</v>
      </c>
      <c r="H1">
        <v>2008</v>
      </c>
      <c r="I1">
        <v>2009</v>
      </c>
      <c r="J1">
        <v>2010</v>
      </c>
      <c r="K1">
        <v>2011</v>
      </c>
      <c r="L1">
        <v>2012</v>
      </c>
      <c r="M1">
        <v>2013</v>
      </c>
      <c r="N1">
        <v>2014</v>
      </c>
      <c r="O1">
        <v>2015</v>
      </c>
      <c r="P1">
        <v>2016</v>
      </c>
    </row>
    <row r="2" spans="1:16" ht="15">
      <c r="A2" s="177" t="s">
        <v>2096</v>
      </c>
    </row>
    <row r="4" spans="1:16">
      <c r="B4" t="s">
        <v>1142</v>
      </c>
      <c r="D4" t="s">
        <v>1136</v>
      </c>
    </row>
    <row r="5" spans="1:16">
      <c r="B5" t="s">
        <v>1144</v>
      </c>
      <c r="D5" t="s">
        <v>1136</v>
      </c>
    </row>
    <row r="6" spans="1:16">
      <c r="B6" t="s">
        <v>1146</v>
      </c>
      <c r="D6" t="s">
        <v>1136</v>
      </c>
    </row>
    <row r="7" spans="1:16">
      <c r="B7" t="s">
        <v>1148</v>
      </c>
      <c r="D7" t="s">
        <v>1136</v>
      </c>
      <c r="E7">
        <v>29.164377097810998</v>
      </c>
    </row>
    <row r="8" spans="1:16">
      <c r="B8" t="s">
        <v>1150</v>
      </c>
      <c r="D8" t="s">
        <v>1136</v>
      </c>
      <c r="E8" t="s">
        <v>1151</v>
      </c>
    </row>
    <row r="9" spans="1:16">
      <c r="B9" t="s">
        <v>1153</v>
      </c>
      <c r="D9" t="s">
        <v>1136</v>
      </c>
      <c r="E9">
        <v>2707.3398883013901</v>
      </c>
    </row>
    <row r="10" spans="1:16">
      <c r="B10" t="s">
        <v>1155</v>
      </c>
      <c r="D10" t="s">
        <v>1136</v>
      </c>
      <c r="E10">
        <v>1</v>
      </c>
    </row>
    <row r="11" spans="1:16">
      <c r="B11" t="s">
        <v>1157</v>
      </c>
      <c r="D11" t="s">
        <v>1136</v>
      </c>
    </row>
    <row r="12" spans="1:16">
      <c r="B12" t="s">
        <v>1159</v>
      </c>
      <c r="D12" t="s">
        <v>1136</v>
      </c>
    </row>
    <row r="13" spans="1:16">
      <c r="B13" t="s">
        <v>1161</v>
      </c>
      <c r="D13" t="s">
        <v>1136</v>
      </c>
    </row>
    <row r="14" spans="1:16">
      <c r="B14" t="s">
        <v>1163</v>
      </c>
      <c r="D14" t="s">
        <v>1136</v>
      </c>
    </row>
    <row r="15" spans="1:16">
      <c r="B15" t="s">
        <v>1165</v>
      </c>
      <c r="D15" t="s">
        <v>1136</v>
      </c>
    </row>
    <row r="16" spans="1:16">
      <c r="B16" t="s">
        <v>1167</v>
      </c>
      <c r="D16" t="s">
        <v>1136</v>
      </c>
    </row>
    <row r="17" spans="2:16">
      <c r="B17" t="s">
        <v>1169</v>
      </c>
      <c r="D17" t="s">
        <v>1136</v>
      </c>
    </row>
    <row r="18" spans="2:16">
      <c r="B18" t="s">
        <v>1171</v>
      </c>
      <c r="D18" t="s">
        <v>1136</v>
      </c>
    </row>
    <row r="19" spans="2:16">
      <c r="B19" t="s">
        <v>1173</v>
      </c>
      <c r="D19" t="s">
        <v>1136</v>
      </c>
    </row>
    <row r="20" spans="2:16">
      <c r="B20" t="s">
        <v>1175</v>
      </c>
      <c r="D20" t="s">
        <v>1136</v>
      </c>
    </row>
    <row r="21" spans="2:16">
      <c r="B21" t="s">
        <v>1177</v>
      </c>
      <c r="D21" t="s">
        <v>1136</v>
      </c>
    </row>
    <row r="22" spans="2:16">
      <c r="B22" t="s">
        <v>1179</v>
      </c>
      <c r="D22" t="s">
        <v>1136</v>
      </c>
    </row>
    <row r="23" spans="2:16">
      <c r="B23" t="s">
        <v>1181</v>
      </c>
      <c r="D23" t="s">
        <v>1136</v>
      </c>
    </row>
    <row r="24" spans="2:16">
      <c r="B24" t="s">
        <v>1184</v>
      </c>
      <c r="D24" t="s">
        <v>1136</v>
      </c>
      <c r="F24">
        <v>10.345747577045</v>
      </c>
      <c r="G24">
        <v>11.336408001286999</v>
      </c>
      <c r="H24">
        <v>12.554025579457999</v>
      </c>
      <c r="I24">
        <v>12.574565781593</v>
      </c>
      <c r="J24">
        <v>12.978083369145001</v>
      </c>
      <c r="K24">
        <v>14.087105363256001</v>
      </c>
      <c r="L24">
        <v>14.830352542871999</v>
      </c>
      <c r="M24">
        <v>15.964098296746</v>
      </c>
      <c r="N24">
        <v>17.175579899572998</v>
      </c>
      <c r="O24">
        <v>18.016979052979998</v>
      </c>
      <c r="P24">
        <v>19.111896738595</v>
      </c>
    </row>
    <row r="25" spans="2:16">
      <c r="B25" t="s">
        <v>1186</v>
      </c>
      <c r="D25" t="s">
        <v>1136</v>
      </c>
      <c r="F25">
        <v>1.25</v>
      </c>
      <c r="G25">
        <v>1.36</v>
      </c>
      <c r="H25">
        <v>1.36</v>
      </c>
      <c r="I25">
        <v>1.02</v>
      </c>
      <c r="J25">
        <v>1.26</v>
      </c>
      <c r="K25">
        <v>1.4</v>
      </c>
      <c r="L25">
        <v>1.45</v>
      </c>
      <c r="M25">
        <v>1.58</v>
      </c>
      <c r="N25">
        <v>1.68</v>
      </c>
      <c r="O25">
        <v>1.77</v>
      </c>
      <c r="P25">
        <v>1.85</v>
      </c>
    </row>
    <row r="26" spans="2:16">
      <c r="B26" t="s">
        <v>1188</v>
      </c>
      <c r="D26" t="s">
        <v>1136</v>
      </c>
    </row>
    <row r="27" spans="2:16">
      <c r="B27" t="s">
        <v>1190</v>
      </c>
      <c r="D27" t="s">
        <v>1136</v>
      </c>
      <c r="F27">
        <v>1.8882923807559999</v>
      </c>
      <c r="G27">
        <v>2.051360910349</v>
      </c>
      <c r="H27">
        <v>1.6020977038649999</v>
      </c>
      <c r="I27">
        <v>1.4832332012439999</v>
      </c>
      <c r="J27">
        <v>1.971078976641</v>
      </c>
      <c r="K27">
        <v>2.0276907744870001</v>
      </c>
      <c r="L27">
        <v>2.190400332456</v>
      </c>
      <c r="M27">
        <v>2.2877187322410002</v>
      </c>
      <c r="N27">
        <v>2.4276308878849999</v>
      </c>
      <c r="O27">
        <v>2.54398335006</v>
      </c>
      <c r="P27">
        <v>2.6558687806069998</v>
      </c>
    </row>
    <row r="28" spans="2:16">
      <c r="B28" t="s">
        <v>1192</v>
      </c>
      <c r="D28" t="s">
        <v>1136</v>
      </c>
      <c r="F28">
        <v>0</v>
      </c>
      <c r="G28">
        <v>0</v>
      </c>
      <c r="H28">
        <v>0</v>
      </c>
      <c r="I28">
        <v>0</v>
      </c>
      <c r="J28">
        <v>0</v>
      </c>
      <c r="K28">
        <v>0</v>
      </c>
      <c r="L28">
        <v>0</v>
      </c>
      <c r="M28">
        <v>0</v>
      </c>
      <c r="N28">
        <v>0</v>
      </c>
      <c r="O28">
        <v>0</v>
      </c>
      <c r="P28">
        <v>0</v>
      </c>
    </row>
    <row r="29" spans="2:16">
      <c r="B29" t="s">
        <v>1194</v>
      </c>
      <c r="D29" t="s">
        <v>1136</v>
      </c>
    </row>
    <row r="30" spans="2:16">
      <c r="B30" t="s">
        <v>1196</v>
      </c>
      <c r="D30" t="s">
        <v>1136</v>
      </c>
      <c r="F30">
        <v>3560</v>
      </c>
      <c r="G30">
        <v>3887</v>
      </c>
      <c r="H30">
        <v>3231</v>
      </c>
      <c r="I30">
        <v>3350</v>
      </c>
      <c r="J30">
        <v>5122</v>
      </c>
      <c r="K30">
        <v>5455</v>
      </c>
      <c r="L30">
        <v>6039</v>
      </c>
      <c r="M30">
        <v>6418.5147208115604</v>
      </c>
      <c r="N30">
        <v>6870.1572446747687</v>
      </c>
      <c r="O30">
        <v>7239.2447602901802</v>
      </c>
      <c r="P30">
        <v>7596.2715159500203</v>
      </c>
    </row>
    <row r="31" spans="2:16">
      <c r="B31" t="s">
        <v>1198</v>
      </c>
      <c r="D31" t="s">
        <v>1136</v>
      </c>
      <c r="F31">
        <v>5509.48</v>
      </c>
      <c r="G31">
        <v>6102.81</v>
      </c>
      <c r="H31">
        <v>6602.1399999999994</v>
      </c>
      <c r="I31">
        <v>7861.67</v>
      </c>
      <c r="J31">
        <v>8949</v>
      </c>
      <c r="K31">
        <v>8845</v>
      </c>
      <c r="L31">
        <v>9662</v>
      </c>
      <c r="M31">
        <v>10287.624641595998</v>
      </c>
      <c r="N31">
        <v>11142.038008687799</v>
      </c>
      <c r="O31">
        <v>11764.098597293498</v>
      </c>
      <c r="P31">
        <v>12387.640153621598</v>
      </c>
    </row>
    <row r="32" spans="2:16">
      <c r="B32" t="s">
        <v>1200</v>
      </c>
      <c r="D32" t="s">
        <v>1136</v>
      </c>
      <c r="F32">
        <v>5102.4799999999996</v>
      </c>
      <c r="G32">
        <v>5580.81</v>
      </c>
      <c r="H32">
        <v>4498.1399999999994</v>
      </c>
      <c r="I32">
        <v>4774.67</v>
      </c>
      <c r="J32">
        <v>7128</v>
      </c>
      <c r="K32">
        <v>7642</v>
      </c>
      <c r="L32">
        <v>8344</v>
      </c>
      <c r="M32">
        <v>8990.5535148333493</v>
      </c>
      <c r="N32">
        <v>9621.6059650256502</v>
      </c>
      <c r="O32">
        <v>10137.309356</v>
      </c>
      <c r="P32">
        <v>10636.160985417499</v>
      </c>
    </row>
    <row r="33" spans="2:16">
      <c r="B33" t="s">
        <v>1202</v>
      </c>
      <c r="D33" t="s">
        <v>1136</v>
      </c>
      <c r="F33">
        <v>10330.57</v>
      </c>
      <c r="G33">
        <v>11288.07</v>
      </c>
      <c r="H33">
        <v>12275.46</v>
      </c>
      <c r="I33">
        <v>14292.48</v>
      </c>
      <c r="J33">
        <v>15934</v>
      </c>
      <c r="K33">
        <v>16868</v>
      </c>
      <c r="L33">
        <v>17908</v>
      </c>
      <c r="M33">
        <v>18447.5371934619</v>
      </c>
      <c r="N33">
        <v>19645.288583232799</v>
      </c>
      <c r="O33">
        <v>20669.207123459801</v>
      </c>
      <c r="P33">
        <v>21739.438868440695</v>
      </c>
    </row>
    <row r="34" spans="2:16">
      <c r="B34" t="s">
        <v>1204</v>
      </c>
      <c r="D34" t="s">
        <v>1136</v>
      </c>
      <c r="F34">
        <v>19906</v>
      </c>
      <c r="G34">
        <v>22048</v>
      </c>
      <c r="H34">
        <v>26552</v>
      </c>
      <c r="I34">
        <v>32429</v>
      </c>
      <c r="J34">
        <v>34155</v>
      </c>
      <c r="K34">
        <v>37954</v>
      </c>
      <c r="L34">
        <v>41220</v>
      </c>
      <c r="M34">
        <v>44903.717689952595</v>
      </c>
      <c r="N34">
        <v>48430.138863746201</v>
      </c>
      <c r="O34">
        <v>50945.763065087202</v>
      </c>
      <c r="P34">
        <v>54172.851812364897</v>
      </c>
    </row>
    <row r="35" spans="2:16">
      <c r="B35" t="s">
        <v>1206</v>
      </c>
      <c r="D35" t="s">
        <v>1136</v>
      </c>
    </row>
    <row r="36" spans="2:16">
      <c r="B36" t="s">
        <v>1209</v>
      </c>
      <c r="D36" t="s">
        <v>1136</v>
      </c>
      <c r="E36">
        <v>0</v>
      </c>
    </row>
    <row r="37" spans="2:16">
      <c r="B37" t="s">
        <v>1210</v>
      </c>
      <c r="D37" t="s">
        <v>1136</v>
      </c>
      <c r="E37">
        <v>29.208223737949002</v>
      </c>
    </row>
    <row r="38" spans="2:16">
      <c r="B38" t="s">
        <v>1212</v>
      </c>
      <c r="D38" t="s">
        <v>1136</v>
      </c>
      <c r="E38">
        <v>0.122</v>
      </c>
    </row>
    <row r="39" spans="2:16">
      <c r="B39" t="s">
        <v>1214</v>
      </c>
      <c r="D39" t="s">
        <v>1136</v>
      </c>
    </row>
    <row r="40" spans="2:16">
      <c r="B40" t="s">
        <v>1216</v>
      </c>
      <c r="D40" t="s">
        <v>1136</v>
      </c>
      <c r="E40">
        <v>2.5000000000000001E-2</v>
      </c>
    </row>
    <row r="41" spans="2:16">
      <c r="B41" t="s">
        <v>1218</v>
      </c>
      <c r="D41" t="s">
        <v>1136</v>
      </c>
      <c r="J41">
        <v>0</v>
      </c>
      <c r="K41">
        <v>0</v>
      </c>
      <c r="L41">
        <v>0</v>
      </c>
      <c r="M41">
        <v>0.95952734997699995</v>
      </c>
      <c r="N41">
        <v>0.85519371655700005</v>
      </c>
      <c r="O41">
        <v>0.76220473846500003</v>
      </c>
      <c r="P41">
        <v>0.67983104965899999</v>
      </c>
    </row>
    <row r="42" spans="2:16">
      <c r="B42" t="s">
        <v>1220</v>
      </c>
      <c r="D42" t="s">
        <v>1136</v>
      </c>
      <c r="J42">
        <v>2424</v>
      </c>
      <c r="K42">
        <v>2138</v>
      </c>
      <c r="L42">
        <v>2114</v>
      </c>
      <c r="M42">
        <v>687.32939895774996</v>
      </c>
      <c r="N42">
        <v>3510.41784588665</v>
      </c>
      <c r="O42">
        <v>3288.7780675433901</v>
      </c>
      <c r="P42">
        <v>3080.3365684897099</v>
      </c>
    </row>
    <row r="43" spans="2:16">
      <c r="B43" t="s">
        <v>1222</v>
      </c>
      <c r="D43" t="s">
        <v>1136</v>
      </c>
      <c r="E43">
        <v>11462.793512735399</v>
      </c>
    </row>
    <row r="44" spans="2:16">
      <c r="B44" t="s">
        <v>1224</v>
      </c>
      <c r="D44" t="s">
        <v>1136</v>
      </c>
      <c r="E44">
        <v>53815.422257339997</v>
      </c>
    </row>
    <row r="45" spans="2:16">
      <c r="B45" t="s">
        <v>1226</v>
      </c>
      <c r="D45" t="s">
        <v>1136</v>
      </c>
    </row>
    <row r="46" spans="2:16">
      <c r="B46" t="s">
        <v>1228</v>
      </c>
      <c r="D46" t="s">
        <v>1136</v>
      </c>
    </row>
    <row r="47" spans="2:16">
      <c r="B47" t="s">
        <v>1230</v>
      </c>
      <c r="D47" t="s">
        <v>1136</v>
      </c>
      <c r="E47">
        <v>65278.215770075301</v>
      </c>
    </row>
    <row r="48" spans="2:16">
      <c r="B48" t="s">
        <v>1232</v>
      </c>
      <c r="D48" t="s">
        <v>1136</v>
      </c>
      <c r="E48">
        <v>5.5844629156399996</v>
      </c>
    </row>
    <row r="49" spans="2:16">
      <c r="B49" t="s">
        <v>1234</v>
      </c>
      <c r="D49" t="s">
        <v>1136</v>
      </c>
      <c r="E49">
        <v>29.208223737949002</v>
      </c>
    </row>
    <row r="50" spans="2:16">
      <c r="B50" t="s">
        <v>1236</v>
      </c>
      <c r="D50" t="s">
        <v>1136</v>
      </c>
    </row>
    <row r="51" spans="2:16">
      <c r="B51" t="s">
        <v>1238</v>
      </c>
      <c r="D51" t="s">
        <v>1136</v>
      </c>
      <c r="E51">
        <v>23.623760822308999</v>
      </c>
    </row>
    <row r="52" spans="2:16">
      <c r="B52" t="s">
        <v>1240</v>
      </c>
      <c r="D52" t="s">
        <v>1136</v>
      </c>
    </row>
    <row r="53" spans="2:16">
      <c r="B53" t="s">
        <v>1242</v>
      </c>
      <c r="D53" t="s">
        <v>1136</v>
      </c>
      <c r="F53">
        <v>3688</v>
      </c>
      <c r="G53">
        <v>4180</v>
      </c>
      <c r="H53">
        <v>3319</v>
      </c>
      <c r="I53">
        <v>2943</v>
      </c>
      <c r="J53">
        <v>4501</v>
      </c>
      <c r="K53">
        <v>5355</v>
      </c>
      <c r="L53">
        <v>5661</v>
      </c>
      <c r="M53">
        <v>6182.5147208115604</v>
      </c>
      <c r="N53">
        <v>6876.1572446747687</v>
      </c>
      <c r="O53">
        <v>7245.2447602901802</v>
      </c>
      <c r="P53">
        <v>7602.2715159500103</v>
      </c>
    </row>
    <row r="54" spans="2:16">
      <c r="B54" t="s">
        <v>1244</v>
      </c>
      <c r="D54" t="s">
        <v>1136</v>
      </c>
      <c r="F54">
        <v>8.7449635195469995</v>
      </c>
      <c r="G54">
        <v>9.6122700702530004</v>
      </c>
      <c r="H54">
        <v>11.027098544616999</v>
      </c>
      <c r="I54">
        <v>11.357955679776</v>
      </c>
      <c r="J54">
        <v>10.863382427628</v>
      </c>
      <c r="K54">
        <v>12.036135412705001</v>
      </c>
      <c r="L54">
        <v>12.872598807684</v>
      </c>
      <c r="M54">
        <v>14.045708094855</v>
      </c>
      <c r="N54">
        <v>15.264817586735999</v>
      </c>
      <c r="O54">
        <v>16.113412915754999</v>
      </c>
      <c r="P54">
        <v>17.215022518293999</v>
      </c>
    </row>
    <row r="55" spans="2:16">
      <c r="B55" t="s">
        <v>1246</v>
      </c>
      <c r="D55" t="s">
        <v>1136</v>
      </c>
      <c r="F55">
        <v>1</v>
      </c>
      <c r="G55">
        <v>1</v>
      </c>
      <c r="H55">
        <v>1</v>
      </c>
      <c r="I55">
        <v>1</v>
      </c>
      <c r="J55">
        <v>1</v>
      </c>
      <c r="K55">
        <v>1</v>
      </c>
      <c r="L55">
        <v>1</v>
      </c>
      <c r="M55">
        <v>1</v>
      </c>
      <c r="N55">
        <v>1</v>
      </c>
      <c r="O55">
        <v>1</v>
      </c>
      <c r="P55">
        <v>1</v>
      </c>
    </row>
    <row r="56" spans="2:16">
      <c r="B56" t="s">
        <v>1248</v>
      </c>
      <c r="D56" t="s">
        <v>1136</v>
      </c>
    </row>
    <row r="57" spans="2:16">
      <c r="B57" t="s">
        <v>1250</v>
      </c>
      <c r="D57" t="s">
        <v>1136</v>
      </c>
      <c r="F57">
        <v>22301</v>
      </c>
      <c r="G57">
        <v>26210</v>
      </c>
      <c r="H57">
        <v>32604</v>
      </c>
      <c r="I57">
        <v>26206</v>
      </c>
      <c r="J57">
        <v>26608</v>
      </c>
      <c r="K57">
        <v>30368</v>
      </c>
      <c r="L57">
        <v>30538</v>
      </c>
      <c r="M57">
        <v>28336.897542561801</v>
      </c>
      <c r="N57">
        <v>28327.924953645801</v>
      </c>
      <c r="O57">
        <v>32437.2361570139</v>
      </c>
      <c r="P57">
        <v>39985.6881481854</v>
      </c>
    </row>
    <row r="58" spans="2:16">
      <c r="B58" t="s">
        <v>1251</v>
      </c>
      <c r="D58" t="s">
        <v>1136</v>
      </c>
      <c r="F58">
        <v>-15358</v>
      </c>
      <c r="G58">
        <v>-18908</v>
      </c>
      <c r="H58">
        <v>-24754</v>
      </c>
      <c r="I58">
        <v>-16316</v>
      </c>
      <c r="J58">
        <v>-15736</v>
      </c>
      <c r="K58">
        <v>-18868</v>
      </c>
      <c r="L58">
        <v>-18428</v>
      </c>
      <c r="M58">
        <v>-15661.0149324146</v>
      </c>
      <c r="N58">
        <v>-14910.408235687</v>
      </c>
      <c r="O58">
        <v>-18488.521634532801</v>
      </c>
      <c r="P58">
        <v>-25491.349712836101</v>
      </c>
    </row>
    <row r="59" spans="2:16">
      <c r="B59" t="s">
        <v>1252</v>
      </c>
      <c r="D59" t="s">
        <v>1136</v>
      </c>
      <c r="F59">
        <v>6943</v>
      </c>
      <c r="G59">
        <v>7302</v>
      </c>
      <c r="H59">
        <v>7850</v>
      </c>
      <c r="I59">
        <v>9890</v>
      </c>
      <c r="J59">
        <v>10872</v>
      </c>
      <c r="K59">
        <v>11500</v>
      </c>
      <c r="L59">
        <v>12110</v>
      </c>
      <c r="M59">
        <v>12675.882610147199</v>
      </c>
      <c r="N59">
        <v>13417.516717958801</v>
      </c>
      <c r="O59">
        <v>13948.714522481099</v>
      </c>
      <c r="P59">
        <v>14494.3384353493</v>
      </c>
    </row>
    <row r="60" spans="2:16">
      <c r="B60" t="s">
        <v>1255</v>
      </c>
      <c r="D60" t="s">
        <v>1136</v>
      </c>
      <c r="F60">
        <v>0</v>
      </c>
      <c r="G60">
        <v>0</v>
      </c>
      <c r="H60">
        <v>0</v>
      </c>
      <c r="I60">
        <v>0</v>
      </c>
      <c r="J60">
        <v>0</v>
      </c>
      <c r="K60">
        <v>0</v>
      </c>
      <c r="L60">
        <v>0</v>
      </c>
      <c r="M60">
        <v>0</v>
      </c>
      <c r="N60">
        <v>0</v>
      </c>
      <c r="O60">
        <v>0</v>
      </c>
      <c r="P60">
        <v>0</v>
      </c>
    </row>
    <row r="61" spans="2:16">
      <c r="B61" t="s">
        <v>1257</v>
      </c>
      <c r="D61" t="s">
        <v>1136</v>
      </c>
    </row>
    <row r="62" spans="2:16">
      <c r="B62" t="s">
        <v>1259</v>
      </c>
      <c r="D62" t="s">
        <v>1136</v>
      </c>
    </row>
    <row r="63" spans="2:16">
      <c r="B63" t="s">
        <v>1261</v>
      </c>
      <c r="D63" t="s">
        <v>1136</v>
      </c>
      <c r="F63">
        <v>656</v>
      </c>
      <c r="G63">
        <v>856</v>
      </c>
      <c r="H63">
        <v>1195</v>
      </c>
      <c r="I63">
        <v>1100</v>
      </c>
      <c r="J63">
        <v>1070</v>
      </c>
      <c r="K63">
        <v>1211</v>
      </c>
      <c r="L63">
        <v>1355</v>
      </c>
      <c r="M63">
        <v>1403.3392567492699</v>
      </c>
      <c r="N63">
        <v>1362.1801840047401</v>
      </c>
      <c r="O63">
        <v>1461.93453862051</v>
      </c>
      <c r="P63">
        <v>1569.46524285698</v>
      </c>
    </row>
    <row r="64" spans="2:16">
      <c r="B64" t="s">
        <v>1263</v>
      </c>
      <c r="D64" t="s">
        <v>1136</v>
      </c>
      <c r="F64">
        <v>2145</v>
      </c>
      <c r="G64">
        <v>2380</v>
      </c>
      <c r="H64">
        <v>2656</v>
      </c>
      <c r="I64">
        <v>2397</v>
      </c>
      <c r="J64">
        <v>2324</v>
      </c>
      <c r="K64">
        <v>2391</v>
      </c>
      <c r="L64">
        <v>2412</v>
      </c>
      <c r="M64">
        <v>2527.7717531016701</v>
      </c>
      <c r="N64">
        <v>2780.5729546706398</v>
      </c>
      <c r="O64">
        <v>2985.7442268759601</v>
      </c>
      <c r="P64">
        <v>3199.9474493883699</v>
      </c>
    </row>
    <row r="65" spans="2:16">
      <c r="B65" t="s">
        <v>1264</v>
      </c>
      <c r="D65" t="s">
        <v>1136</v>
      </c>
      <c r="F65">
        <v>586.57000000000005</v>
      </c>
      <c r="G65">
        <v>750.07</v>
      </c>
      <c r="H65">
        <v>574.46</v>
      </c>
      <c r="I65">
        <v>905.48</v>
      </c>
      <c r="J65">
        <v>1668</v>
      </c>
      <c r="K65">
        <v>1766</v>
      </c>
      <c r="L65">
        <v>2031</v>
      </c>
      <c r="M65">
        <v>1840.5435734638299</v>
      </c>
      <c r="N65">
        <v>2085.0187265986501</v>
      </c>
      <c r="O65">
        <v>2272.8138354822199</v>
      </c>
      <c r="P65">
        <v>2475.68774084608</v>
      </c>
    </row>
    <row r="66" spans="2:16">
      <c r="B66" t="s">
        <v>1265</v>
      </c>
      <c r="D66" t="s">
        <v>1136</v>
      </c>
      <c r="F66">
        <v>3387.57</v>
      </c>
      <c r="G66">
        <v>3986.07</v>
      </c>
      <c r="H66">
        <v>4425.46</v>
      </c>
      <c r="I66">
        <v>4402.4799999999996</v>
      </c>
      <c r="J66">
        <v>5062</v>
      </c>
      <c r="K66">
        <v>5368</v>
      </c>
      <c r="L66">
        <v>5798</v>
      </c>
      <c r="M66">
        <v>5771.6545833147802</v>
      </c>
      <c r="N66">
        <v>6227.7718652740296</v>
      </c>
      <c r="O66">
        <v>6720.4926009786886</v>
      </c>
      <c r="P66">
        <v>7245.1004330914402</v>
      </c>
    </row>
    <row r="67" spans="2:16">
      <c r="B67" t="s">
        <v>1268</v>
      </c>
      <c r="D67" t="s">
        <v>1136</v>
      </c>
      <c r="F67">
        <v>10330.57</v>
      </c>
      <c r="G67">
        <v>11288.07</v>
      </c>
      <c r="H67">
        <v>12275.46</v>
      </c>
      <c r="I67">
        <v>14292.48</v>
      </c>
      <c r="J67">
        <v>15934</v>
      </c>
      <c r="K67">
        <v>16868</v>
      </c>
      <c r="L67">
        <v>17908</v>
      </c>
      <c r="M67">
        <v>18447.5371934619</v>
      </c>
      <c r="N67">
        <v>19645.288583232799</v>
      </c>
      <c r="O67">
        <v>20669.207123459801</v>
      </c>
      <c r="P67">
        <v>21739.438868440695</v>
      </c>
    </row>
    <row r="68" spans="2:16">
      <c r="B68" t="s">
        <v>1271</v>
      </c>
      <c r="D68" t="s">
        <v>1136</v>
      </c>
      <c r="F68">
        <v>-2755</v>
      </c>
      <c r="G68">
        <v>-2991</v>
      </c>
      <c r="H68">
        <v>-3244</v>
      </c>
      <c r="I68">
        <v>-3593</v>
      </c>
      <c r="J68">
        <v>-4214</v>
      </c>
      <c r="K68">
        <v>-4700</v>
      </c>
      <c r="L68">
        <v>-4764</v>
      </c>
      <c r="M68">
        <v>-4697.8209779482304</v>
      </c>
      <c r="N68">
        <v>-4784.2343947736499</v>
      </c>
      <c r="O68">
        <v>-4976.5083321075199</v>
      </c>
      <c r="P68">
        <v>-5240.6172743171592</v>
      </c>
    </row>
    <row r="69" spans="2:16">
      <c r="B69" t="s">
        <v>1273</v>
      </c>
      <c r="D69" t="s">
        <v>1136</v>
      </c>
      <c r="F69">
        <v>0</v>
      </c>
      <c r="G69">
        <v>0</v>
      </c>
      <c r="H69">
        <v>0</v>
      </c>
      <c r="I69">
        <v>0</v>
      </c>
      <c r="J69">
        <v>0</v>
      </c>
      <c r="K69">
        <v>0</v>
      </c>
      <c r="L69">
        <v>0</v>
      </c>
      <c r="M69">
        <v>0</v>
      </c>
      <c r="N69">
        <v>0</v>
      </c>
      <c r="O69">
        <v>0</v>
      </c>
      <c r="P69">
        <v>0</v>
      </c>
    </row>
    <row r="70" spans="2:16">
      <c r="B70" t="s">
        <v>1275</v>
      </c>
      <c r="D70" t="s">
        <v>1136</v>
      </c>
      <c r="F70">
        <v>-4821.09</v>
      </c>
      <c r="G70">
        <v>-5185.26</v>
      </c>
      <c r="H70">
        <v>-5673.32</v>
      </c>
      <c r="I70">
        <v>-6430.81</v>
      </c>
      <c r="J70">
        <v>-6985</v>
      </c>
      <c r="K70">
        <v>-8023</v>
      </c>
      <c r="L70">
        <v>-8246</v>
      </c>
      <c r="M70">
        <v>-8159.9125518658993</v>
      </c>
      <c r="N70">
        <v>-8503.2505745450198</v>
      </c>
      <c r="O70">
        <v>-8905.1085261662283</v>
      </c>
      <c r="P70">
        <v>-9351.7987148190678</v>
      </c>
    </row>
    <row r="71" spans="2:16">
      <c r="B71" t="s">
        <v>1278</v>
      </c>
      <c r="D71" t="s">
        <v>1136</v>
      </c>
      <c r="F71">
        <v>0</v>
      </c>
      <c r="G71">
        <v>0</v>
      </c>
      <c r="H71">
        <v>0</v>
      </c>
      <c r="I71">
        <v>0</v>
      </c>
      <c r="J71">
        <v>0</v>
      </c>
      <c r="K71">
        <v>0</v>
      </c>
      <c r="L71">
        <v>0</v>
      </c>
      <c r="M71">
        <v>0</v>
      </c>
      <c r="N71">
        <v>0</v>
      </c>
      <c r="O71">
        <v>0</v>
      </c>
      <c r="P71">
        <v>0</v>
      </c>
    </row>
    <row r="72" spans="2:16">
      <c r="B72" t="s">
        <v>1280</v>
      </c>
      <c r="D72" t="s">
        <v>1136</v>
      </c>
      <c r="F72">
        <v>-114</v>
      </c>
      <c r="G72">
        <v>-122</v>
      </c>
      <c r="H72">
        <v>-121</v>
      </c>
      <c r="I72">
        <v>-160</v>
      </c>
      <c r="J72">
        <v>-207</v>
      </c>
      <c r="K72">
        <v>-249</v>
      </c>
      <c r="L72">
        <v>-320</v>
      </c>
      <c r="M72">
        <v>-383.02476660619999</v>
      </c>
      <c r="N72">
        <v>-471.63069401039098</v>
      </c>
      <c r="O72">
        <v>-497.92319790858801</v>
      </c>
      <c r="P72">
        <v>-487.47044338259502</v>
      </c>
    </row>
    <row r="73" spans="2:16">
      <c r="B73" t="s">
        <v>1282</v>
      </c>
      <c r="D73" t="s">
        <v>1136</v>
      </c>
      <c r="F73">
        <v>-1952.09</v>
      </c>
      <c r="G73">
        <v>-2072.2600000000002</v>
      </c>
      <c r="H73">
        <v>-2308.3200000000002</v>
      </c>
      <c r="I73">
        <v>-2677.81</v>
      </c>
      <c r="J73">
        <v>-2564</v>
      </c>
      <c r="K73">
        <v>-3074</v>
      </c>
      <c r="L73">
        <v>-3162</v>
      </c>
      <c r="M73">
        <v>-3079.0668073114789</v>
      </c>
      <c r="N73">
        <v>-3247.3854857609799</v>
      </c>
      <c r="O73">
        <v>-3430.67699615013</v>
      </c>
      <c r="P73">
        <v>-3623.7109971193099</v>
      </c>
    </row>
    <row r="74" spans="2:16">
      <c r="B74" t="s">
        <v>1284</v>
      </c>
      <c r="D74" t="s">
        <v>1136</v>
      </c>
      <c r="F74">
        <v>-407</v>
      </c>
      <c r="G74">
        <v>-522</v>
      </c>
      <c r="H74">
        <v>-2104</v>
      </c>
      <c r="I74">
        <v>-3087</v>
      </c>
      <c r="J74">
        <v>-1821</v>
      </c>
      <c r="K74">
        <v>-1203</v>
      </c>
      <c r="L74">
        <v>-1318</v>
      </c>
      <c r="M74">
        <v>-1297.07112676269</v>
      </c>
      <c r="N74">
        <v>-1520.4320436621599</v>
      </c>
      <c r="O74">
        <v>-1626.78924129347</v>
      </c>
      <c r="P74">
        <v>-1751.47916820418</v>
      </c>
    </row>
    <row r="75" spans="2:16">
      <c r="B75" t="s">
        <v>1286</v>
      </c>
      <c r="D75" t="s">
        <v>1136</v>
      </c>
    </row>
    <row r="76" spans="2:16">
      <c r="B76" t="s">
        <v>1288</v>
      </c>
      <c r="D76" t="s">
        <v>1136</v>
      </c>
    </row>
    <row r="77" spans="2:16">
      <c r="B77" t="s">
        <v>1290</v>
      </c>
      <c r="D77" t="s">
        <v>1136</v>
      </c>
      <c r="F77">
        <v>-407</v>
      </c>
      <c r="G77">
        <v>-522</v>
      </c>
      <c r="H77">
        <v>-2104</v>
      </c>
      <c r="I77">
        <v>-3087</v>
      </c>
      <c r="J77">
        <v>-1821</v>
      </c>
      <c r="K77">
        <v>-1203</v>
      </c>
      <c r="L77">
        <v>-1318</v>
      </c>
      <c r="M77">
        <v>-1297.07112676269</v>
      </c>
      <c r="N77">
        <v>-1520.4320436621599</v>
      </c>
      <c r="O77">
        <v>-1626.78924129347</v>
      </c>
      <c r="P77">
        <v>-1751.47916820418</v>
      </c>
    </row>
    <row r="78" spans="2:16">
      <c r="B78" t="s">
        <v>1293</v>
      </c>
      <c r="D78" t="s">
        <v>1136</v>
      </c>
      <c r="F78">
        <v>5509.48</v>
      </c>
      <c r="G78">
        <v>6102.81</v>
      </c>
      <c r="H78">
        <v>6602.1399999999994</v>
      </c>
      <c r="I78">
        <v>7861.67</v>
      </c>
      <c r="J78">
        <v>8949</v>
      </c>
      <c r="K78">
        <v>8845</v>
      </c>
      <c r="L78">
        <v>9662</v>
      </c>
      <c r="M78">
        <v>10287.624641595998</v>
      </c>
      <c r="N78">
        <v>11142.038008687799</v>
      </c>
      <c r="O78">
        <v>11764.098597293498</v>
      </c>
      <c r="P78">
        <v>12387.640153621598</v>
      </c>
    </row>
    <row r="79" spans="2:16">
      <c r="B79" t="s">
        <v>1296</v>
      </c>
      <c r="D79" t="s">
        <v>1136</v>
      </c>
      <c r="F79">
        <v>5102.4799999999996</v>
      </c>
      <c r="G79">
        <v>5580.81</v>
      </c>
      <c r="H79">
        <v>4498.1399999999994</v>
      </c>
      <c r="I79">
        <v>4774.67</v>
      </c>
      <c r="J79">
        <v>7128</v>
      </c>
      <c r="K79">
        <v>7642</v>
      </c>
      <c r="L79">
        <v>8344</v>
      </c>
      <c r="M79">
        <v>8990.5535148333493</v>
      </c>
      <c r="N79">
        <v>9621.6059650256502</v>
      </c>
      <c r="O79">
        <v>10137.309356</v>
      </c>
      <c r="P79">
        <v>10636.160985417499</v>
      </c>
    </row>
    <row r="80" spans="2:16">
      <c r="B80" t="s">
        <v>1299</v>
      </c>
      <c r="D80" t="s">
        <v>1136</v>
      </c>
      <c r="F80">
        <v>0</v>
      </c>
      <c r="G80">
        <v>0</v>
      </c>
      <c r="H80">
        <v>0</v>
      </c>
      <c r="I80">
        <v>0</v>
      </c>
      <c r="J80">
        <v>0</v>
      </c>
      <c r="K80">
        <v>0</v>
      </c>
      <c r="L80">
        <v>0</v>
      </c>
      <c r="M80">
        <v>0</v>
      </c>
      <c r="N80">
        <v>0</v>
      </c>
      <c r="O80">
        <v>0</v>
      </c>
      <c r="P80">
        <v>0</v>
      </c>
    </row>
    <row r="81" spans="2:16">
      <c r="B81" t="s">
        <v>1301</v>
      </c>
      <c r="D81" t="s">
        <v>1136</v>
      </c>
      <c r="F81">
        <v>0</v>
      </c>
      <c r="G81">
        <v>0</v>
      </c>
      <c r="H81">
        <v>0</v>
      </c>
      <c r="I81">
        <v>0</v>
      </c>
      <c r="J81">
        <v>0</v>
      </c>
      <c r="K81">
        <v>0</v>
      </c>
      <c r="L81">
        <v>0</v>
      </c>
      <c r="M81">
        <v>0</v>
      </c>
      <c r="N81">
        <v>0</v>
      </c>
      <c r="O81">
        <v>0</v>
      </c>
      <c r="P81">
        <v>0</v>
      </c>
    </row>
    <row r="82" spans="2:16">
      <c r="B82" t="s">
        <v>1302</v>
      </c>
      <c r="D82" t="s">
        <v>1136</v>
      </c>
    </row>
    <row r="83" spans="2:16">
      <c r="B83" t="s">
        <v>1304</v>
      </c>
      <c r="D83" t="s">
        <v>1136</v>
      </c>
    </row>
    <row r="84" spans="2:16">
      <c r="B84" t="s">
        <v>1306</v>
      </c>
      <c r="D84" t="s">
        <v>1136</v>
      </c>
      <c r="F84">
        <v>0</v>
      </c>
      <c r="G84">
        <v>0</v>
      </c>
      <c r="H84">
        <v>0</v>
      </c>
      <c r="I84">
        <v>0</v>
      </c>
      <c r="J84">
        <v>0</v>
      </c>
      <c r="K84">
        <v>0</v>
      </c>
      <c r="L84">
        <v>0</v>
      </c>
      <c r="M84">
        <v>0</v>
      </c>
      <c r="N84">
        <v>0</v>
      </c>
      <c r="O84">
        <v>0</v>
      </c>
      <c r="P84">
        <v>0</v>
      </c>
    </row>
    <row r="85" spans="2:16">
      <c r="B85" t="s">
        <v>1309</v>
      </c>
      <c r="D85" t="s">
        <v>1136</v>
      </c>
      <c r="F85">
        <v>5102.4799999999996</v>
      </c>
      <c r="G85">
        <v>5580.81</v>
      </c>
      <c r="H85">
        <v>4498.1399999999994</v>
      </c>
      <c r="I85">
        <v>4774.67</v>
      </c>
      <c r="J85">
        <v>7128</v>
      </c>
      <c r="K85">
        <v>7642</v>
      </c>
      <c r="L85">
        <v>8344</v>
      </c>
      <c r="M85">
        <v>8990.5535148333493</v>
      </c>
      <c r="N85">
        <v>9621.6059650256502</v>
      </c>
      <c r="O85">
        <v>10137.309356</v>
      </c>
      <c r="P85">
        <v>10636.160985417499</v>
      </c>
    </row>
    <row r="86" spans="2:16">
      <c r="B86" t="s">
        <v>1312</v>
      </c>
      <c r="D86" t="s">
        <v>1136</v>
      </c>
    </row>
    <row r="87" spans="2:16">
      <c r="B87" t="s">
        <v>1314</v>
      </c>
      <c r="D87" t="s">
        <v>1136</v>
      </c>
      <c r="F87">
        <v>5102.4799999999996</v>
      </c>
      <c r="G87">
        <v>5580.81</v>
      </c>
      <c r="H87">
        <v>4498.1399999999994</v>
      </c>
      <c r="I87">
        <v>4774.67</v>
      </c>
      <c r="J87">
        <v>7128</v>
      </c>
      <c r="K87">
        <v>7642</v>
      </c>
      <c r="L87">
        <v>8344</v>
      </c>
      <c r="M87">
        <v>8990.5535148333493</v>
      </c>
      <c r="N87">
        <v>9621.6059650256502</v>
      </c>
      <c r="O87">
        <v>10137.309356</v>
      </c>
      <c r="P87">
        <v>10636.160985417499</v>
      </c>
    </row>
    <row r="88" spans="2:16">
      <c r="B88" t="s">
        <v>1317</v>
      </c>
      <c r="D88" t="s">
        <v>1136</v>
      </c>
      <c r="F88">
        <v>-1486</v>
      </c>
      <c r="G88">
        <v>-1616</v>
      </c>
      <c r="H88">
        <v>-1171</v>
      </c>
      <c r="I88">
        <v>-1349</v>
      </c>
      <c r="J88">
        <v>-1989</v>
      </c>
      <c r="K88">
        <v>-2167</v>
      </c>
      <c r="L88">
        <v>-2288</v>
      </c>
      <c r="M88">
        <v>-2556.0387940217902</v>
      </c>
      <c r="N88">
        <v>-2735.4487203508802</v>
      </c>
      <c r="O88">
        <v>-2882.06459570987</v>
      </c>
      <c r="P88">
        <v>-3023.88946946744</v>
      </c>
    </row>
    <row r="89" spans="2:16">
      <c r="B89" t="s">
        <v>1319</v>
      </c>
      <c r="D89" t="s">
        <v>1136</v>
      </c>
      <c r="F89">
        <v>3616.48</v>
      </c>
      <c r="G89">
        <v>3964.81</v>
      </c>
      <c r="H89">
        <v>3327.14</v>
      </c>
      <c r="I89">
        <v>3425.67</v>
      </c>
      <c r="J89">
        <v>5139</v>
      </c>
      <c r="K89">
        <v>5475</v>
      </c>
      <c r="L89">
        <v>6056</v>
      </c>
      <c r="M89">
        <v>6434.5147208115604</v>
      </c>
      <c r="N89">
        <v>6886.1572446747687</v>
      </c>
      <c r="O89">
        <v>7255.2447602901802</v>
      </c>
      <c r="P89">
        <v>7612.2715159500203</v>
      </c>
    </row>
    <row r="90" spans="2:16">
      <c r="B90" t="s">
        <v>1322</v>
      </c>
      <c r="D90" t="s">
        <v>1136</v>
      </c>
      <c r="F90">
        <v>0</v>
      </c>
      <c r="G90">
        <v>0</v>
      </c>
      <c r="H90">
        <v>0</v>
      </c>
      <c r="I90">
        <v>0</v>
      </c>
      <c r="J90">
        <v>0</v>
      </c>
      <c r="K90">
        <v>0</v>
      </c>
      <c r="L90">
        <v>0</v>
      </c>
      <c r="M90">
        <v>0</v>
      </c>
      <c r="N90">
        <v>0</v>
      </c>
      <c r="O90">
        <v>0</v>
      </c>
      <c r="P90">
        <v>0</v>
      </c>
    </row>
    <row r="91" spans="2:16">
      <c r="B91" t="s">
        <v>1324</v>
      </c>
      <c r="D91" t="s">
        <v>1136</v>
      </c>
      <c r="F91">
        <v>3560</v>
      </c>
      <c r="G91">
        <v>3887</v>
      </c>
      <c r="H91">
        <v>3231</v>
      </c>
      <c r="I91">
        <v>3350</v>
      </c>
      <c r="J91">
        <v>5122</v>
      </c>
      <c r="K91">
        <v>5455</v>
      </c>
      <c r="L91">
        <v>6039</v>
      </c>
      <c r="M91">
        <v>6418.5147208115604</v>
      </c>
      <c r="N91">
        <v>6870.1572446747687</v>
      </c>
      <c r="O91">
        <v>7239.2447602901802</v>
      </c>
      <c r="P91">
        <v>7596.2715159500203</v>
      </c>
    </row>
    <row r="92" spans="2:16">
      <c r="B92" t="s">
        <v>1326</v>
      </c>
      <c r="D92" t="s">
        <v>1136</v>
      </c>
      <c r="F92">
        <v>67</v>
      </c>
      <c r="G92">
        <v>171</v>
      </c>
      <c r="H92">
        <v>-175</v>
      </c>
      <c r="I92">
        <v>-213</v>
      </c>
      <c r="J92">
        <v>-474</v>
      </c>
      <c r="K92">
        <v>54</v>
      </c>
      <c r="L92">
        <v>-213</v>
      </c>
      <c r="M92">
        <v>-34</v>
      </c>
      <c r="N92">
        <v>0</v>
      </c>
      <c r="O92">
        <v>0</v>
      </c>
      <c r="P92">
        <v>0</v>
      </c>
    </row>
    <row r="93" spans="2:16">
      <c r="B93" t="s">
        <v>1328</v>
      </c>
      <c r="D93" t="s">
        <v>1136</v>
      </c>
      <c r="F93">
        <v>34</v>
      </c>
      <c r="G93">
        <v>85</v>
      </c>
      <c r="H93">
        <v>217</v>
      </c>
      <c r="I93">
        <v>-227</v>
      </c>
      <c r="J93">
        <v>-158</v>
      </c>
      <c r="K93">
        <v>-166</v>
      </c>
      <c r="L93">
        <v>-176</v>
      </c>
      <c r="M93">
        <v>-208</v>
      </c>
      <c r="N93">
        <v>0</v>
      </c>
      <c r="O93">
        <v>0</v>
      </c>
      <c r="P93">
        <v>0</v>
      </c>
    </row>
    <row r="94" spans="2:16">
      <c r="B94" t="s">
        <v>1329</v>
      </c>
      <c r="D94" t="s">
        <v>1136</v>
      </c>
      <c r="F94">
        <v>-29.48</v>
      </c>
      <c r="G94">
        <v>-40.81</v>
      </c>
      <c r="H94">
        <v>-50.14</v>
      </c>
      <c r="I94">
        <v>-42.67</v>
      </c>
      <c r="J94">
        <v>-6</v>
      </c>
      <c r="K94">
        <v>-8</v>
      </c>
      <c r="L94">
        <v>-6</v>
      </c>
      <c r="M94">
        <v>-10</v>
      </c>
      <c r="N94">
        <v>-10</v>
      </c>
      <c r="O94">
        <v>-10</v>
      </c>
      <c r="P94">
        <v>-10</v>
      </c>
    </row>
    <row r="95" spans="2:16">
      <c r="B95" t="s">
        <v>1331</v>
      </c>
      <c r="D95" t="s">
        <v>1136</v>
      </c>
    </row>
    <row r="96" spans="2:16">
      <c r="B96" t="s">
        <v>1333</v>
      </c>
      <c r="D96" t="s">
        <v>1136</v>
      </c>
      <c r="F96">
        <v>3688</v>
      </c>
      <c r="G96">
        <v>4180</v>
      </c>
      <c r="H96">
        <v>3319</v>
      </c>
      <c r="I96">
        <v>2943</v>
      </c>
      <c r="J96">
        <v>4501</v>
      </c>
      <c r="K96">
        <v>5355</v>
      </c>
      <c r="L96">
        <v>5661</v>
      </c>
      <c r="M96">
        <v>6182.5147208115604</v>
      </c>
      <c r="N96">
        <v>6876.1572446747687</v>
      </c>
      <c r="O96">
        <v>7245.2447602901802</v>
      </c>
      <c r="P96">
        <v>7602.2715159500103</v>
      </c>
    </row>
    <row r="97" spans="2:16">
      <c r="B97" t="s">
        <v>1336</v>
      </c>
      <c r="D97" t="s">
        <v>1136</v>
      </c>
      <c r="F97">
        <v>1.9450363328419999</v>
      </c>
      <c r="G97">
        <v>2.1027860427370002</v>
      </c>
      <c r="H97">
        <v>1.681848940711</v>
      </c>
      <c r="I97">
        <v>1.5079222182209999</v>
      </c>
      <c r="J97">
        <v>2.0412067110350001</v>
      </c>
      <c r="K97">
        <v>2.1259597022490002</v>
      </c>
      <c r="L97">
        <v>2.2811059907829998</v>
      </c>
      <c r="M97">
        <v>2.365520795583</v>
      </c>
      <c r="N97">
        <v>2.5156718378759999</v>
      </c>
      <c r="O97">
        <v>2.6404210736409999</v>
      </c>
      <c r="P97">
        <v>2.7603743251839998</v>
      </c>
    </row>
    <row r="98" spans="2:16">
      <c r="B98" t="s">
        <v>1339</v>
      </c>
      <c r="D98" t="s">
        <v>1136</v>
      </c>
      <c r="F98">
        <v>1.8882923807559999</v>
      </c>
      <c r="G98">
        <v>2.051360910349</v>
      </c>
      <c r="H98">
        <v>1.6020977038649999</v>
      </c>
      <c r="I98">
        <v>1.4832332012439999</v>
      </c>
      <c r="J98">
        <v>1.971078976641</v>
      </c>
      <c r="K98">
        <v>2.0276907744870001</v>
      </c>
      <c r="L98">
        <v>2.190400332456</v>
      </c>
      <c r="M98">
        <v>2.2877187322410002</v>
      </c>
      <c r="N98">
        <v>2.4276308878849999</v>
      </c>
      <c r="O98">
        <v>2.54398335006</v>
      </c>
      <c r="P98">
        <v>2.6558687806069998</v>
      </c>
    </row>
    <row r="99" spans="2:16">
      <c r="B99" t="s">
        <v>1341</v>
      </c>
      <c r="D99" t="s">
        <v>1136</v>
      </c>
      <c r="F99">
        <v>-2291.326</v>
      </c>
      <c r="G99">
        <v>-2523.5920000000001</v>
      </c>
      <c r="H99">
        <v>-2701.386</v>
      </c>
      <c r="I99">
        <v>-2395.2460000000001</v>
      </c>
      <c r="J99">
        <v>-3211.598</v>
      </c>
      <c r="K99">
        <v>-3659.7359999999999</v>
      </c>
      <c r="L99">
        <v>-3915.2159999999999</v>
      </c>
      <c r="M99">
        <v>-4344.5778890780703</v>
      </c>
      <c r="N99">
        <v>-4637.9335607924604</v>
      </c>
      <c r="O99">
        <v>-4905.28352469937</v>
      </c>
      <c r="P99">
        <v>-5145.6835600983304</v>
      </c>
    </row>
    <row r="100" spans="2:16">
      <c r="B100" t="s">
        <v>624</v>
      </c>
      <c r="D100" t="s">
        <v>1136</v>
      </c>
      <c r="F100">
        <v>1.25</v>
      </c>
      <c r="G100">
        <v>1.36</v>
      </c>
      <c r="H100">
        <v>1.36</v>
      </c>
      <c r="I100">
        <v>1.02</v>
      </c>
      <c r="J100">
        <v>1.26</v>
      </c>
      <c r="K100">
        <v>1.4</v>
      </c>
      <c r="L100">
        <v>1.45</v>
      </c>
      <c r="M100">
        <v>1.58</v>
      </c>
      <c r="N100">
        <v>1.68</v>
      </c>
      <c r="O100">
        <v>1.77</v>
      </c>
      <c r="P100">
        <v>1.85</v>
      </c>
    </row>
    <row r="101" spans="2:16">
      <c r="B101" t="s">
        <v>1344</v>
      </c>
      <c r="D101" t="s">
        <v>1136</v>
      </c>
      <c r="F101">
        <v>1830.3</v>
      </c>
      <c r="G101">
        <v>1848.5</v>
      </c>
      <c r="H101">
        <v>1921.1</v>
      </c>
      <c r="I101">
        <v>2221.6</v>
      </c>
      <c r="J101">
        <v>2509.3000000000002</v>
      </c>
      <c r="K101">
        <v>2565.9</v>
      </c>
      <c r="L101">
        <v>2647.4</v>
      </c>
      <c r="M101">
        <v>2713.3622045501102</v>
      </c>
      <c r="N101">
        <v>2730.94333737746</v>
      </c>
      <c r="O101">
        <v>2741.7008720918602</v>
      </c>
      <c r="P101">
        <v>2751.8990618938601</v>
      </c>
    </row>
    <row r="102" spans="2:16">
      <c r="B102" t="s">
        <v>1346</v>
      </c>
      <c r="D102" t="s">
        <v>1136</v>
      </c>
      <c r="F102">
        <v>1937.2</v>
      </c>
      <c r="G102">
        <v>1950.9</v>
      </c>
      <c r="H102">
        <v>2116.6</v>
      </c>
      <c r="I102">
        <v>2346.9</v>
      </c>
      <c r="J102">
        <v>2697</v>
      </c>
      <c r="K102">
        <v>2809.6</v>
      </c>
      <c r="L102">
        <v>2887.6</v>
      </c>
      <c r="M102">
        <v>2901.80546552956</v>
      </c>
      <c r="N102">
        <v>2920.60760968969</v>
      </c>
      <c r="O102">
        <v>2932.1122562044502</v>
      </c>
      <c r="P102">
        <v>2943.0187112499002</v>
      </c>
    </row>
    <row r="103" spans="2:16">
      <c r="B103" t="s">
        <v>1348</v>
      </c>
      <c r="D103" t="s">
        <v>1136</v>
      </c>
      <c r="F103">
        <v>1836.6</v>
      </c>
      <c r="G103">
        <v>1864.7</v>
      </c>
      <c r="H103">
        <v>2040.7</v>
      </c>
      <c r="I103">
        <v>2504.5</v>
      </c>
      <c r="J103">
        <v>2559.6999999999998</v>
      </c>
      <c r="K103">
        <v>2629</v>
      </c>
      <c r="L103">
        <v>2717.4</v>
      </c>
      <c r="M103">
        <v>2754.91398715067</v>
      </c>
      <c r="N103">
        <v>2765.9117853090002</v>
      </c>
      <c r="O103">
        <v>2776.3679425942601</v>
      </c>
      <c r="P103">
        <v>2786.1625949889999</v>
      </c>
    </row>
    <row r="104" spans="2:16">
      <c r="B104" t="s">
        <v>1351</v>
      </c>
      <c r="D104" t="s">
        <v>1136</v>
      </c>
      <c r="F104">
        <v>430</v>
      </c>
      <c r="G104">
        <v>491</v>
      </c>
      <c r="H104">
        <v>595</v>
      </c>
      <c r="I104">
        <v>684</v>
      </c>
      <c r="J104">
        <v>634</v>
      </c>
      <c r="K104">
        <v>652</v>
      </c>
      <c r="L104">
        <v>697</v>
      </c>
      <c r="M104">
        <v>757.70100745072705</v>
      </c>
      <c r="N104">
        <v>822.62089030456502</v>
      </c>
      <c r="O104">
        <v>882.86256535560506</v>
      </c>
      <c r="P104">
        <v>947.80037952496798</v>
      </c>
    </row>
    <row r="105" spans="2:16">
      <c r="B105" t="s">
        <v>1353</v>
      </c>
      <c r="D105" t="s">
        <v>1136</v>
      </c>
      <c r="F105">
        <v>1715</v>
      </c>
      <c r="G105">
        <v>1889</v>
      </c>
      <c r="H105">
        <v>2061</v>
      </c>
      <c r="I105">
        <v>1713</v>
      </c>
      <c r="J105">
        <v>1690</v>
      </c>
      <c r="K105">
        <v>1739</v>
      </c>
      <c r="L105">
        <v>1715</v>
      </c>
      <c r="M105">
        <v>1770.0707456509499</v>
      </c>
      <c r="N105">
        <v>1957.9520643660701</v>
      </c>
      <c r="O105">
        <v>2102.88166152036</v>
      </c>
      <c r="P105">
        <v>2252.1470698633998</v>
      </c>
    </row>
    <row r="106" spans="2:16">
      <c r="B106" t="s">
        <v>1355</v>
      </c>
      <c r="D106" t="s">
        <v>1136</v>
      </c>
    </row>
    <row r="107" spans="2:16">
      <c r="B107" t="s">
        <v>1357</v>
      </c>
      <c r="D107" t="s">
        <v>1136</v>
      </c>
      <c r="F107">
        <v>360.64</v>
      </c>
      <c r="G107">
        <v>418.46</v>
      </c>
      <c r="H107">
        <v>395.43</v>
      </c>
      <c r="I107">
        <v>343.49</v>
      </c>
      <c r="J107">
        <v>919</v>
      </c>
      <c r="K107">
        <v>1146</v>
      </c>
      <c r="L107">
        <v>1099</v>
      </c>
      <c r="M107">
        <v>1220.64250719029</v>
      </c>
      <c r="N107">
        <v>1345.4335977109799</v>
      </c>
      <c r="O107">
        <v>1483.6046222729699</v>
      </c>
      <c r="P107">
        <v>1635.85608007009</v>
      </c>
    </row>
    <row r="108" spans="2:16">
      <c r="B108" t="s">
        <v>1359</v>
      </c>
      <c r="D108" t="s">
        <v>1136</v>
      </c>
      <c r="F108">
        <v>447</v>
      </c>
      <c r="G108">
        <v>487</v>
      </c>
      <c r="H108">
        <v>745</v>
      </c>
      <c r="I108">
        <v>932</v>
      </c>
      <c r="J108">
        <v>713</v>
      </c>
      <c r="K108">
        <v>891</v>
      </c>
      <c r="L108">
        <v>1006</v>
      </c>
      <c r="M108">
        <v>879.15617919548095</v>
      </c>
      <c r="N108">
        <v>853.37107202393997</v>
      </c>
      <c r="O108">
        <v>915.8646257675</v>
      </c>
      <c r="P108">
        <v>983.22986380817599</v>
      </c>
    </row>
    <row r="109" spans="2:16">
      <c r="B109" t="s">
        <v>1361</v>
      </c>
      <c r="D109" t="s">
        <v>1136</v>
      </c>
      <c r="F109">
        <v>209</v>
      </c>
      <c r="G109">
        <v>369</v>
      </c>
      <c r="H109">
        <v>450</v>
      </c>
      <c r="I109">
        <v>168</v>
      </c>
      <c r="J109">
        <v>357</v>
      </c>
      <c r="K109">
        <v>320</v>
      </c>
      <c r="L109">
        <v>349</v>
      </c>
      <c r="M109">
        <v>524.18307755379101</v>
      </c>
      <c r="N109">
        <v>508.80911198080099</v>
      </c>
      <c r="O109">
        <v>546.06991285300796</v>
      </c>
      <c r="P109">
        <v>586.235379048808</v>
      </c>
    </row>
    <row r="110" spans="2:16">
      <c r="B110" t="s">
        <v>1363</v>
      </c>
      <c r="D110" t="s">
        <v>1136</v>
      </c>
      <c r="F110">
        <v>0</v>
      </c>
      <c r="G110">
        <v>-45</v>
      </c>
      <c r="H110">
        <v>-531</v>
      </c>
      <c r="I110">
        <v>-53</v>
      </c>
      <c r="J110">
        <v>69</v>
      </c>
      <c r="K110">
        <v>4</v>
      </c>
      <c r="L110">
        <v>73</v>
      </c>
      <c r="M110">
        <v>96</v>
      </c>
      <c r="N110">
        <v>96</v>
      </c>
      <c r="O110">
        <v>96</v>
      </c>
      <c r="P110">
        <v>96</v>
      </c>
    </row>
    <row r="111" spans="2:16">
      <c r="B111" t="s">
        <v>1365</v>
      </c>
      <c r="D111" t="s">
        <v>1136</v>
      </c>
      <c r="F111">
        <v>0</v>
      </c>
      <c r="G111">
        <v>0</v>
      </c>
      <c r="H111">
        <v>0</v>
      </c>
      <c r="I111">
        <v>0</v>
      </c>
      <c r="J111">
        <v>0</v>
      </c>
      <c r="K111">
        <v>0</v>
      </c>
      <c r="L111">
        <v>0</v>
      </c>
      <c r="M111">
        <v>0</v>
      </c>
      <c r="N111">
        <v>0</v>
      </c>
      <c r="O111">
        <v>0</v>
      </c>
      <c r="P111">
        <v>0</v>
      </c>
    </row>
    <row r="112" spans="2:16">
      <c r="B112" t="s">
        <v>1367</v>
      </c>
      <c r="D112" t="s">
        <v>1136</v>
      </c>
    </row>
    <row r="113" spans="2:16">
      <c r="B113" t="s">
        <v>1369</v>
      </c>
      <c r="D113" t="s">
        <v>1136</v>
      </c>
      <c r="F113">
        <v>225.93</v>
      </c>
      <c r="G113">
        <v>376.61</v>
      </c>
      <c r="H113">
        <v>710.03</v>
      </c>
      <c r="I113">
        <v>614.99</v>
      </c>
      <c r="J113">
        <v>680</v>
      </c>
      <c r="K113">
        <v>616</v>
      </c>
      <c r="L113">
        <v>859</v>
      </c>
      <c r="M113">
        <v>523.90106627354203</v>
      </c>
      <c r="N113">
        <v>643.58512888766597</v>
      </c>
      <c r="O113">
        <v>693.20921320925197</v>
      </c>
      <c r="P113">
        <v>743.83166077599299</v>
      </c>
    </row>
    <row r="114" spans="2:16">
      <c r="B114" t="s">
        <v>1371</v>
      </c>
      <c r="D114" t="s">
        <v>1136</v>
      </c>
    </row>
    <row r="115" spans="2:16">
      <c r="B115" t="s">
        <v>1373</v>
      </c>
      <c r="D115" t="s">
        <v>1136</v>
      </c>
      <c r="F115">
        <v>-1746</v>
      </c>
      <c r="G115">
        <v>-1892</v>
      </c>
      <c r="H115">
        <v>-2067</v>
      </c>
      <c r="I115">
        <v>-2238</v>
      </c>
      <c r="J115">
        <v>-2624</v>
      </c>
      <c r="K115">
        <v>-2960</v>
      </c>
      <c r="L115">
        <v>-3066</v>
      </c>
      <c r="M115">
        <v>-3100.48167785235</v>
      </c>
      <c r="N115">
        <v>-3157.5130583254399</v>
      </c>
      <c r="O115">
        <v>-3284.4105758405799</v>
      </c>
      <c r="P115">
        <v>-3458.71797072041</v>
      </c>
    </row>
    <row r="116" spans="2:16">
      <c r="B116" t="s">
        <v>1375</v>
      </c>
      <c r="D116" t="s">
        <v>1136</v>
      </c>
      <c r="F116">
        <v>-933</v>
      </c>
      <c r="G116">
        <v>-1037</v>
      </c>
      <c r="H116">
        <v>-1093</v>
      </c>
      <c r="I116">
        <v>-1252</v>
      </c>
      <c r="J116">
        <v>-1450</v>
      </c>
      <c r="K116">
        <v>-1574</v>
      </c>
      <c r="L116">
        <v>-1509</v>
      </c>
      <c r="M116">
        <v>-1370.42768835111</v>
      </c>
      <c r="N116">
        <v>-1376.6027084238001</v>
      </c>
      <c r="O116">
        <v>-1416.2928747233</v>
      </c>
      <c r="P116">
        <v>-1477.85978015354</v>
      </c>
    </row>
    <row r="117" spans="2:16">
      <c r="B117" t="s">
        <v>1377</v>
      </c>
      <c r="D117" t="s">
        <v>1136</v>
      </c>
      <c r="F117">
        <v>-76</v>
      </c>
      <c r="G117">
        <v>-62</v>
      </c>
      <c r="H117">
        <v>-84</v>
      </c>
      <c r="I117">
        <v>-103</v>
      </c>
      <c r="J117">
        <v>-140</v>
      </c>
      <c r="K117">
        <v>-166</v>
      </c>
      <c r="L117">
        <v>-189</v>
      </c>
      <c r="M117">
        <v>-226.911611744764</v>
      </c>
      <c r="N117">
        <v>-250.118628024402</v>
      </c>
      <c r="O117">
        <v>-275.80488154363098</v>
      </c>
      <c r="P117">
        <v>-304.03952344321101</v>
      </c>
    </row>
    <row r="118" spans="2:16">
      <c r="B118" t="s">
        <v>1379</v>
      </c>
      <c r="D118" t="s">
        <v>1136</v>
      </c>
    </row>
    <row r="119" spans="2:16">
      <c r="B119" t="s">
        <v>1381</v>
      </c>
      <c r="D119" t="s">
        <v>1136</v>
      </c>
      <c r="F119">
        <v>-413</v>
      </c>
      <c r="G119">
        <v>-462</v>
      </c>
      <c r="H119">
        <v>-512</v>
      </c>
      <c r="I119">
        <v>-559</v>
      </c>
      <c r="J119">
        <v>-633</v>
      </c>
      <c r="K119">
        <v>-681</v>
      </c>
      <c r="L119">
        <v>-716</v>
      </c>
      <c r="M119">
        <v>-718.10474753753795</v>
      </c>
      <c r="N119">
        <v>-753.05355847180897</v>
      </c>
      <c r="O119">
        <v>-790.94586181250395</v>
      </c>
      <c r="P119">
        <v>-830.38059405503805</v>
      </c>
    </row>
    <row r="120" spans="2:16">
      <c r="B120" t="s">
        <v>1383</v>
      </c>
      <c r="D120" t="s">
        <v>1136</v>
      </c>
      <c r="F120">
        <v>-1539.09</v>
      </c>
      <c r="G120">
        <v>-1610.26</v>
      </c>
      <c r="H120">
        <v>-1796.32</v>
      </c>
      <c r="I120">
        <v>-2118.81</v>
      </c>
      <c r="J120">
        <v>-1931</v>
      </c>
      <c r="K120">
        <v>-2393</v>
      </c>
      <c r="L120">
        <v>-2446</v>
      </c>
      <c r="M120">
        <v>-2360.9620597739399</v>
      </c>
      <c r="N120">
        <v>-2494.3319272891699</v>
      </c>
      <c r="O120">
        <v>-2639.73113433762</v>
      </c>
      <c r="P120">
        <v>-2793.3304030642798</v>
      </c>
    </row>
    <row r="121" spans="2:16">
      <c r="B121" t="s">
        <v>1385</v>
      </c>
      <c r="D121" t="s">
        <v>1136</v>
      </c>
      <c r="F121">
        <v>-114</v>
      </c>
      <c r="G121">
        <v>-122</v>
      </c>
      <c r="H121">
        <v>-121</v>
      </c>
      <c r="I121">
        <v>-160</v>
      </c>
      <c r="J121">
        <v>-207</v>
      </c>
      <c r="K121">
        <v>-249</v>
      </c>
      <c r="L121">
        <v>-320</v>
      </c>
      <c r="M121">
        <v>-383.02476660619999</v>
      </c>
      <c r="N121">
        <v>-471.63069401039098</v>
      </c>
      <c r="O121">
        <v>-497.92319790858801</v>
      </c>
      <c r="P121">
        <v>-487.47044338259502</v>
      </c>
    </row>
    <row r="122" spans="2:16">
      <c r="B122" t="s">
        <v>1387</v>
      </c>
      <c r="D122" t="s">
        <v>1136</v>
      </c>
    </row>
    <row r="123" spans="2:16">
      <c r="B123" t="s">
        <v>1389</v>
      </c>
      <c r="D123" t="s">
        <v>1136</v>
      </c>
      <c r="F123">
        <v>-114</v>
      </c>
      <c r="G123">
        <v>-122</v>
      </c>
      <c r="H123">
        <v>-121</v>
      </c>
      <c r="I123">
        <v>-160</v>
      </c>
      <c r="J123">
        <v>-207</v>
      </c>
      <c r="K123">
        <v>-249</v>
      </c>
      <c r="L123">
        <v>-320</v>
      </c>
      <c r="M123">
        <v>-383.02476660619999</v>
      </c>
      <c r="N123">
        <v>-471.63069401039098</v>
      </c>
      <c r="O123">
        <v>-497.92319790858801</v>
      </c>
      <c r="P123">
        <v>-487.47044338259502</v>
      </c>
    </row>
    <row r="124" spans="2:16">
      <c r="B124" t="s">
        <v>1391</v>
      </c>
      <c r="D124" t="s">
        <v>1136</v>
      </c>
      <c r="F124">
        <v>5509.48</v>
      </c>
      <c r="G124">
        <v>6102.81</v>
      </c>
      <c r="H124">
        <v>6602.1399999999994</v>
      </c>
      <c r="I124">
        <v>7861.67</v>
      </c>
      <c r="J124">
        <v>8949</v>
      </c>
      <c r="K124">
        <v>8845</v>
      </c>
      <c r="L124">
        <v>9662</v>
      </c>
      <c r="M124">
        <v>10287.624641595998</v>
      </c>
      <c r="N124">
        <v>11142.038008687799</v>
      </c>
      <c r="O124">
        <v>11764.098597293498</v>
      </c>
      <c r="P124">
        <v>12387.640153621598</v>
      </c>
    </row>
    <row r="125" spans="2:16">
      <c r="B125" t="s">
        <v>1393</v>
      </c>
      <c r="D125" t="s">
        <v>1136</v>
      </c>
      <c r="F125">
        <v>-338</v>
      </c>
      <c r="G125">
        <v>-439</v>
      </c>
      <c r="H125">
        <v>-1286</v>
      </c>
      <c r="I125">
        <v>-2852</v>
      </c>
      <c r="J125">
        <v>-1825</v>
      </c>
      <c r="K125">
        <v>-1196</v>
      </c>
      <c r="L125">
        <v>-1697</v>
      </c>
      <c r="M125">
        <v>-1397.38679639466</v>
      </c>
      <c r="N125">
        <v>-1754.93201537798</v>
      </c>
      <c r="O125">
        <v>-1825.13922969238</v>
      </c>
      <c r="P125">
        <v>-2002.8371718650201</v>
      </c>
    </row>
    <row r="126" spans="2:16">
      <c r="B126" t="s">
        <v>1395</v>
      </c>
      <c r="D126" t="s">
        <v>1136</v>
      </c>
    </row>
    <row r="127" spans="2:16">
      <c r="B127" t="s">
        <v>1397</v>
      </c>
      <c r="D127" t="s">
        <v>1136</v>
      </c>
      <c r="F127">
        <v>-69</v>
      </c>
      <c r="G127">
        <v>-83</v>
      </c>
      <c r="H127">
        <v>-818</v>
      </c>
      <c r="I127">
        <v>-235</v>
      </c>
      <c r="J127">
        <v>4</v>
      </c>
      <c r="K127">
        <v>-7</v>
      </c>
      <c r="L127">
        <v>379</v>
      </c>
      <c r="M127">
        <v>111.315669631966</v>
      </c>
      <c r="N127">
        <v>234.499971715822</v>
      </c>
      <c r="O127">
        <v>198.34998839891099</v>
      </c>
      <c r="P127">
        <v>251.35800366084499</v>
      </c>
    </row>
    <row r="128" spans="2:16">
      <c r="B128" t="s">
        <v>1399</v>
      </c>
      <c r="D128" t="s">
        <v>1136</v>
      </c>
      <c r="F128">
        <v>95.714285714286007</v>
      </c>
      <c r="G128">
        <v>244.28571428571399</v>
      </c>
      <c r="H128">
        <v>-250</v>
      </c>
      <c r="I128">
        <v>-304.28571428571399</v>
      </c>
      <c r="J128">
        <v>-677.142857142857</v>
      </c>
      <c r="K128">
        <v>77.142857142856997</v>
      </c>
      <c r="L128">
        <v>-304.28571428571399</v>
      </c>
      <c r="M128">
        <v>-48.571428571429003</v>
      </c>
      <c r="N128">
        <v>0</v>
      </c>
      <c r="O128">
        <v>0</v>
      </c>
      <c r="P128">
        <v>0</v>
      </c>
    </row>
    <row r="129" spans="2:16">
      <c r="B129" t="s">
        <v>1401</v>
      </c>
      <c r="D129" t="s">
        <v>1136</v>
      </c>
      <c r="F129">
        <v>-28.714285714286</v>
      </c>
      <c r="G129">
        <v>-73.285714285713993</v>
      </c>
      <c r="H129">
        <v>75</v>
      </c>
      <c r="I129">
        <v>91.285714285713993</v>
      </c>
      <c r="J129">
        <v>203.142857142857</v>
      </c>
      <c r="K129">
        <v>-23.142857142857</v>
      </c>
      <c r="L129">
        <v>91.285714285713993</v>
      </c>
      <c r="M129">
        <v>14.571428571428999</v>
      </c>
      <c r="N129">
        <v>0</v>
      </c>
      <c r="O129">
        <v>0</v>
      </c>
      <c r="P129">
        <v>0</v>
      </c>
    </row>
    <row r="130" spans="2:16">
      <c r="B130" t="s">
        <v>1403</v>
      </c>
      <c r="D130" t="s">
        <v>1136</v>
      </c>
    </row>
    <row r="131" spans="2:16">
      <c r="B131" t="s">
        <v>1405</v>
      </c>
      <c r="D131" t="s">
        <v>1136</v>
      </c>
    </row>
    <row r="132" spans="2:16">
      <c r="B132" t="s">
        <v>1407</v>
      </c>
      <c r="D132" t="s">
        <v>1136</v>
      </c>
    </row>
    <row r="133" spans="2:16">
      <c r="B133" t="s">
        <v>1409</v>
      </c>
      <c r="D133" t="s">
        <v>1136</v>
      </c>
      <c r="F133">
        <v>48.571428571429003</v>
      </c>
      <c r="G133">
        <v>121.428571428571</v>
      </c>
      <c r="H133">
        <v>310</v>
      </c>
      <c r="I133">
        <v>-324.28571428571399</v>
      </c>
      <c r="J133">
        <v>-225.71428571428601</v>
      </c>
      <c r="K133">
        <v>-237.142857142857</v>
      </c>
      <c r="L133">
        <v>-251.42857142857099</v>
      </c>
      <c r="M133">
        <v>-297.142857142857</v>
      </c>
      <c r="N133">
        <v>0</v>
      </c>
      <c r="O133">
        <v>0</v>
      </c>
      <c r="P133">
        <v>0</v>
      </c>
    </row>
    <row r="134" spans="2:16">
      <c r="B134" t="s">
        <v>1411</v>
      </c>
      <c r="D134" t="s">
        <v>1136</v>
      </c>
    </row>
    <row r="135" spans="2:16">
      <c r="B135" t="s">
        <v>1413</v>
      </c>
      <c r="D135" t="s">
        <v>1136</v>
      </c>
      <c r="F135">
        <v>0</v>
      </c>
      <c r="G135">
        <v>0</v>
      </c>
      <c r="H135">
        <v>0</v>
      </c>
      <c r="I135">
        <v>0</v>
      </c>
      <c r="J135">
        <v>0</v>
      </c>
      <c r="K135">
        <v>0</v>
      </c>
      <c r="L135">
        <v>0</v>
      </c>
      <c r="M135">
        <v>0</v>
      </c>
      <c r="N135">
        <v>0</v>
      </c>
      <c r="O135">
        <v>0</v>
      </c>
      <c r="P135">
        <v>0</v>
      </c>
    </row>
    <row r="136" spans="2:16">
      <c r="B136" t="s">
        <v>1415</v>
      </c>
      <c r="D136" t="s">
        <v>1136</v>
      </c>
      <c r="F136">
        <v>48.571428571429003</v>
      </c>
      <c r="G136">
        <v>121.428571428571</v>
      </c>
      <c r="H136">
        <v>310</v>
      </c>
      <c r="I136">
        <v>-324.28571428571399</v>
      </c>
      <c r="J136">
        <v>-225.71428571428601</v>
      </c>
      <c r="K136">
        <v>-237.142857142857</v>
      </c>
      <c r="L136">
        <v>-251.42857142857099</v>
      </c>
      <c r="M136">
        <v>-297.142857142857</v>
      </c>
      <c r="N136">
        <v>0</v>
      </c>
      <c r="O136">
        <v>0</v>
      </c>
      <c r="P136">
        <v>0</v>
      </c>
    </row>
    <row r="137" spans="2:16">
      <c r="B137" t="s">
        <v>1417</v>
      </c>
      <c r="D137" t="s">
        <v>1136</v>
      </c>
    </row>
    <row r="138" spans="2:16">
      <c r="B138" t="s">
        <v>1419</v>
      </c>
      <c r="D138" t="s">
        <v>1136</v>
      </c>
    </row>
    <row r="139" spans="2:16">
      <c r="B139" t="s">
        <v>1421</v>
      </c>
      <c r="D139" t="s">
        <v>1136</v>
      </c>
    </row>
    <row r="140" spans="2:16">
      <c r="B140" t="s">
        <v>1423</v>
      </c>
      <c r="D140" t="s">
        <v>1136</v>
      </c>
      <c r="F140">
        <v>34</v>
      </c>
      <c r="G140">
        <v>85</v>
      </c>
      <c r="H140">
        <v>217</v>
      </c>
      <c r="I140">
        <v>-227</v>
      </c>
      <c r="J140">
        <v>-158</v>
      </c>
      <c r="K140">
        <v>-166</v>
      </c>
      <c r="L140">
        <v>-176</v>
      </c>
      <c r="M140">
        <v>-208</v>
      </c>
      <c r="N140">
        <v>0</v>
      </c>
      <c r="O140">
        <v>0</v>
      </c>
      <c r="P140">
        <v>0</v>
      </c>
    </row>
    <row r="141" spans="2:16">
      <c r="B141" t="s">
        <v>1425</v>
      </c>
      <c r="D141" t="s">
        <v>1136</v>
      </c>
    </row>
    <row r="142" spans="2:16">
      <c r="B142" t="s">
        <v>1427</v>
      </c>
      <c r="D142" t="s">
        <v>1136</v>
      </c>
      <c r="F142">
        <v>0</v>
      </c>
      <c r="G142">
        <v>0</v>
      </c>
      <c r="H142">
        <v>0</v>
      </c>
      <c r="I142">
        <v>0</v>
      </c>
      <c r="J142">
        <v>0</v>
      </c>
      <c r="K142">
        <v>0</v>
      </c>
      <c r="L142">
        <v>0</v>
      </c>
      <c r="M142">
        <v>0</v>
      </c>
      <c r="N142">
        <v>0</v>
      </c>
      <c r="O142">
        <v>0</v>
      </c>
      <c r="P142">
        <v>0</v>
      </c>
    </row>
    <row r="143" spans="2:16">
      <c r="B143" t="s">
        <v>1429</v>
      </c>
      <c r="D143" t="s">
        <v>1136</v>
      </c>
      <c r="F143">
        <v>34</v>
      </c>
      <c r="G143">
        <v>85</v>
      </c>
      <c r="H143">
        <v>217</v>
      </c>
      <c r="I143">
        <v>-227</v>
      </c>
      <c r="J143">
        <v>-158</v>
      </c>
      <c r="K143">
        <v>-166</v>
      </c>
      <c r="L143">
        <v>-176</v>
      </c>
      <c r="M143">
        <v>-208</v>
      </c>
      <c r="N143">
        <v>0</v>
      </c>
      <c r="O143">
        <v>0</v>
      </c>
      <c r="P143">
        <v>0</v>
      </c>
    </row>
    <row r="144" spans="2:16">
      <c r="B144" t="s">
        <v>1431</v>
      </c>
      <c r="D144" t="s">
        <v>1136</v>
      </c>
      <c r="F144">
        <v>5246.7657142857088</v>
      </c>
      <c r="G144">
        <v>5946.5242857142803</v>
      </c>
      <c r="H144">
        <v>4558.1399999999994</v>
      </c>
      <c r="I144">
        <v>4146.0985714285698</v>
      </c>
      <c r="J144">
        <v>6225.1428571428596</v>
      </c>
      <c r="K144">
        <v>7482</v>
      </c>
      <c r="L144">
        <v>7788.2857142857101</v>
      </c>
      <c r="M144">
        <v>8644.8392291190576</v>
      </c>
      <c r="N144">
        <v>9621.6059650256502</v>
      </c>
      <c r="O144">
        <v>10137.309356</v>
      </c>
      <c r="P144">
        <v>10636.160985417499</v>
      </c>
    </row>
    <row r="145" spans="2:16">
      <c r="B145" t="s">
        <v>1433</v>
      </c>
      <c r="D145" t="s">
        <v>1136</v>
      </c>
      <c r="F145">
        <v>-1529.2857142857099</v>
      </c>
      <c r="G145">
        <v>-1725.7142857142901</v>
      </c>
      <c r="H145">
        <v>-1189</v>
      </c>
      <c r="I145">
        <v>-1160.42857142857</v>
      </c>
      <c r="J145">
        <v>-1718.1428571428601</v>
      </c>
      <c r="K145">
        <v>-2119</v>
      </c>
      <c r="L145">
        <v>-2121.2857142857101</v>
      </c>
      <c r="M145">
        <v>-2452.3245083074999</v>
      </c>
      <c r="N145">
        <v>-2735.4487203508802</v>
      </c>
      <c r="O145">
        <v>-2882.06459570987</v>
      </c>
      <c r="P145">
        <v>-3023.88946946744</v>
      </c>
    </row>
    <row r="146" spans="2:16">
      <c r="B146" t="s">
        <v>1435</v>
      </c>
      <c r="D146" t="s">
        <v>1136</v>
      </c>
      <c r="F146">
        <v>3717.48</v>
      </c>
      <c r="G146">
        <v>4220.8100000000004</v>
      </c>
      <c r="H146">
        <v>3369.14</v>
      </c>
      <c r="I146">
        <v>2985.67</v>
      </c>
      <c r="J146">
        <v>4507</v>
      </c>
      <c r="K146">
        <v>5363</v>
      </c>
      <c r="L146">
        <v>5667</v>
      </c>
      <c r="M146">
        <v>6192.5147208115604</v>
      </c>
      <c r="N146">
        <v>6886.1572446747687</v>
      </c>
      <c r="O146">
        <v>7255.2447602901802</v>
      </c>
      <c r="P146">
        <v>7612.2715159500103</v>
      </c>
    </row>
    <row r="147" spans="2:16">
      <c r="B147" t="s">
        <v>1437</v>
      </c>
      <c r="D147" t="s">
        <v>1136</v>
      </c>
      <c r="F147">
        <v>3560</v>
      </c>
      <c r="G147">
        <v>3887</v>
      </c>
      <c r="H147">
        <v>3231</v>
      </c>
      <c r="I147">
        <v>3350</v>
      </c>
      <c r="J147">
        <v>5122</v>
      </c>
      <c r="K147">
        <v>5455</v>
      </c>
      <c r="L147">
        <v>6039</v>
      </c>
      <c r="M147">
        <v>6418.5147208115604</v>
      </c>
      <c r="N147">
        <v>6870.1572446747687</v>
      </c>
      <c r="O147">
        <v>7239.2447602901802</v>
      </c>
      <c r="P147">
        <v>7596.2715159500203</v>
      </c>
    </row>
    <row r="148" spans="2:16">
      <c r="B148" t="s">
        <v>1439</v>
      </c>
      <c r="D148" t="s">
        <v>1136</v>
      </c>
    </row>
    <row r="149" spans="2:16">
      <c r="B149" t="s">
        <v>1441</v>
      </c>
      <c r="D149" t="s">
        <v>1136</v>
      </c>
    </row>
    <row r="150" spans="2:16">
      <c r="B150" t="s">
        <v>1443</v>
      </c>
      <c r="D150" t="s">
        <v>1136</v>
      </c>
    </row>
    <row r="151" spans="2:16">
      <c r="B151" t="s">
        <v>1445</v>
      </c>
      <c r="D151" t="s">
        <v>1136</v>
      </c>
    </row>
    <row r="152" spans="2:16">
      <c r="B152" t="s">
        <v>1447</v>
      </c>
      <c r="D152" t="s">
        <v>1136</v>
      </c>
      <c r="F152">
        <v>98</v>
      </c>
      <c r="G152">
        <v>115</v>
      </c>
      <c r="H152">
        <v>160</v>
      </c>
      <c r="I152">
        <v>131</v>
      </c>
      <c r="J152">
        <v>194</v>
      </c>
      <c r="K152">
        <v>242</v>
      </c>
      <c r="L152">
        <v>286</v>
      </c>
      <c r="M152">
        <v>220</v>
      </c>
      <c r="N152">
        <v>220</v>
      </c>
      <c r="O152">
        <v>220</v>
      </c>
      <c r="P152">
        <v>220</v>
      </c>
    </row>
    <row r="153" spans="2:16">
      <c r="B153" t="s">
        <v>1449</v>
      </c>
      <c r="D153" t="s">
        <v>1136</v>
      </c>
      <c r="F153">
        <v>1.8882923807559999</v>
      </c>
      <c r="G153">
        <v>2.051360910349</v>
      </c>
      <c r="H153">
        <v>1.6020977038649999</v>
      </c>
      <c r="I153">
        <v>1.4832332012439999</v>
      </c>
      <c r="J153">
        <v>1.971078976641</v>
      </c>
      <c r="K153">
        <v>2.0276907744870001</v>
      </c>
      <c r="L153">
        <v>2.190400332456</v>
      </c>
      <c r="M153">
        <v>2.2877187322410002</v>
      </c>
      <c r="N153">
        <v>2.4276308878849999</v>
      </c>
      <c r="O153">
        <v>2.54398335006</v>
      </c>
      <c r="P153">
        <v>2.6558687806069998</v>
      </c>
    </row>
    <row r="154" spans="2:16">
      <c r="B154" t="s">
        <v>1451</v>
      </c>
      <c r="D154" t="s">
        <v>1136</v>
      </c>
      <c r="F154">
        <v>1.9404294858560001</v>
      </c>
      <c r="G154">
        <v>2.1825823978679999</v>
      </c>
      <c r="H154">
        <v>1.6219408485310001</v>
      </c>
      <c r="I154">
        <v>1.2957518428570001</v>
      </c>
      <c r="J154">
        <v>1.73674453096</v>
      </c>
      <c r="K154">
        <v>1.987827448747</v>
      </c>
      <c r="L154">
        <v>2.0556863831559999</v>
      </c>
      <c r="M154">
        <v>2.2043223768079998</v>
      </c>
      <c r="N154">
        <v>2.4276308878849999</v>
      </c>
      <c r="O154">
        <v>2.54398335006</v>
      </c>
      <c r="P154">
        <v>2.6558687806069998</v>
      </c>
    </row>
    <row r="155" spans="2:16">
      <c r="B155" t="s">
        <v>1453</v>
      </c>
      <c r="D155" t="s">
        <v>1136</v>
      </c>
      <c r="F155">
        <v>1</v>
      </c>
      <c r="G155">
        <v>1</v>
      </c>
      <c r="H155">
        <v>1</v>
      </c>
      <c r="I155">
        <v>1</v>
      </c>
      <c r="J155">
        <v>1</v>
      </c>
      <c r="K155">
        <v>1</v>
      </c>
      <c r="L155">
        <v>1</v>
      </c>
      <c r="M155">
        <v>1</v>
      </c>
      <c r="N155">
        <v>1</v>
      </c>
      <c r="O155">
        <v>1</v>
      </c>
      <c r="P155">
        <v>1</v>
      </c>
    </row>
    <row r="156" spans="2:16">
      <c r="B156" t="s">
        <v>1455</v>
      </c>
      <c r="D156" t="s">
        <v>1136</v>
      </c>
      <c r="F156">
        <v>0.3</v>
      </c>
      <c r="G156">
        <v>0.3</v>
      </c>
      <c r="H156">
        <v>0.3</v>
      </c>
      <c r="I156">
        <v>0.3</v>
      </c>
      <c r="J156">
        <v>0.3</v>
      </c>
      <c r="K156">
        <v>0.3</v>
      </c>
      <c r="L156">
        <v>0.3</v>
      </c>
      <c r="M156">
        <v>0.3</v>
      </c>
      <c r="N156">
        <v>0.3</v>
      </c>
      <c r="O156">
        <v>0.3</v>
      </c>
      <c r="P156">
        <v>0.3</v>
      </c>
    </row>
    <row r="157" spans="2:16">
      <c r="B157" t="s">
        <v>1457</v>
      </c>
      <c r="D157" t="s">
        <v>1136</v>
      </c>
      <c r="E157">
        <v>0.8</v>
      </c>
    </row>
    <row r="158" spans="2:16">
      <c r="B158" t="s">
        <v>1459</v>
      </c>
      <c r="D158" t="s">
        <v>1136</v>
      </c>
      <c r="E158" s="176">
        <v>41772</v>
      </c>
    </row>
    <row r="159" spans="2:16">
      <c r="B159" t="s">
        <v>1461</v>
      </c>
      <c r="D159" t="s">
        <v>1136</v>
      </c>
      <c r="E159">
        <v>1</v>
      </c>
    </row>
    <row r="160" spans="2:16">
      <c r="B160" t="s">
        <v>1463</v>
      </c>
      <c r="D160" t="s">
        <v>1136</v>
      </c>
      <c r="E160">
        <v>0.3</v>
      </c>
    </row>
    <row r="161" spans="2:16">
      <c r="B161" t="s">
        <v>1465</v>
      </c>
      <c r="D161" t="s">
        <v>1136</v>
      </c>
      <c r="E161" s="176">
        <v>0.85</v>
      </c>
    </row>
    <row r="162" spans="2:16">
      <c r="B162" t="s">
        <v>1467</v>
      </c>
      <c r="D162" t="s">
        <v>1136</v>
      </c>
      <c r="E162" s="176">
        <v>41585</v>
      </c>
    </row>
    <row r="163" spans="2:16">
      <c r="B163" t="s">
        <v>1469</v>
      </c>
      <c r="D163" t="s">
        <v>1136</v>
      </c>
      <c r="E163">
        <v>1</v>
      </c>
    </row>
    <row r="164" spans="2:16">
      <c r="B164" t="s">
        <v>1471</v>
      </c>
      <c r="D164" t="s">
        <v>1136</v>
      </c>
      <c r="E164">
        <v>0.3</v>
      </c>
    </row>
    <row r="165" spans="2:16">
      <c r="B165" t="s">
        <v>1473</v>
      </c>
      <c r="D165" t="s">
        <v>1136</v>
      </c>
      <c r="E165" s="176"/>
      <c r="F165">
        <v>1.25</v>
      </c>
      <c r="G165">
        <v>1.36</v>
      </c>
      <c r="H165">
        <v>1.36</v>
      </c>
      <c r="I165">
        <v>1.02</v>
      </c>
      <c r="J165">
        <v>1.26</v>
      </c>
      <c r="K165">
        <v>1.4</v>
      </c>
      <c r="L165">
        <v>1.45</v>
      </c>
      <c r="M165">
        <v>1.58</v>
      </c>
      <c r="N165">
        <v>1.68</v>
      </c>
      <c r="O165">
        <v>1.77</v>
      </c>
      <c r="P165">
        <v>1.85</v>
      </c>
    </row>
    <row r="166" spans="2:16">
      <c r="B166" t="s">
        <v>1475</v>
      </c>
      <c r="D166" t="s">
        <v>1136</v>
      </c>
      <c r="F166">
        <v>0</v>
      </c>
      <c r="G166">
        <v>0.19985517740799999</v>
      </c>
      <c r="H166">
        <v>0.29980145598899999</v>
      </c>
      <c r="I166">
        <v>0.300071275837</v>
      </c>
      <c r="J166">
        <v>0.30026385224300001</v>
      </c>
      <c r="K166">
        <v>0.30015007503800001</v>
      </c>
      <c r="L166">
        <v>0.20009306654299999</v>
      </c>
      <c r="M166">
        <v>0.102722236402</v>
      </c>
      <c r="N166">
        <v>0.107797670976</v>
      </c>
      <c r="O166">
        <v>0.10303030303000001</v>
      </c>
      <c r="P166">
        <v>0.10496063987</v>
      </c>
    </row>
    <row r="167" spans="2:16">
      <c r="B167" t="s">
        <v>1477</v>
      </c>
      <c r="D167" t="s">
        <v>1136</v>
      </c>
    </row>
    <row r="168" spans="2:16">
      <c r="B168" t="s">
        <v>1479</v>
      </c>
      <c r="D168" t="s">
        <v>1136</v>
      </c>
      <c r="F168">
        <v>93</v>
      </c>
      <c r="G168">
        <v>98</v>
      </c>
      <c r="H168">
        <v>185.8</v>
      </c>
      <c r="I168">
        <v>121.4</v>
      </c>
      <c r="J168">
        <v>196.4</v>
      </c>
      <c r="K168">
        <v>239.2</v>
      </c>
      <c r="L168">
        <v>224.3</v>
      </c>
      <c r="M168">
        <v>182.5</v>
      </c>
      <c r="N168">
        <v>182.5</v>
      </c>
      <c r="O168">
        <v>182.5</v>
      </c>
      <c r="P168">
        <v>182.5</v>
      </c>
    </row>
    <row r="169" spans="2:16">
      <c r="B169" t="s">
        <v>1481</v>
      </c>
      <c r="D169" t="s">
        <v>1136</v>
      </c>
    </row>
    <row r="170" spans="2:16">
      <c r="B170" t="s">
        <v>1483</v>
      </c>
      <c r="D170" t="s">
        <v>1136</v>
      </c>
    </row>
    <row r="171" spans="2:16">
      <c r="B171" t="s">
        <v>1485</v>
      </c>
      <c r="D171" t="s">
        <v>1136</v>
      </c>
      <c r="F171">
        <v>13</v>
      </c>
      <c r="G171">
        <v>11.5</v>
      </c>
      <c r="H171">
        <v>5.2</v>
      </c>
      <c r="I171">
        <v>4</v>
      </c>
      <c r="J171">
        <v>4.8</v>
      </c>
      <c r="K171">
        <v>4.0999999999999996</v>
      </c>
      <c r="L171">
        <v>4.4000000000000004</v>
      </c>
      <c r="M171">
        <v>5.3</v>
      </c>
      <c r="N171">
        <v>5.3</v>
      </c>
      <c r="O171">
        <v>5.3</v>
      </c>
      <c r="P171">
        <v>5.3</v>
      </c>
    </row>
    <row r="172" spans="2:16">
      <c r="B172" t="s">
        <v>1487</v>
      </c>
      <c r="D172" t="s">
        <v>1136</v>
      </c>
    </row>
    <row r="173" spans="2:16">
      <c r="B173" t="s">
        <v>1489</v>
      </c>
      <c r="D173" t="s">
        <v>1136</v>
      </c>
      <c r="F173">
        <v>1836.6</v>
      </c>
      <c r="G173">
        <v>1864.7</v>
      </c>
      <c r="H173">
        <v>2040.7</v>
      </c>
      <c r="I173">
        <v>2504.5</v>
      </c>
      <c r="J173">
        <v>2559.6999999999998</v>
      </c>
      <c r="K173">
        <v>2629</v>
      </c>
      <c r="L173">
        <v>2717.4</v>
      </c>
      <c r="M173">
        <v>2754.91398715067</v>
      </c>
      <c r="N173">
        <v>2765.9117853090002</v>
      </c>
      <c r="O173">
        <v>2776.3679425942601</v>
      </c>
      <c r="P173">
        <v>2786.1625949889999</v>
      </c>
    </row>
    <row r="174" spans="2:16">
      <c r="B174" t="s">
        <v>1491</v>
      </c>
      <c r="D174" t="s">
        <v>1136</v>
      </c>
      <c r="F174">
        <v>1937.2</v>
      </c>
      <c r="G174">
        <v>1950.9</v>
      </c>
      <c r="H174">
        <v>2116.6</v>
      </c>
      <c r="I174">
        <v>2346.9</v>
      </c>
      <c r="J174">
        <v>2697</v>
      </c>
      <c r="K174">
        <v>2809.6</v>
      </c>
      <c r="L174">
        <v>2887.6</v>
      </c>
      <c r="M174">
        <v>2901.80546552956</v>
      </c>
      <c r="N174">
        <v>2920.60760968969</v>
      </c>
      <c r="O174">
        <v>2932.1122562044502</v>
      </c>
      <c r="P174">
        <v>2943.0187112499002</v>
      </c>
    </row>
    <row r="175" spans="2:16">
      <c r="B175" t="s">
        <v>1493</v>
      </c>
      <c r="D175" t="s">
        <v>1136</v>
      </c>
      <c r="F175">
        <v>1855.2360063202</v>
      </c>
      <c r="G175">
        <v>1883.3638913202001</v>
      </c>
      <c r="H175">
        <v>2059.6415553202</v>
      </c>
      <c r="I175">
        <v>2523.1638913202</v>
      </c>
      <c r="J175">
        <v>2578.3263163202</v>
      </c>
      <c r="K175">
        <v>2647.6979283201999</v>
      </c>
      <c r="L175">
        <v>2736.0208523202</v>
      </c>
      <c r="M175">
        <v>2760.2139871506702</v>
      </c>
      <c r="N175">
        <v>2771.2117853089999</v>
      </c>
      <c r="O175">
        <v>2781.6679425942598</v>
      </c>
      <c r="P175">
        <v>2791.4625949890001</v>
      </c>
    </row>
    <row r="176" spans="2:16">
      <c r="B176" t="s">
        <v>1495</v>
      </c>
      <c r="D176" t="s">
        <v>1136</v>
      </c>
      <c r="F176">
        <v>1937.2</v>
      </c>
      <c r="G176">
        <v>1950.9</v>
      </c>
      <c r="H176">
        <v>2116.6</v>
      </c>
      <c r="I176">
        <v>2346.9</v>
      </c>
      <c r="J176">
        <v>2697</v>
      </c>
      <c r="K176">
        <v>2809.6</v>
      </c>
      <c r="L176">
        <v>2887.6</v>
      </c>
      <c r="M176">
        <v>2901.80546552956</v>
      </c>
      <c r="N176">
        <v>2920.60760968969</v>
      </c>
      <c r="O176">
        <v>2932.1122562044502</v>
      </c>
      <c r="P176">
        <v>2943.0187112499002</v>
      </c>
    </row>
    <row r="177" spans="2:16">
      <c r="B177" t="s">
        <v>1497</v>
      </c>
      <c r="D177" t="s">
        <v>1136</v>
      </c>
      <c r="F177">
        <v>308821</v>
      </c>
      <c r="G177">
        <v>351763</v>
      </c>
      <c r="H177">
        <v>275434</v>
      </c>
      <c r="I177">
        <v>252069</v>
      </c>
      <c r="J177">
        <v>264242</v>
      </c>
      <c r="K177">
        <v>279964</v>
      </c>
      <c r="L177">
        <v>300119</v>
      </c>
      <c r="M177">
        <v>335906.66768251301</v>
      </c>
      <c r="N177">
        <v>362875.73058583197</v>
      </c>
      <c r="O177">
        <v>385423.86774673196</v>
      </c>
      <c r="P177">
        <v>413957.32831428398</v>
      </c>
    </row>
    <row r="178" spans="2:16">
      <c r="B178" t="s">
        <v>1500</v>
      </c>
      <c r="D178" t="s">
        <v>1136</v>
      </c>
      <c r="F178">
        <v>98</v>
      </c>
      <c r="G178">
        <v>115</v>
      </c>
      <c r="H178">
        <v>160</v>
      </c>
      <c r="I178">
        <v>131</v>
      </c>
      <c r="J178">
        <v>194</v>
      </c>
      <c r="K178">
        <v>242</v>
      </c>
      <c r="L178">
        <v>286</v>
      </c>
      <c r="M178">
        <v>220</v>
      </c>
      <c r="N178">
        <v>220</v>
      </c>
      <c r="O178">
        <v>220</v>
      </c>
      <c r="P178">
        <v>220</v>
      </c>
    </row>
    <row r="179" spans="2:16">
      <c r="B179" t="s">
        <v>1502</v>
      </c>
      <c r="D179" t="s">
        <v>1136</v>
      </c>
      <c r="F179">
        <v>1.8882923807559999</v>
      </c>
      <c r="G179">
        <v>2.051360910349</v>
      </c>
      <c r="H179">
        <v>1.6020977038649999</v>
      </c>
      <c r="I179">
        <v>1.4832332012439999</v>
      </c>
      <c r="J179">
        <v>1.971078976641</v>
      </c>
      <c r="K179">
        <v>2.0276907744870001</v>
      </c>
      <c r="L179">
        <v>2.190400332456</v>
      </c>
      <c r="M179">
        <v>2.2877187322410002</v>
      </c>
      <c r="N179">
        <v>2.4276308878849999</v>
      </c>
      <c r="O179">
        <v>2.54398335006</v>
      </c>
      <c r="P179">
        <v>2.6558687806069998</v>
      </c>
    </row>
    <row r="180" spans="2:16">
      <c r="B180" t="s">
        <v>1504</v>
      </c>
      <c r="D180" t="s">
        <v>1136</v>
      </c>
      <c r="F180">
        <v>3560</v>
      </c>
      <c r="G180">
        <v>3887</v>
      </c>
      <c r="H180">
        <v>3231</v>
      </c>
      <c r="I180">
        <v>3350</v>
      </c>
      <c r="J180">
        <v>5122</v>
      </c>
      <c r="K180">
        <v>5455</v>
      </c>
      <c r="L180">
        <v>6039</v>
      </c>
      <c r="M180">
        <v>6418.5147208115604</v>
      </c>
      <c r="N180">
        <v>6870.1572446747687</v>
      </c>
      <c r="O180">
        <v>7239.2447602901802</v>
      </c>
      <c r="P180">
        <v>7596.2715159500203</v>
      </c>
    </row>
    <row r="181" spans="2:16">
      <c r="B181" t="s">
        <v>1506</v>
      </c>
      <c r="D181" t="s">
        <v>1136</v>
      </c>
      <c r="F181">
        <v>0</v>
      </c>
      <c r="G181">
        <v>0</v>
      </c>
      <c r="H181">
        <v>0</v>
      </c>
      <c r="I181">
        <v>0</v>
      </c>
      <c r="J181">
        <v>0</v>
      </c>
      <c r="K181">
        <v>0</v>
      </c>
      <c r="L181">
        <v>0</v>
      </c>
      <c r="M181">
        <v>0</v>
      </c>
      <c r="N181">
        <v>0</v>
      </c>
      <c r="O181">
        <v>0</v>
      </c>
      <c r="P181">
        <v>0</v>
      </c>
    </row>
    <row r="182" spans="2:16">
      <c r="B182" t="s">
        <v>1508</v>
      </c>
      <c r="D182" t="s">
        <v>1136</v>
      </c>
      <c r="F182">
        <v>0.29123093084099999</v>
      </c>
      <c r="G182">
        <v>0.28956370132699999</v>
      </c>
      <c r="H182">
        <v>0.26032982521699999</v>
      </c>
      <c r="I182">
        <v>0.28253261481899999</v>
      </c>
      <c r="J182">
        <v>0.27904040404000002</v>
      </c>
      <c r="K182">
        <v>0.28356451190800003</v>
      </c>
      <c r="L182">
        <v>0.27420901246399998</v>
      </c>
      <c r="M182">
        <v>0.28430271726900003</v>
      </c>
      <c r="N182">
        <v>0.28430271726900003</v>
      </c>
      <c r="O182">
        <v>0.28430271726900003</v>
      </c>
      <c r="P182">
        <v>0.28430271726900003</v>
      </c>
    </row>
    <row r="183" spans="2:16">
      <c r="B183" t="s">
        <v>1510</v>
      </c>
      <c r="D183" t="s">
        <v>1136</v>
      </c>
    </row>
    <row r="184" spans="2:16">
      <c r="B184" t="s">
        <v>1513</v>
      </c>
      <c r="D184" t="s">
        <v>1136</v>
      </c>
      <c r="F184">
        <v>15019</v>
      </c>
      <c r="G184">
        <v>16987</v>
      </c>
      <c r="H184">
        <v>25030</v>
      </c>
      <c r="I184">
        <v>25317</v>
      </c>
      <c r="J184">
        <v>18945</v>
      </c>
      <c r="K184">
        <v>24899</v>
      </c>
      <c r="L184">
        <v>36578</v>
      </c>
      <c r="M184">
        <v>55165.496852056094</v>
      </c>
      <c r="N184">
        <v>59270.6302952798</v>
      </c>
      <c r="O184">
        <v>62449.202373292297</v>
      </c>
      <c r="P184">
        <v>66432.019060072605</v>
      </c>
    </row>
    <row r="185" spans="2:16">
      <c r="B185" t="s">
        <v>1515</v>
      </c>
      <c r="D185" t="s">
        <v>1136</v>
      </c>
      <c r="F185">
        <v>9665</v>
      </c>
      <c r="G185">
        <v>8040</v>
      </c>
      <c r="H185">
        <v>9862</v>
      </c>
      <c r="I185">
        <v>4985</v>
      </c>
      <c r="J185">
        <v>5481</v>
      </c>
      <c r="K185">
        <v>13298</v>
      </c>
      <c r="L185">
        <v>17103</v>
      </c>
      <c r="M185">
        <v>21598.699815034295</v>
      </c>
      <c r="N185">
        <v>23205.964319125196</v>
      </c>
      <c r="O185">
        <v>24450.456403327</v>
      </c>
      <c r="P185">
        <v>26009.830775804396</v>
      </c>
    </row>
    <row r="186" spans="2:16">
      <c r="B186" t="s">
        <v>1517</v>
      </c>
      <c r="D186" t="s">
        <v>1136</v>
      </c>
      <c r="F186">
        <v>268938</v>
      </c>
      <c r="G186">
        <v>303415</v>
      </c>
      <c r="H186">
        <v>349851</v>
      </c>
      <c r="I186">
        <v>345769</v>
      </c>
      <c r="J186">
        <v>363392</v>
      </c>
      <c r="K186">
        <v>397307</v>
      </c>
      <c r="L186">
        <v>427823</v>
      </c>
      <c r="M186">
        <v>459496.42255719902</v>
      </c>
      <c r="N186">
        <v>493783.84210858395</v>
      </c>
      <c r="O186">
        <v>520182.04785588401</v>
      </c>
      <c r="P186">
        <v>553331.63300207595</v>
      </c>
    </row>
    <row r="187" spans="2:16">
      <c r="B187" t="s">
        <v>1519</v>
      </c>
      <c r="D187" t="s">
        <v>1136</v>
      </c>
      <c r="F187">
        <v>0</v>
      </c>
      <c r="G187">
        <v>0</v>
      </c>
      <c r="H187">
        <v>0</v>
      </c>
      <c r="I187">
        <v>0</v>
      </c>
      <c r="J187">
        <v>0</v>
      </c>
      <c r="K187">
        <v>0</v>
      </c>
      <c r="L187">
        <v>0</v>
      </c>
      <c r="M187">
        <v>0</v>
      </c>
      <c r="N187">
        <v>0</v>
      </c>
      <c r="O187">
        <v>0</v>
      </c>
      <c r="P187">
        <v>0</v>
      </c>
    </row>
    <row r="188" spans="2:16">
      <c r="B188" t="s">
        <v>1521</v>
      </c>
      <c r="D188" t="s">
        <v>1136</v>
      </c>
      <c r="F188">
        <v>18249</v>
      </c>
      <c r="G188">
        <v>27466</v>
      </c>
      <c r="H188">
        <v>30657</v>
      </c>
      <c r="I188">
        <v>45754</v>
      </c>
      <c r="J188">
        <v>52595</v>
      </c>
      <c r="K188">
        <v>56751</v>
      </c>
      <c r="L188">
        <v>59726</v>
      </c>
      <c r="M188">
        <v>64070.634237899598</v>
      </c>
      <c r="N188">
        <v>68838.442348899203</v>
      </c>
      <c r="O188">
        <v>72530.118135946002</v>
      </c>
      <c r="P188">
        <v>77155.864403756394</v>
      </c>
    </row>
    <row r="189" spans="2:16">
      <c r="B189" t="s">
        <v>1522</v>
      </c>
      <c r="D189" t="s">
        <v>1136</v>
      </c>
      <c r="F189">
        <v>283417</v>
      </c>
      <c r="G189">
        <v>324385</v>
      </c>
      <c r="H189">
        <v>375073</v>
      </c>
      <c r="I189">
        <v>382746</v>
      </c>
      <c r="J189">
        <v>409973</v>
      </c>
      <c r="K189">
        <v>466386</v>
      </c>
      <c r="L189">
        <v>503413</v>
      </c>
      <c r="M189">
        <v>543896.75661013299</v>
      </c>
      <c r="N189">
        <v>584559.24877660896</v>
      </c>
      <c r="O189">
        <v>615893.622395157</v>
      </c>
      <c r="P189">
        <v>655228.32818163699</v>
      </c>
    </row>
    <row r="190" spans="2:16">
      <c r="B190" t="s">
        <v>1525</v>
      </c>
      <c r="D190" t="s">
        <v>1136</v>
      </c>
      <c r="F190">
        <v>1109</v>
      </c>
      <c r="G190">
        <v>1493</v>
      </c>
      <c r="H190">
        <v>1592</v>
      </c>
      <c r="I190">
        <v>2062</v>
      </c>
      <c r="J190">
        <v>2158</v>
      </c>
      <c r="K190">
        <v>2125</v>
      </c>
      <c r="L190">
        <v>2114</v>
      </c>
      <c r="M190">
        <v>2160.8053950943799</v>
      </c>
      <c r="N190">
        <v>2321.60145418706</v>
      </c>
      <c r="O190">
        <v>2446.1045600556699</v>
      </c>
      <c r="P190">
        <v>2602.10953192326</v>
      </c>
    </row>
    <row r="191" spans="2:16">
      <c r="B191" t="s">
        <v>1527</v>
      </c>
      <c r="D191" t="s">
        <v>1136</v>
      </c>
      <c r="F191">
        <v>2940</v>
      </c>
      <c r="G191">
        <v>3215</v>
      </c>
      <c r="H191">
        <v>3116</v>
      </c>
      <c r="I191">
        <v>3047</v>
      </c>
      <c r="J191">
        <v>5413</v>
      </c>
      <c r="K191">
        <v>5392</v>
      </c>
      <c r="L191">
        <v>5320</v>
      </c>
      <c r="M191">
        <v>5285</v>
      </c>
      <c r="N191">
        <v>5285</v>
      </c>
      <c r="O191">
        <v>5285</v>
      </c>
      <c r="P191">
        <v>5285</v>
      </c>
    </row>
    <row r="192" spans="2:16">
      <c r="B192" t="s">
        <v>1529</v>
      </c>
      <c r="D192" t="s">
        <v>1136</v>
      </c>
    </row>
    <row r="193" spans="2:16">
      <c r="B193" t="s">
        <v>1531</v>
      </c>
      <c r="D193" t="s">
        <v>1136</v>
      </c>
      <c r="F193">
        <v>2940</v>
      </c>
      <c r="G193">
        <v>3215</v>
      </c>
      <c r="H193">
        <v>3116</v>
      </c>
      <c r="I193">
        <v>3047</v>
      </c>
      <c r="J193">
        <v>5413</v>
      </c>
      <c r="K193">
        <v>5392</v>
      </c>
      <c r="L193">
        <v>5320</v>
      </c>
      <c r="M193">
        <v>5285</v>
      </c>
      <c r="N193">
        <v>5285</v>
      </c>
      <c r="O193">
        <v>5285</v>
      </c>
      <c r="P193">
        <v>5285</v>
      </c>
    </row>
    <row r="194" spans="2:16">
      <c r="B194" t="s">
        <v>1534</v>
      </c>
      <c r="D194" t="s">
        <v>1136</v>
      </c>
      <c r="F194">
        <v>0</v>
      </c>
      <c r="G194">
        <v>0</v>
      </c>
      <c r="H194">
        <v>0</v>
      </c>
      <c r="I194">
        <v>0</v>
      </c>
      <c r="J194">
        <v>0</v>
      </c>
      <c r="K194">
        <v>0</v>
      </c>
      <c r="L194">
        <v>0</v>
      </c>
      <c r="M194">
        <v>0</v>
      </c>
      <c r="N194">
        <v>0</v>
      </c>
      <c r="O194">
        <v>0</v>
      </c>
      <c r="P194">
        <v>0</v>
      </c>
    </row>
    <row r="195" spans="2:16">
      <c r="B195" t="s">
        <v>1536</v>
      </c>
      <c r="D195" t="s">
        <v>1136</v>
      </c>
      <c r="F195">
        <v>0</v>
      </c>
      <c r="G195">
        <v>0</v>
      </c>
      <c r="H195">
        <v>0</v>
      </c>
      <c r="I195">
        <v>0</v>
      </c>
      <c r="J195">
        <v>0</v>
      </c>
      <c r="K195">
        <v>0</v>
      </c>
      <c r="L195">
        <v>0</v>
      </c>
      <c r="M195">
        <v>0</v>
      </c>
      <c r="N195">
        <v>0</v>
      </c>
      <c r="O195">
        <v>0</v>
      </c>
      <c r="P195">
        <v>0</v>
      </c>
    </row>
    <row r="196" spans="2:16">
      <c r="B196" t="s">
        <v>1538</v>
      </c>
      <c r="D196" t="s">
        <v>1136</v>
      </c>
      <c r="F196">
        <v>0</v>
      </c>
      <c r="G196">
        <v>0</v>
      </c>
      <c r="H196">
        <v>0</v>
      </c>
      <c r="I196">
        <v>0</v>
      </c>
      <c r="J196">
        <v>0</v>
      </c>
      <c r="K196">
        <v>0</v>
      </c>
      <c r="L196">
        <v>0</v>
      </c>
      <c r="M196">
        <v>0</v>
      </c>
      <c r="N196">
        <v>0</v>
      </c>
      <c r="O196">
        <v>0</v>
      </c>
      <c r="P196">
        <v>0</v>
      </c>
    </row>
    <row r="197" spans="2:16">
      <c r="B197" t="s">
        <v>1540</v>
      </c>
      <c r="D197" t="s">
        <v>1136</v>
      </c>
      <c r="F197">
        <v>0</v>
      </c>
      <c r="G197">
        <v>0</v>
      </c>
      <c r="H197">
        <v>0</v>
      </c>
      <c r="I197">
        <v>0</v>
      </c>
      <c r="J197">
        <v>0</v>
      </c>
      <c r="K197">
        <v>0</v>
      </c>
      <c r="L197">
        <v>0</v>
      </c>
      <c r="M197">
        <v>0</v>
      </c>
      <c r="N197">
        <v>0</v>
      </c>
      <c r="O197">
        <v>0</v>
      </c>
      <c r="P197">
        <v>0</v>
      </c>
    </row>
    <row r="198" spans="2:16">
      <c r="B198" t="s">
        <v>1542</v>
      </c>
      <c r="D198" t="s">
        <v>1136</v>
      </c>
      <c r="F198">
        <v>0</v>
      </c>
      <c r="G198">
        <v>0</v>
      </c>
      <c r="H198">
        <v>0</v>
      </c>
      <c r="I198">
        <v>0</v>
      </c>
      <c r="J198">
        <v>0</v>
      </c>
      <c r="K198">
        <v>0</v>
      </c>
      <c r="L198">
        <v>0</v>
      </c>
      <c r="M198">
        <v>0</v>
      </c>
      <c r="N198">
        <v>0</v>
      </c>
      <c r="O198">
        <v>0</v>
      </c>
      <c r="P198">
        <v>0</v>
      </c>
    </row>
    <row r="199" spans="2:16">
      <c r="B199" t="s">
        <v>1544</v>
      </c>
      <c r="D199" t="s">
        <v>1136</v>
      </c>
      <c r="F199">
        <v>32155</v>
      </c>
      <c r="G199">
        <v>46693</v>
      </c>
      <c r="H199">
        <v>65482</v>
      </c>
      <c r="I199">
        <v>63815</v>
      </c>
      <c r="J199">
        <v>95214</v>
      </c>
      <c r="K199">
        <v>105411</v>
      </c>
      <c r="L199">
        <v>94702</v>
      </c>
      <c r="M199">
        <v>92583.681823505496</v>
      </c>
      <c r="N199">
        <v>99678.083265445792</v>
      </c>
      <c r="O199">
        <v>105321.491406196</v>
      </c>
      <c r="P199">
        <v>112320.71249519099</v>
      </c>
    </row>
    <row r="200" spans="2:16">
      <c r="B200" t="s">
        <v>1545</v>
      </c>
      <c r="D200" t="s">
        <v>1136</v>
      </c>
      <c r="F200">
        <v>334640</v>
      </c>
      <c r="G200">
        <v>392773</v>
      </c>
      <c r="H200">
        <v>470293</v>
      </c>
      <c r="I200">
        <v>476987</v>
      </c>
      <c r="J200">
        <v>531703</v>
      </c>
      <c r="K200">
        <v>604213</v>
      </c>
      <c r="L200">
        <v>642127</v>
      </c>
      <c r="M200">
        <v>699091.74068078888</v>
      </c>
      <c r="N200">
        <v>751114.56379152101</v>
      </c>
      <c r="O200">
        <v>791395.42073470203</v>
      </c>
      <c r="P200">
        <v>841868.16926882404</v>
      </c>
    </row>
    <row r="201" spans="2:16">
      <c r="B201" t="s">
        <v>1547</v>
      </c>
      <c r="D201" t="s">
        <v>1136</v>
      </c>
      <c r="F201">
        <v>14118</v>
      </c>
      <c r="G201">
        <v>19116</v>
      </c>
      <c r="H201">
        <v>20092</v>
      </c>
      <c r="I201">
        <v>19924</v>
      </c>
      <c r="J201">
        <v>21610</v>
      </c>
      <c r="K201">
        <v>27535</v>
      </c>
      <c r="L201">
        <v>30538</v>
      </c>
      <c r="M201">
        <v>45001.602677228599</v>
      </c>
      <c r="N201">
        <v>48337.670802205394</v>
      </c>
      <c r="O201">
        <v>50935.5416575774</v>
      </c>
      <c r="P201">
        <v>54185.571213653297</v>
      </c>
    </row>
    <row r="202" spans="2:16">
      <c r="B202" t="s">
        <v>1549</v>
      </c>
      <c r="D202" t="s">
        <v>1136</v>
      </c>
      <c r="F202">
        <v>172394</v>
      </c>
      <c r="G202">
        <v>205734</v>
      </c>
      <c r="H202">
        <v>249504</v>
      </c>
      <c r="I202">
        <v>274551</v>
      </c>
      <c r="J202">
        <v>296986</v>
      </c>
      <c r="K202">
        <v>352900</v>
      </c>
      <c r="L202">
        <v>383686</v>
      </c>
      <c r="M202">
        <v>429271.56900015898</v>
      </c>
      <c r="N202">
        <v>471745.18787928193</v>
      </c>
      <c r="O202">
        <v>502194.02631591994</v>
      </c>
      <c r="P202">
        <v>543803.86229484505</v>
      </c>
    </row>
    <row r="203" spans="2:16">
      <c r="B203" t="s">
        <v>1551</v>
      </c>
      <c r="D203" t="s">
        <v>1136</v>
      </c>
      <c r="F203">
        <v>50050</v>
      </c>
      <c r="G203">
        <v>54075</v>
      </c>
      <c r="H203">
        <v>67323</v>
      </c>
      <c r="I203">
        <v>57260</v>
      </c>
      <c r="J203">
        <v>59714</v>
      </c>
      <c r="K203">
        <v>56551</v>
      </c>
      <c r="L203">
        <v>63098</v>
      </c>
      <c r="M203">
        <v>53118.166261913597</v>
      </c>
      <c r="N203">
        <v>45991.2581332724</v>
      </c>
      <c r="O203">
        <v>43169.756525797697</v>
      </c>
      <c r="P203">
        <v>35986.023631442593</v>
      </c>
    </row>
    <row r="204" spans="2:16">
      <c r="B204" t="s">
        <v>1553</v>
      </c>
      <c r="D204" t="s">
        <v>1136</v>
      </c>
      <c r="F204">
        <v>32400</v>
      </c>
      <c r="G204">
        <v>28009</v>
      </c>
      <c r="H204">
        <v>34462</v>
      </c>
      <c r="I204">
        <v>19819</v>
      </c>
      <c r="J204">
        <v>13397</v>
      </c>
      <c r="K204">
        <v>15829</v>
      </c>
      <c r="L204">
        <v>13437</v>
      </c>
      <c r="M204">
        <v>16682.139393453901</v>
      </c>
      <c r="N204">
        <v>18332.728162554798</v>
      </c>
      <c r="O204">
        <v>19516.015861649001</v>
      </c>
      <c r="P204">
        <v>21133.036726915998</v>
      </c>
    </row>
    <row r="205" spans="2:16">
      <c r="B205" t="s">
        <v>1555</v>
      </c>
      <c r="D205" t="s">
        <v>1136</v>
      </c>
      <c r="F205">
        <v>0</v>
      </c>
      <c r="G205">
        <v>0</v>
      </c>
      <c r="H205">
        <v>0</v>
      </c>
      <c r="I205">
        <v>0</v>
      </c>
      <c r="J205">
        <v>0</v>
      </c>
      <c r="K205">
        <v>0</v>
      </c>
      <c r="L205">
        <v>0</v>
      </c>
      <c r="M205">
        <v>0</v>
      </c>
      <c r="N205">
        <v>0</v>
      </c>
      <c r="O205">
        <v>0</v>
      </c>
      <c r="P205">
        <v>0</v>
      </c>
    </row>
    <row r="206" spans="2:16">
      <c r="B206" t="s">
        <v>1557</v>
      </c>
      <c r="D206" t="s">
        <v>1136</v>
      </c>
      <c r="F206">
        <v>268962</v>
      </c>
      <c r="G206">
        <v>306934</v>
      </c>
      <c r="H206">
        <v>371381</v>
      </c>
      <c r="I206">
        <v>371554</v>
      </c>
      <c r="J206">
        <v>391707</v>
      </c>
      <c r="K206">
        <v>452815</v>
      </c>
      <c r="L206">
        <v>490759</v>
      </c>
      <c r="M206">
        <v>544073.47733275499</v>
      </c>
      <c r="N206">
        <v>584406.84497731505</v>
      </c>
      <c r="O206">
        <v>615815.34036094404</v>
      </c>
      <c r="P206">
        <v>655108.49386685702</v>
      </c>
    </row>
    <row r="207" spans="2:16">
      <c r="B207" t="s">
        <v>1560</v>
      </c>
      <c r="D207" t="s">
        <v>1136</v>
      </c>
      <c r="F207">
        <v>0</v>
      </c>
      <c r="G207">
        <v>0</v>
      </c>
      <c r="H207">
        <v>0</v>
      </c>
      <c r="I207">
        <v>0</v>
      </c>
      <c r="J207">
        <v>0</v>
      </c>
      <c r="K207">
        <v>0</v>
      </c>
      <c r="L207">
        <v>0</v>
      </c>
      <c r="M207">
        <v>0</v>
      </c>
      <c r="N207">
        <v>0</v>
      </c>
      <c r="O207">
        <v>0</v>
      </c>
      <c r="P207">
        <v>0</v>
      </c>
    </row>
    <row r="208" spans="2:16">
      <c r="B208" t="s">
        <v>1562</v>
      </c>
      <c r="D208" t="s">
        <v>1136</v>
      </c>
      <c r="F208">
        <v>957</v>
      </c>
      <c r="G208">
        <v>1021</v>
      </c>
      <c r="H208">
        <v>1217</v>
      </c>
      <c r="I208">
        <v>1312</v>
      </c>
      <c r="J208">
        <v>1297</v>
      </c>
      <c r="K208">
        <v>1248</v>
      </c>
      <c r="L208">
        <v>1201</v>
      </c>
      <c r="M208">
        <v>1216.7926713049201</v>
      </c>
      <c r="N208">
        <v>1306.99619748955</v>
      </c>
      <c r="O208">
        <v>1377.2397006040101</v>
      </c>
      <c r="P208">
        <v>1465.11684075214</v>
      </c>
    </row>
    <row r="209" spans="2:16">
      <c r="B209" t="s">
        <v>1564</v>
      </c>
      <c r="D209" t="s">
        <v>1136</v>
      </c>
      <c r="F209">
        <v>0</v>
      </c>
      <c r="G209">
        <v>0</v>
      </c>
      <c r="H209">
        <v>0</v>
      </c>
      <c r="I209">
        <v>0</v>
      </c>
      <c r="J209">
        <v>0</v>
      </c>
      <c r="K209">
        <v>0</v>
      </c>
      <c r="L209">
        <v>0</v>
      </c>
      <c r="M209">
        <v>0</v>
      </c>
      <c r="N209">
        <v>0</v>
      </c>
      <c r="O209">
        <v>0</v>
      </c>
      <c r="P209">
        <v>0</v>
      </c>
    </row>
    <row r="210" spans="2:16">
      <c r="B210" t="s">
        <v>1566</v>
      </c>
      <c r="D210" t="s">
        <v>1136</v>
      </c>
      <c r="F210">
        <v>0</v>
      </c>
      <c r="G210">
        <v>0</v>
      </c>
      <c r="H210">
        <v>0</v>
      </c>
      <c r="I210">
        <v>0</v>
      </c>
      <c r="J210">
        <v>0</v>
      </c>
      <c r="K210">
        <v>0</v>
      </c>
      <c r="L210">
        <v>0</v>
      </c>
      <c r="M210">
        <v>0</v>
      </c>
      <c r="N210">
        <v>0</v>
      </c>
      <c r="O210">
        <v>0</v>
      </c>
      <c r="P210">
        <v>0</v>
      </c>
    </row>
    <row r="211" spans="2:16">
      <c r="B211" t="s">
        <v>1568</v>
      </c>
      <c r="D211" t="s">
        <v>1136</v>
      </c>
      <c r="F211">
        <v>44815</v>
      </c>
      <c r="G211">
        <v>62770</v>
      </c>
      <c r="H211">
        <v>71143</v>
      </c>
      <c r="I211">
        <v>71692</v>
      </c>
      <c r="J211">
        <v>104544</v>
      </c>
      <c r="K211">
        <v>112196</v>
      </c>
      <c r="L211">
        <v>108947</v>
      </c>
      <c r="M211">
        <v>108897.75298677701</v>
      </c>
      <c r="N211">
        <v>116970.58375297098</v>
      </c>
      <c r="O211">
        <v>123257.07760806599</v>
      </c>
      <c r="P211">
        <v>131121.70674884901</v>
      </c>
    </row>
    <row r="212" spans="2:16">
      <c r="B212" t="s">
        <v>1569</v>
      </c>
      <c r="D212" t="s">
        <v>1136</v>
      </c>
      <c r="F212">
        <v>314734</v>
      </c>
      <c r="G212">
        <v>370725</v>
      </c>
      <c r="H212">
        <v>443741</v>
      </c>
      <c r="I212">
        <v>444558</v>
      </c>
      <c r="J212">
        <v>497548</v>
      </c>
      <c r="K212">
        <v>566259</v>
      </c>
      <c r="L212">
        <v>600907</v>
      </c>
      <c r="M212">
        <v>654188.02299083595</v>
      </c>
      <c r="N212">
        <v>702684.42492777505</v>
      </c>
      <c r="O212">
        <v>740449.657669615</v>
      </c>
      <c r="P212">
        <v>787695.31745645893</v>
      </c>
    </row>
    <row r="213" spans="2:16">
      <c r="B213" t="s">
        <v>1572</v>
      </c>
      <c r="D213" t="s">
        <v>1136</v>
      </c>
      <c r="F213">
        <v>871</v>
      </c>
      <c r="G213">
        <v>871</v>
      </c>
      <c r="H213">
        <v>871</v>
      </c>
      <c r="I213">
        <v>871</v>
      </c>
      <c r="J213">
        <v>871</v>
      </c>
      <c r="K213">
        <v>871</v>
      </c>
      <c r="L213">
        <v>871</v>
      </c>
      <c r="M213">
        <v>871</v>
      </c>
      <c r="N213">
        <v>871</v>
      </c>
      <c r="O213">
        <v>871</v>
      </c>
      <c r="P213">
        <v>871</v>
      </c>
    </row>
    <row r="214" spans="2:16">
      <c r="B214" t="s">
        <v>1574</v>
      </c>
      <c r="D214" t="s">
        <v>1136</v>
      </c>
      <c r="F214">
        <v>19001</v>
      </c>
      <c r="G214">
        <v>21139</v>
      </c>
      <c r="H214">
        <v>25619</v>
      </c>
      <c r="I214">
        <v>31493</v>
      </c>
      <c r="J214">
        <v>33220</v>
      </c>
      <c r="K214">
        <v>37035</v>
      </c>
      <c r="L214">
        <v>40300</v>
      </c>
      <c r="M214">
        <v>43979.717689952595</v>
      </c>
      <c r="N214">
        <v>47506.138863746201</v>
      </c>
      <c r="O214">
        <v>50021.763065087202</v>
      </c>
      <c r="P214">
        <v>53248.851812364897</v>
      </c>
    </row>
    <row r="215" spans="2:16">
      <c r="B215" t="s">
        <v>1575</v>
      </c>
      <c r="D215" t="s">
        <v>1136</v>
      </c>
    </row>
    <row r="216" spans="2:16">
      <c r="B216" t="s">
        <v>1576</v>
      </c>
      <c r="D216" t="s">
        <v>1136</v>
      </c>
      <c r="F216">
        <v>34</v>
      </c>
      <c r="G216">
        <v>38</v>
      </c>
      <c r="H216">
        <v>62</v>
      </c>
      <c r="I216">
        <v>65</v>
      </c>
      <c r="J216">
        <v>64</v>
      </c>
      <c r="K216">
        <v>48</v>
      </c>
      <c r="L216">
        <v>49</v>
      </c>
      <c r="M216">
        <v>53</v>
      </c>
      <c r="N216">
        <v>53</v>
      </c>
      <c r="O216">
        <v>53</v>
      </c>
      <c r="P216">
        <v>53</v>
      </c>
    </row>
    <row r="217" spans="2:16">
      <c r="B217" t="s">
        <v>1578</v>
      </c>
      <c r="D217" t="s">
        <v>1136</v>
      </c>
      <c r="F217">
        <v>19906</v>
      </c>
      <c r="G217">
        <v>22048</v>
      </c>
      <c r="H217">
        <v>26552</v>
      </c>
      <c r="I217">
        <v>32429</v>
      </c>
      <c r="J217">
        <v>34155</v>
      </c>
      <c r="K217">
        <v>37954</v>
      </c>
      <c r="L217">
        <v>41220</v>
      </c>
      <c r="M217">
        <v>44903.717689952595</v>
      </c>
      <c r="N217">
        <v>48430.138863746201</v>
      </c>
      <c r="O217">
        <v>50945.763065087202</v>
      </c>
      <c r="P217">
        <v>54172.851812364897</v>
      </c>
    </row>
    <row r="218" spans="2:16">
      <c r="B218" t="s">
        <v>1581</v>
      </c>
      <c r="D218" t="s">
        <v>1136</v>
      </c>
      <c r="F218">
        <v>334640</v>
      </c>
      <c r="G218">
        <v>392773</v>
      </c>
      <c r="H218">
        <v>470293</v>
      </c>
      <c r="I218">
        <v>476987</v>
      </c>
      <c r="J218">
        <v>531703</v>
      </c>
      <c r="K218">
        <v>604213</v>
      </c>
      <c r="L218">
        <v>642127</v>
      </c>
      <c r="M218">
        <v>699091.74068078888</v>
      </c>
      <c r="N218">
        <v>751114.56379152101</v>
      </c>
      <c r="O218">
        <v>791395.42073470203</v>
      </c>
      <c r="P218">
        <v>841868.16926882404</v>
      </c>
    </row>
    <row r="219" spans="2:16">
      <c r="B219" t="s">
        <v>1584</v>
      </c>
      <c r="D219" t="s">
        <v>1136</v>
      </c>
      <c r="F219">
        <v>10.345747577045</v>
      </c>
      <c r="G219">
        <v>11.336408001286999</v>
      </c>
      <c r="H219">
        <v>12.554025579457999</v>
      </c>
      <c r="I219">
        <v>12.574565781593</v>
      </c>
      <c r="J219">
        <v>12.978083369145001</v>
      </c>
      <c r="K219">
        <v>14.087105363256001</v>
      </c>
      <c r="L219">
        <v>14.830352542871999</v>
      </c>
      <c r="M219">
        <v>15.964098296746</v>
      </c>
      <c r="N219">
        <v>17.175579899572998</v>
      </c>
      <c r="O219">
        <v>18.016979052979998</v>
      </c>
      <c r="P219">
        <v>19.111896738595</v>
      </c>
    </row>
    <row r="220" spans="2:16">
      <c r="B220" t="s">
        <v>1587</v>
      </c>
      <c r="D220" t="s">
        <v>1136</v>
      </c>
      <c r="F220">
        <v>10.345747577045</v>
      </c>
      <c r="G220">
        <v>11.336408001286999</v>
      </c>
      <c r="H220">
        <v>12.554025579457999</v>
      </c>
      <c r="I220">
        <v>12.574565781593</v>
      </c>
      <c r="J220">
        <v>12.978083369145001</v>
      </c>
      <c r="K220">
        <v>14.087105363256001</v>
      </c>
      <c r="L220">
        <v>14.830352542871999</v>
      </c>
      <c r="M220">
        <v>15.964098296746</v>
      </c>
      <c r="N220">
        <v>17.175579899572998</v>
      </c>
      <c r="O220">
        <v>18.016979052979998</v>
      </c>
      <c r="P220">
        <v>19.111896738595</v>
      </c>
    </row>
    <row r="221" spans="2:16">
      <c r="B221" t="s">
        <v>1590</v>
      </c>
      <c r="D221" t="s">
        <v>1136</v>
      </c>
      <c r="F221">
        <v>8.7449635195469995</v>
      </c>
      <c r="G221">
        <v>9.6122700702530004</v>
      </c>
      <c r="H221">
        <v>11.027098544616999</v>
      </c>
      <c r="I221">
        <v>11.357955679776</v>
      </c>
      <c r="J221">
        <v>10.863382427628</v>
      </c>
      <c r="K221">
        <v>12.036135412705001</v>
      </c>
      <c r="L221">
        <v>12.872598807684</v>
      </c>
      <c r="M221">
        <v>14.045708094855</v>
      </c>
      <c r="N221">
        <v>15.264817586735999</v>
      </c>
      <c r="O221">
        <v>16.113412915754999</v>
      </c>
      <c r="P221">
        <v>17.215022518293999</v>
      </c>
    </row>
    <row r="222" spans="2:16">
      <c r="B222" t="s">
        <v>1592</v>
      </c>
      <c r="D222" t="s">
        <v>1136</v>
      </c>
      <c r="E222">
        <v>13.233954149505999</v>
      </c>
    </row>
    <row r="223" spans="2:16">
      <c r="B223" t="s">
        <v>1595</v>
      </c>
      <c r="D223" t="s">
        <v>1136</v>
      </c>
      <c r="F223">
        <v>259319</v>
      </c>
      <c r="G223">
        <v>286540</v>
      </c>
      <c r="H223">
        <v>331629</v>
      </c>
      <c r="I223">
        <v>355798</v>
      </c>
      <c r="J223">
        <v>358607</v>
      </c>
      <c r="K223">
        <v>387389</v>
      </c>
      <c r="L223">
        <v>417962</v>
      </c>
      <c r="M223">
        <v>446131.64801416593</v>
      </c>
      <c r="N223">
        <v>481180.84993886802</v>
      </c>
      <c r="O223">
        <v>510411.62680199696</v>
      </c>
      <c r="P223">
        <v>539934.56027393194</v>
      </c>
    </row>
    <row r="224" spans="2:16">
      <c r="B224" t="s">
        <v>1597</v>
      </c>
      <c r="D224" t="s">
        <v>1136</v>
      </c>
      <c r="F224">
        <v>40735.5</v>
      </c>
      <c r="G224">
        <v>46157.5</v>
      </c>
      <c r="H224">
        <v>57938</v>
      </c>
      <c r="I224">
        <v>68531.5</v>
      </c>
      <c r="J224">
        <v>75373</v>
      </c>
      <c r="K224">
        <v>81550.5</v>
      </c>
      <c r="L224">
        <v>100992</v>
      </c>
      <c r="M224">
        <v>114709.456055296</v>
      </c>
      <c r="N224">
        <v>124198.786290629</v>
      </c>
      <c r="O224">
        <v>131787.75136190199</v>
      </c>
      <c r="P224">
        <v>139397.18076089301</v>
      </c>
    </row>
    <row r="225" spans="2:16">
      <c r="B225" t="s">
        <v>1599</v>
      </c>
      <c r="D225" t="s">
        <v>1136</v>
      </c>
      <c r="F225">
        <v>300054.5</v>
      </c>
      <c r="G225">
        <v>332697.5</v>
      </c>
      <c r="H225">
        <v>389567</v>
      </c>
      <c r="I225">
        <v>424329.5</v>
      </c>
      <c r="J225">
        <v>433980</v>
      </c>
      <c r="K225">
        <v>468939.5</v>
      </c>
      <c r="L225">
        <v>518954</v>
      </c>
      <c r="M225">
        <v>560841.10406946205</v>
      </c>
      <c r="N225">
        <v>605379.63622949703</v>
      </c>
      <c r="O225">
        <v>642199.37816389895</v>
      </c>
      <c r="P225">
        <v>679331.74103482487</v>
      </c>
    </row>
    <row r="226" spans="2:16">
      <c r="B226" t="s">
        <v>1601</v>
      </c>
      <c r="D226" t="s">
        <v>1136</v>
      </c>
      <c r="F226">
        <v>651.5</v>
      </c>
      <c r="G226">
        <v>663.5</v>
      </c>
      <c r="H226">
        <v>1208</v>
      </c>
      <c r="I226">
        <v>3134.5</v>
      </c>
      <c r="J226">
        <v>5297</v>
      </c>
      <c r="K226">
        <v>5362.5</v>
      </c>
      <c r="L226">
        <v>4507</v>
      </c>
      <c r="M226">
        <v>4152.2556282973901</v>
      </c>
      <c r="N226">
        <v>4000.9944415463601</v>
      </c>
      <c r="O226">
        <v>4199.9103405157002</v>
      </c>
      <c r="P226">
        <v>4456.2004483457304</v>
      </c>
    </row>
    <row r="227" spans="2:16">
      <c r="B227" t="s">
        <v>1603</v>
      </c>
      <c r="D227" t="s">
        <v>1136</v>
      </c>
      <c r="F227">
        <v>300706</v>
      </c>
      <c r="G227">
        <v>333361</v>
      </c>
      <c r="H227">
        <v>390775</v>
      </c>
      <c r="I227">
        <v>427464</v>
      </c>
      <c r="J227">
        <v>439277</v>
      </c>
      <c r="K227">
        <v>474302</v>
      </c>
      <c r="L227">
        <v>523461</v>
      </c>
      <c r="M227">
        <v>564993.35969775904</v>
      </c>
      <c r="N227">
        <v>609380.63067104295</v>
      </c>
      <c r="O227">
        <v>646399.28850441484</v>
      </c>
      <c r="P227">
        <v>683787.94148317084</v>
      </c>
    </row>
    <row r="228" spans="2:16">
      <c r="B228" t="s">
        <v>1605</v>
      </c>
      <c r="D228" t="s">
        <v>1136</v>
      </c>
      <c r="F228">
        <v>-2333</v>
      </c>
      <c r="G228">
        <v>-2244</v>
      </c>
      <c r="H228">
        <v>-2879</v>
      </c>
      <c r="I228">
        <v>-4011</v>
      </c>
      <c r="J228">
        <v>-4777</v>
      </c>
      <c r="K228">
        <v>-4950.5</v>
      </c>
      <c r="L228">
        <v>-4705.5</v>
      </c>
      <c r="M228">
        <v>-4475.3872049675301</v>
      </c>
      <c r="N228">
        <v>-4553.4848167030586</v>
      </c>
      <c r="O228">
        <v>-4847.0659637060498</v>
      </c>
      <c r="P228">
        <v>-5171.3306275040904</v>
      </c>
    </row>
    <row r="229" spans="2:16">
      <c r="B229" t="s">
        <v>1607</v>
      </c>
      <c r="D229" t="s">
        <v>1136</v>
      </c>
      <c r="F229">
        <v>0</v>
      </c>
      <c r="G229">
        <v>0</v>
      </c>
      <c r="H229">
        <v>0</v>
      </c>
      <c r="I229">
        <v>0</v>
      </c>
      <c r="J229">
        <v>0</v>
      </c>
      <c r="K229">
        <v>0</v>
      </c>
      <c r="L229">
        <v>0</v>
      </c>
      <c r="M229">
        <v>0</v>
      </c>
      <c r="N229">
        <v>0</v>
      </c>
      <c r="O229">
        <v>0</v>
      </c>
      <c r="P229">
        <v>0</v>
      </c>
    </row>
    <row r="230" spans="2:16">
      <c r="B230" t="s">
        <v>1609</v>
      </c>
      <c r="D230" t="s">
        <v>1136</v>
      </c>
      <c r="F230">
        <v>25433</v>
      </c>
      <c r="G230">
        <v>32234</v>
      </c>
      <c r="H230">
        <v>48373</v>
      </c>
      <c r="I230">
        <v>82725</v>
      </c>
      <c r="J230">
        <v>91085</v>
      </c>
      <c r="K230">
        <v>102874</v>
      </c>
      <c r="L230">
        <v>108347</v>
      </c>
      <c r="M230">
        <v>106146.813573658</v>
      </c>
      <c r="N230">
        <v>114420.71126512099</v>
      </c>
      <c r="O230">
        <v>121392.11973294</v>
      </c>
      <c r="P230">
        <v>128467.19676741898</v>
      </c>
    </row>
    <row r="231" spans="2:16">
      <c r="B231" t="s">
        <v>1611</v>
      </c>
      <c r="D231" t="s">
        <v>1136</v>
      </c>
      <c r="F231">
        <v>323913</v>
      </c>
      <c r="G231">
        <v>363333</v>
      </c>
      <c r="H231">
        <v>435652</v>
      </c>
      <c r="I231">
        <v>505663</v>
      </c>
      <c r="J231">
        <v>525334</v>
      </c>
      <c r="K231">
        <v>572303</v>
      </c>
      <c r="L231">
        <v>627270</v>
      </c>
      <c r="M231">
        <v>666727.39886148204</v>
      </c>
      <c r="N231">
        <v>719107.14671269292</v>
      </c>
      <c r="O231">
        <v>762791.47153341386</v>
      </c>
      <c r="P231">
        <v>806912.41369952296</v>
      </c>
    </row>
    <row r="232" spans="2:16">
      <c r="B232" t="s">
        <v>1613</v>
      </c>
      <c r="D232" t="s">
        <v>1136</v>
      </c>
      <c r="F232">
        <v>275952.13972602697</v>
      </c>
      <c r="G232">
        <v>307860.81643835601</v>
      </c>
      <c r="H232">
        <v>366608.5</v>
      </c>
      <c r="I232">
        <v>395700.52876712295</v>
      </c>
      <c r="J232">
        <v>409399.91780821898</v>
      </c>
      <c r="K232">
        <v>440948.93424657499</v>
      </c>
      <c r="L232">
        <v>483593.5</v>
      </c>
      <c r="M232">
        <v>519917.95482418692</v>
      </c>
      <c r="N232">
        <v>560129.78385884303</v>
      </c>
      <c r="O232">
        <v>594162.95464554604</v>
      </c>
      <c r="P232">
        <v>628032.47241502395</v>
      </c>
    </row>
    <row r="233" spans="2:16">
      <c r="B233" t="s">
        <v>1615</v>
      </c>
      <c r="D233" t="s">
        <v>1136</v>
      </c>
      <c r="F233">
        <v>9217.8602739725993</v>
      </c>
      <c r="G233">
        <v>9781.1835616438293</v>
      </c>
      <c r="H233">
        <v>9418.5</v>
      </c>
      <c r="I233">
        <v>9744.4712328767091</v>
      </c>
      <c r="J233">
        <v>10366.082191780799</v>
      </c>
      <c r="K233">
        <v>10697.065753424698</v>
      </c>
      <c r="L233">
        <v>11353.5</v>
      </c>
      <c r="M233">
        <v>12588.3004667933</v>
      </c>
      <c r="N233">
        <v>13591.4124053345</v>
      </c>
      <c r="O233">
        <v>14416.2740967639</v>
      </c>
      <c r="P233">
        <v>15315.2150943495</v>
      </c>
    </row>
    <row r="234" spans="2:16">
      <c r="B234" t="s">
        <v>1617</v>
      </c>
      <c r="D234" t="s">
        <v>1136</v>
      </c>
      <c r="F234">
        <v>20127</v>
      </c>
      <c r="G234">
        <v>24962</v>
      </c>
      <c r="H234">
        <v>36102</v>
      </c>
      <c r="I234">
        <v>71154</v>
      </c>
      <c r="J234">
        <v>72312</v>
      </c>
      <c r="K234">
        <v>84790</v>
      </c>
      <c r="L234">
        <v>92759</v>
      </c>
      <c r="M234">
        <v>91565.483507363882</v>
      </c>
      <c r="N234">
        <v>98861.975190798796</v>
      </c>
      <c r="O234">
        <v>104861.90026421699</v>
      </c>
      <c r="P234">
        <v>111400.66753511599</v>
      </c>
    </row>
    <row r="235" spans="2:16">
      <c r="B235" t="s">
        <v>1619</v>
      </c>
      <c r="D235" t="s">
        <v>1136</v>
      </c>
      <c r="F235">
        <v>435.5</v>
      </c>
      <c r="G235">
        <v>871</v>
      </c>
      <c r="H235">
        <v>871</v>
      </c>
      <c r="I235">
        <v>871</v>
      </c>
      <c r="J235">
        <v>871</v>
      </c>
      <c r="K235">
        <v>871</v>
      </c>
      <c r="L235">
        <v>871</v>
      </c>
      <c r="M235">
        <v>871</v>
      </c>
      <c r="N235">
        <v>871</v>
      </c>
      <c r="O235">
        <v>871</v>
      </c>
      <c r="P235">
        <v>871</v>
      </c>
    </row>
    <row r="236" spans="2:16">
      <c r="B236" t="s">
        <v>1621</v>
      </c>
      <c r="D236" t="s">
        <v>1136</v>
      </c>
      <c r="F236">
        <v>17728</v>
      </c>
      <c r="G236">
        <v>19822</v>
      </c>
      <c r="H236">
        <v>22602</v>
      </c>
      <c r="I236">
        <v>28129.5</v>
      </c>
      <c r="J236">
        <v>32320.5</v>
      </c>
      <c r="K236">
        <v>34940</v>
      </c>
      <c r="L236">
        <v>38644.5</v>
      </c>
      <c r="M236">
        <v>41759.090200123399</v>
      </c>
      <c r="N236">
        <v>45652.975257716891</v>
      </c>
      <c r="O236">
        <v>48479.342526886998</v>
      </c>
      <c r="P236">
        <v>51293.058655033303</v>
      </c>
    </row>
    <row r="237" spans="2:16">
      <c r="B237" t="s">
        <v>1623</v>
      </c>
      <c r="D237" t="s">
        <v>1136</v>
      </c>
      <c r="F237">
        <v>15536</v>
      </c>
      <c r="G237">
        <v>15719</v>
      </c>
      <c r="H237">
        <v>14748</v>
      </c>
      <c r="I237">
        <v>22019</v>
      </c>
      <c r="J237">
        <v>19511</v>
      </c>
      <c r="K237">
        <v>22656</v>
      </c>
      <c r="L237">
        <v>28514</v>
      </c>
      <c r="M237">
        <v>32487.104406778599</v>
      </c>
      <c r="N237">
        <v>35659.434406865897</v>
      </c>
      <c r="O237">
        <v>37820.059762105397</v>
      </c>
      <c r="P237">
        <v>40440.253973797597</v>
      </c>
    </row>
    <row r="238" spans="2:16">
      <c r="B238" t="s">
        <v>1625</v>
      </c>
      <c r="D238" t="s">
        <v>1136</v>
      </c>
      <c r="F238">
        <v>259731</v>
      </c>
      <c r="G238">
        <v>292848</v>
      </c>
      <c r="H238">
        <v>340050</v>
      </c>
      <c r="I238">
        <v>338345</v>
      </c>
      <c r="J238">
        <v>358587</v>
      </c>
      <c r="K238">
        <v>402797</v>
      </c>
      <c r="L238">
        <v>432560</v>
      </c>
      <c r="M238">
        <v>463846.19696713402</v>
      </c>
      <c r="N238">
        <v>498415.03733205498</v>
      </c>
      <c r="O238">
        <v>525118.98455982504</v>
      </c>
      <c r="P238">
        <v>558611.35755314305</v>
      </c>
    </row>
    <row r="239" spans="2:16">
      <c r="B239" t="s">
        <v>1627</v>
      </c>
      <c r="D239" t="s">
        <v>1136</v>
      </c>
      <c r="F239">
        <v>286</v>
      </c>
      <c r="G239">
        <v>270</v>
      </c>
      <c r="H239">
        <v>675</v>
      </c>
      <c r="I239">
        <v>1526</v>
      </c>
      <c r="J239">
        <v>1875</v>
      </c>
      <c r="K239">
        <v>1697</v>
      </c>
      <c r="L239">
        <v>1773</v>
      </c>
      <c r="M239">
        <v>1528.4587403031001</v>
      </c>
      <c r="N239">
        <v>1575.37958212326</v>
      </c>
      <c r="O239">
        <v>1682.7710741943499</v>
      </c>
      <c r="P239">
        <v>1774.20091765958</v>
      </c>
    </row>
    <row r="240" spans="2:16">
      <c r="B240" t="s">
        <v>1629</v>
      </c>
      <c r="D240" t="s">
        <v>1136</v>
      </c>
      <c r="F240">
        <v>1940</v>
      </c>
      <c r="G240">
        <v>1992</v>
      </c>
      <c r="H240">
        <v>2821</v>
      </c>
      <c r="I240">
        <v>3000</v>
      </c>
      <c r="J240">
        <v>3153</v>
      </c>
      <c r="K240">
        <v>3176</v>
      </c>
      <c r="L240">
        <v>2765</v>
      </c>
      <c r="M240">
        <v>2884.3156696319702</v>
      </c>
      <c r="N240">
        <v>3118.81564134779</v>
      </c>
      <c r="O240">
        <v>3317.1656297466998</v>
      </c>
      <c r="P240">
        <v>3568.5236334075398</v>
      </c>
    </row>
    <row r="241" spans="2:16">
      <c r="B241" t="s">
        <v>1631</v>
      </c>
      <c r="D241" t="s">
        <v>1136</v>
      </c>
      <c r="F241">
        <v>2002</v>
      </c>
      <c r="G241">
        <v>1707</v>
      </c>
      <c r="H241">
        <v>2000</v>
      </c>
      <c r="I241">
        <v>1812</v>
      </c>
      <c r="J241">
        <v>1662</v>
      </c>
      <c r="K241">
        <v>1587</v>
      </c>
      <c r="L241">
        <v>1438</v>
      </c>
      <c r="M241">
        <v>1206</v>
      </c>
      <c r="N241">
        <v>1206</v>
      </c>
      <c r="O241">
        <v>1206</v>
      </c>
      <c r="P241">
        <v>1206</v>
      </c>
    </row>
    <row r="242" spans="2:16">
      <c r="B242" t="s">
        <v>1632</v>
      </c>
      <c r="D242" t="s">
        <v>1136</v>
      </c>
      <c r="F242">
        <v>13435</v>
      </c>
      <c r="G242">
        <v>14536</v>
      </c>
      <c r="H242">
        <v>15297</v>
      </c>
      <c r="I242">
        <v>13762</v>
      </c>
      <c r="J242">
        <v>11495</v>
      </c>
      <c r="K242">
        <v>970</v>
      </c>
      <c r="L242">
        <v>1239</v>
      </c>
      <c r="M242">
        <v>1260.148725</v>
      </c>
      <c r="N242">
        <v>1302.13801465085</v>
      </c>
      <c r="O242">
        <v>1397.0800942353801</v>
      </c>
      <c r="P242">
        <v>1484.2707857678599</v>
      </c>
    </row>
    <row r="243" spans="2:16">
      <c r="B243" t="s">
        <v>1634</v>
      </c>
      <c r="D243" t="s">
        <v>1136</v>
      </c>
    </row>
    <row r="244" spans="2:16">
      <c r="B244" t="s">
        <v>1636</v>
      </c>
      <c r="D244" t="s">
        <v>1136</v>
      </c>
    </row>
    <row r="245" spans="2:16">
      <c r="B245" t="s">
        <v>1638</v>
      </c>
      <c r="D245" t="s">
        <v>1136</v>
      </c>
    </row>
    <row r="246" spans="2:16">
      <c r="B246" t="s">
        <v>1640</v>
      </c>
      <c r="D246" t="s">
        <v>1136</v>
      </c>
    </row>
    <row r="247" spans="2:16">
      <c r="B247" t="s">
        <v>1642</v>
      </c>
      <c r="D247" t="s">
        <v>1136</v>
      </c>
    </row>
    <row r="248" spans="2:16">
      <c r="B248" t="s">
        <v>1645</v>
      </c>
      <c r="D248" t="s">
        <v>1136</v>
      </c>
    </row>
    <row r="249" spans="2:16">
      <c r="B249" t="s">
        <v>1647</v>
      </c>
      <c r="D249" t="s">
        <v>1136</v>
      </c>
    </row>
    <row r="250" spans="2:16">
      <c r="B250" t="s">
        <v>1648</v>
      </c>
      <c r="D250" t="s">
        <v>1136</v>
      </c>
      <c r="F250">
        <v>13435</v>
      </c>
      <c r="G250">
        <v>14536</v>
      </c>
      <c r="H250">
        <v>15297</v>
      </c>
      <c r="I250">
        <v>13762</v>
      </c>
      <c r="J250">
        <v>11495</v>
      </c>
      <c r="K250">
        <v>970</v>
      </c>
      <c r="L250">
        <v>1239</v>
      </c>
      <c r="M250">
        <v>1269</v>
      </c>
      <c r="N250">
        <v>1269</v>
      </c>
      <c r="O250">
        <v>1269</v>
      </c>
      <c r="P250">
        <v>1269</v>
      </c>
    </row>
    <row r="251" spans="2:16">
      <c r="B251" t="s">
        <v>1650</v>
      </c>
      <c r="D251" t="s">
        <v>1136</v>
      </c>
    </row>
    <row r="252" spans="2:16">
      <c r="B252" t="s">
        <v>1652</v>
      </c>
      <c r="D252" t="s">
        <v>1136</v>
      </c>
    </row>
    <row r="253" spans="2:16">
      <c r="B253" t="s">
        <v>1654</v>
      </c>
      <c r="D253" t="s">
        <v>1136</v>
      </c>
    </row>
    <row r="254" spans="2:16">
      <c r="B254" t="s">
        <v>1656</v>
      </c>
      <c r="D254" t="s">
        <v>1136</v>
      </c>
    </row>
    <row r="255" spans="2:16">
      <c r="B255" t="s">
        <v>1658</v>
      </c>
      <c r="D255" t="s">
        <v>1136</v>
      </c>
      <c r="F255">
        <v>8271</v>
      </c>
      <c r="G255">
        <v>8946</v>
      </c>
      <c r="H255">
        <v>12589</v>
      </c>
      <c r="I255">
        <v>19151</v>
      </c>
      <c r="J255">
        <v>19886</v>
      </c>
      <c r="K255">
        <v>21343</v>
      </c>
      <c r="L255">
        <v>23070</v>
      </c>
      <c r="M255">
        <v>23989.5802</v>
      </c>
      <c r="N255">
        <v>24430.3664379441</v>
      </c>
      <c r="O255">
        <v>24900.571441446598</v>
      </c>
      <c r="P255">
        <v>25394.764935228395</v>
      </c>
    </row>
    <row r="256" spans="2:16">
      <c r="B256" t="s">
        <v>1660</v>
      </c>
      <c r="D256" t="s">
        <v>1136</v>
      </c>
      <c r="F256">
        <v>-354</v>
      </c>
      <c r="G256">
        <v>-889</v>
      </c>
      <c r="H256">
        <v>-742</v>
      </c>
      <c r="I256">
        <v>-1787</v>
      </c>
      <c r="J256">
        <v>-2587</v>
      </c>
      <c r="K256">
        <v>-2095</v>
      </c>
      <c r="L256">
        <v>-2498</v>
      </c>
      <c r="M256">
        <v>-1780.47623085896</v>
      </c>
      <c r="N256">
        <v>-1019.39046088567</v>
      </c>
      <c r="O256">
        <v>-1428.18863475277</v>
      </c>
      <c r="P256">
        <v>-1266.3389211112201</v>
      </c>
    </row>
    <row r="257" spans="2:16">
      <c r="B257" t="s">
        <v>1662</v>
      </c>
      <c r="D257" t="s">
        <v>1136</v>
      </c>
      <c r="F257">
        <v>11084</v>
      </c>
      <c r="G257">
        <v>13082</v>
      </c>
      <c r="H257">
        <v>13772</v>
      </c>
      <c r="I257">
        <v>14129</v>
      </c>
      <c r="J257">
        <v>15921</v>
      </c>
      <c r="K257">
        <v>17787</v>
      </c>
      <c r="L257">
        <v>19728</v>
      </c>
      <c r="M257">
        <v>21770.613720811598</v>
      </c>
      <c r="N257">
        <v>24095.162886687696</v>
      </c>
      <c r="O257">
        <v>26549.380258393299</v>
      </c>
      <c r="P257">
        <v>29120.425798247699</v>
      </c>
    </row>
    <row r="258" spans="2:16">
      <c r="B258" t="s">
        <v>1664</v>
      </c>
      <c r="D258" t="s">
        <v>1136</v>
      </c>
      <c r="F258">
        <v>19001</v>
      </c>
      <c r="G258">
        <v>21139</v>
      </c>
      <c r="H258">
        <v>25619</v>
      </c>
      <c r="I258">
        <v>31493</v>
      </c>
      <c r="J258">
        <v>33220</v>
      </c>
      <c r="K258">
        <v>37035</v>
      </c>
      <c r="L258">
        <v>40300</v>
      </c>
      <c r="M258">
        <v>43979.717689952595</v>
      </c>
      <c r="N258">
        <v>47506.138863746201</v>
      </c>
      <c r="O258">
        <v>50021.763065087202</v>
      </c>
      <c r="P258">
        <v>53248.851812364897</v>
      </c>
    </row>
    <row r="259" spans="2:16">
      <c r="B259" t="s">
        <v>1666</v>
      </c>
      <c r="D259" t="s">
        <v>1136</v>
      </c>
      <c r="F259">
        <v>19906</v>
      </c>
      <c r="G259">
        <v>22048</v>
      </c>
      <c r="H259">
        <v>26552</v>
      </c>
      <c r="I259">
        <v>32429</v>
      </c>
      <c r="J259">
        <v>34155</v>
      </c>
      <c r="K259">
        <v>37954</v>
      </c>
      <c r="L259">
        <v>41220</v>
      </c>
      <c r="M259">
        <v>44903.717689952595</v>
      </c>
      <c r="N259">
        <v>48430.138863746201</v>
      </c>
      <c r="O259">
        <v>50945.763065087202</v>
      </c>
      <c r="P259">
        <v>54172.851812364897</v>
      </c>
    </row>
    <row r="260" spans="2:16">
      <c r="B260" t="s">
        <v>1668</v>
      </c>
      <c r="D260" t="s">
        <v>1136</v>
      </c>
      <c r="F260">
        <v>16569</v>
      </c>
      <c r="G260">
        <v>18371</v>
      </c>
      <c r="H260">
        <v>22811</v>
      </c>
      <c r="I260">
        <v>28533</v>
      </c>
      <c r="J260">
        <v>27525</v>
      </c>
      <c r="K260">
        <v>30990</v>
      </c>
      <c r="L260">
        <v>34138</v>
      </c>
      <c r="M260">
        <v>37607.440191656795</v>
      </c>
      <c r="N260">
        <v>40871.905300361199</v>
      </c>
      <c r="O260">
        <v>43450.416708525096</v>
      </c>
      <c r="P260">
        <v>46708.46679541099</v>
      </c>
    </row>
    <row r="261" spans="2:16">
      <c r="B261" t="s">
        <v>1670</v>
      </c>
      <c r="D261" t="s">
        <v>1136</v>
      </c>
      <c r="F261">
        <v>661</v>
      </c>
      <c r="G261">
        <v>666</v>
      </c>
      <c r="H261">
        <v>1750</v>
      </c>
      <c r="I261">
        <v>4519</v>
      </c>
      <c r="J261">
        <v>6075</v>
      </c>
      <c r="K261">
        <v>4650</v>
      </c>
      <c r="L261">
        <v>4364</v>
      </c>
      <c r="M261">
        <v>3940.5112565947802</v>
      </c>
      <c r="N261">
        <v>4061.47762649795</v>
      </c>
      <c r="O261">
        <v>4338.3430545334604</v>
      </c>
      <c r="P261">
        <v>4574.0578421579994</v>
      </c>
    </row>
    <row r="262" spans="2:16">
      <c r="B262" t="s">
        <v>1672</v>
      </c>
      <c r="D262" t="s">
        <v>1136</v>
      </c>
      <c r="F262">
        <v>15664</v>
      </c>
      <c r="G262">
        <v>17462</v>
      </c>
      <c r="H262">
        <v>21878</v>
      </c>
      <c r="I262">
        <v>27597</v>
      </c>
      <c r="J262">
        <v>26590</v>
      </c>
      <c r="K262">
        <v>30071</v>
      </c>
      <c r="L262">
        <v>33218</v>
      </c>
      <c r="M262">
        <v>36683.440191656795</v>
      </c>
      <c r="N262">
        <v>39947.905300361199</v>
      </c>
      <c r="O262">
        <v>42526.416708525096</v>
      </c>
      <c r="P262">
        <v>45784.46679541099</v>
      </c>
    </row>
    <row r="263" spans="2:16">
      <c r="B263" t="s">
        <v>1674</v>
      </c>
      <c r="D263" t="s">
        <v>1136</v>
      </c>
      <c r="E263">
        <v>0.122</v>
      </c>
    </row>
    <row r="264" spans="2:16">
      <c r="B264" t="s">
        <v>2092</v>
      </c>
      <c r="D264" t="s">
        <v>1136</v>
      </c>
      <c r="F264">
        <v>0</v>
      </c>
      <c r="G264">
        <v>0</v>
      </c>
      <c r="H264">
        <v>0</v>
      </c>
      <c r="I264">
        <v>0</v>
      </c>
      <c r="J264">
        <v>0</v>
      </c>
      <c r="K264">
        <v>0</v>
      </c>
      <c r="L264">
        <v>0</v>
      </c>
      <c r="M264">
        <v>0</v>
      </c>
      <c r="N264">
        <v>0</v>
      </c>
      <c r="O264">
        <v>0</v>
      </c>
      <c r="P264">
        <v>0</v>
      </c>
    </row>
    <row r="265" spans="2:16">
      <c r="B265" t="s">
        <v>1676</v>
      </c>
      <c r="D265" t="s">
        <v>1136</v>
      </c>
      <c r="F265">
        <v>19001</v>
      </c>
      <c r="G265">
        <v>21139</v>
      </c>
      <c r="H265">
        <v>25619</v>
      </c>
      <c r="I265">
        <v>31493</v>
      </c>
      <c r="J265">
        <v>33220</v>
      </c>
      <c r="K265">
        <v>37035</v>
      </c>
      <c r="L265">
        <v>40300</v>
      </c>
      <c r="M265">
        <v>43979.717689952595</v>
      </c>
      <c r="N265">
        <v>47506.138863746201</v>
      </c>
      <c r="O265">
        <v>50021.763065087202</v>
      </c>
      <c r="P265">
        <v>53248.851812364897</v>
      </c>
    </row>
    <row r="266" spans="2:16">
      <c r="B266" t="s">
        <v>1678</v>
      </c>
      <c r="D266" t="s">
        <v>1136</v>
      </c>
      <c r="F266">
        <v>16061</v>
      </c>
      <c r="G266">
        <v>17924</v>
      </c>
      <c r="H266">
        <v>22503</v>
      </c>
      <c r="I266">
        <v>28446</v>
      </c>
      <c r="J266">
        <v>27807</v>
      </c>
      <c r="K266">
        <v>31643</v>
      </c>
      <c r="L266">
        <v>34980</v>
      </c>
      <c r="M266">
        <v>38694.717689952595</v>
      </c>
      <c r="N266">
        <v>42221.138863746201</v>
      </c>
      <c r="O266">
        <v>44736.763065087202</v>
      </c>
      <c r="P266">
        <v>47963.851812364897</v>
      </c>
    </row>
    <row r="267" spans="2:16">
      <c r="B267" t="s">
        <v>1680</v>
      </c>
      <c r="D267" t="s">
        <v>1136</v>
      </c>
      <c r="F267">
        <v>0</v>
      </c>
      <c r="G267">
        <v>0</v>
      </c>
      <c r="H267">
        <v>0</v>
      </c>
      <c r="I267">
        <v>0</v>
      </c>
      <c r="J267">
        <v>0</v>
      </c>
      <c r="K267">
        <v>0</v>
      </c>
      <c r="L267">
        <v>0</v>
      </c>
      <c r="M267">
        <v>0</v>
      </c>
      <c r="N267">
        <v>0</v>
      </c>
      <c r="O267">
        <v>0</v>
      </c>
      <c r="P267">
        <v>0</v>
      </c>
    </row>
    <row r="268" spans="2:16">
      <c r="B268" t="s">
        <v>1682</v>
      </c>
      <c r="D268" t="s">
        <v>1136</v>
      </c>
      <c r="F268">
        <v>0</v>
      </c>
      <c r="G268">
        <v>0</v>
      </c>
      <c r="H268">
        <v>0</v>
      </c>
      <c r="I268">
        <v>0</v>
      </c>
      <c r="J268">
        <v>0</v>
      </c>
      <c r="K268">
        <v>0</v>
      </c>
      <c r="L268">
        <v>0</v>
      </c>
      <c r="M268">
        <v>0</v>
      </c>
      <c r="N268">
        <v>0</v>
      </c>
      <c r="O268">
        <v>0</v>
      </c>
      <c r="P268">
        <v>0</v>
      </c>
    </row>
    <row r="269" spans="2:16">
      <c r="B269" t="s">
        <v>1684</v>
      </c>
      <c r="D269" t="s">
        <v>1136</v>
      </c>
      <c r="F269">
        <v>0</v>
      </c>
      <c r="G269">
        <v>0</v>
      </c>
      <c r="H269">
        <v>0</v>
      </c>
      <c r="I269">
        <v>0</v>
      </c>
      <c r="J269">
        <v>0</v>
      </c>
      <c r="K269">
        <v>0</v>
      </c>
      <c r="L269">
        <v>0</v>
      </c>
      <c r="M269">
        <v>0</v>
      </c>
      <c r="N269">
        <v>0</v>
      </c>
      <c r="O269">
        <v>0</v>
      </c>
      <c r="P269">
        <v>0</v>
      </c>
    </row>
    <row r="270" spans="2:16">
      <c r="B270" t="s">
        <v>1686</v>
      </c>
      <c r="D270" t="s">
        <v>1136</v>
      </c>
    </row>
    <row r="271" spans="2:16">
      <c r="B271" t="s">
        <v>1688</v>
      </c>
      <c r="D271" t="s">
        <v>1136</v>
      </c>
      <c r="F271">
        <v>0</v>
      </c>
      <c r="G271">
        <v>0</v>
      </c>
      <c r="H271">
        <v>0</v>
      </c>
      <c r="I271">
        <v>0</v>
      </c>
      <c r="J271">
        <v>0</v>
      </c>
      <c r="K271">
        <v>0</v>
      </c>
      <c r="L271">
        <v>0</v>
      </c>
      <c r="M271">
        <v>0</v>
      </c>
      <c r="N271">
        <v>0</v>
      </c>
      <c r="O271">
        <v>0</v>
      </c>
      <c r="P271">
        <v>0</v>
      </c>
    </row>
    <row r="272" spans="2:16">
      <c r="B272" t="s">
        <v>1690</v>
      </c>
      <c r="D272" t="s">
        <v>1136</v>
      </c>
      <c r="F272">
        <v>0</v>
      </c>
      <c r="G272">
        <v>0</v>
      </c>
      <c r="H272">
        <v>0</v>
      </c>
      <c r="I272">
        <v>0</v>
      </c>
      <c r="J272">
        <v>0</v>
      </c>
      <c r="K272">
        <v>0</v>
      </c>
      <c r="L272">
        <v>0</v>
      </c>
      <c r="M272">
        <v>0</v>
      </c>
      <c r="N272">
        <v>0</v>
      </c>
      <c r="O272">
        <v>0</v>
      </c>
      <c r="P272">
        <v>0</v>
      </c>
    </row>
    <row r="273" spans="2:16">
      <c r="B273" t="s">
        <v>1691</v>
      </c>
      <c r="D273" t="s">
        <v>1136</v>
      </c>
      <c r="F273">
        <v>34</v>
      </c>
      <c r="G273">
        <v>38</v>
      </c>
      <c r="H273">
        <v>62</v>
      </c>
      <c r="I273">
        <v>65</v>
      </c>
      <c r="J273">
        <v>64</v>
      </c>
      <c r="K273">
        <v>48</v>
      </c>
      <c r="L273">
        <v>49</v>
      </c>
      <c r="M273">
        <v>53</v>
      </c>
      <c r="N273">
        <v>53</v>
      </c>
      <c r="O273">
        <v>53</v>
      </c>
      <c r="P273">
        <v>53</v>
      </c>
    </row>
    <row r="274" spans="2:16">
      <c r="B274" t="s">
        <v>1694</v>
      </c>
      <c r="D274" t="s">
        <v>1136</v>
      </c>
      <c r="F274">
        <v>-1024.0719999999999</v>
      </c>
      <c r="G274">
        <v>-2410.9679999999998</v>
      </c>
      <c r="H274">
        <v>-2571.1460000000002</v>
      </c>
      <c r="I274">
        <v>-2502.8440000000001</v>
      </c>
      <c r="J274">
        <v>-2719.94</v>
      </c>
      <c r="K274">
        <v>-3555.8739999999998</v>
      </c>
      <c r="L274">
        <v>-3766.51</v>
      </c>
      <c r="M274">
        <v>-4149.6469999999999</v>
      </c>
      <c r="N274">
        <v>-4545.6080787986002</v>
      </c>
      <c r="O274">
        <v>-4785.02738858457</v>
      </c>
      <c r="P274">
        <v>-5025.2259760956003</v>
      </c>
    </row>
    <row r="275" spans="2:16">
      <c r="B275" t="s">
        <v>1697</v>
      </c>
      <c r="D275" t="s">
        <v>1136</v>
      </c>
      <c r="F275">
        <v>0</v>
      </c>
      <c r="G275">
        <v>0</v>
      </c>
      <c r="H275">
        <v>0</v>
      </c>
      <c r="I275">
        <v>0</v>
      </c>
      <c r="J275">
        <v>0</v>
      </c>
      <c r="K275">
        <v>0</v>
      </c>
      <c r="L275">
        <v>0</v>
      </c>
      <c r="M275">
        <v>0</v>
      </c>
      <c r="N275">
        <v>0</v>
      </c>
      <c r="O275">
        <v>0</v>
      </c>
      <c r="P275">
        <v>0</v>
      </c>
    </row>
    <row r="276" spans="2:16">
      <c r="B276" t="s">
        <v>1700</v>
      </c>
      <c r="D276" t="s">
        <v>1136</v>
      </c>
      <c r="F276">
        <v>32.256</v>
      </c>
      <c r="G276">
        <v>34.353000000000002</v>
      </c>
      <c r="H276">
        <v>36.924999999999997</v>
      </c>
      <c r="I276">
        <v>37.686999999999998</v>
      </c>
      <c r="J276">
        <v>47.098999999999997</v>
      </c>
      <c r="K276">
        <v>50.296999999999997</v>
      </c>
      <c r="L276">
        <v>48.238999999999997</v>
      </c>
      <c r="M276">
        <v>47.168999999999997</v>
      </c>
      <c r="N276">
        <v>46.168999999999997</v>
      </c>
      <c r="O276">
        <v>46.369</v>
      </c>
      <c r="P276">
        <v>46.469000000000001</v>
      </c>
    </row>
    <row r="277" spans="2:16">
      <c r="B277" t="s">
        <v>1702</v>
      </c>
      <c r="D277" t="s">
        <v>1136</v>
      </c>
      <c r="E277">
        <v>0.95</v>
      </c>
    </row>
    <row r="278" spans="2:16">
      <c r="B278" t="s">
        <v>1704</v>
      </c>
      <c r="D278" t="s">
        <v>1136</v>
      </c>
    </row>
    <row r="279" spans="2:16">
      <c r="B279" t="s">
        <v>1706</v>
      </c>
      <c r="D279" t="s">
        <v>1136</v>
      </c>
      <c r="E279">
        <v>0.06</v>
      </c>
    </row>
    <row r="280" spans="2:16">
      <c r="B280" t="s">
        <v>1708</v>
      </c>
      <c r="D280" t="s">
        <v>1136</v>
      </c>
      <c r="E280">
        <v>6.5000000000000002E-2</v>
      </c>
    </row>
    <row r="281" spans="2:16">
      <c r="B281" t="s">
        <v>2097</v>
      </c>
      <c r="D281" t="s">
        <v>1136</v>
      </c>
      <c r="E281" t="s">
        <v>1136</v>
      </c>
    </row>
    <row r="282" spans="2:16">
      <c r="B282" t="s">
        <v>2098</v>
      </c>
      <c r="D282" t="s">
        <v>1136</v>
      </c>
      <c r="E282" t="s">
        <v>1136</v>
      </c>
    </row>
    <row r="283" spans="2:16">
      <c r="B283" t="s">
        <v>2099</v>
      </c>
      <c r="D283" t="s">
        <v>1136</v>
      </c>
      <c r="E283" t="s">
        <v>1136</v>
      </c>
    </row>
    <row r="284" spans="2:16">
      <c r="B284" t="s">
        <v>1711</v>
      </c>
      <c r="D284" t="s">
        <v>1136</v>
      </c>
      <c r="F284">
        <v>341</v>
      </c>
      <c r="G284">
        <v>580</v>
      </c>
      <c r="H284">
        <v>35</v>
      </c>
      <c r="I284">
        <v>49</v>
      </c>
      <c r="J284">
        <v>397</v>
      </c>
      <c r="K284">
        <v>363</v>
      </c>
      <c r="L284">
        <v>386</v>
      </c>
      <c r="M284">
        <v>376.96520335322202</v>
      </c>
      <c r="N284">
        <v>299.89349583064302</v>
      </c>
      <c r="O284">
        <v>210.874345099252</v>
      </c>
      <c r="P284">
        <v>118.10401939860201</v>
      </c>
    </row>
    <row r="285" spans="2:16">
      <c r="B285" t="s">
        <v>1713</v>
      </c>
      <c r="D285" t="s">
        <v>1136</v>
      </c>
    </row>
    <row r="286" spans="2:16">
      <c r="B286" t="s">
        <v>1714</v>
      </c>
      <c r="D286" t="s">
        <v>1136</v>
      </c>
    </row>
    <row r="287" spans="2:16">
      <c r="B287" t="s">
        <v>1716</v>
      </c>
      <c r="D287" t="s">
        <v>1136</v>
      </c>
      <c r="F287">
        <v>3587</v>
      </c>
      <c r="G287">
        <v>3924</v>
      </c>
      <c r="H287">
        <v>3426</v>
      </c>
      <c r="I287">
        <v>3772</v>
      </c>
      <c r="J287">
        <v>5025</v>
      </c>
      <c r="K287">
        <v>5467</v>
      </c>
      <c r="L287">
        <v>5830</v>
      </c>
      <c r="M287">
        <v>6424.5147208115604</v>
      </c>
      <c r="N287">
        <v>6876.1572446747687</v>
      </c>
      <c r="O287">
        <v>7245.2447602901802</v>
      </c>
      <c r="P287">
        <v>7602.2715159500103</v>
      </c>
    </row>
    <row r="288" spans="2:16">
      <c r="B288" t="s">
        <v>1718</v>
      </c>
      <c r="D288" t="s">
        <v>1136</v>
      </c>
      <c r="F288">
        <v>-38.571428571429003</v>
      </c>
      <c r="G288">
        <v>-52.857142857143003</v>
      </c>
      <c r="H288">
        <v>-65.714285714286007</v>
      </c>
      <c r="I288">
        <v>-47.142857142856997</v>
      </c>
      <c r="J288">
        <v>-15.714285714286</v>
      </c>
      <c r="K288">
        <v>-17.142857142857</v>
      </c>
      <c r="L288">
        <v>-15.714285714286</v>
      </c>
      <c r="M288">
        <v>-8.5714285714289993</v>
      </c>
      <c r="N288">
        <v>-8.5714285714289993</v>
      </c>
      <c r="O288">
        <v>-8.5714285714289993</v>
      </c>
      <c r="P288">
        <v>-8.5714285714289993</v>
      </c>
    </row>
    <row r="289" spans="2:16">
      <c r="B289" t="s">
        <v>1720</v>
      </c>
      <c r="D289" t="s">
        <v>1136</v>
      </c>
      <c r="F289">
        <v>0</v>
      </c>
      <c r="G289">
        <v>0</v>
      </c>
      <c r="H289">
        <v>0</v>
      </c>
      <c r="I289">
        <v>0</v>
      </c>
      <c r="J289">
        <v>0</v>
      </c>
      <c r="K289">
        <v>0</v>
      </c>
      <c r="L289">
        <v>0</v>
      </c>
      <c r="M289">
        <v>0</v>
      </c>
      <c r="N289">
        <v>0</v>
      </c>
      <c r="O289">
        <v>0</v>
      </c>
      <c r="P289">
        <v>0</v>
      </c>
    </row>
    <row r="290" spans="2:16">
      <c r="B290" t="s">
        <v>1722</v>
      </c>
      <c r="D290" t="s">
        <v>1136</v>
      </c>
    </row>
    <row r="291" spans="2:16">
      <c r="B291" t="s">
        <v>1724</v>
      </c>
      <c r="D291" t="s">
        <v>1136</v>
      </c>
    </row>
    <row r="292" spans="2:16">
      <c r="B292" t="s">
        <v>1726</v>
      </c>
      <c r="D292" t="s">
        <v>1136</v>
      </c>
    </row>
    <row r="293" spans="2:16">
      <c r="B293" t="s">
        <v>1728</v>
      </c>
      <c r="D293" t="s">
        <v>1136</v>
      </c>
    </row>
    <row r="294" spans="2:16">
      <c r="B294" t="s">
        <v>1730</v>
      </c>
      <c r="D294" t="s">
        <v>1136</v>
      </c>
    </row>
    <row r="295" spans="2:16">
      <c r="B295" t="s">
        <v>1732</v>
      </c>
      <c r="D295" t="s">
        <v>1136</v>
      </c>
    </row>
    <row r="296" spans="2:16">
      <c r="B296" t="s">
        <v>1734</v>
      </c>
      <c r="D296" t="s">
        <v>1136</v>
      </c>
    </row>
    <row r="297" spans="2:16">
      <c r="B297" t="s">
        <v>1736</v>
      </c>
      <c r="D297" t="s">
        <v>1136</v>
      </c>
    </row>
    <row r="298" spans="2:16">
      <c r="B298" t="s">
        <v>1738</v>
      </c>
      <c r="D298" t="s">
        <v>1136</v>
      </c>
    </row>
    <row r="299" spans="2:16">
      <c r="B299" t="s">
        <v>1741</v>
      </c>
      <c r="D299" t="s">
        <v>1136</v>
      </c>
    </row>
    <row r="300" spans="2:16">
      <c r="B300" t="s">
        <v>1743</v>
      </c>
      <c r="D300" t="s">
        <v>1136</v>
      </c>
    </row>
    <row r="301" spans="2:16">
      <c r="B301" t="s">
        <v>1745</v>
      </c>
      <c r="D301" t="s">
        <v>1136</v>
      </c>
    </row>
    <row r="302" spans="2:16">
      <c r="B302" t="s">
        <v>1747</v>
      </c>
      <c r="D302" t="s">
        <v>1136</v>
      </c>
    </row>
    <row r="303" spans="2:16">
      <c r="B303" t="s">
        <v>1749</v>
      </c>
      <c r="D303" t="s">
        <v>1136</v>
      </c>
    </row>
    <row r="304" spans="2:16">
      <c r="B304" t="s">
        <v>1751</v>
      </c>
      <c r="D304" t="s">
        <v>1136</v>
      </c>
    </row>
    <row r="305" spans="2:16">
      <c r="B305" t="s">
        <v>1754</v>
      </c>
      <c r="D305" t="s">
        <v>1136</v>
      </c>
      <c r="F305">
        <v>0</v>
      </c>
      <c r="G305">
        <v>0</v>
      </c>
      <c r="H305">
        <v>0</v>
      </c>
      <c r="I305">
        <v>0</v>
      </c>
      <c r="J305">
        <v>0</v>
      </c>
      <c r="K305">
        <v>0</v>
      </c>
      <c r="L305">
        <v>0</v>
      </c>
      <c r="M305">
        <v>0</v>
      </c>
      <c r="N305">
        <v>0</v>
      </c>
      <c r="O305">
        <v>0</v>
      </c>
      <c r="P305">
        <v>0</v>
      </c>
    </row>
    <row r="306" spans="2:16">
      <c r="B306" t="s">
        <v>1756</v>
      </c>
      <c r="D306" t="s">
        <v>1136</v>
      </c>
      <c r="F306">
        <v>0</v>
      </c>
      <c r="G306">
        <v>0</v>
      </c>
      <c r="H306">
        <v>0</v>
      </c>
      <c r="I306">
        <v>0</v>
      </c>
      <c r="J306">
        <v>0</v>
      </c>
      <c r="K306">
        <v>0</v>
      </c>
      <c r="L306">
        <v>0</v>
      </c>
      <c r="M306">
        <v>0</v>
      </c>
      <c r="N306">
        <v>0</v>
      </c>
      <c r="O306">
        <v>0</v>
      </c>
      <c r="P306">
        <v>0</v>
      </c>
    </row>
    <row r="307" spans="2:16">
      <c r="B307" t="s">
        <v>1759</v>
      </c>
      <c r="D307" t="s">
        <v>1136</v>
      </c>
      <c r="F307">
        <v>15641</v>
      </c>
      <c r="G307">
        <v>17712</v>
      </c>
      <c r="H307">
        <v>21229</v>
      </c>
      <c r="I307">
        <v>26619</v>
      </c>
      <c r="J307">
        <v>26691</v>
      </c>
      <c r="K307">
        <v>30616</v>
      </c>
      <c r="L307">
        <v>32501</v>
      </c>
      <c r="M307">
        <v>33898.427404735601</v>
      </c>
      <c r="N307">
        <v>36425.893862727899</v>
      </c>
      <c r="O307">
        <v>38296.403132166699</v>
      </c>
      <c r="P307">
        <v>40875.587516219493</v>
      </c>
    </row>
    <row r="308" spans="2:16">
      <c r="B308" t="s">
        <v>1761</v>
      </c>
      <c r="D308" t="s">
        <v>1136</v>
      </c>
      <c r="F308">
        <v>12299</v>
      </c>
      <c r="G308">
        <v>13560</v>
      </c>
      <c r="H308">
        <v>16287</v>
      </c>
      <c r="I308">
        <v>22596</v>
      </c>
      <c r="J308">
        <v>21258</v>
      </c>
      <c r="K308">
        <v>23864</v>
      </c>
      <c r="L308">
        <v>26524</v>
      </c>
      <c r="M308">
        <v>28533.427404735598</v>
      </c>
      <c r="N308">
        <v>31597.393862727895</v>
      </c>
      <c r="O308">
        <v>33950.753132166697</v>
      </c>
      <c r="P308">
        <v>36964.502516219502</v>
      </c>
    </row>
    <row r="309" spans="2:16">
      <c r="B309" t="s">
        <v>1763</v>
      </c>
      <c r="D309" t="s">
        <v>1136</v>
      </c>
    </row>
    <row r="310" spans="2:16">
      <c r="B310" t="s">
        <v>1765</v>
      </c>
      <c r="D310" t="s">
        <v>1136</v>
      </c>
      <c r="F310">
        <v>5.0647462445999998E-2</v>
      </c>
      <c r="G310">
        <v>5.0352083647000001E-2</v>
      </c>
      <c r="H310">
        <v>7.7074725706000005E-2</v>
      </c>
      <c r="I310">
        <v>0.105602037537</v>
      </c>
      <c r="J310">
        <v>0.10100968052000001</v>
      </c>
      <c r="K310">
        <v>0.109357308355</v>
      </c>
      <c r="L310">
        <v>0.10829448575099999</v>
      </c>
      <c r="M310">
        <v>0.100916208775</v>
      </c>
      <c r="N310">
        <v>0.10038117954</v>
      </c>
      <c r="O310">
        <v>9.9361784095000003E-2</v>
      </c>
      <c r="P310">
        <v>9.8743480837999997E-2</v>
      </c>
    </row>
    <row r="311" spans="2:16">
      <c r="B311" t="s">
        <v>1766</v>
      </c>
      <c r="D311" t="s">
        <v>1136</v>
      </c>
      <c r="F311">
        <v>9050</v>
      </c>
      <c r="G311">
        <v>9285</v>
      </c>
      <c r="H311">
        <v>9338</v>
      </c>
      <c r="I311">
        <v>7811</v>
      </c>
      <c r="J311">
        <v>4816</v>
      </c>
      <c r="K311">
        <v>3174</v>
      </c>
      <c r="L311">
        <v>4073</v>
      </c>
      <c r="M311">
        <v>6072.1614385663388</v>
      </c>
      <c r="N311">
        <v>5594.9252136109999</v>
      </c>
      <c r="O311">
        <v>5164.2935080022398</v>
      </c>
      <c r="P311">
        <v>4783.1437867647001</v>
      </c>
    </row>
    <row r="312" spans="2:16">
      <c r="B312" t="s">
        <v>1768</v>
      </c>
      <c r="D312" t="s">
        <v>1136</v>
      </c>
      <c r="F312">
        <v>2.9305001927000002E-2</v>
      </c>
      <c r="G312">
        <v>2.6395612955000002E-2</v>
      </c>
      <c r="H312">
        <v>3.3902858761E-2</v>
      </c>
      <c r="I312">
        <v>3.0987547061000001E-2</v>
      </c>
      <c r="J312">
        <v>1.8225717334999999E-2</v>
      </c>
      <c r="K312">
        <v>1.1337171922000001E-2</v>
      </c>
      <c r="L312">
        <v>1.3571283391E-2</v>
      </c>
      <c r="M312">
        <v>1.8076930357999999E-2</v>
      </c>
      <c r="N312">
        <v>1.5418295416E-2</v>
      </c>
      <c r="O312">
        <v>1.3398997675E-2</v>
      </c>
      <c r="P312">
        <v>1.1554678368000001E-2</v>
      </c>
    </row>
    <row r="313" spans="2:16">
      <c r="B313" t="s">
        <v>1770</v>
      </c>
      <c r="D313" t="s">
        <v>1136</v>
      </c>
      <c r="F313">
        <v>24691</v>
      </c>
      <c r="G313">
        <v>26997</v>
      </c>
      <c r="H313">
        <v>30567</v>
      </c>
      <c r="I313">
        <v>34430</v>
      </c>
      <c r="J313">
        <v>31507</v>
      </c>
      <c r="K313">
        <v>33790</v>
      </c>
      <c r="L313">
        <v>36574</v>
      </c>
      <c r="M313">
        <v>39970.588843302001</v>
      </c>
      <c r="N313">
        <v>42020.819076339001</v>
      </c>
      <c r="O313">
        <v>43460.696640168899</v>
      </c>
      <c r="P313">
        <v>45658.731302984095</v>
      </c>
    </row>
    <row r="314" spans="2:16">
      <c r="B314" t="s">
        <v>1772</v>
      </c>
      <c r="D314" t="s">
        <v>1136</v>
      </c>
      <c r="F314">
        <v>7.9952464373000007E-2</v>
      </c>
      <c r="G314">
        <v>7.6747696603000001E-2</v>
      </c>
      <c r="H314">
        <v>0.110977584467</v>
      </c>
      <c r="I314">
        <v>0.136589584598</v>
      </c>
      <c r="J314">
        <v>0.119234723411</v>
      </c>
      <c r="K314">
        <v>0.120694480277</v>
      </c>
      <c r="L314">
        <v>0.121864993553</v>
      </c>
      <c r="M314">
        <v>0.118993139133</v>
      </c>
      <c r="N314">
        <v>0.11579947495700001</v>
      </c>
      <c r="O314">
        <v>0.112760781771</v>
      </c>
      <c r="P314">
        <v>0.110298159206</v>
      </c>
    </row>
    <row r="315" spans="2:16">
      <c r="B315" t="s">
        <v>1774</v>
      </c>
      <c r="D315" t="s">
        <v>1136</v>
      </c>
      <c r="F315">
        <v>308821</v>
      </c>
      <c r="G315">
        <v>351763</v>
      </c>
      <c r="H315">
        <v>275434</v>
      </c>
      <c r="I315">
        <v>252069</v>
      </c>
      <c r="J315">
        <v>264242</v>
      </c>
      <c r="K315">
        <v>279964</v>
      </c>
      <c r="L315">
        <v>300119</v>
      </c>
      <c r="M315">
        <v>335906.66768251301</v>
      </c>
      <c r="N315">
        <v>362875.73058583197</v>
      </c>
      <c r="O315">
        <v>385423.86774673196</v>
      </c>
      <c r="P315">
        <v>413957.32831428398</v>
      </c>
    </row>
    <row r="316" spans="2:16">
      <c r="B316" t="s">
        <v>1777</v>
      </c>
      <c r="D316" t="s">
        <v>1136</v>
      </c>
      <c r="F316">
        <v>140556</v>
      </c>
      <c r="G316">
        <v>157384</v>
      </c>
      <c r="H316">
        <v>175826</v>
      </c>
      <c r="I316">
        <v>188090</v>
      </c>
      <c r="J316">
        <v>202658</v>
      </c>
      <c r="K316">
        <v>215382</v>
      </c>
      <c r="L316">
        <v>230706</v>
      </c>
      <c r="M316">
        <v>246954.403944169</v>
      </c>
      <c r="N316">
        <v>263133.84117103298</v>
      </c>
      <c r="O316">
        <v>273805.16506838298</v>
      </c>
      <c r="P316">
        <v>286864.41542918392</v>
      </c>
    </row>
    <row r="317" spans="2:16">
      <c r="B317" t="s">
        <v>1779</v>
      </c>
      <c r="D317" t="s">
        <v>1136</v>
      </c>
    </row>
    <row r="318" spans="2:16">
      <c r="B318" t="s">
        <v>1781</v>
      </c>
      <c r="D318" t="s">
        <v>1136</v>
      </c>
    </row>
    <row r="319" spans="2:16">
      <c r="B319" t="s">
        <v>1783</v>
      </c>
      <c r="D319" t="s">
        <v>1136</v>
      </c>
    </row>
    <row r="320" spans="2:16">
      <c r="B320" t="s">
        <v>1785</v>
      </c>
      <c r="D320" t="s">
        <v>1136</v>
      </c>
    </row>
    <row r="321" spans="2:16">
      <c r="B321" t="s">
        <v>1787</v>
      </c>
      <c r="D321" t="s">
        <v>1136</v>
      </c>
    </row>
    <row r="322" spans="2:16">
      <c r="B322" t="s">
        <v>1789</v>
      </c>
      <c r="D322" t="s">
        <v>1136</v>
      </c>
    </row>
    <row r="323" spans="2:16">
      <c r="B323" t="s">
        <v>1791</v>
      </c>
      <c r="D323" t="s">
        <v>1136</v>
      </c>
    </row>
    <row r="324" spans="2:16">
      <c r="B324" t="s">
        <v>1793</v>
      </c>
      <c r="D324" t="s">
        <v>1136</v>
      </c>
    </row>
    <row r="325" spans="2:16">
      <c r="B325" t="s">
        <v>1795</v>
      </c>
      <c r="D325" t="s">
        <v>1136</v>
      </c>
    </row>
    <row r="326" spans="2:16">
      <c r="B326" t="s">
        <v>1797</v>
      </c>
      <c r="D326" t="s">
        <v>1136</v>
      </c>
    </row>
    <row r="327" spans="2:16">
      <c r="B327" t="s">
        <v>1799</v>
      </c>
      <c r="D327" t="s">
        <v>1136</v>
      </c>
      <c r="F327">
        <v>119175</v>
      </c>
      <c r="G327">
        <v>135464</v>
      </c>
      <c r="H327">
        <v>164224</v>
      </c>
      <c r="I327">
        <v>150255</v>
      </c>
      <c r="J327">
        <v>155929</v>
      </c>
      <c r="K327">
        <v>187415</v>
      </c>
      <c r="L327">
        <v>201854</v>
      </c>
      <c r="M327">
        <v>216891.79302296499</v>
      </c>
      <c r="N327">
        <v>235281.196161022</v>
      </c>
      <c r="O327">
        <v>251313.81949144299</v>
      </c>
      <c r="P327">
        <v>271746.94212395902</v>
      </c>
    </row>
    <row r="328" spans="2:16">
      <c r="B328" t="s">
        <v>1801</v>
      </c>
      <c r="D328" t="s">
        <v>1136</v>
      </c>
      <c r="F328">
        <v>259731</v>
      </c>
      <c r="G328">
        <v>292848</v>
      </c>
      <c r="H328">
        <v>340050</v>
      </c>
      <c r="I328">
        <v>338345</v>
      </c>
      <c r="J328">
        <v>358587</v>
      </c>
      <c r="K328">
        <v>402797</v>
      </c>
      <c r="L328">
        <v>432560</v>
      </c>
      <c r="M328">
        <v>463846.19696713402</v>
      </c>
      <c r="N328">
        <v>498415.03733205498</v>
      </c>
      <c r="O328">
        <v>525118.98455982504</v>
      </c>
      <c r="P328">
        <v>558611.35755314305</v>
      </c>
    </row>
    <row r="329" spans="2:16">
      <c r="B329" t="s">
        <v>1803</v>
      </c>
      <c r="D329" t="s">
        <v>1136</v>
      </c>
      <c r="F329">
        <v>79131</v>
      </c>
      <c r="G329">
        <v>88000</v>
      </c>
      <c r="H329">
        <v>103786</v>
      </c>
      <c r="I329">
        <v>99964</v>
      </c>
      <c r="J329">
        <v>102115</v>
      </c>
      <c r="K329">
        <v>113698</v>
      </c>
      <c r="L329">
        <v>122818</v>
      </c>
      <c r="M329">
        <v>143635.07291947596</v>
      </c>
      <c r="N329">
        <v>162180.665216661</v>
      </c>
      <c r="O329">
        <v>168755.60586197101</v>
      </c>
      <c r="P329">
        <v>182415.33481236899</v>
      </c>
    </row>
    <row r="330" spans="2:16">
      <c r="B330" t="s">
        <v>1805</v>
      </c>
      <c r="D330" t="s">
        <v>1136</v>
      </c>
    </row>
    <row r="331" spans="2:16">
      <c r="B331" t="s">
        <v>1807</v>
      </c>
      <c r="D331" t="s">
        <v>1136</v>
      </c>
    </row>
    <row r="332" spans="2:16">
      <c r="B332" t="s">
        <v>1810</v>
      </c>
      <c r="D332" t="s">
        <v>1136</v>
      </c>
      <c r="F332">
        <v>286</v>
      </c>
      <c r="G332">
        <v>270</v>
      </c>
      <c r="H332">
        <v>675</v>
      </c>
      <c r="I332">
        <v>1526</v>
      </c>
      <c r="J332">
        <v>1875</v>
      </c>
      <c r="K332">
        <v>1697</v>
      </c>
      <c r="L332">
        <v>1773</v>
      </c>
      <c r="M332">
        <v>1528.4587403031001</v>
      </c>
      <c r="N332">
        <v>1575.37958212326</v>
      </c>
      <c r="O332">
        <v>1682.7710741943499</v>
      </c>
      <c r="P332">
        <v>1774.20091765958</v>
      </c>
    </row>
    <row r="333" spans="2:16">
      <c r="B333" t="s">
        <v>1812</v>
      </c>
      <c r="D333" t="s">
        <v>1136</v>
      </c>
      <c r="F333">
        <v>1940</v>
      </c>
      <c r="G333">
        <v>1992</v>
      </c>
      <c r="H333">
        <v>2821</v>
      </c>
      <c r="I333">
        <v>3000</v>
      </c>
      <c r="J333">
        <v>3153</v>
      </c>
      <c r="K333">
        <v>3176</v>
      </c>
      <c r="L333">
        <v>2765</v>
      </c>
      <c r="M333">
        <v>2884.3156696319702</v>
      </c>
      <c r="N333">
        <v>3118.81564134779</v>
      </c>
      <c r="O333">
        <v>3317.1656297466998</v>
      </c>
      <c r="P333">
        <v>3568.5236334075398</v>
      </c>
    </row>
    <row r="334" spans="2:16">
      <c r="B334" t="s">
        <v>1814</v>
      </c>
      <c r="D334" t="s">
        <v>1136</v>
      </c>
      <c r="F334">
        <v>2226</v>
      </c>
      <c r="G334">
        <v>2262</v>
      </c>
      <c r="H334">
        <v>3496</v>
      </c>
      <c r="I334">
        <v>4526</v>
      </c>
      <c r="J334">
        <v>5028</v>
      </c>
      <c r="K334">
        <v>4873</v>
      </c>
      <c r="L334">
        <v>4538</v>
      </c>
      <c r="M334">
        <v>4412.7744099350703</v>
      </c>
      <c r="N334">
        <v>4694.1952234710488</v>
      </c>
      <c r="O334">
        <v>4999.936703941049</v>
      </c>
      <c r="P334">
        <v>5342.7245510671191</v>
      </c>
    </row>
    <row r="335" spans="2:16">
      <c r="B335" t="s">
        <v>1816</v>
      </c>
      <c r="D335" t="s">
        <v>1136</v>
      </c>
      <c r="F335">
        <v>-294</v>
      </c>
      <c r="G335">
        <v>-433</v>
      </c>
      <c r="H335">
        <v>-599</v>
      </c>
      <c r="I335">
        <v>-1886</v>
      </c>
      <c r="J335">
        <v>-1584</v>
      </c>
      <c r="K335">
        <v>-1177</v>
      </c>
      <c r="L335">
        <v>-1349</v>
      </c>
      <c r="M335">
        <v>-1339.29671682762</v>
      </c>
      <c r="N335">
        <v>-1239.01123012618</v>
      </c>
      <c r="O335">
        <v>-1321.0477608234701</v>
      </c>
      <c r="P335">
        <v>-1408.6913210781099</v>
      </c>
    </row>
    <row r="336" spans="2:16">
      <c r="B336" t="s">
        <v>1818</v>
      </c>
      <c r="D336" t="s">
        <v>1136</v>
      </c>
      <c r="F336">
        <v>0</v>
      </c>
      <c r="G336">
        <v>0</v>
      </c>
      <c r="H336">
        <v>0</v>
      </c>
      <c r="I336">
        <v>0</v>
      </c>
      <c r="J336">
        <v>0</v>
      </c>
      <c r="K336">
        <v>0</v>
      </c>
      <c r="L336">
        <v>0</v>
      </c>
      <c r="M336">
        <v>0</v>
      </c>
      <c r="N336">
        <v>0</v>
      </c>
      <c r="O336">
        <v>0</v>
      </c>
      <c r="P336">
        <v>0</v>
      </c>
    </row>
    <row r="337" spans="2:16">
      <c r="B337" t="s">
        <v>1820</v>
      </c>
      <c r="D337" t="s">
        <v>1136</v>
      </c>
      <c r="F337">
        <v>-294</v>
      </c>
      <c r="G337">
        <v>-433</v>
      </c>
      <c r="H337">
        <v>-599</v>
      </c>
      <c r="I337">
        <v>-1886</v>
      </c>
      <c r="J337">
        <v>-1584</v>
      </c>
      <c r="K337">
        <v>-1177</v>
      </c>
      <c r="L337">
        <v>-1349</v>
      </c>
      <c r="M337">
        <v>-1339.29671682762</v>
      </c>
      <c r="N337">
        <v>-1239.01123012618</v>
      </c>
      <c r="O337">
        <v>-1321.0477608234701</v>
      </c>
      <c r="P337">
        <v>-1408.6913210781099</v>
      </c>
    </row>
    <row r="338" spans="2:16">
      <c r="B338" t="s">
        <v>1823</v>
      </c>
      <c r="D338" t="s">
        <v>1136</v>
      </c>
      <c r="F338">
        <v>300706</v>
      </c>
      <c r="G338">
        <v>333361</v>
      </c>
      <c r="H338">
        <v>390775</v>
      </c>
      <c r="I338">
        <v>427464</v>
      </c>
      <c r="J338">
        <v>439277</v>
      </c>
      <c r="K338">
        <v>474302</v>
      </c>
      <c r="L338">
        <v>523461</v>
      </c>
      <c r="M338">
        <v>564993.35969775904</v>
      </c>
      <c r="N338">
        <v>609380.63067104295</v>
      </c>
      <c r="O338">
        <v>646399.28850441484</v>
      </c>
      <c r="P338">
        <v>683787.94148317084</v>
      </c>
    </row>
    <row r="339" spans="2:16">
      <c r="B339" t="s">
        <v>1825</v>
      </c>
      <c r="D339" t="s">
        <v>1136</v>
      </c>
      <c r="F339">
        <v>7.4162138434000005E-2</v>
      </c>
      <c r="G339">
        <v>7.8623474252000003E-2</v>
      </c>
      <c r="H339">
        <v>8.3434201267000005E-2</v>
      </c>
      <c r="I339">
        <v>6.1305747384999998E-2</v>
      </c>
      <c r="J339">
        <v>6.0572258507000001E-2</v>
      </c>
      <c r="K339">
        <v>6.4026717154999996E-2</v>
      </c>
      <c r="L339">
        <v>5.8338578863999999E-2</v>
      </c>
      <c r="M339">
        <v>5.0154390411999997E-2</v>
      </c>
      <c r="N339">
        <v>4.6486421668000003E-2</v>
      </c>
      <c r="O339">
        <v>5.0181423051999997E-2</v>
      </c>
      <c r="P339">
        <v>5.8476737776000001E-2</v>
      </c>
    </row>
    <row r="340" spans="2:16">
      <c r="B340" t="s">
        <v>1827</v>
      </c>
      <c r="D340" t="s">
        <v>1136</v>
      </c>
      <c r="F340">
        <v>285170</v>
      </c>
      <c r="G340">
        <v>317642</v>
      </c>
      <c r="H340">
        <v>376027</v>
      </c>
      <c r="I340">
        <v>405445</v>
      </c>
      <c r="J340">
        <v>419766</v>
      </c>
      <c r="K340">
        <v>451646</v>
      </c>
      <c r="L340">
        <v>494947</v>
      </c>
      <c r="M340">
        <v>532506.25529098103</v>
      </c>
      <c r="N340">
        <v>573721.19626417698</v>
      </c>
      <c r="O340">
        <v>608579.22874230996</v>
      </c>
      <c r="P340">
        <v>643347.68750937295</v>
      </c>
    </row>
    <row r="341" spans="2:16">
      <c r="B341" t="s">
        <v>1829</v>
      </c>
      <c r="D341" t="s">
        <v>1136</v>
      </c>
      <c r="F341">
        <v>5.3855594908000001E-2</v>
      </c>
      <c r="G341">
        <v>5.9526133193999999E-2</v>
      </c>
      <c r="H341">
        <v>6.5830379201000003E-2</v>
      </c>
      <c r="I341">
        <v>4.0242203012000002E-2</v>
      </c>
      <c r="J341">
        <v>3.7487552589000002E-2</v>
      </c>
      <c r="K341">
        <v>4.1776081266999998E-2</v>
      </c>
      <c r="L341">
        <v>3.7232269313999998E-2</v>
      </c>
      <c r="M341">
        <v>2.9410011199999999E-2</v>
      </c>
      <c r="N341">
        <v>2.5988944339000002E-2</v>
      </c>
      <c r="O341">
        <v>3.0379810484999999E-2</v>
      </c>
      <c r="P341">
        <v>3.9622975582000002E-2</v>
      </c>
    </row>
    <row r="342" spans="2:16">
      <c r="B342" t="s">
        <v>1832</v>
      </c>
      <c r="D342" t="s">
        <v>1136</v>
      </c>
      <c r="F342">
        <v>2.0306543526E-2</v>
      </c>
      <c r="G342">
        <v>1.9097341058000001E-2</v>
      </c>
      <c r="H342">
        <v>1.7603822065E-2</v>
      </c>
      <c r="I342">
        <v>2.1063544372999999E-2</v>
      </c>
      <c r="J342">
        <v>2.3084705917999999E-2</v>
      </c>
      <c r="K342">
        <v>2.2250635888000001E-2</v>
      </c>
      <c r="L342">
        <v>2.1106365274000002E-2</v>
      </c>
      <c r="M342">
        <v>2.0744379212000001E-2</v>
      </c>
      <c r="N342">
        <v>2.0497477329000001E-2</v>
      </c>
      <c r="O342">
        <v>1.9801612566999999E-2</v>
      </c>
      <c r="P342">
        <v>1.8853762194E-2</v>
      </c>
    </row>
    <row r="343" spans="2:16">
      <c r="B343" t="s">
        <v>1834</v>
      </c>
      <c r="D343" t="s">
        <v>1136</v>
      </c>
      <c r="F343">
        <v>2.3088997226999999E-2</v>
      </c>
      <c r="G343">
        <v>2.1904181953E-2</v>
      </c>
      <c r="H343">
        <v>2.0088286098000001E-2</v>
      </c>
      <c r="I343">
        <v>2.3136451257E-2</v>
      </c>
      <c r="J343">
        <v>2.4749759263999999E-2</v>
      </c>
      <c r="K343">
        <v>2.4246155403E-2</v>
      </c>
      <c r="L343">
        <v>2.3134483753E-2</v>
      </c>
      <c r="M343">
        <v>2.2435454139E-2</v>
      </c>
      <c r="N343">
        <v>2.2018285522000001E-2</v>
      </c>
      <c r="O343">
        <v>2.1579099437E-2</v>
      </c>
      <c r="P343">
        <v>2.1197124950999999E-2</v>
      </c>
    </row>
    <row r="344" spans="2:16">
      <c r="B344" t="s">
        <v>1837</v>
      </c>
      <c r="D344" t="s">
        <v>1136</v>
      </c>
      <c r="F344">
        <v>89786</v>
      </c>
      <c r="G344">
        <v>104231</v>
      </c>
      <c r="H344">
        <v>107933</v>
      </c>
      <c r="I344">
        <v>121473</v>
      </c>
      <c r="J344">
        <v>121989</v>
      </c>
      <c r="K344">
        <v>144146</v>
      </c>
      <c r="L344">
        <v>154535</v>
      </c>
      <c r="M344">
        <v>172890.13330826501</v>
      </c>
      <c r="N344">
        <v>189996.48313525197</v>
      </c>
      <c r="O344">
        <v>202259.82437784498</v>
      </c>
      <c r="P344">
        <v>219018.28361167497</v>
      </c>
    </row>
    <row r="345" spans="2:16">
      <c r="B345" t="s">
        <v>1839</v>
      </c>
      <c r="D345" t="s">
        <v>1136</v>
      </c>
      <c r="F345">
        <v>82608</v>
      </c>
      <c r="G345">
        <v>101503</v>
      </c>
      <c r="H345">
        <v>141571</v>
      </c>
      <c r="I345">
        <v>153078</v>
      </c>
      <c r="J345">
        <v>174997</v>
      </c>
      <c r="K345">
        <v>208754</v>
      </c>
      <c r="L345">
        <v>229151</v>
      </c>
      <c r="M345">
        <v>256381.43569189298</v>
      </c>
      <c r="N345">
        <v>281748.70474403002</v>
      </c>
      <c r="O345">
        <v>299934.20193807501</v>
      </c>
      <c r="P345">
        <v>324785.57868317002</v>
      </c>
    </row>
    <row r="346" spans="2:16">
      <c r="B346" t="s">
        <v>1841</v>
      </c>
      <c r="D346" t="s">
        <v>1136</v>
      </c>
    </row>
    <row r="347" spans="2:16">
      <c r="B347" t="s">
        <v>1843</v>
      </c>
      <c r="D347" t="s">
        <v>1136</v>
      </c>
      <c r="F347">
        <v>172394</v>
      </c>
      <c r="G347">
        <v>205734</v>
      </c>
      <c r="H347">
        <v>249504</v>
      </c>
      <c r="I347">
        <v>274551</v>
      </c>
      <c r="J347">
        <v>296986</v>
      </c>
      <c r="K347">
        <v>352900</v>
      </c>
      <c r="L347">
        <v>383686</v>
      </c>
      <c r="M347">
        <v>429271.56900015898</v>
      </c>
      <c r="N347">
        <v>471745.18787928193</v>
      </c>
      <c r="O347">
        <v>502194.02631591994</v>
      </c>
      <c r="P347">
        <v>543803.86229484505</v>
      </c>
    </row>
    <row r="348" spans="2:16">
      <c r="B348" t="s">
        <v>1846</v>
      </c>
      <c r="D348" t="s">
        <v>1136</v>
      </c>
    </row>
    <row r="349" spans="2:16">
      <c r="B349" t="s">
        <v>1848</v>
      </c>
      <c r="D349" t="s">
        <v>1136</v>
      </c>
    </row>
    <row r="350" spans="2:16">
      <c r="B350" t="s">
        <v>1850</v>
      </c>
      <c r="D350" t="s">
        <v>1136</v>
      </c>
    </row>
    <row r="351" spans="2:16">
      <c r="B351" t="s">
        <v>1852</v>
      </c>
      <c r="D351" t="s">
        <v>1136</v>
      </c>
    </row>
    <row r="352" spans="2:16">
      <c r="B352" t="s">
        <v>1854</v>
      </c>
      <c r="D352" t="s">
        <v>1136</v>
      </c>
    </row>
    <row r="353" spans="2:16">
      <c r="B353" t="s">
        <v>1857</v>
      </c>
      <c r="D353" t="s">
        <v>1136</v>
      </c>
    </row>
    <row r="354" spans="2:16">
      <c r="B354" t="s">
        <v>1859</v>
      </c>
      <c r="D354" t="s">
        <v>1136</v>
      </c>
    </row>
    <row r="355" spans="2:16">
      <c r="B355" t="s">
        <v>1861</v>
      </c>
      <c r="D355" t="s">
        <v>1136</v>
      </c>
    </row>
    <row r="356" spans="2:16">
      <c r="B356" t="s">
        <v>1863</v>
      </c>
      <c r="D356" t="s">
        <v>1136</v>
      </c>
    </row>
    <row r="357" spans="2:16">
      <c r="B357" t="s">
        <v>1865</v>
      </c>
      <c r="D357" t="s">
        <v>1136</v>
      </c>
    </row>
    <row r="358" spans="2:16">
      <c r="B358" t="s">
        <v>1867</v>
      </c>
      <c r="D358" t="s">
        <v>1136</v>
      </c>
    </row>
    <row r="359" spans="2:16">
      <c r="B359" t="s">
        <v>1869</v>
      </c>
      <c r="D359" t="s">
        <v>1136</v>
      </c>
    </row>
    <row r="360" spans="2:16">
      <c r="B360" t="s">
        <v>1870</v>
      </c>
      <c r="D360" t="s">
        <v>1136</v>
      </c>
      <c r="F360">
        <v>10330.57</v>
      </c>
      <c r="G360">
        <v>11288.07</v>
      </c>
      <c r="H360">
        <v>12275.46</v>
      </c>
      <c r="I360">
        <v>14292.48</v>
      </c>
      <c r="J360">
        <v>15934</v>
      </c>
      <c r="K360">
        <v>16868</v>
      </c>
      <c r="L360">
        <v>17908</v>
      </c>
      <c r="M360">
        <v>18447.5371934619</v>
      </c>
      <c r="N360">
        <v>19645.288583232799</v>
      </c>
      <c r="O360">
        <v>20669.207123459801</v>
      </c>
      <c r="P360">
        <v>21739.438868440695</v>
      </c>
    </row>
    <row r="361" spans="2:16">
      <c r="B361" t="s">
        <v>1872</v>
      </c>
      <c r="D361" t="s">
        <v>1136</v>
      </c>
    </row>
    <row r="362" spans="2:16">
      <c r="B362" t="s">
        <v>1874</v>
      </c>
      <c r="D362" t="s">
        <v>1136</v>
      </c>
    </row>
    <row r="363" spans="2:16">
      <c r="B363" t="s">
        <v>1876</v>
      </c>
      <c r="D363" t="s">
        <v>1136</v>
      </c>
    </row>
    <row r="364" spans="2:16">
      <c r="B364" t="s">
        <v>1878</v>
      </c>
      <c r="D364" t="s">
        <v>1136</v>
      </c>
    </row>
    <row r="365" spans="2:16">
      <c r="B365" t="s">
        <v>1880</v>
      </c>
      <c r="D365" t="s">
        <v>1136</v>
      </c>
    </row>
    <row r="366" spans="2:16">
      <c r="B366" t="s">
        <v>1882</v>
      </c>
      <c r="D366" t="s">
        <v>1136</v>
      </c>
    </row>
    <row r="367" spans="2:16">
      <c r="B367" t="s">
        <v>1884</v>
      </c>
      <c r="D367" t="s">
        <v>1136</v>
      </c>
    </row>
    <row r="368" spans="2:16">
      <c r="B368" t="s">
        <v>1887</v>
      </c>
      <c r="D368" t="s">
        <v>1136</v>
      </c>
    </row>
    <row r="369" spans="2:16">
      <c r="B369" t="s">
        <v>1889</v>
      </c>
      <c r="D369" t="s">
        <v>1136</v>
      </c>
    </row>
    <row r="370" spans="2:16">
      <c r="B370" t="s">
        <v>1891</v>
      </c>
      <c r="D370" t="s">
        <v>1136</v>
      </c>
    </row>
    <row r="371" spans="2:16">
      <c r="B371" t="s">
        <v>1893</v>
      </c>
      <c r="D371" t="s">
        <v>1136</v>
      </c>
    </row>
    <row r="372" spans="2:16">
      <c r="B372" t="s">
        <v>1895</v>
      </c>
      <c r="D372" t="s">
        <v>1136</v>
      </c>
    </row>
    <row r="373" spans="2:16">
      <c r="B373" t="s">
        <v>1897</v>
      </c>
      <c r="D373" t="s">
        <v>1136</v>
      </c>
    </row>
    <row r="374" spans="2:16">
      <c r="B374" t="s">
        <v>1899</v>
      </c>
      <c r="D374" t="s">
        <v>1136</v>
      </c>
    </row>
    <row r="375" spans="2:16">
      <c r="B375" t="s">
        <v>1901</v>
      </c>
      <c r="D375" t="s">
        <v>1136</v>
      </c>
      <c r="F375">
        <v>5102.4799999999996</v>
      </c>
      <c r="G375">
        <v>5580.81</v>
      </c>
      <c r="H375">
        <v>4498.1399999999994</v>
      </c>
      <c r="I375">
        <v>4774.67</v>
      </c>
      <c r="J375">
        <v>7128</v>
      </c>
      <c r="K375">
        <v>7642</v>
      </c>
      <c r="L375">
        <v>8344</v>
      </c>
      <c r="M375">
        <v>8990.5535148333493</v>
      </c>
      <c r="N375">
        <v>9621.6059650256502</v>
      </c>
      <c r="O375">
        <v>10137.309356</v>
      </c>
      <c r="P375">
        <v>10636.160985417499</v>
      </c>
    </row>
    <row r="376" spans="2:16">
      <c r="B376" t="s">
        <v>1903</v>
      </c>
      <c r="D376" t="s">
        <v>1136</v>
      </c>
    </row>
    <row r="377" spans="2:16">
      <c r="B377" t="s">
        <v>1905</v>
      </c>
      <c r="D377" t="s">
        <v>1136</v>
      </c>
    </row>
    <row r="378" spans="2:16">
      <c r="B378" t="s">
        <v>1907</v>
      </c>
      <c r="D378" t="s">
        <v>1136</v>
      </c>
    </row>
    <row r="379" spans="2:16">
      <c r="B379" t="s">
        <v>1909</v>
      </c>
      <c r="D379" t="s">
        <v>1136</v>
      </c>
    </row>
    <row r="380" spans="2:16">
      <c r="B380" t="s">
        <v>1911</v>
      </c>
      <c r="D380" t="s">
        <v>1136</v>
      </c>
    </row>
    <row r="381" spans="2:16">
      <c r="B381" t="s">
        <v>1913</v>
      </c>
      <c r="D381" t="s">
        <v>1136</v>
      </c>
    </row>
    <row r="382" spans="2:16">
      <c r="B382" t="s">
        <v>1915</v>
      </c>
      <c r="D382" t="s">
        <v>1136</v>
      </c>
    </row>
    <row r="383" spans="2:16">
      <c r="B383" t="s">
        <v>1918</v>
      </c>
      <c r="D383" t="s">
        <v>1136</v>
      </c>
      <c r="F383">
        <v>321495.64187563298</v>
      </c>
      <c r="G383">
        <v>376667.65461946098</v>
      </c>
      <c r="H383">
        <v>441249.76224084699</v>
      </c>
      <c r="I383">
        <v>450044.97763525392</v>
      </c>
      <c r="J383">
        <v>490616.85235103301</v>
      </c>
      <c r="K383">
        <v>545705.30542432005</v>
      </c>
      <c r="L383">
        <v>575196.21571805084</v>
      </c>
      <c r="M383">
        <v>609626.03126244899</v>
      </c>
      <c r="N383">
        <v>643701.96872467292</v>
      </c>
      <c r="O383">
        <v>671972.1780974539</v>
      </c>
      <c r="P383">
        <v>704026.72689759685</v>
      </c>
    </row>
    <row r="384" spans="2:16">
      <c r="B384" t="s">
        <v>1920</v>
      </c>
      <c r="D384" t="s">
        <v>1136</v>
      </c>
    </row>
    <row r="385" spans="2:16">
      <c r="B385" t="s">
        <v>1922</v>
      </c>
      <c r="D385" t="s">
        <v>1136</v>
      </c>
    </row>
    <row r="386" spans="2:16">
      <c r="B386" t="s">
        <v>1924</v>
      </c>
      <c r="D386" t="s">
        <v>1136</v>
      </c>
    </row>
    <row r="387" spans="2:16">
      <c r="B387" t="s">
        <v>1926</v>
      </c>
      <c r="D387" t="s">
        <v>1136</v>
      </c>
    </row>
    <row r="388" spans="2:16">
      <c r="B388" t="s">
        <v>1928</v>
      </c>
      <c r="D388" t="s">
        <v>1136</v>
      </c>
      <c r="F388">
        <v>13144.3581243671</v>
      </c>
      <c r="G388">
        <v>16105.3453805387</v>
      </c>
      <c r="H388">
        <v>29043.237759153097</v>
      </c>
      <c r="I388">
        <v>26942.022364746001</v>
      </c>
      <c r="J388">
        <v>41086.147648966595</v>
      </c>
      <c r="K388">
        <v>58507.69457567959</v>
      </c>
      <c r="L388">
        <v>66930.784281949294</v>
      </c>
      <c r="M388">
        <v>89465.709418340295</v>
      </c>
      <c r="N388">
        <v>107412.59506684801</v>
      </c>
      <c r="O388">
        <v>119423.242637248</v>
      </c>
      <c r="P388">
        <v>137841.44237122699</v>
      </c>
    </row>
    <row r="389" spans="2:16">
      <c r="B389" t="s">
        <v>1930</v>
      </c>
      <c r="D389" t="s">
        <v>1136</v>
      </c>
    </row>
    <row r="390" spans="2:16">
      <c r="B390" t="s">
        <v>1931</v>
      </c>
      <c r="D390" t="s">
        <v>1136</v>
      </c>
      <c r="F390">
        <v>334640</v>
      </c>
      <c r="G390">
        <v>392773</v>
      </c>
      <c r="H390">
        <v>470293</v>
      </c>
      <c r="I390">
        <v>476987</v>
      </c>
      <c r="J390">
        <v>531703</v>
      </c>
      <c r="K390">
        <v>604213</v>
      </c>
      <c r="L390">
        <v>642127</v>
      </c>
      <c r="M390">
        <v>699091.74068078888</v>
      </c>
      <c r="N390">
        <v>751114.56379152101</v>
      </c>
      <c r="O390">
        <v>791395.42073470203</v>
      </c>
      <c r="P390">
        <v>841868.16926882404</v>
      </c>
    </row>
    <row r="391" spans="2:16">
      <c r="B391" t="s">
        <v>1933</v>
      </c>
      <c r="D391" t="s">
        <v>1136</v>
      </c>
    </row>
    <row r="392" spans="2:16">
      <c r="B392" t="s">
        <v>1935</v>
      </c>
      <c r="D392" t="s">
        <v>1136</v>
      </c>
    </row>
    <row r="393" spans="2:16">
      <c r="B393" t="s">
        <v>1937</v>
      </c>
      <c r="D393" t="s">
        <v>1136</v>
      </c>
    </row>
    <row r="394" spans="2:16">
      <c r="B394" t="s">
        <v>1939</v>
      </c>
      <c r="D394" t="s">
        <v>1136</v>
      </c>
    </row>
    <row r="395" spans="2:16">
      <c r="B395" t="s">
        <v>1941</v>
      </c>
      <c r="D395" t="s">
        <v>1136</v>
      </c>
    </row>
    <row r="396" spans="2:16">
      <c r="B396" t="s">
        <v>1943</v>
      </c>
      <c r="D396" t="s">
        <v>1136</v>
      </c>
    </row>
    <row r="397" spans="2:16">
      <c r="B397" t="s">
        <v>1945</v>
      </c>
      <c r="D397" t="s">
        <v>1136</v>
      </c>
    </row>
    <row r="398" spans="2:16">
      <c r="B398" t="s">
        <v>1948</v>
      </c>
      <c r="D398" t="s">
        <v>1136</v>
      </c>
    </row>
    <row r="399" spans="2:16">
      <c r="B399" t="s">
        <v>1950</v>
      </c>
      <c r="D399" t="s">
        <v>1136</v>
      </c>
    </row>
    <row r="400" spans="2:16">
      <c r="B400" t="s">
        <v>1952</v>
      </c>
      <c r="D400" t="s">
        <v>1136</v>
      </c>
    </row>
    <row r="401" spans="2:4">
      <c r="B401" t="s">
        <v>1954</v>
      </c>
      <c r="D401" t="s">
        <v>1136</v>
      </c>
    </row>
    <row r="402" spans="2:4">
      <c r="B402" t="s">
        <v>1956</v>
      </c>
      <c r="D402" t="s">
        <v>1136</v>
      </c>
    </row>
    <row r="403" spans="2:4">
      <c r="B403" t="s">
        <v>1958</v>
      </c>
      <c r="D403" t="s">
        <v>1136</v>
      </c>
    </row>
    <row r="404" spans="2:4">
      <c r="B404" t="s">
        <v>1960</v>
      </c>
      <c r="D404" t="s">
        <v>1136</v>
      </c>
    </row>
    <row r="405" spans="2:4">
      <c r="B405" t="s">
        <v>1962</v>
      </c>
      <c r="D405" t="s">
        <v>1136</v>
      </c>
    </row>
    <row r="406" spans="2:4">
      <c r="B406" t="s">
        <v>1964</v>
      </c>
      <c r="D406" t="s">
        <v>1136</v>
      </c>
    </row>
    <row r="407" spans="2:4">
      <c r="B407" t="s">
        <v>1966</v>
      </c>
      <c r="D407" t="s">
        <v>1136</v>
      </c>
    </row>
    <row r="408" spans="2:4">
      <c r="B408" t="s">
        <v>1968</v>
      </c>
      <c r="D408" t="s">
        <v>1136</v>
      </c>
    </row>
    <row r="409" spans="2:4">
      <c r="B409" t="s">
        <v>1970</v>
      </c>
      <c r="D409" t="s">
        <v>1136</v>
      </c>
    </row>
    <row r="410" spans="2:4">
      <c r="B410" t="s">
        <v>1972</v>
      </c>
      <c r="D410" t="s">
        <v>1136</v>
      </c>
    </row>
    <row r="411" spans="2:4">
      <c r="B411" t="s">
        <v>1974</v>
      </c>
      <c r="D411" t="s">
        <v>1136</v>
      </c>
    </row>
    <row r="412" spans="2:4">
      <c r="B412" t="s">
        <v>1976</v>
      </c>
      <c r="D412" t="s">
        <v>1136</v>
      </c>
    </row>
    <row r="413" spans="2:4">
      <c r="B413" t="s">
        <v>1978</v>
      </c>
      <c r="D413" t="s">
        <v>1136</v>
      </c>
    </row>
    <row r="414" spans="2:4">
      <c r="B414" t="s">
        <v>1980</v>
      </c>
      <c r="D414" t="s">
        <v>1136</v>
      </c>
    </row>
    <row r="415" spans="2:4">
      <c r="B415" t="s">
        <v>1982</v>
      </c>
      <c r="D415" t="s">
        <v>1136</v>
      </c>
    </row>
    <row r="416" spans="2:4">
      <c r="B416" t="s">
        <v>1984</v>
      </c>
      <c r="D416" t="s">
        <v>1136</v>
      </c>
    </row>
    <row r="417" spans="2:16">
      <c r="B417" t="s">
        <v>1986</v>
      </c>
      <c r="D417" t="s">
        <v>1136</v>
      </c>
    </row>
    <row r="418" spans="2:16">
      <c r="B418" t="s">
        <v>1988</v>
      </c>
      <c r="D418" t="s">
        <v>1136</v>
      </c>
    </row>
    <row r="419" spans="2:16">
      <c r="B419" t="s">
        <v>1990</v>
      </c>
      <c r="D419" t="s">
        <v>1136</v>
      </c>
    </row>
    <row r="420" spans="2:16">
      <c r="B420" t="s">
        <v>1992</v>
      </c>
      <c r="D420" t="s">
        <v>1136</v>
      </c>
    </row>
    <row r="421" spans="2:16">
      <c r="B421" t="s">
        <v>1994</v>
      </c>
      <c r="D421" t="s">
        <v>1136</v>
      </c>
    </row>
    <row r="422" spans="2:16">
      <c r="B422" t="s">
        <v>1996</v>
      </c>
      <c r="D422" t="s">
        <v>1136</v>
      </c>
    </row>
    <row r="423" spans="2:16">
      <c r="B423" t="s">
        <v>1998</v>
      </c>
      <c r="D423" t="s">
        <v>1136</v>
      </c>
    </row>
    <row r="424" spans="2:16">
      <c r="B424" t="s">
        <v>2000</v>
      </c>
      <c r="D424" t="s">
        <v>1136</v>
      </c>
    </row>
    <row r="425" spans="2:16">
      <c r="B425" t="s">
        <v>2002</v>
      </c>
      <c r="D425" t="s">
        <v>1136</v>
      </c>
    </row>
    <row r="426" spans="2:16">
      <c r="B426" t="s">
        <v>2004</v>
      </c>
      <c r="D426" t="s">
        <v>1136</v>
      </c>
      <c r="F426">
        <v>1</v>
      </c>
      <c r="G426">
        <v>1</v>
      </c>
      <c r="H426">
        <v>1</v>
      </c>
      <c r="I426">
        <v>1</v>
      </c>
      <c r="J426">
        <v>1</v>
      </c>
      <c r="K426">
        <v>1</v>
      </c>
      <c r="L426">
        <v>1</v>
      </c>
      <c r="M426">
        <v>1</v>
      </c>
      <c r="N426">
        <v>1</v>
      </c>
      <c r="O426">
        <v>1</v>
      </c>
      <c r="P426">
        <v>1</v>
      </c>
    </row>
    <row r="427" spans="2:16">
      <c r="B427" t="s">
        <v>2006</v>
      </c>
      <c r="D427" t="s">
        <v>1136</v>
      </c>
    </row>
    <row r="428" spans="2:16">
      <c r="B428" t="s">
        <v>2008</v>
      </c>
      <c r="D428" t="s">
        <v>1136</v>
      </c>
    </row>
    <row r="429" spans="2:16">
      <c r="B429" t="s">
        <v>2010</v>
      </c>
      <c r="D429" t="s">
        <v>1136</v>
      </c>
    </row>
    <row r="430" spans="2:16">
      <c r="B430" t="s">
        <v>2012</v>
      </c>
      <c r="D430" t="s">
        <v>1136</v>
      </c>
    </row>
    <row r="431" spans="2:16">
      <c r="B431" t="s">
        <v>2014</v>
      </c>
      <c r="D431" t="s">
        <v>1136</v>
      </c>
    </row>
    <row r="432" spans="2:16">
      <c r="B432" t="s">
        <v>2016</v>
      </c>
      <c r="D432" t="s">
        <v>1136</v>
      </c>
    </row>
    <row r="433" spans="2:16">
      <c r="B433" t="s">
        <v>2018</v>
      </c>
      <c r="D433" t="s">
        <v>1136</v>
      </c>
      <c r="F433">
        <v>1</v>
      </c>
      <c r="G433">
        <v>1</v>
      </c>
      <c r="H433">
        <v>1</v>
      </c>
      <c r="I433">
        <v>1</v>
      </c>
      <c r="J433">
        <v>1</v>
      </c>
      <c r="K433">
        <v>1</v>
      </c>
      <c r="L433">
        <v>1</v>
      </c>
      <c r="M433">
        <v>1</v>
      </c>
      <c r="N433">
        <v>1</v>
      </c>
      <c r="O433">
        <v>1</v>
      </c>
      <c r="P433">
        <v>1</v>
      </c>
    </row>
    <row r="434" spans="2:16">
      <c r="B434" t="s">
        <v>2020</v>
      </c>
      <c r="D434" t="s">
        <v>1136</v>
      </c>
    </row>
    <row r="435" spans="2:16">
      <c r="B435" t="s">
        <v>2022</v>
      </c>
      <c r="D435" t="s">
        <v>1136</v>
      </c>
    </row>
    <row r="436" spans="2:16">
      <c r="B436" t="s">
        <v>2024</v>
      </c>
      <c r="D436" t="s">
        <v>1136</v>
      </c>
    </row>
    <row r="437" spans="2:16">
      <c r="B437" t="s">
        <v>2026</v>
      </c>
      <c r="D437" t="s">
        <v>1136</v>
      </c>
    </row>
    <row r="438" spans="2:16">
      <c r="B438" t="s">
        <v>2028</v>
      </c>
      <c r="D438" t="s">
        <v>1136</v>
      </c>
    </row>
    <row r="439" spans="2:16">
      <c r="B439" t="s">
        <v>2030</v>
      </c>
      <c r="D439" t="s">
        <v>1136</v>
      </c>
    </row>
    <row r="440" spans="2:16">
      <c r="B440" t="s">
        <v>2032</v>
      </c>
      <c r="D440" t="s">
        <v>1136</v>
      </c>
    </row>
    <row r="441" spans="2:16">
      <c r="B441" t="s">
        <v>2034</v>
      </c>
      <c r="D441" t="s">
        <v>1136</v>
      </c>
    </row>
    <row r="442" spans="2:16">
      <c r="B442" t="s">
        <v>2036</v>
      </c>
      <c r="D442" t="s">
        <v>1136</v>
      </c>
    </row>
    <row r="443" spans="2:16">
      <c r="B443" t="s">
        <v>2037</v>
      </c>
      <c r="D443" t="s">
        <v>1136</v>
      </c>
    </row>
    <row r="444" spans="2:16">
      <c r="B444" t="s">
        <v>2038</v>
      </c>
      <c r="D444" t="s">
        <v>1136</v>
      </c>
    </row>
    <row r="445" spans="2:16">
      <c r="B445" t="s">
        <v>2039</v>
      </c>
      <c r="D445" t="s">
        <v>1136</v>
      </c>
    </row>
    <row r="446" spans="2:16">
      <c r="B446" t="s">
        <v>2040</v>
      </c>
      <c r="D446" t="s">
        <v>1136</v>
      </c>
    </row>
    <row r="447" spans="2:16">
      <c r="B447" t="s">
        <v>2041</v>
      </c>
      <c r="D447" t="s">
        <v>1136</v>
      </c>
    </row>
    <row r="448" spans="2:16">
      <c r="B448" t="s">
        <v>2042</v>
      </c>
      <c r="D448" t="s">
        <v>1136</v>
      </c>
    </row>
    <row r="449" spans="2:16">
      <c r="B449" t="s">
        <v>2043</v>
      </c>
      <c r="D449" t="s">
        <v>1136</v>
      </c>
    </row>
    <row r="450" spans="2:16">
      <c r="B450" t="s">
        <v>2044</v>
      </c>
      <c r="D450" t="s">
        <v>1136</v>
      </c>
    </row>
    <row r="451" spans="2:16">
      <c r="B451" t="s">
        <v>2045</v>
      </c>
      <c r="D451" t="s">
        <v>1136</v>
      </c>
    </row>
    <row r="452" spans="2:16">
      <c r="B452" t="s">
        <v>2046</v>
      </c>
      <c r="D452" t="s">
        <v>1136</v>
      </c>
    </row>
    <row r="453" spans="2:16">
      <c r="B453" t="s">
        <v>2047</v>
      </c>
      <c r="D453" t="s">
        <v>1136</v>
      </c>
    </row>
    <row r="454" spans="2:16">
      <c r="B454" t="s">
        <v>2048</v>
      </c>
      <c r="D454" t="s">
        <v>1136</v>
      </c>
    </row>
    <row r="455" spans="2:16">
      <c r="B455" t="s">
        <v>2049</v>
      </c>
      <c r="D455" t="s">
        <v>1136</v>
      </c>
    </row>
    <row r="456" spans="2:16">
      <c r="B456" t="s">
        <v>2050</v>
      </c>
      <c r="D456" t="s">
        <v>1136</v>
      </c>
    </row>
    <row r="457" spans="2:16">
      <c r="B457" t="s">
        <v>2051</v>
      </c>
      <c r="D457" t="s">
        <v>1136</v>
      </c>
    </row>
    <row r="458" spans="2:16">
      <c r="B458" t="s">
        <v>2052</v>
      </c>
      <c r="D458" t="s">
        <v>1136</v>
      </c>
    </row>
    <row r="459" spans="2:16">
      <c r="B459" t="s">
        <v>2054</v>
      </c>
      <c r="D459" t="s">
        <v>1136</v>
      </c>
    </row>
    <row r="460" spans="2:16">
      <c r="B460" t="s">
        <v>2056</v>
      </c>
      <c r="D460" t="s">
        <v>1136</v>
      </c>
    </row>
    <row r="461" spans="2:16">
      <c r="B461" t="s">
        <v>2058</v>
      </c>
      <c r="D461" t="s">
        <v>1136</v>
      </c>
    </row>
    <row r="462" spans="2:16">
      <c r="B462" t="s">
        <v>2060</v>
      </c>
      <c r="D462" t="s">
        <v>1136</v>
      </c>
    </row>
    <row r="463" spans="2:16">
      <c r="B463" t="s">
        <v>2062</v>
      </c>
      <c r="D463" t="s">
        <v>1136</v>
      </c>
      <c r="F463">
        <v>1</v>
      </c>
      <c r="G463">
        <v>1</v>
      </c>
      <c r="H463">
        <v>1</v>
      </c>
      <c r="I463">
        <v>1</v>
      </c>
      <c r="J463">
        <v>1</v>
      </c>
      <c r="K463">
        <v>1</v>
      </c>
      <c r="L463">
        <v>1</v>
      </c>
      <c r="M463">
        <v>1</v>
      </c>
      <c r="N463">
        <v>1</v>
      </c>
      <c r="O463">
        <v>1</v>
      </c>
      <c r="P463">
        <v>1</v>
      </c>
    </row>
    <row r="464" spans="2:16">
      <c r="B464" t="s">
        <v>2064</v>
      </c>
      <c r="D464" t="s">
        <v>1136</v>
      </c>
    </row>
    <row r="465" spans="2:4">
      <c r="B465" t="s">
        <v>2066</v>
      </c>
      <c r="D465" t="s">
        <v>1136</v>
      </c>
    </row>
    <row r="466" spans="2:4">
      <c r="B466" t="s">
        <v>2068</v>
      </c>
      <c r="D466" t="s">
        <v>1136</v>
      </c>
    </row>
    <row r="467" spans="2:4">
      <c r="B467" t="s">
        <v>2070</v>
      </c>
      <c r="D467" t="s">
        <v>1136</v>
      </c>
    </row>
    <row r="468" spans="2:4">
      <c r="B468" t="s">
        <v>2072</v>
      </c>
      <c r="D468" t="s">
        <v>1136</v>
      </c>
    </row>
    <row r="469" spans="2:4">
      <c r="B469" t="s">
        <v>2074</v>
      </c>
      <c r="D469" t="s">
        <v>1136</v>
      </c>
    </row>
    <row r="470" spans="2:4">
      <c r="B470" t="s">
        <v>2076</v>
      </c>
      <c r="D470" t="s">
        <v>1136</v>
      </c>
    </row>
    <row r="471" spans="2:4">
      <c r="B471" t="s">
        <v>2078</v>
      </c>
      <c r="D471" t="s">
        <v>1136</v>
      </c>
    </row>
    <row r="472" spans="2:4">
      <c r="B472" t="s">
        <v>2080</v>
      </c>
      <c r="D472" t="s">
        <v>1136</v>
      </c>
    </row>
    <row r="473" spans="2:4">
      <c r="B473" t="s">
        <v>2082</v>
      </c>
      <c r="D473" t="s">
        <v>1136</v>
      </c>
    </row>
    <row r="474" spans="2:4">
      <c r="B474" t="s">
        <v>2084</v>
      </c>
      <c r="D474" t="s">
        <v>1136</v>
      </c>
    </row>
    <row r="475" spans="2:4">
      <c r="B475" t="s">
        <v>2086</v>
      </c>
      <c r="D475" t="s">
        <v>1136</v>
      </c>
    </row>
    <row r="476" spans="2:4">
      <c r="B476" t="s">
        <v>2088</v>
      </c>
      <c r="D476" t="s">
        <v>1136</v>
      </c>
    </row>
    <row r="477" spans="2:4">
      <c r="B477" t="s">
        <v>2090</v>
      </c>
      <c r="D477" t="s">
        <v>1136</v>
      </c>
    </row>
  </sheetData>
  <pageMargins left="0.7" right="0.7" top="0.75" bottom="0.75" header="0.3" footer="0.3"/>
  <pageSetup paperSize="9" orientation="portrait" horizontalDpi="300" verticalDpi="300" r:id="rId1"/>
  <customProperties>
    <customPr name="LIVENUMBERS" r:id="rId2"/>
    <customPr name="Password" r:id="rId3"/>
    <customPr name="Qube.Worksheet.Visibility" r:id="rId4"/>
    <customPr name="REORDER" r:id="rId5"/>
    <customPr name="SHEET_UNIQUE_ID" r:id="rId6"/>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
  <sheetViews>
    <sheetView workbookViewId="0"/>
  </sheetViews>
  <sheetFormatPr defaultRowHeight="12.75"/>
  <sheetData/>
  <pageMargins left="0.7" right="0.7" top="0.75" bottom="0.75" header="0.3" footer="0.3"/>
  <pageSetup paperSize="9" orientation="portrait" horizontalDpi="300" verticalDpi="300" r:id="rId1"/>
  <customProperties>
    <customPr name="Qube.Worksheet.Visibility" r:id="rId2"/>
    <customPr name="SHEET_UNIQUE_ID"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F1:P1"/>
  <sheetViews>
    <sheetView workbookViewId="0"/>
  </sheetViews>
  <sheetFormatPr defaultRowHeight="12.75"/>
  <cols>
    <col min="6" max="6" width="10" style="179" bestFit="1" customWidth="1"/>
    <col min="7" max="8" width="9.5" style="179" bestFit="1" customWidth="1"/>
    <col min="9" max="9" width="8.875" style="179" customWidth="1"/>
    <col min="10" max="12" width="9.625" style="179" bestFit="1" customWidth="1"/>
    <col min="13" max="16" width="9.5" style="179" bestFit="1" customWidth="1"/>
  </cols>
  <sheetData/>
  <dataValidations count="3">
    <dataValidation type="list" allowBlank="1" showInputMessage="1" showErrorMessage="1" sqref="F983051:I983052 F917515:I917516 F851979:I851980 F786443:I786444 F720907:I720908 F655371:I655372 F589835:I589836 F524299:I524300 F458763:I458764 F393227:I393228 F327691:I327692 F262155:I262156 F196619:I196620 F131083:I131084 F65547:I65548" xr:uid="{00000000-0002-0000-0200-000000000000}">
      <formula1>"Buy,Sell,(remove)"</formula1>
    </dataValidation>
    <dataValidation type="list" allowBlank="1" showInputMessage="1" showErrorMessage="1" sqref="F983053:I983053 F917517:I917517 F851981:I851981 F786445:I786445 F720909:I720909 F655373:I655373 F589837:I589837 F524301:I524301 F458765:I458765 F393229:I393229 F327693:I327693 F262157:I262157 F196621:I196621 F131085:I131085 F65549:I65549" xr:uid="{00000000-0002-0000-0200-000001000000}">
      <formula1>"Not Rated,Coverage Suspended,Rating Suspended,(remove)"</formula1>
    </dataValidation>
    <dataValidation type="list" allowBlank="1" showInputMessage="1" showErrorMessage="1" sqref="F983055:I983055 F917519:I917519 F851983:I851983 F786447:I786447 F720911:I720911 F655375:I655375 F589839:I589839 F524303:I524303 F458767:I458767 F393231:I393231 F327695:I327695 F262159:I262159 F196623:I196623 F131087:I131087 F65551:I65551" xr:uid="{00000000-0002-0000-0200-000002000000}">
      <formula1>"6 months,12 months,18 months,2 years,1 month,3 months,9 months,3 years,(remove)"</formula1>
    </dataValidation>
  </dataValidations>
  <pageMargins left="0.7" right="0.7" top="0.75" bottom="0.75" header="0.3" footer="0.3"/>
  <pageSetup paperSize="9" orientation="portrait" horizontalDpi="300" verticalDpi="300" r:id="rId1"/>
  <customProperties>
    <customPr name="Qube.Worksheet.Visibility" r:id="rId2"/>
    <customPr name="SHEET_UNIQUE_ID" r:id="rId3"/>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2:S7"/>
  <sheetViews>
    <sheetView workbookViewId="0"/>
  </sheetViews>
  <sheetFormatPr defaultColWidth="9" defaultRowHeight="15"/>
  <cols>
    <col min="1" max="1" width="22.875" style="240" customWidth="1"/>
    <col min="2" max="2" width="14" style="240" customWidth="1"/>
    <col min="3" max="3" width="23.375" style="240" customWidth="1"/>
    <col min="4" max="4" width="9.25" style="240" customWidth="1"/>
    <col min="5" max="5" width="55.5" style="240" customWidth="1"/>
    <col min="6" max="6" width="35.75" style="240" customWidth="1"/>
    <col min="7" max="7" width="26.125" style="240" customWidth="1"/>
    <col min="8" max="8" width="22.875" style="240" customWidth="1"/>
    <col min="9" max="16384" width="9" style="240"/>
  </cols>
  <sheetData>
    <row r="2" spans="1:19" ht="26.25">
      <c r="B2" s="671" t="s">
        <v>2303</v>
      </c>
      <c r="C2" s="671"/>
      <c r="D2" s="671"/>
      <c r="E2" s="671"/>
      <c r="F2" s="245" t="str">
        <f>HYPERLINK("[ANZ_model.xlsm]ANZ.AX_Exchange_Sheet!$A$1","ANZ.AX_Exchange_Sheet")</f>
        <v>ANZ.AX_Exchange_Sheet</v>
      </c>
    </row>
    <row r="3" spans="1:19" ht="23.25">
      <c r="B3" s="241" t="s">
        <v>2308</v>
      </c>
      <c r="C3" s="241"/>
      <c r="D3" s="241"/>
      <c r="E3" s="241"/>
      <c r="F3" s="246" t="str">
        <f>HYPERLINK("[ANZ_model.xlsm]QP_ANZ.AX_migrated!$A$1","QP_ANZ.AX_migrated")</f>
        <v>QP_ANZ.AX_migrated</v>
      </c>
    </row>
    <row r="5" spans="1:19" ht="26.25">
      <c r="A5" s="242"/>
      <c r="B5" s="672" t="s">
        <v>2304</v>
      </c>
      <c r="C5" s="673"/>
      <c r="D5" s="673"/>
      <c r="E5" s="673"/>
      <c r="F5" s="673"/>
      <c r="G5" s="242"/>
      <c r="H5" s="242"/>
      <c r="I5" s="242"/>
      <c r="J5" s="242"/>
      <c r="K5" s="242"/>
      <c r="L5" s="242"/>
      <c r="M5" s="242"/>
      <c r="N5" s="242"/>
      <c r="O5" s="242"/>
      <c r="P5" s="242"/>
      <c r="Q5" s="242"/>
      <c r="R5" s="242"/>
      <c r="S5" s="242"/>
    </row>
    <row r="6" spans="1:19">
      <c r="B6" s="243" t="s">
        <v>2305</v>
      </c>
      <c r="C6" s="674" t="s">
        <v>2306</v>
      </c>
      <c r="D6" s="675"/>
      <c r="E6" s="676" t="s">
        <v>2307</v>
      </c>
      <c r="F6" s="675"/>
    </row>
    <row r="7" spans="1:19">
      <c r="C7" s="244"/>
      <c r="D7" s="244"/>
    </row>
  </sheetData>
  <mergeCells count="4">
    <mergeCell ref="B2:E2"/>
    <mergeCell ref="B5:F5"/>
    <mergeCell ref="C6:D6"/>
    <mergeCell ref="E6:F6"/>
  </mergeCells>
  <conditionalFormatting sqref="B2:E2">
    <cfRule type="containsText" dxfId="0" priority="1" operator="containsText" text="error">
      <formula>NOT(ISERROR(SEARCH("error",B2)))</formula>
    </cfRule>
  </conditionalFormatting>
  <pageMargins left="0.7" right="0.7" top="0.75" bottom="0.75" header="0.3" footer="0.3"/>
  <pageSetup orientation="portrait" r:id="rId1"/>
  <customProperties>
    <customPr name="Qube.Worksheet.Visibility" r:id="rId2"/>
    <customPr name="SHEET_UNIQUE_ID" r:id="rId3"/>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J54"/>
  <sheetViews>
    <sheetView workbookViewId="0"/>
  </sheetViews>
  <sheetFormatPr defaultColWidth="0" defaultRowHeight="0" customHeight="1" zeroHeight="1"/>
  <cols>
    <col min="1" max="1" width="2.25" style="514" customWidth="1"/>
    <col min="2" max="2" width="51.375" style="514" bestFit="1" customWidth="1"/>
    <col min="3" max="3" width="16.125" style="514" customWidth="1"/>
    <col min="4" max="9" width="8" style="514" customWidth="1"/>
    <col min="10" max="10" width="2.25" style="514" customWidth="1"/>
    <col min="11" max="21" width="8" style="514" hidden="1" customWidth="1"/>
    <col min="22" max="16384" width="8" style="514" hidden="1"/>
  </cols>
  <sheetData>
    <row r="1" spans="2:9" ht="5.0999999999999996" customHeight="1"/>
    <row r="2" spans="2:9" ht="18" customHeight="1"/>
    <row r="3" spans="2:9" ht="18" customHeight="1"/>
    <row r="4" spans="2:9" ht="18" customHeight="1">
      <c r="B4" s="515" t="s">
        <v>2434</v>
      </c>
    </row>
    <row r="5" spans="2:9" ht="5.0999999999999996" customHeight="1"/>
    <row r="6" spans="2:9" ht="18" customHeight="1">
      <c r="B6" s="677" t="s">
        <v>2435</v>
      </c>
      <c r="C6" s="677"/>
      <c r="D6" s="677"/>
      <c r="E6" s="677"/>
      <c r="F6" s="677"/>
      <c r="G6" s="677"/>
      <c r="H6" s="677"/>
      <c r="I6" s="677"/>
    </row>
    <row r="7" spans="2:9" ht="18" customHeight="1">
      <c r="B7" s="516" t="s">
        <v>2106</v>
      </c>
      <c r="C7" s="517" t="s">
        <v>1076</v>
      </c>
    </row>
    <row r="8" spans="2:9" ht="18" customHeight="1">
      <c r="B8" s="516" t="s">
        <v>2436</v>
      </c>
      <c r="C8" s="518">
        <f>Summary!$G$10</f>
        <v>40.564236991099477</v>
      </c>
    </row>
    <row r="9" spans="2:9" ht="18" customHeight="1">
      <c r="B9" s="516" t="s">
        <v>2403</v>
      </c>
      <c r="C9" s="519">
        <v>3</v>
      </c>
    </row>
    <row r="10" spans="2:9" ht="18" customHeight="1">
      <c r="B10" s="516" t="s">
        <v>2437</v>
      </c>
      <c r="C10" s="520" t="e">
        <f ca="1">Summary!$C$6</f>
        <v>#NAME?</v>
      </c>
    </row>
    <row r="11" spans="2:9" ht="18" customHeight="1">
      <c r="B11" s="516" t="s">
        <v>2438</v>
      </c>
      <c r="C11" s="520" t="e">
        <f ca="1">C10/Summary!C5</f>
        <v>#NAME?</v>
      </c>
    </row>
    <row r="12" spans="2:9" ht="18" customHeight="1">
      <c r="B12" s="516" t="s">
        <v>2439</v>
      </c>
      <c r="C12" s="517" t="s">
        <v>1136</v>
      </c>
    </row>
    <row r="13" spans="2:9" ht="18" customHeight="1">
      <c r="B13" s="516"/>
      <c r="C13" s="517"/>
    </row>
    <row r="14" spans="2:9" ht="18" customHeight="1">
      <c r="B14" s="516"/>
      <c r="C14" s="517"/>
    </row>
    <row r="15" spans="2:9" ht="5.0999999999999996" customHeight="1"/>
    <row r="16" spans="2:9" ht="18" customHeight="1">
      <c r="B16" s="677" t="s">
        <v>2440</v>
      </c>
      <c r="C16" s="677"/>
      <c r="D16" s="677"/>
      <c r="E16" s="677"/>
      <c r="F16" s="677"/>
      <c r="G16" s="677"/>
      <c r="H16" s="677"/>
      <c r="I16" s="677"/>
    </row>
    <row r="17" spans="2:4" ht="18" customHeight="1">
      <c r="B17" s="521"/>
    </row>
    <row r="18" spans="2:4" ht="18" customHeight="1">
      <c r="B18" s="522" t="s">
        <v>2441</v>
      </c>
      <c r="C18" s="523" t="s">
        <v>2442</v>
      </c>
      <c r="D18" s="524" t="s">
        <v>2443</v>
      </c>
    </row>
    <row r="19" spans="2:4" ht="18" customHeight="1">
      <c r="B19" s="522" t="s">
        <v>2444</v>
      </c>
      <c r="C19" s="523" t="s">
        <v>2445</v>
      </c>
      <c r="D19" s="524" t="s">
        <v>2446</v>
      </c>
    </row>
    <row r="20" spans="2:4" ht="18" customHeight="1">
      <c r="B20" s="522"/>
      <c r="C20" s="523"/>
      <c r="D20" s="524"/>
    </row>
    <row r="21" spans="2:4" ht="18" customHeight="1"/>
    <row r="22" spans="2:4" ht="18" customHeight="1"/>
    <row r="23" spans="2:4" ht="18" customHeight="1"/>
    <row r="24" spans="2:4" ht="18" customHeight="1"/>
    <row r="25" spans="2:4" ht="18" hidden="1" customHeight="1"/>
    <row r="26" spans="2:4" ht="18" hidden="1" customHeight="1"/>
    <row r="27" spans="2:4" ht="18" hidden="1" customHeight="1"/>
    <row r="28" spans="2:4" ht="18" hidden="1" customHeight="1"/>
    <row r="29" spans="2:4" ht="18" hidden="1" customHeight="1"/>
    <row r="30" spans="2:4" ht="18" hidden="1" customHeight="1"/>
    <row r="31" spans="2:4" ht="18" hidden="1" customHeight="1"/>
    <row r="32" spans="2:4" ht="18" hidden="1" customHeight="1"/>
    <row r="33" ht="18" hidden="1" customHeight="1"/>
    <row r="34" ht="18" hidden="1" customHeight="1"/>
    <row r="35" ht="18" hidden="1" customHeight="1"/>
    <row r="36" ht="18" hidden="1" customHeight="1"/>
    <row r="37" ht="18" hidden="1" customHeight="1"/>
    <row r="38" ht="18" hidden="1" customHeight="1"/>
    <row r="39" ht="18" hidden="1" customHeight="1"/>
    <row r="40" ht="18" hidden="1" customHeight="1"/>
    <row r="41" ht="18" hidden="1" customHeight="1"/>
    <row r="42" ht="18" hidden="1" customHeight="1"/>
    <row r="43" ht="18" hidden="1" customHeight="1"/>
    <row r="44" ht="18" hidden="1" customHeight="1"/>
    <row r="45" ht="18" hidden="1" customHeight="1"/>
    <row r="46" ht="18" hidden="1" customHeight="1"/>
    <row r="47" ht="18" hidden="1" customHeight="1"/>
    <row r="48" ht="18" hidden="1" customHeight="1"/>
    <row r="49" ht="18" hidden="1" customHeight="1"/>
    <row r="50" ht="18" hidden="1" customHeight="1"/>
    <row r="51" ht="18" hidden="1" customHeight="1"/>
    <row r="52" ht="18" hidden="1" customHeight="1"/>
    <row r="53" ht="18" hidden="1" customHeight="1"/>
    <row r="54" ht="18" customHeight="1"/>
  </sheetData>
  <mergeCells count="2">
    <mergeCell ref="B6:I6"/>
    <mergeCell ref="B16:I16"/>
  </mergeCells>
  <dataValidations count="2">
    <dataValidation type="list" allowBlank="1" showInputMessage="1" showErrorMessage="1" sqref="C9" xr:uid="{00000000-0002-0000-0700-000000000000}">
      <formula1>"1, 2, 3"</formula1>
    </dataValidation>
    <dataValidation type="list" allowBlank="1" showInputMessage="1" showErrorMessage="1" sqref="C7" xr:uid="{00000000-0002-0000-0700-000001000000}">
      <formula1>"Buy, Sell, Neutral, Not Rated, Rating Suspended"</formula1>
    </dataValidation>
  </dataValidations>
  <hyperlinks>
    <hyperlink ref="D18" r:id="rId1" xr:uid="{00000000-0004-0000-0700-000000000000}"/>
    <hyperlink ref="D19" r:id="rId2" xr:uid="{00000000-0004-0000-0700-000001000000}"/>
  </hyperlinks>
  <pageMargins left="0.7" right="0.7" top="0.75" bottom="0.75" header="0.3" footer="0.3"/>
  <pageSetup paperSize="9" orientation="portrait" r:id="rId3"/>
  <customProperties>
    <customPr name="Qube.Worksheet.Visibility" r:id="rId4"/>
  </customProperties>
  <drawing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AE537"/>
  <sheetViews>
    <sheetView workbookViewId="0"/>
  </sheetViews>
  <sheetFormatPr defaultColWidth="8" defaultRowHeight="12.75"/>
  <cols>
    <col min="1" max="1" width="3.25" style="179" customWidth="1"/>
    <col min="2" max="2" width="22.5" style="179" customWidth="1"/>
    <col min="3" max="3" width="34.25" style="179" bestFit="1" customWidth="1"/>
    <col min="4" max="4" width="8" style="179" customWidth="1"/>
    <col min="5" max="5" width="15.5" style="179" bestFit="1" customWidth="1"/>
    <col min="17" max="26" width="8.75" style="179" customWidth="1"/>
    <col min="27" max="27" width="8" style="179" customWidth="1"/>
    <col min="28" max="30" width="8.875" style="179" customWidth="1"/>
    <col min="31" max="259" width="8" style="179"/>
    <col min="260" max="260" width="3.25" style="179" customWidth="1"/>
    <col min="261" max="261" width="22.5" style="179" customWidth="1"/>
    <col min="262" max="262" width="34.25" style="179" bestFit="1" customWidth="1"/>
    <col min="263" max="263" width="8" style="179" customWidth="1"/>
    <col min="264" max="264" width="15.5" style="179" bestFit="1" customWidth="1"/>
    <col min="265" max="267" width="8.875" style="179" bestFit="1" customWidth="1"/>
    <col min="268" max="268" width="8.875" style="179" customWidth="1"/>
    <col min="269" max="274" width="8.875" style="179" bestFit="1" customWidth="1"/>
    <col min="275" max="284" width="8.75" style="179" customWidth="1"/>
    <col min="285" max="285" width="8" style="179" customWidth="1"/>
    <col min="286" max="286" width="8.875" style="179" customWidth="1"/>
    <col min="287" max="515" width="8" style="179"/>
    <col min="516" max="516" width="3.25" style="179" customWidth="1"/>
    <col min="517" max="517" width="22.5" style="179" customWidth="1"/>
    <col min="518" max="518" width="34.25" style="179" bestFit="1" customWidth="1"/>
    <col min="519" max="519" width="8" style="179" customWidth="1"/>
    <col min="520" max="520" width="15.5" style="179" bestFit="1" customWidth="1"/>
    <col min="521" max="523" width="8.875" style="179" bestFit="1" customWidth="1"/>
    <col min="524" max="524" width="8.875" style="179" customWidth="1"/>
    <col min="525" max="530" width="8.875" style="179" bestFit="1" customWidth="1"/>
    <col min="531" max="540" width="8.75" style="179" customWidth="1"/>
    <col min="541" max="541" width="8" style="179" customWidth="1"/>
    <col min="542" max="542" width="8.875" style="179" customWidth="1"/>
    <col min="543" max="771" width="8" style="179"/>
    <col min="772" max="772" width="3.25" style="179" customWidth="1"/>
    <col min="773" max="773" width="22.5" style="179" customWidth="1"/>
    <col min="774" max="774" width="34.25" style="179" bestFit="1" customWidth="1"/>
    <col min="775" max="775" width="8" style="179" customWidth="1"/>
    <col min="776" max="776" width="15.5" style="179" bestFit="1" customWidth="1"/>
    <col min="777" max="779" width="8.875" style="179" bestFit="1" customWidth="1"/>
    <col min="780" max="780" width="8.875" style="179" customWidth="1"/>
    <col min="781" max="786" width="8.875" style="179" bestFit="1" customWidth="1"/>
    <col min="787" max="796" width="8.75" style="179" customWidth="1"/>
    <col min="797" max="797" width="8" style="179" customWidth="1"/>
    <col min="798" max="798" width="8.875" style="179" customWidth="1"/>
    <col min="799" max="1027" width="8" style="179"/>
    <col min="1028" max="1028" width="3.25" style="179" customWidth="1"/>
    <col min="1029" max="1029" width="22.5" style="179" customWidth="1"/>
    <col min="1030" max="1030" width="34.25" style="179" bestFit="1" customWidth="1"/>
    <col min="1031" max="1031" width="8" style="179" customWidth="1"/>
    <col min="1032" max="1032" width="15.5" style="179" bestFit="1" customWidth="1"/>
    <col min="1033" max="1035" width="8.875" style="179" bestFit="1" customWidth="1"/>
    <col min="1036" max="1036" width="8.875" style="179" customWidth="1"/>
    <col min="1037" max="1042" width="8.875" style="179" bestFit="1" customWidth="1"/>
    <col min="1043" max="1052" width="8.75" style="179" customWidth="1"/>
    <col min="1053" max="1053" width="8" style="179" customWidth="1"/>
    <col min="1054" max="1054" width="8.875" style="179" customWidth="1"/>
    <col min="1055" max="1283" width="8" style="179"/>
    <col min="1284" max="1284" width="3.25" style="179" customWidth="1"/>
    <col min="1285" max="1285" width="22.5" style="179" customWidth="1"/>
    <col min="1286" max="1286" width="34.25" style="179" bestFit="1" customWidth="1"/>
    <col min="1287" max="1287" width="8" style="179" customWidth="1"/>
    <col min="1288" max="1288" width="15.5" style="179" bestFit="1" customWidth="1"/>
    <col min="1289" max="1291" width="8.875" style="179" bestFit="1" customWidth="1"/>
    <col min="1292" max="1292" width="8.875" style="179" customWidth="1"/>
    <col min="1293" max="1298" width="8.875" style="179" bestFit="1" customWidth="1"/>
    <col min="1299" max="1308" width="8.75" style="179" customWidth="1"/>
    <col min="1309" max="1309" width="8" style="179" customWidth="1"/>
    <col min="1310" max="1310" width="8.875" style="179" customWidth="1"/>
    <col min="1311" max="1539" width="8" style="179"/>
    <col min="1540" max="1540" width="3.25" style="179" customWidth="1"/>
    <col min="1541" max="1541" width="22.5" style="179" customWidth="1"/>
    <col min="1542" max="1542" width="34.25" style="179" bestFit="1" customWidth="1"/>
    <col min="1543" max="1543" width="8" style="179" customWidth="1"/>
    <col min="1544" max="1544" width="15.5" style="179" bestFit="1" customWidth="1"/>
    <col min="1545" max="1547" width="8.875" style="179" bestFit="1" customWidth="1"/>
    <col min="1548" max="1548" width="8.875" style="179" customWidth="1"/>
    <col min="1549" max="1554" width="8.875" style="179" bestFit="1" customWidth="1"/>
    <col min="1555" max="1564" width="8.75" style="179" customWidth="1"/>
    <col min="1565" max="1565" width="8" style="179" customWidth="1"/>
    <col min="1566" max="1566" width="8.875" style="179" customWidth="1"/>
    <col min="1567" max="1795" width="8" style="179"/>
    <col min="1796" max="1796" width="3.25" style="179" customWidth="1"/>
    <col min="1797" max="1797" width="22.5" style="179" customWidth="1"/>
    <col min="1798" max="1798" width="34.25" style="179" bestFit="1" customWidth="1"/>
    <col min="1799" max="1799" width="8" style="179" customWidth="1"/>
    <col min="1800" max="1800" width="15.5" style="179" bestFit="1" customWidth="1"/>
    <col min="1801" max="1803" width="8.875" style="179" bestFit="1" customWidth="1"/>
    <col min="1804" max="1804" width="8.875" style="179" customWidth="1"/>
    <col min="1805" max="1810" width="8.875" style="179" bestFit="1" customWidth="1"/>
    <col min="1811" max="1820" width="8.75" style="179" customWidth="1"/>
    <col min="1821" max="1821" width="8" style="179" customWidth="1"/>
    <col min="1822" max="1822" width="8.875" style="179" customWidth="1"/>
    <col min="1823" max="2051" width="8" style="179"/>
    <col min="2052" max="2052" width="3.25" style="179" customWidth="1"/>
    <col min="2053" max="2053" width="22.5" style="179" customWidth="1"/>
    <col min="2054" max="2054" width="34.25" style="179" bestFit="1" customWidth="1"/>
    <col min="2055" max="2055" width="8" style="179" customWidth="1"/>
    <col min="2056" max="2056" width="15.5" style="179" bestFit="1" customWidth="1"/>
    <col min="2057" max="2059" width="8.875" style="179" bestFit="1" customWidth="1"/>
    <col min="2060" max="2060" width="8.875" style="179" customWidth="1"/>
    <col min="2061" max="2066" width="8.875" style="179" bestFit="1" customWidth="1"/>
    <col min="2067" max="2076" width="8.75" style="179" customWidth="1"/>
    <col min="2077" max="2077" width="8" style="179" customWidth="1"/>
    <col min="2078" max="2078" width="8.875" style="179" customWidth="1"/>
    <col min="2079" max="2307" width="8" style="179"/>
    <col min="2308" max="2308" width="3.25" style="179" customWidth="1"/>
    <col min="2309" max="2309" width="22.5" style="179" customWidth="1"/>
    <col min="2310" max="2310" width="34.25" style="179" bestFit="1" customWidth="1"/>
    <col min="2311" max="2311" width="8" style="179" customWidth="1"/>
    <col min="2312" max="2312" width="15.5" style="179" bestFit="1" customWidth="1"/>
    <col min="2313" max="2315" width="8.875" style="179" bestFit="1" customWidth="1"/>
    <col min="2316" max="2316" width="8.875" style="179" customWidth="1"/>
    <col min="2317" max="2322" width="8.875" style="179" bestFit="1" customWidth="1"/>
    <col min="2323" max="2332" width="8.75" style="179" customWidth="1"/>
    <col min="2333" max="2333" width="8" style="179" customWidth="1"/>
    <col min="2334" max="2334" width="8.875" style="179" customWidth="1"/>
    <col min="2335" max="2563" width="8" style="179"/>
    <col min="2564" max="2564" width="3.25" style="179" customWidth="1"/>
    <col min="2565" max="2565" width="22.5" style="179" customWidth="1"/>
    <col min="2566" max="2566" width="34.25" style="179" bestFit="1" customWidth="1"/>
    <col min="2567" max="2567" width="8" style="179" customWidth="1"/>
    <col min="2568" max="2568" width="15.5" style="179" bestFit="1" customWidth="1"/>
    <col min="2569" max="2571" width="8.875" style="179" bestFit="1" customWidth="1"/>
    <col min="2572" max="2572" width="8.875" style="179" customWidth="1"/>
    <col min="2573" max="2578" width="8.875" style="179" bestFit="1" customWidth="1"/>
    <col min="2579" max="2588" width="8.75" style="179" customWidth="1"/>
    <col min="2589" max="2589" width="8" style="179" customWidth="1"/>
    <col min="2590" max="2590" width="8.875" style="179" customWidth="1"/>
    <col min="2591" max="2819" width="8" style="179"/>
    <col min="2820" max="2820" width="3.25" style="179" customWidth="1"/>
    <col min="2821" max="2821" width="22.5" style="179" customWidth="1"/>
    <col min="2822" max="2822" width="34.25" style="179" bestFit="1" customWidth="1"/>
    <col min="2823" max="2823" width="8" style="179" customWidth="1"/>
    <col min="2824" max="2824" width="15.5" style="179" bestFit="1" customWidth="1"/>
    <col min="2825" max="2827" width="8.875" style="179" bestFit="1" customWidth="1"/>
    <col min="2828" max="2828" width="8.875" style="179" customWidth="1"/>
    <col min="2829" max="2834" width="8.875" style="179" bestFit="1" customWidth="1"/>
    <col min="2835" max="2844" width="8.75" style="179" customWidth="1"/>
    <col min="2845" max="2845" width="8" style="179" customWidth="1"/>
    <col min="2846" max="2846" width="8.875" style="179" customWidth="1"/>
    <col min="2847" max="3075" width="8" style="179"/>
    <col min="3076" max="3076" width="3.25" style="179" customWidth="1"/>
    <col min="3077" max="3077" width="22.5" style="179" customWidth="1"/>
    <col min="3078" max="3078" width="34.25" style="179" bestFit="1" customWidth="1"/>
    <col min="3079" max="3079" width="8" style="179" customWidth="1"/>
    <col min="3080" max="3080" width="15.5" style="179" bestFit="1" customWidth="1"/>
    <col min="3081" max="3083" width="8.875" style="179" bestFit="1" customWidth="1"/>
    <col min="3084" max="3084" width="8.875" style="179" customWidth="1"/>
    <col min="3085" max="3090" width="8.875" style="179" bestFit="1" customWidth="1"/>
    <col min="3091" max="3100" width="8.75" style="179" customWidth="1"/>
    <col min="3101" max="3101" width="8" style="179" customWidth="1"/>
    <col min="3102" max="3102" width="8.875" style="179" customWidth="1"/>
    <col min="3103" max="3331" width="8" style="179"/>
    <col min="3332" max="3332" width="3.25" style="179" customWidth="1"/>
    <col min="3333" max="3333" width="22.5" style="179" customWidth="1"/>
    <col min="3334" max="3334" width="34.25" style="179" bestFit="1" customWidth="1"/>
    <col min="3335" max="3335" width="8" style="179" customWidth="1"/>
    <col min="3336" max="3336" width="15.5" style="179" bestFit="1" customWidth="1"/>
    <col min="3337" max="3339" width="8.875" style="179" bestFit="1" customWidth="1"/>
    <col min="3340" max="3340" width="8.875" style="179" customWidth="1"/>
    <col min="3341" max="3346" width="8.875" style="179" bestFit="1" customWidth="1"/>
    <col min="3347" max="3356" width="8.75" style="179" customWidth="1"/>
    <col min="3357" max="3357" width="8" style="179" customWidth="1"/>
    <col min="3358" max="3358" width="8.875" style="179" customWidth="1"/>
    <col min="3359" max="3587" width="8" style="179"/>
    <col min="3588" max="3588" width="3.25" style="179" customWidth="1"/>
    <col min="3589" max="3589" width="22.5" style="179" customWidth="1"/>
    <col min="3590" max="3590" width="34.25" style="179" bestFit="1" customWidth="1"/>
    <col min="3591" max="3591" width="8" style="179" customWidth="1"/>
    <col min="3592" max="3592" width="15.5" style="179" bestFit="1" customWidth="1"/>
    <col min="3593" max="3595" width="8.875" style="179" bestFit="1" customWidth="1"/>
    <col min="3596" max="3596" width="8.875" style="179" customWidth="1"/>
    <col min="3597" max="3602" width="8.875" style="179" bestFit="1" customWidth="1"/>
    <col min="3603" max="3612" width="8.75" style="179" customWidth="1"/>
    <col min="3613" max="3613" width="8" style="179" customWidth="1"/>
    <col min="3614" max="3614" width="8.875" style="179" customWidth="1"/>
    <col min="3615" max="3843" width="8" style="179"/>
    <col min="3844" max="3844" width="3.25" style="179" customWidth="1"/>
    <col min="3845" max="3845" width="22.5" style="179" customWidth="1"/>
    <col min="3846" max="3846" width="34.25" style="179" bestFit="1" customWidth="1"/>
    <col min="3847" max="3847" width="8" style="179" customWidth="1"/>
    <col min="3848" max="3848" width="15.5" style="179" bestFit="1" customWidth="1"/>
    <col min="3849" max="3851" width="8.875" style="179" bestFit="1" customWidth="1"/>
    <col min="3852" max="3852" width="8.875" style="179" customWidth="1"/>
    <col min="3853" max="3858" width="8.875" style="179" bestFit="1" customWidth="1"/>
    <col min="3859" max="3868" width="8.75" style="179" customWidth="1"/>
    <col min="3869" max="3869" width="8" style="179" customWidth="1"/>
    <col min="3870" max="3870" width="8.875" style="179" customWidth="1"/>
    <col min="3871" max="4099" width="8" style="179"/>
    <col min="4100" max="4100" width="3.25" style="179" customWidth="1"/>
    <col min="4101" max="4101" width="22.5" style="179" customWidth="1"/>
    <col min="4102" max="4102" width="34.25" style="179" bestFit="1" customWidth="1"/>
    <col min="4103" max="4103" width="8" style="179" customWidth="1"/>
    <col min="4104" max="4104" width="15.5" style="179" bestFit="1" customWidth="1"/>
    <col min="4105" max="4107" width="8.875" style="179" bestFit="1" customWidth="1"/>
    <col min="4108" max="4108" width="8.875" style="179" customWidth="1"/>
    <col min="4109" max="4114" width="8.875" style="179" bestFit="1" customWidth="1"/>
    <col min="4115" max="4124" width="8.75" style="179" customWidth="1"/>
    <col min="4125" max="4125" width="8" style="179" customWidth="1"/>
    <col min="4126" max="4126" width="8.875" style="179" customWidth="1"/>
    <col min="4127" max="4355" width="8" style="179"/>
    <col min="4356" max="4356" width="3.25" style="179" customWidth="1"/>
    <col min="4357" max="4357" width="22.5" style="179" customWidth="1"/>
    <col min="4358" max="4358" width="34.25" style="179" bestFit="1" customWidth="1"/>
    <col min="4359" max="4359" width="8" style="179" customWidth="1"/>
    <col min="4360" max="4360" width="15.5" style="179" bestFit="1" customWidth="1"/>
    <col min="4361" max="4363" width="8.875" style="179" bestFit="1" customWidth="1"/>
    <col min="4364" max="4364" width="8.875" style="179" customWidth="1"/>
    <col min="4365" max="4370" width="8.875" style="179" bestFit="1" customWidth="1"/>
    <col min="4371" max="4380" width="8.75" style="179" customWidth="1"/>
    <col min="4381" max="4381" width="8" style="179" customWidth="1"/>
    <col min="4382" max="4382" width="8.875" style="179" customWidth="1"/>
    <col min="4383" max="4611" width="8" style="179"/>
    <col min="4612" max="4612" width="3.25" style="179" customWidth="1"/>
    <col min="4613" max="4613" width="22.5" style="179" customWidth="1"/>
    <col min="4614" max="4614" width="34.25" style="179" bestFit="1" customWidth="1"/>
    <col min="4615" max="4615" width="8" style="179" customWidth="1"/>
    <col min="4616" max="4616" width="15.5" style="179" bestFit="1" customWidth="1"/>
    <col min="4617" max="4619" width="8.875" style="179" bestFit="1" customWidth="1"/>
    <col min="4620" max="4620" width="8.875" style="179" customWidth="1"/>
    <col min="4621" max="4626" width="8.875" style="179" bestFit="1" customWidth="1"/>
    <col min="4627" max="4636" width="8.75" style="179" customWidth="1"/>
    <col min="4637" max="4637" width="8" style="179" customWidth="1"/>
    <col min="4638" max="4638" width="8.875" style="179" customWidth="1"/>
    <col min="4639" max="4867" width="8" style="179"/>
    <col min="4868" max="4868" width="3.25" style="179" customWidth="1"/>
    <col min="4869" max="4869" width="22.5" style="179" customWidth="1"/>
    <col min="4870" max="4870" width="34.25" style="179" bestFit="1" customWidth="1"/>
    <col min="4871" max="4871" width="8" style="179" customWidth="1"/>
    <col min="4872" max="4872" width="15.5" style="179" bestFit="1" customWidth="1"/>
    <col min="4873" max="4875" width="8.875" style="179" bestFit="1" customWidth="1"/>
    <col min="4876" max="4876" width="8.875" style="179" customWidth="1"/>
    <col min="4877" max="4882" width="8.875" style="179" bestFit="1" customWidth="1"/>
    <col min="4883" max="4892" width="8.75" style="179" customWidth="1"/>
    <col min="4893" max="4893" width="8" style="179" customWidth="1"/>
    <col min="4894" max="4894" width="8.875" style="179" customWidth="1"/>
    <col min="4895" max="5123" width="8" style="179"/>
    <col min="5124" max="5124" width="3.25" style="179" customWidth="1"/>
    <col min="5125" max="5125" width="22.5" style="179" customWidth="1"/>
    <col min="5126" max="5126" width="34.25" style="179" bestFit="1" customWidth="1"/>
    <col min="5127" max="5127" width="8" style="179" customWidth="1"/>
    <col min="5128" max="5128" width="15.5" style="179" bestFit="1" customWidth="1"/>
    <col min="5129" max="5131" width="8.875" style="179" bestFit="1" customWidth="1"/>
    <col min="5132" max="5132" width="8.875" style="179" customWidth="1"/>
    <col min="5133" max="5138" width="8.875" style="179" bestFit="1" customWidth="1"/>
    <col min="5139" max="5148" width="8.75" style="179" customWidth="1"/>
    <col min="5149" max="5149" width="8" style="179" customWidth="1"/>
    <col min="5150" max="5150" width="8.875" style="179" customWidth="1"/>
    <col min="5151" max="5379" width="8" style="179"/>
    <col min="5380" max="5380" width="3.25" style="179" customWidth="1"/>
    <col min="5381" max="5381" width="22.5" style="179" customWidth="1"/>
    <col min="5382" max="5382" width="34.25" style="179" bestFit="1" customWidth="1"/>
    <col min="5383" max="5383" width="8" style="179" customWidth="1"/>
    <col min="5384" max="5384" width="15.5" style="179" bestFit="1" customWidth="1"/>
    <col min="5385" max="5387" width="8.875" style="179" bestFit="1" customWidth="1"/>
    <col min="5388" max="5388" width="8.875" style="179" customWidth="1"/>
    <col min="5389" max="5394" width="8.875" style="179" bestFit="1" customWidth="1"/>
    <col min="5395" max="5404" width="8.75" style="179" customWidth="1"/>
    <col min="5405" max="5405" width="8" style="179" customWidth="1"/>
    <col min="5406" max="5406" width="8.875" style="179" customWidth="1"/>
    <col min="5407" max="5635" width="8" style="179"/>
    <col min="5636" max="5636" width="3.25" style="179" customWidth="1"/>
    <col min="5637" max="5637" width="22.5" style="179" customWidth="1"/>
    <col min="5638" max="5638" width="34.25" style="179" bestFit="1" customWidth="1"/>
    <col min="5639" max="5639" width="8" style="179" customWidth="1"/>
    <col min="5640" max="5640" width="15.5" style="179" bestFit="1" customWidth="1"/>
    <col min="5641" max="5643" width="8.875" style="179" bestFit="1" customWidth="1"/>
    <col min="5644" max="5644" width="8.875" style="179" customWidth="1"/>
    <col min="5645" max="5650" width="8.875" style="179" bestFit="1" customWidth="1"/>
    <col min="5651" max="5660" width="8.75" style="179" customWidth="1"/>
    <col min="5661" max="5661" width="8" style="179" customWidth="1"/>
    <col min="5662" max="5662" width="8.875" style="179" customWidth="1"/>
    <col min="5663" max="5891" width="8" style="179"/>
    <col min="5892" max="5892" width="3.25" style="179" customWidth="1"/>
    <col min="5893" max="5893" width="22.5" style="179" customWidth="1"/>
    <col min="5894" max="5894" width="34.25" style="179" bestFit="1" customWidth="1"/>
    <col min="5895" max="5895" width="8" style="179" customWidth="1"/>
    <col min="5896" max="5896" width="15.5" style="179" bestFit="1" customWidth="1"/>
    <col min="5897" max="5899" width="8.875" style="179" bestFit="1" customWidth="1"/>
    <col min="5900" max="5900" width="8.875" style="179" customWidth="1"/>
    <col min="5901" max="5906" width="8.875" style="179" bestFit="1" customWidth="1"/>
    <col min="5907" max="5916" width="8.75" style="179" customWidth="1"/>
    <col min="5917" max="5917" width="8" style="179" customWidth="1"/>
    <col min="5918" max="5918" width="8.875" style="179" customWidth="1"/>
    <col min="5919" max="6147" width="8" style="179"/>
    <col min="6148" max="6148" width="3.25" style="179" customWidth="1"/>
    <col min="6149" max="6149" width="22.5" style="179" customWidth="1"/>
    <col min="6150" max="6150" width="34.25" style="179" bestFit="1" customWidth="1"/>
    <col min="6151" max="6151" width="8" style="179" customWidth="1"/>
    <col min="6152" max="6152" width="15.5" style="179" bestFit="1" customWidth="1"/>
    <col min="6153" max="6155" width="8.875" style="179" bestFit="1" customWidth="1"/>
    <col min="6156" max="6156" width="8.875" style="179" customWidth="1"/>
    <col min="6157" max="6162" width="8.875" style="179" bestFit="1" customWidth="1"/>
    <col min="6163" max="6172" width="8.75" style="179" customWidth="1"/>
    <col min="6173" max="6173" width="8" style="179" customWidth="1"/>
    <col min="6174" max="6174" width="8.875" style="179" customWidth="1"/>
    <col min="6175" max="6403" width="8" style="179"/>
    <col min="6404" max="6404" width="3.25" style="179" customWidth="1"/>
    <col min="6405" max="6405" width="22.5" style="179" customWidth="1"/>
    <col min="6406" max="6406" width="34.25" style="179" bestFit="1" customWidth="1"/>
    <col min="6407" max="6407" width="8" style="179" customWidth="1"/>
    <col min="6408" max="6408" width="15.5" style="179" bestFit="1" customWidth="1"/>
    <col min="6409" max="6411" width="8.875" style="179" bestFit="1" customWidth="1"/>
    <col min="6412" max="6412" width="8.875" style="179" customWidth="1"/>
    <col min="6413" max="6418" width="8.875" style="179" bestFit="1" customWidth="1"/>
    <col min="6419" max="6428" width="8.75" style="179" customWidth="1"/>
    <col min="6429" max="6429" width="8" style="179" customWidth="1"/>
    <col min="6430" max="6430" width="8.875" style="179" customWidth="1"/>
    <col min="6431" max="6659" width="8" style="179"/>
    <col min="6660" max="6660" width="3.25" style="179" customWidth="1"/>
    <col min="6661" max="6661" width="22.5" style="179" customWidth="1"/>
    <col min="6662" max="6662" width="34.25" style="179" bestFit="1" customWidth="1"/>
    <col min="6663" max="6663" width="8" style="179" customWidth="1"/>
    <col min="6664" max="6664" width="15.5" style="179" bestFit="1" customWidth="1"/>
    <col min="6665" max="6667" width="8.875" style="179" bestFit="1" customWidth="1"/>
    <col min="6668" max="6668" width="8.875" style="179" customWidth="1"/>
    <col min="6669" max="6674" width="8.875" style="179" bestFit="1" customWidth="1"/>
    <col min="6675" max="6684" width="8.75" style="179" customWidth="1"/>
    <col min="6685" max="6685" width="8" style="179" customWidth="1"/>
    <col min="6686" max="6686" width="8.875" style="179" customWidth="1"/>
    <col min="6687" max="6915" width="8" style="179"/>
    <col min="6916" max="6916" width="3.25" style="179" customWidth="1"/>
    <col min="6917" max="6917" width="22.5" style="179" customWidth="1"/>
    <col min="6918" max="6918" width="34.25" style="179" bestFit="1" customWidth="1"/>
    <col min="6919" max="6919" width="8" style="179" customWidth="1"/>
    <col min="6920" max="6920" width="15.5" style="179" bestFit="1" customWidth="1"/>
    <col min="6921" max="6923" width="8.875" style="179" bestFit="1" customWidth="1"/>
    <col min="6924" max="6924" width="8.875" style="179" customWidth="1"/>
    <col min="6925" max="6930" width="8.875" style="179" bestFit="1" customWidth="1"/>
    <col min="6931" max="6940" width="8.75" style="179" customWidth="1"/>
    <col min="6941" max="6941" width="8" style="179" customWidth="1"/>
    <col min="6942" max="6942" width="8.875" style="179" customWidth="1"/>
    <col min="6943" max="7171" width="8" style="179"/>
    <col min="7172" max="7172" width="3.25" style="179" customWidth="1"/>
    <col min="7173" max="7173" width="22.5" style="179" customWidth="1"/>
    <col min="7174" max="7174" width="34.25" style="179" bestFit="1" customWidth="1"/>
    <col min="7175" max="7175" width="8" style="179" customWidth="1"/>
    <col min="7176" max="7176" width="15.5" style="179" bestFit="1" customWidth="1"/>
    <col min="7177" max="7179" width="8.875" style="179" bestFit="1" customWidth="1"/>
    <col min="7180" max="7180" width="8.875" style="179" customWidth="1"/>
    <col min="7181" max="7186" width="8.875" style="179" bestFit="1" customWidth="1"/>
    <col min="7187" max="7196" width="8.75" style="179" customWidth="1"/>
    <col min="7197" max="7197" width="8" style="179" customWidth="1"/>
    <col min="7198" max="7198" width="8.875" style="179" customWidth="1"/>
    <col min="7199" max="7427" width="8" style="179"/>
    <col min="7428" max="7428" width="3.25" style="179" customWidth="1"/>
    <col min="7429" max="7429" width="22.5" style="179" customWidth="1"/>
    <col min="7430" max="7430" width="34.25" style="179" bestFit="1" customWidth="1"/>
    <col min="7431" max="7431" width="8" style="179" customWidth="1"/>
    <col min="7432" max="7432" width="15.5" style="179" bestFit="1" customWidth="1"/>
    <col min="7433" max="7435" width="8.875" style="179" bestFit="1" customWidth="1"/>
    <col min="7436" max="7436" width="8.875" style="179" customWidth="1"/>
    <col min="7437" max="7442" width="8.875" style="179" bestFit="1" customWidth="1"/>
    <col min="7443" max="7452" width="8.75" style="179" customWidth="1"/>
    <col min="7453" max="7453" width="8" style="179" customWidth="1"/>
    <col min="7454" max="7454" width="8.875" style="179" customWidth="1"/>
    <col min="7455" max="7683" width="8" style="179"/>
    <col min="7684" max="7684" width="3.25" style="179" customWidth="1"/>
    <col min="7685" max="7685" width="22.5" style="179" customWidth="1"/>
    <col min="7686" max="7686" width="34.25" style="179" bestFit="1" customWidth="1"/>
    <col min="7687" max="7687" width="8" style="179" customWidth="1"/>
    <col min="7688" max="7688" width="15.5" style="179" bestFit="1" customWidth="1"/>
    <col min="7689" max="7691" width="8.875" style="179" bestFit="1" customWidth="1"/>
    <col min="7692" max="7692" width="8.875" style="179" customWidth="1"/>
    <col min="7693" max="7698" width="8.875" style="179" bestFit="1" customWidth="1"/>
    <col min="7699" max="7708" width="8.75" style="179" customWidth="1"/>
    <col min="7709" max="7709" width="8" style="179" customWidth="1"/>
    <col min="7710" max="7710" width="8.875" style="179" customWidth="1"/>
    <col min="7711" max="7939" width="8" style="179"/>
    <col min="7940" max="7940" width="3.25" style="179" customWidth="1"/>
    <col min="7941" max="7941" width="22.5" style="179" customWidth="1"/>
    <col min="7942" max="7942" width="34.25" style="179" bestFit="1" customWidth="1"/>
    <col min="7943" max="7943" width="8" style="179" customWidth="1"/>
    <col min="7944" max="7944" width="15.5" style="179" bestFit="1" customWidth="1"/>
    <col min="7945" max="7947" width="8.875" style="179" bestFit="1" customWidth="1"/>
    <col min="7948" max="7948" width="8.875" style="179" customWidth="1"/>
    <col min="7949" max="7954" width="8.875" style="179" bestFit="1" customWidth="1"/>
    <col min="7955" max="7964" width="8.75" style="179" customWidth="1"/>
    <col min="7965" max="7965" width="8" style="179" customWidth="1"/>
    <col min="7966" max="7966" width="8.875" style="179" customWidth="1"/>
    <col min="7967" max="8195" width="8" style="179"/>
    <col min="8196" max="8196" width="3.25" style="179" customWidth="1"/>
    <col min="8197" max="8197" width="22.5" style="179" customWidth="1"/>
    <col min="8198" max="8198" width="34.25" style="179" bestFit="1" customWidth="1"/>
    <col min="8199" max="8199" width="8" style="179" customWidth="1"/>
    <col min="8200" max="8200" width="15.5" style="179" bestFit="1" customWidth="1"/>
    <col min="8201" max="8203" width="8.875" style="179" bestFit="1" customWidth="1"/>
    <col min="8204" max="8204" width="8.875" style="179" customWidth="1"/>
    <col min="8205" max="8210" width="8.875" style="179" bestFit="1" customWidth="1"/>
    <col min="8211" max="8220" width="8.75" style="179" customWidth="1"/>
    <col min="8221" max="8221" width="8" style="179" customWidth="1"/>
    <col min="8222" max="8222" width="8.875" style="179" customWidth="1"/>
    <col min="8223" max="8451" width="8" style="179"/>
    <col min="8452" max="8452" width="3.25" style="179" customWidth="1"/>
    <col min="8453" max="8453" width="22.5" style="179" customWidth="1"/>
    <col min="8454" max="8454" width="34.25" style="179" bestFit="1" customWidth="1"/>
    <col min="8455" max="8455" width="8" style="179" customWidth="1"/>
    <col min="8456" max="8456" width="15.5" style="179" bestFit="1" customWidth="1"/>
    <col min="8457" max="8459" width="8.875" style="179" bestFit="1" customWidth="1"/>
    <col min="8460" max="8460" width="8.875" style="179" customWidth="1"/>
    <col min="8461" max="8466" width="8.875" style="179" bestFit="1" customWidth="1"/>
    <col min="8467" max="8476" width="8.75" style="179" customWidth="1"/>
    <col min="8477" max="8477" width="8" style="179" customWidth="1"/>
    <col min="8478" max="8478" width="8.875" style="179" customWidth="1"/>
    <col min="8479" max="8707" width="8" style="179"/>
    <col min="8708" max="8708" width="3.25" style="179" customWidth="1"/>
    <col min="8709" max="8709" width="22.5" style="179" customWidth="1"/>
    <col min="8710" max="8710" width="34.25" style="179" bestFit="1" customWidth="1"/>
    <col min="8711" max="8711" width="8" style="179" customWidth="1"/>
    <col min="8712" max="8712" width="15.5" style="179" bestFit="1" customWidth="1"/>
    <col min="8713" max="8715" width="8.875" style="179" bestFit="1" customWidth="1"/>
    <col min="8716" max="8716" width="8.875" style="179" customWidth="1"/>
    <col min="8717" max="8722" width="8.875" style="179" bestFit="1" customWidth="1"/>
    <col min="8723" max="8732" width="8.75" style="179" customWidth="1"/>
    <col min="8733" max="8733" width="8" style="179" customWidth="1"/>
    <col min="8734" max="8734" width="8.875" style="179" customWidth="1"/>
    <col min="8735" max="8963" width="8" style="179"/>
    <col min="8964" max="8964" width="3.25" style="179" customWidth="1"/>
    <col min="8965" max="8965" width="22.5" style="179" customWidth="1"/>
    <col min="8966" max="8966" width="34.25" style="179" bestFit="1" customWidth="1"/>
    <col min="8967" max="8967" width="8" style="179" customWidth="1"/>
    <col min="8968" max="8968" width="15.5" style="179" bestFit="1" customWidth="1"/>
    <col min="8969" max="8971" width="8.875" style="179" bestFit="1" customWidth="1"/>
    <col min="8972" max="8972" width="8.875" style="179" customWidth="1"/>
    <col min="8973" max="8978" width="8.875" style="179" bestFit="1" customWidth="1"/>
    <col min="8979" max="8988" width="8.75" style="179" customWidth="1"/>
    <col min="8989" max="8989" width="8" style="179" customWidth="1"/>
    <col min="8990" max="8990" width="8.875" style="179" customWidth="1"/>
    <col min="8991" max="9219" width="8" style="179"/>
    <col min="9220" max="9220" width="3.25" style="179" customWidth="1"/>
    <col min="9221" max="9221" width="22.5" style="179" customWidth="1"/>
    <col min="9222" max="9222" width="34.25" style="179" bestFit="1" customWidth="1"/>
    <col min="9223" max="9223" width="8" style="179" customWidth="1"/>
    <col min="9224" max="9224" width="15.5" style="179" bestFit="1" customWidth="1"/>
    <col min="9225" max="9227" width="8.875" style="179" bestFit="1" customWidth="1"/>
    <col min="9228" max="9228" width="8.875" style="179" customWidth="1"/>
    <col min="9229" max="9234" width="8.875" style="179" bestFit="1" customWidth="1"/>
    <col min="9235" max="9244" width="8.75" style="179" customWidth="1"/>
    <col min="9245" max="9245" width="8" style="179" customWidth="1"/>
    <col min="9246" max="9246" width="8.875" style="179" customWidth="1"/>
    <col min="9247" max="9475" width="8" style="179"/>
    <col min="9476" max="9476" width="3.25" style="179" customWidth="1"/>
    <col min="9477" max="9477" width="22.5" style="179" customWidth="1"/>
    <col min="9478" max="9478" width="34.25" style="179" bestFit="1" customWidth="1"/>
    <col min="9479" max="9479" width="8" style="179" customWidth="1"/>
    <col min="9480" max="9480" width="15.5" style="179" bestFit="1" customWidth="1"/>
    <col min="9481" max="9483" width="8.875" style="179" bestFit="1" customWidth="1"/>
    <col min="9484" max="9484" width="8.875" style="179" customWidth="1"/>
    <col min="9485" max="9490" width="8.875" style="179" bestFit="1" customWidth="1"/>
    <col min="9491" max="9500" width="8.75" style="179" customWidth="1"/>
    <col min="9501" max="9501" width="8" style="179" customWidth="1"/>
    <col min="9502" max="9502" width="8.875" style="179" customWidth="1"/>
    <col min="9503" max="9731" width="8" style="179"/>
    <col min="9732" max="9732" width="3.25" style="179" customWidth="1"/>
    <col min="9733" max="9733" width="22.5" style="179" customWidth="1"/>
    <col min="9734" max="9734" width="34.25" style="179" bestFit="1" customWidth="1"/>
    <col min="9735" max="9735" width="8" style="179" customWidth="1"/>
    <col min="9736" max="9736" width="15.5" style="179" bestFit="1" customWidth="1"/>
    <col min="9737" max="9739" width="8.875" style="179" bestFit="1" customWidth="1"/>
    <col min="9740" max="9740" width="8.875" style="179" customWidth="1"/>
    <col min="9741" max="9746" width="8.875" style="179" bestFit="1" customWidth="1"/>
    <col min="9747" max="9756" width="8.75" style="179" customWidth="1"/>
    <col min="9757" max="9757" width="8" style="179" customWidth="1"/>
    <col min="9758" max="9758" width="8.875" style="179" customWidth="1"/>
    <col min="9759" max="9987" width="8" style="179"/>
    <col min="9988" max="9988" width="3.25" style="179" customWidth="1"/>
    <col min="9989" max="9989" width="22.5" style="179" customWidth="1"/>
    <col min="9990" max="9990" width="34.25" style="179" bestFit="1" customWidth="1"/>
    <col min="9991" max="9991" width="8" style="179" customWidth="1"/>
    <col min="9992" max="9992" width="15.5" style="179" bestFit="1" customWidth="1"/>
    <col min="9993" max="9995" width="8.875" style="179" bestFit="1" customWidth="1"/>
    <col min="9996" max="9996" width="8.875" style="179" customWidth="1"/>
    <col min="9997" max="10002" width="8.875" style="179" bestFit="1" customWidth="1"/>
    <col min="10003" max="10012" width="8.75" style="179" customWidth="1"/>
    <col min="10013" max="10013" width="8" style="179" customWidth="1"/>
    <col min="10014" max="10014" width="8.875" style="179" customWidth="1"/>
    <col min="10015" max="10243" width="8" style="179"/>
    <col min="10244" max="10244" width="3.25" style="179" customWidth="1"/>
    <col min="10245" max="10245" width="22.5" style="179" customWidth="1"/>
    <col min="10246" max="10246" width="34.25" style="179" bestFit="1" customWidth="1"/>
    <col min="10247" max="10247" width="8" style="179" customWidth="1"/>
    <col min="10248" max="10248" width="15.5" style="179" bestFit="1" customWidth="1"/>
    <col min="10249" max="10251" width="8.875" style="179" bestFit="1" customWidth="1"/>
    <col min="10252" max="10252" width="8.875" style="179" customWidth="1"/>
    <col min="10253" max="10258" width="8.875" style="179" bestFit="1" customWidth="1"/>
    <col min="10259" max="10268" width="8.75" style="179" customWidth="1"/>
    <col min="10269" max="10269" width="8" style="179" customWidth="1"/>
    <col min="10270" max="10270" width="8.875" style="179" customWidth="1"/>
    <col min="10271" max="10499" width="8" style="179"/>
    <col min="10500" max="10500" width="3.25" style="179" customWidth="1"/>
    <col min="10501" max="10501" width="22.5" style="179" customWidth="1"/>
    <col min="10502" max="10502" width="34.25" style="179" bestFit="1" customWidth="1"/>
    <col min="10503" max="10503" width="8" style="179" customWidth="1"/>
    <col min="10504" max="10504" width="15.5" style="179" bestFit="1" customWidth="1"/>
    <col min="10505" max="10507" width="8.875" style="179" bestFit="1" customWidth="1"/>
    <col min="10508" max="10508" width="8.875" style="179" customWidth="1"/>
    <col min="10509" max="10514" width="8.875" style="179" bestFit="1" customWidth="1"/>
    <col min="10515" max="10524" width="8.75" style="179" customWidth="1"/>
    <col min="10525" max="10525" width="8" style="179" customWidth="1"/>
    <col min="10526" max="10526" width="8.875" style="179" customWidth="1"/>
    <col min="10527" max="10755" width="8" style="179"/>
    <col min="10756" max="10756" width="3.25" style="179" customWidth="1"/>
    <col min="10757" max="10757" width="22.5" style="179" customWidth="1"/>
    <col min="10758" max="10758" width="34.25" style="179" bestFit="1" customWidth="1"/>
    <col min="10759" max="10759" width="8" style="179" customWidth="1"/>
    <col min="10760" max="10760" width="15.5" style="179" bestFit="1" customWidth="1"/>
    <col min="10761" max="10763" width="8.875" style="179" bestFit="1" customWidth="1"/>
    <col min="10764" max="10764" width="8.875" style="179" customWidth="1"/>
    <col min="10765" max="10770" width="8.875" style="179" bestFit="1" customWidth="1"/>
    <col min="10771" max="10780" width="8.75" style="179" customWidth="1"/>
    <col min="10781" max="10781" width="8" style="179" customWidth="1"/>
    <col min="10782" max="10782" width="8.875" style="179" customWidth="1"/>
    <col min="10783" max="11011" width="8" style="179"/>
    <col min="11012" max="11012" width="3.25" style="179" customWidth="1"/>
    <col min="11013" max="11013" width="22.5" style="179" customWidth="1"/>
    <col min="11014" max="11014" width="34.25" style="179" bestFit="1" customWidth="1"/>
    <col min="11015" max="11015" width="8" style="179" customWidth="1"/>
    <col min="11016" max="11016" width="15.5" style="179" bestFit="1" customWidth="1"/>
    <col min="11017" max="11019" width="8.875" style="179" bestFit="1" customWidth="1"/>
    <col min="11020" max="11020" width="8.875" style="179" customWidth="1"/>
    <col min="11021" max="11026" width="8.875" style="179" bestFit="1" customWidth="1"/>
    <col min="11027" max="11036" width="8.75" style="179" customWidth="1"/>
    <col min="11037" max="11037" width="8" style="179" customWidth="1"/>
    <col min="11038" max="11038" width="8.875" style="179" customWidth="1"/>
    <col min="11039" max="11267" width="8" style="179"/>
    <col min="11268" max="11268" width="3.25" style="179" customWidth="1"/>
    <col min="11269" max="11269" width="22.5" style="179" customWidth="1"/>
    <col min="11270" max="11270" width="34.25" style="179" bestFit="1" customWidth="1"/>
    <col min="11271" max="11271" width="8" style="179" customWidth="1"/>
    <col min="11272" max="11272" width="15.5" style="179" bestFit="1" customWidth="1"/>
    <col min="11273" max="11275" width="8.875" style="179" bestFit="1" customWidth="1"/>
    <col min="11276" max="11276" width="8.875" style="179" customWidth="1"/>
    <col min="11277" max="11282" width="8.875" style="179" bestFit="1" customWidth="1"/>
    <col min="11283" max="11292" width="8.75" style="179" customWidth="1"/>
    <col min="11293" max="11293" width="8" style="179" customWidth="1"/>
    <col min="11294" max="11294" width="8.875" style="179" customWidth="1"/>
    <col min="11295" max="11523" width="8" style="179"/>
    <col min="11524" max="11524" width="3.25" style="179" customWidth="1"/>
    <col min="11525" max="11525" width="22.5" style="179" customWidth="1"/>
    <col min="11526" max="11526" width="34.25" style="179" bestFit="1" customWidth="1"/>
    <col min="11527" max="11527" width="8" style="179" customWidth="1"/>
    <col min="11528" max="11528" width="15.5" style="179" bestFit="1" customWidth="1"/>
    <col min="11529" max="11531" width="8.875" style="179" bestFit="1" customWidth="1"/>
    <col min="11532" max="11532" width="8.875" style="179" customWidth="1"/>
    <col min="11533" max="11538" width="8.875" style="179" bestFit="1" customWidth="1"/>
    <col min="11539" max="11548" width="8.75" style="179" customWidth="1"/>
    <col min="11549" max="11549" width="8" style="179" customWidth="1"/>
    <col min="11550" max="11550" width="8.875" style="179" customWidth="1"/>
    <col min="11551" max="11779" width="8" style="179"/>
    <col min="11780" max="11780" width="3.25" style="179" customWidth="1"/>
    <col min="11781" max="11781" width="22.5" style="179" customWidth="1"/>
    <col min="11782" max="11782" width="34.25" style="179" bestFit="1" customWidth="1"/>
    <col min="11783" max="11783" width="8" style="179" customWidth="1"/>
    <col min="11784" max="11784" width="15.5" style="179" bestFit="1" customWidth="1"/>
    <col min="11785" max="11787" width="8.875" style="179" bestFit="1" customWidth="1"/>
    <col min="11788" max="11788" width="8.875" style="179" customWidth="1"/>
    <col min="11789" max="11794" width="8.875" style="179" bestFit="1" customWidth="1"/>
    <col min="11795" max="11804" width="8.75" style="179" customWidth="1"/>
    <col min="11805" max="11805" width="8" style="179" customWidth="1"/>
    <col min="11806" max="11806" width="8.875" style="179" customWidth="1"/>
    <col min="11807" max="12035" width="8" style="179"/>
    <col min="12036" max="12036" width="3.25" style="179" customWidth="1"/>
    <col min="12037" max="12037" width="22.5" style="179" customWidth="1"/>
    <col min="12038" max="12038" width="34.25" style="179" bestFit="1" customWidth="1"/>
    <col min="12039" max="12039" width="8" style="179" customWidth="1"/>
    <col min="12040" max="12040" width="15.5" style="179" bestFit="1" customWidth="1"/>
    <col min="12041" max="12043" width="8.875" style="179" bestFit="1" customWidth="1"/>
    <col min="12044" max="12044" width="8.875" style="179" customWidth="1"/>
    <col min="12045" max="12050" width="8.875" style="179" bestFit="1" customWidth="1"/>
    <col min="12051" max="12060" width="8.75" style="179" customWidth="1"/>
    <col min="12061" max="12061" width="8" style="179" customWidth="1"/>
    <col min="12062" max="12062" width="8.875" style="179" customWidth="1"/>
    <col min="12063" max="12291" width="8" style="179"/>
    <col min="12292" max="12292" width="3.25" style="179" customWidth="1"/>
    <col min="12293" max="12293" width="22.5" style="179" customWidth="1"/>
    <col min="12294" max="12294" width="34.25" style="179" bestFit="1" customWidth="1"/>
    <col min="12295" max="12295" width="8" style="179" customWidth="1"/>
    <col min="12296" max="12296" width="15.5" style="179" bestFit="1" customWidth="1"/>
    <col min="12297" max="12299" width="8.875" style="179" bestFit="1" customWidth="1"/>
    <col min="12300" max="12300" width="8.875" style="179" customWidth="1"/>
    <col min="12301" max="12306" width="8.875" style="179" bestFit="1" customWidth="1"/>
    <col min="12307" max="12316" width="8.75" style="179" customWidth="1"/>
    <col min="12317" max="12317" width="8" style="179" customWidth="1"/>
    <col min="12318" max="12318" width="8.875" style="179" customWidth="1"/>
    <col min="12319" max="12547" width="8" style="179"/>
    <col min="12548" max="12548" width="3.25" style="179" customWidth="1"/>
    <col min="12549" max="12549" width="22.5" style="179" customWidth="1"/>
    <col min="12550" max="12550" width="34.25" style="179" bestFit="1" customWidth="1"/>
    <col min="12551" max="12551" width="8" style="179" customWidth="1"/>
    <col min="12552" max="12552" width="15.5" style="179" bestFit="1" customWidth="1"/>
    <col min="12553" max="12555" width="8.875" style="179" bestFit="1" customWidth="1"/>
    <col min="12556" max="12556" width="8.875" style="179" customWidth="1"/>
    <col min="12557" max="12562" width="8.875" style="179" bestFit="1" customWidth="1"/>
    <col min="12563" max="12572" width="8.75" style="179" customWidth="1"/>
    <col min="12573" max="12573" width="8" style="179" customWidth="1"/>
    <col min="12574" max="12574" width="8.875" style="179" customWidth="1"/>
    <col min="12575" max="12803" width="8" style="179"/>
    <col min="12804" max="12804" width="3.25" style="179" customWidth="1"/>
    <col min="12805" max="12805" width="22.5" style="179" customWidth="1"/>
    <col min="12806" max="12806" width="34.25" style="179" bestFit="1" customWidth="1"/>
    <col min="12807" max="12807" width="8" style="179" customWidth="1"/>
    <col min="12808" max="12808" width="15.5" style="179" bestFit="1" customWidth="1"/>
    <col min="12809" max="12811" width="8.875" style="179" bestFit="1" customWidth="1"/>
    <col min="12812" max="12812" width="8.875" style="179" customWidth="1"/>
    <col min="12813" max="12818" width="8.875" style="179" bestFit="1" customWidth="1"/>
    <col min="12819" max="12828" width="8.75" style="179" customWidth="1"/>
    <col min="12829" max="12829" width="8" style="179" customWidth="1"/>
    <col min="12830" max="12830" width="8.875" style="179" customWidth="1"/>
    <col min="12831" max="13059" width="8" style="179"/>
    <col min="13060" max="13060" width="3.25" style="179" customWidth="1"/>
    <col min="13061" max="13061" width="22.5" style="179" customWidth="1"/>
    <col min="13062" max="13062" width="34.25" style="179" bestFit="1" customWidth="1"/>
    <col min="13063" max="13063" width="8" style="179" customWidth="1"/>
    <col min="13064" max="13064" width="15.5" style="179" bestFit="1" customWidth="1"/>
    <col min="13065" max="13067" width="8.875" style="179" bestFit="1" customWidth="1"/>
    <col min="13068" max="13068" width="8.875" style="179" customWidth="1"/>
    <col min="13069" max="13074" width="8.875" style="179" bestFit="1" customWidth="1"/>
    <col min="13075" max="13084" width="8.75" style="179" customWidth="1"/>
    <col min="13085" max="13085" width="8" style="179" customWidth="1"/>
    <col min="13086" max="13086" width="8.875" style="179" customWidth="1"/>
    <col min="13087" max="13315" width="8" style="179"/>
    <col min="13316" max="13316" width="3.25" style="179" customWidth="1"/>
    <col min="13317" max="13317" width="22.5" style="179" customWidth="1"/>
    <col min="13318" max="13318" width="34.25" style="179" bestFit="1" customWidth="1"/>
    <col min="13319" max="13319" width="8" style="179" customWidth="1"/>
    <col min="13320" max="13320" width="15.5" style="179" bestFit="1" customWidth="1"/>
    <col min="13321" max="13323" width="8.875" style="179" bestFit="1" customWidth="1"/>
    <col min="13324" max="13324" width="8.875" style="179" customWidth="1"/>
    <col min="13325" max="13330" width="8.875" style="179" bestFit="1" customWidth="1"/>
    <col min="13331" max="13340" width="8.75" style="179" customWidth="1"/>
    <col min="13341" max="13341" width="8" style="179" customWidth="1"/>
    <col min="13342" max="13342" width="8.875" style="179" customWidth="1"/>
    <col min="13343" max="13571" width="8" style="179"/>
    <col min="13572" max="13572" width="3.25" style="179" customWidth="1"/>
    <col min="13573" max="13573" width="22.5" style="179" customWidth="1"/>
    <col min="13574" max="13574" width="34.25" style="179" bestFit="1" customWidth="1"/>
    <col min="13575" max="13575" width="8" style="179" customWidth="1"/>
    <col min="13576" max="13576" width="15.5" style="179" bestFit="1" customWidth="1"/>
    <col min="13577" max="13579" width="8.875" style="179" bestFit="1" customWidth="1"/>
    <col min="13580" max="13580" width="8.875" style="179" customWidth="1"/>
    <col min="13581" max="13586" width="8.875" style="179" bestFit="1" customWidth="1"/>
    <col min="13587" max="13596" width="8.75" style="179" customWidth="1"/>
    <col min="13597" max="13597" width="8" style="179" customWidth="1"/>
    <col min="13598" max="13598" width="8.875" style="179" customWidth="1"/>
    <col min="13599" max="13827" width="8" style="179"/>
    <col min="13828" max="13828" width="3.25" style="179" customWidth="1"/>
    <col min="13829" max="13829" width="22.5" style="179" customWidth="1"/>
    <col min="13830" max="13830" width="34.25" style="179" bestFit="1" customWidth="1"/>
    <col min="13831" max="13831" width="8" style="179" customWidth="1"/>
    <col min="13832" max="13832" width="15.5" style="179" bestFit="1" customWidth="1"/>
    <col min="13833" max="13835" width="8.875" style="179" bestFit="1" customWidth="1"/>
    <col min="13836" max="13836" width="8.875" style="179" customWidth="1"/>
    <col min="13837" max="13842" width="8.875" style="179" bestFit="1" customWidth="1"/>
    <col min="13843" max="13852" width="8.75" style="179" customWidth="1"/>
    <col min="13853" max="13853" width="8" style="179" customWidth="1"/>
    <col min="13854" max="13854" width="8.875" style="179" customWidth="1"/>
    <col min="13855" max="14083" width="8" style="179"/>
    <col min="14084" max="14084" width="3.25" style="179" customWidth="1"/>
    <col min="14085" max="14085" width="22.5" style="179" customWidth="1"/>
    <col min="14086" max="14086" width="34.25" style="179" bestFit="1" customWidth="1"/>
    <col min="14087" max="14087" width="8" style="179" customWidth="1"/>
    <col min="14088" max="14088" width="15.5" style="179" bestFit="1" customWidth="1"/>
    <col min="14089" max="14091" width="8.875" style="179" bestFit="1" customWidth="1"/>
    <col min="14092" max="14092" width="8.875" style="179" customWidth="1"/>
    <col min="14093" max="14098" width="8.875" style="179" bestFit="1" customWidth="1"/>
    <col min="14099" max="14108" width="8.75" style="179" customWidth="1"/>
    <col min="14109" max="14109" width="8" style="179" customWidth="1"/>
    <col min="14110" max="14110" width="8.875" style="179" customWidth="1"/>
    <col min="14111" max="14339" width="8" style="179"/>
    <col min="14340" max="14340" width="3.25" style="179" customWidth="1"/>
    <col min="14341" max="14341" width="22.5" style="179" customWidth="1"/>
    <col min="14342" max="14342" width="34.25" style="179" bestFit="1" customWidth="1"/>
    <col min="14343" max="14343" width="8" style="179" customWidth="1"/>
    <col min="14344" max="14344" width="15.5" style="179" bestFit="1" customWidth="1"/>
    <col min="14345" max="14347" width="8.875" style="179" bestFit="1" customWidth="1"/>
    <col min="14348" max="14348" width="8.875" style="179" customWidth="1"/>
    <col min="14349" max="14354" width="8.875" style="179" bestFit="1" customWidth="1"/>
    <col min="14355" max="14364" width="8.75" style="179" customWidth="1"/>
    <col min="14365" max="14365" width="8" style="179" customWidth="1"/>
    <col min="14366" max="14366" width="8.875" style="179" customWidth="1"/>
    <col min="14367" max="14595" width="8" style="179"/>
    <col min="14596" max="14596" width="3.25" style="179" customWidth="1"/>
    <col min="14597" max="14597" width="22.5" style="179" customWidth="1"/>
    <col min="14598" max="14598" width="34.25" style="179" bestFit="1" customWidth="1"/>
    <col min="14599" max="14599" width="8" style="179" customWidth="1"/>
    <col min="14600" max="14600" width="15.5" style="179" bestFit="1" customWidth="1"/>
    <col min="14601" max="14603" width="8.875" style="179" bestFit="1" customWidth="1"/>
    <col min="14604" max="14604" width="8.875" style="179" customWidth="1"/>
    <col min="14605" max="14610" width="8.875" style="179" bestFit="1" customWidth="1"/>
    <col min="14611" max="14620" width="8.75" style="179" customWidth="1"/>
    <col min="14621" max="14621" width="8" style="179" customWidth="1"/>
    <col min="14622" max="14622" width="8.875" style="179" customWidth="1"/>
    <col min="14623" max="14851" width="8" style="179"/>
    <col min="14852" max="14852" width="3.25" style="179" customWidth="1"/>
    <col min="14853" max="14853" width="22.5" style="179" customWidth="1"/>
    <col min="14854" max="14854" width="34.25" style="179" bestFit="1" customWidth="1"/>
    <col min="14855" max="14855" width="8" style="179" customWidth="1"/>
    <col min="14856" max="14856" width="15.5" style="179" bestFit="1" customWidth="1"/>
    <col min="14857" max="14859" width="8.875" style="179" bestFit="1" customWidth="1"/>
    <col min="14860" max="14860" width="8.875" style="179" customWidth="1"/>
    <col min="14861" max="14866" width="8.875" style="179" bestFit="1" customWidth="1"/>
    <col min="14867" max="14876" width="8.75" style="179" customWidth="1"/>
    <col min="14877" max="14877" width="8" style="179" customWidth="1"/>
    <col min="14878" max="14878" width="8.875" style="179" customWidth="1"/>
    <col min="14879" max="15107" width="8" style="179"/>
    <col min="15108" max="15108" width="3.25" style="179" customWidth="1"/>
    <col min="15109" max="15109" width="22.5" style="179" customWidth="1"/>
    <col min="15110" max="15110" width="34.25" style="179" bestFit="1" customWidth="1"/>
    <col min="15111" max="15111" width="8" style="179" customWidth="1"/>
    <col min="15112" max="15112" width="15.5" style="179" bestFit="1" customWidth="1"/>
    <col min="15113" max="15115" width="8.875" style="179" bestFit="1" customWidth="1"/>
    <col min="15116" max="15116" width="8.875" style="179" customWidth="1"/>
    <col min="15117" max="15122" width="8.875" style="179" bestFit="1" customWidth="1"/>
    <col min="15123" max="15132" width="8.75" style="179" customWidth="1"/>
    <col min="15133" max="15133" width="8" style="179" customWidth="1"/>
    <col min="15134" max="15134" width="8.875" style="179" customWidth="1"/>
    <col min="15135" max="15363" width="8" style="179"/>
    <col min="15364" max="15364" width="3.25" style="179" customWidth="1"/>
    <col min="15365" max="15365" width="22.5" style="179" customWidth="1"/>
    <col min="15366" max="15366" width="34.25" style="179" bestFit="1" customWidth="1"/>
    <col min="15367" max="15367" width="8" style="179" customWidth="1"/>
    <col min="15368" max="15368" width="15.5" style="179" bestFit="1" customWidth="1"/>
    <col min="15369" max="15371" width="8.875" style="179" bestFit="1" customWidth="1"/>
    <col min="15372" max="15372" width="8.875" style="179" customWidth="1"/>
    <col min="15373" max="15378" width="8.875" style="179" bestFit="1" customWidth="1"/>
    <col min="15379" max="15388" width="8.75" style="179" customWidth="1"/>
    <col min="15389" max="15389" width="8" style="179" customWidth="1"/>
    <col min="15390" max="15390" width="8.875" style="179" customWidth="1"/>
    <col min="15391" max="15619" width="8" style="179"/>
    <col min="15620" max="15620" width="3.25" style="179" customWidth="1"/>
    <col min="15621" max="15621" width="22.5" style="179" customWidth="1"/>
    <col min="15622" max="15622" width="34.25" style="179" bestFit="1" customWidth="1"/>
    <col min="15623" max="15623" width="8" style="179" customWidth="1"/>
    <col min="15624" max="15624" width="15.5" style="179" bestFit="1" customWidth="1"/>
    <col min="15625" max="15627" width="8.875" style="179" bestFit="1" customWidth="1"/>
    <col min="15628" max="15628" width="8.875" style="179" customWidth="1"/>
    <col min="15629" max="15634" width="8.875" style="179" bestFit="1" customWidth="1"/>
    <col min="15635" max="15644" width="8.75" style="179" customWidth="1"/>
    <col min="15645" max="15645" width="8" style="179" customWidth="1"/>
    <col min="15646" max="15646" width="8.875" style="179" customWidth="1"/>
    <col min="15647" max="15875" width="8" style="179"/>
    <col min="15876" max="15876" width="3.25" style="179" customWidth="1"/>
    <col min="15877" max="15877" width="22.5" style="179" customWidth="1"/>
    <col min="15878" max="15878" width="34.25" style="179" bestFit="1" customWidth="1"/>
    <col min="15879" max="15879" width="8" style="179" customWidth="1"/>
    <col min="15880" max="15880" width="15.5" style="179" bestFit="1" customWidth="1"/>
    <col min="15881" max="15883" width="8.875" style="179" bestFit="1" customWidth="1"/>
    <col min="15884" max="15884" width="8.875" style="179" customWidth="1"/>
    <col min="15885" max="15890" width="8.875" style="179" bestFit="1" customWidth="1"/>
    <col min="15891" max="15900" width="8.75" style="179" customWidth="1"/>
    <col min="15901" max="15901" width="8" style="179" customWidth="1"/>
    <col min="15902" max="15902" width="8.875" style="179" customWidth="1"/>
    <col min="15903" max="16131" width="8" style="179"/>
    <col min="16132" max="16132" width="3.25" style="179" customWidth="1"/>
    <col min="16133" max="16133" width="22.5" style="179" customWidth="1"/>
    <col min="16134" max="16134" width="34.25" style="179" bestFit="1" customWidth="1"/>
    <col min="16135" max="16135" width="8" style="179" customWidth="1"/>
    <col min="16136" max="16136" width="15.5" style="179" bestFit="1" customWidth="1"/>
    <col min="16137" max="16139" width="8.875" style="179" bestFit="1" customWidth="1"/>
    <col min="16140" max="16140" width="8.875" style="179" customWidth="1"/>
    <col min="16141" max="16146" width="8.875" style="179" bestFit="1" customWidth="1"/>
    <col min="16147" max="16156" width="8.75" style="179" customWidth="1"/>
    <col min="16157" max="16157" width="8" style="179" customWidth="1"/>
    <col min="16158" max="16158" width="8.875" style="179" customWidth="1"/>
    <col min="16159" max="16384" width="8" style="179"/>
  </cols>
  <sheetData>
    <row r="1" spans="1:30" s="151" customFormat="1" ht="15.75">
      <c r="A1" s="178" t="s">
        <v>2095</v>
      </c>
      <c r="F1" s="151">
        <v>2006</v>
      </c>
      <c r="G1" s="151">
        <v>2007</v>
      </c>
      <c r="H1" s="151">
        <v>2008</v>
      </c>
      <c r="I1" s="151">
        <v>2009</v>
      </c>
      <c r="J1" s="151">
        <v>2010</v>
      </c>
      <c r="K1" s="151">
        <v>2011</v>
      </c>
      <c r="L1" s="151">
        <v>2012</v>
      </c>
      <c r="M1" s="151">
        <v>2013</v>
      </c>
      <c r="N1" s="151">
        <v>2014</v>
      </c>
      <c r="O1" s="151">
        <v>2015</v>
      </c>
      <c r="P1" s="151">
        <v>2016</v>
      </c>
      <c r="AB1" s="152"/>
      <c r="AC1" s="152"/>
      <c r="AD1" s="152"/>
    </row>
    <row r="2" spans="1:30" s="153" customFormat="1">
      <c r="F2" s="153" t="s">
        <v>1127</v>
      </c>
      <c r="G2" s="153" t="s">
        <v>1127</v>
      </c>
      <c r="H2" s="153" t="s">
        <v>1127</v>
      </c>
      <c r="I2" s="153" t="s">
        <v>1127</v>
      </c>
      <c r="J2" s="153" t="s">
        <v>1127</v>
      </c>
      <c r="K2" s="153" t="s">
        <v>1127</v>
      </c>
      <c r="L2" s="153" t="s">
        <v>1127</v>
      </c>
      <c r="M2" s="153" t="s">
        <v>1128</v>
      </c>
      <c r="N2" s="153" t="s">
        <v>1128</v>
      </c>
      <c r="O2" s="153" t="s">
        <v>1128</v>
      </c>
      <c r="P2" s="153" t="s">
        <v>1128</v>
      </c>
      <c r="AB2" s="154"/>
      <c r="AC2" s="154"/>
      <c r="AD2" s="154"/>
    </row>
    <row r="3" spans="1:30" s="155" customFormat="1">
      <c r="F3" s="155">
        <v>38990</v>
      </c>
      <c r="G3" s="155">
        <v>39355</v>
      </c>
      <c r="H3" s="155">
        <v>39721</v>
      </c>
      <c r="I3" s="155">
        <v>40086</v>
      </c>
      <c r="J3" s="155">
        <v>40451</v>
      </c>
      <c r="K3" s="155">
        <v>40816</v>
      </c>
      <c r="L3" s="155">
        <v>41182</v>
      </c>
      <c r="M3" s="155">
        <v>41547</v>
      </c>
      <c r="N3" s="155">
        <v>41912</v>
      </c>
      <c r="O3" s="155">
        <v>42277</v>
      </c>
      <c r="P3" s="155">
        <v>42643</v>
      </c>
      <c r="AB3" s="156"/>
      <c r="AC3" s="156"/>
      <c r="AD3" s="156"/>
    </row>
    <row r="4" spans="1:30">
      <c r="F4" s="179"/>
      <c r="G4" s="179"/>
      <c r="H4" s="179"/>
      <c r="I4" s="179"/>
      <c r="J4" s="179"/>
      <c r="K4" s="179"/>
      <c r="L4" s="179"/>
      <c r="M4" s="179"/>
      <c r="N4" s="179"/>
      <c r="O4" s="179"/>
      <c r="P4" s="179"/>
    </row>
    <row r="5" spans="1:30" s="157" customFormat="1" ht="15.75">
      <c r="A5" s="157" t="s">
        <v>1129</v>
      </c>
      <c r="D5" s="158"/>
      <c r="AB5" s="159"/>
      <c r="AC5" s="159"/>
      <c r="AD5" s="159"/>
    </row>
    <row r="6" spans="1:30">
      <c r="B6" s="179" t="s">
        <v>1130</v>
      </c>
      <c r="C6" s="179" t="s">
        <v>1131</v>
      </c>
      <c r="E6" s="193" t="s">
        <v>2093</v>
      </c>
      <c r="F6" s="179"/>
      <c r="G6" s="179"/>
      <c r="H6" s="179"/>
      <c r="I6" s="179"/>
      <c r="J6" s="179"/>
      <c r="K6" s="179"/>
      <c r="L6" s="179"/>
      <c r="M6" s="179"/>
      <c r="N6" s="179"/>
      <c r="O6" s="179"/>
      <c r="P6" s="179"/>
    </row>
    <row r="7" spans="1:30">
      <c r="B7" s="179" t="s">
        <v>1132</v>
      </c>
      <c r="C7" s="179" t="s">
        <v>1132</v>
      </c>
      <c r="E7" s="193" t="s">
        <v>2094</v>
      </c>
      <c r="F7" s="179"/>
      <c r="G7" s="179"/>
      <c r="H7" s="179"/>
      <c r="I7" s="179"/>
      <c r="J7" s="179"/>
      <c r="K7" s="179"/>
      <c r="L7" s="179"/>
      <c r="M7" s="179"/>
      <c r="N7" s="179"/>
      <c r="O7" s="179"/>
      <c r="P7" s="179"/>
    </row>
    <row r="8" spans="1:30">
      <c r="B8" s="179" t="s">
        <v>1133</v>
      </c>
      <c r="C8" s="179" t="s">
        <v>1133</v>
      </c>
      <c r="E8" s="193" t="s">
        <v>1134</v>
      </c>
      <c r="F8" s="179"/>
      <c r="G8" s="179"/>
      <c r="H8" s="179"/>
      <c r="I8" s="179"/>
      <c r="J8" s="179"/>
      <c r="K8" s="179"/>
      <c r="L8" s="179"/>
      <c r="M8" s="179"/>
      <c r="N8" s="179"/>
      <c r="O8" s="179"/>
      <c r="P8" s="179"/>
    </row>
    <row r="9" spans="1:30">
      <c r="B9" s="179" t="s">
        <v>1135</v>
      </c>
      <c r="C9" s="179" t="s">
        <v>1135</v>
      </c>
      <c r="E9" s="193" t="s">
        <v>1136</v>
      </c>
      <c r="F9" s="179"/>
      <c r="G9" s="179"/>
      <c r="H9" s="179"/>
      <c r="I9" s="179"/>
      <c r="J9" s="179"/>
      <c r="K9" s="179"/>
      <c r="L9" s="179"/>
      <c r="M9" s="179"/>
      <c r="N9" s="179"/>
      <c r="O9" s="179"/>
      <c r="P9" s="179"/>
    </row>
    <row r="10" spans="1:30">
      <c r="B10" s="179" t="s">
        <v>1137</v>
      </c>
      <c r="C10" s="179" t="s">
        <v>1137</v>
      </c>
      <c r="E10" s="193" t="s">
        <v>1136</v>
      </c>
      <c r="F10" s="179"/>
      <c r="G10" s="179"/>
      <c r="H10" s="179"/>
      <c r="I10" s="179"/>
      <c r="J10" s="179"/>
      <c r="K10" s="179"/>
      <c r="L10" s="179"/>
      <c r="M10" s="179"/>
      <c r="N10" s="179"/>
      <c r="O10" s="179"/>
      <c r="P10" s="179"/>
    </row>
    <row r="11" spans="1:30">
      <c r="B11" s="179" t="s">
        <v>1138</v>
      </c>
      <c r="C11" s="179" t="s">
        <v>1139</v>
      </c>
      <c r="E11" s="193" t="s">
        <v>1136</v>
      </c>
      <c r="F11" s="179"/>
      <c r="G11" s="179"/>
      <c r="H11" s="179"/>
      <c r="I11" s="179"/>
      <c r="J11" s="179"/>
      <c r="K11" s="179"/>
      <c r="L11" s="179"/>
      <c r="M11" s="179"/>
      <c r="N11" s="179"/>
      <c r="O11" s="179"/>
      <c r="P11" s="179"/>
    </row>
    <row r="12" spans="1:30">
      <c r="F12" s="179"/>
      <c r="G12" s="179"/>
      <c r="H12" s="179"/>
      <c r="I12" s="179"/>
      <c r="J12" s="179"/>
      <c r="K12" s="179"/>
      <c r="L12" s="179"/>
      <c r="M12" s="179"/>
      <c r="N12" s="179"/>
      <c r="O12" s="179"/>
      <c r="P12" s="179"/>
    </row>
    <row r="13" spans="1:30" s="157" customFormat="1" ht="15.75">
      <c r="A13" s="157" t="s">
        <v>1140</v>
      </c>
      <c r="D13" s="158"/>
      <c r="AB13" s="159"/>
      <c r="AC13" s="159"/>
      <c r="AD13" s="159"/>
    </row>
    <row r="14" spans="1:30">
      <c r="B14" s="179" t="s">
        <v>1141</v>
      </c>
      <c r="C14" s="179" t="s">
        <v>1142</v>
      </c>
    </row>
    <row r="15" spans="1:30">
      <c r="B15" s="179" t="s">
        <v>1143</v>
      </c>
      <c r="C15" s="179" t="s">
        <v>1144</v>
      </c>
    </row>
    <row r="16" spans="1:30">
      <c r="B16" s="179" t="s">
        <v>1145</v>
      </c>
      <c r="C16" s="179" t="s">
        <v>1146</v>
      </c>
    </row>
    <row r="17" spans="2:30">
      <c r="B17" s="179" t="s">
        <v>1147</v>
      </c>
      <c r="C17" s="179" t="s">
        <v>1148</v>
      </c>
      <c r="D17" s="179" t="s">
        <v>1136</v>
      </c>
    </row>
    <row r="18" spans="2:30">
      <c r="B18" s="179" t="s">
        <v>1149</v>
      </c>
      <c r="C18" s="179" t="s">
        <v>1150</v>
      </c>
    </row>
    <row r="19" spans="2:30">
      <c r="B19" s="179" t="s">
        <v>1152</v>
      </c>
      <c r="C19" s="179" t="s">
        <v>1153</v>
      </c>
      <c r="AB19" s="162" t="s">
        <v>1010</v>
      </c>
      <c r="AC19" s="162"/>
      <c r="AD19" s="162"/>
    </row>
    <row r="20" spans="2:30">
      <c r="B20" s="179" t="s">
        <v>1154</v>
      </c>
      <c r="C20" s="179" t="s">
        <v>1155</v>
      </c>
    </row>
    <row r="21" spans="2:30">
      <c r="B21" s="179" t="s">
        <v>1156</v>
      </c>
      <c r="C21" s="179" t="s">
        <v>1157</v>
      </c>
    </row>
    <row r="22" spans="2:30">
      <c r="B22" s="179" t="s">
        <v>1158</v>
      </c>
      <c r="C22" s="179" t="s">
        <v>1159</v>
      </c>
    </row>
    <row r="23" spans="2:30">
      <c r="B23" s="179" t="s">
        <v>1160</v>
      </c>
      <c r="C23" s="179" t="s">
        <v>1161</v>
      </c>
    </row>
    <row r="24" spans="2:30">
      <c r="B24" s="179" t="s">
        <v>1162</v>
      </c>
      <c r="C24" s="179" t="s">
        <v>1163</v>
      </c>
    </row>
    <row r="25" spans="2:30">
      <c r="B25" s="179" t="s">
        <v>1164</v>
      </c>
      <c r="C25" s="179" t="s">
        <v>1165</v>
      </c>
    </row>
    <row r="26" spans="2:30">
      <c r="B26" s="179" t="s">
        <v>1166</v>
      </c>
      <c r="C26" s="179" t="s">
        <v>1167</v>
      </c>
    </row>
    <row r="27" spans="2:30">
      <c r="B27" s="179" t="s">
        <v>1168</v>
      </c>
      <c r="C27" s="179" t="s">
        <v>1169</v>
      </c>
    </row>
    <row r="28" spans="2:30">
      <c r="B28" s="179" t="s">
        <v>1170</v>
      </c>
      <c r="C28" s="179" t="s">
        <v>1171</v>
      </c>
    </row>
    <row r="29" spans="2:30">
      <c r="B29" s="179" t="s">
        <v>1172</v>
      </c>
      <c r="C29" s="179" t="s">
        <v>1173</v>
      </c>
    </row>
    <row r="30" spans="2:30">
      <c r="B30" s="179" t="s">
        <v>1174</v>
      </c>
      <c r="C30" s="179" t="s">
        <v>1175</v>
      </c>
    </row>
    <row r="31" spans="2:30">
      <c r="B31" s="179" t="s">
        <v>1176</v>
      </c>
      <c r="C31" s="179" t="s">
        <v>1177</v>
      </c>
    </row>
    <row r="32" spans="2:30">
      <c r="B32" s="179" t="s">
        <v>1178</v>
      </c>
      <c r="C32" s="179" t="s">
        <v>1179</v>
      </c>
    </row>
    <row r="33" spans="1:30">
      <c r="B33" s="179" t="s">
        <v>1180</v>
      </c>
      <c r="C33" s="179" t="s">
        <v>1181</v>
      </c>
    </row>
    <row r="34" spans="1:30">
      <c r="F34" s="179"/>
      <c r="G34" s="179"/>
      <c r="H34" s="179"/>
      <c r="I34" s="179"/>
      <c r="J34" s="179"/>
      <c r="K34" s="179"/>
      <c r="L34" s="179"/>
      <c r="M34" s="179"/>
      <c r="N34" s="179"/>
      <c r="O34" s="179"/>
      <c r="P34" s="179"/>
    </row>
    <row r="35" spans="1:30" s="157" customFormat="1" ht="15.75">
      <c r="A35" s="157" t="s">
        <v>1182</v>
      </c>
      <c r="D35" s="158"/>
      <c r="AB35" s="159"/>
      <c r="AC35" s="159"/>
      <c r="AD35" s="159"/>
    </row>
    <row r="36" spans="1:30">
      <c r="A36" s="162"/>
      <c r="B36" s="179" t="s">
        <v>1183</v>
      </c>
      <c r="C36" s="179" t="s">
        <v>1184</v>
      </c>
      <c r="D36" s="179" t="s">
        <v>1136</v>
      </c>
      <c r="AB36" s="160"/>
      <c r="AC36" s="160"/>
      <c r="AD36" s="160"/>
    </row>
    <row r="37" spans="1:30">
      <c r="B37" s="179" t="s">
        <v>1185</v>
      </c>
      <c r="C37" s="179" t="s">
        <v>1186</v>
      </c>
      <c r="D37" s="179" t="s">
        <v>1136</v>
      </c>
      <c r="AB37" s="160"/>
      <c r="AC37" s="160"/>
      <c r="AD37" s="160"/>
    </row>
    <row r="38" spans="1:30">
      <c r="B38" s="179" t="s">
        <v>2365</v>
      </c>
      <c r="C38" s="179" t="s">
        <v>2366</v>
      </c>
      <c r="AB38" s="160" t="s">
        <v>2368</v>
      </c>
      <c r="AC38" s="160"/>
      <c r="AD38" s="160"/>
    </row>
    <row r="39" spans="1:30">
      <c r="B39" s="179" t="s">
        <v>1187</v>
      </c>
      <c r="C39" s="179" t="s">
        <v>1188</v>
      </c>
      <c r="D39" s="179" t="s">
        <v>1136</v>
      </c>
      <c r="AB39" s="160"/>
      <c r="AC39" s="160"/>
      <c r="AD39" s="160"/>
    </row>
    <row r="40" spans="1:30">
      <c r="B40" s="179" t="s">
        <v>1189</v>
      </c>
      <c r="C40" s="179" t="s">
        <v>1190</v>
      </c>
      <c r="D40" s="179" t="s">
        <v>1136</v>
      </c>
      <c r="AB40" s="160"/>
      <c r="AC40" s="160"/>
      <c r="AD40" s="160"/>
    </row>
    <row r="41" spans="1:30">
      <c r="B41" s="179" t="s">
        <v>1191</v>
      </c>
      <c r="C41" s="179" t="s">
        <v>1192</v>
      </c>
      <c r="D41" s="179" t="s">
        <v>1136</v>
      </c>
      <c r="AB41" s="161"/>
      <c r="AC41" s="161"/>
      <c r="AD41" s="161"/>
    </row>
    <row r="42" spans="1:30">
      <c r="B42" s="179" t="s">
        <v>1193</v>
      </c>
      <c r="C42" s="179" t="s">
        <v>1194</v>
      </c>
      <c r="D42" s="179" t="s">
        <v>1136</v>
      </c>
      <c r="AB42" s="161"/>
      <c r="AC42" s="161"/>
      <c r="AD42" s="161"/>
    </row>
    <row r="43" spans="1:30">
      <c r="B43" s="179" t="s">
        <v>1195</v>
      </c>
      <c r="C43" s="179" t="s">
        <v>1196</v>
      </c>
      <c r="D43" s="179" t="s">
        <v>1136</v>
      </c>
      <c r="AB43" s="161"/>
      <c r="AC43" s="161"/>
      <c r="AD43" s="161"/>
    </row>
    <row r="44" spans="1:30">
      <c r="B44" s="179" t="s">
        <v>1197</v>
      </c>
      <c r="C44" s="179" t="s">
        <v>1198</v>
      </c>
      <c r="D44" s="179" t="s">
        <v>1136</v>
      </c>
      <c r="AB44" s="161"/>
      <c r="AC44" s="161"/>
      <c r="AD44" s="161"/>
    </row>
    <row r="45" spans="1:30">
      <c r="B45" s="179" t="s">
        <v>1199</v>
      </c>
      <c r="C45" s="179" t="s">
        <v>1200</v>
      </c>
      <c r="D45" s="179" t="s">
        <v>1136</v>
      </c>
      <c r="AB45" s="161"/>
      <c r="AC45" s="161"/>
      <c r="AD45" s="161"/>
    </row>
    <row r="46" spans="1:30">
      <c r="B46" s="179" t="s">
        <v>1201</v>
      </c>
      <c r="C46" s="179" t="s">
        <v>1202</v>
      </c>
      <c r="D46" s="179" t="s">
        <v>1136</v>
      </c>
      <c r="AB46" s="160"/>
      <c r="AC46" s="160"/>
      <c r="AD46" s="160"/>
    </row>
    <row r="47" spans="1:30">
      <c r="B47" s="179" t="s">
        <v>1203</v>
      </c>
      <c r="C47" s="179" t="s">
        <v>1204</v>
      </c>
      <c r="D47" s="179" t="s">
        <v>1136</v>
      </c>
      <c r="AB47" s="161"/>
      <c r="AC47" s="161"/>
      <c r="AD47" s="161"/>
    </row>
    <row r="48" spans="1:30">
      <c r="B48" s="179" t="s">
        <v>1205</v>
      </c>
      <c r="C48" s="179" t="s">
        <v>1206</v>
      </c>
      <c r="D48" s="179" t="s">
        <v>1136</v>
      </c>
      <c r="AB48" s="160"/>
      <c r="AC48" s="160"/>
      <c r="AD48" s="160"/>
    </row>
    <row r="49" spans="1:30">
      <c r="F49" s="179"/>
      <c r="G49" s="179"/>
      <c r="H49" s="179"/>
      <c r="I49" s="179"/>
      <c r="J49" s="179"/>
      <c r="K49" s="179"/>
      <c r="L49" s="179"/>
      <c r="M49" s="179"/>
      <c r="N49" s="179"/>
      <c r="O49" s="179"/>
      <c r="P49" s="179"/>
    </row>
    <row r="50" spans="1:30" s="157" customFormat="1" ht="15.75">
      <c r="A50" s="157" t="s">
        <v>1207</v>
      </c>
      <c r="D50" s="158"/>
      <c r="AB50" s="159"/>
      <c r="AC50" s="159"/>
      <c r="AD50" s="159"/>
    </row>
    <row r="51" spans="1:30">
      <c r="B51" s="179" t="s">
        <v>1208</v>
      </c>
      <c r="C51" s="179" t="s">
        <v>1209</v>
      </c>
    </row>
    <row r="52" spans="1:30">
      <c r="B52" s="179" t="s">
        <v>750</v>
      </c>
      <c r="C52" s="179" t="s">
        <v>1210</v>
      </c>
      <c r="D52" s="179" t="s">
        <v>1136</v>
      </c>
    </row>
    <row r="53" spans="1:30">
      <c r="B53" s="179" t="s">
        <v>1211</v>
      </c>
      <c r="C53" s="179" t="s">
        <v>1212</v>
      </c>
    </row>
    <row r="54" spans="1:30">
      <c r="B54" s="179" t="s">
        <v>1213</v>
      </c>
      <c r="C54" s="179" t="s">
        <v>1214</v>
      </c>
    </row>
    <row r="55" spans="1:30">
      <c r="B55" s="179" t="s">
        <v>1215</v>
      </c>
      <c r="C55" s="179" t="s">
        <v>1216</v>
      </c>
    </row>
    <row r="56" spans="1:30">
      <c r="B56" s="179" t="s">
        <v>1217</v>
      </c>
      <c r="C56" s="179" t="s">
        <v>1218</v>
      </c>
    </row>
    <row r="57" spans="1:30">
      <c r="B57" s="179" t="s">
        <v>1219</v>
      </c>
      <c r="C57" s="179" t="s">
        <v>1220</v>
      </c>
      <c r="D57" s="179" t="s">
        <v>1136</v>
      </c>
      <c r="AB57" s="162" t="s">
        <v>897</v>
      </c>
    </row>
    <row r="58" spans="1:30">
      <c r="B58" s="179" t="s">
        <v>1221</v>
      </c>
      <c r="C58" s="179" t="s">
        <v>1222</v>
      </c>
      <c r="D58" s="179" t="s">
        <v>1136</v>
      </c>
    </row>
    <row r="59" spans="1:30">
      <c r="B59" s="179" t="s">
        <v>1223</v>
      </c>
      <c r="C59" s="179" t="s">
        <v>1224</v>
      </c>
      <c r="D59" s="179" t="s">
        <v>1136</v>
      </c>
    </row>
    <row r="60" spans="1:30">
      <c r="B60" s="179" t="s">
        <v>1225</v>
      </c>
      <c r="C60" s="179" t="s">
        <v>1226</v>
      </c>
      <c r="D60" s="179" t="s">
        <v>1136</v>
      </c>
    </row>
    <row r="61" spans="1:30">
      <c r="B61" s="179" t="s">
        <v>1227</v>
      </c>
      <c r="C61" s="179" t="s">
        <v>1228</v>
      </c>
      <c r="D61" s="179" t="s">
        <v>1136</v>
      </c>
    </row>
    <row r="62" spans="1:30">
      <c r="B62" s="179" t="s">
        <v>1229</v>
      </c>
      <c r="C62" s="179" t="s">
        <v>1230</v>
      </c>
      <c r="D62" s="179" t="s">
        <v>1136</v>
      </c>
    </row>
    <row r="63" spans="1:30">
      <c r="B63" s="179" t="s">
        <v>1231</v>
      </c>
      <c r="C63" s="179" t="s">
        <v>1232</v>
      </c>
      <c r="D63" s="179" t="s">
        <v>1136</v>
      </c>
    </row>
    <row r="64" spans="1:30">
      <c r="B64" s="179" t="s">
        <v>1233</v>
      </c>
      <c r="C64" s="179" t="s">
        <v>1234</v>
      </c>
      <c r="D64" s="179" t="s">
        <v>1136</v>
      </c>
    </row>
    <row r="65" spans="1:30">
      <c r="B65" s="179" t="s">
        <v>1235</v>
      </c>
      <c r="C65" s="179" t="s">
        <v>1236</v>
      </c>
      <c r="D65" s="179" t="s">
        <v>1136</v>
      </c>
      <c r="AB65" s="163"/>
      <c r="AC65" s="163"/>
      <c r="AD65" s="163"/>
    </row>
    <row r="66" spans="1:30">
      <c r="B66" s="179" t="s">
        <v>1237</v>
      </c>
      <c r="C66" s="179" t="s">
        <v>1238</v>
      </c>
      <c r="D66" s="179" t="s">
        <v>1136</v>
      </c>
    </row>
    <row r="67" spans="1:30">
      <c r="B67" s="179" t="s">
        <v>1239</v>
      </c>
      <c r="C67" s="179" t="s">
        <v>1240</v>
      </c>
      <c r="D67" s="179" t="s">
        <v>1136</v>
      </c>
      <c r="AB67" s="163"/>
      <c r="AC67" s="163"/>
      <c r="AD67" s="163"/>
    </row>
    <row r="68" spans="1:30">
      <c r="B68" s="179" t="s">
        <v>1241</v>
      </c>
      <c r="C68" s="179" t="s">
        <v>1242</v>
      </c>
      <c r="D68" s="179" t="s">
        <v>1136</v>
      </c>
      <c r="AB68" s="164" t="s">
        <v>836</v>
      </c>
      <c r="AC68" s="164"/>
      <c r="AD68" s="164"/>
    </row>
    <row r="69" spans="1:30">
      <c r="B69" s="179" t="s">
        <v>1243</v>
      </c>
      <c r="C69" s="179" t="s">
        <v>1244</v>
      </c>
      <c r="D69" s="179" t="s">
        <v>1136</v>
      </c>
      <c r="AB69" s="162" t="s">
        <v>966</v>
      </c>
      <c r="AC69" s="162"/>
      <c r="AD69" s="162"/>
    </row>
    <row r="70" spans="1:30">
      <c r="B70" s="179" t="s">
        <v>1245</v>
      </c>
      <c r="C70" s="179" t="s">
        <v>1246</v>
      </c>
      <c r="AB70" s="162" t="s">
        <v>907</v>
      </c>
      <c r="AC70" s="162"/>
      <c r="AD70" s="162"/>
    </row>
    <row r="71" spans="1:30">
      <c r="B71" s="179" t="s">
        <v>1247</v>
      </c>
      <c r="C71" s="179" t="s">
        <v>1248</v>
      </c>
    </row>
    <row r="72" spans="1:30">
      <c r="F72" s="179"/>
      <c r="G72" s="179"/>
      <c r="H72" s="179"/>
      <c r="I72" s="179"/>
      <c r="J72" s="179"/>
      <c r="K72" s="179"/>
      <c r="L72" s="179"/>
      <c r="M72" s="179"/>
      <c r="N72" s="179"/>
      <c r="O72" s="179"/>
      <c r="P72" s="179"/>
    </row>
    <row r="73" spans="1:30" s="157" customFormat="1" ht="15.75">
      <c r="A73" s="157" t="s">
        <v>1249</v>
      </c>
      <c r="D73" s="158"/>
      <c r="AB73" s="159"/>
      <c r="AC73" s="159"/>
      <c r="AD73" s="159"/>
    </row>
    <row r="74" spans="1:30">
      <c r="B74" s="179" t="s">
        <v>585</v>
      </c>
      <c r="C74" s="179" t="s">
        <v>1250</v>
      </c>
      <c r="D74" s="179" t="s">
        <v>1136</v>
      </c>
      <c r="AB74" s="162" t="s">
        <v>238</v>
      </c>
      <c r="AC74" s="162"/>
      <c r="AD74" s="162"/>
    </row>
    <row r="75" spans="1:30">
      <c r="B75" s="179" t="s">
        <v>484</v>
      </c>
      <c r="C75" s="179" t="s">
        <v>1251</v>
      </c>
      <c r="D75" s="179" t="s">
        <v>1136</v>
      </c>
      <c r="AB75" s="162" t="s">
        <v>239</v>
      </c>
      <c r="AC75" s="162"/>
      <c r="AD75" s="162"/>
    </row>
    <row r="76" spans="1:30">
      <c r="B76" s="179" t="s">
        <v>485</v>
      </c>
      <c r="C76" s="179" t="s">
        <v>1252</v>
      </c>
      <c r="D76" s="179" t="s">
        <v>1136</v>
      </c>
      <c r="Q76" s="165">
        <f>F14+F15-F16</f>
        <v>0</v>
      </c>
      <c r="R76" s="165">
        <f t="shared" ref="R76:Z76" si="0">G14+G15-G16</f>
        <v>0</v>
      </c>
      <c r="S76" s="165">
        <f t="shared" si="0"/>
        <v>0</v>
      </c>
      <c r="T76" s="165">
        <f t="shared" si="0"/>
        <v>0</v>
      </c>
      <c r="U76" s="165">
        <f t="shared" si="0"/>
        <v>0</v>
      </c>
      <c r="V76" s="165">
        <f t="shared" si="0"/>
        <v>0</v>
      </c>
      <c r="W76" s="165">
        <f t="shared" si="0"/>
        <v>0</v>
      </c>
      <c r="X76" s="165">
        <f t="shared" si="0"/>
        <v>0</v>
      </c>
      <c r="Y76" s="165">
        <f t="shared" si="0"/>
        <v>0</v>
      </c>
      <c r="Z76" s="165">
        <f t="shared" si="0"/>
        <v>0</v>
      </c>
      <c r="AA76" s="179" t="s">
        <v>1253</v>
      </c>
      <c r="AB76" s="162" t="s">
        <v>241</v>
      </c>
      <c r="AC76" s="162"/>
      <c r="AD76" s="162"/>
    </row>
    <row r="77" spans="1:30">
      <c r="B77" s="179" t="s">
        <v>1254</v>
      </c>
      <c r="C77" s="179" t="s">
        <v>1255</v>
      </c>
      <c r="D77" s="179" t="s">
        <v>1136</v>
      </c>
      <c r="AB77" s="162" t="s">
        <v>2223</v>
      </c>
    </row>
    <row r="78" spans="1:30">
      <c r="B78" s="179" t="s">
        <v>1256</v>
      </c>
      <c r="C78" s="179" t="s">
        <v>1257</v>
      </c>
      <c r="D78" s="179" t="s">
        <v>1136</v>
      </c>
    </row>
    <row r="79" spans="1:30">
      <c r="B79" s="179" t="s">
        <v>1258</v>
      </c>
      <c r="C79" s="179" t="s">
        <v>1259</v>
      </c>
      <c r="D79" s="179" t="s">
        <v>1136</v>
      </c>
    </row>
    <row r="80" spans="1:30">
      <c r="B80" s="179" t="s">
        <v>1260</v>
      </c>
      <c r="C80" s="179" t="s">
        <v>1261</v>
      </c>
      <c r="D80" s="179" t="s">
        <v>1136</v>
      </c>
      <c r="AB80" s="162" t="s">
        <v>998</v>
      </c>
      <c r="AC80" s="162"/>
      <c r="AD80" s="162"/>
    </row>
    <row r="81" spans="2:30">
      <c r="B81" s="179" t="s">
        <v>1262</v>
      </c>
      <c r="C81" s="179" t="s">
        <v>1263</v>
      </c>
      <c r="D81" s="179" t="s">
        <v>1136</v>
      </c>
      <c r="AB81" s="162" t="s">
        <v>996</v>
      </c>
      <c r="AC81" s="162" t="s">
        <v>997</v>
      </c>
      <c r="AD81" s="162"/>
    </row>
    <row r="82" spans="2:30">
      <c r="B82" s="179" t="s">
        <v>598</v>
      </c>
      <c r="C82" s="179" t="s">
        <v>1264</v>
      </c>
      <c r="D82" s="179" t="s">
        <v>1136</v>
      </c>
    </row>
    <row r="83" spans="2:30">
      <c r="B83" s="179" t="s">
        <v>532</v>
      </c>
      <c r="C83" s="179" t="s">
        <v>1265</v>
      </c>
      <c r="D83" s="179" t="s">
        <v>1136</v>
      </c>
      <c r="Q83" s="166">
        <f>F17+F18+F19+F20+F21+F22-F23</f>
        <v>0</v>
      </c>
      <c r="R83" s="166">
        <f t="shared" ref="R83:Z83" si="1">G17+G18+G19+G20+G21+G22-G23</f>
        <v>0</v>
      </c>
      <c r="S83" s="166">
        <f t="shared" si="1"/>
        <v>0</v>
      </c>
      <c r="T83" s="166">
        <f t="shared" si="1"/>
        <v>0</v>
      </c>
      <c r="U83" s="166">
        <f t="shared" si="1"/>
        <v>0</v>
      </c>
      <c r="V83" s="166">
        <f t="shared" si="1"/>
        <v>0</v>
      </c>
      <c r="W83" s="166">
        <f t="shared" si="1"/>
        <v>0</v>
      </c>
      <c r="X83" s="166">
        <f t="shared" si="1"/>
        <v>0</v>
      </c>
      <c r="Y83" s="166">
        <f t="shared" si="1"/>
        <v>0</v>
      </c>
      <c r="Z83" s="166">
        <f t="shared" si="1"/>
        <v>0</v>
      </c>
      <c r="AA83" s="179" t="s">
        <v>1266</v>
      </c>
      <c r="AB83" s="162" t="s">
        <v>995</v>
      </c>
    </row>
    <row r="84" spans="2:30">
      <c r="B84" s="179" t="s">
        <v>1267</v>
      </c>
      <c r="C84" s="179" t="s">
        <v>1268</v>
      </c>
      <c r="D84" s="179" t="s">
        <v>1136</v>
      </c>
      <c r="Q84" s="166">
        <f>F16+F23-F25</f>
        <v>0</v>
      </c>
      <c r="R84" s="166">
        <f t="shared" ref="R84:Z84" si="2">G16+G23-G25</f>
        <v>0</v>
      </c>
      <c r="S84" s="166">
        <f t="shared" si="2"/>
        <v>0</v>
      </c>
      <c r="T84" s="166">
        <f t="shared" si="2"/>
        <v>0</v>
      </c>
      <c r="U84" s="166">
        <f t="shared" si="2"/>
        <v>0</v>
      </c>
      <c r="V84" s="166">
        <f t="shared" si="2"/>
        <v>0</v>
      </c>
      <c r="W84" s="166">
        <f t="shared" si="2"/>
        <v>0</v>
      </c>
      <c r="X84" s="166">
        <f t="shared" si="2"/>
        <v>0</v>
      </c>
      <c r="Y84" s="166">
        <f t="shared" si="2"/>
        <v>0</v>
      </c>
      <c r="Z84" s="166">
        <f t="shared" si="2"/>
        <v>0</v>
      </c>
      <c r="AA84" s="179" t="s">
        <v>1269</v>
      </c>
      <c r="AB84" s="162" t="s">
        <v>813</v>
      </c>
    </row>
    <row r="85" spans="2:30">
      <c r="B85" s="179" t="s">
        <v>1270</v>
      </c>
      <c r="C85" s="179" t="s">
        <v>1271</v>
      </c>
      <c r="D85" s="179" t="s">
        <v>1136</v>
      </c>
      <c r="AB85" s="162" t="s">
        <v>672</v>
      </c>
    </row>
    <row r="86" spans="2:30">
      <c r="B86" s="179" t="s">
        <v>1272</v>
      </c>
      <c r="C86" s="179" t="s">
        <v>1273</v>
      </c>
      <c r="D86" s="179" t="s">
        <v>1136</v>
      </c>
      <c r="AB86" s="162" t="s">
        <v>2223</v>
      </c>
    </row>
    <row r="87" spans="2:30">
      <c r="B87" s="179" t="s">
        <v>1274</v>
      </c>
      <c r="C87" s="179" t="s">
        <v>1275</v>
      </c>
      <c r="D87" s="179" t="s">
        <v>1136</v>
      </c>
      <c r="Q87" s="167">
        <f>F26+F27+F31+F29+F30+F34-F28</f>
        <v>0</v>
      </c>
      <c r="R87" s="167">
        <f t="shared" ref="R87:Z87" si="3">G26+G27+G31+G29+G30+G34-G28</f>
        <v>0</v>
      </c>
      <c r="S87" s="167">
        <f t="shared" si="3"/>
        <v>0</v>
      </c>
      <c r="T87" s="167">
        <f t="shared" si="3"/>
        <v>0</v>
      </c>
      <c r="U87" s="167">
        <f t="shared" si="3"/>
        <v>0</v>
      </c>
      <c r="V87" s="167">
        <f t="shared" si="3"/>
        <v>0</v>
      </c>
      <c r="W87" s="167">
        <f t="shared" si="3"/>
        <v>0</v>
      </c>
      <c r="X87" s="167">
        <f t="shared" si="3"/>
        <v>0</v>
      </c>
      <c r="Y87" s="167">
        <f t="shared" si="3"/>
        <v>0</v>
      </c>
      <c r="Z87" s="167">
        <f t="shared" si="3"/>
        <v>0</v>
      </c>
      <c r="AA87" s="168" t="s">
        <v>1276</v>
      </c>
      <c r="AB87" s="162" t="s">
        <v>671</v>
      </c>
    </row>
    <row r="88" spans="2:30">
      <c r="B88" s="179" t="s">
        <v>1277</v>
      </c>
      <c r="C88" s="179" t="s">
        <v>1278</v>
      </c>
      <c r="D88" s="179" t="s">
        <v>1136</v>
      </c>
      <c r="AB88" s="162" t="s">
        <v>2223</v>
      </c>
    </row>
    <row r="89" spans="2:30">
      <c r="B89" s="179" t="s">
        <v>1279</v>
      </c>
      <c r="C89" s="179" t="s">
        <v>1280</v>
      </c>
      <c r="D89" s="179" t="s">
        <v>1136</v>
      </c>
      <c r="AB89" s="162" t="s">
        <v>674</v>
      </c>
    </row>
    <row r="90" spans="2:30">
      <c r="B90" s="179" t="s">
        <v>1281</v>
      </c>
      <c r="C90" s="179" t="s">
        <v>1282</v>
      </c>
      <c r="D90" s="179" t="s">
        <v>1136</v>
      </c>
      <c r="AB90" s="162"/>
    </row>
    <row r="91" spans="2:30">
      <c r="B91" s="179" t="s">
        <v>1283</v>
      </c>
      <c r="C91" s="179" t="s">
        <v>1284</v>
      </c>
      <c r="D91" s="179" t="s">
        <v>1136</v>
      </c>
      <c r="AB91" s="162" t="s">
        <v>682</v>
      </c>
    </row>
    <row r="92" spans="2:30">
      <c r="B92" s="179" t="s">
        <v>1285</v>
      </c>
      <c r="C92" s="179" t="s">
        <v>1286</v>
      </c>
      <c r="D92" s="179" t="s">
        <v>1136</v>
      </c>
    </row>
    <row r="93" spans="2:30">
      <c r="B93" s="179" t="s">
        <v>1287</v>
      </c>
      <c r="C93" s="179" t="s">
        <v>1288</v>
      </c>
      <c r="D93" s="179" t="s">
        <v>1136</v>
      </c>
    </row>
    <row r="94" spans="2:30">
      <c r="B94" s="179" t="s">
        <v>1289</v>
      </c>
      <c r="C94" s="179" t="s">
        <v>1290</v>
      </c>
      <c r="D94" s="179" t="s">
        <v>1136</v>
      </c>
      <c r="Q94" s="165">
        <f>F32+F33-F35</f>
        <v>0</v>
      </c>
      <c r="R94" s="165">
        <f t="shared" ref="R94:Z94" si="4">G32+G33-G35</f>
        <v>0</v>
      </c>
      <c r="S94" s="165">
        <f t="shared" si="4"/>
        <v>0</v>
      </c>
      <c r="T94" s="165">
        <f t="shared" si="4"/>
        <v>0</v>
      </c>
      <c r="U94" s="165">
        <f t="shared" si="4"/>
        <v>0</v>
      </c>
      <c r="V94" s="165">
        <f t="shared" si="4"/>
        <v>0</v>
      </c>
      <c r="W94" s="165">
        <f t="shared" si="4"/>
        <v>0</v>
      </c>
      <c r="X94" s="165">
        <f t="shared" si="4"/>
        <v>0</v>
      </c>
      <c r="Y94" s="165">
        <f t="shared" si="4"/>
        <v>0</v>
      </c>
      <c r="Z94" s="165">
        <f t="shared" si="4"/>
        <v>0</v>
      </c>
      <c r="AA94" s="179" t="s">
        <v>1291</v>
      </c>
      <c r="AB94" s="162" t="s">
        <v>682</v>
      </c>
    </row>
    <row r="95" spans="2:30">
      <c r="B95" s="179" t="s">
        <v>1292</v>
      </c>
      <c r="C95" s="179" t="s">
        <v>1293</v>
      </c>
      <c r="D95" s="179" t="s">
        <v>1136</v>
      </c>
      <c r="Q95" s="165">
        <f>F25+F28-F36</f>
        <v>0</v>
      </c>
      <c r="R95" s="165">
        <f t="shared" ref="R95:Z95" si="5">G25+G28-G36</f>
        <v>0</v>
      </c>
      <c r="S95" s="165">
        <f t="shared" si="5"/>
        <v>0</v>
      </c>
      <c r="T95" s="165">
        <f t="shared" si="5"/>
        <v>0</v>
      </c>
      <c r="U95" s="165">
        <f t="shared" si="5"/>
        <v>0</v>
      </c>
      <c r="V95" s="165">
        <f t="shared" si="5"/>
        <v>0</v>
      </c>
      <c r="W95" s="165">
        <f t="shared" si="5"/>
        <v>0</v>
      </c>
      <c r="X95" s="165">
        <f t="shared" si="5"/>
        <v>0</v>
      </c>
      <c r="Y95" s="165">
        <f t="shared" si="5"/>
        <v>0</v>
      </c>
      <c r="Z95" s="165">
        <f t="shared" si="5"/>
        <v>0</v>
      </c>
      <c r="AA95" s="179" t="s">
        <v>1294</v>
      </c>
      <c r="AB95" s="162" t="s">
        <v>100</v>
      </c>
    </row>
    <row r="96" spans="2:30">
      <c r="B96" s="179" t="s">
        <v>1295</v>
      </c>
      <c r="C96" s="179" t="s">
        <v>1296</v>
      </c>
      <c r="D96" s="179" t="s">
        <v>1136</v>
      </c>
      <c r="Q96" s="165">
        <f>F35+F36-F37</f>
        <v>0</v>
      </c>
      <c r="R96" s="165">
        <f t="shared" ref="R96:Z96" si="6">G35+G36-G37</f>
        <v>0</v>
      </c>
      <c r="S96" s="165">
        <f t="shared" si="6"/>
        <v>0</v>
      </c>
      <c r="T96" s="165">
        <f t="shared" si="6"/>
        <v>0</v>
      </c>
      <c r="U96" s="165">
        <f t="shared" si="6"/>
        <v>0</v>
      </c>
      <c r="V96" s="165">
        <f t="shared" si="6"/>
        <v>0</v>
      </c>
      <c r="W96" s="165">
        <f t="shared" si="6"/>
        <v>0</v>
      </c>
      <c r="X96" s="165">
        <f t="shared" si="6"/>
        <v>0</v>
      </c>
      <c r="Y96" s="165">
        <f t="shared" si="6"/>
        <v>0</v>
      </c>
      <c r="Z96" s="165">
        <f t="shared" si="6"/>
        <v>0</v>
      </c>
      <c r="AA96" s="179" t="s">
        <v>1297</v>
      </c>
      <c r="AB96" s="162" t="s">
        <v>288</v>
      </c>
    </row>
    <row r="97" spans="2:30">
      <c r="B97" s="179" t="s">
        <v>1298</v>
      </c>
      <c r="C97" s="179" t="s">
        <v>1299</v>
      </c>
      <c r="D97" s="179" t="s">
        <v>1136</v>
      </c>
    </row>
    <row r="98" spans="2:30">
      <c r="B98" s="179" t="s">
        <v>1300</v>
      </c>
      <c r="C98" s="179" t="s">
        <v>1301</v>
      </c>
      <c r="D98" s="179" t="s">
        <v>1136</v>
      </c>
    </row>
    <row r="99" spans="2:30">
      <c r="B99" s="179" t="s">
        <v>658</v>
      </c>
      <c r="C99" s="179" t="s">
        <v>1302</v>
      </c>
      <c r="D99" s="179" t="s">
        <v>1136</v>
      </c>
    </row>
    <row r="100" spans="2:30">
      <c r="B100" s="179" t="s">
        <v>1303</v>
      </c>
      <c r="C100" s="179" t="s">
        <v>1304</v>
      </c>
      <c r="D100" s="179" t="s">
        <v>1136</v>
      </c>
    </row>
    <row r="101" spans="2:30">
      <c r="B101" s="179" t="s">
        <v>1305</v>
      </c>
      <c r="C101" s="179" t="s">
        <v>1306</v>
      </c>
      <c r="D101" s="179" t="s">
        <v>1136</v>
      </c>
      <c r="Q101" s="165">
        <f>F40+F41-F42</f>
        <v>0</v>
      </c>
      <c r="R101" s="165">
        <f t="shared" ref="R101:Z101" si="7">G40+G41-G42</f>
        <v>0</v>
      </c>
      <c r="S101" s="165">
        <f t="shared" si="7"/>
        <v>0</v>
      </c>
      <c r="T101" s="165">
        <f t="shared" si="7"/>
        <v>0</v>
      </c>
      <c r="U101" s="165">
        <f t="shared" si="7"/>
        <v>0</v>
      </c>
      <c r="V101" s="165">
        <f t="shared" si="7"/>
        <v>0</v>
      </c>
      <c r="W101" s="165">
        <f t="shared" si="7"/>
        <v>0</v>
      </c>
      <c r="X101" s="165">
        <f t="shared" si="7"/>
        <v>0</v>
      </c>
      <c r="Y101" s="165">
        <f t="shared" si="7"/>
        <v>0</v>
      </c>
      <c r="Z101" s="165">
        <f t="shared" si="7"/>
        <v>0</v>
      </c>
      <c r="AA101" s="179" t="s">
        <v>1307</v>
      </c>
    </row>
    <row r="102" spans="2:30">
      <c r="B102" s="179" t="s">
        <v>1308</v>
      </c>
      <c r="C102" s="179" t="s">
        <v>1309</v>
      </c>
      <c r="D102" s="179" t="s">
        <v>1136</v>
      </c>
      <c r="Q102" s="165">
        <f>F37+F42+F38-F43</f>
        <v>0</v>
      </c>
      <c r="R102" s="165">
        <f t="shared" ref="R102:Z102" si="8">G37+G42+G38-G43</f>
        <v>0</v>
      </c>
      <c r="S102" s="165">
        <f t="shared" si="8"/>
        <v>0</v>
      </c>
      <c r="T102" s="165">
        <f t="shared" si="8"/>
        <v>0</v>
      </c>
      <c r="U102" s="165">
        <f t="shared" si="8"/>
        <v>0</v>
      </c>
      <c r="V102" s="165">
        <f t="shared" si="8"/>
        <v>0</v>
      </c>
      <c r="W102" s="165">
        <f t="shared" si="8"/>
        <v>0</v>
      </c>
      <c r="X102" s="165">
        <f t="shared" si="8"/>
        <v>0</v>
      </c>
      <c r="Y102" s="165">
        <f t="shared" si="8"/>
        <v>0</v>
      </c>
      <c r="Z102" s="165">
        <f t="shared" si="8"/>
        <v>0</v>
      </c>
      <c r="AA102" s="179" t="s">
        <v>1310</v>
      </c>
      <c r="AB102" s="162" t="s">
        <v>288</v>
      </c>
    </row>
    <row r="103" spans="2:30">
      <c r="B103" s="179" t="s">
        <v>1311</v>
      </c>
      <c r="C103" s="179" t="s">
        <v>1312</v>
      </c>
      <c r="D103" s="179" t="s">
        <v>1136</v>
      </c>
    </row>
    <row r="104" spans="2:30">
      <c r="B104" s="179" t="s">
        <v>1313</v>
      </c>
      <c r="C104" s="179" t="s">
        <v>1314</v>
      </c>
      <c r="D104" s="179" t="s">
        <v>1136</v>
      </c>
      <c r="Q104" s="165">
        <f>F43+F44-F45</f>
        <v>0</v>
      </c>
      <c r="R104" s="165">
        <f t="shared" ref="R104:Z104" si="9">G43+G44-G45</f>
        <v>0</v>
      </c>
      <c r="S104" s="165">
        <f t="shared" si="9"/>
        <v>0</v>
      </c>
      <c r="T104" s="165">
        <f t="shared" si="9"/>
        <v>0</v>
      </c>
      <c r="U104" s="165">
        <f t="shared" si="9"/>
        <v>0</v>
      </c>
      <c r="V104" s="165">
        <f t="shared" si="9"/>
        <v>0</v>
      </c>
      <c r="W104" s="165">
        <f t="shared" si="9"/>
        <v>0</v>
      </c>
      <c r="X104" s="165">
        <f t="shared" si="9"/>
        <v>0</v>
      </c>
      <c r="Y104" s="165">
        <f t="shared" si="9"/>
        <v>0</v>
      </c>
      <c r="Z104" s="165">
        <f t="shared" si="9"/>
        <v>0</v>
      </c>
      <c r="AA104" s="179" t="s">
        <v>1315</v>
      </c>
      <c r="AB104" s="162" t="s">
        <v>288</v>
      </c>
    </row>
    <row r="105" spans="2:30">
      <c r="B105" s="179" t="s">
        <v>1316</v>
      </c>
      <c r="C105" s="179" t="s">
        <v>1317</v>
      </c>
      <c r="D105" s="179" t="s">
        <v>1136</v>
      </c>
      <c r="AB105" s="162" t="s">
        <v>691</v>
      </c>
    </row>
    <row r="106" spans="2:30">
      <c r="B106" s="179" t="s">
        <v>1318</v>
      </c>
      <c r="C106" s="179" t="s">
        <v>1319</v>
      </c>
      <c r="D106" s="179" t="s">
        <v>1136</v>
      </c>
      <c r="Q106" s="165">
        <f>F45+F459-F460</f>
        <v>0</v>
      </c>
      <c r="R106" s="165">
        <f t="shared" ref="R106:Z106" si="10">G45+G459-G460</f>
        <v>0</v>
      </c>
      <c r="S106" s="165">
        <f t="shared" si="10"/>
        <v>0</v>
      </c>
      <c r="T106" s="165">
        <f t="shared" si="10"/>
        <v>0</v>
      </c>
      <c r="U106" s="165">
        <f t="shared" si="10"/>
        <v>0</v>
      </c>
      <c r="V106" s="165">
        <f t="shared" si="10"/>
        <v>0</v>
      </c>
      <c r="W106" s="165">
        <f t="shared" si="10"/>
        <v>0</v>
      </c>
      <c r="X106" s="165">
        <f t="shared" si="10"/>
        <v>0</v>
      </c>
      <c r="Y106" s="165">
        <f t="shared" si="10"/>
        <v>0</v>
      </c>
      <c r="Z106" s="165">
        <f t="shared" si="10"/>
        <v>0</v>
      </c>
      <c r="AA106" s="179" t="s">
        <v>1320</v>
      </c>
    </row>
    <row r="107" spans="2:30">
      <c r="B107" s="179" t="s">
        <v>1321</v>
      </c>
      <c r="C107" s="179" t="s">
        <v>1322</v>
      </c>
      <c r="D107" s="179" t="s">
        <v>1136</v>
      </c>
    </row>
    <row r="108" spans="2:30">
      <c r="B108" s="179" t="s">
        <v>1323</v>
      </c>
      <c r="C108" s="179" t="s">
        <v>1324</v>
      </c>
      <c r="D108" s="179" t="s">
        <v>1136</v>
      </c>
      <c r="Q108" s="169"/>
      <c r="R108" s="169"/>
      <c r="S108" s="169"/>
      <c r="T108" s="169"/>
      <c r="U108" s="169"/>
      <c r="V108" s="169"/>
      <c r="W108" s="169"/>
      <c r="X108" s="169"/>
      <c r="Y108" s="169"/>
      <c r="Z108" s="169"/>
      <c r="AB108" s="162" t="s">
        <v>983</v>
      </c>
    </row>
    <row r="109" spans="2:30">
      <c r="B109" s="179" t="s">
        <v>1325</v>
      </c>
      <c r="C109" s="179" t="s">
        <v>1326</v>
      </c>
      <c r="D109" s="179" t="s">
        <v>1136</v>
      </c>
      <c r="AB109" s="162" t="s">
        <v>834</v>
      </c>
    </row>
    <row r="110" spans="2:30">
      <c r="B110" s="179" t="s">
        <v>1327</v>
      </c>
      <c r="C110" s="179" t="s">
        <v>1328</v>
      </c>
      <c r="D110" s="179" t="s">
        <v>1136</v>
      </c>
      <c r="AB110" s="162" t="s">
        <v>835</v>
      </c>
    </row>
    <row r="111" spans="2:30">
      <c r="B111" s="179" t="s">
        <v>1321</v>
      </c>
      <c r="C111" s="179" t="s">
        <v>1329</v>
      </c>
      <c r="D111" s="179" t="s">
        <v>1136</v>
      </c>
      <c r="AB111" s="164" t="s">
        <v>692</v>
      </c>
      <c r="AC111" s="164"/>
      <c r="AD111" s="164"/>
    </row>
    <row r="112" spans="2:30">
      <c r="B112" s="179" t="s">
        <v>1330</v>
      </c>
      <c r="C112" s="179" t="s">
        <v>1331</v>
      </c>
      <c r="D112" s="179" t="s">
        <v>1136</v>
      </c>
    </row>
    <row r="113" spans="1:30">
      <c r="B113" s="179" t="s">
        <v>1332</v>
      </c>
      <c r="C113" s="179" t="s">
        <v>1333</v>
      </c>
      <c r="D113" s="179" t="s">
        <v>1136</v>
      </c>
      <c r="Q113" s="165">
        <f>F460+F461+F463+F464+F465+F466-F467</f>
        <v>0</v>
      </c>
      <c r="R113" s="165">
        <f t="shared" ref="R113:Z113" si="11">G460+G461+G463+G464+G465+G466-G467</f>
        <v>0</v>
      </c>
      <c r="S113" s="165">
        <f t="shared" si="11"/>
        <v>0</v>
      </c>
      <c r="T113" s="165">
        <f t="shared" si="11"/>
        <v>0</v>
      </c>
      <c r="U113" s="165">
        <f t="shared" si="11"/>
        <v>0</v>
      </c>
      <c r="V113" s="165">
        <f t="shared" si="11"/>
        <v>0</v>
      </c>
      <c r="W113" s="165">
        <f t="shared" si="11"/>
        <v>0</v>
      </c>
      <c r="X113" s="165">
        <f t="shared" si="11"/>
        <v>0</v>
      </c>
      <c r="Y113" s="165">
        <f t="shared" si="11"/>
        <v>0</v>
      </c>
      <c r="Z113" s="165">
        <f t="shared" si="11"/>
        <v>0</v>
      </c>
      <c r="AA113" s="170" t="s">
        <v>1334</v>
      </c>
      <c r="AB113" s="162" t="s">
        <v>836</v>
      </c>
    </row>
    <row r="114" spans="1:30">
      <c r="B114" s="179" t="s">
        <v>1335</v>
      </c>
      <c r="C114" s="179" t="s">
        <v>1336</v>
      </c>
      <c r="D114" s="179" t="s">
        <v>1136</v>
      </c>
      <c r="Q114" s="179" t="e">
        <f>F462/F474-F468</f>
        <v>#DIV/0!</v>
      </c>
      <c r="R114" s="179" t="e">
        <f t="shared" ref="R114:Z114" si="12">G462/G474-G468</f>
        <v>#DIV/0!</v>
      </c>
      <c r="S114" s="179" t="e">
        <f t="shared" si="12"/>
        <v>#DIV/0!</v>
      </c>
      <c r="T114" s="179" t="e">
        <f t="shared" si="12"/>
        <v>#DIV/0!</v>
      </c>
      <c r="U114" s="179" t="e">
        <f t="shared" si="12"/>
        <v>#DIV/0!</v>
      </c>
      <c r="V114" s="179" t="e">
        <f t="shared" si="12"/>
        <v>#DIV/0!</v>
      </c>
      <c r="W114" s="179" t="e">
        <f t="shared" si="12"/>
        <v>#DIV/0!</v>
      </c>
      <c r="X114" s="179" t="e">
        <f t="shared" si="12"/>
        <v>#DIV/0!</v>
      </c>
      <c r="Y114" s="179" t="e">
        <f t="shared" si="12"/>
        <v>#DIV/0!</v>
      </c>
      <c r="Z114" s="179" t="e">
        <f t="shared" si="12"/>
        <v>#DIV/0!</v>
      </c>
      <c r="AA114" s="170" t="s">
        <v>1337</v>
      </c>
      <c r="AB114" s="162" t="s">
        <v>952</v>
      </c>
    </row>
    <row r="115" spans="1:30">
      <c r="B115" s="179" t="s">
        <v>2393</v>
      </c>
      <c r="C115" s="179" t="s">
        <v>2394</v>
      </c>
      <c r="AA115" s="170"/>
      <c r="AB115" s="162" t="s">
        <v>109</v>
      </c>
    </row>
    <row r="116" spans="1:30">
      <c r="B116" s="179" t="s">
        <v>2395</v>
      </c>
      <c r="C116" s="179" t="s">
        <v>2396</v>
      </c>
      <c r="AA116" s="170"/>
      <c r="AB116" s="162" t="s">
        <v>950</v>
      </c>
    </row>
    <row r="117" spans="1:30">
      <c r="B117" s="179" t="s">
        <v>1338</v>
      </c>
      <c r="C117" s="179" t="s">
        <v>1339</v>
      </c>
      <c r="D117" s="179" t="s">
        <v>1136</v>
      </c>
      <c r="AB117" s="162" t="s">
        <v>951</v>
      </c>
    </row>
    <row r="118" spans="1:30">
      <c r="B118" s="179" t="s">
        <v>1340</v>
      </c>
      <c r="C118" s="179" t="s">
        <v>1341</v>
      </c>
      <c r="D118" s="179" t="s">
        <v>1136</v>
      </c>
    </row>
    <row r="119" spans="1:30">
      <c r="B119" s="179" t="s">
        <v>1342</v>
      </c>
      <c r="C119" s="179" t="s">
        <v>624</v>
      </c>
      <c r="D119" s="179" t="s">
        <v>1136</v>
      </c>
      <c r="AB119" s="162" t="s">
        <v>769</v>
      </c>
    </row>
    <row r="120" spans="1:30">
      <c r="B120" s="179" t="s">
        <v>1343</v>
      </c>
      <c r="C120" s="179" t="s">
        <v>1344</v>
      </c>
      <c r="AB120" s="162" t="s">
        <v>1011</v>
      </c>
    </row>
    <row r="121" spans="1:30">
      <c r="B121" s="179" t="s">
        <v>1345</v>
      </c>
      <c r="C121" s="179" t="s">
        <v>1346</v>
      </c>
      <c r="AB121" s="162" t="s">
        <v>1018</v>
      </c>
    </row>
    <row r="122" spans="1:30">
      <c r="B122" s="179" t="s">
        <v>1347</v>
      </c>
      <c r="C122" s="179" t="s">
        <v>1348</v>
      </c>
      <c r="AB122" s="162" t="s">
        <v>1010</v>
      </c>
    </row>
    <row r="123" spans="1:30">
      <c r="F123" s="179"/>
      <c r="G123" s="179"/>
      <c r="H123" s="179"/>
      <c r="I123" s="179"/>
      <c r="J123" s="179"/>
      <c r="K123" s="179"/>
      <c r="L123" s="179"/>
      <c r="M123" s="179"/>
      <c r="N123" s="179"/>
      <c r="O123" s="179"/>
      <c r="P123" s="179"/>
    </row>
    <row r="124" spans="1:30" s="157" customFormat="1" ht="15.75">
      <c r="A124" s="157" t="s">
        <v>1349</v>
      </c>
      <c r="D124" s="158"/>
      <c r="AB124" s="159"/>
      <c r="AC124" s="159"/>
      <c r="AD124" s="159"/>
    </row>
    <row r="125" spans="1:30">
      <c r="B125" s="179" t="s">
        <v>1350</v>
      </c>
      <c r="C125" s="179" t="s">
        <v>1351</v>
      </c>
      <c r="D125" s="179" t="s">
        <v>1136</v>
      </c>
      <c r="AB125" s="162" t="s">
        <v>996</v>
      </c>
    </row>
    <row r="126" spans="1:30">
      <c r="B126" s="179" t="s">
        <v>1352</v>
      </c>
      <c r="C126" s="179" t="s">
        <v>1353</v>
      </c>
      <c r="D126" s="179" t="s">
        <v>1136</v>
      </c>
      <c r="AB126" s="162" t="s">
        <v>997</v>
      </c>
    </row>
    <row r="127" spans="1:30">
      <c r="B127" s="179" t="s">
        <v>1354</v>
      </c>
      <c r="C127" s="179" t="s">
        <v>1355</v>
      </c>
      <c r="D127" s="179" t="s">
        <v>1136</v>
      </c>
    </row>
    <row r="128" spans="1:30">
      <c r="B128" s="179" t="s">
        <v>1356</v>
      </c>
      <c r="C128" s="179" t="s">
        <v>1357</v>
      </c>
      <c r="D128" s="179" t="s">
        <v>1136</v>
      </c>
      <c r="AB128" s="162" t="s">
        <v>999</v>
      </c>
      <c r="AC128" s="162" t="s">
        <v>1000</v>
      </c>
      <c r="AD128" s="162" t="s">
        <v>807</v>
      </c>
    </row>
    <row r="129" spans="2:30">
      <c r="B129" s="179" t="s">
        <v>1358</v>
      </c>
      <c r="C129" s="179" t="s">
        <v>1359</v>
      </c>
      <c r="D129" s="179" t="s">
        <v>1136</v>
      </c>
      <c r="AB129" s="162" t="s">
        <v>2225</v>
      </c>
    </row>
    <row r="130" spans="2:30">
      <c r="B130" s="179" t="s">
        <v>1360</v>
      </c>
      <c r="C130" s="179" t="s">
        <v>1361</v>
      </c>
      <c r="D130" s="179" t="s">
        <v>1136</v>
      </c>
      <c r="AB130" s="162" t="s">
        <v>998</v>
      </c>
    </row>
    <row r="131" spans="2:30">
      <c r="B131" s="179" t="s">
        <v>1362</v>
      </c>
      <c r="C131" s="179" t="s">
        <v>1363</v>
      </c>
      <c r="D131" s="179" t="s">
        <v>1136</v>
      </c>
      <c r="AB131" s="162" t="s">
        <v>2227</v>
      </c>
    </row>
    <row r="132" spans="2:30">
      <c r="B132" s="179" t="s">
        <v>1364</v>
      </c>
      <c r="C132" s="179" t="s">
        <v>1365</v>
      </c>
      <c r="D132" s="179" t="s">
        <v>1136</v>
      </c>
      <c r="AB132" s="162" t="s">
        <v>2229</v>
      </c>
    </row>
    <row r="133" spans="2:30">
      <c r="B133" s="179" t="s">
        <v>1366</v>
      </c>
      <c r="C133" s="179" t="s">
        <v>1367</v>
      </c>
      <c r="D133" s="179" t="s">
        <v>1136</v>
      </c>
    </row>
    <row r="134" spans="2:30">
      <c r="B134" s="179" t="s">
        <v>1368</v>
      </c>
      <c r="C134" s="179" t="s">
        <v>1369</v>
      </c>
      <c r="D134" s="179" t="s">
        <v>1136</v>
      </c>
      <c r="AB134" s="162" t="s">
        <v>809</v>
      </c>
      <c r="AC134" s="162" t="s">
        <v>811</v>
      </c>
    </row>
    <row r="135" spans="2:30">
      <c r="B135" s="179" t="s">
        <v>1370</v>
      </c>
      <c r="C135" s="179" t="s">
        <v>1371</v>
      </c>
      <c r="D135" s="179" t="s">
        <v>1136</v>
      </c>
    </row>
    <row r="136" spans="2:30">
      <c r="B136" s="179" t="s">
        <v>1372</v>
      </c>
      <c r="C136" s="179" t="s">
        <v>1373</v>
      </c>
      <c r="D136" s="179" t="s">
        <v>1136</v>
      </c>
      <c r="AB136" s="162" t="s">
        <v>2231</v>
      </c>
    </row>
    <row r="137" spans="2:30">
      <c r="B137" s="179" t="s">
        <v>1374</v>
      </c>
      <c r="C137" s="179" t="s">
        <v>1375</v>
      </c>
      <c r="D137" s="179" t="s">
        <v>1136</v>
      </c>
      <c r="AB137" s="162" t="s">
        <v>672</v>
      </c>
      <c r="AC137" s="162"/>
    </row>
    <row r="138" spans="2:30">
      <c r="B138" s="179" t="s">
        <v>1376</v>
      </c>
      <c r="C138" s="179" t="s">
        <v>1377</v>
      </c>
      <c r="D138" s="179" t="s">
        <v>1136</v>
      </c>
      <c r="AB138" s="162" t="s">
        <v>2233</v>
      </c>
    </row>
    <row r="139" spans="2:30">
      <c r="B139" s="179" t="s">
        <v>1378</v>
      </c>
      <c r="C139" s="179" t="s">
        <v>1379</v>
      </c>
      <c r="D139" s="179" t="s">
        <v>1136</v>
      </c>
    </row>
    <row r="140" spans="2:30">
      <c r="B140" s="179" t="s">
        <v>1380</v>
      </c>
      <c r="C140" s="179" t="s">
        <v>1381</v>
      </c>
      <c r="D140" s="179" t="s">
        <v>1136</v>
      </c>
      <c r="AB140" s="162" t="s">
        <v>2235</v>
      </c>
    </row>
    <row r="141" spans="2:30">
      <c r="B141" s="179" t="s">
        <v>1382</v>
      </c>
      <c r="C141" s="179" t="s">
        <v>1383</v>
      </c>
      <c r="D141" s="179" t="s">
        <v>1136</v>
      </c>
      <c r="AB141" s="162" t="s">
        <v>1</v>
      </c>
      <c r="AC141" s="162" t="s">
        <v>672</v>
      </c>
      <c r="AD141" s="162" t="s">
        <v>674</v>
      </c>
    </row>
    <row r="142" spans="2:30">
      <c r="B142" s="179" t="s">
        <v>1384</v>
      </c>
      <c r="C142" s="179" t="s">
        <v>1385</v>
      </c>
      <c r="D142" s="179" t="s">
        <v>1136</v>
      </c>
      <c r="AB142" s="162" t="s">
        <v>674</v>
      </c>
    </row>
    <row r="143" spans="2:30">
      <c r="B143" s="179" t="s">
        <v>1386</v>
      </c>
      <c r="C143" s="179" t="s">
        <v>1387</v>
      </c>
      <c r="D143" s="179" t="s">
        <v>1136</v>
      </c>
    </row>
    <row r="144" spans="2:30">
      <c r="B144" s="179" t="s">
        <v>1388</v>
      </c>
      <c r="C144" s="179" t="s">
        <v>1389</v>
      </c>
      <c r="D144" s="179" t="s">
        <v>1136</v>
      </c>
      <c r="AB144" s="162" t="s">
        <v>674</v>
      </c>
    </row>
    <row r="145" spans="2:28">
      <c r="B145" s="179" t="s">
        <v>1390</v>
      </c>
      <c r="C145" s="179" t="s">
        <v>1391</v>
      </c>
      <c r="D145" s="179" t="s">
        <v>1136</v>
      </c>
      <c r="AB145" s="162" t="s">
        <v>100</v>
      </c>
    </row>
    <row r="146" spans="2:28">
      <c r="B146" s="179" t="s">
        <v>1392</v>
      </c>
      <c r="C146" s="179" t="s">
        <v>1393</v>
      </c>
      <c r="D146" s="179" t="s">
        <v>1136</v>
      </c>
      <c r="AB146" s="162" t="s">
        <v>2237</v>
      </c>
    </row>
    <row r="147" spans="2:28">
      <c r="B147" s="179" t="s">
        <v>1394</v>
      </c>
      <c r="C147" s="179" t="s">
        <v>1395</v>
      </c>
      <c r="D147" s="179" t="s">
        <v>1136</v>
      </c>
    </row>
    <row r="148" spans="2:28">
      <c r="B148" s="179" t="s">
        <v>1396</v>
      </c>
      <c r="C148" s="179" t="s">
        <v>1397</v>
      </c>
      <c r="D148" s="179" t="s">
        <v>1136</v>
      </c>
      <c r="AB148" s="162" t="s">
        <v>2239</v>
      </c>
    </row>
    <row r="149" spans="2:28">
      <c r="B149" s="179" t="s">
        <v>1398</v>
      </c>
      <c r="C149" s="179" t="s">
        <v>1399</v>
      </c>
      <c r="D149" s="179" t="s">
        <v>1136</v>
      </c>
      <c r="AB149" s="162" t="s">
        <v>834</v>
      </c>
    </row>
    <row r="150" spans="2:28">
      <c r="B150" s="179" t="s">
        <v>1400</v>
      </c>
      <c r="C150" s="179" t="s">
        <v>1401</v>
      </c>
      <c r="D150" s="179" t="s">
        <v>1136</v>
      </c>
      <c r="AB150" s="162" t="s">
        <v>834</v>
      </c>
    </row>
    <row r="151" spans="2:28">
      <c r="B151" s="179" t="s">
        <v>1402</v>
      </c>
      <c r="C151" s="179" t="s">
        <v>1403</v>
      </c>
      <c r="D151" s="179" t="s">
        <v>1136</v>
      </c>
    </row>
    <row r="152" spans="2:28">
      <c r="B152" s="179" t="s">
        <v>1404</v>
      </c>
      <c r="C152" s="179" t="s">
        <v>1405</v>
      </c>
      <c r="D152" s="179" t="s">
        <v>1136</v>
      </c>
    </row>
    <row r="153" spans="2:28">
      <c r="B153" s="179" t="s">
        <v>1406</v>
      </c>
      <c r="C153" s="179" t="s">
        <v>1407</v>
      </c>
      <c r="D153" s="179" t="s">
        <v>1136</v>
      </c>
      <c r="AB153" s="162"/>
    </row>
    <row r="154" spans="2:28">
      <c r="B154" s="179" t="s">
        <v>1408</v>
      </c>
      <c r="C154" s="179" t="s">
        <v>1409</v>
      </c>
      <c r="D154" s="179" t="s">
        <v>1136</v>
      </c>
      <c r="AB154" s="162" t="s">
        <v>835</v>
      </c>
    </row>
    <row r="155" spans="2:28">
      <c r="B155" s="179" t="s">
        <v>1410</v>
      </c>
      <c r="C155" s="179" t="s">
        <v>1411</v>
      </c>
      <c r="D155" s="179" t="s">
        <v>1136</v>
      </c>
      <c r="AB155" s="162"/>
    </row>
    <row r="156" spans="2:28">
      <c r="B156" s="179" t="s">
        <v>1412</v>
      </c>
      <c r="C156" s="179" t="s">
        <v>1413</v>
      </c>
      <c r="D156" s="179" t="s">
        <v>1136</v>
      </c>
      <c r="AB156" s="162" t="s">
        <v>2223</v>
      </c>
    </row>
    <row r="157" spans="2:28">
      <c r="B157" s="179" t="s">
        <v>1414</v>
      </c>
      <c r="C157" s="179" t="s">
        <v>1415</v>
      </c>
      <c r="D157" s="179" t="s">
        <v>1136</v>
      </c>
      <c r="AB157" s="162" t="s">
        <v>835</v>
      </c>
    </row>
    <row r="158" spans="2:28">
      <c r="B158" s="179" t="s">
        <v>1416</v>
      </c>
      <c r="C158" s="179" t="s">
        <v>1417</v>
      </c>
      <c r="D158" s="179" t="s">
        <v>1136</v>
      </c>
    </row>
    <row r="159" spans="2:28">
      <c r="B159" s="179" t="s">
        <v>1418</v>
      </c>
      <c r="C159" s="179" t="s">
        <v>1419</v>
      </c>
      <c r="D159" s="179" t="s">
        <v>1136</v>
      </c>
    </row>
    <row r="160" spans="2:28">
      <c r="B160" s="179" t="s">
        <v>1420</v>
      </c>
      <c r="C160" s="179" t="s">
        <v>1421</v>
      </c>
      <c r="D160" s="179" t="s">
        <v>1136</v>
      </c>
    </row>
    <row r="161" spans="2:30">
      <c r="B161" s="179" t="s">
        <v>1422</v>
      </c>
      <c r="C161" s="179" t="s">
        <v>1423</v>
      </c>
      <c r="D161" s="179" t="s">
        <v>1136</v>
      </c>
      <c r="AB161" s="162" t="s">
        <v>835</v>
      </c>
    </row>
    <row r="162" spans="2:30">
      <c r="B162" s="179" t="s">
        <v>1424</v>
      </c>
      <c r="C162" s="179" t="s">
        <v>1425</v>
      </c>
      <c r="D162" s="179" t="s">
        <v>1136</v>
      </c>
    </row>
    <row r="163" spans="2:30">
      <c r="B163" s="179" t="s">
        <v>1426</v>
      </c>
      <c r="C163" s="179" t="s">
        <v>1427</v>
      </c>
      <c r="D163" s="179" t="s">
        <v>1136</v>
      </c>
      <c r="AB163" s="162" t="s">
        <v>2223</v>
      </c>
    </row>
    <row r="164" spans="2:30">
      <c r="B164" s="179" t="s">
        <v>1428</v>
      </c>
      <c r="C164" s="179" t="s">
        <v>1429</v>
      </c>
      <c r="D164" s="179" t="s">
        <v>1136</v>
      </c>
      <c r="AB164" s="162" t="s">
        <v>835</v>
      </c>
    </row>
    <row r="165" spans="2:30">
      <c r="B165" s="179" t="s">
        <v>1430</v>
      </c>
      <c r="C165" s="179" t="s">
        <v>1431</v>
      </c>
      <c r="D165" s="179" t="s">
        <v>1136</v>
      </c>
      <c r="AB165" s="162" t="s">
        <v>288</v>
      </c>
      <c r="AC165" s="162" t="s">
        <v>835</v>
      </c>
      <c r="AD165" s="162" t="s">
        <v>834</v>
      </c>
    </row>
    <row r="166" spans="2:30">
      <c r="B166" s="179" t="s">
        <v>1432</v>
      </c>
      <c r="C166" s="179" t="s">
        <v>1433</v>
      </c>
      <c r="D166" s="179" t="s">
        <v>1136</v>
      </c>
      <c r="AB166" s="162" t="s">
        <v>691</v>
      </c>
    </row>
    <row r="167" spans="2:30">
      <c r="B167" s="179" t="s">
        <v>1434</v>
      </c>
      <c r="C167" s="179" t="s">
        <v>1435</v>
      </c>
      <c r="D167" s="179" t="s">
        <v>1136</v>
      </c>
      <c r="AB167" s="162" t="s">
        <v>836</v>
      </c>
      <c r="AC167" s="162" t="s">
        <v>692</v>
      </c>
    </row>
    <row r="168" spans="2:30">
      <c r="B168" s="179" t="s">
        <v>1436</v>
      </c>
      <c r="C168" s="179" t="s">
        <v>1437</v>
      </c>
      <c r="D168" s="179" t="s">
        <v>1136</v>
      </c>
      <c r="AB168" s="162" t="s">
        <v>983</v>
      </c>
    </row>
    <row r="169" spans="2:30">
      <c r="B169" s="179" t="s">
        <v>1438</v>
      </c>
      <c r="C169" s="179" t="s">
        <v>1439</v>
      </c>
      <c r="D169" s="179" t="s">
        <v>1136</v>
      </c>
    </row>
    <row r="170" spans="2:30">
      <c r="B170" s="179" t="s">
        <v>1440</v>
      </c>
      <c r="C170" s="179" t="s">
        <v>1441</v>
      </c>
      <c r="D170" s="179" t="s">
        <v>1136</v>
      </c>
    </row>
    <row r="171" spans="2:30">
      <c r="B171" s="179" t="s">
        <v>1442</v>
      </c>
      <c r="C171" s="179" t="s">
        <v>1443</v>
      </c>
      <c r="D171" s="179" t="s">
        <v>1136</v>
      </c>
    </row>
    <row r="172" spans="2:30">
      <c r="B172" s="179" t="s">
        <v>1444</v>
      </c>
      <c r="C172" s="179" t="s">
        <v>1445</v>
      </c>
      <c r="D172" s="179" t="s">
        <v>1136</v>
      </c>
    </row>
    <row r="173" spans="2:30">
      <c r="B173" s="179" t="s">
        <v>1446</v>
      </c>
      <c r="C173" s="179" t="s">
        <v>1447</v>
      </c>
      <c r="D173" s="179" t="s">
        <v>1136</v>
      </c>
      <c r="AB173" s="162" t="s">
        <v>1019</v>
      </c>
    </row>
    <row r="174" spans="2:30">
      <c r="B174" s="179" t="s">
        <v>1448</v>
      </c>
      <c r="C174" s="179" t="s">
        <v>1449</v>
      </c>
      <c r="D174" s="179" t="s">
        <v>1136</v>
      </c>
      <c r="AB174" s="162" t="s">
        <v>109</v>
      </c>
    </row>
    <row r="175" spans="2:30">
      <c r="B175" s="179" t="s">
        <v>1450</v>
      </c>
      <c r="C175" s="179" t="s">
        <v>1451</v>
      </c>
      <c r="D175" s="179" t="s">
        <v>1136</v>
      </c>
      <c r="AB175" s="162" t="s">
        <v>951</v>
      </c>
    </row>
    <row r="176" spans="2:30">
      <c r="B176" s="179" t="s">
        <v>1452</v>
      </c>
      <c r="C176" s="179" t="s">
        <v>1453</v>
      </c>
      <c r="AB176" s="162" t="s">
        <v>907</v>
      </c>
    </row>
    <row r="177" spans="2:28">
      <c r="B177" s="179" t="s">
        <v>1454</v>
      </c>
      <c r="C177" s="179" t="s">
        <v>1455</v>
      </c>
      <c r="AB177" s="162" t="s">
        <v>730</v>
      </c>
    </row>
    <row r="178" spans="2:28">
      <c r="B178" s="179" t="s">
        <v>1456</v>
      </c>
      <c r="C178" s="179" t="s">
        <v>1457</v>
      </c>
      <c r="D178" s="179" t="s">
        <v>1136</v>
      </c>
      <c r="AB178" s="162" t="s">
        <v>769</v>
      </c>
    </row>
    <row r="179" spans="2:28">
      <c r="B179" s="179" t="s">
        <v>1458</v>
      </c>
      <c r="C179" s="179" t="s">
        <v>1459</v>
      </c>
    </row>
    <row r="180" spans="2:28">
      <c r="B180" s="179" t="s">
        <v>1460</v>
      </c>
      <c r="C180" s="179" t="s">
        <v>1461</v>
      </c>
      <c r="AB180" s="162" t="s">
        <v>907</v>
      </c>
    </row>
    <row r="181" spans="2:28">
      <c r="B181" s="179" t="s">
        <v>1462</v>
      </c>
      <c r="C181" s="179" t="s">
        <v>1463</v>
      </c>
      <c r="AB181" s="162" t="s">
        <v>730</v>
      </c>
    </row>
    <row r="182" spans="2:28">
      <c r="B182" s="179" t="s">
        <v>1464</v>
      </c>
      <c r="C182" s="179" t="s">
        <v>1465</v>
      </c>
      <c r="D182" s="179" t="s">
        <v>1136</v>
      </c>
      <c r="AB182" s="162" t="s">
        <v>769</v>
      </c>
    </row>
    <row r="183" spans="2:28">
      <c r="B183" s="179" t="s">
        <v>1466</v>
      </c>
      <c r="C183" s="179" t="s">
        <v>1467</v>
      </c>
    </row>
    <row r="184" spans="2:28">
      <c r="B184" s="179" t="s">
        <v>1468</v>
      </c>
      <c r="C184" s="179" t="s">
        <v>1469</v>
      </c>
      <c r="AB184" s="162" t="s">
        <v>907</v>
      </c>
    </row>
    <row r="185" spans="2:28">
      <c r="B185" s="179" t="s">
        <v>1470</v>
      </c>
      <c r="C185" s="179" t="s">
        <v>1471</v>
      </c>
      <c r="AB185" s="162" t="s">
        <v>730</v>
      </c>
    </row>
    <row r="186" spans="2:28">
      <c r="B186" s="179" t="s">
        <v>1472</v>
      </c>
      <c r="C186" s="179" t="s">
        <v>1473</v>
      </c>
      <c r="D186" s="179" t="s">
        <v>1136</v>
      </c>
      <c r="AB186" s="162" t="s">
        <v>769</v>
      </c>
    </row>
    <row r="187" spans="2:28">
      <c r="B187" s="179" t="s">
        <v>1474</v>
      </c>
      <c r="C187" s="179" t="s">
        <v>1475</v>
      </c>
      <c r="AB187" s="162" t="s">
        <v>1050</v>
      </c>
    </row>
    <row r="188" spans="2:28">
      <c r="B188" s="179" t="s">
        <v>1476</v>
      </c>
      <c r="C188" s="179" t="s">
        <v>1477</v>
      </c>
    </row>
    <row r="189" spans="2:28">
      <c r="B189" s="179" t="s">
        <v>1478</v>
      </c>
      <c r="C189" s="179" t="s">
        <v>1479</v>
      </c>
      <c r="AB189" s="162" t="s">
        <v>2219</v>
      </c>
    </row>
    <row r="190" spans="2:28">
      <c r="B190" s="179" t="s">
        <v>1480</v>
      </c>
      <c r="C190" s="179" t="s">
        <v>1481</v>
      </c>
    </row>
    <row r="191" spans="2:28">
      <c r="B191" s="179" t="s">
        <v>1482</v>
      </c>
      <c r="C191" s="179" t="s">
        <v>1483</v>
      </c>
    </row>
    <row r="192" spans="2:28">
      <c r="B192" s="179" t="s">
        <v>1484</v>
      </c>
      <c r="C192" s="179" t="s">
        <v>1485</v>
      </c>
      <c r="AB192" s="162" t="s">
        <v>2221</v>
      </c>
    </row>
    <row r="193" spans="1:30">
      <c r="B193" s="179" t="s">
        <v>1486</v>
      </c>
      <c r="C193" s="179" t="s">
        <v>1487</v>
      </c>
    </row>
    <row r="194" spans="1:30">
      <c r="B194" s="179" t="s">
        <v>1488</v>
      </c>
      <c r="C194" s="179" t="s">
        <v>1489</v>
      </c>
      <c r="AB194" s="162" t="s">
        <v>1010</v>
      </c>
    </row>
    <row r="195" spans="1:30">
      <c r="B195" s="179" t="s">
        <v>1490</v>
      </c>
      <c r="C195" s="179" t="s">
        <v>1491</v>
      </c>
      <c r="AB195" s="162" t="s">
        <v>1018</v>
      </c>
    </row>
    <row r="196" spans="1:30">
      <c r="B196" s="179" t="s">
        <v>1492</v>
      </c>
      <c r="C196" s="179" t="s">
        <v>1493</v>
      </c>
      <c r="AB196" s="162" t="s">
        <v>2218</v>
      </c>
    </row>
    <row r="197" spans="1:30">
      <c r="B197" s="179" t="s">
        <v>1494</v>
      </c>
      <c r="C197" s="179" t="s">
        <v>1495</v>
      </c>
      <c r="AB197" s="162" t="s">
        <v>1018</v>
      </c>
    </row>
    <row r="198" spans="1:30">
      <c r="B198" s="179" t="s">
        <v>1496</v>
      </c>
      <c r="C198" s="179" t="s">
        <v>1497</v>
      </c>
      <c r="D198" s="179" t="s">
        <v>1136</v>
      </c>
      <c r="AB198" s="162" t="s">
        <v>895</v>
      </c>
    </row>
    <row r="199" spans="1:30">
      <c r="F199" s="179"/>
      <c r="G199" s="179"/>
      <c r="H199" s="179"/>
      <c r="I199" s="179"/>
      <c r="J199" s="179"/>
      <c r="K199" s="179"/>
      <c r="L199" s="179"/>
      <c r="M199" s="179"/>
      <c r="N199" s="179"/>
      <c r="O199" s="179"/>
      <c r="P199" s="179"/>
    </row>
    <row r="200" spans="1:30" s="157" customFormat="1" ht="15.75">
      <c r="A200" s="157" t="s">
        <v>1498</v>
      </c>
      <c r="D200" s="158"/>
      <c r="AB200" s="159"/>
      <c r="AC200" s="159"/>
      <c r="AD200" s="159"/>
    </row>
    <row r="201" spans="1:30">
      <c r="B201" s="179" t="s">
        <v>1499</v>
      </c>
      <c r="C201" s="179" t="s">
        <v>1500</v>
      </c>
      <c r="D201" s="179" t="s">
        <v>1136</v>
      </c>
      <c r="AB201" s="162" t="s">
        <v>1019</v>
      </c>
    </row>
    <row r="202" spans="1:30">
      <c r="B202" s="179" t="s">
        <v>1501</v>
      </c>
      <c r="C202" s="179" t="s">
        <v>1502</v>
      </c>
      <c r="D202" s="179" t="s">
        <v>1136</v>
      </c>
      <c r="AB202" s="162" t="s">
        <v>109</v>
      </c>
    </row>
    <row r="203" spans="1:30">
      <c r="B203" s="179" t="s">
        <v>1503</v>
      </c>
      <c r="C203" s="179" t="s">
        <v>1504</v>
      </c>
      <c r="D203" s="179" t="s">
        <v>1136</v>
      </c>
      <c r="AB203" s="162" t="s">
        <v>983</v>
      </c>
    </row>
    <row r="204" spans="1:30">
      <c r="B204" s="179" t="s">
        <v>1505</v>
      </c>
      <c r="C204" s="179" t="s">
        <v>1506</v>
      </c>
      <c r="D204" s="179" t="s">
        <v>1136</v>
      </c>
    </row>
    <row r="205" spans="1:30">
      <c r="B205" s="179" t="s">
        <v>1507</v>
      </c>
      <c r="C205" s="179" t="s">
        <v>1508</v>
      </c>
      <c r="AB205" s="162" t="s">
        <v>506</v>
      </c>
    </row>
    <row r="206" spans="1:30">
      <c r="B206" s="179" t="s">
        <v>1509</v>
      </c>
      <c r="C206" s="179" t="s">
        <v>1510</v>
      </c>
      <c r="D206" s="179" t="s">
        <v>1136</v>
      </c>
    </row>
    <row r="207" spans="1:30">
      <c r="F207" s="179"/>
      <c r="G207" s="179"/>
      <c r="H207" s="179"/>
      <c r="I207" s="179"/>
      <c r="J207" s="179"/>
      <c r="K207" s="179"/>
      <c r="L207" s="179"/>
      <c r="M207" s="179"/>
      <c r="N207" s="179"/>
      <c r="O207" s="179"/>
      <c r="P207" s="179"/>
    </row>
    <row r="208" spans="1:30" s="157" customFormat="1" ht="15.75">
      <c r="A208" s="157" t="s">
        <v>1511</v>
      </c>
      <c r="D208" s="158"/>
      <c r="AB208" s="159"/>
      <c r="AC208" s="159"/>
      <c r="AD208" s="159"/>
    </row>
    <row r="209" spans="2:31">
      <c r="B209" s="179" t="s">
        <v>1512</v>
      </c>
      <c r="C209" s="179" t="s">
        <v>1513</v>
      </c>
      <c r="D209" s="179" t="s">
        <v>1136</v>
      </c>
      <c r="AB209" s="162" t="s">
        <v>904</v>
      </c>
    </row>
    <row r="210" spans="2:31">
      <c r="B210" s="179" t="s">
        <v>1514</v>
      </c>
      <c r="C210" s="179" t="s">
        <v>1515</v>
      </c>
      <c r="D210" s="179" t="s">
        <v>1136</v>
      </c>
      <c r="AB210" s="162" t="s">
        <v>762</v>
      </c>
    </row>
    <row r="211" spans="2:31">
      <c r="B211" s="179" t="s">
        <v>1516</v>
      </c>
      <c r="C211" s="179" t="s">
        <v>1517</v>
      </c>
      <c r="D211" s="179" t="s">
        <v>1136</v>
      </c>
      <c r="AB211" s="190" t="s">
        <v>609</v>
      </c>
      <c r="AC211" s="190" t="s">
        <v>878</v>
      </c>
      <c r="AD211" s="190" t="s">
        <v>2213</v>
      </c>
      <c r="AE211" s="1" t="s">
        <v>2214</v>
      </c>
    </row>
    <row r="212" spans="2:31">
      <c r="B212" s="179" t="s">
        <v>1518</v>
      </c>
      <c r="C212" s="179" t="s">
        <v>1519</v>
      </c>
      <c r="D212" s="179" t="s">
        <v>1136</v>
      </c>
    </row>
    <row r="213" spans="2:31">
      <c r="B213" s="179" t="s">
        <v>1520</v>
      </c>
      <c r="C213" s="179" t="s">
        <v>1521</v>
      </c>
      <c r="D213" s="179" t="s">
        <v>1136</v>
      </c>
      <c r="AB213" s="162" t="s">
        <v>763</v>
      </c>
      <c r="AC213" s="162" t="s">
        <v>898</v>
      </c>
    </row>
    <row r="214" spans="2:31">
      <c r="B214" s="179" t="s">
        <v>1113</v>
      </c>
      <c r="C214" s="179" t="s">
        <v>1522</v>
      </c>
      <c r="D214" s="179" t="s">
        <v>1136</v>
      </c>
      <c r="Q214" s="172">
        <f>F91+F92+F93+F94-F95</f>
        <v>0</v>
      </c>
      <c r="R214" s="172">
        <f t="shared" ref="R214:Z214" si="13">G91+G92+G93+G94-G95</f>
        <v>0</v>
      </c>
      <c r="S214" s="172">
        <f t="shared" si="13"/>
        <v>0</v>
      </c>
      <c r="T214" s="172">
        <f t="shared" si="13"/>
        <v>0</v>
      </c>
      <c r="U214" s="172">
        <f t="shared" si="13"/>
        <v>0</v>
      </c>
      <c r="V214" s="172">
        <f t="shared" si="13"/>
        <v>0</v>
      </c>
      <c r="W214" s="172">
        <f t="shared" si="13"/>
        <v>0</v>
      </c>
      <c r="X214" s="172">
        <f t="shared" si="13"/>
        <v>0</v>
      </c>
      <c r="Y214" s="172">
        <f t="shared" si="13"/>
        <v>0</v>
      </c>
      <c r="Z214" s="172">
        <f t="shared" si="13"/>
        <v>0</v>
      </c>
      <c r="AA214" s="173" t="s">
        <v>1523</v>
      </c>
      <c r="AB214" s="162"/>
    </row>
    <row r="215" spans="2:31">
      <c r="B215" s="179" t="s">
        <v>1524</v>
      </c>
      <c r="C215" s="179" t="s">
        <v>1525</v>
      </c>
      <c r="D215" s="179" t="s">
        <v>1136</v>
      </c>
      <c r="AB215" s="162" t="s">
        <v>899</v>
      </c>
    </row>
    <row r="216" spans="2:31">
      <c r="B216" s="179" t="s">
        <v>1526</v>
      </c>
      <c r="C216" s="179" t="s">
        <v>1527</v>
      </c>
      <c r="D216" s="179" t="s">
        <v>1136</v>
      </c>
      <c r="AB216" s="162" t="s">
        <v>761</v>
      </c>
      <c r="AC216" s="162"/>
    </row>
    <row r="217" spans="2:31">
      <c r="B217" s="179" t="s">
        <v>1528</v>
      </c>
      <c r="C217" s="179" t="s">
        <v>1529</v>
      </c>
      <c r="D217" s="179" t="s">
        <v>1136</v>
      </c>
    </row>
    <row r="218" spans="2:31">
      <c r="B218" s="179" t="s">
        <v>1530</v>
      </c>
      <c r="C218" s="179" t="s">
        <v>1531</v>
      </c>
      <c r="D218" s="179" t="s">
        <v>1136</v>
      </c>
      <c r="Q218" s="169">
        <f>F97+F98-F99</f>
        <v>0</v>
      </c>
      <c r="R218" s="169">
        <f t="shared" ref="R218:Z218" si="14">G97+G98-G99</f>
        <v>0</v>
      </c>
      <c r="S218" s="169">
        <f t="shared" si="14"/>
        <v>0</v>
      </c>
      <c r="T218" s="169">
        <f t="shared" si="14"/>
        <v>0</v>
      </c>
      <c r="U218" s="169">
        <f t="shared" si="14"/>
        <v>0</v>
      </c>
      <c r="V218" s="169">
        <f t="shared" si="14"/>
        <v>0</v>
      </c>
      <c r="W218" s="169">
        <f t="shared" si="14"/>
        <v>0</v>
      </c>
      <c r="X218" s="169">
        <f t="shared" si="14"/>
        <v>0</v>
      </c>
      <c r="Y218" s="169">
        <f t="shared" si="14"/>
        <v>0</v>
      </c>
      <c r="Z218" s="169">
        <f t="shared" si="14"/>
        <v>0</v>
      </c>
      <c r="AA218" s="179" t="s">
        <v>1532</v>
      </c>
      <c r="AB218" s="162" t="s">
        <v>761</v>
      </c>
      <c r="AC218" s="162"/>
    </row>
    <row r="219" spans="2:31">
      <c r="B219" s="179" t="s">
        <v>1533</v>
      </c>
      <c r="C219" s="179" t="s">
        <v>1534</v>
      </c>
      <c r="D219" s="179" t="s">
        <v>1136</v>
      </c>
      <c r="AB219" s="162" t="s">
        <v>2223</v>
      </c>
    </row>
    <row r="220" spans="2:31">
      <c r="B220" s="179" t="s">
        <v>1535</v>
      </c>
      <c r="C220" s="179" t="s">
        <v>1536</v>
      </c>
      <c r="D220" s="179" t="s">
        <v>1136</v>
      </c>
    </row>
    <row r="221" spans="2:31">
      <c r="B221" s="179" t="s">
        <v>1537</v>
      </c>
      <c r="C221" s="179" t="s">
        <v>1538</v>
      </c>
      <c r="D221" s="179" t="s">
        <v>1136</v>
      </c>
    </row>
    <row r="222" spans="2:31">
      <c r="B222" s="179" t="s">
        <v>1539</v>
      </c>
      <c r="C222" s="179" t="s">
        <v>1540</v>
      </c>
      <c r="D222" s="179" t="s">
        <v>1136</v>
      </c>
      <c r="AB222" s="171"/>
      <c r="AC222" s="163"/>
      <c r="AD222" s="163"/>
    </row>
    <row r="223" spans="2:31">
      <c r="B223" s="179" t="s">
        <v>1541</v>
      </c>
      <c r="C223" s="179" t="s">
        <v>1542</v>
      </c>
      <c r="D223" s="179" t="s">
        <v>1136</v>
      </c>
    </row>
    <row r="224" spans="2:31">
      <c r="B224" s="179" t="s">
        <v>1543</v>
      </c>
      <c r="C224" s="179" t="s">
        <v>1544</v>
      </c>
      <c r="D224" s="179" t="s">
        <v>1136</v>
      </c>
      <c r="Q224" s="169"/>
      <c r="R224" s="169"/>
      <c r="S224" s="169"/>
      <c r="T224" s="169"/>
      <c r="U224" s="169"/>
      <c r="V224" s="169"/>
      <c r="W224" s="169"/>
      <c r="X224" s="169"/>
      <c r="Y224" s="169"/>
      <c r="Z224" s="169"/>
      <c r="AB224" s="162" t="s">
        <v>1071</v>
      </c>
      <c r="AC224" s="162" t="s">
        <v>903</v>
      </c>
      <c r="AD224" s="162" t="s">
        <v>905</v>
      </c>
    </row>
    <row r="225" spans="2:30">
      <c r="B225" s="179" t="s">
        <v>496</v>
      </c>
      <c r="C225" s="179" t="s">
        <v>1545</v>
      </c>
      <c r="D225" s="179" t="s">
        <v>1136</v>
      </c>
      <c r="Q225" s="169">
        <f>F90+F95+F101+F102+F96+F99+F100+F103+F104+F105-F106</f>
        <v>0</v>
      </c>
      <c r="R225" s="169">
        <f t="shared" ref="R225:Z225" si="15">G90+G95+G101+G102+G96+G99+G100+G103+G104+G105-G106</f>
        <v>0</v>
      </c>
      <c r="S225" s="169">
        <f t="shared" si="15"/>
        <v>0</v>
      </c>
      <c r="T225" s="169">
        <f t="shared" si="15"/>
        <v>0</v>
      </c>
      <c r="U225" s="169">
        <f t="shared" si="15"/>
        <v>0</v>
      </c>
      <c r="V225" s="169">
        <f t="shared" si="15"/>
        <v>0</v>
      </c>
      <c r="W225" s="169">
        <f t="shared" si="15"/>
        <v>0</v>
      </c>
      <c r="X225" s="169">
        <f t="shared" si="15"/>
        <v>0</v>
      </c>
      <c r="Y225" s="169">
        <f t="shared" si="15"/>
        <v>0</v>
      </c>
      <c r="Z225" s="169">
        <f t="shared" si="15"/>
        <v>0</v>
      </c>
      <c r="AA225" s="179" t="s">
        <v>1546</v>
      </c>
      <c r="AB225" s="162" t="s">
        <v>760</v>
      </c>
    </row>
    <row r="226" spans="2:30">
      <c r="B226" s="179" t="s">
        <v>667</v>
      </c>
      <c r="C226" s="179" t="s">
        <v>1547</v>
      </c>
      <c r="D226" s="179" t="s">
        <v>1136</v>
      </c>
      <c r="AB226" s="162" t="s">
        <v>906</v>
      </c>
    </row>
    <row r="227" spans="2:30">
      <c r="B227" s="179" t="s">
        <v>1548</v>
      </c>
      <c r="C227" s="179" t="s">
        <v>1549</v>
      </c>
      <c r="D227" s="179" t="s">
        <v>1136</v>
      </c>
      <c r="AB227" s="162" t="s">
        <v>1056</v>
      </c>
    </row>
    <row r="228" spans="2:30">
      <c r="B228" s="179" t="s">
        <v>1550</v>
      </c>
      <c r="C228" s="179" t="s">
        <v>1551</v>
      </c>
      <c r="D228" s="179" t="s">
        <v>1136</v>
      </c>
      <c r="AB228" s="162" t="s">
        <v>1049</v>
      </c>
    </row>
    <row r="229" spans="2:30">
      <c r="B229" s="179" t="s">
        <v>1552</v>
      </c>
      <c r="C229" s="179" t="s">
        <v>1553</v>
      </c>
      <c r="D229" s="179" t="s">
        <v>1136</v>
      </c>
      <c r="AB229" s="162" t="s">
        <v>1073</v>
      </c>
    </row>
    <row r="230" spans="2:30">
      <c r="B230" s="179" t="s">
        <v>1554</v>
      </c>
      <c r="C230" s="179" t="s">
        <v>1555</v>
      </c>
      <c r="D230" s="179" t="s">
        <v>1136</v>
      </c>
    </row>
    <row r="231" spans="2:30">
      <c r="B231" s="179" t="s">
        <v>1556</v>
      </c>
      <c r="C231" s="179" t="s">
        <v>1557</v>
      </c>
      <c r="D231" s="179" t="s">
        <v>1136</v>
      </c>
      <c r="Q231" s="169">
        <f>F107+F108+F109+F110+F111-F112</f>
        <v>0</v>
      </c>
      <c r="R231" s="169">
        <f t="shared" ref="R231:Z231" si="16">G107+G108+G109+G110+G111-G112</f>
        <v>0</v>
      </c>
      <c r="S231" s="169">
        <f t="shared" si="16"/>
        <v>0</v>
      </c>
      <c r="T231" s="169">
        <f t="shared" si="16"/>
        <v>0</v>
      </c>
      <c r="U231" s="169">
        <f t="shared" si="16"/>
        <v>0</v>
      </c>
      <c r="V231" s="169">
        <f t="shared" si="16"/>
        <v>0</v>
      </c>
      <c r="W231" s="169">
        <f t="shared" si="16"/>
        <v>0</v>
      </c>
      <c r="X231" s="169">
        <f t="shared" si="16"/>
        <v>0</v>
      </c>
      <c r="Y231" s="169">
        <f t="shared" si="16"/>
        <v>0</v>
      </c>
      <c r="Z231" s="169">
        <f t="shared" si="16"/>
        <v>0</v>
      </c>
      <c r="AA231" s="179" t="s">
        <v>1558</v>
      </c>
      <c r="AB231" s="162" t="s">
        <v>982</v>
      </c>
      <c r="AC231" s="162" t="s">
        <v>940</v>
      </c>
      <c r="AD231" s="162" t="s">
        <v>941</v>
      </c>
    </row>
    <row r="232" spans="2:30">
      <c r="B232" s="179" t="s">
        <v>1559</v>
      </c>
      <c r="C232" s="179" t="s">
        <v>1560</v>
      </c>
      <c r="D232" s="179" t="s">
        <v>1136</v>
      </c>
      <c r="AB232" s="163"/>
      <c r="AC232" s="163"/>
      <c r="AD232" s="163"/>
    </row>
    <row r="233" spans="2:30">
      <c r="B233" s="179" t="s">
        <v>1561</v>
      </c>
      <c r="C233" s="179" t="s">
        <v>1562</v>
      </c>
      <c r="D233" s="179" t="s">
        <v>1136</v>
      </c>
      <c r="AB233" s="162" t="s">
        <v>940</v>
      </c>
    </row>
    <row r="234" spans="2:30">
      <c r="B234" s="179" t="s">
        <v>1563</v>
      </c>
      <c r="C234" s="179" t="s">
        <v>1564</v>
      </c>
      <c r="D234" s="179" t="s">
        <v>1136</v>
      </c>
    </row>
    <row r="235" spans="2:30">
      <c r="B235" s="179" t="s">
        <v>1565</v>
      </c>
      <c r="C235" s="179" t="s">
        <v>1566</v>
      </c>
      <c r="D235" s="179" t="s">
        <v>1136</v>
      </c>
    </row>
    <row r="236" spans="2:30">
      <c r="B236" s="179" t="s">
        <v>1567</v>
      </c>
      <c r="C236" s="179" t="s">
        <v>1568</v>
      </c>
      <c r="D236" s="179" t="s">
        <v>1136</v>
      </c>
      <c r="AB236" s="162" t="s">
        <v>941</v>
      </c>
    </row>
    <row r="237" spans="2:30">
      <c r="B237" s="179" t="s">
        <v>374</v>
      </c>
      <c r="C237" s="179" t="s">
        <v>1569</v>
      </c>
      <c r="D237" s="179" t="s">
        <v>1136</v>
      </c>
      <c r="Q237" s="169">
        <f>F112+F113+F114+F115+F118+F119-F120</f>
        <v>0</v>
      </c>
      <c r="R237" s="169">
        <f t="shared" ref="R237:Z237" si="17">G112+G113+G114+G115+G118+G119-G120</f>
        <v>0</v>
      </c>
      <c r="S237" s="169">
        <f t="shared" si="17"/>
        <v>0</v>
      </c>
      <c r="T237" s="169">
        <f t="shared" si="17"/>
        <v>0</v>
      </c>
      <c r="U237" s="169">
        <f t="shared" si="17"/>
        <v>0</v>
      </c>
      <c r="V237" s="169">
        <f t="shared" si="17"/>
        <v>0</v>
      </c>
      <c r="W237" s="169">
        <f t="shared" si="17"/>
        <v>0</v>
      </c>
      <c r="X237" s="169">
        <f t="shared" si="17"/>
        <v>0</v>
      </c>
      <c r="Y237" s="169">
        <f t="shared" si="17"/>
        <v>0</v>
      </c>
      <c r="Z237" s="169">
        <f t="shared" si="17"/>
        <v>0</v>
      </c>
      <c r="AA237" s="179" t="s">
        <v>1570</v>
      </c>
    </row>
    <row r="238" spans="2:30">
      <c r="B238" s="179" t="s">
        <v>1571</v>
      </c>
      <c r="C238" s="179" t="s">
        <v>1572</v>
      </c>
      <c r="D238" s="179" t="s">
        <v>1136</v>
      </c>
      <c r="AB238" s="162" t="s">
        <v>1008</v>
      </c>
    </row>
    <row r="239" spans="2:30">
      <c r="B239" s="179" t="s">
        <v>1573</v>
      </c>
      <c r="C239" s="179" t="s">
        <v>1574</v>
      </c>
      <c r="D239" s="179" t="s">
        <v>1136</v>
      </c>
      <c r="AB239" s="162" t="s">
        <v>1007</v>
      </c>
    </row>
    <row r="240" spans="2:30">
      <c r="B240" s="179" t="s">
        <v>1321</v>
      </c>
      <c r="C240" s="179" t="s">
        <v>1575</v>
      </c>
      <c r="D240" s="179" t="s">
        <v>1136</v>
      </c>
    </row>
    <row r="241" spans="1:30">
      <c r="B241" s="179" t="s">
        <v>1321</v>
      </c>
      <c r="C241" s="179" t="s">
        <v>1576</v>
      </c>
      <c r="D241" s="179" t="s">
        <v>1136</v>
      </c>
      <c r="AB241" s="162" t="s">
        <v>1009</v>
      </c>
    </row>
    <row r="242" spans="1:30">
      <c r="B242" s="179" t="s">
        <v>1577</v>
      </c>
      <c r="C242" s="179" t="s">
        <v>1578</v>
      </c>
      <c r="D242" s="179" t="s">
        <v>1136</v>
      </c>
      <c r="Q242" s="165">
        <f>F125+F120-F126</f>
        <v>0</v>
      </c>
      <c r="R242" s="165">
        <f t="shared" ref="R242:Z242" si="18">G125+G120-G126</f>
        <v>0</v>
      </c>
      <c r="S242" s="165">
        <f t="shared" si="18"/>
        <v>0</v>
      </c>
      <c r="T242" s="165">
        <f t="shared" si="18"/>
        <v>0</v>
      </c>
      <c r="U242" s="165">
        <f t="shared" si="18"/>
        <v>0</v>
      </c>
      <c r="V242" s="165">
        <f t="shared" si="18"/>
        <v>0</v>
      </c>
      <c r="W242" s="165">
        <f t="shared" si="18"/>
        <v>0</v>
      </c>
      <c r="X242" s="165">
        <f t="shared" si="18"/>
        <v>0</v>
      </c>
      <c r="Y242" s="165">
        <f t="shared" si="18"/>
        <v>0</v>
      </c>
      <c r="Z242" s="165">
        <f t="shared" si="18"/>
        <v>0</v>
      </c>
      <c r="AA242" s="179" t="s">
        <v>1579</v>
      </c>
      <c r="AB242" s="162" t="s">
        <v>982</v>
      </c>
    </row>
    <row r="243" spans="1:30">
      <c r="B243" s="179" t="s">
        <v>1580</v>
      </c>
      <c r="C243" s="179" t="s">
        <v>1581</v>
      </c>
      <c r="D243" s="179" t="s">
        <v>1136</v>
      </c>
      <c r="Q243" s="165">
        <f>F126-F106</f>
        <v>0</v>
      </c>
      <c r="R243" s="165">
        <f t="shared" ref="R243:Z243" si="19">G126-G106</f>
        <v>0</v>
      </c>
      <c r="S243" s="165">
        <f t="shared" si="19"/>
        <v>0</v>
      </c>
      <c r="T243" s="165">
        <f t="shared" si="19"/>
        <v>0</v>
      </c>
      <c r="U243" s="165">
        <f t="shared" si="19"/>
        <v>0</v>
      </c>
      <c r="V243" s="165">
        <f t="shared" si="19"/>
        <v>0</v>
      </c>
      <c r="W243" s="165">
        <f t="shared" si="19"/>
        <v>0</v>
      </c>
      <c r="X243" s="165">
        <f t="shared" si="19"/>
        <v>0</v>
      </c>
      <c r="Y243" s="165">
        <f t="shared" si="19"/>
        <v>0</v>
      </c>
      <c r="Z243" s="165">
        <f t="shared" si="19"/>
        <v>0</v>
      </c>
      <c r="AA243" s="179" t="s">
        <v>1582</v>
      </c>
      <c r="AB243" s="162" t="s">
        <v>760</v>
      </c>
      <c r="AC243" s="162"/>
    </row>
    <row r="244" spans="1:30">
      <c r="B244" s="179" t="s">
        <v>1583</v>
      </c>
      <c r="C244" s="179" t="s">
        <v>1584</v>
      </c>
      <c r="D244" s="179" t="s">
        <v>1136</v>
      </c>
      <c r="Q244" s="165" t="e">
        <f>F122/F476-F525</f>
        <v>#DIV/0!</v>
      </c>
      <c r="R244" s="165" t="e">
        <f t="shared" ref="R244:Z244" si="20">G122/G476-G525</f>
        <v>#DIV/0!</v>
      </c>
      <c r="S244" s="165" t="e">
        <f t="shared" si="20"/>
        <v>#DIV/0!</v>
      </c>
      <c r="T244" s="165" t="e">
        <f t="shared" si="20"/>
        <v>#DIV/0!</v>
      </c>
      <c r="U244" s="165" t="e">
        <f t="shared" si="20"/>
        <v>#DIV/0!</v>
      </c>
      <c r="V244" s="165" t="e">
        <f t="shared" si="20"/>
        <v>#DIV/0!</v>
      </c>
      <c r="W244" s="165" t="e">
        <f t="shared" si="20"/>
        <v>#DIV/0!</v>
      </c>
      <c r="X244" s="165" t="e">
        <f t="shared" si="20"/>
        <v>#DIV/0!</v>
      </c>
      <c r="Y244" s="165" t="e">
        <f t="shared" si="20"/>
        <v>#DIV/0!</v>
      </c>
      <c r="Z244" s="165" t="e">
        <f t="shared" si="20"/>
        <v>#DIV/0!</v>
      </c>
      <c r="AA244" s="170" t="s">
        <v>1585</v>
      </c>
      <c r="AB244" s="162" t="s">
        <v>965</v>
      </c>
    </row>
    <row r="245" spans="1:30">
      <c r="B245" s="179" t="s">
        <v>1586</v>
      </c>
      <c r="C245" s="179" t="s">
        <v>1587</v>
      </c>
      <c r="D245" s="179" t="s">
        <v>1136</v>
      </c>
      <c r="Q245" s="165" t="e">
        <f>F536/F476-F526</f>
        <v>#DIV/0!</v>
      </c>
      <c r="R245" s="165" t="e">
        <f t="shared" ref="R245:Z245" si="21">G536/G476-G526</f>
        <v>#DIV/0!</v>
      </c>
      <c r="S245" s="165" t="e">
        <f t="shared" si="21"/>
        <v>#DIV/0!</v>
      </c>
      <c r="T245" s="165" t="e">
        <f t="shared" si="21"/>
        <v>#DIV/0!</v>
      </c>
      <c r="U245" s="165" t="e">
        <f t="shared" si="21"/>
        <v>#DIV/0!</v>
      </c>
      <c r="V245" s="165" t="e">
        <f t="shared" si="21"/>
        <v>#DIV/0!</v>
      </c>
      <c r="W245" s="165" t="e">
        <f t="shared" si="21"/>
        <v>#DIV/0!</v>
      </c>
      <c r="X245" s="165" t="e">
        <f t="shared" si="21"/>
        <v>#DIV/0!</v>
      </c>
      <c r="Y245" s="165" t="e">
        <f t="shared" si="21"/>
        <v>#DIV/0!</v>
      </c>
      <c r="Z245" s="165" t="e">
        <f t="shared" si="21"/>
        <v>#DIV/0!</v>
      </c>
      <c r="AA245" s="170" t="s">
        <v>1588</v>
      </c>
      <c r="AB245" s="162" t="s">
        <v>965</v>
      </c>
    </row>
    <row r="246" spans="1:30">
      <c r="B246" s="179" t="s">
        <v>1589</v>
      </c>
      <c r="C246" s="179" t="s">
        <v>1590</v>
      </c>
      <c r="D246" s="179" t="s">
        <v>1136</v>
      </c>
      <c r="AB246" s="162" t="s">
        <v>966</v>
      </c>
    </row>
    <row r="247" spans="1:30">
      <c r="B247" s="179" t="s">
        <v>1591</v>
      </c>
      <c r="C247" s="179" t="s">
        <v>1592</v>
      </c>
      <c r="D247" s="179" t="s">
        <v>1136</v>
      </c>
      <c r="AB247" s="162" t="s">
        <v>966</v>
      </c>
    </row>
    <row r="248" spans="1:30">
      <c r="F248" s="179"/>
      <c r="G248" s="179"/>
      <c r="H248" s="179"/>
      <c r="I248" s="179"/>
      <c r="J248" s="179"/>
      <c r="K248" s="179"/>
      <c r="L248" s="179"/>
      <c r="M248" s="179"/>
      <c r="N248" s="179"/>
      <c r="O248" s="179"/>
      <c r="P248" s="179"/>
    </row>
    <row r="249" spans="1:30" s="157" customFormat="1" ht="15.75">
      <c r="A249" s="157" t="s">
        <v>1593</v>
      </c>
      <c r="D249" s="158"/>
      <c r="AB249" s="159"/>
      <c r="AC249" s="159"/>
      <c r="AD249" s="159"/>
    </row>
    <row r="250" spans="1:30">
      <c r="B250" s="179" t="s">
        <v>1594</v>
      </c>
      <c r="C250" s="179" t="s">
        <v>1595</v>
      </c>
      <c r="D250" s="179" t="s">
        <v>1136</v>
      </c>
      <c r="AB250" s="162" t="s">
        <v>336</v>
      </c>
    </row>
    <row r="251" spans="1:30">
      <c r="B251" s="179" t="s">
        <v>1596</v>
      </c>
      <c r="C251" s="179" t="s">
        <v>1597</v>
      </c>
      <c r="D251" s="179" t="s">
        <v>1136</v>
      </c>
      <c r="AB251" s="162" t="s">
        <v>922</v>
      </c>
    </row>
    <row r="252" spans="1:30">
      <c r="B252" s="179" t="s">
        <v>1598</v>
      </c>
      <c r="C252" s="179" t="s">
        <v>1599</v>
      </c>
      <c r="D252" s="179" t="s">
        <v>1136</v>
      </c>
    </row>
    <row r="253" spans="1:30">
      <c r="B253" s="179" t="s">
        <v>1600</v>
      </c>
      <c r="C253" s="179" t="s">
        <v>1601</v>
      </c>
      <c r="D253" s="179" t="s">
        <v>1136</v>
      </c>
      <c r="AB253" s="162" t="s">
        <v>2216</v>
      </c>
      <c r="AC253" s="162"/>
    </row>
    <row r="254" spans="1:30">
      <c r="B254" s="179" t="s">
        <v>1602</v>
      </c>
      <c r="C254" s="179" t="s">
        <v>1603</v>
      </c>
      <c r="D254" s="179" t="s">
        <v>1136</v>
      </c>
      <c r="AB254" s="162" t="s">
        <v>923</v>
      </c>
    </row>
    <row r="255" spans="1:30">
      <c r="B255" s="179" t="s">
        <v>1604</v>
      </c>
      <c r="C255" s="179" t="s">
        <v>1605</v>
      </c>
      <c r="D255" s="179" t="s">
        <v>1136</v>
      </c>
      <c r="AB255" s="162" t="s">
        <v>878</v>
      </c>
    </row>
    <row r="256" spans="1:30">
      <c r="B256" s="179" t="s">
        <v>1606</v>
      </c>
      <c r="C256" s="179" t="s">
        <v>1607</v>
      </c>
      <c r="D256" s="179" t="s">
        <v>1136</v>
      </c>
      <c r="AB256" s="162" t="s">
        <v>337</v>
      </c>
    </row>
    <row r="257" spans="2:30">
      <c r="B257" s="179" t="s">
        <v>1608</v>
      </c>
      <c r="C257" s="179" t="s">
        <v>1609</v>
      </c>
      <c r="D257" s="179" t="s">
        <v>1136</v>
      </c>
    </row>
    <row r="258" spans="2:30">
      <c r="B258" s="179" t="s">
        <v>1610</v>
      </c>
      <c r="C258" s="179" t="s">
        <v>1611</v>
      </c>
      <c r="D258" s="179" t="s">
        <v>1136</v>
      </c>
      <c r="AB258" s="162" t="s">
        <v>1055</v>
      </c>
    </row>
    <row r="259" spans="2:30">
      <c r="B259" s="179" t="s">
        <v>1612</v>
      </c>
      <c r="C259" s="179" t="s">
        <v>1613</v>
      </c>
      <c r="D259" s="179" t="s">
        <v>1136</v>
      </c>
      <c r="AB259" s="162" t="s">
        <v>946</v>
      </c>
      <c r="AC259" s="162"/>
    </row>
    <row r="260" spans="2:30">
      <c r="B260" s="179" t="s">
        <v>1614</v>
      </c>
      <c r="C260" s="179" t="s">
        <v>1615</v>
      </c>
      <c r="D260" s="179" t="s">
        <v>1136</v>
      </c>
      <c r="AB260" s="162" t="s">
        <v>2243</v>
      </c>
      <c r="AC260" s="162"/>
    </row>
    <row r="261" spans="2:30">
      <c r="B261" s="179" t="s">
        <v>1616</v>
      </c>
      <c r="C261" s="179" t="s">
        <v>1617</v>
      </c>
      <c r="D261" s="179" t="s">
        <v>1136</v>
      </c>
      <c r="AB261" s="162" t="s">
        <v>945</v>
      </c>
      <c r="AC261" s="162"/>
    </row>
    <row r="262" spans="2:30">
      <c r="B262" s="179" t="s">
        <v>1618</v>
      </c>
      <c r="C262" s="179" t="s">
        <v>1619</v>
      </c>
      <c r="D262" s="179" t="s">
        <v>1136</v>
      </c>
      <c r="AB262" s="162" t="s">
        <v>1008</v>
      </c>
      <c r="AC262" s="162"/>
    </row>
    <row r="263" spans="2:30">
      <c r="B263" s="179" t="s">
        <v>1620</v>
      </c>
      <c r="C263" s="179" t="s">
        <v>1621</v>
      </c>
      <c r="D263" s="179" t="s">
        <v>1136</v>
      </c>
      <c r="AB263" s="162" t="s">
        <v>947</v>
      </c>
    </row>
    <row r="264" spans="2:30">
      <c r="B264" s="179" t="s">
        <v>1622</v>
      </c>
      <c r="C264" s="179" t="s">
        <v>1623</v>
      </c>
      <c r="D264" s="179" t="s">
        <v>1136</v>
      </c>
      <c r="AB264" s="162" t="s">
        <v>925</v>
      </c>
    </row>
    <row r="265" spans="2:30">
      <c r="B265" s="179" t="s">
        <v>1624</v>
      </c>
      <c r="C265" s="179" t="s">
        <v>1625</v>
      </c>
      <c r="D265" s="179" t="s">
        <v>1136</v>
      </c>
      <c r="AB265" s="162" t="s">
        <v>609</v>
      </c>
      <c r="AC265" s="162" t="s">
        <v>611</v>
      </c>
    </row>
    <row r="266" spans="2:30">
      <c r="B266" s="179" t="s">
        <v>1626</v>
      </c>
      <c r="C266" s="179" t="s">
        <v>1627</v>
      </c>
      <c r="D266" s="179" t="s">
        <v>1136</v>
      </c>
      <c r="AB266" s="162" t="s">
        <v>713</v>
      </c>
    </row>
    <row r="267" spans="2:30">
      <c r="B267" s="179" t="s">
        <v>1628</v>
      </c>
      <c r="C267" s="179" t="s">
        <v>1629</v>
      </c>
      <c r="D267" s="179" t="s">
        <v>1136</v>
      </c>
      <c r="AB267" s="162" t="s">
        <v>714</v>
      </c>
    </row>
    <row r="268" spans="2:30">
      <c r="B268" s="179" t="s">
        <v>1630</v>
      </c>
      <c r="C268" s="179" t="s">
        <v>1631</v>
      </c>
      <c r="D268" s="179" t="s">
        <v>1136</v>
      </c>
      <c r="AB268" s="190" t="s">
        <v>2213</v>
      </c>
      <c r="AC268" s="191"/>
      <c r="AD268" s="191"/>
    </row>
    <row r="269" spans="2:30">
      <c r="B269" s="179" t="s">
        <v>345</v>
      </c>
      <c r="C269" s="179" t="s">
        <v>1632</v>
      </c>
      <c r="D269" s="179" t="s">
        <v>1136</v>
      </c>
      <c r="AB269" s="162" t="s">
        <v>610</v>
      </c>
    </row>
    <row r="270" spans="2:30">
      <c r="B270" s="179" t="s">
        <v>1633</v>
      </c>
      <c r="C270" s="179" t="s">
        <v>1634</v>
      </c>
      <c r="D270" s="179" t="s">
        <v>1136</v>
      </c>
    </row>
    <row r="271" spans="2:30">
      <c r="B271" s="179" t="s">
        <v>1635</v>
      </c>
      <c r="C271" s="179" t="s">
        <v>1636</v>
      </c>
      <c r="D271" s="179" t="s">
        <v>1136</v>
      </c>
    </row>
    <row r="272" spans="2:30">
      <c r="B272" s="179" t="s">
        <v>1637</v>
      </c>
      <c r="C272" s="179" t="s">
        <v>1638</v>
      </c>
      <c r="D272" s="179" t="s">
        <v>1136</v>
      </c>
    </row>
    <row r="273" spans="2:30">
      <c r="B273" s="179" t="s">
        <v>1639</v>
      </c>
      <c r="C273" s="179" t="s">
        <v>1640</v>
      </c>
      <c r="D273" s="179" t="s">
        <v>1136</v>
      </c>
    </row>
    <row r="274" spans="2:30">
      <c r="B274" s="179" t="s">
        <v>1641</v>
      </c>
      <c r="C274" s="179" t="s">
        <v>1642</v>
      </c>
      <c r="D274" s="179" t="s">
        <v>1136</v>
      </c>
    </row>
    <row r="275" spans="2:30">
      <c r="B275" s="179" t="s">
        <v>1643</v>
      </c>
      <c r="F275" s="180"/>
      <c r="G275" s="180"/>
      <c r="H275" s="180"/>
      <c r="I275" s="180"/>
      <c r="J275" s="180"/>
      <c r="K275" s="180"/>
      <c r="L275" s="180"/>
      <c r="M275" s="181"/>
      <c r="N275" s="181"/>
      <c r="O275" s="181"/>
      <c r="P275" s="181"/>
    </row>
    <row r="276" spans="2:30">
      <c r="B276" s="179" t="s">
        <v>1644</v>
      </c>
      <c r="C276" s="179" t="s">
        <v>1645</v>
      </c>
      <c r="D276" s="179" t="s">
        <v>1136</v>
      </c>
    </row>
    <row r="277" spans="2:30">
      <c r="B277" s="179" t="s">
        <v>1646</v>
      </c>
      <c r="C277" s="179" t="s">
        <v>1647</v>
      </c>
      <c r="D277" s="179" t="s">
        <v>1136</v>
      </c>
    </row>
    <row r="278" spans="2:30">
      <c r="B278" s="179" t="s">
        <v>345</v>
      </c>
      <c r="C278" s="179" t="s">
        <v>1648</v>
      </c>
      <c r="D278" s="179" t="s">
        <v>1136</v>
      </c>
      <c r="AB278" s="190" t="s">
        <v>2214</v>
      </c>
      <c r="AC278" s="191"/>
      <c r="AD278" s="191"/>
    </row>
    <row r="279" spans="2:30">
      <c r="B279" s="179" t="s">
        <v>1649</v>
      </c>
      <c r="C279" s="179" t="s">
        <v>1650</v>
      </c>
      <c r="D279" s="179" t="s">
        <v>1136</v>
      </c>
    </row>
    <row r="280" spans="2:30">
      <c r="B280" s="179" t="s">
        <v>1651</v>
      </c>
      <c r="C280" s="179" t="s">
        <v>1652</v>
      </c>
      <c r="D280" s="179" t="s">
        <v>1136</v>
      </c>
    </row>
    <row r="281" spans="2:30">
      <c r="B281" s="179" t="s">
        <v>1653</v>
      </c>
      <c r="C281" s="179" t="s">
        <v>1654</v>
      </c>
      <c r="D281" s="179" t="s">
        <v>1136</v>
      </c>
    </row>
    <row r="282" spans="2:30">
      <c r="B282" s="179" t="s">
        <v>1655</v>
      </c>
      <c r="C282" s="179" t="s">
        <v>1656</v>
      </c>
      <c r="D282" s="179" t="s">
        <v>1136</v>
      </c>
      <c r="AC282" s="162"/>
    </row>
    <row r="283" spans="2:30">
      <c r="B283" s="179" t="s">
        <v>1657</v>
      </c>
      <c r="C283" s="179" t="s">
        <v>1658</v>
      </c>
      <c r="D283" s="179" t="s">
        <v>1136</v>
      </c>
      <c r="AB283" s="162" t="s">
        <v>1007</v>
      </c>
      <c r="AC283" s="162" t="s">
        <v>942</v>
      </c>
      <c r="AD283" s="162" t="s">
        <v>943</v>
      </c>
    </row>
    <row r="284" spans="2:30">
      <c r="B284" s="179" t="s">
        <v>1659</v>
      </c>
      <c r="C284" s="179" t="s">
        <v>1660</v>
      </c>
      <c r="D284" s="179" t="s">
        <v>1136</v>
      </c>
      <c r="AB284" s="162" t="s">
        <v>942</v>
      </c>
    </row>
    <row r="285" spans="2:30">
      <c r="B285" s="179" t="s">
        <v>1661</v>
      </c>
      <c r="C285" s="179" t="s">
        <v>1662</v>
      </c>
      <c r="D285" s="179" t="s">
        <v>1136</v>
      </c>
      <c r="AB285" s="162" t="s">
        <v>943</v>
      </c>
    </row>
    <row r="286" spans="2:30">
      <c r="B286" s="179" t="s">
        <v>1663</v>
      </c>
      <c r="C286" s="179" t="s">
        <v>1664</v>
      </c>
      <c r="D286" s="179" t="s">
        <v>1136</v>
      </c>
      <c r="AB286" s="162" t="s">
        <v>1007</v>
      </c>
    </row>
    <row r="287" spans="2:30">
      <c r="B287" s="179" t="s">
        <v>1665</v>
      </c>
      <c r="C287" s="179" t="s">
        <v>1666</v>
      </c>
      <c r="D287" s="179" t="s">
        <v>1136</v>
      </c>
      <c r="AB287" s="162" t="s">
        <v>982</v>
      </c>
      <c r="AC287" s="162"/>
    </row>
    <row r="288" spans="2:30">
      <c r="B288" s="179" t="s">
        <v>1667</v>
      </c>
      <c r="C288" s="179" t="s">
        <v>1668</v>
      </c>
      <c r="D288" s="179" t="s">
        <v>1136</v>
      </c>
      <c r="AB288" s="162" t="s">
        <v>761</v>
      </c>
      <c r="AC288" s="162" t="s">
        <v>865</v>
      </c>
    </row>
    <row r="289" spans="1:30">
      <c r="B289" s="179" t="s">
        <v>1669</v>
      </c>
      <c r="C289" s="179" t="s">
        <v>1670</v>
      </c>
      <c r="D289" s="179" t="s">
        <v>1136</v>
      </c>
      <c r="AB289" s="162" t="s">
        <v>2216</v>
      </c>
      <c r="AC289" s="162"/>
    </row>
    <row r="290" spans="1:30">
      <c r="B290" s="179" t="s">
        <v>1671</v>
      </c>
      <c r="C290" s="179" t="s">
        <v>1672</v>
      </c>
      <c r="D290" s="179" t="s">
        <v>1136</v>
      </c>
      <c r="AB290" s="162" t="s">
        <v>1007</v>
      </c>
    </row>
    <row r="291" spans="1:30">
      <c r="F291" s="179"/>
      <c r="G291" s="179"/>
      <c r="H291" s="179"/>
      <c r="I291" s="179"/>
      <c r="J291" s="179"/>
      <c r="K291" s="179"/>
      <c r="L291" s="179"/>
      <c r="M291" s="179"/>
      <c r="N291" s="179"/>
      <c r="O291" s="179"/>
      <c r="P291" s="179"/>
    </row>
    <row r="292" spans="1:30" s="157" customFormat="1" ht="15.75">
      <c r="A292" s="157" t="s">
        <v>1673</v>
      </c>
      <c r="D292" s="158"/>
      <c r="AB292" s="159"/>
      <c r="AC292" s="159"/>
      <c r="AD292" s="159"/>
    </row>
    <row r="293" spans="1:30">
      <c r="B293" s="179" t="s">
        <v>1211</v>
      </c>
      <c r="C293" s="179" t="s">
        <v>1674</v>
      </c>
      <c r="D293" s="179" t="s">
        <v>1136</v>
      </c>
    </row>
    <row r="294" spans="1:30">
      <c r="B294" s="179" t="s">
        <v>1675</v>
      </c>
      <c r="C294" s="179" t="s">
        <v>1676</v>
      </c>
      <c r="D294" s="179" t="s">
        <v>1136</v>
      </c>
      <c r="AB294" s="162" t="s">
        <v>1007</v>
      </c>
    </row>
    <row r="295" spans="1:30">
      <c r="B295" s="179" t="s">
        <v>1677</v>
      </c>
      <c r="C295" s="179" t="s">
        <v>1678</v>
      </c>
      <c r="D295" s="179" t="s">
        <v>1136</v>
      </c>
      <c r="AB295" s="162" t="s">
        <v>761</v>
      </c>
    </row>
    <row r="296" spans="1:30">
      <c r="B296" s="179" t="s">
        <v>1679</v>
      </c>
      <c r="C296" s="179" t="s">
        <v>1680</v>
      </c>
      <c r="D296" s="179" t="s">
        <v>1136</v>
      </c>
    </row>
    <row r="297" spans="1:30">
      <c r="B297" s="179" t="s">
        <v>1681</v>
      </c>
      <c r="C297" s="179" t="s">
        <v>1682</v>
      </c>
      <c r="D297" s="179" t="s">
        <v>1136</v>
      </c>
    </row>
    <row r="298" spans="1:30">
      <c r="B298" s="179" t="s">
        <v>1683</v>
      </c>
      <c r="C298" s="179" t="s">
        <v>1684</v>
      </c>
      <c r="D298" s="179" t="s">
        <v>1136</v>
      </c>
    </row>
    <row r="299" spans="1:30">
      <c r="B299" s="179" t="s">
        <v>1685</v>
      </c>
      <c r="C299" s="179" t="s">
        <v>1686</v>
      </c>
      <c r="D299" s="179" t="s">
        <v>1136</v>
      </c>
    </row>
    <row r="300" spans="1:30">
      <c r="B300" s="179" t="s">
        <v>1687</v>
      </c>
      <c r="C300" s="179" t="s">
        <v>1688</v>
      </c>
      <c r="D300" s="179" t="s">
        <v>1136</v>
      </c>
    </row>
    <row r="301" spans="1:30">
      <c r="B301" s="179" t="s">
        <v>1689</v>
      </c>
      <c r="C301" s="179" t="s">
        <v>1690</v>
      </c>
      <c r="D301" s="179" t="s">
        <v>1136</v>
      </c>
    </row>
    <row r="302" spans="1:30">
      <c r="B302" s="179" t="s">
        <v>1321</v>
      </c>
      <c r="C302" s="179" t="s">
        <v>1691</v>
      </c>
      <c r="D302" s="179" t="s">
        <v>1136</v>
      </c>
      <c r="AB302" s="162" t="s">
        <v>1009</v>
      </c>
    </row>
    <row r="303" spans="1:30">
      <c r="F303" s="179"/>
      <c r="G303" s="179"/>
      <c r="H303" s="179"/>
      <c r="I303" s="179"/>
      <c r="J303" s="179"/>
      <c r="K303" s="179"/>
      <c r="L303" s="179"/>
      <c r="M303" s="179"/>
      <c r="N303" s="179"/>
      <c r="O303" s="179"/>
      <c r="P303" s="179"/>
    </row>
    <row r="304" spans="1:30" s="157" customFormat="1" ht="15.75">
      <c r="A304" s="157" t="s">
        <v>1692</v>
      </c>
      <c r="D304" s="158"/>
      <c r="AB304" s="159"/>
      <c r="AC304" s="159"/>
      <c r="AD304" s="159"/>
    </row>
    <row r="305" spans="1:30">
      <c r="B305" s="179" t="s">
        <v>1693</v>
      </c>
      <c r="C305" s="179" t="s">
        <v>1694</v>
      </c>
      <c r="D305" s="179" t="s">
        <v>1136</v>
      </c>
      <c r="AB305" s="162" t="s">
        <v>769</v>
      </c>
      <c r="AC305" s="162" t="s">
        <v>1010</v>
      </c>
    </row>
    <row r="306" spans="1:30">
      <c r="F306" s="179"/>
      <c r="G306" s="179"/>
      <c r="H306" s="179"/>
      <c r="I306" s="179"/>
      <c r="J306" s="179"/>
      <c r="K306" s="179"/>
      <c r="L306" s="179"/>
      <c r="M306" s="179"/>
      <c r="N306" s="179"/>
      <c r="O306" s="179"/>
      <c r="P306" s="179"/>
    </row>
    <row r="307" spans="1:30" s="157" customFormat="1" ht="15.75">
      <c r="A307" s="157" t="s">
        <v>1695</v>
      </c>
      <c r="D307" s="158"/>
      <c r="AB307" s="159"/>
      <c r="AC307" s="159"/>
      <c r="AD307" s="159"/>
    </row>
    <row r="308" spans="1:30">
      <c r="B308" s="179" t="s">
        <v>1696</v>
      </c>
      <c r="C308" s="179" t="s">
        <v>1697</v>
      </c>
      <c r="D308" s="179" t="s">
        <v>1136</v>
      </c>
      <c r="AB308" s="161"/>
      <c r="AC308" s="161"/>
      <c r="AD308" s="161"/>
    </row>
    <row r="309" spans="1:30">
      <c r="F309" s="179"/>
      <c r="G309" s="179"/>
      <c r="H309" s="179"/>
      <c r="I309" s="179"/>
      <c r="J309" s="179"/>
      <c r="K309" s="179"/>
      <c r="L309" s="179"/>
      <c r="M309" s="179"/>
      <c r="N309" s="179"/>
      <c r="O309" s="179"/>
      <c r="P309" s="179"/>
    </row>
    <row r="310" spans="1:30" s="157" customFormat="1" ht="15.75">
      <c r="A310" s="157" t="s">
        <v>1698</v>
      </c>
      <c r="D310" s="158"/>
      <c r="AB310" s="159"/>
      <c r="AC310" s="159"/>
      <c r="AD310" s="159"/>
    </row>
    <row r="311" spans="1:30">
      <c r="B311" s="179" t="s">
        <v>1699</v>
      </c>
      <c r="C311" s="179" t="s">
        <v>1700</v>
      </c>
      <c r="AB311" s="162" t="s">
        <v>843</v>
      </c>
    </row>
    <row r="312" spans="1:30">
      <c r="B312" s="179" t="s">
        <v>1701</v>
      </c>
      <c r="C312" s="179" t="s">
        <v>1702</v>
      </c>
    </row>
    <row r="313" spans="1:30">
      <c r="B313" s="179" t="s">
        <v>1703</v>
      </c>
      <c r="C313" s="179" t="s">
        <v>1704</v>
      </c>
      <c r="AB313" s="161"/>
      <c r="AC313" s="161"/>
      <c r="AD313" s="161"/>
    </row>
    <row r="314" spans="1:30">
      <c r="B314" s="179" t="s">
        <v>1705</v>
      </c>
      <c r="C314" s="179" t="s">
        <v>1706</v>
      </c>
    </row>
    <row r="315" spans="1:30">
      <c r="B315" s="179" t="s">
        <v>1707</v>
      </c>
      <c r="C315" s="179" t="s">
        <v>1708</v>
      </c>
    </row>
    <row r="316" spans="1:30">
      <c r="F316" s="179"/>
      <c r="G316" s="179"/>
      <c r="H316" s="179"/>
      <c r="I316" s="179"/>
      <c r="J316" s="179"/>
      <c r="K316" s="179"/>
      <c r="L316" s="179"/>
      <c r="M316" s="179"/>
      <c r="N316" s="179"/>
      <c r="O316" s="179"/>
      <c r="P316" s="179"/>
    </row>
    <row r="317" spans="1:30" s="157" customFormat="1" ht="15.75">
      <c r="A317" s="157" t="s">
        <v>1709</v>
      </c>
      <c r="D317" s="158"/>
      <c r="AB317" s="159"/>
      <c r="AC317" s="159"/>
      <c r="AD317" s="159"/>
    </row>
    <row r="318" spans="1:30">
      <c r="B318" s="179" t="s">
        <v>1710</v>
      </c>
      <c r="C318" s="179" t="s">
        <v>1711</v>
      </c>
      <c r="D318" s="179" t="s">
        <v>1136</v>
      </c>
      <c r="AB318" s="162" t="s">
        <v>771</v>
      </c>
    </row>
    <row r="319" spans="1:30">
      <c r="B319" s="179" t="s">
        <v>1712</v>
      </c>
      <c r="C319" s="179" t="s">
        <v>1713</v>
      </c>
      <c r="D319" s="179" t="s">
        <v>1136</v>
      </c>
    </row>
    <row r="320" spans="1:30">
      <c r="B320" s="179" t="s">
        <v>1113</v>
      </c>
      <c r="C320" s="179" t="s">
        <v>1714</v>
      </c>
      <c r="D320" s="179" t="s">
        <v>1136</v>
      </c>
    </row>
    <row r="321" spans="1:30">
      <c r="B321" s="179" t="s">
        <v>1715</v>
      </c>
      <c r="C321" s="179" t="s">
        <v>1716</v>
      </c>
      <c r="D321" s="179" t="s">
        <v>1136</v>
      </c>
      <c r="AB321" s="162" t="s">
        <v>333</v>
      </c>
      <c r="AC321" s="162" t="s">
        <v>961</v>
      </c>
    </row>
    <row r="322" spans="1:30">
      <c r="B322" s="179" t="s">
        <v>1717</v>
      </c>
      <c r="C322" s="179" t="s">
        <v>1718</v>
      </c>
      <c r="D322" s="179" t="s">
        <v>1136</v>
      </c>
      <c r="AB322" s="162" t="s">
        <v>693</v>
      </c>
    </row>
    <row r="323" spans="1:30">
      <c r="B323" s="179" t="s">
        <v>1719</v>
      </c>
      <c r="C323" s="179" t="s">
        <v>1720</v>
      </c>
      <c r="D323" s="179" t="s">
        <v>1136</v>
      </c>
    </row>
    <row r="324" spans="1:30">
      <c r="B324" s="179" t="s">
        <v>1721</v>
      </c>
      <c r="C324" s="179" t="s">
        <v>1722</v>
      </c>
    </row>
    <row r="325" spans="1:30">
      <c r="B325" s="179" t="s">
        <v>1723</v>
      </c>
      <c r="C325" s="179" t="s">
        <v>1724</v>
      </c>
    </row>
    <row r="326" spans="1:30">
      <c r="B326" s="179" t="s">
        <v>1725</v>
      </c>
      <c r="C326" s="179" t="s">
        <v>1726</v>
      </c>
    </row>
    <row r="327" spans="1:30">
      <c r="B327" s="179" t="s">
        <v>1727</v>
      </c>
      <c r="C327" s="179" t="s">
        <v>1728</v>
      </c>
    </row>
    <row r="328" spans="1:30">
      <c r="B328" s="179" t="s">
        <v>1729</v>
      </c>
      <c r="C328" s="179" t="s">
        <v>1730</v>
      </c>
      <c r="D328" s="179" t="s">
        <v>1136</v>
      </c>
    </row>
    <row r="329" spans="1:30">
      <c r="B329" s="179" t="s">
        <v>1731</v>
      </c>
      <c r="C329" s="179" t="s">
        <v>1732</v>
      </c>
      <c r="D329" s="179" t="s">
        <v>1136</v>
      </c>
    </row>
    <row r="330" spans="1:30">
      <c r="B330" s="179" t="s">
        <v>1733</v>
      </c>
      <c r="C330" s="179" t="s">
        <v>1734</v>
      </c>
      <c r="D330" s="179" t="s">
        <v>1136</v>
      </c>
    </row>
    <row r="331" spans="1:30">
      <c r="B331" s="179" t="s">
        <v>1735</v>
      </c>
      <c r="C331" s="179" t="s">
        <v>1736</v>
      </c>
      <c r="D331" s="179" t="s">
        <v>1136</v>
      </c>
    </row>
    <row r="332" spans="1:30">
      <c r="B332" s="179" t="s">
        <v>1737</v>
      </c>
      <c r="C332" s="179" t="s">
        <v>1738</v>
      </c>
    </row>
    <row r="333" spans="1:30">
      <c r="F333" s="179"/>
      <c r="G333" s="179"/>
      <c r="H333" s="179"/>
      <c r="I333" s="179"/>
      <c r="J333" s="179"/>
      <c r="K333" s="179"/>
      <c r="L333" s="179"/>
      <c r="M333" s="179"/>
      <c r="N333" s="179"/>
      <c r="O333" s="179"/>
      <c r="P333" s="179"/>
    </row>
    <row r="334" spans="1:30" s="157" customFormat="1" ht="15.75">
      <c r="A334" s="157" t="s">
        <v>1739</v>
      </c>
      <c r="D334" s="158"/>
      <c r="AB334" s="159"/>
      <c r="AC334" s="159"/>
      <c r="AD334" s="159"/>
    </row>
    <row r="335" spans="1:30">
      <c r="B335" s="179" t="s">
        <v>1740</v>
      </c>
      <c r="C335" s="179" t="s">
        <v>1741</v>
      </c>
      <c r="AB335" s="161"/>
      <c r="AC335" s="161"/>
      <c r="AD335" s="161"/>
    </row>
    <row r="336" spans="1:30">
      <c r="B336" s="179" t="s">
        <v>1742</v>
      </c>
      <c r="C336" s="179" t="s">
        <v>1743</v>
      </c>
      <c r="AB336" s="161"/>
      <c r="AC336" s="161"/>
      <c r="AD336" s="161"/>
    </row>
    <row r="337" spans="1:30">
      <c r="B337" s="179" t="s">
        <v>1744</v>
      </c>
      <c r="C337" s="179" t="s">
        <v>1745</v>
      </c>
      <c r="AB337" s="161"/>
      <c r="AC337" s="161"/>
      <c r="AD337" s="161"/>
    </row>
    <row r="338" spans="1:30">
      <c r="B338" s="179" t="s">
        <v>1746</v>
      </c>
      <c r="C338" s="179" t="s">
        <v>1747</v>
      </c>
      <c r="AB338" s="182"/>
      <c r="AC338" s="182"/>
      <c r="AD338" s="182"/>
    </row>
    <row r="339" spans="1:30">
      <c r="B339" s="179" t="s">
        <v>1748</v>
      </c>
      <c r="C339" s="179" t="s">
        <v>1749</v>
      </c>
      <c r="AB339" s="182"/>
      <c r="AC339" s="182"/>
      <c r="AD339" s="182"/>
    </row>
    <row r="340" spans="1:30">
      <c r="B340" s="179" t="s">
        <v>1750</v>
      </c>
      <c r="C340" s="179" t="s">
        <v>1751</v>
      </c>
      <c r="AB340" s="182"/>
      <c r="AC340" s="182"/>
      <c r="AD340" s="182"/>
    </row>
    <row r="341" spans="1:30">
      <c r="F341" s="179"/>
      <c r="G341" s="179"/>
      <c r="H341" s="179"/>
      <c r="I341" s="179"/>
      <c r="J341" s="179"/>
      <c r="K341" s="179"/>
      <c r="L341" s="179"/>
      <c r="M341" s="179"/>
      <c r="N341" s="179"/>
      <c r="O341" s="179"/>
      <c r="P341" s="179"/>
    </row>
    <row r="342" spans="1:30" s="157" customFormat="1" ht="15.75">
      <c r="A342" s="157" t="s">
        <v>1752</v>
      </c>
      <c r="D342" s="158"/>
      <c r="AB342" s="159"/>
      <c r="AC342" s="159"/>
      <c r="AD342" s="159"/>
    </row>
    <row r="343" spans="1:30">
      <c r="B343" s="179" t="s">
        <v>1753</v>
      </c>
      <c r="C343" s="179" t="s">
        <v>1754</v>
      </c>
      <c r="D343" s="179" t="s">
        <v>1136</v>
      </c>
      <c r="AB343" s="162" t="s">
        <v>879</v>
      </c>
      <c r="AC343" s="161" t="s">
        <v>880</v>
      </c>
      <c r="AD343" s="161"/>
    </row>
    <row r="344" spans="1:30">
      <c r="B344" s="179" t="s">
        <v>1755</v>
      </c>
      <c r="C344" s="179" t="s">
        <v>1756</v>
      </c>
      <c r="D344" s="179" t="s">
        <v>1136</v>
      </c>
      <c r="AB344" s="161"/>
      <c r="AC344" s="161"/>
      <c r="AD344" s="161"/>
    </row>
    <row r="345" spans="1:30">
      <c r="F345" s="179"/>
      <c r="G345" s="179"/>
      <c r="H345" s="179"/>
      <c r="I345" s="179"/>
      <c r="J345" s="179"/>
      <c r="K345" s="179"/>
      <c r="L345" s="179"/>
      <c r="M345" s="179"/>
      <c r="N345" s="179"/>
      <c r="O345" s="179"/>
      <c r="P345" s="179"/>
    </row>
    <row r="346" spans="1:30" s="157" customFormat="1" ht="15.75">
      <c r="A346" s="157" t="s">
        <v>1757</v>
      </c>
      <c r="D346" s="158"/>
      <c r="AB346" s="159"/>
      <c r="AC346" s="159"/>
      <c r="AD346" s="159"/>
    </row>
    <row r="347" spans="1:30">
      <c r="B347" s="179" t="s">
        <v>1758</v>
      </c>
      <c r="C347" s="179" t="s">
        <v>1759</v>
      </c>
      <c r="D347" s="179" t="s">
        <v>1136</v>
      </c>
      <c r="AB347" s="162" t="s">
        <v>1046</v>
      </c>
    </row>
    <row r="348" spans="1:30">
      <c r="B348" s="179" t="s">
        <v>1760</v>
      </c>
      <c r="C348" s="179" t="s">
        <v>1761</v>
      </c>
      <c r="D348" s="179" t="s">
        <v>1136</v>
      </c>
      <c r="AB348" s="162" t="s">
        <v>1020</v>
      </c>
    </row>
    <row r="349" spans="1:30">
      <c r="B349" s="179" t="s">
        <v>1762</v>
      </c>
      <c r="C349" s="179" t="s">
        <v>1763</v>
      </c>
      <c r="D349" s="179" t="s">
        <v>1136</v>
      </c>
    </row>
    <row r="350" spans="1:30">
      <c r="B350" s="179" t="s">
        <v>1764</v>
      </c>
      <c r="C350" s="179" t="s">
        <v>1765</v>
      </c>
      <c r="AB350" s="162" t="s">
        <v>958</v>
      </c>
    </row>
    <row r="351" spans="1:30">
      <c r="B351" s="179" t="s">
        <v>2388</v>
      </c>
      <c r="C351" s="179" t="s">
        <v>2389</v>
      </c>
      <c r="AB351" s="1" t="s">
        <v>2301</v>
      </c>
    </row>
    <row r="352" spans="1:30">
      <c r="B352" s="179" t="s">
        <v>580</v>
      </c>
      <c r="C352" s="179" t="s">
        <v>1766</v>
      </c>
      <c r="D352" s="179" t="s">
        <v>1136</v>
      </c>
      <c r="AB352" s="162" t="s">
        <v>743</v>
      </c>
      <c r="AC352" s="162" t="s">
        <v>744</v>
      </c>
    </row>
    <row r="353" spans="1:30">
      <c r="B353" s="179" t="s">
        <v>1767</v>
      </c>
      <c r="C353" s="179" t="s">
        <v>1768</v>
      </c>
    </row>
    <row r="354" spans="1:30">
      <c r="B354" s="179" t="s">
        <v>1769</v>
      </c>
      <c r="C354" s="179" t="s">
        <v>1770</v>
      </c>
      <c r="D354" s="179" t="s">
        <v>1136</v>
      </c>
      <c r="AB354" s="162" t="s">
        <v>745</v>
      </c>
    </row>
    <row r="355" spans="1:30">
      <c r="B355" s="179" t="s">
        <v>1771</v>
      </c>
      <c r="C355" s="179" t="s">
        <v>1772</v>
      </c>
      <c r="Q355" s="179" t="e">
        <f>F210/F212-F211</f>
        <v>#DIV/0!</v>
      </c>
      <c r="R355" s="179" t="e">
        <f t="shared" ref="R355:Z355" si="22">G210/G212-G211</f>
        <v>#DIV/0!</v>
      </c>
      <c r="S355" s="179" t="e">
        <f t="shared" si="22"/>
        <v>#DIV/0!</v>
      </c>
      <c r="T355" s="179" t="e">
        <f t="shared" si="22"/>
        <v>#DIV/0!</v>
      </c>
      <c r="U355" s="179" t="e">
        <f t="shared" si="22"/>
        <v>#DIV/0!</v>
      </c>
      <c r="V355" s="179" t="e">
        <f t="shared" si="22"/>
        <v>#DIV/0!</v>
      </c>
      <c r="W355" s="179" t="e">
        <f t="shared" si="22"/>
        <v>#DIV/0!</v>
      </c>
      <c r="X355" s="179" t="e">
        <f t="shared" si="22"/>
        <v>#DIV/0!</v>
      </c>
      <c r="Y355" s="179" t="e">
        <f t="shared" si="22"/>
        <v>#DIV/0!</v>
      </c>
      <c r="Z355" s="179" t="e">
        <f t="shared" si="22"/>
        <v>#DIV/0!</v>
      </c>
      <c r="AA355" s="170" t="s">
        <v>1773</v>
      </c>
      <c r="AB355" s="162" t="s">
        <v>959</v>
      </c>
    </row>
    <row r="356" spans="1:30">
      <c r="B356" s="179" t="s">
        <v>723</v>
      </c>
      <c r="C356" s="179" t="s">
        <v>1774</v>
      </c>
      <c r="D356" s="179" t="s">
        <v>1136</v>
      </c>
      <c r="AB356" s="162" t="s">
        <v>895</v>
      </c>
    </row>
    <row r="357" spans="1:30">
      <c r="F357" s="179"/>
      <c r="G357" s="179"/>
      <c r="H357" s="179"/>
      <c r="I357" s="179"/>
      <c r="J357" s="179"/>
      <c r="K357" s="179"/>
      <c r="L357" s="179"/>
      <c r="M357" s="179"/>
      <c r="N357" s="179"/>
      <c r="O357" s="179"/>
      <c r="P357" s="179"/>
    </row>
    <row r="358" spans="1:30" s="157" customFormat="1" ht="15.75">
      <c r="A358" s="157" t="s">
        <v>1775</v>
      </c>
      <c r="D358" s="158"/>
      <c r="AB358" s="159"/>
      <c r="AC358" s="159"/>
      <c r="AD358" s="159"/>
    </row>
    <row r="359" spans="1:30">
      <c r="B359" s="179" t="s">
        <v>1776</v>
      </c>
      <c r="C359" s="179" t="s">
        <v>1777</v>
      </c>
      <c r="D359" s="179" t="s">
        <v>1136</v>
      </c>
      <c r="AB359" s="162" t="s">
        <v>889</v>
      </c>
    </row>
    <row r="360" spans="1:30">
      <c r="B360" s="179" t="s">
        <v>1778</v>
      </c>
      <c r="C360" s="179" t="s">
        <v>1779</v>
      </c>
      <c r="D360" s="179" t="s">
        <v>1136</v>
      </c>
    </row>
    <row r="361" spans="1:30">
      <c r="B361" s="179" t="s">
        <v>1780</v>
      </c>
      <c r="C361" s="179" t="s">
        <v>1781</v>
      </c>
      <c r="D361" s="179" t="s">
        <v>1136</v>
      </c>
    </row>
    <row r="362" spans="1:30">
      <c r="B362" s="179" t="s">
        <v>1782</v>
      </c>
      <c r="C362" s="179" t="s">
        <v>1783</v>
      </c>
      <c r="D362" s="179" t="s">
        <v>1136</v>
      </c>
      <c r="AB362" s="162" t="s">
        <v>738</v>
      </c>
    </row>
    <row r="363" spans="1:30">
      <c r="B363" s="179" t="s">
        <v>1784</v>
      </c>
      <c r="C363" s="179" t="s">
        <v>1785</v>
      </c>
      <c r="D363" s="179" t="s">
        <v>1136</v>
      </c>
    </row>
    <row r="364" spans="1:30">
      <c r="B364" s="179" t="s">
        <v>1786</v>
      </c>
      <c r="C364" s="179" t="s">
        <v>1787</v>
      </c>
      <c r="D364" s="179" t="s">
        <v>1136</v>
      </c>
    </row>
    <row r="365" spans="1:30">
      <c r="B365" s="179" t="s">
        <v>1788</v>
      </c>
      <c r="C365" s="179" t="s">
        <v>1789</v>
      </c>
      <c r="D365" s="179" t="s">
        <v>1136</v>
      </c>
    </row>
    <row r="366" spans="1:30">
      <c r="B366" s="179" t="s">
        <v>1790</v>
      </c>
      <c r="C366" s="179" t="s">
        <v>1791</v>
      </c>
      <c r="D366" s="179" t="s">
        <v>1136</v>
      </c>
    </row>
    <row r="367" spans="1:30">
      <c r="B367" s="179" t="s">
        <v>1792</v>
      </c>
      <c r="C367" s="179" t="s">
        <v>1793</v>
      </c>
      <c r="D367" s="179" t="s">
        <v>1136</v>
      </c>
    </row>
    <row r="368" spans="1:30">
      <c r="B368" s="179" t="s">
        <v>1794</v>
      </c>
      <c r="C368" s="179" t="s">
        <v>1795</v>
      </c>
      <c r="D368" s="179" t="s">
        <v>1136</v>
      </c>
    </row>
    <row r="369" spans="1:30">
      <c r="B369" s="179" t="s">
        <v>1796</v>
      </c>
      <c r="C369" s="179" t="s">
        <v>1797</v>
      </c>
      <c r="D369" s="179" t="s">
        <v>1136</v>
      </c>
    </row>
    <row r="370" spans="1:30">
      <c r="B370" s="179" t="s">
        <v>1798</v>
      </c>
      <c r="C370" s="179" t="s">
        <v>1799</v>
      </c>
      <c r="D370" s="179" t="s">
        <v>1136</v>
      </c>
      <c r="AB370" s="162" t="s">
        <v>608</v>
      </c>
    </row>
    <row r="371" spans="1:30">
      <c r="B371" s="179" t="s">
        <v>1800</v>
      </c>
      <c r="C371" s="179" t="s">
        <v>1801</v>
      </c>
      <c r="D371" s="179" t="s">
        <v>1136</v>
      </c>
      <c r="AB371" s="162" t="s">
        <v>609</v>
      </c>
    </row>
    <row r="372" spans="1:30">
      <c r="B372" s="179" t="s">
        <v>1802</v>
      </c>
      <c r="C372" s="179" t="s">
        <v>1803</v>
      </c>
      <c r="D372" s="179" t="s">
        <v>1136</v>
      </c>
      <c r="AB372" s="162" t="s">
        <v>605</v>
      </c>
      <c r="AC372" s="162" t="s">
        <v>600</v>
      </c>
    </row>
    <row r="373" spans="1:30">
      <c r="B373" s="179" t="s">
        <v>1804</v>
      </c>
      <c r="C373" s="179" t="s">
        <v>1805</v>
      </c>
      <c r="D373" s="179" t="s">
        <v>1136</v>
      </c>
    </row>
    <row r="374" spans="1:30">
      <c r="B374" s="179" t="s">
        <v>1806</v>
      </c>
      <c r="C374" s="179" t="s">
        <v>1807</v>
      </c>
      <c r="D374" s="179" t="s">
        <v>1136</v>
      </c>
    </row>
    <row r="375" spans="1:30">
      <c r="F375" s="179"/>
      <c r="G375" s="179"/>
      <c r="H375" s="179"/>
      <c r="I375" s="179"/>
      <c r="J375" s="179"/>
      <c r="K375" s="179"/>
      <c r="L375" s="179"/>
      <c r="M375" s="179"/>
      <c r="N375" s="179"/>
      <c r="O375" s="179"/>
      <c r="P375" s="179"/>
    </row>
    <row r="376" spans="1:30" s="157" customFormat="1" ht="15.75">
      <c r="A376" s="157" t="s">
        <v>1808</v>
      </c>
      <c r="D376" s="158"/>
      <c r="AB376" s="159"/>
      <c r="AC376" s="159"/>
      <c r="AD376" s="159"/>
    </row>
    <row r="377" spans="1:30">
      <c r="B377" s="179" t="s">
        <v>1809</v>
      </c>
      <c r="C377" s="179" t="s">
        <v>1810</v>
      </c>
      <c r="D377" s="179" t="s">
        <v>1136</v>
      </c>
      <c r="AB377" s="162" t="s">
        <v>713</v>
      </c>
    </row>
    <row r="378" spans="1:30">
      <c r="B378" s="179" t="s">
        <v>1811</v>
      </c>
      <c r="C378" s="179" t="s">
        <v>1812</v>
      </c>
      <c r="D378" s="179" t="s">
        <v>1136</v>
      </c>
      <c r="AB378" s="162" t="s">
        <v>714</v>
      </c>
    </row>
    <row r="379" spans="1:30">
      <c r="B379" s="179" t="s">
        <v>1813</v>
      </c>
      <c r="C379" s="179" t="s">
        <v>1814</v>
      </c>
      <c r="D379" s="179" t="s">
        <v>1136</v>
      </c>
      <c r="AB379" s="162" t="s">
        <v>878</v>
      </c>
    </row>
    <row r="380" spans="1:30">
      <c r="B380" s="179" t="s">
        <v>1815</v>
      </c>
      <c r="C380" s="179" t="s">
        <v>1816</v>
      </c>
      <c r="D380" s="179" t="s">
        <v>1136</v>
      </c>
      <c r="AB380" s="162" t="s">
        <v>2241</v>
      </c>
    </row>
    <row r="381" spans="1:30">
      <c r="B381" s="179" t="s">
        <v>1817</v>
      </c>
      <c r="C381" s="179" t="s">
        <v>1818</v>
      </c>
      <c r="D381" s="179" t="s">
        <v>1136</v>
      </c>
    </row>
    <row r="382" spans="1:30">
      <c r="B382" s="179" t="s">
        <v>1819</v>
      </c>
      <c r="C382" s="179" t="s">
        <v>1820</v>
      </c>
      <c r="D382" s="179" t="s">
        <v>1136</v>
      </c>
      <c r="AB382" s="162" t="s">
        <v>686</v>
      </c>
    </row>
    <row r="383" spans="1:30">
      <c r="F383" s="179"/>
      <c r="G383" s="179"/>
      <c r="H383" s="179"/>
      <c r="I383" s="179"/>
      <c r="J383" s="179"/>
      <c r="K383" s="179"/>
      <c r="L383" s="179"/>
      <c r="M383" s="179"/>
      <c r="N383" s="179"/>
      <c r="O383" s="179"/>
      <c r="P383" s="179"/>
    </row>
    <row r="384" spans="1:30" s="157" customFormat="1" ht="15.75">
      <c r="A384" s="157" t="s">
        <v>1821</v>
      </c>
      <c r="D384" s="158"/>
      <c r="AB384" s="159"/>
      <c r="AC384" s="159"/>
      <c r="AD384" s="159"/>
    </row>
    <row r="385" spans="1:30">
      <c r="B385" s="179" t="s">
        <v>1822</v>
      </c>
      <c r="C385" s="179" t="s">
        <v>1823</v>
      </c>
      <c r="D385" s="179" t="s">
        <v>1136</v>
      </c>
      <c r="AB385" s="162" t="s">
        <v>923</v>
      </c>
    </row>
    <row r="386" spans="1:30">
      <c r="B386" s="179" t="s">
        <v>1824</v>
      </c>
      <c r="C386" s="179" t="s">
        <v>1825</v>
      </c>
      <c r="Q386" s="192"/>
      <c r="R386" s="192"/>
      <c r="S386" s="192"/>
      <c r="T386" s="192"/>
      <c r="U386" s="192"/>
      <c r="V386" s="192"/>
      <c r="W386" s="192"/>
      <c r="X386" s="192"/>
      <c r="Y386" s="192"/>
      <c r="Z386" s="192"/>
      <c r="AA386" s="192"/>
      <c r="AB386" s="162" t="s">
        <v>238</v>
      </c>
      <c r="AC386" s="162"/>
    </row>
    <row r="387" spans="1:30">
      <c r="B387" s="179" t="s">
        <v>1826</v>
      </c>
      <c r="C387" s="179" t="s">
        <v>1827</v>
      </c>
      <c r="D387" s="179" t="s">
        <v>1136</v>
      </c>
      <c r="AB387" s="162" t="s">
        <v>946</v>
      </c>
      <c r="AC387" s="162" t="s">
        <v>945</v>
      </c>
      <c r="AD387" s="162"/>
    </row>
    <row r="388" spans="1:30">
      <c r="B388" s="179" t="s">
        <v>1828</v>
      </c>
      <c r="C388" s="179" t="s">
        <v>1829</v>
      </c>
      <c r="Q388" s="174" t="e">
        <f>-F15/F241-F242</f>
        <v>#DIV/0!</v>
      </c>
      <c r="R388" s="174" t="e">
        <f t="shared" ref="R388:Z388" si="23">-G15/G241-G242</f>
        <v>#DIV/0!</v>
      </c>
      <c r="S388" s="174" t="e">
        <f t="shared" si="23"/>
        <v>#DIV/0!</v>
      </c>
      <c r="T388" s="174" t="e">
        <f t="shared" si="23"/>
        <v>#DIV/0!</v>
      </c>
      <c r="U388" s="174" t="e">
        <f t="shared" si="23"/>
        <v>#DIV/0!</v>
      </c>
      <c r="V388" s="174" t="e">
        <f t="shared" si="23"/>
        <v>#DIV/0!</v>
      </c>
      <c r="W388" s="174" t="e">
        <f t="shared" si="23"/>
        <v>#DIV/0!</v>
      </c>
      <c r="X388" s="174" t="e">
        <f t="shared" si="23"/>
        <v>#DIV/0!</v>
      </c>
      <c r="Y388" s="174" t="e">
        <f t="shared" si="23"/>
        <v>#DIV/0!</v>
      </c>
      <c r="Z388" s="174" t="e">
        <f t="shared" si="23"/>
        <v>#DIV/0!</v>
      </c>
      <c r="AA388" s="170" t="s">
        <v>1830</v>
      </c>
      <c r="AB388" s="162" t="s">
        <v>239</v>
      </c>
      <c r="AC388" s="162"/>
    </row>
    <row r="389" spans="1:30">
      <c r="B389" s="179" t="s">
        <v>1831</v>
      </c>
      <c r="C389" s="179" t="s">
        <v>1832</v>
      </c>
      <c r="Q389" s="174">
        <f>F239-F242-F243</f>
        <v>0</v>
      </c>
      <c r="R389" s="174">
        <f t="shared" ref="R389:Z389" si="24">G239-G242-G243</f>
        <v>0</v>
      </c>
      <c r="S389" s="174">
        <f t="shared" si="24"/>
        <v>0</v>
      </c>
      <c r="T389" s="174">
        <f t="shared" si="24"/>
        <v>0</v>
      </c>
      <c r="U389" s="174">
        <f t="shared" si="24"/>
        <v>0</v>
      </c>
      <c r="V389" s="174">
        <f t="shared" si="24"/>
        <v>0</v>
      </c>
      <c r="W389" s="174">
        <f t="shared" si="24"/>
        <v>0</v>
      </c>
      <c r="X389" s="174">
        <f t="shared" si="24"/>
        <v>0</v>
      </c>
      <c r="Y389" s="174">
        <f t="shared" si="24"/>
        <v>0</v>
      </c>
      <c r="Z389" s="174">
        <f t="shared" si="24"/>
        <v>0</v>
      </c>
      <c r="AA389" s="170" t="s">
        <v>1833</v>
      </c>
    </row>
    <row r="390" spans="1:30">
      <c r="B390" s="179" t="s">
        <v>531</v>
      </c>
      <c r="C390" s="179" t="s">
        <v>1834</v>
      </c>
      <c r="AB390" s="162" t="s">
        <v>927</v>
      </c>
    </row>
    <row r="391" spans="1:30">
      <c r="F391" s="179"/>
      <c r="G391" s="179"/>
      <c r="H391" s="179"/>
      <c r="I391" s="179"/>
      <c r="J391" s="179"/>
      <c r="K391" s="179"/>
      <c r="L391" s="179"/>
      <c r="M391" s="179"/>
      <c r="N391" s="179"/>
      <c r="O391" s="179"/>
      <c r="P391" s="179"/>
    </row>
    <row r="392" spans="1:30" s="157" customFormat="1" ht="15.75">
      <c r="A392" s="157" t="s">
        <v>1835</v>
      </c>
      <c r="D392" s="158"/>
      <c r="AB392" s="159"/>
      <c r="AC392" s="159"/>
      <c r="AD392" s="159"/>
    </row>
    <row r="393" spans="1:30">
      <c r="B393" s="179" t="s">
        <v>1836</v>
      </c>
      <c r="C393" s="179" t="s">
        <v>1837</v>
      </c>
      <c r="D393" s="179" t="s">
        <v>1136</v>
      </c>
      <c r="AB393" s="162" t="s">
        <v>620</v>
      </c>
      <c r="AC393" s="161"/>
      <c r="AD393" s="161"/>
    </row>
    <row r="394" spans="1:30">
      <c r="B394" s="179" t="s">
        <v>1838</v>
      </c>
      <c r="C394" s="179" t="s">
        <v>1839</v>
      </c>
      <c r="D394" s="179" t="s">
        <v>1136</v>
      </c>
      <c r="AB394" s="162" t="s">
        <v>621</v>
      </c>
      <c r="AC394" s="161"/>
      <c r="AD394" s="161"/>
    </row>
    <row r="395" spans="1:30">
      <c r="B395" s="179" t="s">
        <v>1840</v>
      </c>
      <c r="C395" s="179" t="s">
        <v>1841</v>
      </c>
      <c r="D395" s="179" t="s">
        <v>1136</v>
      </c>
      <c r="AB395" s="162"/>
      <c r="AC395" s="161"/>
      <c r="AD395" s="161"/>
    </row>
    <row r="396" spans="1:30">
      <c r="B396" s="179" t="s">
        <v>1842</v>
      </c>
      <c r="C396" s="179" t="s">
        <v>1843</v>
      </c>
      <c r="D396" s="179" t="s">
        <v>1136</v>
      </c>
      <c r="AB396" s="162" t="s">
        <v>1056</v>
      </c>
      <c r="AC396" s="161"/>
      <c r="AD396" s="161"/>
    </row>
    <row r="397" spans="1:30">
      <c r="F397" s="179"/>
      <c r="G397" s="179"/>
      <c r="H397" s="179"/>
      <c r="I397" s="179"/>
      <c r="J397" s="179"/>
      <c r="K397" s="179"/>
      <c r="L397" s="179"/>
      <c r="M397" s="179"/>
      <c r="N397" s="179"/>
      <c r="O397" s="179"/>
      <c r="P397" s="179"/>
    </row>
    <row r="398" spans="1:30" s="157" customFormat="1" ht="15.75">
      <c r="A398" s="157" t="s">
        <v>1844</v>
      </c>
      <c r="D398" s="158"/>
      <c r="AB398" s="159"/>
      <c r="AC398" s="159"/>
      <c r="AD398" s="159"/>
    </row>
    <row r="399" spans="1:30">
      <c r="B399" s="179" t="s">
        <v>1845</v>
      </c>
      <c r="C399" s="179" t="s">
        <v>1846</v>
      </c>
      <c r="D399" s="179" t="s">
        <v>1136</v>
      </c>
      <c r="AB399" s="161"/>
      <c r="AC399" s="161"/>
      <c r="AD399" s="161"/>
    </row>
    <row r="400" spans="1:30">
      <c r="B400" s="179" t="s">
        <v>1847</v>
      </c>
      <c r="C400" s="179" t="s">
        <v>1848</v>
      </c>
      <c r="D400" s="179" t="s">
        <v>1136</v>
      </c>
      <c r="AB400" s="161"/>
      <c r="AC400" s="161"/>
      <c r="AD400" s="161"/>
    </row>
    <row r="401" spans="1:30">
      <c r="B401" s="179" t="s">
        <v>1849</v>
      </c>
      <c r="C401" s="179" t="s">
        <v>1850</v>
      </c>
      <c r="D401" s="179" t="s">
        <v>1136</v>
      </c>
      <c r="AB401" s="161"/>
      <c r="AC401" s="161"/>
      <c r="AD401" s="161"/>
    </row>
    <row r="402" spans="1:30">
      <c r="B402" s="179" t="s">
        <v>1851</v>
      </c>
      <c r="C402" s="179" t="s">
        <v>1852</v>
      </c>
      <c r="AB402" s="182"/>
      <c r="AC402" s="182"/>
      <c r="AD402" s="182"/>
    </row>
    <row r="403" spans="1:30">
      <c r="B403" s="179" t="s">
        <v>1853</v>
      </c>
      <c r="C403" s="179" t="s">
        <v>1854</v>
      </c>
      <c r="D403" s="179" t="s">
        <v>1136</v>
      </c>
      <c r="AB403" s="161"/>
      <c r="AC403" s="161"/>
      <c r="AD403" s="161"/>
    </row>
    <row r="404" spans="1:30">
      <c r="F404" s="179"/>
      <c r="G404" s="179"/>
      <c r="H404" s="179"/>
      <c r="I404" s="179"/>
      <c r="J404" s="179"/>
      <c r="K404" s="179"/>
      <c r="L404" s="179"/>
      <c r="M404" s="179"/>
      <c r="N404" s="179"/>
      <c r="O404" s="179"/>
      <c r="P404" s="179"/>
    </row>
    <row r="405" spans="1:30" s="157" customFormat="1" ht="15.75">
      <c r="A405" s="157" t="s">
        <v>1855</v>
      </c>
      <c r="D405" s="158"/>
      <c r="AB405" s="159"/>
      <c r="AC405" s="159"/>
      <c r="AD405" s="159"/>
    </row>
    <row r="406" spans="1:30">
      <c r="B406" s="179" t="s">
        <v>1856</v>
      </c>
      <c r="C406" s="179" t="s">
        <v>1857</v>
      </c>
      <c r="D406" s="179" t="s">
        <v>1136</v>
      </c>
    </row>
    <row r="407" spans="1:30">
      <c r="B407" s="179" t="s">
        <v>1858</v>
      </c>
      <c r="C407" s="179" t="s">
        <v>1859</v>
      </c>
      <c r="D407" s="179" t="s">
        <v>1136</v>
      </c>
    </row>
    <row r="408" spans="1:30">
      <c r="B408" s="179" t="s">
        <v>1860</v>
      </c>
      <c r="C408" s="179" t="s">
        <v>1861</v>
      </c>
      <c r="D408" s="179" t="s">
        <v>1136</v>
      </c>
    </row>
    <row r="409" spans="1:30">
      <c r="B409" s="179" t="s">
        <v>1862</v>
      </c>
      <c r="C409" s="179" t="s">
        <v>1863</v>
      </c>
      <c r="D409" s="179" t="s">
        <v>1136</v>
      </c>
    </row>
    <row r="410" spans="1:30">
      <c r="B410" s="179" t="s">
        <v>1864</v>
      </c>
      <c r="C410" s="179" t="s">
        <v>1865</v>
      </c>
      <c r="D410" s="179" t="s">
        <v>1136</v>
      </c>
    </row>
    <row r="411" spans="1:30">
      <c r="B411" s="179" t="s">
        <v>1866</v>
      </c>
      <c r="C411" s="179" t="s">
        <v>1867</v>
      </c>
      <c r="D411" s="179" t="s">
        <v>1136</v>
      </c>
    </row>
    <row r="412" spans="1:30">
      <c r="B412" s="179" t="s">
        <v>1868</v>
      </c>
      <c r="C412" s="179" t="s">
        <v>1869</v>
      </c>
      <c r="D412" s="179" t="s">
        <v>1136</v>
      </c>
    </row>
    <row r="413" spans="1:30">
      <c r="B413" s="179" t="s">
        <v>639</v>
      </c>
      <c r="C413" s="179" t="s">
        <v>1870</v>
      </c>
      <c r="D413" s="179" t="s">
        <v>1136</v>
      </c>
      <c r="AB413" s="162" t="s">
        <v>813</v>
      </c>
    </row>
    <row r="414" spans="1:30">
      <c r="B414" s="179" t="s">
        <v>1871</v>
      </c>
      <c r="C414" s="179" t="s">
        <v>1872</v>
      </c>
    </row>
    <row r="415" spans="1:30">
      <c r="B415" s="179" t="s">
        <v>1873</v>
      </c>
      <c r="C415" s="179" t="s">
        <v>1874</v>
      </c>
    </row>
    <row r="416" spans="1:30">
      <c r="B416" s="179" t="s">
        <v>1875</v>
      </c>
      <c r="C416" s="179" t="s">
        <v>1876</v>
      </c>
    </row>
    <row r="417" spans="1:30">
      <c r="B417" s="179" t="s">
        <v>1877</v>
      </c>
      <c r="C417" s="179" t="s">
        <v>1878</v>
      </c>
    </row>
    <row r="418" spans="1:30">
      <c r="B418" s="179" t="s">
        <v>1879</v>
      </c>
      <c r="C418" s="179" t="s">
        <v>1880</v>
      </c>
    </row>
    <row r="419" spans="1:30">
      <c r="B419" s="179" t="s">
        <v>1881</v>
      </c>
      <c r="C419" s="179" t="s">
        <v>1882</v>
      </c>
    </row>
    <row r="420" spans="1:30">
      <c r="B420" s="179" t="s">
        <v>1883</v>
      </c>
      <c r="C420" s="179" t="s">
        <v>1884</v>
      </c>
    </row>
    <row r="421" spans="1:30">
      <c r="F421" s="179"/>
      <c r="G421" s="179"/>
      <c r="H421" s="179"/>
      <c r="I421" s="179"/>
      <c r="J421" s="179"/>
      <c r="K421" s="179"/>
      <c r="L421" s="179"/>
      <c r="M421" s="179"/>
      <c r="N421" s="179"/>
      <c r="O421" s="179"/>
      <c r="P421" s="179"/>
    </row>
    <row r="422" spans="1:30" s="157" customFormat="1" ht="15.75">
      <c r="A422" s="157" t="s">
        <v>1885</v>
      </c>
      <c r="D422" s="158"/>
      <c r="AB422" s="159"/>
      <c r="AC422" s="159"/>
      <c r="AD422" s="159"/>
    </row>
    <row r="423" spans="1:30">
      <c r="B423" s="179" t="s">
        <v>1886</v>
      </c>
      <c r="C423" s="179" t="s">
        <v>1887</v>
      </c>
      <c r="D423" s="179" t="s">
        <v>1136</v>
      </c>
      <c r="AB423" s="161"/>
      <c r="AC423" s="161"/>
      <c r="AD423" s="161"/>
    </row>
    <row r="424" spans="1:30">
      <c r="B424" s="179" t="s">
        <v>1888</v>
      </c>
      <c r="C424" s="179" t="s">
        <v>1889</v>
      </c>
      <c r="D424" s="179" t="s">
        <v>1136</v>
      </c>
      <c r="AB424" s="161"/>
      <c r="AC424" s="161"/>
      <c r="AD424" s="161"/>
    </row>
    <row r="425" spans="1:30">
      <c r="B425" s="179" t="s">
        <v>1890</v>
      </c>
      <c r="C425" s="179" t="s">
        <v>1891</v>
      </c>
      <c r="D425" s="179" t="s">
        <v>1136</v>
      </c>
      <c r="AB425" s="161"/>
      <c r="AC425" s="161"/>
      <c r="AD425" s="161"/>
    </row>
    <row r="426" spans="1:30">
      <c r="B426" s="179" t="s">
        <v>1892</v>
      </c>
      <c r="C426" s="179" t="s">
        <v>1893</v>
      </c>
      <c r="D426" s="179" t="s">
        <v>1136</v>
      </c>
      <c r="AB426" s="161"/>
      <c r="AC426" s="161"/>
      <c r="AD426" s="161"/>
    </row>
    <row r="427" spans="1:30">
      <c r="B427" s="179" t="s">
        <v>1894</v>
      </c>
      <c r="C427" s="179" t="s">
        <v>1895</v>
      </c>
      <c r="D427" s="179" t="s">
        <v>1136</v>
      </c>
      <c r="AB427" s="161"/>
      <c r="AC427" s="161"/>
      <c r="AD427" s="161"/>
    </row>
    <row r="428" spans="1:30">
      <c r="B428" s="179" t="s">
        <v>1896</v>
      </c>
      <c r="C428" s="179" t="s">
        <v>1897</v>
      </c>
      <c r="D428" s="179" t="s">
        <v>1136</v>
      </c>
      <c r="AB428" s="161"/>
      <c r="AC428" s="161"/>
      <c r="AD428" s="161"/>
    </row>
    <row r="429" spans="1:30">
      <c r="B429" s="179" t="s">
        <v>1898</v>
      </c>
      <c r="C429" s="179" t="s">
        <v>1899</v>
      </c>
      <c r="D429" s="179" t="s">
        <v>1136</v>
      </c>
      <c r="AB429" s="161"/>
      <c r="AC429" s="161"/>
      <c r="AD429" s="161"/>
    </row>
    <row r="430" spans="1:30">
      <c r="B430" s="179" t="s">
        <v>1900</v>
      </c>
      <c r="C430" s="179" t="s">
        <v>1901</v>
      </c>
      <c r="D430" s="179" t="s">
        <v>1136</v>
      </c>
      <c r="AB430" s="161"/>
      <c r="AC430" s="161"/>
      <c r="AD430" s="161"/>
    </row>
    <row r="431" spans="1:30">
      <c r="B431" s="179" t="s">
        <v>1902</v>
      </c>
      <c r="C431" s="179" t="s">
        <v>1903</v>
      </c>
      <c r="AB431" s="182"/>
      <c r="AC431" s="182"/>
      <c r="AD431" s="182"/>
    </row>
    <row r="432" spans="1:30">
      <c r="B432" s="179" t="s">
        <v>1904</v>
      </c>
      <c r="C432" s="179" t="s">
        <v>1905</v>
      </c>
      <c r="AB432" s="182"/>
      <c r="AC432" s="182"/>
      <c r="AD432" s="182"/>
    </row>
    <row r="433" spans="1:30">
      <c r="B433" s="179" t="s">
        <v>1906</v>
      </c>
      <c r="C433" s="179" t="s">
        <v>1907</v>
      </c>
      <c r="AB433" s="182"/>
      <c r="AC433" s="182"/>
      <c r="AD433" s="182"/>
    </row>
    <row r="434" spans="1:30">
      <c r="B434" s="179" t="s">
        <v>1908</v>
      </c>
      <c r="C434" s="179" t="s">
        <v>1909</v>
      </c>
      <c r="AB434" s="182"/>
      <c r="AC434" s="182"/>
      <c r="AD434" s="182"/>
    </row>
    <row r="435" spans="1:30">
      <c r="B435" s="179" t="s">
        <v>1910</v>
      </c>
      <c r="C435" s="179" t="s">
        <v>1911</v>
      </c>
      <c r="AB435" s="182"/>
      <c r="AC435" s="182"/>
      <c r="AD435" s="182"/>
    </row>
    <row r="436" spans="1:30">
      <c r="B436" s="179" t="s">
        <v>1912</v>
      </c>
      <c r="C436" s="179" t="s">
        <v>1913</v>
      </c>
      <c r="AB436" s="182"/>
      <c r="AC436" s="182"/>
      <c r="AD436" s="182"/>
    </row>
    <row r="437" spans="1:30">
      <c r="B437" s="179" t="s">
        <v>1914</v>
      </c>
      <c r="C437" s="179" t="s">
        <v>1915</v>
      </c>
      <c r="AB437" s="182"/>
      <c r="AC437" s="182"/>
      <c r="AD437" s="182"/>
    </row>
    <row r="438" spans="1:30">
      <c r="F438" s="179"/>
      <c r="G438" s="179"/>
      <c r="H438" s="179"/>
      <c r="I438" s="179"/>
      <c r="J438" s="179"/>
      <c r="K438" s="179"/>
      <c r="L438" s="179"/>
      <c r="M438" s="179"/>
      <c r="N438" s="179"/>
      <c r="O438" s="179"/>
      <c r="P438" s="179"/>
    </row>
    <row r="439" spans="1:30" s="157" customFormat="1" ht="15.75">
      <c r="A439" s="157" t="s">
        <v>1916</v>
      </c>
      <c r="D439" s="158"/>
      <c r="AB439" s="159"/>
      <c r="AC439" s="159"/>
      <c r="AD439" s="159"/>
    </row>
    <row r="440" spans="1:30">
      <c r="B440" s="179" t="s">
        <v>1917</v>
      </c>
      <c r="C440" s="179" t="s">
        <v>1918</v>
      </c>
      <c r="D440" s="179" t="s">
        <v>1136</v>
      </c>
      <c r="AB440" s="1"/>
      <c r="AC440" s="161"/>
      <c r="AD440" s="161"/>
    </row>
    <row r="441" spans="1:30">
      <c r="B441" s="179" t="s">
        <v>1919</v>
      </c>
      <c r="C441" s="179" t="s">
        <v>1920</v>
      </c>
      <c r="D441" s="179" t="s">
        <v>1136</v>
      </c>
      <c r="AB441" s="161"/>
      <c r="AC441" s="161"/>
      <c r="AD441" s="161"/>
    </row>
    <row r="442" spans="1:30">
      <c r="B442" s="179" t="s">
        <v>1921</v>
      </c>
      <c r="C442" s="179" t="s">
        <v>1922</v>
      </c>
      <c r="D442" s="179" t="s">
        <v>1136</v>
      </c>
      <c r="AB442" s="161"/>
      <c r="AC442" s="161"/>
      <c r="AD442" s="161"/>
    </row>
    <row r="443" spans="1:30">
      <c r="B443" s="179" t="s">
        <v>1923</v>
      </c>
      <c r="C443" s="179" t="s">
        <v>1924</v>
      </c>
      <c r="D443" s="179" t="s">
        <v>1136</v>
      </c>
      <c r="AB443" s="161"/>
      <c r="AC443" s="161"/>
      <c r="AD443" s="161"/>
    </row>
    <row r="444" spans="1:30">
      <c r="B444" s="179" t="s">
        <v>1925</v>
      </c>
      <c r="C444" s="179" t="s">
        <v>1926</v>
      </c>
      <c r="D444" s="179" t="s">
        <v>1136</v>
      </c>
      <c r="AB444" s="161"/>
      <c r="AC444" s="161"/>
      <c r="AD444" s="161"/>
    </row>
    <row r="445" spans="1:30">
      <c r="B445" s="179" t="s">
        <v>1927</v>
      </c>
      <c r="C445" s="179" t="s">
        <v>1928</v>
      </c>
      <c r="D445" s="179" t="s">
        <v>1136</v>
      </c>
      <c r="AB445" s="1" t="s">
        <v>600</v>
      </c>
      <c r="AC445" s="1" t="s">
        <v>609</v>
      </c>
      <c r="AD445" s="161"/>
    </row>
    <row r="446" spans="1:30">
      <c r="B446" s="179" t="s">
        <v>1929</v>
      </c>
      <c r="C446" s="179" t="s">
        <v>1930</v>
      </c>
      <c r="D446" s="179" t="s">
        <v>1136</v>
      </c>
      <c r="AB446" s="161"/>
      <c r="AC446" s="161"/>
      <c r="AD446" s="161"/>
    </row>
    <row r="447" spans="1:30">
      <c r="B447" s="179" t="s">
        <v>496</v>
      </c>
      <c r="C447" s="179" t="s">
        <v>1931</v>
      </c>
      <c r="D447" s="179" t="s">
        <v>1136</v>
      </c>
      <c r="AB447" s="161"/>
      <c r="AC447" s="161"/>
      <c r="AD447" s="161"/>
    </row>
    <row r="448" spans="1:30">
      <c r="B448" s="179" t="s">
        <v>1932</v>
      </c>
      <c r="C448" s="179" t="s">
        <v>1933</v>
      </c>
      <c r="AB448" s="182"/>
      <c r="AC448" s="182"/>
      <c r="AD448" s="182"/>
    </row>
    <row r="449" spans="1:30">
      <c r="B449" s="179" t="s">
        <v>1934</v>
      </c>
      <c r="C449" s="179" t="s">
        <v>1935</v>
      </c>
      <c r="AB449" s="182"/>
      <c r="AC449" s="182"/>
      <c r="AD449" s="182"/>
    </row>
    <row r="450" spans="1:30">
      <c r="B450" s="179" t="s">
        <v>1936</v>
      </c>
      <c r="C450" s="179" t="s">
        <v>1937</v>
      </c>
      <c r="AB450" s="182"/>
      <c r="AC450" s="182"/>
      <c r="AD450" s="182"/>
    </row>
    <row r="451" spans="1:30">
      <c r="B451" s="179" t="s">
        <v>1938</v>
      </c>
      <c r="C451" s="179" t="s">
        <v>1939</v>
      </c>
      <c r="AB451" s="182"/>
      <c r="AC451" s="182"/>
      <c r="AD451" s="182"/>
    </row>
    <row r="452" spans="1:30">
      <c r="B452" s="179" t="s">
        <v>1940</v>
      </c>
      <c r="C452" s="179" t="s">
        <v>1941</v>
      </c>
      <c r="AB452" s="182"/>
      <c r="AC452" s="182"/>
      <c r="AD452" s="182"/>
    </row>
    <row r="453" spans="1:30">
      <c r="B453" s="179" t="s">
        <v>1942</v>
      </c>
      <c r="C453" s="179" t="s">
        <v>1943</v>
      </c>
      <c r="AB453" s="182"/>
      <c r="AC453" s="182"/>
      <c r="AD453" s="182"/>
    </row>
    <row r="454" spans="1:30">
      <c r="B454" s="179" t="s">
        <v>1944</v>
      </c>
      <c r="C454" s="179" t="s">
        <v>1945</v>
      </c>
      <c r="AB454" s="182"/>
      <c r="AC454" s="182"/>
      <c r="AD454" s="182"/>
    </row>
    <row r="455" spans="1:30">
      <c r="F455" s="179"/>
      <c r="G455" s="179"/>
      <c r="H455" s="179"/>
      <c r="I455" s="179"/>
      <c r="J455" s="179"/>
      <c r="K455" s="179"/>
      <c r="L455" s="179"/>
      <c r="M455" s="179"/>
      <c r="N455" s="179"/>
      <c r="O455" s="179"/>
      <c r="P455" s="179"/>
    </row>
    <row r="456" spans="1:30" s="157" customFormat="1" ht="15.75">
      <c r="A456" s="157" t="s">
        <v>1946</v>
      </c>
      <c r="D456" s="158"/>
      <c r="AB456" s="159"/>
      <c r="AC456" s="159"/>
      <c r="AD456" s="159"/>
    </row>
    <row r="457" spans="1:30">
      <c r="B457" s="179" t="s">
        <v>1947</v>
      </c>
      <c r="C457" s="179" t="s">
        <v>1948</v>
      </c>
      <c r="AB457" s="175"/>
      <c r="AC457" s="175"/>
      <c r="AD457" s="175"/>
    </row>
    <row r="458" spans="1:30">
      <c r="B458" s="179" t="s">
        <v>1949</v>
      </c>
      <c r="C458" s="179" t="s">
        <v>1950</v>
      </c>
      <c r="AB458" s="175"/>
      <c r="AC458" s="175"/>
      <c r="AD458" s="175"/>
    </row>
    <row r="459" spans="1:30">
      <c r="B459" s="179" t="s">
        <v>1951</v>
      </c>
      <c r="C459" s="179" t="s">
        <v>1952</v>
      </c>
      <c r="AB459" s="175"/>
      <c r="AC459" s="175"/>
      <c r="AD459" s="175"/>
    </row>
    <row r="460" spans="1:30">
      <c r="B460" s="179" t="s">
        <v>1953</v>
      </c>
      <c r="C460" s="179" t="s">
        <v>1954</v>
      </c>
      <c r="AB460" s="175"/>
      <c r="AC460" s="175"/>
      <c r="AD460" s="175"/>
    </row>
    <row r="461" spans="1:30">
      <c r="B461" s="179" t="s">
        <v>1955</v>
      </c>
      <c r="C461" s="179" t="s">
        <v>1956</v>
      </c>
      <c r="AB461" s="175"/>
      <c r="AC461" s="175"/>
      <c r="AD461" s="175"/>
    </row>
    <row r="462" spans="1:30">
      <c r="B462" s="179" t="s">
        <v>1957</v>
      </c>
      <c r="C462" s="179" t="s">
        <v>1958</v>
      </c>
      <c r="AB462" s="175"/>
      <c r="AC462" s="175"/>
      <c r="AD462" s="175"/>
    </row>
    <row r="463" spans="1:30">
      <c r="B463" s="179" t="s">
        <v>1959</v>
      </c>
      <c r="C463" s="179" t="s">
        <v>1960</v>
      </c>
      <c r="AB463" s="175"/>
      <c r="AC463" s="175"/>
      <c r="AD463" s="175"/>
    </row>
    <row r="464" spans="1:30">
      <c r="B464" s="179" t="s">
        <v>1961</v>
      </c>
      <c r="C464" s="179" t="s">
        <v>1962</v>
      </c>
      <c r="AB464" s="175"/>
      <c r="AC464" s="175"/>
      <c r="AD464" s="175"/>
    </row>
    <row r="465" spans="2:30">
      <c r="B465" s="179" t="s">
        <v>1963</v>
      </c>
      <c r="C465" s="179" t="s">
        <v>1964</v>
      </c>
      <c r="AB465" s="175"/>
      <c r="AC465" s="175"/>
      <c r="AD465" s="175"/>
    </row>
    <row r="466" spans="2:30">
      <c r="B466" s="179" t="s">
        <v>1965</v>
      </c>
      <c r="C466" s="179" t="s">
        <v>1966</v>
      </c>
      <c r="AB466" s="175"/>
      <c r="AC466" s="175"/>
      <c r="AD466" s="175"/>
    </row>
    <row r="467" spans="2:30">
      <c r="B467" s="179" t="s">
        <v>1967</v>
      </c>
      <c r="C467" s="179" t="s">
        <v>1968</v>
      </c>
      <c r="AB467" s="175"/>
      <c r="AC467" s="175"/>
      <c r="AD467" s="175"/>
    </row>
    <row r="468" spans="2:30">
      <c r="B468" s="179" t="s">
        <v>1969</v>
      </c>
      <c r="C468" s="179" t="s">
        <v>1970</v>
      </c>
      <c r="AB468" s="175"/>
      <c r="AC468" s="175"/>
      <c r="AD468" s="175"/>
    </row>
    <row r="469" spans="2:30">
      <c r="B469" s="179" t="s">
        <v>1971</v>
      </c>
      <c r="C469" s="179" t="s">
        <v>1972</v>
      </c>
      <c r="AB469" s="175"/>
      <c r="AC469" s="175"/>
      <c r="AD469" s="175"/>
    </row>
    <row r="470" spans="2:30">
      <c r="B470" s="179" t="s">
        <v>1973</v>
      </c>
      <c r="C470" s="179" t="s">
        <v>1974</v>
      </c>
      <c r="AB470" s="175"/>
      <c r="AC470" s="175"/>
      <c r="AD470" s="175"/>
    </row>
    <row r="471" spans="2:30">
      <c r="B471" s="179" t="s">
        <v>1975</v>
      </c>
      <c r="C471" s="179" t="s">
        <v>1976</v>
      </c>
      <c r="AB471" s="175"/>
      <c r="AC471" s="175"/>
      <c r="AD471" s="175"/>
    </row>
    <row r="472" spans="2:30">
      <c r="B472" s="179" t="s">
        <v>1977</v>
      </c>
      <c r="C472" s="179" t="s">
        <v>1978</v>
      </c>
      <c r="AB472" s="175"/>
      <c r="AC472" s="175"/>
      <c r="AD472" s="175"/>
    </row>
    <row r="473" spans="2:30">
      <c r="B473" s="179" t="s">
        <v>1979</v>
      </c>
      <c r="C473" s="179" t="s">
        <v>1980</v>
      </c>
      <c r="AB473" s="175"/>
      <c r="AC473" s="175"/>
      <c r="AD473" s="175"/>
    </row>
    <row r="474" spans="2:30">
      <c r="B474" s="179" t="s">
        <v>1981</v>
      </c>
      <c r="C474" s="179" t="s">
        <v>1982</v>
      </c>
      <c r="AB474" s="175"/>
      <c r="AC474" s="175"/>
      <c r="AD474" s="175"/>
    </row>
    <row r="475" spans="2:30">
      <c r="B475" s="179" t="s">
        <v>1983</v>
      </c>
      <c r="C475" s="179" t="s">
        <v>1984</v>
      </c>
      <c r="AB475" s="175"/>
      <c r="AC475" s="175"/>
      <c r="AD475" s="175"/>
    </row>
    <row r="476" spans="2:30">
      <c r="B476" s="179" t="s">
        <v>1985</v>
      </c>
      <c r="C476" s="179" t="s">
        <v>1986</v>
      </c>
      <c r="AB476" s="175"/>
      <c r="AC476" s="175"/>
      <c r="AD476" s="175"/>
    </row>
    <row r="477" spans="2:30">
      <c r="B477" s="179" t="s">
        <v>1987</v>
      </c>
      <c r="C477" s="179" t="s">
        <v>1988</v>
      </c>
      <c r="AB477" s="175"/>
      <c r="AC477" s="175"/>
      <c r="AD477" s="175"/>
    </row>
    <row r="478" spans="2:30">
      <c r="B478" s="179" t="s">
        <v>1989</v>
      </c>
      <c r="C478" s="179" t="s">
        <v>1990</v>
      </c>
      <c r="AB478" s="175"/>
      <c r="AC478" s="175"/>
      <c r="AD478" s="175"/>
    </row>
    <row r="479" spans="2:30">
      <c r="B479" s="179" t="s">
        <v>1991</v>
      </c>
      <c r="C479" s="179" t="s">
        <v>1992</v>
      </c>
      <c r="AB479" s="175"/>
      <c r="AC479" s="175"/>
      <c r="AD479" s="175"/>
    </row>
    <row r="480" spans="2:30">
      <c r="B480" s="179" t="s">
        <v>1993</v>
      </c>
      <c r="C480" s="179" t="s">
        <v>1994</v>
      </c>
      <c r="AB480" s="175"/>
      <c r="AC480" s="175"/>
      <c r="AD480" s="175"/>
    </row>
    <row r="481" spans="2:30">
      <c r="B481" s="179" t="s">
        <v>1995</v>
      </c>
      <c r="C481" s="179" t="s">
        <v>1996</v>
      </c>
      <c r="AB481" s="175"/>
      <c r="AC481" s="175"/>
      <c r="AD481" s="175"/>
    </row>
    <row r="482" spans="2:30">
      <c r="B482" s="179" t="s">
        <v>1997</v>
      </c>
      <c r="C482" s="179" t="s">
        <v>1998</v>
      </c>
      <c r="AB482" s="175"/>
      <c r="AC482" s="175"/>
      <c r="AD482" s="175"/>
    </row>
    <row r="483" spans="2:30">
      <c r="B483" s="179" t="s">
        <v>1999</v>
      </c>
      <c r="C483" s="179" t="s">
        <v>2000</v>
      </c>
      <c r="AB483" s="175"/>
      <c r="AC483" s="175"/>
      <c r="AD483" s="175"/>
    </row>
    <row r="484" spans="2:30">
      <c r="B484" s="179" t="s">
        <v>2001</v>
      </c>
      <c r="C484" s="179" t="s">
        <v>2002</v>
      </c>
      <c r="AB484" s="175"/>
      <c r="AC484" s="175"/>
      <c r="AD484" s="175"/>
    </row>
    <row r="485" spans="2:30">
      <c r="B485" s="179" t="s">
        <v>2003</v>
      </c>
      <c r="C485" s="179" t="s">
        <v>2004</v>
      </c>
      <c r="AB485" s="175"/>
      <c r="AC485" s="175"/>
      <c r="AD485" s="175"/>
    </row>
    <row r="486" spans="2:30">
      <c r="B486" s="179" t="s">
        <v>2005</v>
      </c>
      <c r="C486" s="179" t="s">
        <v>2006</v>
      </c>
      <c r="AB486" s="175"/>
      <c r="AC486" s="175"/>
      <c r="AD486" s="175"/>
    </row>
    <row r="487" spans="2:30">
      <c r="B487" s="179" t="s">
        <v>2007</v>
      </c>
      <c r="C487" s="179" t="s">
        <v>2008</v>
      </c>
      <c r="AB487" s="175"/>
      <c r="AC487" s="175"/>
      <c r="AD487" s="175"/>
    </row>
    <row r="488" spans="2:30">
      <c r="B488" s="179" t="s">
        <v>2009</v>
      </c>
      <c r="C488" s="179" t="s">
        <v>2010</v>
      </c>
      <c r="AB488" s="175"/>
      <c r="AC488" s="175"/>
      <c r="AD488" s="175"/>
    </row>
    <row r="489" spans="2:30">
      <c r="B489" s="179" t="s">
        <v>2011</v>
      </c>
      <c r="C489" s="179" t="s">
        <v>2012</v>
      </c>
      <c r="AB489" s="175"/>
      <c r="AC489" s="175"/>
      <c r="AD489" s="175"/>
    </row>
    <row r="490" spans="2:30">
      <c r="B490" s="179" t="s">
        <v>2013</v>
      </c>
      <c r="C490" s="179" t="s">
        <v>2014</v>
      </c>
      <c r="AB490" s="175"/>
      <c r="AC490" s="175"/>
      <c r="AD490" s="175"/>
    </row>
    <row r="491" spans="2:30">
      <c r="B491" s="179" t="s">
        <v>2015</v>
      </c>
      <c r="C491" s="179" t="s">
        <v>2016</v>
      </c>
      <c r="AB491" s="175"/>
      <c r="AC491" s="175"/>
      <c r="AD491" s="175"/>
    </row>
    <row r="492" spans="2:30">
      <c r="B492" s="179" t="s">
        <v>2017</v>
      </c>
      <c r="C492" s="179" t="s">
        <v>2018</v>
      </c>
      <c r="AB492" s="175"/>
      <c r="AC492" s="175"/>
      <c r="AD492" s="175"/>
    </row>
    <row r="493" spans="2:30">
      <c r="B493" s="179" t="s">
        <v>2019</v>
      </c>
      <c r="C493" s="179" t="s">
        <v>2020</v>
      </c>
      <c r="AB493" s="175"/>
      <c r="AC493" s="175"/>
      <c r="AD493" s="175"/>
    </row>
    <row r="494" spans="2:30">
      <c r="B494" s="179" t="s">
        <v>2021</v>
      </c>
      <c r="C494" s="179" t="s">
        <v>2022</v>
      </c>
      <c r="AB494" s="175"/>
      <c r="AC494" s="175"/>
      <c r="AD494" s="175"/>
    </row>
    <row r="495" spans="2:30">
      <c r="B495" s="179" t="s">
        <v>2023</v>
      </c>
      <c r="C495" s="179" t="s">
        <v>2024</v>
      </c>
      <c r="AB495" s="175"/>
      <c r="AC495" s="175"/>
      <c r="AD495" s="175"/>
    </row>
    <row r="496" spans="2:30">
      <c r="B496" s="179" t="s">
        <v>2025</v>
      </c>
      <c r="C496" s="179" t="s">
        <v>2026</v>
      </c>
      <c r="AB496" s="175"/>
      <c r="AC496" s="175"/>
      <c r="AD496" s="175"/>
    </row>
    <row r="497" spans="2:30">
      <c r="B497" s="179" t="s">
        <v>2027</v>
      </c>
      <c r="C497" s="179" t="s">
        <v>2028</v>
      </c>
      <c r="AB497" s="175"/>
      <c r="AC497" s="175"/>
      <c r="AD497" s="175"/>
    </row>
    <row r="498" spans="2:30">
      <c r="B498" s="179" t="s">
        <v>2029</v>
      </c>
      <c r="C498" s="179" t="s">
        <v>2030</v>
      </c>
      <c r="AB498" s="175"/>
      <c r="AC498" s="175"/>
      <c r="AD498" s="175"/>
    </row>
    <row r="499" spans="2:30">
      <c r="B499" s="179" t="s">
        <v>2031</v>
      </c>
      <c r="C499" s="179" t="s">
        <v>2032</v>
      </c>
      <c r="AB499" s="175"/>
      <c r="AC499" s="175"/>
      <c r="AD499" s="175"/>
    </row>
    <row r="500" spans="2:30">
      <c r="B500" s="179" t="s">
        <v>2033</v>
      </c>
      <c r="C500" s="179" t="s">
        <v>2034</v>
      </c>
      <c r="AB500" s="175"/>
      <c r="AC500" s="175"/>
      <c r="AD500" s="175"/>
    </row>
    <row r="501" spans="2:30">
      <c r="B501" s="179" t="s">
        <v>2035</v>
      </c>
      <c r="C501" s="179" t="s">
        <v>2036</v>
      </c>
      <c r="AB501" s="175"/>
      <c r="AC501" s="175"/>
      <c r="AD501" s="175"/>
    </row>
    <row r="502" spans="2:30">
      <c r="B502" s="179" t="s">
        <v>2257</v>
      </c>
      <c r="C502" s="179" t="s">
        <v>2037</v>
      </c>
      <c r="AB502" s="175"/>
      <c r="AC502" s="175"/>
      <c r="AD502" s="175"/>
    </row>
    <row r="503" spans="2:30">
      <c r="B503" s="179" t="s">
        <v>2258</v>
      </c>
      <c r="C503" s="179" t="s">
        <v>2038</v>
      </c>
      <c r="AB503" s="175"/>
      <c r="AC503" s="175"/>
      <c r="AD503" s="175"/>
    </row>
    <row r="504" spans="2:30">
      <c r="B504" s="179" t="s">
        <v>2259</v>
      </c>
      <c r="C504" s="179" t="s">
        <v>2039</v>
      </c>
      <c r="AB504" s="175"/>
      <c r="AC504" s="175"/>
      <c r="AD504" s="175"/>
    </row>
    <row r="505" spans="2:30">
      <c r="B505" s="179" t="s">
        <v>2260</v>
      </c>
      <c r="C505" s="179" t="s">
        <v>2040</v>
      </c>
      <c r="AB505" s="175"/>
      <c r="AC505" s="175"/>
      <c r="AD505" s="175"/>
    </row>
    <row r="506" spans="2:30">
      <c r="B506" s="179" t="s">
        <v>2261</v>
      </c>
      <c r="C506" s="179" t="s">
        <v>2041</v>
      </c>
      <c r="AB506" s="175"/>
      <c r="AC506" s="175"/>
      <c r="AD506" s="175"/>
    </row>
    <row r="507" spans="2:30">
      <c r="B507" s="179" t="s">
        <v>2262</v>
      </c>
      <c r="C507" s="179" t="s">
        <v>2042</v>
      </c>
      <c r="AB507" s="175"/>
      <c r="AC507" s="175"/>
      <c r="AD507" s="175"/>
    </row>
    <row r="508" spans="2:30">
      <c r="B508" s="179" t="s">
        <v>2263</v>
      </c>
      <c r="C508" s="179" t="s">
        <v>2043</v>
      </c>
      <c r="AB508" s="175"/>
      <c r="AC508" s="175"/>
      <c r="AD508" s="175"/>
    </row>
    <row r="509" spans="2:30">
      <c r="B509" s="179" t="s">
        <v>2264</v>
      </c>
      <c r="C509" s="179" t="s">
        <v>2044</v>
      </c>
      <c r="AB509" s="175"/>
      <c r="AC509" s="175"/>
      <c r="AD509" s="175"/>
    </row>
    <row r="510" spans="2:30">
      <c r="B510" s="179" t="s">
        <v>2265</v>
      </c>
      <c r="C510" s="179" t="s">
        <v>2045</v>
      </c>
      <c r="AB510" s="175"/>
      <c r="AC510" s="175"/>
      <c r="AD510" s="175"/>
    </row>
    <row r="511" spans="2:30">
      <c r="B511" s="179" t="s">
        <v>2266</v>
      </c>
      <c r="C511" s="179" t="s">
        <v>2046</v>
      </c>
      <c r="AB511" s="175"/>
      <c r="AC511" s="175"/>
      <c r="AD511" s="175"/>
    </row>
    <row r="512" spans="2:30">
      <c r="B512" s="179" t="s">
        <v>2267</v>
      </c>
      <c r="C512" s="179" t="s">
        <v>2047</v>
      </c>
      <c r="AB512" s="175"/>
      <c r="AC512" s="175"/>
      <c r="AD512" s="175"/>
    </row>
    <row r="513" spans="2:30">
      <c r="B513" s="179" t="s">
        <v>2268</v>
      </c>
      <c r="C513" s="179" t="s">
        <v>2048</v>
      </c>
      <c r="AB513" s="175"/>
      <c r="AC513" s="175"/>
      <c r="AD513" s="175"/>
    </row>
    <row r="514" spans="2:30">
      <c r="B514" s="179" t="s">
        <v>2269</v>
      </c>
      <c r="C514" s="179" t="s">
        <v>2049</v>
      </c>
      <c r="AB514" s="175"/>
      <c r="AC514" s="175"/>
      <c r="AD514" s="175"/>
    </row>
    <row r="515" spans="2:30">
      <c r="B515" s="179" t="s">
        <v>2270</v>
      </c>
      <c r="C515" s="179" t="s">
        <v>2050</v>
      </c>
      <c r="AB515" s="175"/>
      <c r="AC515" s="175"/>
      <c r="AD515" s="175"/>
    </row>
    <row r="516" spans="2:30">
      <c r="B516" s="179" t="s">
        <v>2271</v>
      </c>
      <c r="C516" s="179" t="s">
        <v>2051</v>
      </c>
      <c r="AB516" s="175"/>
      <c r="AC516" s="175"/>
      <c r="AD516" s="175"/>
    </row>
    <row r="517" spans="2:30">
      <c r="B517" s="179" t="s">
        <v>2272</v>
      </c>
      <c r="C517" s="179" t="s">
        <v>2052</v>
      </c>
      <c r="AB517" s="175"/>
      <c r="AC517" s="175"/>
      <c r="AD517" s="175"/>
    </row>
    <row r="518" spans="2:30">
      <c r="B518" s="179" t="s">
        <v>2053</v>
      </c>
      <c r="C518" s="179" t="s">
        <v>2054</v>
      </c>
      <c r="AB518" s="175"/>
      <c r="AC518" s="175"/>
      <c r="AD518" s="175"/>
    </row>
    <row r="519" spans="2:30">
      <c r="B519" s="179" t="s">
        <v>2055</v>
      </c>
      <c r="C519" s="179" t="s">
        <v>2056</v>
      </c>
      <c r="AB519" s="175"/>
      <c r="AC519" s="175"/>
      <c r="AD519" s="175"/>
    </row>
    <row r="520" spans="2:30">
      <c r="B520" s="179" t="s">
        <v>2057</v>
      </c>
      <c r="C520" s="179" t="s">
        <v>2058</v>
      </c>
      <c r="AB520" s="175"/>
      <c r="AC520" s="175"/>
      <c r="AD520" s="175"/>
    </row>
    <row r="521" spans="2:30">
      <c r="B521" s="179" t="s">
        <v>2059</v>
      </c>
      <c r="C521" s="179" t="s">
        <v>2060</v>
      </c>
      <c r="AB521" s="175"/>
      <c r="AC521" s="175"/>
      <c r="AD521" s="175"/>
    </row>
    <row r="522" spans="2:30">
      <c r="B522" s="179" t="s">
        <v>2061</v>
      </c>
      <c r="C522" s="179" t="s">
        <v>2062</v>
      </c>
      <c r="AB522" s="175"/>
      <c r="AC522" s="175"/>
      <c r="AD522" s="175"/>
    </row>
    <row r="523" spans="2:30">
      <c r="B523" s="179" t="s">
        <v>2063</v>
      </c>
      <c r="C523" s="179" t="s">
        <v>2064</v>
      </c>
      <c r="AB523" s="175"/>
      <c r="AC523" s="175"/>
      <c r="AD523" s="175"/>
    </row>
    <row r="524" spans="2:30">
      <c r="B524" s="179" t="s">
        <v>2065</v>
      </c>
      <c r="C524" s="179" t="s">
        <v>2066</v>
      </c>
      <c r="AB524" s="175"/>
      <c r="AC524" s="175"/>
      <c r="AD524" s="175"/>
    </row>
    <row r="525" spans="2:30">
      <c r="B525" s="179" t="s">
        <v>2067</v>
      </c>
      <c r="C525" s="179" t="s">
        <v>2068</v>
      </c>
      <c r="AB525" s="175"/>
      <c r="AC525" s="175"/>
      <c r="AD525" s="175"/>
    </row>
    <row r="526" spans="2:30">
      <c r="B526" s="179" t="s">
        <v>2069</v>
      </c>
      <c r="C526" s="179" t="s">
        <v>2070</v>
      </c>
      <c r="AB526" s="175"/>
      <c r="AC526" s="175"/>
      <c r="AD526" s="175"/>
    </row>
    <row r="527" spans="2:30">
      <c r="B527" s="179" t="s">
        <v>2071</v>
      </c>
      <c r="C527" s="179" t="s">
        <v>2072</v>
      </c>
      <c r="AB527" s="175"/>
      <c r="AC527" s="175"/>
      <c r="AD527" s="175"/>
    </row>
    <row r="528" spans="2:30">
      <c r="B528" s="179" t="s">
        <v>2073</v>
      </c>
      <c r="C528" s="179" t="s">
        <v>2074</v>
      </c>
      <c r="AB528" s="175"/>
      <c r="AC528" s="175"/>
      <c r="AD528" s="175"/>
    </row>
    <row r="529" spans="2:30">
      <c r="B529" s="179" t="s">
        <v>2075</v>
      </c>
      <c r="C529" s="179" t="s">
        <v>2076</v>
      </c>
      <c r="AB529" s="175"/>
      <c r="AC529" s="175"/>
      <c r="AD529" s="175"/>
    </row>
    <row r="530" spans="2:30">
      <c r="B530" s="179" t="s">
        <v>2077</v>
      </c>
      <c r="C530" s="179" t="s">
        <v>2078</v>
      </c>
      <c r="AB530" s="175"/>
      <c r="AC530" s="175"/>
      <c r="AD530" s="175"/>
    </row>
    <row r="531" spans="2:30">
      <c r="B531" s="179" t="s">
        <v>2079</v>
      </c>
      <c r="C531" s="179" t="s">
        <v>2080</v>
      </c>
      <c r="AB531" s="175"/>
      <c r="AC531" s="175"/>
      <c r="AD531" s="175"/>
    </row>
    <row r="532" spans="2:30">
      <c r="B532" s="179" t="s">
        <v>2081</v>
      </c>
      <c r="C532" s="179" t="s">
        <v>2082</v>
      </c>
      <c r="AB532" s="175"/>
      <c r="AC532" s="175"/>
      <c r="AD532" s="175"/>
    </row>
    <row r="533" spans="2:30">
      <c r="B533" s="179" t="s">
        <v>2083</v>
      </c>
      <c r="C533" s="179" t="s">
        <v>2084</v>
      </c>
      <c r="AB533" s="175"/>
      <c r="AC533" s="175"/>
      <c r="AD533" s="175"/>
    </row>
    <row r="534" spans="2:30">
      <c r="B534" s="179" t="s">
        <v>2085</v>
      </c>
      <c r="C534" s="179" t="s">
        <v>2086</v>
      </c>
      <c r="AB534" s="175"/>
      <c r="AC534" s="175"/>
      <c r="AD534" s="175"/>
    </row>
    <row r="535" spans="2:30">
      <c r="B535" s="179" t="s">
        <v>2087</v>
      </c>
      <c r="C535" s="179" t="s">
        <v>2088</v>
      </c>
      <c r="AB535" s="175"/>
      <c r="AC535" s="175"/>
      <c r="AD535" s="175"/>
    </row>
    <row r="536" spans="2:30">
      <c r="B536" s="179" t="s">
        <v>2089</v>
      </c>
      <c r="C536" s="179" t="s">
        <v>2090</v>
      </c>
      <c r="AB536" s="175"/>
      <c r="AC536" s="175"/>
      <c r="AD536" s="175"/>
    </row>
    <row r="537" spans="2:30" s="183" customFormat="1" ht="11.25">
      <c r="B537" s="183" t="s">
        <v>2091</v>
      </c>
      <c r="C537" s="183" t="s">
        <v>2092</v>
      </c>
      <c r="D537" s="183" t="s">
        <v>1136</v>
      </c>
    </row>
  </sheetData>
  <sheetProtection formatCells="0" formatColumns="0" formatRows="0"/>
  <dataValidations disablePrompts="1" count="3">
    <dataValidation type="list" allowBlank="1" showInputMessage="1" showErrorMessage="1" sqref="WVP983059:WVT983059 WLT983059:WLX983059 WBX983059:WCB983059 VSB983059:VSF983059 VIF983059:VIJ983059 UYJ983059:UYN983059 UON983059:UOR983059 UER983059:UEV983059 TUV983059:TUZ983059 TKZ983059:TLD983059 TBD983059:TBH983059 SRH983059:SRL983059 SHL983059:SHP983059 RXP983059:RXT983059 RNT983059:RNX983059 RDX983059:REB983059 QUB983059:QUF983059 QKF983059:QKJ983059 QAJ983059:QAN983059 PQN983059:PQR983059 PGR983059:PGV983059 OWV983059:OWZ983059 OMZ983059:OND983059 ODD983059:ODH983059 NTH983059:NTL983059 NJL983059:NJP983059 MZP983059:MZT983059 MPT983059:MPX983059 MFX983059:MGB983059 LWB983059:LWF983059 LMF983059:LMJ983059 LCJ983059:LCN983059 KSN983059:KSR983059 KIR983059:KIV983059 JYV983059:JYZ983059 JOZ983059:JPD983059 JFD983059:JFH983059 IVH983059:IVL983059 ILL983059:ILP983059 IBP983059:IBT983059 HRT983059:HRX983059 HHX983059:HIB983059 GYB983059:GYF983059 GOF983059:GOJ983059 GEJ983059:GEN983059 FUN983059:FUR983059 FKR983059:FKV983059 FAV983059:FAZ983059 EQZ983059:ERD983059 EHD983059:EHH983059 DXH983059:DXL983059 DNL983059:DNP983059 DDP983059:DDT983059 CTT983059:CTX983059 CJX983059:CKB983059 CAB983059:CAF983059 BQF983059:BQJ983059 BGJ983059:BGN983059 AWN983059:AWR983059 AMR983059:AMV983059 ACV983059:ACZ983059 SZ983059:TD983059 JD983059:JH983059 WVP917523:WVT917523 WLT917523:WLX917523 WBX917523:WCB917523 VSB917523:VSF917523 VIF917523:VIJ917523 UYJ917523:UYN917523 UON917523:UOR917523 UER917523:UEV917523 TUV917523:TUZ917523 TKZ917523:TLD917523 TBD917523:TBH917523 SRH917523:SRL917523 SHL917523:SHP917523 RXP917523:RXT917523 RNT917523:RNX917523 RDX917523:REB917523 QUB917523:QUF917523 QKF917523:QKJ917523 QAJ917523:QAN917523 PQN917523:PQR917523 PGR917523:PGV917523 OWV917523:OWZ917523 OMZ917523:OND917523 ODD917523:ODH917523 NTH917523:NTL917523 NJL917523:NJP917523 MZP917523:MZT917523 MPT917523:MPX917523 MFX917523:MGB917523 LWB917523:LWF917523 LMF917523:LMJ917523 LCJ917523:LCN917523 KSN917523:KSR917523 KIR917523:KIV917523 JYV917523:JYZ917523 JOZ917523:JPD917523 JFD917523:JFH917523 IVH917523:IVL917523 ILL917523:ILP917523 IBP917523:IBT917523 HRT917523:HRX917523 HHX917523:HIB917523 GYB917523:GYF917523 GOF917523:GOJ917523 GEJ917523:GEN917523 FUN917523:FUR917523 FKR917523:FKV917523 FAV917523:FAZ917523 EQZ917523:ERD917523 EHD917523:EHH917523 DXH917523:DXL917523 DNL917523:DNP917523 DDP917523:DDT917523 CTT917523:CTX917523 CJX917523:CKB917523 CAB917523:CAF917523 BQF917523:BQJ917523 BGJ917523:BGN917523 AWN917523:AWR917523 AMR917523:AMV917523 ACV917523:ACZ917523 SZ917523:TD917523 JD917523:JH917523 WVP851987:WVT851987 WLT851987:WLX851987 WBX851987:WCB851987 VSB851987:VSF851987 VIF851987:VIJ851987 UYJ851987:UYN851987 UON851987:UOR851987 UER851987:UEV851987 TUV851987:TUZ851987 TKZ851987:TLD851987 TBD851987:TBH851987 SRH851987:SRL851987 SHL851987:SHP851987 RXP851987:RXT851987 RNT851987:RNX851987 RDX851987:REB851987 QUB851987:QUF851987 QKF851987:QKJ851987 QAJ851987:QAN851987 PQN851987:PQR851987 PGR851987:PGV851987 OWV851987:OWZ851987 OMZ851987:OND851987 ODD851987:ODH851987 NTH851987:NTL851987 NJL851987:NJP851987 MZP851987:MZT851987 MPT851987:MPX851987 MFX851987:MGB851987 LWB851987:LWF851987 LMF851987:LMJ851987 LCJ851987:LCN851987 KSN851987:KSR851987 KIR851987:KIV851987 JYV851987:JYZ851987 JOZ851987:JPD851987 JFD851987:JFH851987 IVH851987:IVL851987 ILL851987:ILP851987 IBP851987:IBT851987 HRT851987:HRX851987 HHX851987:HIB851987 GYB851987:GYF851987 GOF851987:GOJ851987 GEJ851987:GEN851987 FUN851987:FUR851987 FKR851987:FKV851987 FAV851987:FAZ851987 EQZ851987:ERD851987 EHD851987:EHH851987 DXH851987:DXL851987 DNL851987:DNP851987 DDP851987:DDT851987 CTT851987:CTX851987 CJX851987:CKB851987 CAB851987:CAF851987 BQF851987:BQJ851987 BGJ851987:BGN851987 AWN851987:AWR851987 AMR851987:AMV851987 ACV851987:ACZ851987 SZ851987:TD851987 JD851987:JH851987 WVP786451:WVT786451 WLT786451:WLX786451 WBX786451:WCB786451 VSB786451:VSF786451 VIF786451:VIJ786451 UYJ786451:UYN786451 UON786451:UOR786451 UER786451:UEV786451 TUV786451:TUZ786451 TKZ786451:TLD786451 TBD786451:TBH786451 SRH786451:SRL786451 SHL786451:SHP786451 RXP786451:RXT786451 RNT786451:RNX786451 RDX786451:REB786451 QUB786451:QUF786451 QKF786451:QKJ786451 QAJ786451:QAN786451 PQN786451:PQR786451 PGR786451:PGV786451 OWV786451:OWZ786451 OMZ786451:OND786451 ODD786451:ODH786451 NTH786451:NTL786451 NJL786451:NJP786451 MZP786451:MZT786451 MPT786451:MPX786451 MFX786451:MGB786451 LWB786451:LWF786451 LMF786451:LMJ786451 LCJ786451:LCN786451 KSN786451:KSR786451 KIR786451:KIV786451 JYV786451:JYZ786451 JOZ786451:JPD786451 JFD786451:JFH786451 IVH786451:IVL786451 ILL786451:ILP786451 IBP786451:IBT786451 HRT786451:HRX786451 HHX786451:HIB786451 GYB786451:GYF786451 GOF786451:GOJ786451 GEJ786451:GEN786451 FUN786451:FUR786451 FKR786451:FKV786451 FAV786451:FAZ786451 EQZ786451:ERD786451 EHD786451:EHH786451 DXH786451:DXL786451 DNL786451:DNP786451 DDP786451:DDT786451 CTT786451:CTX786451 CJX786451:CKB786451 CAB786451:CAF786451 BQF786451:BQJ786451 BGJ786451:BGN786451 AWN786451:AWR786451 AMR786451:AMV786451 ACV786451:ACZ786451 SZ786451:TD786451 JD786451:JH786451 WVP720915:WVT720915 WLT720915:WLX720915 WBX720915:WCB720915 VSB720915:VSF720915 VIF720915:VIJ720915 UYJ720915:UYN720915 UON720915:UOR720915 UER720915:UEV720915 TUV720915:TUZ720915 TKZ720915:TLD720915 TBD720915:TBH720915 SRH720915:SRL720915 SHL720915:SHP720915 RXP720915:RXT720915 RNT720915:RNX720915 RDX720915:REB720915 QUB720915:QUF720915 QKF720915:QKJ720915 QAJ720915:QAN720915 PQN720915:PQR720915 PGR720915:PGV720915 OWV720915:OWZ720915 OMZ720915:OND720915 ODD720915:ODH720915 NTH720915:NTL720915 NJL720915:NJP720915 MZP720915:MZT720915 MPT720915:MPX720915 MFX720915:MGB720915 LWB720915:LWF720915 LMF720915:LMJ720915 LCJ720915:LCN720915 KSN720915:KSR720915 KIR720915:KIV720915 JYV720915:JYZ720915 JOZ720915:JPD720915 JFD720915:JFH720915 IVH720915:IVL720915 ILL720915:ILP720915 IBP720915:IBT720915 HRT720915:HRX720915 HHX720915:HIB720915 GYB720915:GYF720915 GOF720915:GOJ720915 GEJ720915:GEN720915 FUN720915:FUR720915 FKR720915:FKV720915 FAV720915:FAZ720915 EQZ720915:ERD720915 EHD720915:EHH720915 DXH720915:DXL720915 DNL720915:DNP720915 DDP720915:DDT720915 CTT720915:CTX720915 CJX720915:CKB720915 CAB720915:CAF720915 BQF720915:BQJ720915 BGJ720915:BGN720915 AWN720915:AWR720915 AMR720915:AMV720915 ACV720915:ACZ720915 SZ720915:TD720915 JD720915:JH720915 WVP655379:WVT655379 WLT655379:WLX655379 WBX655379:WCB655379 VSB655379:VSF655379 VIF655379:VIJ655379 UYJ655379:UYN655379 UON655379:UOR655379 UER655379:UEV655379 TUV655379:TUZ655379 TKZ655379:TLD655379 TBD655379:TBH655379 SRH655379:SRL655379 SHL655379:SHP655379 RXP655379:RXT655379 RNT655379:RNX655379 RDX655379:REB655379 QUB655379:QUF655379 QKF655379:QKJ655379 QAJ655379:QAN655379 PQN655379:PQR655379 PGR655379:PGV655379 OWV655379:OWZ655379 OMZ655379:OND655379 ODD655379:ODH655379 NTH655379:NTL655379 NJL655379:NJP655379 MZP655379:MZT655379 MPT655379:MPX655379 MFX655379:MGB655379 LWB655379:LWF655379 LMF655379:LMJ655379 LCJ655379:LCN655379 KSN655379:KSR655379 KIR655379:KIV655379 JYV655379:JYZ655379 JOZ655379:JPD655379 JFD655379:JFH655379 IVH655379:IVL655379 ILL655379:ILP655379 IBP655379:IBT655379 HRT655379:HRX655379 HHX655379:HIB655379 GYB655379:GYF655379 GOF655379:GOJ655379 GEJ655379:GEN655379 FUN655379:FUR655379 FKR655379:FKV655379 FAV655379:FAZ655379 EQZ655379:ERD655379 EHD655379:EHH655379 DXH655379:DXL655379 DNL655379:DNP655379 DDP655379:DDT655379 CTT655379:CTX655379 CJX655379:CKB655379 CAB655379:CAF655379 BQF655379:BQJ655379 BGJ655379:BGN655379 AWN655379:AWR655379 AMR655379:AMV655379 ACV655379:ACZ655379 SZ655379:TD655379 JD655379:JH655379 WVP589843:WVT589843 WLT589843:WLX589843 WBX589843:WCB589843 VSB589843:VSF589843 VIF589843:VIJ589843 UYJ589843:UYN589843 UON589843:UOR589843 UER589843:UEV589843 TUV589843:TUZ589843 TKZ589843:TLD589843 TBD589843:TBH589843 SRH589843:SRL589843 SHL589843:SHP589843 RXP589843:RXT589843 RNT589843:RNX589843 RDX589843:REB589843 QUB589843:QUF589843 QKF589843:QKJ589843 QAJ589843:QAN589843 PQN589843:PQR589843 PGR589843:PGV589843 OWV589843:OWZ589843 OMZ589843:OND589843 ODD589843:ODH589843 NTH589843:NTL589843 NJL589843:NJP589843 MZP589843:MZT589843 MPT589843:MPX589843 MFX589843:MGB589843 LWB589843:LWF589843 LMF589843:LMJ589843 LCJ589843:LCN589843 KSN589843:KSR589843 KIR589843:KIV589843 JYV589843:JYZ589843 JOZ589843:JPD589843 JFD589843:JFH589843 IVH589843:IVL589843 ILL589843:ILP589843 IBP589843:IBT589843 HRT589843:HRX589843 HHX589843:HIB589843 GYB589843:GYF589843 GOF589843:GOJ589843 GEJ589843:GEN589843 FUN589843:FUR589843 FKR589843:FKV589843 FAV589843:FAZ589843 EQZ589843:ERD589843 EHD589843:EHH589843 DXH589843:DXL589843 DNL589843:DNP589843 DDP589843:DDT589843 CTT589843:CTX589843 CJX589843:CKB589843 CAB589843:CAF589843 BQF589843:BQJ589843 BGJ589843:BGN589843 AWN589843:AWR589843 AMR589843:AMV589843 ACV589843:ACZ589843 SZ589843:TD589843 JD589843:JH589843 WVP524307:WVT524307 WLT524307:WLX524307 WBX524307:WCB524307 VSB524307:VSF524307 VIF524307:VIJ524307 UYJ524307:UYN524307 UON524307:UOR524307 UER524307:UEV524307 TUV524307:TUZ524307 TKZ524307:TLD524307 TBD524307:TBH524307 SRH524307:SRL524307 SHL524307:SHP524307 RXP524307:RXT524307 RNT524307:RNX524307 RDX524307:REB524307 QUB524307:QUF524307 QKF524307:QKJ524307 QAJ524307:QAN524307 PQN524307:PQR524307 PGR524307:PGV524307 OWV524307:OWZ524307 OMZ524307:OND524307 ODD524307:ODH524307 NTH524307:NTL524307 NJL524307:NJP524307 MZP524307:MZT524307 MPT524307:MPX524307 MFX524307:MGB524307 LWB524307:LWF524307 LMF524307:LMJ524307 LCJ524307:LCN524307 KSN524307:KSR524307 KIR524307:KIV524307 JYV524307:JYZ524307 JOZ524307:JPD524307 JFD524307:JFH524307 IVH524307:IVL524307 ILL524307:ILP524307 IBP524307:IBT524307 HRT524307:HRX524307 HHX524307:HIB524307 GYB524307:GYF524307 GOF524307:GOJ524307 GEJ524307:GEN524307 FUN524307:FUR524307 FKR524307:FKV524307 FAV524307:FAZ524307 EQZ524307:ERD524307 EHD524307:EHH524307 DXH524307:DXL524307 DNL524307:DNP524307 DDP524307:DDT524307 CTT524307:CTX524307 CJX524307:CKB524307 CAB524307:CAF524307 BQF524307:BQJ524307 BGJ524307:BGN524307 AWN524307:AWR524307 AMR524307:AMV524307 ACV524307:ACZ524307 SZ524307:TD524307 JD524307:JH524307 WVP458771:WVT458771 WLT458771:WLX458771 WBX458771:WCB458771 VSB458771:VSF458771 VIF458771:VIJ458771 UYJ458771:UYN458771 UON458771:UOR458771 UER458771:UEV458771 TUV458771:TUZ458771 TKZ458771:TLD458771 TBD458771:TBH458771 SRH458771:SRL458771 SHL458771:SHP458771 RXP458771:RXT458771 RNT458771:RNX458771 RDX458771:REB458771 QUB458771:QUF458771 QKF458771:QKJ458771 QAJ458771:QAN458771 PQN458771:PQR458771 PGR458771:PGV458771 OWV458771:OWZ458771 OMZ458771:OND458771 ODD458771:ODH458771 NTH458771:NTL458771 NJL458771:NJP458771 MZP458771:MZT458771 MPT458771:MPX458771 MFX458771:MGB458771 LWB458771:LWF458771 LMF458771:LMJ458771 LCJ458771:LCN458771 KSN458771:KSR458771 KIR458771:KIV458771 JYV458771:JYZ458771 JOZ458771:JPD458771 JFD458771:JFH458771 IVH458771:IVL458771 ILL458771:ILP458771 IBP458771:IBT458771 HRT458771:HRX458771 HHX458771:HIB458771 GYB458771:GYF458771 GOF458771:GOJ458771 GEJ458771:GEN458771 FUN458771:FUR458771 FKR458771:FKV458771 FAV458771:FAZ458771 EQZ458771:ERD458771 EHD458771:EHH458771 DXH458771:DXL458771 DNL458771:DNP458771 DDP458771:DDT458771 CTT458771:CTX458771 CJX458771:CKB458771 CAB458771:CAF458771 BQF458771:BQJ458771 BGJ458771:BGN458771 AWN458771:AWR458771 AMR458771:AMV458771 ACV458771:ACZ458771 SZ458771:TD458771 JD458771:JH458771 WVP393235:WVT393235 WLT393235:WLX393235 WBX393235:WCB393235 VSB393235:VSF393235 VIF393235:VIJ393235 UYJ393235:UYN393235 UON393235:UOR393235 UER393235:UEV393235 TUV393235:TUZ393235 TKZ393235:TLD393235 TBD393235:TBH393235 SRH393235:SRL393235 SHL393235:SHP393235 RXP393235:RXT393235 RNT393235:RNX393235 RDX393235:REB393235 QUB393235:QUF393235 QKF393235:QKJ393235 QAJ393235:QAN393235 PQN393235:PQR393235 PGR393235:PGV393235 OWV393235:OWZ393235 OMZ393235:OND393235 ODD393235:ODH393235 NTH393235:NTL393235 NJL393235:NJP393235 MZP393235:MZT393235 MPT393235:MPX393235 MFX393235:MGB393235 LWB393235:LWF393235 LMF393235:LMJ393235 LCJ393235:LCN393235 KSN393235:KSR393235 KIR393235:KIV393235 JYV393235:JYZ393235 JOZ393235:JPD393235 JFD393235:JFH393235 IVH393235:IVL393235 ILL393235:ILP393235 IBP393235:IBT393235 HRT393235:HRX393235 HHX393235:HIB393235 GYB393235:GYF393235 GOF393235:GOJ393235 GEJ393235:GEN393235 FUN393235:FUR393235 FKR393235:FKV393235 FAV393235:FAZ393235 EQZ393235:ERD393235 EHD393235:EHH393235 DXH393235:DXL393235 DNL393235:DNP393235 DDP393235:DDT393235 CTT393235:CTX393235 CJX393235:CKB393235 CAB393235:CAF393235 BQF393235:BQJ393235 BGJ393235:BGN393235 AWN393235:AWR393235 AMR393235:AMV393235 ACV393235:ACZ393235 SZ393235:TD393235 JD393235:JH393235 WVP327699:WVT327699 WLT327699:WLX327699 WBX327699:WCB327699 VSB327699:VSF327699 VIF327699:VIJ327699 UYJ327699:UYN327699 UON327699:UOR327699 UER327699:UEV327699 TUV327699:TUZ327699 TKZ327699:TLD327699 TBD327699:TBH327699 SRH327699:SRL327699 SHL327699:SHP327699 RXP327699:RXT327699 RNT327699:RNX327699 RDX327699:REB327699 QUB327699:QUF327699 QKF327699:QKJ327699 QAJ327699:QAN327699 PQN327699:PQR327699 PGR327699:PGV327699 OWV327699:OWZ327699 OMZ327699:OND327699 ODD327699:ODH327699 NTH327699:NTL327699 NJL327699:NJP327699 MZP327699:MZT327699 MPT327699:MPX327699 MFX327699:MGB327699 LWB327699:LWF327699 LMF327699:LMJ327699 LCJ327699:LCN327699 KSN327699:KSR327699 KIR327699:KIV327699 JYV327699:JYZ327699 JOZ327699:JPD327699 JFD327699:JFH327699 IVH327699:IVL327699 ILL327699:ILP327699 IBP327699:IBT327699 HRT327699:HRX327699 HHX327699:HIB327699 GYB327699:GYF327699 GOF327699:GOJ327699 GEJ327699:GEN327699 FUN327699:FUR327699 FKR327699:FKV327699 FAV327699:FAZ327699 EQZ327699:ERD327699 EHD327699:EHH327699 DXH327699:DXL327699 DNL327699:DNP327699 DDP327699:DDT327699 CTT327699:CTX327699 CJX327699:CKB327699 CAB327699:CAF327699 BQF327699:BQJ327699 BGJ327699:BGN327699 AWN327699:AWR327699 AMR327699:AMV327699 ACV327699:ACZ327699 SZ327699:TD327699 JD327699:JH327699 WVP262163:WVT262163 WLT262163:WLX262163 WBX262163:WCB262163 VSB262163:VSF262163 VIF262163:VIJ262163 UYJ262163:UYN262163 UON262163:UOR262163 UER262163:UEV262163 TUV262163:TUZ262163 TKZ262163:TLD262163 TBD262163:TBH262163 SRH262163:SRL262163 SHL262163:SHP262163 RXP262163:RXT262163 RNT262163:RNX262163 RDX262163:REB262163 QUB262163:QUF262163 QKF262163:QKJ262163 QAJ262163:QAN262163 PQN262163:PQR262163 PGR262163:PGV262163 OWV262163:OWZ262163 OMZ262163:OND262163 ODD262163:ODH262163 NTH262163:NTL262163 NJL262163:NJP262163 MZP262163:MZT262163 MPT262163:MPX262163 MFX262163:MGB262163 LWB262163:LWF262163 LMF262163:LMJ262163 LCJ262163:LCN262163 KSN262163:KSR262163 KIR262163:KIV262163 JYV262163:JYZ262163 JOZ262163:JPD262163 JFD262163:JFH262163 IVH262163:IVL262163 ILL262163:ILP262163 IBP262163:IBT262163 HRT262163:HRX262163 HHX262163:HIB262163 GYB262163:GYF262163 GOF262163:GOJ262163 GEJ262163:GEN262163 FUN262163:FUR262163 FKR262163:FKV262163 FAV262163:FAZ262163 EQZ262163:ERD262163 EHD262163:EHH262163 DXH262163:DXL262163 DNL262163:DNP262163 DDP262163:DDT262163 CTT262163:CTX262163 CJX262163:CKB262163 CAB262163:CAF262163 BQF262163:BQJ262163 BGJ262163:BGN262163 AWN262163:AWR262163 AMR262163:AMV262163 ACV262163:ACZ262163 SZ262163:TD262163 JD262163:JH262163 WVP196627:WVT196627 WLT196627:WLX196627 WBX196627:WCB196627 VSB196627:VSF196627 VIF196627:VIJ196627 UYJ196627:UYN196627 UON196627:UOR196627 UER196627:UEV196627 TUV196627:TUZ196627 TKZ196627:TLD196627 TBD196627:TBH196627 SRH196627:SRL196627 SHL196627:SHP196627 RXP196627:RXT196627 RNT196627:RNX196627 RDX196627:REB196627 QUB196627:QUF196627 QKF196627:QKJ196627 QAJ196627:QAN196627 PQN196627:PQR196627 PGR196627:PGV196627 OWV196627:OWZ196627 OMZ196627:OND196627 ODD196627:ODH196627 NTH196627:NTL196627 NJL196627:NJP196627 MZP196627:MZT196627 MPT196627:MPX196627 MFX196627:MGB196627 LWB196627:LWF196627 LMF196627:LMJ196627 LCJ196627:LCN196627 KSN196627:KSR196627 KIR196627:KIV196627 JYV196627:JYZ196627 JOZ196627:JPD196627 JFD196627:JFH196627 IVH196627:IVL196627 ILL196627:ILP196627 IBP196627:IBT196627 HRT196627:HRX196627 HHX196627:HIB196627 GYB196627:GYF196627 GOF196627:GOJ196627 GEJ196627:GEN196627 FUN196627:FUR196627 FKR196627:FKV196627 FAV196627:FAZ196627 EQZ196627:ERD196627 EHD196627:EHH196627 DXH196627:DXL196627 DNL196627:DNP196627 DDP196627:DDT196627 CTT196627:CTX196627 CJX196627:CKB196627 CAB196627:CAF196627 BQF196627:BQJ196627 BGJ196627:BGN196627 AWN196627:AWR196627 AMR196627:AMV196627 ACV196627:ACZ196627 SZ196627:TD196627 JD196627:JH196627 WVP131091:WVT131091 WLT131091:WLX131091 WBX131091:WCB131091 VSB131091:VSF131091 VIF131091:VIJ131091 UYJ131091:UYN131091 UON131091:UOR131091 UER131091:UEV131091 TUV131091:TUZ131091 TKZ131091:TLD131091 TBD131091:TBH131091 SRH131091:SRL131091 SHL131091:SHP131091 RXP131091:RXT131091 RNT131091:RNX131091 RDX131091:REB131091 QUB131091:QUF131091 QKF131091:QKJ131091 QAJ131091:QAN131091 PQN131091:PQR131091 PGR131091:PGV131091 OWV131091:OWZ131091 OMZ131091:OND131091 ODD131091:ODH131091 NTH131091:NTL131091 NJL131091:NJP131091 MZP131091:MZT131091 MPT131091:MPX131091 MFX131091:MGB131091 LWB131091:LWF131091 LMF131091:LMJ131091 LCJ131091:LCN131091 KSN131091:KSR131091 KIR131091:KIV131091 JYV131091:JYZ131091 JOZ131091:JPD131091 JFD131091:JFH131091 IVH131091:IVL131091 ILL131091:ILP131091 IBP131091:IBT131091 HRT131091:HRX131091 HHX131091:HIB131091 GYB131091:GYF131091 GOF131091:GOJ131091 GEJ131091:GEN131091 FUN131091:FUR131091 FKR131091:FKV131091 FAV131091:FAZ131091 EQZ131091:ERD131091 EHD131091:EHH131091 DXH131091:DXL131091 DNL131091:DNP131091 DDP131091:DDT131091 CTT131091:CTX131091 CJX131091:CKB131091 CAB131091:CAF131091 BQF131091:BQJ131091 BGJ131091:BGN131091 AWN131091:AWR131091 AMR131091:AMV131091 ACV131091:ACZ131091 SZ131091:TD131091 JD131091:JH131091 WVP65555:WVT65555 WLT65555:WLX65555 WBX65555:WCB65555 VSB65555:VSF65555 VIF65555:VIJ65555 UYJ65555:UYN65555 UON65555:UOR65555 UER65555:UEV65555 TUV65555:TUZ65555 TKZ65555:TLD65555 TBD65555:TBH65555 SRH65555:SRL65555 SHL65555:SHP65555 RXP65555:RXT65555 RNT65555:RNX65555 RDX65555:REB65555 QUB65555:QUF65555 QKF65555:QKJ65555 QAJ65555:QAN65555 PQN65555:PQR65555 PGR65555:PGV65555 OWV65555:OWZ65555 OMZ65555:OND65555 ODD65555:ODH65555 NTH65555:NTL65555 NJL65555:NJP65555 MZP65555:MZT65555 MPT65555:MPX65555 MFX65555:MGB65555 LWB65555:LWF65555 LMF65555:LMJ65555 LCJ65555:LCN65555 KSN65555:KSR65555 KIR65555:KIV65555 JYV65555:JYZ65555 JOZ65555:JPD65555 JFD65555:JFH65555 IVH65555:IVL65555 ILL65555:ILP65555 IBP65555:IBT65555 HRT65555:HRX65555 HHX65555:HIB65555 GYB65555:GYF65555 GOF65555:GOJ65555 GEJ65555:GEN65555 FUN65555:FUR65555 FKR65555:FKV65555 FAV65555:FAZ65555 EQZ65555:ERD65555 EHD65555:EHH65555 DXH65555:DXL65555 DNL65555:DNP65555 DDP65555:DDT65555 CTT65555:CTX65555 CJX65555:CKB65555 CAB65555:CAF65555 BQF65555:BQJ65555 BGJ65555:BGN65555 AWN65555:AWR65555 AMR65555:AMV65555 ACV65555:ACZ65555 SZ65555:TD65555 JD65555:JH65555 JD18:JH18 WVP18:WVT18 WLT18:WLX18 WBX18:WCB18 VSB18:VSF18 VIF18:VIJ18 UYJ18:UYN18 UON18:UOR18 UER18:UEV18 TUV18:TUZ18 TKZ18:TLD18 TBD18:TBH18 SRH18:SRL18 SHL18:SHP18 RXP18:RXT18 RNT18:RNX18 RDX18:REB18 QUB18:QUF18 QKF18:QKJ18 QAJ18:QAN18 PQN18:PQR18 PGR18:PGV18 OWV18:OWZ18 OMZ18:OND18 ODD18:ODH18 NTH18:NTL18 NJL18:NJP18 MZP18:MZT18 MPT18:MPX18 MFX18:MGB18 LWB18:LWF18 LMF18:LMJ18 LCJ18:LCN18 KSN18:KSR18 KIR18:KIV18 JYV18:JYZ18 JOZ18:JPD18 JFD18:JFH18 IVH18:IVL18 ILL18:ILP18 IBP18:IBT18 HRT18:HRX18 HHX18:HIB18 GYB18:GYF18 GOF18:GOJ18 GEJ18:GEN18 FUN18:FUR18 FKR18:FKV18 FAV18:FAZ18 EQZ18:ERD18 EHD18:EHH18 DXH18:DXL18 DNL18:DNP18 DDP18:DDT18 CTT18:CTX18 CJX18:CKB18 CAB18:CAF18 BQF18:BQJ18 BGJ18:BGN18 AWN18:AWR18 AMR18:AMV18 ACV18:ACZ18 SZ18:TD18 E65555 E131091 E196627 E262163 E327699 E393235 E458771 E524307 E589843 E655379 E720915 E786451 E851987 E917523 E983059" xr:uid="{00000000-0002-0000-0900-000000000000}">
      <formula1>"6 months,12 months,18 months,2 years,1 month,3 months,9 months,3 years,(remove)"</formula1>
    </dataValidation>
    <dataValidation type="list" allowBlank="1" showInputMessage="1" showErrorMessage="1" sqref="WVP983057:WVT983057 WLT983057:WLX983057 WBX983057:WCB983057 VSB983057:VSF983057 VIF983057:VIJ983057 UYJ983057:UYN983057 UON983057:UOR983057 UER983057:UEV983057 TUV983057:TUZ983057 TKZ983057:TLD983057 TBD983057:TBH983057 SRH983057:SRL983057 SHL983057:SHP983057 RXP983057:RXT983057 RNT983057:RNX983057 RDX983057:REB983057 QUB983057:QUF983057 QKF983057:QKJ983057 QAJ983057:QAN983057 PQN983057:PQR983057 PGR983057:PGV983057 OWV983057:OWZ983057 OMZ983057:OND983057 ODD983057:ODH983057 NTH983057:NTL983057 NJL983057:NJP983057 MZP983057:MZT983057 MPT983057:MPX983057 MFX983057:MGB983057 LWB983057:LWF983057 LMF983057:LMJ983057 LCJ983057:LCN983057 KSN983057:KSR983057 KIR983057:KIV983057 JYV983057:JYZ983057 JOZ983057:JPD983057 JFD983057:JFH983057 IVH983057:IVL983057 ILL983057:ILP983057 IBP983057:IBT983057 HRT983057:HRX983057 HHX983057:HIB983057 GYB983057:GYF983057 GOF983057:GOJ983057 GEJ983057:GEN983057 FUN983057:FUR983057 FKR983057:FKV983057 FAV983057:FAZ983057 EQZ983057:ERD983057 EHD983057:EHH983057 DXH983057:DXL983057 DNL983057:DNP983057 DDP983057:DDT983057 CTT983057:CTX983057 CJX983057:CKB983057 CAB983057:CAF983057 BQF983057:BQJ983057 BGJ983057:BGN983057 AWN983057:AWR983057 AMR983057:AMV983057 ACV983057:ACZ983057 SZ983057:TD983057 JD983057:JH983057 WVP917521:WVT917521 WLT917521:WLX917521 WBX917521:WCB917521 VSB917521:VSF917521 VIF917521:VIJ917521 UYJ917521:UYN917521 UON917521:UOR917521 UER917521:UEV917521 TUV917521:TUZ917521 TKZ917521:TLD917521 TBD917521:TBH917521 SRH917521:SRL917521 SHL917521:SHP917521 RXP917521:RXT917521 RNT917521:RNX917521 RDX917521:REB917521 QUB917521:QUF917521 QKF917521:QKJ917521 QAJ917521:QAN917521 PQN917521:PQR917521 PGR917521:PGV917521 OWV917521:OWZ917521 OMZ917521:OND917521 ODD917521:ODH917521 NTH917521:NTL917521 NJL917521:NJP917521 MZP917521:MZT917521 MPT917521:MPX917521 MFX917521:MGB917521 LWB917521:LWF917521 LMF917521:LMJ917521 LCJ917521:LCN917521 KSN917521:KSR917521 KIR917521:KIV917521 JYV917521:JYZ917521 JOZ917521:JPD917521 JFD917521:JFH917521 IVH917521:IVL917521 ILL917521:ILP917521 IBP917521:IBT917521 HRT917521:HRX917521 HHX917521:HIB917521 GYB917521:GYF917521 GOF917521:GOJ917521 GEJ917521:GEN917521 FUN917521:FUR917521 FKR917521:FKV917521 FAV917521:FAZ917521 EQZ917521:ERD917521 EHD917521:EHH917521 DXH917521:DXL917521 DNL917521:DNP917521 DDP917521:DDT917521 CTT917521:CTX917521 CJX917521:CKB917521 CAB917521:CAF917521 BQF917521:BQJ917521 BGJ917521:BGN917521 AWN917521:AWR917521 AMR917521:AMV917521 ACV917521:ACZ917521 SZ917521:TD917521 JD917521:JH917521 WVP851985:WVT851985 WLT851985:WLX851985 WBX851985:WCB851985 VSB851985:VSF851985 VIF851985:VIJ851985 UYJ851985:UYN851985 UON851985:UOR851985 UER851985:UEV851985 TUV851985:TUZ851985 TKZ851985:TLD851985 TBD851985:TBH851985 SRH851985:SRL851985 SHL851985:SHP851985 RXP851985:RXT851985 RNT851985:RNX851985 RDX851985:REB851985 QUB851985:QUF851985 QKF851985:QKJ851985 QAJ851985:QAN851985 PQN851985:PQR851985 PGR851985:PGV851985 OWV851985:OWZ851985 OMZ851985:OND851985 ODD851985:ODH851985 NTH851985:NTL851985 NJL851985:NJP851985 MZP851985:MZT851985 MPT851985:MPX851985 MFX851985:MGB851985 LWB851985:LWF851985 LMF851985:LMJ851985 LCJ851985:LCN851985 KSN851985:KSR851985 KIR851985:KIV851985 JYV851985:JYZ851985 JOZ851985:JPD851985 JFD851985:JFH851985 IVH851985:IVL851985 ILL851985:ILP851985 IBP851985:IBT851985 HRT851985:HRX851985 HHX851985:HIB851985 GYB851985:GYF851985 GOF851985:GOJ851985 GEJ851985:GEN851985 FUN851985:FUR851985 FKR851985:FKV851985 FAV851985:FAZ851985 EQZ851985:ERD851985 EHD851985:EHH851985 DXH851985:DXL851985 DNL851985:DNP851985 DDP851985:DDT851985 CTT851985:CTX851985 CJX851985:CKB851985 CAB851985:CAF851985 BQF851985:BQJ851985 BGJ851985:BGN851985 AWN851985:AWR851985 AMR851985:AMV851985 ACV851985:ACZ851985 SZ851985:TD851985 JD851985:JH851985 WVP786449:WVT786449 WLT786449:WLX786449 WBX786449:WCB786449 VSB786449:VSF786449 VIF786449:VIJ786449 UYJ786449:UYN786449 UON786449:UOR786449 UER786449:UEV786449 TUV786449:TUZ786449 TKZ786449:TLD786449 TBD786449:TBH786449 SRH786449:SRL786449 SHL786449:SHP786449 RXP786449:RXT786449 RNT786449:RNX786449 RDX786449:REB786449 QUB786449:QUF786449 QKF786449:QKJ786449 QAJ786449:QAN786449 PQN786449:PQR786449 PGR786449:PGV786449 OWV786449:OWZ786449 OMZ786449:OND786449 ODD786449:ODH786449 NTH786449:NTL786449 NJL786449:NJP786449 MZP786449:MZT786449 MPT786449:MPX786449 MFX786449:MGB786449 LWB786449:LWF786449 LMF786449:LMJ786449 LCJ786449:LCN786449 KSN786449:KSR786449 KIR786449:KIV786449 JYV786449:JYZ786449 JOZ786449:JPD786449 JFD786449:JFH786449 IVH786449:IVL786449 ILL786449:ILP786449 IBP786449:IBT786449 HRT786449:HRX786449 HHX786449:HIB786449 GYB786449:GYF786449 GOF786449:GOJ786449 GEJ786449:GEN786449 FUN786449:FUR786449 FKR786449:FKV786449 FAV786449:FAZ786449 EQZ786449:ERD786449 EHD786449:EHH786449 DXH786449:DXL786449 DNL786449:DNP786449 DDP786449:DDT786449 CTT786449:CTX786449 CJX786449:CKB786449 CAB786449:CAF786449 BQF786449:BQJ786449 BGJ786449:BGN786449 AWN786449:AWR786449 AMR786449:AMV786449 ACV786449:ACZ786449 SZ786449:TD786449 JD786449:JH786449 WVP720913:WVT720913 WLT720913:WLX720913 WBX720913:WCB720913 VSB720913:VSF720913 VIF720913:VIJ720913 UYJ720913:UYN720913 UON720913:UOR720913 UER720913:UEV720913 TUV720913:TUZ720913 TKZ720913:TLD720913 TBD720913:TBH720913 SRH720913:SRL720913 SHL720913:SHP720913 RXP720913:RXT720913 RNT720913:RNX720913 RDX720913:REB720913 QUB720913:QUF720913 QKF720913:QKJ720913 QAJ720913:QAN720913 PQN720913:PQR720913 PGR720913:PGV720913 OWV720913:OWZ720913 OMZ720913:OND720913 ODD720913:ODH720913 NTH720913:NTL720913 NJL720913:NJP720913 MZP720913:MZT720913 MPT720913:MPX720913 MFX720913:MGB720913 LWB720913:LWF720913 LMF720913:LMJ720913 LCJ720913:LCN720913 KSN720913:KSR720913 KIR720913:KIV720913 JYV720913:JYZ720913 JOZ720913:JPD720913 JFD720913:JFH720913 IVH720913:IVL720913 ILL720913:ILP720913 IBP720913:IBT720913 HRT720913:HRX720913 HHX720913:HIB720913 GYB720913:GYF720913 GOF720913:GOJ720913 GEJ720913:GEN720913 FUN720913:FUR720913 FKR720913:FKV720913 FAV720913:FAZ720913 EQZ720913:ERD720913 EHD720913:EHH720913 DXH720913:DXL720913 DNL720913:DNP720913 DDP720913:DDT720913 CTT720913:CTX720913 CJX720913:CKB720913 CAB720913:CAF720913 BQF720913:BQJ720913 BGJ720913:BGN720913 AWN720913:AWR720913 AMR720913:AMV720913 ACV720913:ACZ720913 SZ720913:TD720913 JD720913:JH720913 WVP655377:WVT655377 WLT655377:WLX655377 WBX655377:WCB655377 VSB655377:VSF655377 VIF655377:VIJ655377 UYJ655377:UYN655377 UON655377:UOR655377 UER655377:UEV655377 TUV655377:TUZ655377 TKZ655377:TLD655377 TBD655377:TBH655377 SRH655377:SRL655377 SHL655377:SHP655377 RXP655377:RXT655377 RNT655377:RNX655377 RDX655377:REB655377 QUB655377:QUF655377 QKF655377:QKJ655377 QAJ655377:QAN655377 PQN655377:PQR655377 PGR655377:PGV655377 OWV655377:OWZ655377 OMZ655377:OND655377 ODD655377:ODH655377 NTH655377:NTL655377 NJL655377:NJP655377 MZP655377:MZT655377 MPT655377:MPX655377 MFX655377:MGB655377 LWB655377:LWF655377 LMF655377:LMJ655377 LCJ655377:LCN655377 KSN655377:KSR655377 KIR655377:KIV655377 JYV655377:JYZ655377 JOZ655377:JPD655377 JFD655377:JFH655377 IVH655377:IVL655377 ILL655377:ILP655377 IBP655377:IBT655377 HRT655377:HRX655377 HHX655377:HIB655377 GYB655377:GYF655377 GOF655377:GOJ655377 GEJ655377:GEN655377 FUN655377:FUR655377 FKR655377:FKV655377 FAV655377:FAZ655377 EQZ655377:ERD655377 EHD655377:EHH655377 DXH655377:DXL655377 DNL655377:DNP655377 DDP655377:DDT655377 CTT655377:CTX655377 CJX655377:CKB655377 CAB655377:CAF655377 BQF655377:BQJ655377 BGJ655377:BGN655377 AWN655377:AWR655377 AMR655377:AMV655377 ACV655377:ACZ655377 SZ655377:TD655377 JD655377:JH655377 WVP589841:WVT589841 WLT589841:WLX589841 WBX589841:WCB589841 VSB589841:VSF589841 VIF589841:VIJ589841 UYJ589841:UYN589841 UON589841:UOR589841 UER589841:UEV589841 TUV589841:TUZ589841 TKZ589841:TLD589841 TBD589841:TBH589841 SRH589841:SRL589841 SHL589841:SHP589841 RXP589841:RXT589841 RNT589841:RNX589841 RDX589841:REB589841 QUB589841:QUF589841 QKF589841:QKJ589841 QAJ589841:QAN589841 PQN589841:PQR589841 PGR589841:PGV589841 OWV589841:OWZ589841 OMZ589841:OND589841 ODD589841:ODH589841 NTH589841:NTL589841 NJL589841:NJP589841 MZP589841:MZT589841 MPT589841:MPX589841 MFX589841:MGB589841 LWB589841:LWF589841 LMF589841:LMJ589841 LCJ589841:LCN589841 KSN589841:KSR589841 KIR589841:KIV589841 JYV589841:JYZ589841 JOZ589841:JPD589841 JFD589841:JFH589841 IVH589841:IVL589841 ILL589841:ILP589841 IBP589841:IBT589841 HRT589841:HRX589841 HHX589841:HIB589841 GYB589841:GYF589841 GOF589841:GOJ589841 GEJ589841:GEN589841 FUN589841:FUR589841 FKR589841:FKV589841 FAV589841:FAZ589841 EQZ589841:ERD589841 EHD589841:EHH589841 DXH589841:DXL589841 DNL589841:DNP589841 DDP589841:DDT589841 CTT589841:CTX589841 CJX589841:CKB589841 CAB589841:CAF589841 BQF589841:BQJ589841 BGJ589841:BGN589841 AWN589841:AWR589841 AMR589841:AMV589841 ACV589841:ACZ589841 SZ589841:TD589841 JD589841:JH589841 WVP524305:WVT524305 WLT524305:WLX524305 WBX524305:WCB524305 VSB524305:VSF524305 VIF524305:VIJ524305 UYJ524305:UYN524305 UON524305:UOR524305 UER524305:UEV524305 TUV524305:TUZ524305 TKZ524305:TLD524305 TBD524305:TBH524305 SRH524305:SRL524305 SHL524305:SHP524305 RXP524305:RXT524305 RNT524305:RNX524305 RDX524305:REB524305 QUB524305:QUF524305 QKF524305:QKJ524305 QAJ524305:QAN524305 PQN524305:PQR524305 PGR524305:PGV524305 OWV524305:OWZ524305 OMZ524305:OND524305 ODD524305:ODH524305 NTH524305:NTL524305 NJL524305:NJP524305 MZP524305:MZT524305 MPT524305:MPX524305 MFX524305:MGB524305 LWB524305:LWF524305 LMF524305:LMJ524305 LCJ524305:LCN524305 KSN524305:KSR524305 KIR524305:KIV524305 JYV524305:JYZ524305 JOZ524305:JPD524305 JFD524305:JFH524305 IVH524305:IVL524305 ILL524305:ILP524305 IBP524305:IBT524305 HRT524305:HRX524305 HHX524305:HIB524305 GYB524305:GYF524305 GOF524305:GOJ524305 GEJ524305:GEN524305 FUN524305:FUR524305 FKR524305:FKV524305 FAV524305:FAZ524305 EQZ524305:ERD524305 EHD524305:EHH524305 DXH524305:DXL524305 DNL524305:DNP524305 DDP524305:DDT524305 CTT524305:CTX524305 CJX524305:CKB524305 CAB524305:CAF524305 BQF524305:BQJ524305 BGJ524305:BGN524305 AWN524305:AWR524305 AMR524305:AMV524305 ACV524305:ACZ524305 SZ524305:TD524305 JD524305:JH524305 WVP458769:WVT458769 WLT458769:WLX458769 WBX458769:WCB458769 VSB458769:VSF458769 VIF458769:VIJ458769 UYJ458769:UYN458769 UON458769:UOR458769 UER458769:UEV458769 TUV458769:TUZ458769 TKZ458769:TLD458769 TBD458769:TBH458769 SRH458769:SRL458769 SHL458769:SHP458769 RXP458769:RXT458769 RNT458769:RNX458769 RDX458769:REB458769 QUB458769:QUF458769 QKF458769:QKJ458769 QAJ458769:QAN458769 PQN458769:PQR458769 PGR458769:PGV458769 OWV458769:OWZ458769 OMZ458769:OND458769 ODD458769:ODH458769 NTH458769:NTL458769 NJL458769:NJP458769 MZP458769:MZT458769 MPT458769:MPX458769 MFX458769:MGB458769 LWB458769:LWF458769 LMF458769:LMJ458769 LCJ458769:LCN458769 KSN458769:KSR458769 KIR458769:KIV458769 JYV458769:JYZ458769 JOZ458769:JPD458769 JFD458769:JFH458769 IVH458769:IVL458769 ILL458769:ILP458769 IBP458769:IBT458769 HRT458769:HRX458769 HHX458769:HIB458769 GYB458769:GYF458769 GOF458769:GOJ458769 GEJ458769:GEN458769 FUN458769:FUR458769 FKR458769:FKV458769 FAV458769:FAZ458769 EQZ458769:ERD458769 EHD458769:EHH458769 DXH458769:DXL458769 DNL458769:DNP458769 DDP458769:DDT458769 CTT458769:CTX458769 CJX458769:CKB458769 CAB458769:CAF458769 BQF458769:BQJ458769 BGJ458769:BGN458769 AWN458769:AWR458769 AMR458769:AMV458769 ACV458769:ACZ458769 SZ458769:TD458769 JD458769:JH458769 WVP393233:WVT393233 WLT393233:WLX393233 WBX393233:WCB393233 VSB393233:VSF393233 VIF393233:VIJ393233 UYJ393233:UYN393233 UON393233:UOR393233 UER393233:UEV393233 TUV393233:TUZ393233 TKZ393233:TLD393233 TBD393233:TBH393233 SRH393233:SRL393233 SHL393233:SHP393233 RXP393233:RXT393233 RNT393233:RNX393233 RDX393233:REB393233 QUB393233:QUF393233 QKF393233:QKJ393233 QAJ393233:QAN393233 PQN393233:PQR393233 PGR393233:PGV393233 OWV393233:OWZ393233 OMZ393233:OND393233 ODD393233:ODH393233 NTH393233:NTL393233 NJL393233:NJP393233 MZP393233:MZT393233 MPT393233:MPX393233 MFX393233:MGB393233 LWB393233:LWF393233 LMF393233:LMJ393233 LCJ393233:LCN393233 KSN393233:KSR393233 KIR393233:KIV393233 JYV393233:JYZ393233 JOZ393233:JPD393233 JFD393233:JFH393233 IVH393233:IVL393233 ILL393233:ILP393233 IBP393233:IBT393233 HRT393233:HRX393233 HHX393233:HIB393233 GYB393233:GYF393233 GOF393233:GOJ393233 GEJ393233:GEN393233 FUN393233:FUR393233 FKR393233:FKV393233 FAV393233:FAZ393233 EQZ393233:ERD393233 EHD393233:EHH393233 DXH393233:DXL393233 DNL393233:DNP393233 DDP393233:DDT393233 CTT393233:CTX393233 CJX393233:CKB393233 CAB393233:CAF393233 BQF393233:BQJ393233 BGJ393233:BGN393233 AWN393233:AWR393233 AMR393233:AMV393233 ACV393233:ACZ393233 SZ393233:TD393233 JD393233:JH393233 WVP327697:WVT327697 WLT327697:WLX327697 WBX327697:WCB327697 VSB327697:VSF327697 VIF327697:VIJ327697 UYJ327697:UYN327697 UON327697:UOR327697 UER327697:UEV327697 TUV327697:TUZ327697 TKZ327697:TLD327697 TBD327697:TBH327697 SRH327697:SRL327697 SHL327697:SHP327697 RXP327697:RXT327697 RNT327697:RNX327697 RDX327697:REB327697 QUB327697:QUF327697 QKF327697:QKJ327697 QAJ327697:QAN327697 PQN327697:PQR327697 PGR327697:PGV327697 OWV327697:OWZ327697 OMZ327697:OND327697 ODD327697:ODH327697 NTH327697:NTL327697 NJL327697:NJP327697 MZP327697:MZT327697 MPT327697:MPX327697 MFX327697:MGB327697 LWB327697:LWF327697 LMF327697:LMJ327697 LCJ327697:LCN327697 KSN327697:KSR327697 KIR327697:KIV327697 JYV327697:JYZ327697 JOZ327697:JPD327697 JFD327697:JFH327697 IVH327697:IVL327697 ILL327697:ILP327697 IBP327697:IBT327697 HRT327697:HRX327697 HHX327697:HIB327697 GYB327697:GYF327697 GOF327697:GOJ327697 GEJ327697:GEN327697 FUN327697:FUR327697 FKR327697:FKV327697 FAV327697:FAZ327697 EQZ327697:ERD327697 EHD327697:EHH327697 DXH327697:DXL327697 DNL327697:DNP327697 DDP327697:DDT327697 CTT327697:CTX327697 CJX327697:CKB327697 CAB327697:CAF327697 BQF327697:BQJ327697 BGJ327697:BGN327697 AWN327697:AWR327697 AMR327697:AMV327697 ACV327697:ACZ327697 SZ327697:TD327697 JD327697:JH327697 WVP262161:WVT262161 WLT262161:WLX262161 WBX262161:WCB262161 VSB262161:VSF262161 VIF262161:VIJ262161 UYJ262161:UYN262161 UON262161:UOR262161 UER262161:UEV262161 TUV262161:TUZ262161 TKZ262161:TLD262161 TBD262161:TBH262161 SRH262161:SRL262161 SHL262161:SHP262161 RXP262161:RXT262161 RNT262161:RNX262161 RDX262161:REB262161 QUB262161:QUF262161 QKF262161:QKJ262161 QAJ262161:QAN262161 PQN262161:PQR262161 PGR262161:PGV262161 OWV262161:OWZ262161 OMZ262161:OND262161 ODD262161:ODH262161 NTH262161:NTL262161 NJL262161:NJP262161 MZP262161:MZT262161 MPT262161:MPX262161 MFX262161:MGB262161 LWB262161:LWF262161 LMF262161:LMJ262161 LCJ262161:LCN262161 KSN262161:KSR262161 KIR262161:KIV262161 JYV262161:JYZ262161 JOZ262161:JPD262161 JFD262161:JFH262161 IVH262161:IVL262161 ILL262161:ILP262161 IBP262161:IBT262161 HRT262161:HRX262161 HHX262161:HIB262161 GYB262161:GYF262161 GOF262161:GOJ262161 GEJ262161:GEN262161 FUN262161:FUR262161 FKR262161:FKV262161 FAV262161:FAZ262161 EQZ262161:ERD262161 EHD262161:EHH262161 DXH262161:DXL262161 DNL262161:DNP262161 DDP262161:DDT262161 CTT262161:CTX262161 CJX262161:CKB262161 CAB262161:CAF262161 BQF262161:BQJ262161 BGJ262161:BGN262161 AWN262161:AWR262161 AMR262161:AMV262161 ACV262161:ACZ262161 SZ262161:TD262161 JD262161:JH262161 WVP196625:WVT196625 WLT196625:WLX196625 WBX196625:WCB196625 VSB196625:VSF196625 VIF196625:VIJ196625 UYJ196625:UYN196625 UON196625:UOR196625 UER196625:UEV196625 TUV196625:TUZ196625 TKZ196625:TLD196625 TBD196625:TBH196625 SRH196625:SRL196625 SHL196625:SHP196625 RXP196625:RXT196625 RNT196625:RNX196625 RDX196625:REB196625 QUB196625:QUF196625 QKF196625:QKJ196625 QAJ196625:QAN196625 PQN196625:PQR196625 PGR196625:PGV196625 OWV196625:OWZ196625 OMZ196625:OND196625 ODD196625:ODH196625 NTH196625:NTL196625 NJL196625:NJP196625 MZP196625:MZT196625 MPT196625:MPX196625 MFX196625:MGB196625 LWB196625:LWF196625 LMF196625:LMJ196625 LCJ196625:LCN196625 KSN196625:KSR196625 KIR196625:KIV196625 JYV196625:JYZ196625 JOZ196625:JPD196625 JFD196625:JFH196625 IVH196625:IVL196625 ILL196625:ILP196625 IBP196625:IBT196625 HRT196625:HRX196625 HHX196625:HIB196625 GYB196625:GYF196625 GOF196625:GOJ196625 GEJ196625:GEN196625 FUN196625:FUR196625 FKR196625:FKV196625 FAV196625:FAZ196625 EQZ196625:ERD196625 EHD196625:EHH196625 DXH196625:DXL196625 DNL196625:DNP196625 DDP196625:DDT196625 CTT196625:CTX196625 CJX196625:CKB196625 CAB196625:CAF196625 BQF196625:BQJ196625 BGJ196625:BGN196625 AWN196625:AWR196625 AMR196625:AMV196625 ACV196625:ACZ196625 SZ196625:TD196625 JD196625:JH196625 WVP131089:WVT131089 WLT131089:WLX131089 WBX131089:WCB131089 VSB131089:VSF131089 VIF131089:VIJ131089 UYJ131089:UYN131089 UON131089:UOR131089 UER131089:UEV131089 TUV131089:TUZ131089 TKZ131089:TLD131089 TBD131089:TBH131089 SRH131089:SRL131089 SHL131089:SHP131089 RXP131089:RXT131089 RNT131089:RNX131089 RDX131089:REB131089 QUB131089:QUF131089 QKF131089:QKJ131089 QAJ131089:QAN131089 PQN131089:PQR131089 PGR131089:PGV131089 OWV131089:OWZ131089 OMZ131089:OND131089 ODD131089:ODH131089 NTH131089:NTL131089 NJL131089:NJP131089 MZP131089:MZT131089 MPT131089:MPX131089 MFX131089:MGB131089 LWB131089:LWF131089 LMF131089:LMJ131089 LCJ131089:LCN131089 KSN131089:KSR131089 KIR131089:KIV131089 JYV131089:JYZ131089 JOZ131089:JPD131089 JFD131089:JFH131089 IVH131089:IVL131089 ILL131089:ILP131089 IBP131089:IBT131089 HRT131089:HRX131089 HHX131089:HIB131089 GYB131089:GYF131089 GOF131089:GOJ131089 GEJ131089:GEN131089 FUN131089:FUR131089 FKR131089:FKV131089 FAV131089:FAZ131089 EQZ131089:ERD131089 EHD131089:EHH131089 DXH131089:DXL131089 DNL131089:DNP131089 DDP131089:DDT131089 CTT131089:CTX131089 CJX131089:CKB131089 CAB131089:CAF131089 BQF131089:BQJ131089 BGJ131089:BGN131089 AWN131089:AWR131089 AMR131089:AMV131089 ACV131089:ACZ131089 SZ131089:TD131089 JD131089:JH131089 WVP65553:WVT65553 WLT65553:WLX65553 WBX65553:WCB65553 VSB65553:VSF65553 VIF65553:VIJ65553 UYJ65553:UYN65553 UON65553:UOR65553 UER65553:UEV65553 TUV65553:TUZ65553 TKZ65553:TLD65553 TBD65553:TBH65553 SRH65553:SRL65553 SHL65553:SHP65553 RXP65553:RXT65553 RNT65553:RNX65553 RDX65553:REB65553 QUB65553:QUF65553 QKF65553:QKJ65553 QAJ65553:QAN65553 PQN65553:PQR65553 PGR65553:PGV65553 OWV65553:OWZ65553 OMZ65553:OND65553 ODD65553:ODH65553 NTH65553:NTL65553 NJL65553:NJP65553 MZP65553:MZT65553 MPT65553:MPX65553 MFX65553:MGB65553 LWB65553:LWF65553 LMF65553:LMJ65553 LCJ65553:LCN65553 KSN65553:KSR65553 KIR65553:KIV65553 JYV65553:JYZ65553 JOZ65553:JPD65553 JFD65553:JFH65553 IVH65553:IVL65553 ILL65553:ILP65553 IBP65553:IBT65553 HRT65553:HRX65553 HHX65553:HIB65553 GYB65553:GYF65553 GOF65553:GOJ65553 GEJ65553:GEN65553 FUN65553:FUR65553 FKR65553:FKV65553 FAV65553:FAZ65553 EQZ65553:ERD65553 EHD65553:EHH65553 DXH65553:DXL65553 DNL65553:DNP65553 DDP65553:DDT65553 CTT65553:CTX65553 CJX65553:CKB65553 CAB65553:CAF65553 BQF65553:BQJ65553 BGJ65553:BGN65553 AWN65553:AWR65553 AMR65553:AMV65553 ACV65553:ACZ65553 SZ65553:TD65553 JD65553:JH65553 JD16:JH16 WVP16:WVT16 WLT16:WLX16 WBX16:WCB16 VSB16:VSF16 VIF16:VIJ16 UYJ16:UYN16 UON16:UOR16 UER16:UEV16 TUV16:TUZ16 TKZ16:TLD16 TBD16:TBH16 SRH16:SRL16 SHL16:SHP16 RXP16:RXT16 RNT16:RNX16 RDX16:REB16 QUB16:QUF16 QKF16:QKJ16 QAJ16:QAN16 PQN16:PQR16 PGR16:PGV16 OWV16:OWZ16 OMZ16:OND16 ODD16:ODH16 NTH16:NTL16 NJL16:NJP16 MZP16:MZT16 MPT16:MPX16 MFX16:MGB16 LWB16:LWF16 LMF16:LMJ16 LCJ16:LCN16 KSN16:KSR16 KIR16:KIV16 JYV16:JYZ16 JOZ16:JPD16 JFD16:JFH16 IVH16:IVL16 ILL16:ILP16 IBP16:IBT16 HRT16:HRX16 HHX16:HIB16 GYB16:GYF16 GOF16:GOJ16 GEJ16:GEN16 FUN16:FUR16 FKR16:FKV16 FAV16:FAZ16 EQZ16:ERD16 EHD16:EHH16 DXH16:DXL16 DNL16:DNP16 DDP16:DDT16 CTT16:CTX16 CJX16:CKB16 CAB16:CAF16 BQF16:BQJ16 BGJ16:BGN16 AWN16:AWR16 AMR16:AMV16 ACV16:ACZ16 SZ16:TD16 E65553 E131089 E196625 E262161 E327697 E393233 E458769 E524305 E589841 E655377 E720913 E786449 E851985 E917521 E983057" xr:uid="{00000000-0002-0000-0900-000001000000}">
      <formula1>"Not Rated,Coverage Suspended,Rating Suspended,(remove)"</formula1>
    </dataValidation>
    <dataValidation type="list" allowBlank="1" showInputMessage="1" showErrorMessage="1" sqref="WVP983055:WVT983056 WLT983055:WLX983056 WBX983055:WCB983056 VSB983055:VSF983056 VIF983055:VIJ983056 UYJ983055:UYN983056 UON983055:UOR983056 UER983055:UEV983056 TUV983055:TUZ983056 TKZ983055:TLD983056 TBD983055:TBH983056 SRH983055:SRL983056 SHL983055:SHP983056 RXP983055:RXT983056 RNT983055:RNX983056 RDX983055:REB983056 QUB983055:QUF983056 QKF983055:QKJ983056 QAJ983055:QAN983056 PQN983055:PQR983056 PGR983055:PGV983056 OWV983055:OWZ983056 OMZ983055:OND983056 ODD983055:ODH983056 NTH983055:NTL983056 NJL983055:NJP983056 MZP983055:MZT983056 MPT983055:MPX983056 MFX983055:MGB983056 LWB983055:LWF983056 LMF983055:LMJ983056 LCJ983055:LCN983056 KSN983055:KSR983056 KIR983055:KIV983056 JYV983055:JYZ983056 JOZ983055:JPD983056 JFD983055:JFH983056 IVH983055:IVL983056 ILL983055:ILP983056 IBP983055:IBT983056 HRT983055:HRX983056 HHX983055:HIB983056 GYB983055:GYF983056 GOF983055:GOJ983056 GEJ983055:GEN983056 FUN983055:FUR983056 FKR983055:FKV983056 FAV983055:FAZ983056 EQZ983055:ERD983056 EHD983055:EHH983056 DXH983055:DXL983056 DNL983055:DNP983056 DDP983055:DDT983056 CTT983055:CTX983056 CJX983055:CKB983056 CAB983055:CAF983056 BQF983055:BQJ983056 BGJ983055:BGN983056 AWN983055:AWR983056 AMR983055:AMV983056 ACV983055:ACZ983056 SZ983055:TD983056 JD983055:JH983056 WVP917519:WVT917520 WLT917519:WLX917520 WBX917519:WCB917520 VSB917519:VSF917520 VIF917519:VIJ917520 UYJ917519:UYN917520 UON917519:UOR917520 UER917519:UEV917520 TUV917519:TUZ917520 TKZ917519:TLD917520 TBD917519:TBH917520 SRH917519:SRL917520 SHL917519:SHP917520 RXP917519:RXT917520 RNT917519:RNX917520 RDX917519:REB917520 QUB917519:QUF917520 QKF917519:QKJ917520 QAJ917519:QAN917520 PQN917519:PQR917520 PGR917519:PGV917520 OWV917519:OWZ917520 OMZ917519:OND917520 ODD917519:ODH917520 NTH917519:NTL917520 NJL917519:NJP917520 MZP917519:MZT917520 MPT917519:MPX917520 MFX917519:MGB917520 LWB917519:LWF917520 LMF917519:LMJ917520 LCJ917519:LCN917520 KSN917519:KSR917520 KIR917519:KIV917520 JYV917519:JYZ917520 JOZ917519:JPD917520 JFD917519:JFH917520 IVH917519:IVL917520 ILL917519:ILP917520 IBP917519:IBT917520 HRT917519:HRX917520 HHX917519:HIB917520 GYB917519:GYF917520 GOF917519:GOJ917520 GEJ917519:GEN917520 FUN917519:FUR917520 FKR917519:FKV917520 FAV917519:FAZ917520 EQZ917519:ERD917520 EHD917519:EHH917520 DXH917519:DXL917520 DNL917519:DNP917520 DDP917519:DDT917520 CTT917519:CTX917520 CJX917519:CKB917520 CAB917519:CAF917520 BQF917519:BQJ917520 BGJ917519:BGN917520 AWN917519:AWR917520 AMR917519:AMV917520 ACV917519:ACZ917520 SZ917519:TD917520 JD917519:JH917520 WVP851983:WVT851984 WLT851983:WLX851984 WBX851983:WCB851984 VSB851983:VSF851984 VIF851983:VIJ851984 UYJ851983:UYN851984 UON851983:UOR851984 UER851983:UEV851984 TUV851983:TUZ851984 TKZ851983:TLD851984 TBD851983:TBH851984 SRH851983:SRL851984 SHL851983:SHP851984 RXP851983:RXT851984 RNT851983:RNX851984 RDX851983:REB851984 QUB851983:QUF851984 QKF851983:QKJ851984 QAJ851983:QAN851984 PQN851983:PQR851984 PGR851983:PGV851984 OWV851983:OWZ851984 OMZ851983:OND851984 ODD851983:ODH851984 NTH851983:NTL851984 NJL851983:NJP851984 MZP851983:MZT851984 MPT851983:MPX851984 MFX851983:MGB851984 LWB851983:LWF851984 LMF851983:LMJ851984 LCJ851983:LCN851984 KSN851983:KSR851984 KIR851983:KIV851984 JYV851983:JYZ851984 JOZ851983:JPD851984 JFD851983:JFH851984 IVH851983:IVL851984 ILL851983:ILP851984 IBP851983:IBT851984 HRT851983:HRX851984 HHX851983:HIB851984 GYB851983:GYF851984 GOF851983:GOJ851984 GEJ851983:GEN851984 FUN851983:FUR851984 FKR851983:FKV851984 FAV851983:FAZ851984 EQZ851983:ERD851984 EHD851983:EHH851984 DXH851983:DXL851984 DNL851983:DNP851984 DDP851983:DDT851984 CTT851983:CTX851984 CJX851983:CKB851984 CAB851983:CAF851984 BQF851983:BQJ851984 BGJ851983:BGN851984 AWN851983:AWR851984 AMR851983:AMV851984 ACV851983:ACZ851984 SZ851983:TD851984 JD851983:JH851984 WVP786447:WVT786448 WLT786447:WLX786448 WBX786447:WCB786448 VSB786447:VSF786448 VIF786447:VIJ786448 UYJ786447:UYN786448 UON786447:UOR786448 UER786447:UEV786448 TUV786447:TUZ786448 TKZ786447:TLD786448 TBD786447:TBH786448 SRH786447:SRL786448 SHL786447:SHP786448 RXP786447:RXT786448 RNT786447:RNX786448 RDX786447:REB786448 QUB786447:QUF786448 QKF786447:QKJ786448 QAJ786447:QAN786448 PQN786447:PQR786448 PGR786447:PGV786448 OWV786447:OWZ786448 OMZ786447:OND786448 ODD786447:ODH786448 NTH786447:NTL786448 NJL786447:NJP786448 MZP786447:MZT786448 MPT786447:MPX786448 MFX786447:MGB786448 LWB786447:LWF786448 LMF786447:LMJ786448 LCJ786447:LCN786448 KSN786447:KSR786448 KIR786447:KIV786448 JYV786447:JYZ786448 JOZ786447:JPD786448 JFD786447:JFH786448 IVH786447:IVL786448 ILL786447:ILP786448 IBP786447:IBT786448 HRT786447:HRX786448 HHX786447:HIB786448 GYB786447:GYF786448 GOF786447:GOJ786448 GEJ786447:GEN786448 FUN786447:FUR786448 FKR786447:FKV786448 FAV786447:FAZ786448 EQZ786447:ERD786448 EHD786447:EHH786448 DXH786447:DXL786448 DNL786447:DNP786448 DDP786447:DDT786448 CTT786447:CTX786448 CJX786447:CKB786448 CAB786447:CAF786448 BQF786447:BQJ786448 BGJ786447:BGN786448 AWN786447:AWR786448 AMR786447:AMV786448 ACV786447:ACZ786448 SZ786447:TD786448 JD786447:JH786448 WVP720911:WVT720912 WLT720911:WLX720912 WBX720911:WCB720912 VSB720911:VSF720912 VIF720911:VIJ720912 UYJ720911:UYN720912 UON720911:UOR720912 UER720911:UEV720912 TUV720911:TUZ720912 TKZ720911:TLD720912 TBD720911:TBH720912 SRH720911:SRL720912 SHL720911:SHP720912 RXP720911:RXT720912 RNT720911:RNX720912 RDX720911:REB720912 QUB720911:QUF720912 QKF720911:QKJ720912 QAJ720911:QAN720912 PQN720911:PQR720912 PGR720911:PGV720912 OWV720911:OWZ720912 OMZ720911:OND720912 ODD720911:ODH720912 NTH720911:NTL720912 NJL720911:NJP720912 MZP720911:MZT720912 MPT720911:MPX720912 MFX720911:MGB720912 LWB720911:LWF720912 LMF720911:LMJ720912 LCJ720911:LCN720912 KSN720911:KSR720912 KIR720911:KIV720912 JYV720911:JYZ720912 JOZ720911:JPD720912 JFD720911:JFH720912 IVH720911:IVL720912 ILL720911:ILP720912 IBP720911:IBT720912 HRT720911:HRX720912 HHX720911:HIB720912 GYB720911:GYF720912 GOF720911:GOJ720912 GEJ720911:GEN720912 FUN720911:FUR720912 FKR720911:FKV720912 FAV720911:FAZ720912 EQZ720911:ERD720912 EHD720911:EHH720912 DXH720911:DXL720912 DNL720911:DNP720912 DDP720911:DDT720912 CTT720911:CTX720912 CJX720911:CKB720912 CAB720911:CAF720912 BQF720911:BQJ720912 BGJ720911:BGN720912 AWN720911:AWR720912 AMR720911:AMV720912 ACV720911:ACZ720912 SZ720911:TD720912 JD720911:JH720912 WVP655375:WVT655376 WLT655375:WLX655376 WBX655375:WCB655376 VSB655375:VSF655376 VIF655375:VIJ655376 UYJ655375:UYN655376 UON655375:UOR655376 UER655375:UEV655376 TUV655375:TUZ655376 TKZ655375:TLD655376 TBD655375:TBH655376 SRH655375:SRL655376 SHL655375:SHP655376 RXP655375:RXT655376 RNT655375:RNX655376 RDX655375:REB655376 QUB655375:QUF655376 QKF655375:QKJ655376 QAJ655375:QAN655376 PQN655375:PQR655376 PGR655375:PGV655376 OWV655375:OWZ655376 OMZ655375:OND655376 ODD655375:ODH655376 NTH655375:NTL655376 NJL655375:NJP655376 MZP655375:MZT655376 MPT655375:MPX655376 MFX655375:MGB655376 LWB655375:LWF655376 LMF655375:LMJ655376 LCJ655375:LCN655376 KSN655375:KSR655376 KIR655375:KIV655376 JYV655375:JYZ655376 JOZ655375:JPD655376 JFD655375:JFH655376 IVH655375:IVL655376 ILL655375:ILP655376 IBP655375:IBT655376 HRT655375:HRX655376 HHX655375:HIB655376 GYB655375:GYF655376 GOF655375:GOJ655376 GEJ655375:GEN655376 FUN655375:FUR655376 FKR655375:FKV655376 FAV655375:FAZ655376 EQZ655375:ERD655376 EHD655375:EHH655376 DXH655375:DXL655376 DNL655375:DNP655376 DDP655375:DDT655376 CTT655375:CTX655376 CJX655375:CKB655376 CAB655375:CAF655376 BQF655375:BQJ655376 BGJ655375:BGN655376 AWN655375:AWR655376 AMR655375:AMV655376 ACV655375:ACZ655376 SZ655375:TD655376 JD655375:JH655376 WVP589839:WVT589840 WLT589839:WLX589840 WBX589839:WCB589840 VSB589839:VSF589840 VIF589839:VIJ589840 UYJ589839:UYN589840 UON589839:UOR589840 UER589839:UEV589840 TUV589839:TUZ589840 TKZ589839:TLD589840 TBD589839:TBH589840 SRH589839:SRL589840 SHL589839:SHP589840 RXP589839:RXT589840 RNT589839:RNX589840 RDX589839:REB589840 QUB589839:QUF589840 QKF589839:QKJ589840 QAJ589839:QAN589840 PQN589839:PQR589840 PGR589839:PGV589840 OWV589839:OWZ589840 OMZ589839:OND589840 ODD589839:ODH589840 NTH589839:NTL589840 NJL589839:NJP589840 MZP589839:MZT589840 MPT589839:MPX589840 MFX589839:MGB589840 LWB589839:LWF589840 LMF589839:LMJ589840 LCJ589839:LCN589840 KSN589839:KSR589840 KIR589839:KIV589840 JYV589839:JYZ589840 JOZ589839:JPD589840 JFD589839:JFH589840 IVH589839:IVL589840 ILL589839:ILP589840 IBP589839:IBT589840 HRT589839:HRX589840 HHX589839:HIB589840 GYB589839:GYF589840 GOF589839:GOJ589840 GEJ589839:GEN589840 FUN589839:FUR589840 FKR589839:FKV589840 FAV589839:FAZ589840 EQZ589839:ERD589840 EHD589839:EHH589840 DXH589839:DXL589840 DNL589839:DNP589840 DDP589839:DDT589840 CTT589839:CTX589840 CJX589839:CKB589840 CAB589839:CAF589840 BQF589839:BQJ589840 BGJ589839:BGN589840 AWN589839:AWR589840 AMR589839:AMV589840 ACV589839:ACZ589840 SZ589839:TD589840 JD589839:JH589840 WVP524303:WVT524304 WLT524303:WLX524304 WBX524303:WCB524304 VSB524303:VSF524304 VIF524303:VIJ524304 UYJ524303:UYN524304 UON524303:UOR524304 UER524303:UEV524304 TUV524303:TUZ524304 TKZ524303:TLD524304 TBD524303:TBH524304 SRH524303:SRL524304 SHL524303:SHP524304 RXP524303:RXT524304 RNT524303:RNX524304 RDX524303:REB524304 QUB524303:QUF524304 QKF524303:QKJ524304 QAJ524303:QAN524304 PQN524303:PQR524304 PGR524303:PGV524304 OWV524303:OWZ524304 OMZ524303:OND524304 ODD524303:ODH524304 NTH524303:NTL524304 NJL524303:NJP524304 MZP524303:MZT524304 MPT524303:MPX524304 MFX524303:MGB524304 LWB524303:LWF524304 LMF524303:LMJ524304 LCJ524303:LCN524304 KSN524303:KSR524304 KIR524303:KIV524304 JYV524303:JYZ524304 JOZ524303:JPD524304 JFD524303:JFH524304 IVH524303:IVL524304 ILL524303:ILP524304 IBP524303:IBT524304 HRT524303:HRX524304 HHX524303:HIB524304 GYB524303:GYF524304 GOF524303:GOJ524304 GEJ524303:GEN524304 FUN524303:FUR524304 FKR524303:FKV524304 FAV524303:FAZ524304 EQZ524303:ERD524304 EHD524303:EHH524304 DXH524303:DXL524304 DNL524303:DNP524304 DDP524303:DDT524304 CTT524303:CTX524304 CJX524303:CKB524304 CAB524303:CAF524304 BQF524303:BQJ524304 BGJ524303:BGN524304 AWN524303:AWR524304 AMR524303:AMV524304 ACV524303:ACZ524304 SZ524303:TD524304 JD524303:JH524304 WVP458767:WVT458768 WLT458767:WLX458768 WBX458767:WCB458768 VSB458767:VSF458768 VIF458767:VIJ458768 UYJ458767:UYN458768 UON458767:UOR458768 UER458767:UEV458768 TUV458767:TUZ458768 TKZ458767:TLD458768 TBD458767:TBH458768 SRH458767:SRL458768 SHL458767:SHP458768 RXP458767:RXT458768 RNT458767:RNX458768 RDX458767:REB458768 QUB458767:QUF458768 QKF458767:QKJ458768 QAJ458767:QAN458768 PQN458767:PQR458768 PGR458767:PGV458768 OWV458767:OWZ458768 OMZ458767:OND458768 ODD458767:ODH458768 NTH458767:NTL458768 NJL458767:NJP458768 MZP458767:MZT458768 MPT458767:MPX458768 MFX458767:MGB458768 LWB458767:LWF458768 LMF458767:LMJ458768 LCJ458767:LCN458768 KSN458767:KSR458768 KIR458767:KIV458768 JYV458767:JYZ458768 JOZ458767:JPD458768 JFD458767:JFH458768 IVH458767:IVL458768 ILL458767:ILP458768 IBP458767:IBT458768 HRT458767:HRX458768 HHX458767:HIB458768 GYB458767:GYF458768 GOF458767:GOJ458768 GEJ458767:GEN458768 FUN458767:FUR458768 FKR458767:FKV458768 FAV458767:FAZ458768 EQZ458767:ERD458768 EHD458767:EHH458768 DXH458767:DXL458768 DNL458767:DNP458768 DDP458767:DDT458768 CTT458767:CTX458768 CJX458767:CKB458768 CAB458767:CAF458768 BQF458767:BQJ458768 BGJ458767:BGN458768 AWN458767:AWR458768 AMR458767:AMV458768 ACV458767:ACZ458768 SZ458767:TD458768 JD458767:JH458768 WVP393231:WVT393232 WLT393231:WLX393232 WBX393231:WCB393232 VSB393231:VSF393232 VIF393231:VIJ393232 UYJ393231:UYN393232 UON393231:UOR393232 UER393231:UEV393232 TUV393231:TUZ393232 TKZ393231:TLD393232 TBD393231:TBH393232 SRH393231:SRL393232 SHL393231:SHP393232 RXP393231:RXT393232 RNT393231:RNX393232 RDX393231:REB393232 QUB393231:QUF393232 QKF393231:QKJ393232 QAJ393231:QAN393232 PQN393231:PQR393232 PGR393231:PGV393232 OWV393231:OWZ393232 OMZ393231:OND393232 ODD393231:ODH393232 NTH393231:NTL393232 NJL393231:NJP393232 MZP393231:MZT393232 MPT393231:MPX393232 MFX393231:MGB393232 LWB393231:LWF393232 LMF393231:LMJ393232 LCJ393231:LCN393232 KSN393231:KSR393232 KIR393231:KIV393232 JYV393231:JYZ393232 JOZ393231:JPD393232 JFD393231:JFH393232 IVH393231:IVL393232 ILL393231:ILP393232 IBP393231:IBT393232 HRT393231:HRX393232 HHX393231:HIB393232 GYB393231:GYF393232 GOF393231:GOJ393232 GEJ393231:GEN393232 FUN393231:FUR393232 FKR393231:FKV393232 FAV393231:FAZ393232 EQZ393231:ERD393232 EHD393231:EHH393232 DXH393231:DXL393232 DNL393231:DNP393232 DDP393231:DDT393232 CTT393231:CTX393232 CJX393231:CKB393232 CAB393231:CAF393232 BQF393231:BQJ393232 BGJ393231:BGN393232 AWN393231:AWR393232 AMR393231:AMV393232 ACV393231:ACZ393232 SZ393231:TD393232 JD393231:JH393232 WVP327695:WVT327696 WLT327695:WLX327696 WBX327695:WCB327696 VSB327695:VSF327696 VIF327695:VIJ327696 UYJ327695:UYN327696 UON327695:UOR327696 UER327695:UEV327696 TUV327695:TUZ327696 TKZ327695:TLD327696 TBD327695:TBH327696 SRH327695:SRL327696 SHL327695:SHP327696 RXP327695:RXT327696 RNT327695:RNX327696 RDX327695:REB327696 QUB327695:QUF327696 QKF327695:QKJ327696 QAJ327695:QAN327696 PQN327695:PQR327696 PGR327695:PGV327696 OWV327695:OWZ327696 OMZ327695:OND327696 ODD327695:ODH327696 NTH327695:NTL327696 NJL327695:NJP327696 MZP327695:MZT327696 MPT327695:MPX327696 MFX327695:MGB327696 LWB327695:LWF327696 LMF327695:LMJ327696 LCJ327695:LCN327696 KSN327695:KSR327696 KIR327695:KIV327696 JYV327695:JYZ327696 JOZ327695:JPD327696 JFD327695:JFH327696 IVH327695:IVL327696 ILL327695:ILP327696 IBP327695:IBT327696 HRT327695:HRX327696 HHX327695:HIB327696 GYB327695:GYF327696 GOF327695:GOJ327696 GEJ327695:GEN327696 FUN327695:FUR327696 FKR327695:FKV327696 FAV327695:FAZ327696 EQZ327695:ERD327696 EHD327695:EHH327696 DXH327695:DXL327696 DNL327695:DNP327696 DDP327695:DDT327696 CTT327695:CTX327696 CJX327695:CKB327696 CAB327695:CAF327696 BQF327695:BQJ327696 BGJ327695:BGN327696 AWN327695:AWR327696 AMR327695:AMV327696 ACV327695:ACZ327696 SZ327695:TD327696 JD327695:JH327696 WVP262159:WVT262160 WLT262159:WLX262160 WBX262159:WCB262160 VSB262159:VSF262160 VIF262159:VIJ262160 UYJ262159:UYN262160 UON262159:UOR262160 UER262159:UEV262160 TUV262159:TUZ262160 TKZ262159:TLD262160 TBD262159:TBH262160 SRH262159:SRL262160 SHL262159:SHP262160 RXP262159:RXT262160 RNT262159:RNX262160 RDX262159:REB262160 QUB262159:QUF262160 QKF262159:QKJ262160 QAJ262159:QAN262160 PQN262159:PQR262160 PGR262159:PGV262160 OWV262159:OWZ262160 OMZ262159:OND262160 ODD262159:ODH262160 NTH262159:NTL262160 NJL262159:NJP262160 MZP262159:MZT262160 MPT262159:MPX262160 MFX262159:MGB262160 LWB262159:LWF262160 LMF262159:LMJ262160 LCJ262159:LCN262160 KSN262159:KSR262160 KIR262159:KIV262160 JYV262159:JYZ262160 JOZ262159:JPD262160 JFD262159:JFH262160 IVH262159:IVL262160 ILL262159:ILP262160 IBP262159:IBT262160 HRT262159:HRX262160 HHX262159:HIB262160 GYB262159:GYF262160 GOF262159:GOJ262160 GEJ262159:GEN262160 FUN262159:FUR262160 FKR262159:FKV262160 FAV262159:FAZ262160 EQZ262159:ERD262160 EHD262159:EHH262160 DXH262159:DXL262160 DNL262159:DNP262160 DDP262159:DDT262160 CTT262159:CTX262160 CJX262159:CKB262160 CAB262159:CAF262160 BQF262159:BQJ262160 BGJ262159:BGN262160 AWN262159:AWR262160 AMR262159:AMV262160 ACV262159:ACZ262160 SZ262159:TD262160 JD262159:JH262160 WVP196623:WVT196624 WLT196623:WLX196624 WBX196623:WCB196624 VSB196623:VSF196624 VIF196623:VIJ196624 UYJ196623:UYN196624 UON196623:UOR196624 UER196623:UEV196624 TUV196623:TUZ196624 TKZ196623:TLD196624 TBD196623:TBH196624 SRH196623:SRL196624 SHL196623:SHP196624 RXP196623:RXT196624 RNT196623:RNX196624 RDX196623:REB196624 QUB196623:QUF196624 QKF196623:QKJ196624 QAJ196623:QAN196624 PQN196623:PQR196624 PGR196623:PGV196624 OWV196623:OWZ196624 OMZ196623:OND196624 ODD196623:ODH196624 NTH196623:NTL196624 NJL196623:NJP196624 MZP196623:MZT196624 MPT196623:MPX196624 MFX196623:MGB196624 LWB196623:LWF196624 LMF196623:LMJ196624 LCJ196623:LCN196624 KSN196623:KSR196624 KIR196623:KIV196624 JYV196623:JYZ196624 JOZ196623:JPD196624 JFD196623:JFH196624 IVH196623:IVL196624 ILL196623:ILP196624 IBP196623:IBT196624 HRT196623:HRX196624 HHX196623:HIB196624 GYB196623:GYF196624 GOF196623:GOJ196624 GEJ196623:GEN196624 FUN196623:FUR196624 FKR196623:FKV196624 FAV196623:FAZ196624 EQZ196623:ERD196624 EHD196623:EHH196624 DXH196623:DXL196624 DNL196623:DNP196624 DDP196623:DDT196624 CTT196623:CTX196624 CJX196623:CKB196624 CAB196623:CAF196624 BQF196623:BQJ196624 BGJ196623:BGN196624 AWN196623:AWR196624 AMR196623:AMV196624 ACV196623:ACZ196624 SZ196623:TD196624 JD196623:JH196624 WVP131087:WVT131088 WLT131087:WLX131088 WBX131087:WCB131088 VSB131087:VSF131088 VIF131087:VIJ131088 UYJ131087:UYN131088 UON131087:UOR131088 UER131087:UEV131088 TUV131087:TUZ131088 TKZ131087:TLD131088 TBD131087:TBH131088 SRH131087:SRL131088 SHL131087:SHP131088 RXP131087:RXT131088 RNT131087:RNX131088 RDX131087:REB131088 QUB131087:QUF131088 QKF131087:QKJ131088 QAJ131087:QAN131088 PQN131087:PQR131088 PGR131087:PGV131088 OWV131087:OWZ131088 OMZ131087:OND131088 ODD131087:ODH131088 NTH131087:NTL131088 NJL131087:NJP131088 MZP131087:MZT131088 MPT131087:MPX131088 MFX131087:MGB131088 LWB131087:LWF131088 LMF131087:LMJ131088 LCJ131087:LCN131088 KSN131087:KSR131088 KIR131087:KIV131088 JYV131087:JYZ131088 JOZ131087:JPD131088 JFD131087:JFH131088 IVH131087:IVL131088 ILL131087:ILP131088 IBP131087:IBT131088 HRT131087:HRX131088 HHX131087:HIB131088 GYB131087:GYF131088 GOF131087:GOJ131088 GEJ131087:GEN131088 FUN131087:FUR131088 FKR131087:FKV131088 FAV131087:FAZ131088 EQZ131087:ERD131088 EHD131087:EHH131088 DXH131087:DXL131088 DNL131087:DNP131088 DDP131087:DDT131088 CTT131087:CTX131088 CJX131087:CKB131088 CAB131087:CAF131088 BQF131087:BQJ131088 BGJ131087:BGN131088 AWN131087:AWR131088 AMR131087:AMV131088 ACV131087:ACZ131088 SZ131087:TD131088 JD131087:JH131088 WVP65551:WVT65552 WLT65551:WLX65552 WBX65551:WCB65552 VSB65551:VSF65552 VIF65551:VIJ65552 UYJ65551:UYN65552 UON65551:UOR65552 UER65551:UEV65552 TUV65551:TUZ65552 TKZ65551:TLD65552 TBD65551:TBH65552 SRH65551:SRL65552 SHL65551:SHP65552 RXP65551:RXT65552 RNT65551:RNX65552 RDX65551:REB65552 QUB65551:QUF65552 QKF65551:QKJ65552 QAJ65551:QAN65552 PQN65551:PQR65552 PGR65551:PGV65552 OWV65551:OWZ65552 OMZ65551:OND65552 ODD65551:ODH65552 NTH65551:NTL65552 NJL65551:NJP65552 MZP65551:MZT65552 MPT65551:MPX65552 MFX65551:MGB65552 LWB65551:LWF65552 LMF65551:LMJ65552 LCJ65551:LCN65552 KSN65551:KSR65552 KIR65551:KIV65552 JYV65551:JYZ65552 JOZ65551:JPD65552 JFD65551:JFH65552 IVH65551:IVL65552 ILL65551:ILP65552 IBP65551:IBT65552 HRT65551:HRX65552 HHX65551:HIB65552 GYB65551:GYF65552 GOF65551:GOJ65552 GEJ65551:GEN65552 FUN65551:FUR65552 FKR65551:FKV65552 FAV65551:FAZ65552 EQZ65551:ERD65552 EHD65551:EHH65552 DXH65551:DXL65552 DNL65551:DNP65552 DDP65551:DDT65552 CTT65551:CTX65552 CJX65551:CKB65552 CAB65551:CAF65552 BQF65551:BQJ65552 BGJ65551:BGN65552 AWN65551:AWR65552 AMR65551:AMV65552 ACV65551:ACZ65552 SZ65551:TD65552 JD65551:JH65552 JD14:JH15 WVP14:WVT15 WLT14:WLX15 WBX14:WCB15 VSB14:VSF15 VIF14:VIJ15 UYJ14:UYN15 UON14:UOR15 UER14:UEV15 TUV14:TUZ15 TKZ14:TLD15 TBD14:TBH15 SRH14:SRL15 SHL14:SHP15 RXP14:RXT15 RNT14:RNX15 RDX14:REB15 QUB14:QUF15 QKF14:QKJ15 QAJ14:QAN15 PQN14:PQR15 PGR14:PGV15 OWV14:OWZ15 OMZ14:OND15 ODD14:ODH15 NTH14:NTL15 NJL14:NJP15 MZP14:MZT15 MPT14:MPX15 MFX14:MGB15 LWB14:LWF15 LMF14:LMJ15 LCJ14:LCN15 KSN14:KSR15 KIR14:KIV15 JYV14:JYZ15 JOZ14:JPD15 JFD14:JFH15 IVH14:IVL15 ILL14:ILP15 IBP14:IBT15 HRT14:HRX15 HHX14:HIB15 GYB14:GYF15 GOF14:GOJ15 GEJ14:GEN15 FUN14:FUR15 FKR14:FKV15 FAV14:FAZ15 EQZ14:ERD15 EHD14:EHH15 DXH14:DXL15 DNL14:DNP15 DDP14:DDT15 CTT14:CTX15 CJX14:CKB15 CAB14:CAF15 BQF14:BQJ15 BGJ14:BGN15 AWN14:AWR15 AMR14:AMV15 ACV14:ACZ15 SZ14:TD15 E65551:E65552 E131087:E131088 E196623:E196624 E262159:E262160 E327695:E327696 E393231:E393232 E458767:E458768 E524303:E524304 E589839:E589840 E655375:E655376 E720911:E720912 E786447:E786448 E851983:E851984 E917519:E917520 E983055:E983056" xr:uid="{00000000-0002-0000-0900-000002000000}">
      <formula1>"Buy,Sell,(remove)"</formula1>
    </dataValidation>
  </dataValidations>
  <pageMargins left="0.7" right="0.7" top="0.75" bottom="0.75" header="0.3" footer="0.3"/>
  <pageSetup orientation="portrait" horizontalDpi="4294967295" verticalDpi="4294967295" r:id="rId1"/>
  <headerFooter alignWithMargins="0"/>
  <customProperties>
    <customPr name="Password" r:id="rId2"/>
    <customPr name="Qube.Worksheet.Visibility" r:id="rId3"/>
    <customPr name="SHEET_UNIQUE_ID" r:id="rId4"/>
  </customProperties>
  <legacyDrawing r:id="rId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pageSetUpPr fitToPage="1"/>
  </sheetPr>
  <dimension ref="A1:AU174"/>
  <sheetViews>
    <sheetView tabSelected="1" topLeftCell="A140" workbookViewId="0">
      <selection activeCell="I166" sqref="I166"/>
    </sheetView>
  </sheetViews>
  <sheetFormatPr defaultColWidth="10.75" defaultRowHeight="12"/>
  <cols>
    <col min="1" max="1" width="4" style="1" customWidth="1"/>
    <col min="2" max="2" width="27.375" style="15" customWidth="1"/>
    <col min="3" max="5" width="10.75" style="15" customWidth="1"/>
    <col min="6" max="8" width="10.75" style="15"/>
    <col min="9" max="9" width="10.75" style="15" customWidth="1"/>
    <col min="10" max="10" width="10.75" style="15"/>
    <col min="11" max="11" width="10.75" style="15" customWidth="1"/>
    <col min="12" max="16384" width="10.75" style="15"/>
  </cols>
  <sheetData>
    <row r="1" spans="1:47">
      <c r="A1" s="15"/>
    </row>
    <row r="2" spans="1:47">
      <c r="A2" s="1" t="s">
        <v>1121</v>
      </c>
      <c r="B2" s="92" t="s">
        <v>298</v>
      </c>
      <c r="C2" s="93" t="s">
        <v>299</v>
      </c>
      <c r="D2" s="94"/>
      <c r="E2" s="94" t="s">
        <v>300</v>
      </c>
      <c r="F2" s="94"/>
      <c r="G2" s="147">
        <f>VLOOKUP($A2,[1]Sheet1!$2:$279,MATCH("Current",[1]Sheet1!$2:$2,0),FALSE)</f>
        <v>46265</v>
      </c>
      <c r="AU2" s="15" t="s">
        <v>1076</v>
      </c>
    </row>
    <row r="3" spans="1:47">
      <c r="B3" s="95" t="s">
        <v>301</v>
      </c>
      <c r="C3" s="96" t="str">
        <f>C$2&amp;" AU"</f>
        <v>ANZ AU</v>
      </c>
      <c r="D3" s="97"/>
      <c r="E3" s="97" t="s">
        <v>205</v>
      </c>
      <c r="F3" s="97"/>
      <c r="G3" s="98" t="str">
        <f>INDEX(Model!$BS$1:$DK$1,MATCH(MAX(Model!$BS$3:$DK$3),Model!$BS$3:$DK$3,0))</f>
        <v>FY34E</v>
      </c>
      <c r="AU3" s="15" t="s">
        <v>570</v>
      </c>
    </row>
    <row r="4" spans="1:47">
      <c r="A4" s="1" t="s">
        <v>1122</v>
      </c>
      <c r="B4" s="95" t="s">
        <v>206</v>
      </c>
      <c r="C4" s="96" t="str">
        <f>C$2&amp;".AX"</f>
        <v>ANZ.AX</v>
      </c>
      <c r="D4" s="97"/>
      <c r="E4" s="97" t="s">
        <v>207</v>
      </c>
      <c r="F4" s="97"/>
      <c r="G4" s="148">
        <f>VLOOKUP($A4,[1]Sheet1!$2:$279,MATCH("Current",[1]Sheet1!$2:$2,0),FALSE)</f>
        <v>2.5000000000000001E-2</v>
      </c>
      <c r="M4" s="498" t="str">
        <f>_xll.QueryTool.Functions.GQPrice($C$4, "", "", "Default")</f>
        <v>Error: RTD method of WorksheetFunction class failed</v>
      </c>
      <c r="AU4" s="15" t="s">
        <v>1077</v>
      </c>
    </row>
    <row r="5" spans="1:47">
      <c r="A5" s="1" t="s">
        <v>1123</v>
      </c>
      <c r="B5" s="95" t="s">
        <v>130</v>
      </c>
      <c r="C5" s="498" t="e" cm="1">
        <f t="array" aca="1" ref="C5" ca="1">[2]!IRESSRtd("Quote", "13", "0", "ANZ.ASX")/100</f>
        <v>#NAME?</v>
      </c>
      <c r="D5" s="97"/>
      <c r="E5" s="97" t="s">
        <v>131</v>
      </c>
      <c r="F5" s="97"/>
      <c r="G5" s="148">
        <f>VLOOKUP($A5,[1]Sheet1!$2:$279,MATCH("Current",[1]Sheet1!$2:$2,0),FALSE)</f>
        <v>3.5000000000000003E-2</v>
      </c>
    </row>
    <row r="6" spans="1:47">
      <c r="A6" s="1" t="s">
        <v>1124</v>
      </c>
      <c r="B6" s="95" t="s">
        <v>295</v>
      </c>
      <c r="C6" s="99" t="e" cm="1">
        <f t="array" aca="1" ref="C6" ca="1">[2]!IRESSRtd("Quote", "15", "0", "ANZ.ASX")/1000000</f>
        <v>#NAME?</v>
      </c>
      <c r="D6" s="97"/>
      <c r="E6" s="97" t="s">
        <v>232</v>
      </c>
      <c r="F6" s="97"/>
      <c r="G6" s="148">
        <f>VLOOKUP($A6,[1]Sheet1!$2:$279,MATCH("Current",[1]Sheet1!$2:$2,0),FALSE)</f>
        <v>0.06</v>
      </c>
    </row>
    <row r="7" spans="1:47">
      <c r="A7" s="1" t="s">
        <v>1125</v>
      </c>
      <c r="B7" s="95" t="s">
        <v>1078</v>
      </c>
      <c r="C7" s="100" t="s">
        <v>1076</v>
      </c>
      <c r="D7" s="97"/>
      <c r="E7" s="97" t="s">
        <v>233</v>
      </c>
      <c r="F7" s="97"/>
      <c r="G7" s="372">
        <v>0.95</v>
      </c>
    </row>
    <row r="8" spans="1:47">
      <c r="B8" s="95" t="s">
        <v>234</v>
      </c>
      <c r="C8" s="507">
        <f ca="1">TODAY()</f>
        <v>46065</v>
      </c>
      <c r="D8" s="97"/>
      <c r="E8" s="97" t="s">
        <v>235</v>
      </c>
      <c r="F8" s="97"/>
      <c r="G8" s="102">
        <f>G5+G7*G6</f>
        <v>9.1999999999999998E-2</v>
      </c>
    </row>
    <row r="9" spans="1:47">
      <c r="B9" s="95" t="s">
        <v>236</v>
      </c>
      <c r="C9" s="101">
        <f>HLOOKUP("A",Model!$C$2:$BR$3,2)</f>
        <v>45930</v>
      </c>
      <c r="D9" s="97"/>
      <c r="E9" s="97" t="str">
        <f>"Valuation as at "&amp;TEXT($G$2,"DD-MMM-YY")</f>
        <v>Valuation as at 31-Aug-26</v>
      </c>
      <c r="F9" s="97"/>
      <c r="G9" s="187">
        <f ca="1">$C$153</f>
        <v>40.564236991099477</v>
      </c>
    </row>
    <row r="10" spans="1:47">
      <c r="B10" s="103" t="s">
        <v>237</v>
      </c>
      <c r="C10" s="104">
        <f ca="1">HLOOKUP(EOMONTH($C$8,11),Model!$BS$3:$DD$3,1)</f>
        <v>46295</v>
      </c>
      <c r="D10" s="105"/>
      <c r="E10" s="105" t="str">
        <f>"Price target as at "&amp;TEXT($G$2,"DD-MMM-YY")</f>
        <v>Price target as at 31-Aug-26</v>
      </c>
      <c r="F10" s="106"/>
      <c r="G10" s="188">
        <v>40.564236991099477</v>
      </c>
      <c r="H10" s="506"/>
    </row>
    <row r="11" spans="1:47">
      <c r="C11" s="84"/>
      <c r="G11" s="412"/>
    </row>
    <row r="12" spans="1:47">
      <c r="A12" s="413"/>
      <c r="B12" s="2" t="s">
        <v>1079</v>
      </c>
      <c r="C12" s="107"/>
      <c r="D12" s="107"/>
      <c r="E12" s="107"/>
      <c r="F12" s="107"/>
      <c r="G12" s="107"/>
      <c r="H12" s="107"/>
      <c r="I12" s="107"/>
      <c r="J12" s="107"/>
      <c r="K12" s="107"/>
      <c r="L12" s="107"/>
    </row>
    <row r="14" spans="1:47">
      <c r="A14" s="1" t="e">
        <f ca="1">INDEX(Model!$BS$1:$CS$1,MATCH(C14,Model!$BS$1:$CS$1,0)-1)</f>
        <v>#N/A</v>
      </c>
      <c r="B14" s="5" t="s">
        <v>1080</v>
      </c>
      <c r="C14" s="9" t="str">
        <f ca="1">INDEX(Model!$BS$1:$DD$1,MATCH(D14,Model!$BS$1:$DD$1,0)-1)</f>
        <v>FY24A</v>
      </c>
      <c r="D14" s="9" t="str">
        <f ca="1">INDEX(Model!$BS$1:$DD$1,MATCH(E14,Model!$BS$1:$DD$1,0)-1)</f>
        <v>FY25A</v>
      </c>
      <c r="E14" s="9" t="str">
        <f ca="1">INDEX(Model!$BS$1:$DD$1,MATCH($C$10,Model!$BS$3:$DD$3,0))</f>
        <v>FY26E</v>
      </c>
      <c r="F14" s="9" t="str">
        <f ca="1">INDEX(Model!$BS$1:$DD$1,MATCH(E14,Model!$BS$1:$DD$1,0)+1)</f>
        <v>FY27E</v>
      </c>
      <c r="G14" s="9" t="str">
        <f ca="1">INDEX(Model!$BS$1:$DD$1,MATCH(F14,Model!$BS$1:$DD$1,0)+1)</f>
        <v>FY28E</v>
      </c>
      <c r="H14" s="74" t="str">
        <f>INDEX(Model!$C$1:$BR$1,MATCH(I14,Model!$C$1:$BR$1,0)-1)</f>
        <v>2H24A</v>
      </c>
      <c r="I14" s="9" t="str">
        <f>INDEX(Model!$C$1:$BR$1,MATCH(J14,Model!$C$1:$BR$1,0)-1)</f>
        <v>1H25A</v>
      </c>
      <c r="J14" s="9" t="str">
        <f>INDEX(Model!$C$1:$BR$1,MATCH(K14,Model!$C$1:$BR$1,0)-1)</f>
        <v>2H25A</v>
      </c>
      <c r="K14" s="9" t="str">
        <f>INDEX(Model!$C$1:$BR$1,MATCH(L14,Model!$C$1:$BR$1,0)-1)</f>
        <v>1H26E</v>
      </c>
      <c r="L14" s="9" t="str">
        <f>INDEX(Model!$C$1:$BR$1,MATCH($C$9,Model!$C$3:$BR$3,0)+2)</f>
        <v>2H26E</v>
      </c>
      <c r="P14" s="550"/>
      <c r="Q14" s="550"/>
      <c r="R14" s="550"/>
      <c r="S14" s="550"/>
      <c r="T14" s="550"/>
      <c r="V14" s="550"/>
      <c r="X14" s="550"/>
    </row>
    <row r="15" spans="1:47">
      <c r="A15" s="1" t="s">
        <v>983</v>
      </c>
      <c r="B15" s="15" t="s">
        <v>1081</v>
      </c>
      <c r="C15" s="41">
        <f ca="1">VLOOKUP($A15,Model!$1:$1048576,MATCH(C$14,Model!$1:$1,0),FALSE)</f>
        <v>6725</v>
      </c>
      <c r="D15" s="41">
        <f ca="1">VLOOKUP($A15,Model!$1:$1048576,MATCH(D$14,Model!$1:$1,0),FALSE)</f>
        <v>5787</v>
      </c>
      <c r="E15" s="41">
        <f ca="1">VLOOKUP($A15,Model!$1:$1048576,MATCH(E$14,Model!$1:$1,0),FALSE)</f>
        <v>7609.826542347314</v>
      </c>
      <c r="F15" s="41">
        <f ca="1">VLOOKUP($A15,Model!$1:$1048576,MATCH(F$14,Model!$1:$1,0),FALSE)</f>
        <v>7583.0118945870518</v>
      </c>
      <c r="G15" s="41">
        <f ca="1">VLOOKUP($A15,Model!$1:$1048576,MATCH(G$14,Model!$1:$1,0),FALSE)</f>
        <v>7813.8936156985646</v>
      </c>
      <c r="H15" s="41"/>
      <c r="I15" s="41">
        <f>VLOOKUP($A15,Model!$1:$1048576,MATCH(I$14,Model!$1:$1,0),FALSE)</f>
        <v>3568</v>
      </c>
      <c r="J15" s="41">
        <f>VLOOKUP($A15,Model!$1:$1048576,MATCH(J$14,Model!$1:$1,0),FALSE)</f>
        <v>2219</v>
      </c>
      <c r="K15" s="41">
        <f>VLOOKUP($A15,Model!$1:$1048576,MATCH(K$14,Model!$1:$1,0),FALSE)</f>
        <v>3822.0786327811115</v>
      </c>
      <c r="L15" s="41">
        <f>VLOOKUP($A15,Model!$1:$1048576,MATCH(L$14,Model!$1:$1,0),FALSE)</f>
        <v>3787.7479095662015</v>
      </c>
      <c r="P15" s="551"/>
      <c r="Q15" s="551"/>
      <c r="R15" s="551"/>
      <c r="S15" s="551"/>
      <c r="T15" s="551"/>
      <c r="V15" s="551"/>
      <c r="X15" s="551"/>
    </row>
    <row r="16" spans="1:47">
      <c r="A16" s="1" t="s">
        <v>109</v>
      </c>
      <c r="B16" s="15" t="s">
        <v>1082</v>
      </c>
      <c r="C16" s="41">
        <f ca="1">VLOOKUP($A16,Model!$1:$1048576,MATCH(C$14,Model!$1:$1,0),FALSE) * 100</f>
        <v>220.93382807668522</v>
      </c>
      <c r="D16" s="41">
        <f ca="1">VLOOKUP($A16,Model!$1:$1048576,MATCH(D$14,Model!$1:$1,0),FALSE) * 100</f>
        <v>188.21346583225886</v>
      </c>
      <c r="E16" s="41">
        <f ca="1">VLOOKUP($A16,Model!$1:$1048576,MATCH(E$14,Model!$1:$1,0),FALSE) * 100</f>
        <v>252.85348049597366</v>
      </c>
      <c r="F16" s="41">
        <f ca="1">VLOOKUP($A16,Model!$1:$1048576,MATCH(F$14,Model!$1:$1,0),FALSE) * 100</f>
        <v>250.67709357212138</v>
      </c>
      <c r="G16" s="41">
        <f ca="1">VLOOKUP($A16,Model!$1:$1048576,MATCH(G$14,Model!$1:$1,0),FALSE) * 100</f>
        <v>262.09950805601164</v>
      </c>
      <c r="H16" s="32"/>
      <c r="I16" s="41">
        <f>VLOOKUP($A16,Model!$1:$1048576,MATCH(I$14,Model!$1:$1,0),FALSE) * 100</f>
        <v>117.04012182614912</v>
      </c>
      <c r="J16" s="41">
        <f>VLOOKUP($A16,Model!$1:$1048576,MATCH(J$14,Model!$1:$1,0),FALSE) * 100</f>
        <v>74.420632525069593</v>
      </c>
      <c r="K16" s="41">
        <f>VLOOKUP($A16,Model!$1:$1048576,MATCH(K$14,Model!$1:$1,0),FALSE) * 100</f>
        <v>127.45817683598541</v>
      </c>
      <c r="L16" s="41">
        <f>VLOOKUP($A16,Model!$1:$1048576,MATCH(L$14,Model!$1:$1,0),FALSE) * 100</f>
        <v>125.40025567843691</v>
      </c>
      <c r="P16" s="552"/>
      <c r="Q16" s="552"/>
      <c r="R16" s="552"/>
      <c r="S16" s="552"/>
      <c r="T16" s="552"/>
      <c r="V16" s="552"/>
      <c r="W16" s="552"/>
      <c r="X16" s="552"/>
    </row>
    <row r="17" spans="1:24">
      <c r="A17" s="1" t="s">
        <v>109</v>
      </c>
      <c r="B17" s="15" t="s">
        <v>1083</v>
      </c>
      <c r="C17" s="46" t="e">
        <f ca="1">(C16 / (VLOOKUP($A17,Old!$1:$1048576,MATCH(C$14,Old!$1:$1,0),FALSE) * 100 ) - 1) * 100</f>
        <v>#N/A</v>
      </c>
      <c r="D17" s="46">
        <f ca="1">(D16 / (VLOOKUP($A17,Model!$1:$1048576,MATCH(D$14,Model!$1:$1,0),FALSE) * 100 ) - 1) * 100</f>
        <v>0</v>
      </c>
      <c r="E17" s="46">
        <f ca="1">(E16 / (VLOOKUP($A17,Old!$1:$1048576,MATCH(E$14,Old!$1:$1,0),FALSE) * 100 ) - 1) * 100</f>
        <v>11.220542604043061</v>
      </c>
      <c r="F17" s="46">
        <f ca="1">(F16 / (VLOOKUP($A17,Old!$1:$1048576,MATCH(F$14,Old!$1:$1,0),FALSE) * 100 ) - 1) * 100</f>
        <v>8.4316328835382528</v>
      </c>
      <c r="G17" s="46">
        <f ca="1">(G16 / (VLOOKUP($A17,Old!$1:$1048576,MATCH(G$14,Old!$1:$1,0),FALSE) * 100 ) - 1) * 100</f>
        <v>8.9688859322192283</v>
      </c>
      <c r="H17" s="46"/>
      <c r="I17" s="46">
        <f>(I16 / (VLOOKUP($A17,Model!$1:$1048576,MATCH(I$14,Model!$1:$1,0),FALSE) * 100 ) - 1) * 100</f>
        <v>0</v>
      </c>
      <c r="J17" s="46">
        <f>(J16 / (VLOOKUP($A17,Model!$1:$1048576,MATCH(J$14,Model!$1:$1,0),FALSE) * 100 ) - 1) * 100</f>
        <v>0</v>
      </c>
      <c r="K17" s="46">
        <f>(K16 / (VLOOKUP($A17,Old!$1:$1048576,MATCH(K$14,Old!$1:$1,0),FALSE) * 100 ) - 1) * 100</f>
        <v>10.576655066642516</v>
      </c>
      <c r="L17" s="46">
        <f>(L16 / (VLOOKUP($A17,Old!$1:$1048576,MATCH(L$14,Old!$1:$1,0),FALSE) * 100 ) - 1) * 100</f>
        <v>11.887171622651383</v>
      </c>
      <c r="P17" s="552"/>
      <c r="Q17" s="552"/>
      <c r="R17" s="552"/>
      <c r="S17" s="552"/>
      <c r="T17" s="552"/>
      <c r="V17" s="552"/>
      <c r="W17" s="552"/>
      <c r="X17" s="552"/>
    </row>
    <row r="18" spans="1:24">
      <c r="A18" s="1" t="s">
        <v>108</v>
      </c>
      <c r="B18" s="15" t="s">
        <v>1084</v>
      </c>
      <c r="C18" s="46">
        <f ca="1">VLOOKUP($A18,Model!$1:$1048576,MATCH(C$14,Model!$1:$1,0),FALSE) * 100</f>
        <v>-6.7057347030601626</v>
      </c>
      <c r="D18" s="46">
        <f ca="1">VLOOKUP($A18,Model!$1:$1048576,MATCH(D$14,Model!$1:$1,0),FALSE) * 100</f>
        <v>-14.810028201326075</v>
      </c>
      <c r="E18" s="46">
        <f ca="1">VLOOKUP($A18,Model!$1:$1048576,MATCH(E$14,Model!$1:$1,0),FALSE) * 100</f>
        <v>34.343990414226688</v>
      </c>
      <c r="F18" s="46">
        <f ca="1">VLOOKUP($A18,Model!$1:$1048576,MATCH(F$14,Model!$1:$1,0),FALSE) * 100</f>
        <v>-0.86073045923009683</v>
      </c>
      <c r="G18" s="46">
        <f ca="1">VLOOKUP($A18,Model!$1:$1048576,MATCH(G$14,Model!$1:$1,0),FALSE) * 100</f>
        <v>4.5566247482456745</v>
      </c>
      <c r="H18" s="46"/>
      <c r="I18" s="46">
        <f>VLOOKUP($A18,Model!$1:$1048576,MATCH(I$14,Model!$1:$1,0),FALSE) * 100</f>
        <v>11.985486233064812</v>
      </c>
      <c r="J18" s="46">
        <f>VLOOKUP($A18,Model!$1:$1048576,MATCH(J$14,Model!$1:$1,0),FALSE) * 100</f>
        <v>-36.41442663942739</v>
      </c>
      <c r="K18" s="46">
        <f>VLOOKUP($A18,Model!$1:$1048576,MATCH(K$14,Model!$1:$1,0),FALSE) * 100</f>
        <v>71.267258166677649</v>
      </c>
      <c r="L18" s="46">
        <f>VLOOKUP($A18,Model!$1:$1048576,MATCH(L$14,Model!$1:$1,0),FALSE) * 100</f>
        <v>-1.6145854339315258</v>
      </c>
    </row>
    <row r="19" spans="1:24">
      <c r="A19" s="1" t="s">
        <v>1017</v>
      </c>
      <c r="B19" s="15" t="s">
        <v>1085</v>
      </c>
      <c r="C19" s="46" t="e">
        <f ca="1">$C$5 * 100 / (C16 * VLOOKUP($A19,Model!$1:$1048576,MATCH(C$14,Model!$1:$1,0),FALSE))</f>
        <v>#NAME?</v>
      </c>
      <c r="D19" s="46" t="e">
        <f ca="1">$C$5 * 100 / (D16 * VLOOKUP($A19,Model!$1:$1048576,MATCH(D$14,Model!$1:$1,0),FALSE))</f>
        <v>#NAME?</v>
      </c>
      <c r="E19" s="46" t="e">
        <f ca="1">$C$5 * 100 / (E16 * VLOOKUP($A19,Model!$1:$1048576,MATCH(E$14,Model!$1:$1,0),FALSE))</f>
        <v>#NAME?</v>
      </c>
      <c r="F19" s="46" t="e">
        <f ca="1">$C$5 * 100 / (F16 * VLOOKUP($A19,Model!$1:$1048576,MATCH(F$14,Model!$1:$1,0),FALSE))</f>
        <v>#NAME?</v>
      </c>
      <c r="G19" s="46" t="e">
        <f ca="1">$C$5 * 100 / (G16 * VLOOKUP($A19,Model!$1:$1048576,MATCH(G$14,Model!$1:$1,0),FALSE))</f>
        <v>#NAME?</v>
      </c>
      <c r="H19" s="46"/>
      <c r="I19" s="46" t="e">
        <f ca="1">$C$5 * 100 / (I16 * VLOOKUP($A19,Model!$1:$1048576,MATCH(I$14,Model!$1:$1,0),FALSE))</f>
        <v>#NAME?</v>
      </c>
      <c r="J19" s="46" t="e">
        <f ca="1">$C$5 * 100 / (J16 * VLOOKUP($A19,Model!$1:$1048576,MATCH(J$14,Model!$1:$1,0),FALSE))</f>
        <v>#NAME?</v>
      </c>
      <c r="K19" s="46" t="e">
        <f ca="1">$C$5 * 100 / (K16 * VLOOKUP($A19,Model!$1:$1048576,MATCH(K$14,Model!$1:$1,0),FALSE))</f>
        <v>#NAME?</v>
      </c>
      <c r="L19" s="46" t="e">
        <f ca="1">$C$5 * 100 / (L16 * VLOOKUP($A19,Model!$1:$1048576,MATCH(L$14,Model!$1:$1,0),FALSE))</f>
        <v>#NAME?</v>
      </c>
    </row>
    <row r="20" spans="1:24">
      <c r="A20" s="1" t="s">
        <v>984</v>
      </c>
      <c r="B20" s="15" t="s">
        <v>1086</v>
      </c>
      <c r="C20" s="41">
        <f ca="1">VLOOKUP($A20,Model!$1:$1048576,MATCH(C$14,Model!$1:$1,0),FALSE) * 100</f>
        <v>166</v>
      </c>
      <c r="D20" s="41">
        <f ca="1">VLOOKUP($A20,Model!$1:$1048576,MATCH(D$14,Model!$1:$1,0),FALSE) * 100</f>
        <v>166</v>
      </c>
      <c r="E20" s="41">
        <f ca="1">VLOOKUP($A20,Model!$1:$1048576,MATCH(E$14,Model!$1:$1,0),FALSE) * 100</f>
        <v>176</v>
      </c>
      <c r="F20" s="41">
        <f ca="1">VLOOKUP($A20,Model!$1:$1048576,MATCH(F$14,Model!$1:$1,0),FALSE) * 100</f>
        <v>183</v>
      </c>
      <c r="G20" s="41">
        <f ca="1">VLOOKUP($A20,Model!$1:$1048576,MATCH(G$14,Model!$1:$1,0),FALSE) * 100</f>
        <v>190</v>
      </c>
      <c r="H20" s="41"/>
      <c r="I20" s="41">
        <f>VLOOKUP($A20,Model!$1:$1048576,MATCH(I$14,Model!$1:$1,0),FALSE) * 100</f>
        <v>83</v>
      </c>
      <c r="J20" s="41">
        <f>VLOOKUP($A20,Model!$1:$1048576,MATCH(J$14,Model!$1:$1,0),FALSE) * 100</f>
        <v>83</v>
      </c>
      <c r="K20" s="41">
        <f>VLOOKUP($A20,Model!$1:$1048576,MATCH(K$14,Model!$1:$1,0),FALSE) * 100</f>
        <v>86</v>
      </c>
      <c r="L20" s="41">
        <f>VLOOKUP($A20,Model!$1:$1048576,MATCH(L$14,Model!$1:$1,0),FALSE) * 100</f>
        <v>90</v>
      </c>
    </row>
    <row r="21" spans="1:24">
      <c r="A21" s="1" t="s">
        <v>1017</v>
      </c>
      <c r="B21" s="15" t="s">
        <v>1087</v>
      </c>
      <c r="C21" s="46" t="e">
        <f ca="1">C20 / $C$5</f>
        <v>#NAME?</v>
      </c>
      <c r="D21" s="46" t="e">
        <f ca="1">D20 / $C$5</f>
        <v>#NAME?</v>
      </c>
      <c r="E21" s="46" t="e">
        <f ca="1">E20 / $C$5</f>
        <v>#NAME?</v>
      </c>
      <c r="F21" s="46" t="e">
        <f ca="1">F20 / $C$5</f>
        <v>#NAME?</v>
      </c>
      <c r="G21" s="46" t="e">
        <f ca="1">G20 / $C$5</f>
        <v>#NAME?</v>
      </c>
      <c r="I21" s="46" t="e">
        <f ca="1">(I20 * VLOOKUP($A21,Model!$1:$1048576,MATCH(I$14,Model!$1:$1,0),FALSE)) / $C$5</f>
        <v>#NAME?</v>
      </c>
      <c r="J21" s="46" t="e">
        <f ca="1">(J20 * VLOOKUP($A21,Model!$1:$1048576,MATCH(J$14,Model!$1:$1,0),FALSE)) / $C$5</f>
        <v>#NAME?</v>
      </c>
      <c r="K21" s="46" t="e">
        <f ca="1">(K20 * VLOOKUP($A21,Model!$1:$1048576,MATCH(K$14,Model!$1:$1,0),FALSE)) / $C$5</f>
        <v>#NAME?</v>
      </c>
      <c r="L21" s="46" t="e">
        <f ca="1">(L20 * VLOOKUP($A21,Model!$1:$1048576,MATCH(L$14,Model!$1:$1,0),FALSE)) / $C$5</f>
        <v>#NAME?</v>
      </c>
    </row>
    <row r="22" spans="1:24">
      <c r="A22" s="1" t="s">
        <v>907</v>
      </c>
      <c r="B22" s="15" t="s">
        <v>1088</v>
      </c>
      <c r="C22" s="41">
        <f ca="1">VLOOKUP($A22,Model!$1:$1048576,MATCH(C$14,Model!$1:$1,0),FALSE) * 100</f>
        <v>67.5</v>
      </c>
      <c r="D22" s="41">
        <f ca="1">VLOOKUP($A22,Model!$1:$1048576,MATCH(D$14,Model!$1:$1,0),FALSE) * 100</f>
        <v>70</v>
      </c>
      <c r="E22" s="41">
        <f ca="1">VLOOKUP($A22,Model!$1:$1048576,MATCH(E$14,Model!$1:$1,0),FALSE) * 100</f>
        <v>70</v>
      </c>
      <c r="F22" s="41">
        <f ca="1">VLOOKUP($A22,Model!$1:$1048576,MATCH(F$14,Model!$1:$1,0),FALSE) * 100</f>
        <v>70</v>
      </c>
      <c r="G22" s="41">
        <f ca="1">VLOOKUP($A22,Model!$1:$1048576,MATCH(G$14,Model!$1:$1,0),FALSE) * 100</f>
        <v>70</v>
      </c>
      <c r="H22" s="41"/>
      <c r="I22" s="41">
        <f>VLOOKUP($A22,Model!$1:$1048576,MATCH(I$14,Model!$1:$1,0),FALSE) * 100</f>
        <v>70</v>
      </c>
      <c r="J22" s="41">
        <f>VLOOKUP($A22,Model!$1:$1048576,MATCH(J$14,Model!$1:$1,0),FALSE) * 100</f>
        <v>70</v>
      </c>
      <c r="K22" s="41">
        <f>VLOOKUP($A22,Model!$1:$1048576,MATCH(K$14,Model!$1:$1,0),FALSE) * 100</f>
        <v>70</v>
      </c>
      <c r="L22" s="41">
        <f>VLOOKUP($A22,Model!$1:$1048576,MATCH(L$14,Model!$1:$1,0),FALSE) * 100</f>
        <v>70</v>
      </c>
      <c r="P22" s="550"/>
      <c r="Q22" s="550"/>
      <c r="R22" s="550"/>
      <c r="S22" s="550"/>
      <c r="T22" s="550"/>
      <c r="V22" s="550"/>
      <c r="X22" s="550"/>
    </row>
    <row r="23" spans="1:24">
      <c r="A23" s="1" t="s">
        <v>965</v>
      </c>
      <c r="B23" s="15" t="s">
        <v>1089</v>
      </c>
      <c r="C23" s="46" t="e">
        <f ca="1">$C$5 / ((VLOOKUP($A23,Model!$1:$1048576,MATCH(C$14,Model!$1:$1,0),FALSE) * VLOOKUP($A21,Model!$1:$1048576,MATCH(C$14,Model!$1:$1,0),FALSE)))</f>
        <v>#NAME?</v>
      </c>
      <c r="D23" s="46" t="e">
        <f ca="1">$C$5 / ((VLOOKUP($A23,Model!$1:$1048576,MATCH(D$14,Model!$1:$1,0),FALSE) * VLOOKUP($A21,Model!$1:$1048576,MATCH(D$14,Model!$1:$1,0),FALSE)))</f>
        <v>#NAME?</v>
      </c>
      <c r="E23" s="46" t="e">
        <f ca="1">$C$5 / ((VLOOKUP($A23,Model!$1:$1048576,MATCH(E$14,Model!$1:$1,0),FALSE) * VLOOKUP($A21,Model!$1:$1048576,MATCH(E$14,Model!$1:$1,0),FALSE)))</f>
        <v>#NAME?</v>
      </c>
      <c r="F23" s="46" t="e">
        <f ca="1">$C$5 / ((VLOOKUP($A23,Model!$1:$1048576,MATCH(F$14,Model!$1:$1,0),FALSE) * VLOOKUP($A21,Model!$1:$1048576,MATCH(F$14,Model!$1:$1,0),FALSE)))</f>
        <v>#NAME?</v>
      </c>
      <c r="G23" s="46" t="e">
        <f ca="1">$C$5 / ((VLOOKUP($A23,Model!$1:$1048576,MATCH(G$14,Model!$1:$1,0),FALSE) * VLOOKUP($A21,Model!$1:$1048576,MATCH(G$14,Model!$1:$1,0),FALSE)))</f>
        <v>#NAME?</v>
      </c>
      <c r="I23" s="46" t="e">
        <f ca="1">$C$5/((VLOOKUP($A23,Model!1:1048576,MATCH(I$14,Model!1:1,0),FALSE)))</f>
        <v>#NAME?</v>
      </c>
      <c r="J23" s="46" t="e">
        <f ca="1">$C$5/((VLOOKUP($A23,Model!1:1048576,MATCH(J$14,Model!1:1,0),FALSE)))</f>
        <v>#NAME?</v>
      </c>
      <c r="K23" s="46" t="e">
        <f ca="1">$C$5/((VLOOKUP($A23,Model!1:1048576,MATCH(K$14,Model!1:1,0),FALSE)))</f>
        <v>#NAME?</v>
      </c>
      <c r="L23" s="46" t="e">
        <f ca="1">$C$5/((VLOOKUP($A23,Model!1:1048576,MATCH(L$14,Model!1:1,0),FALSE)))</f>
        <v>#NAME?</v>
      </c>
      <c r="P23" s="551"/>
      <c r="Q23" s="551"/>
      <c r="R23" s="551"/>
      <c r="S23" s="551"/>
      <c r="T23" s="551"/>
      <c r="V23" s="551"/>
      <c r="X23" s="551"/>
    </row>
    <row r="24" spans="1:24">
      <c r="A24" s="1" t="s">
        <v>1018</v>
      </c>
      <c r="B24" s="15" t="s">
        <v>1090</v>
      </c>
      <c r="C24" s="41">
        <f ca="1">VLOOKUP($A24,Model!$1:$1048576,MATCH(C$14,Model!$1:$1,0),FALSE)</f>
        <v>3234</v>
      </c>
      <c r="D24" s="41">
        <f ca="1">VLOOKUP($A24,Model!$1:$1048576,MATCH(D$14,Model!$1:$1,0),FALSE)</f>
        <v>3179.9</v>
      </c>
      <c r="E24" s="41">
        <f ca="1">VLOOKUP($A24,Model!$1:$1048576,MATCH(E$14,Model!$1:$1,0),FALSE)</f>
        <v>3009.5795111938314</v>
      </c>
      <c r="F24" s="41">
        <f ca="1">VLOOKUP($A24,Model!$1:$1048576,MATCH(F$14,Model!$1:$1,0),FALSE)</f>
        <v>3025.0118934003722</v>
      </c>
      <c r="G24" s="41">
        <f ca="1">VLOOKUP($A24,Model!$1:$1048576,MATCH(G$14,Model!$1:$1,0),FALSE)</f>
        <v>2981.2698519177329</v>
      </c>
      <c r="H24" s="41"/>
      <c r="I24" s="41">
        <f>VLOOKUP($A24,Model!$1:$1048576,MATCH(I$14,Model!$1:$1,0),FALSE)</f>
        <v>3217.7</v>
      </c>
      <c r="J24" s="41">
        <f>VLOOKUP($A24,Model!$1:$1048576,MATCH(J$14,Model!$1:$1,0),FALSE)</f>
        <v>2981.7</v>
      </c>
      <c r="K24" s="41">
        <f>VLOOKUP($A24,Model!$1:$1048576,MATCH(K$14,Model!$1:$1,0),FALSE)</f>
        <v>2998.6923771076722</v>
      </c>
      <c r="L24" s="41">
        <f>VLOOKUP($A24,Model!$1:$1048576,MATCH(L$14,Model!$1:$1,0),FALSE)</f>
        <v>3020.5264646980463</v>
      </c>
      <c r="P24" s="552"/>
      <c r="Q24" s="552"/>
      <c r="R24" s="552"/>
      <c r="S24" s="552"/>
      <c r="T24" s="552"/>
      <c r="V24" s="552"/>
      <c r="W24" s="552"/>
      <c r="X24" s="552"/>
    </row>
    <row r="25" spans="1:24">
      <c r="B25" s="15" t="s">
        <v>1091</v>
      </c>
      <c r="C25" s="16" t="s">
        <v>1092</v>
      </c>
      <c r="D25" s="16" t="s">
        <v>1092</v>
      </c>
      <c r="E25" s="16" t="s">
        <v>1092</v>
      </c>
      <c r="F25" s="16" t="s">
        <v>1092</v>
      </c>
      <c r="G25" s="16" t="s">
        <v>1092</v>
      </c>
      <c r="I25" s="16" t="s">
        <v>1092</v>
      </c>
      <c r="J25" s="16" t="s">
        <v>1092</v>
      </c>
      <c r="K25" s="16" t="s">
        <v>1092</v>
      </c>
      <c r="L25" s="16" t="s">
        <v>1092</v>
      </c>
      <c r="P25" s="552"/>
      <c r="Q25" s="552"/>
      <c r="R25" s="552"/>
      <c r="S25" s="552"/>
      <c r="T25" s="552"/>
      <c r="V25" s="552"/>
      <c r="W25" s="552"/>
      <c r="X25" s="552"/>
    </row>
    <row r="26" spans="1:24">
      <c r="G26" s="343"/>
    </row>
    <row r="27" spans="1:24">
      <c r="P27" s="436"/>
      <c r="Q27" s="436"/>
      <c r="R27" s="436"/>
      <c r="S27" s="436"/>
      <c r="T27" s="436"/>
      <c r="V27" s="436"/>
      <c r="X27" s="436"/>
    </row>
    <row r="28" spans="1:24">
      <c r="B28" s="2" t="s">
        <v>1093</v>
      </c>
      <c r="C28" s="107"/>
      <c r="D28" s="107"/>
      <c r="E28" s="107"/>
      <c r="F28" s="107"/>
      <c r="G28" s="107"/>
      <c r="H28" s="107"/>
      <c r="I28" s="107"/>
      <c r="J28" s="107"/>
      <c r="K28" s="107"/>
      <c r="L28" s="107"/>
      <c r="N28" s="17"/>
      <c r="O28" s="17"/>
    </row>
    <row r="29" spans="1:24">
      <c r="E29" s="343"/>
      <c r="F29" s="343"/>
      <c r="G29" s="343"/>
      <c r="J29" s="14"/>
      <c r="K29" s="14"/>
    </row>
    <row r="30" spans="1:24">
      <c r="B30" s="5" t="s">
        <v>1094</v>
      </c>
      <c r="C30" s="9" t="str">
        <f ca="1">C$14</f>
        <v>FY24A</v>
      </c>
      <c r="D30" s="9" t="str">
        <f ca="1">D$14</f>
        <v>FY25A</v>
      </c>
      <c r="E30" s="9" t="str">
        <f ca="1">E$14</f>
        <v>FY26E</v>
      </c>
      <c r="F30" s="9" t="str">
        <f ca="1">F$14</f>
        <v>FY27E</v>
      </c>
      <c r="G30" s="9" t="str">
        <f ca="1">G$14</f>
        <v>FY28E</v>
      </c>
      <c r="H30" s="16"/>
      <c r="I30" s="9" t="str">
        <f>I$14</f>
        <v>1H25A</v>
      </c>
      <c r="J30" s="9" t="str">
        <f>J$14</f>
        <v>2H25A</v>
      </c>
      <c r="K30" s="9" t="str">
        <f>K$14</f>
        <v>1H26E</v>
      </c>
      <c r="L30" s="9" t="str">
        <f>L$14</f>
        <v>2H26E</v>
      </c>
    </row>
    <row r="31" spans="1:24" s="17" customFormat="1">
      <c r="A31" s="1" t="s">
        <v>1061</v>
      </c>
      <c r="B31" s="17" t="s">
        <v>528</v>
      </c>
      <c r="C31" s="62">
        <f ca="1">VLOOKUP($A31,Model!$1:$1048576,MATCH(C$14,Model!$1:$1,0),FALSE)</f>
        <v>1023616</v>
      </c>
      <c r="D31" s="62">
        <f ca="1">VLOOKUP($A31,Model!$1:$1048576,MATCH(D$14,Model!$1:$1,0),FALSE)</f>
        <v>1159688</v>
      </c>
      <c r="E31" s="62">
        <f ca="1">VLOOKUP($A31,Model!$1:$1048576,MATCH(E$14,Model!$1:$1,0),FALSE)</f>
        <v>1203846.9764706534</v>
      </c>
      <c r="F31" s="62">
        <f ca="1">VLOOKUP($A31,Model!$1:$1048576,MATCH(F$14,Model!$1:$1,0),FALSE)</f>
        <v>1239335.1949786616</v>
      </c>
      <c r="G31" s="62">
        <f ca="1">VLOOKUP($A31,Model!$1:$1048576,MATCH(G$14,Model!$1:$1,0),FALSE)</f>
        <v>1281397.9752238763</v>
      </c>
      <c r="H31" s="62"/>
      <c r="I31" s="62">
        <f>VLOOKUP($A31,Model!$1:$1048576,MATCH(I$14,Model!$1:$1,0),FALSE)</f>
        <v>1142128</v>
      </c>
      <c r="J31" s="62">
        <f>VLOOKUP($A31,Model!$1:$1048576,MATCH(J$14,Model!$1:$1,0),FALSE)</f>
        <v>1177153</v>
      </c>
      <c r="K31" s="62">
        <f>VLOOKUP($A31,Model!$1:$1048576,MATCH(K$14,Model!$1:$1,0),FALSE)</f>
        <v>1194061.1921367832</v>
      </c>
      <c r="L31" s="62">
        <f>VLOOKUP($A31,Model!$1:$1048576,MATCH(L$14,Model!$1:$1,0),FALSE)</f>
        <v>1213579.2865731912</v>
      </c>
      <c r="N31" s="62"/>
      <c r="O31" s="62"/>
      <c r="P31" s="62"/>
      <c r="Q31" s="62"/>
      <c r="R31" s="62"/>
    </row>
    <row r="32" spans="1:24">
      <c r="A32" s="1" t="s">
        <v>927</v>
      </c>
      <c r="B32" s="15" t="s">
        <v>1095</v>
      </c>
      <c r="C32" s="13">
        <f ca="1">VLOOKUP($A32,Model!$1:$1048576,MATCH(C$14,Model!$1:$1,0),FALSE) * 100</f>
        <v>1.5698269663623858</v>
      </c>
      <c r="D32" s="13">
        <f ca="1">VLOOKUP($A32,Model!$1:$1048576,MATCH(D$14,Model!$1:$1,0),FALSE) * 100</f>
        <v>1.5488420764883599</v>
      </c>
      <c r="E32" s="13">
        <f ca="1">VLOOKUP($A32,Model!$1:$1048576,MATCH(E$14,Model!$1:$1,0),FALSE) * 100</f>
        <v>1.5612862066963082</v>
      </c>
      <c r="F32" s="13">
        <f ca="1">VLOOKUP($A32,Model!$1:$1048576,MATCH(F$14,Model!$1:$1,0),FALSE) * 100</f>
        <v>1.548206252631243</v>
      </c>
      <c r="G32" s="13">
        <f ca="1">VLOOKUP($A32,Model!$1:$1048576,MATCH(G$14,Model!$1:$1,0),FALSE) * 100</f>
        <v>1.5336831657607306</v>
      </c>
      <c r="H32" s="41"/>
      <c r="I32" s="13">
        <f>VLOOKUP($A32,Model!$1:$1048576,MATCH(I$14,Model!$1:$1,0),FALSE) * 100</f>
        <v>1.557332520455744</v>
      </c>
      <c r="J32" s="13">
        <f>VLOOKUP($A32,Model!$1:$1048576,MATCH(J$14,Model!$1:$1,0),FALSE) * 100</f>
        <v>1.5354854808742975</v>
      </c>
      <c r="K32" s="13">
        <f>VLOOKUP($A32,Model!$1:$1048576,MATCH(K$14,Model!$1:$1,0),FALSE) * 100</f>
        <v>1.5571544536685598</v>
      </c>
      <c r="L32" s="13">
        <f>VLOOKUP($A32,Model!$1:$1048576,MATCH(L$14,Model!$1:$1,0),FALSE) * 100</f>
        <v>1.5652534381261585</v>
      </c>
      <c r="N32" s="436"/>
      <c r="O32" s="436"/>
      <c r="P32" s="436"/>
    </row>
    <row r="33" spans="1:16" s="17" customFormat="1">
      <c r="A33" s="1" t="s">
        <v>241</v>
      </c>
      <c r="B33" s="17" t="s">
        <v>485</v>
      </c>
      <c r="C33" s="62">
        <f ca="1">VLOOKUP($A33,Model!$1:$1048576,MATCH(C$14,Model!$1:$1,0),FALSE)</f>
        <v>16069</v>
      </c>
      <c r="D33" s="62">
        <f ca="1">VLOOKUP($A33,Model!$1:$1048576,MATCH(D$14,Model!$1:$1,0),FALSE)</f>
        <v>17961</v>
      </c>
      <c r="E33" s="62">
        <f ca="1">VLOOKUP($A33,Model!$1:$1048576,MATCH(E$14,Model!$1:$1,0),FALSE)</f>
        <v>18795.035248912111</v>
      </c>
      <c r="F33" s="62">
        <f ca="1">VLOOKUP($A33,Model!$1:$1048576,MATCH(F$14,Model!$1:$1,0),FALSE)</f>
        <v>19187.058196233578</v>
      </c>
      <c r="G33" s="62">
        <f ca="1">VLOOKUP($A33,Model!$1:$1048576,MATCH(G$14,Model!$1:$1,0),FALSE)</f>
        <v>19652.584719995742</v>
      </c>
      <c r="H33" s="62"/>
      <c r="I33" s="62">
        <f>VLOOKUP($A33,Model!$1:$1048576,MATCH(I$14,Model!$1:$1,0),FALSE)</f>
        <v>8869</v>
      </c>
      <c r="J33" s="62">
        <f>VLOOKUP($A33,Model!$1:$1048576,MATCH(J$14,Model!$1:$1,0),FALSE)</f>
        <v>9092</v>
      </c>
      <c r="K33" s="62">
        <f>VLOOKUP($A33,Model!$1:$1048576,MATCH(K$14,Model!$1:$1,0),FALSE)</f>
        <v>9271.2181369458049</v>
      </c>
      <c r="L33" s="62">
        <f>VLOOKUP($A33,Model!$1:$1048576,MATCH(L$14,Model!$1:$1,0),FALSE)</f>
        <v>9523.8171119663057</v>
      </c>
      <c r="N33" s="62"/>
      <c r="O33" s="62"/>
      <c r="P33" s="568"/>
    </row>
    <row r="34" spans="1:16">
      <c r="A34" s="1" t="s">
        <v>996</v>
      </c>
      <c r="B34" s="15" t="s">
        <v>536</v>
      </c>
      <c r="C34" s="41">
        <f ca="1">VLOOKUP($A34,Model!$1:$1048576,MATCH(C$14,Model!$1:$1,0),FALSE)</f>
        <v>420</v>
      </c>
      <c r="D34" s="41">
        <f ca="1">VLOOKUP($A34,Model!$1:$1048576,MATCH(D$14,Model!$1:$1,0),FALSE)</f>
        <v>436</v>
      </c>
      <c r="E34" s="41">
        <f ca="1">VLOOKUP($A34,Model!$1:$1048576,MATCH(E$14,Model!$1:$1,0),FALSE)</f>
        <v>439.27829614004304</v>
      </c>
      <c r="F34" s="41">
        <f ca="1">VLOOKUP($A34,Model!$1:$1048576,MATCH(F$14,Model!$1:$1,0),FALSE)</f>
        <v>440.99842546038155</v>
      </c>
      <c r="G34" s="41">
        <f ca="1">VLOOKUP($A34,Model!$1:$1048576,MATCH(G$14,Model!$1:$1,0),FALSE)</f>
        <v>446.30230778422128</v>
      </c>
      <c r="H34" s="41"/>
      <c r="I34" s="41">
        <f>VLOOKUP($A34,Model!$1:$1048576,MATCH(I$14,Model!$1:$1,0),FALSE)</f>
        <v>215</v>
      </c>
      <c r="J34" s="41">
        <f>VLOOKUP($A34,Model!$1:$1048576,MATCH(J$14,Model!$1:$1,0),FALSE)</f>
        <v>221</v>
      </c>
      <c r="K34" s="41">
        <f>VLOOKUP($A34,Model!$1:$1048576,MATCH(K$14,Model!$1:$1,0),FALSE)</f>
        <v>219.50268328386863</v>
      </c>
      <c r="L34" s="41">
        <f>VLOOKUP($A34,Model!$1:$1048576,MATCH(L$14,Model!$1:$1,0),FALSE)</f>
        <v>219.7756128561744</v>
      </c>
      <c r="N34" s="41"/>
      <c r="O34" s="41"/>
    </row>
    <row r="35" spans="1:16">
      <c r="A35" s="1" t="s">
        <v>997</v>
      </c>
      <c r="B35" s="15" t="s">
        <v>537</v>
      </c>
      <c r="C35" s="41">
        <f ca="1">VLOOKUP($A35,Model!$1:$1048576,MATCH(C$14,Model!$1:$1,0),FALSE)</f>
        <v>1455</v>
      </c>
      <c r="D35" s="41">
        <f ca="1">VLOOKUP($A35,Model!$1:$1048576,MATCH(D$14,Model!$1:$1,0),FALSE)</f>
        <v>1367</v>
      </c>
      <c r="E35" s="41">
        <f ca="1">VLOOKUP($A35,Model!$1:$1048576,MATCH(E$14,Model!$1:$1,0),FALSE)</f>
        <v>1445.0467026869287</v>
      </c>
      <c r="F35" s="41">
        <f ca="1">VLOOKUP($A35,Model!$1:$1048576,MATCH(F$14,Model!$1:$1,0),FALSE)</f>
        <v>1450.7052276456898</v>
      </c>
      <c r="G35" s="41">
        <f ca="1">VLOOKUP($A35,Model!$1:$1048576,MATCH(G$14,Model!$1:$1,0),FALSE)</f>
        <v>1468.152840539045</v>
      </c>
      <c r="H35" s="41"/>
      <c r="I35" s="41">
        <f>VLOOKUP($A35,Model!$1:$1048576,MATCH(I$14,Model!$1:$1,0),FALSE)</f>
        <v>640</v>
      </c>
      <c r="J35" s="41">
        <f>VLOOKUP($A35,Model!$1:$1048576,MATCH(J$14,Model!$1:$1,0),FALSE)</f>
        <v>727</v>
      </c>
      <c r="K35" s="41">
        <f>VLOOKUP($A35,Model!$1:$1048576,MATCH(K$14,Model!$1:$1,0),FALSE)</f>
        <v>722.07443777091612</v>
      </c>
      <c r="L35" s="41">
        <f>VLOOKUP($A35,Model!$1:$1048576,MATCH(L$14,Model!$1:$1,0),FALSE)</f>
        <v>722.97226491601259</v>
      </c>
      <c r="N35" s="41"/>
      <c r="O35" s="41"/>
    </row>
    <row r="36" spans="1:16">
      <c r="A36" s="1" t="s">
        <v>998</v>
      </c>
      <c r="B36" s="15" t="s">
        <v>538</v>
      </c>
      <c r="C36" s="41">
        <f ca="1">VLOOKUP($A36,Model!$1:$1048576,MATCH(C$14,Model!$1:$1,0),FALSE)</f>
        <v>2315</v>
      </c>
      <c r="D36" s="41">
        <f ca="1">VLOOKUP($A36,Model!$1:$1048576,MATCH(D$14,Model!$1:$1,0),FALSE)</f>
        <v>1861</v>
      </c>
      <c r="E36" s="41">
        <f ca="1">VLOOKUP($A36,Model!$1:$1048576,MATCH(E$14,Model!$1:$1,0),FALSE)</f>
        <v>1813.72</v>
      </c>
      <c r="F36" s="41">
        <f ca="1">VLOOKUP($A36,Model!$1:$1048576,MATCH(F$14,Model!$1:$1,0),FALSE)</f>
        <v>1777.4456</v>
      </c>
      <c r="G36" s="41">
        <f ca="1">VLOOKUP($A36,Model!$1:$1048576,MATCH(G$14,Model!$1:$1,0),FALSE)</f>
        <v>1830.7689680000001</v>
      </c>
      <c r="H36" s="41"/>
      <c r="I36" s="41">
        <f>VLOOKUP($A36,Model!$1:$1048576,MATCH(I$14,Model!$1:$1,0),FALSE)</f>
        <v>991</v>
      </c>
      <c r="J36" s="41">
        <f>VLOOKUP($A36,Model!$1:$1048576,MATCH(J$14,Model!$1:$1,0),FALSE)</f>
        <v>870</v>
      </c>
      <c r="K36" s="41">
        <f>VLOOKUP($A36,Model!$1:$1048576,MATCH(K$14,Model!$1:$1,0),FALSE)</f>
        <v>943.8</v>
      </c>
      <c r="L36" s="41">
        <f>VLOOKUP($A36,Model!$1:$1048576,MATCH(L$14,Model!$1:$1,0),FALSE)</f>
        <v>869.92000000000007</v>
      </c>
      <c r="N36" s="41"/>
      <c r="O36" s="41"/>
    </row>
    <row r="37" spans="1:16">
      <c r="A37" s="1" t="s">
        <v>999</v>
      </c>
      <c r="B37" s="15" t="s">
        <v>434</v>
      </c>
      <c r="C37" s="41">
        <f ca="1">VLOOKUP($A37,Model!$1:$1048576,MATCH(C$14,Model!$1:$1,0),FALSE)</f>
        <v>0</v>
      </c>
      <c r="D37" s="41">
        <f ca="1">VLOOKUP($A37,Model!$1:$1048576,MATCH(D$14,Model!$1:$1,0),FALSE)</f>
        <v>0</v>
      </c>
      <c r="E37" s="41">
        <f ca="1">VLOOKUP($A37,Model!$1:$1048576,MATCH(E$14,Model!$1:$1,0),FALSE)</f>
        <v>0</v>
      </c>
      <c r="F37" s="41">
        <f ca="1">VLOOKUP($A37,Model!$1:$1048576,MATCH(F$14,Model!$1:$1,0),FALSE)</f>
        <v>0</v>
      </c>
      <c r="G37" s="41">
        <f ca="1">VLOOKUP($A37,Model!$1:$1048576,MATCH(G$14,Model!$1:$1,0),FALSE)</f>
        <v>0</v>
      </c>
      <c r="H37" s="41"/>
      <c r="I37" s="41">
        <f>VLOOKUP($A37,Model!$1:$1048576,MATCH(I$14,Model!$1:$1,0),FALSE)</f>
        <v>0</v>
      </c>
      <c r="J37" s="41">
        <f>VLOOKUP($A37,Model!$1:$1048576,MATCH(J$14,Model!$1:$1,0),FALSE)</f>
        <v>0</v>
      </c>
      <c r="K37" s="41">
        <f>VLOOKUP($A37,Model!$1:$1048576,MATCH(K$14,Model!$1:$1,0),FALSE)</f>
        <v>0</v>
      </c>
      <c r="L37" s="41">
        <f>VLOOKUP($A37,Model!$1:$1048576,MATCH(L$14,Model!$1:$1,0),FALSE)</f>
        <v>0</v>
      </c>
      <c r="N37" s="41"/>
      <c r="O37" s="41"/>
    </row>
    <row r="38" spans="1:16">
      <c r="A38" s="1" t="s">
        <v>1000</v>
      </c>
      <c r="B38" s="15" t="s">
        <v>783</v>
      </c>
      <c r="C38" s="41">
        <f ca="1">VLOOKUP($A38,Model!$1:$1048576,MATCH(C$14,Model!$1:$1,0),FALSE)</f>
        <v>0</v>
      </c>
      <c r="D38" s="41">
        <f ca="1">VLOOKUP($A38,Model!$1:$1048576,MATCH(D$14,Model!$1:$1,0),FALSE)</f>
        <v>0</v>
      </c>
      <c r="E38" s="41">
        <f ca="1">VLOOKUP($A38,Model!$1:$1048576,MATCH(E$14,Model!$1:$1,0),FALSE)</f>
        <v>0</v>
      </c>
      <c r="F38" s="41">
        <f ca="1">VLOOKUP($A38,Model!$1:$1048576,MATCH(F$14,Model!$1:$1,0),FALSE)</f>
        <v>0</v>
      </c>
      <c r="G38" s="41">
        <f ca="1">VLOOKUP($A38,Model!$1:$1048576,MATCH(G$14,Model!$1:$1,0),FALSE)</f>
        <v>0</v>
      </c>
      <c r="H38" s="41"/>
      <c r="I38" s="41">
        <f>VLOOKUP($A38,Model!$1:$1048576,MATCH(I$14,Model!$1:$1,0),FALSE)</f>
        <v>0</v>
      </c>
      <c r="J38" s="41">
        <f>VLOOKUP($A38,Model!$1:$1048576,MATCH(J$14,Model!$1:$1,0),FALSE)</f>
        <v>0</v>
      </c>
      <c r="K38" s="41">
        <f>VLOOKUP($A38,Model!$1:$1048576,MATCH(K$14,Model!$1:$1,0),FALSE)</f>
        <v>0</v>
      </c>
      <c r="L38" s="41">
        <f>VLOOKUP($A38,Model!$1:$1048576,MATCH(L$14,Model!$1:$1,0),FALSE)</f>
        <v>0</v>
      </c>
      <c r="N38" s="41"/>
      <c r="O38" s="41"/>
    </row>
    <row r="39" spans="1:16">
      <c r="A39" s="1" t="s">
        <v>807</v>
      </c>
      <c r="B39" s="15" t="s">
        <v>803</v>
      </c>
      <c r="C39" s="41">
        <f ca="1">VLOOKUP($A39,Model!$1:$1048576,MATCH(C$14,Model!$1:$1,0),FALSE)</f>
        <v>0</v>
      </c>
      <c r="D39" s="41">
        <f ca="1">VLOOKUP($A39,Model!$1:$1048576,MATCH(D$14,Model!$1:$1,0),FALSE)</f>
        <v>0</v>
      </c>
      <c r="E39" s="41">
        <f ca="1">VLOOKUP($A39,Model!$1:$1048576,MATCH(E$14,Model!$1:$1,0),FALSE)</f>
        <v>0</v>
      </c>
      <c r="F39" s="41">
        <f ca="1">VLOOKUP($A39,Model!$1:$1048576,MATCH(F$14,Model!$1:$1,0),FALSE)</f>
        <v>0</v>
      </c>
      <c r="G39" s="41">
        <f ca="1">VLOOKUP($A39,Model!$1:$1048576,MATCH(G$14,Model!$1:$1,0),FALSE)</f>
        <v>0</v>
      </c>
      <c r="H39" s="41"/>
      <c r="I39" s="41">
        <f>VLOOKUP($A39,Model!$1:$1048576,MATCH(I$14,Model!$1:$1,0),FALSE)</f>
        <v>0</v>
      </c>
      <c r="J39" s="41">
        <f>VLOOKUP($A39,Model!$1:$1048576,MATCH(J$14,Model!$1:$1,0),FALSE)</f>
        <v>0</v>
      </c>
      <c r="K39" s="41">
        <f>VLOOKUP($A39,Model!$1:$1048576,MATCH(K$14,Model!$1:$1,0),FALSE)</f>
        <v>0</v>
      </c>
      <c r="L39" s="41">
        <f>VLOOKUP($A39,Model!$1:$1048576,MATCH(L$14,Model!$1:$1,0),FALSE)</f>
        <v>0</v>
      </c>
      <c r="N39" s="41"/>
      <c r="O39" s="41"/>
    </row>
    <row r="40" spans="1:16">
      <c r="B40" s="15" t="s">
        <v>658</v>
      </c>
      <c r="C40" s="41">
        <f ca="1">C41-SUM(C33:C39)</f>
        <v>550</v>
      </c>
      <c r="D40" s="41">
        <f ca="1">D41-SUM(D33:D39)</f>
        <v>274</v>
      </c>
      <c r="E40" s="41">
        <f ca="1">E41-SUM(E33:E39)</f>
        <v>564.58999999999651</v>
      </c>
      <c r="F40" s="41">
        <f ca="1">F41-SUM(F33:F39)</f>
        <v>570.23590000000331</v>
      </c>
      <c r="G40" s="41">
        <f ca="1">G41-SUM(G33:G39)</f>
        <v>575.93825899999865</v>
      </c>
      <c r="H40" s="41"/>
      <c r="I40" s="41">
        <f>I41-SUM(I33:I39)</f>
        <v>280</v>
      </c>
      <c r="J40" s="41">
        <f>J41-SUM(J33:J39)</f>
        <v>-6</v>
      </c>
      <c r="K40" s="41">
        <f>K41-SUM(K33:K39)</f>
        <v>282.80000000000109</v>
      </c>
      <c r="L40" s="41">
        <f>L41-SUM(L33:L39)</f>
        <v>281.79000000000087</v>
      </c>
      <c r="N40" s="41"/>
      <c r="O40" s="41"/>
      <c r="P40" s="368"/>
    </row>
    <row r="41" spans="1:16" s="17" customFormat="1">
      <c r="A41" s="1" t="s">
        <v>813</v>
      </c>
      <c r="B41" s="17" t="s">
        <v>639</v>
      </c>
      <c r="C41" s="62">
        <f ca="1">VLOOKUP($A41,Model!$1:$1048576,MATCH(C$14,Model!$1:$1,0),FALSE)</f>
        <v>20809</v>
      </c>
      <c r="D41" s="62">
        <f ca="1">VLOOKUP($A41,Model!$1:$1048576,MATCH(D$14,Model!$1:$1,0),FALSE)</f>
        <v>21899</v>
      </c>
      <c r="E41" s="62">
        <f ca="1">VLOOKUP($A41,Model!$1:$1048576,MATCH(E$14,Model!$1:$1,0),FALSE)</f>
        <v>23057.670247739083</v>
      </c>
      <c r="F41" s="62">
        <f ca="1">VLOOKUP($A41,Model!$1:$1048576,MATCH(F$14,Model!$1:$1,0),FALSE)</f>
        <v>23426.44334933965</v>
      </c>
      <c r="G41" s="62">
        <f ca="1">VLOOKUP($A41,Model!$1:$1048576,MATCH(G$14,Model!$1:$1,0),FALSE)</f>
        <v>23973.74709531901</v>
      </c>
      <c r="H41" s="150"/>
      <c r="I41" s="62">
        <f>VLOOKUP($A41,Model!$1:$1048576,MATCH(I$14,Model!$1:$1,0),FALSE)</f>
        <v>10995</v>
      </c>
      <c r="J41" s="62">
        <f>VLOOKUP($A41,Model!$1:$1048576,MATCH(J$14,Model!$1:$1,0),FALSE)</f>
        <v>10904</v>
      </c>
      <c r="K41" s="62">
        <f>VLOOKUP($A41,Model!$1:$1048576,MATCH(K$14,Model!$1:$1,0),FALSE)</f>
        <v>11439.39525800059</v>
      </c>
      <c r="L41" s="62">
        <f>VLOOKUP($A41,Model!$1:$1048576,MATCH(L$14,Model!$1:$1,0),FALSE)</f>
        <v>11618.274989738493</v>
      </c>
      <c r="N41" s="62"/>
      <c r="O41" s="62"/>
      <c r="P41" s="569"/>
    </row>
    <row r="42" spans="1:16">
      <c r="B42" s="15" t="s">
        <v>640</v>
      </c>
      <c r="C42" s="108">
        <f ca="1">C43-C41</f>
        <v>-10741</v>
      </c>
      <c r="D42" s="108">
        <f ca="1">D43-D41</f>
        <v>-12880</v>
      </c>
      <c r="E42" s="108">
        <f ca="1">E43-E41</f>
        <v>-11498.202890185723</v>
      </c>
      <c r="F42" s="108">
        <f ca="1">F43-F41</f>
        <v>-11615.165949481501</v>
      </c>
      <c r="G42" s="108">
        <f ca="1">G43-G41</f>
        <v>-11755.534728337954</v>
      </c>
      <c r="H42" s="150"/>
      <c r="I42" s="108">
        <f>I43-I41</f>
        <v>-5742</v>
      </c>
      <c r="J42" s="108">
        <f>J43-J41</f>
        <v>-7138</v>
      </c>
      <c r="K42" s="108">
        <f>K43-K41</f>
        <v>-5655.3363965448234</v>
      </c>
      <c r="L42" s="108">
        <f>L43-L41</f>
        <v>-5842.8664936409004</v>
      </c>
      <c r="M42" s="526"/>
      <c r="N42" s="108"/>
      <c r="O42" s="108"/>
      <c r="P42" s="368"/>
    </row>
    <row r="43" spans="1:16" s="17" customFormat="1">
      <c r="A43" s="1" t="s">
        <v>100</v>
      </c>
      <c r="B43" s="17" t="s">
        <v>641</v>
      </c>
      <c r="C43" s="62">
        <f ca="1">VLOOKUP($A43,Model!$1:$1048576,MATCH(C$14,Model!$1:$1,0),FALSE)</f>
        <v>10068</v>
      </c>
      <c r="D43" s="62">
        <f ca="1">VLOOKUP($A43,Model!$1:$1048576,MATCH(D$14,Model!$1:$1,0),FALSE)</f>
        <v>9019</v>
      </c>
      <c r="E43" s="62">
        <f ca="1">VLOOKUP($A43,Model!$1:$1048576,MATCH(E$14,Model!$1:$1,0),FALSE)</f>
        <v>11559.46735755336</v>
      </c>
      <c r="F43" s="62">
        <f ca="1">VLOOKUP($A43,Model!$1:$1048576,MATCH(F$14,Model!$1:$1,0),FALSE)</f>
        <v>11811.277399858149</v>
      </c>
      <c r="G43" s="62">
        <f ca="1">VLOOKUP($A43,Model!$1:$1048576,MATCH(G$14,Model!$1:$1,0),FALSE)</f>
        <v>12218.212366981055</v>
      </c>
      <c r="H43" s="150"/>
      <c r="I43" s="62">
        <f>VLOOKUP($A43,Model!$1:$1048576,MATCH(I$14,Model!$1:$1,0),FALSE)</f>
        <v>5253</v>
      </c>
      <c r="J43" s="62">
        <f>VLOOKUP($A43,Model!$1:$1048576,MATCH(J$14,Model!$1:$1,0),FALSE)</f>
        <v>3766</v>
      </c>
      <c r="K43" s="62">
        <f>VLOOKUP($A43,Model!$1:$1048576,MATCH(K$14,Model!$1:$1,0),FALSE)</f>
        <v>5784.0588614557664</v>
      </c>
      <c r="L43" s="62">
        <f>VLOOKUP($A43,Model!$1:$1048576,MATCH(L$14,Model!$1:$1,0),FALSE)</f>
        <v>5775.4084960975924</v>
      </c>
      <c r="N43" s="62"/>
      <c r="O43" s="62"/>
      <c r="P43" s="569"/>
    </row>
    <row r="44" spans="1:16">
      <c r="B44" s="15" t="s">
        <v>642</v>
      </c>
      <c r="C44" s="108">
        <f ca="1">C45-C43</f>
        <v>-406</v>
      </c>
      <c r="D44" s="108">
        <f ca="1">D45-D43</f>
        <v>-441</v>
      </c>
      <c r="E44" s="108">
        <f ca="1">E45-E43</f>
        <v>-671.94604846724178</v>
      </c>
      <c r="F44" s="108">
        <f ca="1">F45-F43</f>
        <v>-961.91970758992466</v>
      </c>
      <c r="G44" s="108">
        <f ca="1">G45-G43</f>
        <v>-1040.2551117600287</v>
      </c>
      <c r="H44" s="150"/>
      <c r="I44" s="108">
        <f>I45-I43</f>
        <v>-145</v>
      </c>
      <c r="J44" s="108">
        <f>J45-J43</f>
        <v>-296</v>
      </c>
      <c r="K44" s="108">
        <f>K45-K43</f>
        <v>-315.86781764247098</v>
      </c>
      <c r="L44" s="108">
        <f>L45-L43</f>
        <v>-356.0782308247708</v>
      </c>
      <c r="N44" s="108"/>
      <c r="O44" s="108"/>
      <c r="P44" s="368"/>
    </row>
    <row r="45" spans="1:16" s="17" customFormat="1">
      <c r="A45" s="1" t="s">
        <v>288</v>
      </c>
      <c r="B45" s="17" t="s">
        <v>648</v>
      </c>
      <c r="C45" s="62">
        <f ca="1">VLOOKUP($A45,Model!$1:$1048576,MATCH(C$14,Model!$1:$1,0),FALSE)</f>
        <v>9662</v>
      </c>
      <c r="D45" s="62">
        <f ca="1">VLOOKUP($A45,Model!$1:$1048576,MATCH(D$14,Model!$1:$1,0),FALSE)</f>
        <v>8578</v>
      </c>
      <c r="E45" s="62">
        <f ca="1">VLOOKUP($A45,Model!$1:$1048576,MATCH(E$14,Model!$1:$1,0),FALSE)</f>
        <v>10887.521309086118</v>
      </c>
      <c r="F45" s="62">
        <f ca="1">VLOOKUP($A45,Model!$1:$1048576,MATCH(F$14,Model!$1:$1,0),FALSE)</f>
        <v>10849.357692268224</v>
      </c>
      <c r="G45" s="62">
        <f ca="1">VLOOKUP($A45,Model!$1:$1048576,MATCH(G$14,Model!$1:$1,0),FALSE)</f>
        <v>11177.957255221027</v>
      </c>
      <c r="H45" s="150"/>
      <c r="I45" s="62">
        <f>VLOOKUP($A45,Model!$1:$1048576,MATCH(I$14,Model!$1:$1,0),FALSE)</f>
        <v>5108</v>
      </c>
      <c r="J45" s="62">
        <f>VLOOKUP($A45,Model!$1:$1048576,MATCH(J$14,Model!$1:$1,0),FALSE)</f>
        <v>3470</v>
      </c>
      <c r="K45" s="62">
        <f>VLOOKUP($A45,Model!$1:$1048576,MATCH(K$14,Model!$1:$1,0),FALSE)</f>
        <v>5468.1910438132954</v>
      </c>
      <c r="L45" s="62">
        <f>VLOOKUP($A45,Model!$1:$1048576,MATCH(L$14,Model!$1:$1,0),FALSE)</f>
        <v>5419.3302652728216</v>
      </c>
      <c r="N45" s="62"/>
      <c r="O45" s="62"/>
    </row>
    <row r="46" spans="1:16">
      <c r="A46" s="1" t="s">
        <v>691</v>
      </c>
      <c r="B46" s="15" t="s">
        <v>649</v>
      </c>
      <c r="C46" s="41">
        <f ca="1">VLOOKUP($A46,Model!$1:$1048576,MATCH(C$14,Model!$1:$1,0),FALSE)</f>
        <v>-2902</v>
      </c>
      <c r="D46" s="41">
        <f ca="1">VLOOKUP($A46,Model!$1:$1048576,MATCH(D$14,Model!$1:$1,0),FALSE)</f>
        <v>-2750</v>
      </c>
      <c r="E46" s="41">
        <f ca="1">VLOOKUP($A46,Model!$1:$1048576,MATCH(E$14,Model!$1:$1,0),FALSE)</f>
        <v>-3237.694766738804</v>
      </c>
      <c r="F46" s="41">
        <f ca="1">VLOOKUP($A46,Model!$1:$1048576,MATCH(F$14,Model!$1:$1,0),FALSE)</f>
        <v>-3226.3457976811724</v>
      </c>
      <c r="G46" s="41">
        <f ca="1">VLOOKUP($A46,Model!$1:$1048576,MATCH(G$14,Model!$1:$1,0),FALSE)</f>
        <v>-3324.0636395224619</v>
      </c>
      <c r="H46" s="41"/>
      <c r="I46" s="41">
        <f>VLOOKUP($A46,Model!$1:$1048576,MATCH(I$14,Model!$1:$1,0),FALSE)</f>
        <v>-1519</v>
      </c>
      <c r="J46" s="41">
        <f>VLOOKUP($A46,Model!$1:$1048576,MATCH(J$14,Model!$1:$1,0),FALSE)</f>
        <v>-1231</v>
      </c>
      <c r="K46" s="41">
        <f>VLOOKUP($A46,Model!$1:$1048576,MATCH(K$14,Model!$1:$1,0),FALSE)</f>
        <v>-1626.1124110321839</v>
      </c>
      <c r="L46" s="41">
        <f>VLOOKUP($A46,Model!$1:$1048576,MATCH(L$14,Model!$1:$1,0),FALSE)</f>
        <v>-1611.5823557066201</v>
      </c>
      <c r="N46" s="41"/>
      <c r="O46" s="41"/>
    </row>
    <row r="47" spans="1:16">
      <c r="A47" s="1" t="s">
        <v>692</v>
      </c>
      <c r="B47" s="15" t="s">
        <v>160</v>
      </c>
      <c r="C47" s="41">
        <f ca="1">VLOOKUP($A47,Model!$1:$1048576,MATCH(C$14,Model!$1:$1,0),FALSE)</f>
        <v>-35</v>
      </c>
      <c r="D47" s="41">
        <f ca="1">VLOOKUP($A47,Model!$1:$1048576,MATCH(D$14,Model!$1:$1,0),FALSE)</f>
        <v>-41</v>
      </c>
      <c r="E47" s="41">
        <f ca="1">VLOOKUP($A47,Model!$1:$1048576,MATCH(E$14,Model!$1:$1,0),FALSE)</f>
        <v>-40</v>
      </c>
      <c r="F47" s="41">
        <f ca="1">VLOOKUP($A47,Model!$1:$1048576,MATCH(F$14,Model!$1:$1,0),FALSE)</f>
        <v>-40</v>
      </c>
      <c r="G47" s="41">
        <f ca="1">VLOOKUP($A47,Model!$1:$1048576,MATCH(G$14,Model!$1:$1,0),FALSE)</f>
        <v>-40</v>
      </c>
      <c r="H47" s="41"/>
      <c r="I47" s="41">
        <f>VLOOKUP($A47,Model!$1:$1048576,MATCH(I$14,Model!$1:$1,0),FALSE)</f>
        <v>-21</v>
      </c>
      <c r="J47" s="41">
        <f>VLOOKUP($A47,Model!$1:$1048576,MATCH(J$14,Model!$1:$1,0),FALSE)</f>
        <v>-20</v>
      </c>
      <c r="K47" s="41">
        <f>VLOOKUP($A47,Model!$1:$1048576,MATCH(K$14,Model!$1:$1,0),FALSE)</f>
        <v>-20</v>
      </c>
      <c r="L47" s="41">
        <f>VLOOKUP($A47,Model!$1:$1048576,MATCH(L$14,Model!$1:$1,0),FALSE)</f>
        <v>-20</v>
      </c>
      <c r="N47" s="41"/>
      <c r="O47" s="41"/>
    </row>
    <row r="48" spans="1:16">
      <c r="A48" s="1" t="s">
        <v>693</v>
      </c>
      <c r="B48" s="15" t="s">
        <v>781</v>
      </c>
      <c r="C48" s="41">
        <f ca="1">VLOOKUP($A48,Model!$1:$1048576,MATCH(C$14,Model!$1:$1,0),FALSE)</f>
        <v>0</v>
      </c>
      <c r="D48" s="41">
        <f ca="1">VLOOKUP($A48,Model!$1:$1048576,MATCH(D$14,Model!$1:$1,0),FALSE)</f>
        <v>0</v>
      </c>
      <c r="E48" s="41">
        <f ca="1">VLOOKUP($A48,Model!$1:$1048576,MATCH(E$14,Model!$1:$1,0),FALSE)</f>
        <v>0</v>
      </c>
      <c r="F48" s="41">
        <f ca="1">VLOOKUP($A48,Model!$1:$1048576,MATCH(F$14,Model!$1:$1,0),FALSE)</f>
        <v>0</v>
      </c>
      <c r="G48" s="41">
        <f ca="1">VLOOKUP($A48,Model!$1:$1048576,MATCH(G$14,Model!$1:$1,0),FALSE)</f>
        <v>0</v>
      </c>
      <c r="H48" s="41"/>
      <c r="I48" s="41">
        <f>VLOOKUP($A48,Model!$1:$1048576,MATCH(I$14,Model!$1:$1,0),FALSE)</f>
        <v>0</v>
      </c>
      <c r="J48" s="41">
        <f>VLOOKUP($A48,Model!$1:$1048576,MATCH(J$14,Model!$1:$1,0),FALSE)</f>
        <v>0</v>
      </c>
      <c r="K48" s="41">
        <f>VLOOKUP($A48,Model!$1:$1048576,MATCH(K$14,Model!$1:$1,0),FALSE)</f>
        <v>0</v>
      </c>
      <c r="L48" s="41">
        <f>VLOOKUP($A48,Model!$1:$1048576,MATCH(L$14,Model!$1:$1,0),FALSE)</f>
        <v>0</v>
      </c>
      <c r="N48" s="41"/>
      <c r="O48" s="41"/>
    </row>
    <row r="49" spans="1:18" s="17" customFormat="1">
      <c r="A49" s="1"/>
      <c r="B49" s="17" t="s">
        <v>357</v>
      </c>
      <c r="C49" s="109">
        <f ca="1">C45+C46+C47+C48</f>
        <v>6725</v>
      </c>
      <c r="D49" s="109">
        <f ca="1">D45+D46+D47+D48</f>
        <v>5787</v>
      </c>
      <c r="E49" s="109">
        <f ca="1">E45+E46+E47+E48</f>
        <v>7609.826542347314</v>
      </c>
      <c r="F49" s="109">
        <f ca="1">F45+F46+F47+F48</f>
        <v>7583.0118945870518</v>
      </c>
      <c r="G49" s="109">
        <f ca="1">G45+G46+G47+G48</f>
        <v>7813.8936156985646</v>
      </c>
      <c r="H49" s="150"/>
      <c r="I49" s="109">
        <f>I45+I46+I47+I48</f>
        <v>3568</v>
      </c>
      <c r="J49" s="109">
        <f>J45+J46+J47+J48</f>
        <v>2219</v>
      </c>
      <c r="K49" s="109">
        <f>K45+K46+K47+K48</f>
        <v>3822.0786327811115</v>
      </c>
      <c r="L49" s="109">
        <f>L45+L46+L47+L48</f>
        <v>3787.7479095662015</v>
      </c>
      <c r="N49" s="109"/>
      <c r="O49" s="109"/>
      <c r="P49" s="569"/>
      <c r="R49" s="15"/>
    </row>
    <row r="50" spans="1:18">
      <c r="B50" s="15" t="s">
        <v>782</v>
      </c>
      <c r="C50" s="15">
        <f ca="1">C52/100*C51-C49</f>
        <v>420</v>
      </c>
      <c r="D50" s="15">
        <f ca="1">D52/100*D51-D49</f>
        <v>198</v>
      </c>
      <c r="E50" s="15">
        <f ca="1">E52/100*E51-E49</f>
        <v>0</v>
      </c>
      <c r="F50" s="15">
        <f ca="1">F52/100*F51-F49</f>
        <v>0</v>
      </c>
      <c r="G50" s="15">
        <f ca="1">G52/100*G51-G49</f>
        <v>0</v>
      </c>
      <c r="I50" s="15">
        <f>I52/100*I51-I49</f>
        <v>198</v>
      </c>
      <c r="J50" s="15">
        <f>J52/100*J51-J49</f>
        <v>0</v>
      </c>
      <c r="K50" s="15">
        <f>K52/100*K51-K49</f>
        <v>0</v>
      </c>
      <c r="L50" s="15">
        <f>L52/100*L51-L49</f>
        <v>0</v>
      </c>
    </row>
    <row r="51" spans="1:18">
      <c r="A51" s="1" t="s">
        <v>1018</v>
      </c>
      <c r="B51" s="15" t="s">
        <v>557</v>
      </c>
      <c r="C51" s="41">
        <f ca="1">VLOOKUP($A51,Model!$1:$1048576,MATCH(C$14,Model!$1:$1,0),FALSE)</f>
        <v>3234</v>
      </c>
      <c r="D51" s="41">
        <f ca="1">VLOOKUP($A51,Model!$1:$1048576,MATCH(D$14,Model!$1:$1,0),FALSE)</f>
        <v>3179.9</v>
      </c>
      <c r="E51" s="41">
        <f ca="1">VLOOKUP($A51,Model!$1:$1048576,MATCH(E$14,Model!$1:$1,0),FALSE)</f>
        <v>3009.5795111938314</v>
      </c>
      <c r="F51" s="41">
        <f ca="1">VLOOKUP($A51,Model!$1:$1048576,MATCH(F$14,Model!$1:$1,0),FALSE)</f>
        <v>3025.0118934003722</v>
      </c>
      <c r="G51" s="41">
        <f ca="1">VLOOKUP($A51,Model!$1:$1048576,MATCH(G$14,Model!$1:$1,0),FALSE)</f>
        <v>2981.2698519177329</v>
      </c>
      <c r="H51" s="41"/>
      <c r="I51" s="41">
        <f>VLOOKUP($A51,Model!$1:$1048576,MATCH(I$14,Model!$1:$1,0),FALSE)</f>
        <v>3217.7</v>
      </c>
      <c r="J51" s="41">
        <f>VLOOKUP($A51,Model!$1:$1048576,MATCH(J$14,Model!$1:$1,0),FALSE)</f>
        <v>2981.7</v>
      </c>
      <c r="K51" s="41">
        <f>VLOOKUP($A51,Model!$1:$1048576,MATCH(K$14,Model!$1:$1,0),FALSE)</f>
        <v>2998.6923771076722</v>
      </c>
      <c r="L51" s="41">
        <f>VLOOKUP($A51,Model!$1:$1048576,MATCH(L$14,Model!$1:$1,0),FALSE)</f>
        <v>3020.5264646980463</v>
      </c>
      <c r="N51" s="41"/>
      <c r="O51" s="41"/>
    </row>
    <row r="52" spans="1:18" s="17" customFormat="1">
      <c r="A52" s="1" t="s">
        <v>109</v>
      </c>
      <c r="B52" s="17" t="s">
        <v>558</v>
      </c>
      <c r="C52" s="62">
        <f ca="1">VLOOKUP($A52,Model!$1:$1048576,MATCH(C$14,Model!$1:$1,0),FALSE) * 100</f>
        <v>220.93382807668522</v>
      </c>
      <c r="D52" s="62">
        <f ca="1">VLOOKUP($A52,Model!$1:$1048576,MATCH(D$14,Model!$1:$1,0),FALSE) * 100</f>
        <v>188.21346583225886</v>
      </c>
      <c r="E52" s="62">
        <f ca="1">VLOOKUP($A52,Model!$1:$1048576,MATCH(E$14,Model!$1:$1,0),FALSE) * 100</f>
        <v>252.85348049597366</v>
      </c>
      <c r="F52" s="62">
        <f ca="1">VLOOKUP($A52,Model!$1:$1048576,MATCH(F$14,Model!$1:$1,0),FALSE) * 100</f>
        <v>250.67709357212138</v>
      </c>
      <c r="G52" s="62">
        <f ca="1">VLOOKUP($A52,Model!$1:$1048576,MATCH(G$14,Model!$1:$1,0),FALSE) * 100</f>
        <v>262.09950805601164</v>
      </c>
      <c r="H52" s="150"/>
      <c r="I52" s="62">
        <f>VLOOKUP($A52,Model!$1:$1048576,MATCH(I$14,Model!$1:$1,0),FALSE) * 100</f>
        <v>117.04012182614912</v>
      </c>
      <c r="J52" s="62">
        <f>VLOOKUP($A52,Model!$1:$1048576,MATCH(J$14,Model!$1:$1,0),FALSE) * 100</f>
        <v>74.420632525069593</v>
      </c>
      <c r="K52" s="62">
        <f>VLOOKUP($A52,Model!$1:$1048576,MATCH(K$14,Model!$1:$1,0),FALSE) * 100</f>
        <v>127.45817683598541</v>
      </c>
      <c r="L52" s="62">
        <f>VLOOKUP($A52,Model!$1:$1048576,MATCH(L$14,Model!$1:$1,0),FALSE) * 100</f>
        <v>125.40025567843691</v>
      </c>
      <c r="N52" s="62"/>
      <c r="O52" s="62"/>
    </row>
    <row r="53" spans="1:18">
      <c r="A53" s="1" t="s">
        <v>108</v>
      </c>
      <c r="B53" s="15" t="s">
        <v>559</v>
      </c>
      <c r="C53" s="46">
        <f ca="1">VLOOKUP($A53,Model!$1:$1048576,MATCH(C$14,Model!$1:$1,0),FALSE) * 100</f>
        <v>-6.7057347030601626</v>
      </c>
      <c r="D53" s="46">
        <f ca="1">VLOOKUP($A53,Model!$1:$1048576,MATCH(D$14,Model!$1:$1,0),FALSE) * 100</f>
        <v>-14.810028201326075</v>
      </c>
      <c r="E53" s="46">
        <f ca="1">VLOOKUP($A53,Model!$1:$1048576,MATCH(E$14,Model!$1:$1,0),FALSE) * 100</f>
        <v>34.343990414226688</v>
      </c>
      <c r="F53" s="46">
        <f ca="1">VLOOKUP($A53,Model!$1:$1048576,MATCH(F$14,Model!$1:$1,0),FALSE) * 100</f>
        <v>-0.86073045923009683</v>
      </c>
      <c r="G53" s="46">
        <f ca="1">VLOOKUP($A53,Model!$1:$1048576,MATCH(G$14,Model!$1:$1,0),FALSE) * 100</f>
        <v>4.5566247482456745</v>
      </c>
      <c r="H53" s="46"/>
      <c r="I53" s="46">
        <f>VLOOKUP($A53,Model!$1:$1048576,MATCH(I$14,Model!$1:$1,0),FALSE) * 100</f>
        <v>11.985486233064812</v>
      </c>
      <c r="J53" s="46">
        <f>VLOOKUP($A53,Model!$1:$1048576,MATCH(J$14,Model!$1:$1,0),FALSE) * 100</f>
        <v>-36.41442663942739</v>
      </c>
      <c r="K53" s="46">
        <f>VLOOKUP($A53,Model!$1:$1048576,MATCH(K$14,Model!$1:$1,0),FALSE) * 100</f>
        <v>71.267258166677649</v>
      </c>
      <c r="L53" s="46">
        <f>VLOOKUP($A53,Model!$1:$1048576,MATCH(L$14,Model!$1:$1,0),FALSE) * 100</f>
        <v>-1.6145854339315258</v>
      </c>
      <c r="N53" s="46"/>
      <c r="O53" s="46"/>
    </row>
    <row r="54" spans="1:18" s="17" customFormat="1">
      <c r="A54" s="1" t="s">
        <v>984</v>
      </c>
      <c r="B54" s="17" t="s">
        <v>560</v>
      </c>
      <c r="C54" s="62">
        <f ca="1">VLOOKUP($A54,Model!$1:$1048576,MATCH(C$14,Model!$1:$1,0),FALSE) * 100</f>
        <v>166</v>
      </c>
      <c r="D54" s="62">
        <f ca="1">VLOOKUP($A54,Model!$1:$1048576,MATCH(D$14,Model!$1:$1,0),FALSE) * 100</f>
        <v>166</v>
      </c>
      <c r="E54" s="62">
        <f ca="1">VLOOKUP($A54,Model!$1:$1048576,MATCH(E$14,Model!$1:$1,0),FALSE) * 100</f>
        <v>176</v>
      </c>
      <c r="F54" s="62">
        <f ca="1">VLOOKUP($A54,Model!$1:$1048576,MATCH(F$14,Model!$1:$1,0),FALSE) * 100</f>
        <v>183</v>
      </c>
      <c r="G54" s="62">
        <f ca="1">VLOOKUP($A54,Model!$1:$1048576,MATCH(G$14,Model!$1:$1,0),FALSE) * 100</f>
        <v>190</v>
      </c>
      <c r="H54" s="62"/>
      <c r="I54" s="62">
        <f>VLOOKUP($A54,Model!$1:$1048576,MATCH(I$14,Model!$1:$1,0),FALSE) * 100</f>
        <v>83</v>
      </c>
      <c r="J54" s="62">
        <f>VLOOKUP($A54,Model!$1:$1048576,MATCH(J$14,Model!$1:$1,0),FALSE) * 100</f>
        <v>83</v>
      </c>
      <c r="K54" s="62">
        <f>VLOOKUP($A54,Model!$1:$1048576,MATCH(K$14,Model!$1:$1,0),FALSE) * 100</f>
        <v>86</v>
      </c>
      <c r="L54" s="62">
        <f>VLOOKUP($A54,Model!$1:$1048576,MATCH(L$14,Model!$1:$1,0),FALSE) * 100</f>
        <v>90</v>
      </c>
      <c r="N54" s="82"/>
      <c r="O54" s="82"/>
      <c r="P54" s="569"/>
    </row>
    <row r="55" spans="1:18">
      <c r="D55" s="343"/>
      <c r="E55" s="84"/>
      <c r="J55" s="343"/>
      <c r="K55" s="84"/>
    </row>
    <row r="56" spans="1:18">
      <c r="E56" s="84"/>
      <c r="F56" s="364"/>
    </row>
    <row r="57" spans="1:18">
      <c r="B57" s="2" t="s">
        <v>1096</v>
      </c>
      <c r="C57" s="107"/>
      <c r="D57" s="107"/>
      <c r="E57" s="107"/>
      <c r="F57" s="107"/>
      <c r="G57" s="107"/>
      <c r="H57" s="107"/>
      <c r="I57" s="107"/>
      <c r="J57" s="107"/>
      <c r="K57" s="107"/>
      <c r="L57" s="107"/>
    </row>
    <row r="59" spans="1:18">
      <c r="B59" s="5" t="s">
        <v>1097</v>
      </c>
      <c r="C59" s="9" t="str">
        <f ca="1">C$14</f>
        <v>FY24A</v>
      </c>
      <c r="D59" s="9" t="str">
        <f ca="1">D$14</f>
        <v>FY25A</v>
      </c>
      <c r="E59" s="9" t="str">
        <f ca="1">E$14</f>
        <v>FY26E</v>
      </c>
      <c r="F59" s="9" t="str">
        <f ca="1">F$14</f>
        <v>FY27E</v>
      </c>
      <c r="G59" s="9" t="str">
        <f ca="1">G$14</f>
        <v>FY28E</v>
      </c>
      <c r="H59" s="16"/>
      <c r="I59" s="9" t="str">
        <f>I$14</f>
        <v>1H25A</v>
      </c>
      <c r="J59" s="9" t="str">
        <f>J$14</f>
        <v>2H25A</v>
      </c>
      <c r="K59" s="9" t="str">
        <f>K$14</f>
        <v>1H26E</v>
      </c>
      <c r="L59" s="9" t="str">
        <f>L$14</f>
        <v>2H26E</v>
      </c>
      <c r="P59" s="84"/>
    </row>
    <row r="60" spans="1:18">
      <c r="A60" s="1" t="s">
        <v>889</v>
      </c>
      <c r="B60" s="15" t="s">
        <v>1068</v>
      </c>
      <c r="C60" s="41">
        <f ca="1">VLOOKUP($A60,Model!$1:$1048576,MATCH(C$14,Model!$1:$1,0),FALSE)</f>
        <v>382030</v>
      </c>
      <c r="D60" s="41">
        <f ca="1">VLOOKUP($A60,Model!$1:$1048576,MATCH(D$14,Model!$1:$1,0),FALSE)</f>
        <v>401534</v>
      </c>
      <c r="E60" s="41">
        <f ca="1">VLOOKUP($A60,Model!$1:$1048576,MATCH(E$14,Model!$1:$1,0),FALSE)</f>
        <v>419792.2101638426</v>
      </c>
      <c r="F60" s="41">
        <f ca="1">VLOOKUP($A60,Model!$1:$1048576,MATCH(F$14,Model!$1:$1,0),FALSE)</f>
        <v>442514.59171166102</v>
      </c>
      <c r="G60" s="41">
        <f ca="1">VLOOKUP($A60,Model!$1:$1048576,MATCH(G$14,Model!$1:$1,0),FALSE)</f>
        <v>468744.08599395544</v>
      </c>
      <c r="H60" s="41"/>
      <c r="I60" s="41">
        <f>VLOOKUP($A60,Model!$1:$1048576,MATCH(I$14,Model!$1:$1,0),FALSE)</f>
        <v>391719</v>
      </c>
      <c r="J60" s="41">
        <f>VLOOKUP($A60,Model!$1:$1048576,MATCH(J$14,Model!$1:$1,0),FALSE)</f>
        <v>401534</v>
      </c>
      <c r="K60" s="41">
        <f>VLOOKUP($A60,Model!$1:$1048576,MATCH(K$14,Model!$1:$1,0),FALSE)</f>
        <v>410872.07470400009</v>
      </c>
      <c r="L60" s="41">
        <f>VLOOKUP($A60,Model!$1:$1048576,MATCH(L$14,Model!$1:$1,0),FALSE)</f>
        <v>419792.2101638426</v>
      </c>
    </row>
    <row r="61" spans="1:18">
      <c r="B61" s="15" t="s">
        <v>902</v>
      </c>
      <c r="C61" s="108">
        <f ca="1">C63-C60-C62</f>
        <v>200455</v>
      </c>
      <c r="D61" s="108">
        <f ca="1">D63-D60-D62</f>
        <v>213158</v>
      </c>
      <c r="E61" s="108">
        <f ca="1">E63-E60-E62</f>
        <v>231280.67184419997</v>
      </c>
      <c r="F61" s="108">
        <f ca="1">F63-F60-F62</f>
        <v>245453.51585540903</v>
      </c>
      <c r="G61" s="108">
        <f ca="1">G63-G60-G62</f>
        <v>256673.38260983181</v>
      </c>
      <c r="I61" s="108">
        <f>I63-I60-I62</f>
        <v>202527</v>
      </c>
      <c r="J61" s="108">
        <f>J63-J60-J62</f>
        <v>213158</v>
      </c>
      <c r="K61" s="108">
        <f>K63-K60-K62</f>
        <v>222856.6890000001</v>
      </c>
      <c r="L61" s="108">
        <f>L63-L60-L62</f>
        <v>231280.67184419997</v>
      </c>
    </row>
    <row r="62" spans="1:18">
      <c r="A62" s="1" t="s">
        <v>738</v>
      </c>
      <c r="B62" s="15" t="s">
        <v>1064</v>
      </c>
      <c r="C62" s="41">
        <f ca="1">VLOOKUP($A62,Model!$1:$1048576,MATCH(C$14,Model!$1:$1,0),FALSE)</f>
        <v>5731</v>
      </c>
      <c r="D62" s="41">
        <f ca="1">VLOOKUP($A62,Model!$1:$1048576,MATCH(D$14,Model!$1:$1,0),FALSE)</f>
        <v>5294</v>
      </c>
      <c r="E62" s="41">
        <f ca="1">VLOOKUP($A62,Model!$1:$1048576,MATCH(E$14,Model!$1:$1,0),FALSE)</f>
        <v>5506.2034201460001</v>
      </c>
      <c r="F62" s="41">
        <f ca="1">VLOOKUP($A62,Model!$1:$1048576,MATCH(F$14,Model!$1:$1,0),FALSE)</f>
        <v>5617.156175605026</v>
      </c>
      <c r="G62" s="41">
        <f ca="1">VLOOKUP($A62,Model!$1:$1048576,MATCH(G$14,Model!$1:$1,0),FALSE)</f>
        <v>5730.3446846322749</v>
      </c>
      <c r="H62" s="41"/>
      <c r="I62" s="41">
        <f>VLOOKUP($A62,Model!$1:$1048576,MATCH(I$14,Model!$1:$1,0),FALSE)</f>
        <v>5422</v>
      </c>
      <c r="J62" s="41">
        <f>VLOOKUP($A62,Model!$1:$1048576,MATCH(J$14,Model!$1:$1,0),FALSE)</f>
        <v>5294</v>
      </c>
      <c r="K62" s="41">
        <f>VLOOKUP($A62,Model!$1:$1048576,MATCH(K$14,Model!$1:$1,0),FALSE)</f>
        <v>5411.1032799999994</v>
      </c>
      <c r="L62" s="41">
        <f>VLOOKUP($A62,Model!$1:$1048576,MATCH(L$14,Model!$1:$1,0),FALSE)</f>
        <v>5506.2034201460001</v>
      </c>
    </row>
    <row r="63" spans="1:18" s="17" customFormat="1">
      <c r="A63" s="1" t="s">
        <v>739</v>
      </c>
      <c r="B63" s="17" t="s">
        <v>1065</v>
      </c>
      <c r="C63" s="109">
        <f ca="1">C72-C69-C66</f>
        <v>588216</v>
      </c>
      <c r="D63" s="109">
        <f ca="1">D72-D69-D66</f>
        <v>619986</v>
      </c>
      <c r="E63" s="109">
        <f ca="1">E72-E69-E66</f>
        <v>656579.08542818855</v>
      </c>
      <c r="F63" s="109">
        <f ca="1">F72-F69-F66</f>
        <v>693585.26374267507</v>
      </c>
      <c r="G63" s="109">
        <f ca="1">G72-G69-G66</f>
        <v>731147.81328841951</v>
      </c>
      <c r="I63" s="109">
        <f>I72-I69-I66</f>
        <v>599668</v>
      </c>
      <c r="J63" s="109">
        <f>J72-J69-J66</f>
        <v>619986</v>
      </c>
      <c r="K63" s="109">
        <f>K72-K69-K66</f>
        <v>639139.8669840002</v>
      </c>
      <c r="L63" s="109">
        <f>L72-L69-L66</f>
        <v>656579.08542818855</v>
      </c>
      <c r="N63" s="63"/>
    </row>
    <row r="64" spans="1:18" s="63" customFormat="1">
      <c r="A64" s="1" t="s">
        <v>610</v>
      </c>
      <c r="B64" s="63" t="s">
        <v>1098</v>
      </c>
      <c r="C64" s="46" t="e">
        <f ca="1">(C63 / (VLOOKUP($A63,Model!$1:$1048576,MATCH(A$14,Model!$1:$1,0),FALSE) + VLOOKUP($A64,Model!$1:$1048576,MATCH(A$14,Model!$1:$1,0),FALSE)) - 1) * 100</f>
        <v>#N/A</v>
      </c>
      <c r="D64" s="110">
        <f ca="1">(D63 / C63 - 1) * 100</f>
        <v>5.4010771553306913</v>
      </c>
      <c r="E64" s="110">
        <f ca="1">(E63 / D63 - 1) * 100</f>
        <v>5.9022438294072055</v>
      </c>
      <c r="F64" s="110">
        <f ca="1">(F63 / E63 - 1) * 100</f>
        <v>5.6362103417218812</v>
      </c>
      <c r="G64" s="110">
        <f ca="1">(G63 / F63 - 1) * 100</f>
        <v>5.4157075574316593</v>
      </c>
      <c r="I64" s="46">
        <f>(I63 / (VLOOKUP($A63,Model!$1:$1048576,MATCH(H$14,Model!$1:$1,0),FALSE) + VLOOKUP($A64,Model!$1:$1048576,MATCH(H$14,Model!$1:$1,0),FALSE)) - 1) * 100</f>
        <v>1.9469038584465581</v>
      </c>
      <c r="J64" s="110">
        <f>(J63 / I63 - 1) * 100</f>
        <v>3.3882081418384891</v>
      </c>
      <c r="K64" s="110">
        <f>(K63 / J63 - 1) * 100</f>
        <v>3.0894031452323389</v>
      </c>
      <c r="L64" s="110">
        <f>(L63 / K63 - 1) * 100</f>
        <v>2.7285449312497434</v>
      </c>
      <c r="N64" s="15"/>
    </row>
    <row r="65" spans="1:15">
      <c r="A65" s="1" t="s">
        <v>615</v>
      </c>
      <c r="B65" s="15" t="s">
        <v>561</v>
      </c>
      <c r="C65" s="41">
        <f ca="1">VLOOKUP($A65,Model!$1:$1048576,MATCH(C$14,Model!$1:$1,0),FALSE)</f>
        <v>484518</v>
      </c>
      <c r="D65" s="41">
        <f ca="1">VLOOKUP($A65,Model!$1:$1048576,MATCH(D$14,Model!$1:$1,0),FALSE)</f>
        <v>514224</v>
      </c>
      <c r="E65" s="41">
        <f ca="1">VLOOKUP($A65,Model!$1:$1048576,MATCH(E$14,Model!$1:$1,0),FALSE)</f>
        <v>564232.28399999999</v>
      </c>
      <c r="F65" s="41">
        <f ca="1">VLOOKUP($A65,Model!$1:$1048576,MATCH(F$14,Model!$1:$1,0),FALSE)</f>
        <v>598594.03009559994</v>
      </c>
      <c r="G65" s="41">
        <f ca="1">VLOOKUP($A65,Model!$1:$1048576,MATCH(G$14,Model!$1:$1,0),FALSE)</f>
        <v>635048.40652842191</v>
      </c>
      <c r="H65" s="41"/>
      <c r="I65" s="41">
        <f>VLOOKUP($A65,Model!$1:$1048576,MATCH(I$14,Model!$1:$1,0),FALSE)</f>
        <v>493144</v>
      </c>
      <c r="J65" s="41">
        <f>VLOOKUP($A65,Model!$1:$1048576,MATCH(J$14,Model!$1:$1,0),FALSE)</f>
        <v>514224</v>
      </c>
      <c r="K65" s="41">
        <f>VLOOKUP($A65,Model!$1:$1048576,MATCH(K$14,Model!$1:$1,0),FALSE)</f>
        <v>539935.20000000007</v>
      </c>
      <c r="L65" s="41">
        <f>VLOOKUP($A65,Model!$1:$1048576,MATCH(L$14,Model!$1:$1,0),FALSE)</f>
        <v>564232.28399999999</v>
      </c>
      <c r="N65" s="17"/>
      <c r="O65" s="63"/>
    </row>
    <row r="66" spans="1:15" s="17" customFormat="1">
      <c r="A66" s="1" t="s">
        <v>605</v>
      </c>
      <c r="B66" s="17" t="s">
        <v>1066</v>
      </c>
      <c r="C66" s="62">
        <f ca="1">VLOOKUP($A66,Model!$1:$1048576,MATCH(C$14,Model!$1:$1,0),FALSE)</f>
        <v>139857</v>
      </c>
      <c r="D66" s="62">
        <f ca="1">VLOOKUP($A66,Model!$1:$1048576,MATCH(D$14,Model!$1:$1,0),FALSE)</f>
        <v>139702</v>
      </c>
      <c r="E66" s="62">
        <f ca="1">VLOOKUP($A66,Model!$1:$1048576,MATCH(E$14,Model!$1:$1,0),FALSE)</f>
        <v>142995.33921126608</v>
      </c>
      <c r="F66" s="62">
        <f ca="1">VLOOKUP($A66,Model!$1:$1048576,MATCH(F$14,Model!$1:$1,0),FALSE)</f>
        <v>140956.55358865845</v>
      </c>
      <c r="G66" s="62">
        <f ca="1">VLOOKUP($A66,Model!$1:$1048576,MATCH(G$14,Model!$1:$1,0),FALSE)</f>
        <v>141440.98813466902</v>
      </c>
      <c r="H66" s="62"/>
      <c r="I66" s="62">
        <f>VLOOKUP($A66,Model!$1:$1048576,MATCH(I$14,Model!$1:$1,0),FALSE)</f>
        <v>140079</v>
      </c>
      <c r="J66" s="62">
        <f>VLOOKUP($A66,Model!$1:$1048576,MATCH(J$14,Model!$1:$1,0),FALSE)</f>
        <v>139702</v>
      </c>
      <c r="K66" s="62">
        <f>VLOOKUP($A66,Model!$1:$1048576,MATCH(K$14,Model!$1:$1,0),FALSE)</f>
        <v>145489.00561405631</v>
      </c>
      <c r="L66" s="62">
        <f>VLOOKUP($A66,Model!$1:$1048576,MATCH(L$14,Model!$1:$1,0),FALSE)</f>
        <v>142995.33921126608</v>
      </c>
      <c r="N66" s="63"/>
      <c r="O66" s="63"/>
    </row>
    <row r="67" spans="1:15" s="63" customFormat="1">
      <c r="A67" s="111"/>
      <c r="B67" s="63" t="s">
        <v>1099</v>
      </c>
      <c r="C67" s="112" t="e">
        <f ca="1">(C66 / VLOOKUP($A66,Model!$1:$1048576,MATCH(A$14,Model!$1:$1,0),FALSE) - 1) * 100</f>
        <v>#N/A</v>
      </c>
      <c r="D67" s="110">
        <f ca="1">(D66 / C66 - 1) * 100</f>
        <v>-0.11082748807710319</v>
      </c>
      <c r="E67" s="110">
        <f ca="1">(E66 / D66 - 1) * 100</f>
        <v>2.3574030516857913</v>
      </c>
      <c r="F67" s="110">
        <f ca="1">(F66 / E66 - 1) * 100</f>
        <v>-1.4257706816551918</v>
      </c>
      <c r="G67" s="110">
        <f ca="1">(G66 / F66 - 1) * 100</f>
        <v>0.34367649724484917</v>
      </c>
      <c r="I67" s="112">
        <f>(I66 / VLOOKUP($A66,Model!$1:$1048576,MATCH(H$14,Model!$1:$1,0),FALSE) - 1) * 100</f>
        <v>0.15873356356850277</v>
      </c>
      <c r="J67" s="110">
        <f>(J66 / I66 - 1) * 100</f>
        <v>-0.26913384590123712</v>
      </c>
      <c r="K67" s="110">
        <f>(K66 / J66 - 1) * 100</f>
        <v>4.1423928176091307</v>
      </c>
      <c r="L67" s="110">
        <f>(L66 / K66 - 1) * 100</f>
        <v>-1.7139895844812236</v>
      </c>
      <c r="N67" s="15"/>
    </row>
    <row r="68" spans="1:15">
      <c r="A68" s="1" t="s">
        <v>250</v>
      </c>
      <c r="B68" s="15" t="s">
        <v>460</v>
      </c>
      <c r="C68" s="41">
        <f ca="1">VLOOKUP($A68,Model!$1:$1048576,MATCH(C$14,Model!$1:$1,0),FALSE)</f>
        <v>126203</v>
      </c>
      <c r="D68" s="41">
        <f ca="1">VLOOKUP($A68,Model!$1:$1048576,MATCH(D$14,Model!$1:$1,0),FALSE)</f>
        <v>126878</v>
      </c>
      <c r="E68" s="41">
        <f ca="1">VLOOKUP($A68,Model!$1:$1048576,MATCH(E$14,Model!$1:$1,0),FALSE)</f>
        <v>135911.71359999999</v>
      </c>
      <c r="F68" s="41">
        <f ca="1">VLOOKUP($A68,Model!$1:$1048576,MATCH(F$14,Model!$1:$1,0),FALSE)</f>
        <v>144188.73695824001</v>
      </c>
      <c r="G68" s="41">
        <f ca="1">VLOOKUP($A68,Model!$1:$1048576,MATCH(G$14,Model!$1:$1,0),FALSE)</f>
        <v>152969.83103899684</v>
      </c>
      <c r="H68" s="41"/>
      <c r="I68" s="41">
        <f>VLOOKUP($A68,Model!$1:$1048576,MATCH(I$14,Model!$1:$1,0),FALSE)</f>
        <v>129302</v>
      </c>
      <c r="J68" s="41">
        <f>VLOOKUP($A68,Model!$1:$1048576,MATCH(J$14,Model!$1:$1,0),FALSE)</f>
        <v>126878</v>
      </c>
      <c r="K68" s="41">
        <f>VLOOKUP($A68,Model!$1:$1048576,MATCH(K$14,Model!$1:$1,0),FALSE)</f>
        <v>131953.12</v>
      </c>
      <c r="L68" s="41">
        <f>VLOOKUP($A68,Model!$1:$1048576,MATCH(L$14,Model!$1:$1,0),FALSE)</f>
        <v>135911.71359999999</v>
      </c>
      <c r="N68" s="17"/>
      <c r="O68" s="63"/>
    </row>
    <row r="69" spans="1:15" s="17" customFormat="1">
      <c r="A69" s="1" t="s">
        <v>600</v>
      </c>
      <c r="B69" s="17" t="s">
        <v>1067</v>
      </c>
      <c r="C69" s="62">
        <f ca="1">VLOOKUP($A69,Model!$1:$1048576,MATCH(C$14,Model!$1:$1,0),FALSE)</f>
        <v>75262</v>
      </c>
      <c r="D69" s="62">
        <f ca="1">VLOOKUP($A69,Model!$1:$1048576,MATCH(D$14,Model!$1:$1,0),FALSE)</f>
        <v>69783</v>
      </c>
      <c r="E69" s="62">
        <f ca="1">VLOOKUP($A69,Model!$1:$1048576,MATCH(E$14,Model!$1:$1,0),FALSE)</f>
        <v>59327.053641924802</v>
      </c>
      <c r="F69" s="62">
        <f ca="1">VLOOKUP($A69,Model!$1:$1048576,MATCH(F$14,Model!$1:$1,0),FALSE)</f>
        <v>53299.095768896179</v>
      </c>
      <c r="G69" s="62">
        <f ca="1">VLOOKUP($A69,Model!$1:$1048576,MATCH(G$14,Model!$1:$1,0),FALSE)</f>
        <v>47588.55406772202</v>
      </c>
      <c r="H69" s="62"/>
      <c r="I69" s="62">
        <f>VLOOKUP($A69,Model!$1:$1048576,MATCH(I$14,Model!$1:$1,0),FALSE)</f>
        <v>80465</v>
      </c>
      <c r="J69" s="62">
        <f>VLOOKUP($A69,Model!$1:$1048576,MATCH(J$14,Model!$1:$1,0),FALSE)</f>
        <v>69783</v>
      </c>
      <c r="K69" s="62">
        <f>VLOOKUP($A69,Model!$1:$1048576,MATCH(K$14,Model!$1:$1,0),FALSE)</f>
        <v>62129.983914074059</v>
      </c>
      <c r="L69" s="62">
        <f>VLOOKUP($A69,Model!$1:$1048576,MATCH(L$14,Model!$1:$1,0),FALSE)</f>
        <v>59327.053641924802</v>
      </c>
      <c r="N69" s="63"/>
      <c r="O69" s="63"/>
    </row>
    <row r="70" spans="1:15" s="63" customFormat="1">
      <c r="A70" s="1"/>
      <c r="B70" s="63" t="s">
        <v>1100</v>
      </c>
      <c r="C70" s="112" t="e">
        <f ca="1">(C69 / VLOOKUP($A69,Model!$1:$1048576,MATCH(A$14,Model!$1:$1,0),FALSE) - 1) * 100</f>
        <v>#N/A</v>
      </c>
      <c r="D70" s="110">
        <f ca="1">(D69 / C69 - 1) * 100</f>
        <v>-7.2799022082857263</v>
      </c>
      <c r="E70" s="110">
        <f ca="1">(E69 / D69 - 1) * 100</f>
        <v>-14.983515122702084</v>
      </c>
      <c r="F70" s="110">
        <f ca="1">(F69 / E69 - 1) * 100</f>
        <v>-10.160554928972287</v>
      </c>
      <c r="G70" s="110">
        <f ca="1">(G69 / F69 - 1) * 100</f>
        <v>-10.714143680663845</v>
      </c>
      <c r="I70" s="112">
        <f>(I69 / VLOOKUP($A69,Model!$1:$1048576,MATCH(H$14,Model!$1:$1,0),FALSE) - 1) * 100</f>
        <v>6.9131832797427739</v>
      </c>
      <c r="J70" s="110">
        <f>(J69 / I69 - 1) * 100</f>
        <v>-13.275337103088303</v>
      </c>
      <c r="K70" s="110">
        <f>(K69 / J69 - 1) * 100</f>
        <v>-10.966877442824096</v>
      </c>
      <c r="L70" s="110">
        <f>(L69 / K69 - 1) * 100</f>
        <v>-4.5113970671965991</v>
      </c>
    </row>
    <row r="71" spans="1:15">
      <c r="A71" s="1" t="s">
        <v>247</v>
      </c>
      <c r="B71" s="15" t="s">
        <v>471</v>
      </c>
      <c r="C71" s="41">
        <f ca="1">VLOOKUP($A71,Model!$1:$1048576,MATCH(C$14,Model!$1:$1,0),FALSE)</f>
        <v>146696</v>
      </c>
      <c r="D71" s="41">
        <f ca="1">VLOOKUP($A71,Model!$1:$1048576,MATCH(D$14,Model!$1:$1,0),FALSE)</f>
        <v>152716</v>
      </c>
      <c r="E71" s="41">
        <f ca="1">VLOOKUP($A71,Model!$1:$1048576,MATCH(E$14,Model!$1:$1,0),FALSE)</f>
        <v>167567.63099999999</v>
      </c>
      <c r="F71" s="41">
        <f ca="1">VLOOKUP($A71,Model!$1:$1048576,MATCH(F$14,Model!$1:$1,0),FALSE)</f>
        <v>176050.74231937499</v>
      </c>
      <c r="G71" s="41">
        <f ca="1">VLOOKUP($A71,Model!$1:$1048576,MATCH(G$14,Model!$1:$1,0),FALSE)</f>
        <v>184963.31114929329</v>
      </c>
      <c r="H71" s="41"/>
      <c r="I71" s="41">
        <f>VLOOKUP($A71,Model!$1:$1048576,MATCH(I$14,Model!$1:$1,0),FALSE)</f>
        <v>173700</v>
      </c>
      <c r="J71" s="41">
        <f>VLOOKUP($A71,Model!$1:$1048576,MATCH(J$14,Model!$1:$1,0),FALSE)</f>
        <v>152716</v>
      </c>
      <c r="K71" s="41">
        <f>VLOOKUP($A71,Model!$1:$1048576,MATCH(K$14,Model!$1:$1,0),FALSE)</f>
        <v>160351.80000000002</v>
      </c>
      <c r="L71" s="41">
        <f>VLOOKUP($A71,Model!$1:$1048576,MATCH(L$14,Model!$1:$1,0),FALSE)</f>
        <v>167567.63099999999</v>
      </c>
      <c r="O71" s="63"/>
    </row>
    <row r="72" spans="1:15" s="17" customFormat="1">
      <c r="A72" s="1" t="s">
        <v>612</v>
      </c>
      <c r="B72" s="17" t="s">
        <v>1101</v>
      </c>
      <c r="C72" s="62">
        <f ca="1">VLOOKUP($A72,Model!$1:$1048576,MATCH(C$14,Model!$1:$1,0),FALSE)</f>
        <v>803335</v>
      </c>
      <c r="D72" s="62">
        <f ca="1">VLOOKUP($A72,Model!$1:$1048576,MATCH(D$14,Model!$1:$1,0),FALSE)</f>
        <v>829471</v>
      </c>
      <c r="E72" s="62">
        <f ca="1">VLOOKUP($A72,Model!$1:$1048576,MATCH(E$14,Model!$1:$1,0),FALSE)</f>
        <v>858901.47828137933</v>
      </c>
      <c r="F72" s="62">
        <f ca="1">VLOOKUP($A72,Model!$1:$1048576,MATCH(F$14,Model!$1:$1,0),FALSE)</f>
        <v>887840.91310022969</v>
      </c>
      <c r="G72" s="62">
        <f ca="1">VLOOKUP($A72,Model!$1:$1048576,MATCH(G$14,Model!$1:$1,0),FALSE)</f>
        <v>920177.35549081059</v>
      </c>
      <c r="H72" s="62"/>
      <c r="I72" s="62">
        <f>VLOOKUP($A72,Model!$1:$1048576,MATCH(I$14,Model!$1:$1,0),FALSE)</f>
        <v>820212</v>
      </c>
      <c r="J72" s="62">
        <f>VLOOKUP($A72,Model!$1:$1048576,MATCH(J$14,Model!$1:$1,0),FALSE)</f>
        <v>829471</v>
      </c>
      <c r="K72" s="62">
        <f>VLOOKUP($A72,Model!$1:$1048576,MATCH(K$14,Model!$1:$1,0),FALSE)</f>
        <v>846758.85651213047</v>
      </c>
      <c r="L72" s="62">
        <f>VLOOKUP($A72,Model!$1:$1048576,MATCH(L$14,Model!$1:$1,0),FALSE)</f>
        <v>858901.47828137933</v>
      </c>
    </row>
    <row r="73" spans="1:15" s="63" customFormat="1">
      <c r="A73" s="1"/>
      <c r="B73" s="63" t="s">
        <v>1102</v>
      </c>
      <c r="C73" s="112" t="e">
        <f ca="1">(C72 / VLOOKUP($A72,Model!$1:$1048576,MATCH(A$14,Model!$1:$1,0),FALSE) - 1) * 100</f>
        <v>#N/A</v>
      </c>
      <c r="D73" s="110">
        <f ca="1">(D72 / C72 - 1) * 100</f>
        <v>3.2534372335327078</v>
      </c>
      <c r="E73" s="110">
        <f ca="1">(E72 / D72 - 1) * 100</f>
        <v>3.5481021375526556</v>
      </c>
      <c r="F73" s="110">
        <f ca="1">(F72 / E72 - 1) * 100</f>
        <v>3.3693544079999471</v>
      </c>
      <c r="G73" s="110">
        <f ca="1">(G72 / F72 - 1) * 100</f>
        <v>3.6421437572262905</v>
      </c>
      <c r="I73" s="112">
        <f>(I72 / VLOOKUP($A72,Model!$1:$1048576,MATCH(H$14,Model!$1:$1,0),FALSE) - 1) * 100</f>
        <v>2.1008670106493543</v>
      </c>
      <c r="J73" s="110">
        <f>(J72 / I72 - 1) * 100</f>
        <v>1.1288544912778642</v>
      </c>
      <c r="K73" s="110">
        <f>(K72 / J72 - 1) * 100</f>
        <v>2.0842026438694594</v>
      </c>
      <c r="L73" s="110">
        <f>(L72 / K72 - 1) * 100</f>
        <v>1.434011782205058</v>
      </c>
    </row>
    <row r="74" spans="1:15" s="17" customFormat="1">
      <c r="A74" s="1" t="s">
        <v>895</v>
      </c>
      <c r="B74" s="17" t="s">
        <v>572</v>
      </c>
      <c r="C74" s="62">
        <f ca="1">VLOOKUP($A74,Model!$1:$1048576,MATCH(C$14,Model!$1:$1,0),FALSE)</f>
        <v>446582</v>
      </c>
      <c r="D74" s="62">
        <f ca="1">VLOOKUP($A74,Model!$1:$1048576,MATCH(D$14,Model!$1:$1,0),FALSE)</f>
        <v>458547</v>
      </c>
      <c r="E74" s="62">
        <f ca="1">VLOOKUP($A74,Model!$1:$1048576,MATCH(E$14,Model!$1:$1,0),FALSE)</f>
        <v>477683.98771293456</v>
      </c>
      <c r="F74" s="62">
        <f ca="1">VLOOKUP($A74,Model!$1:$1048576,MATCH(F$14,Model!$1:$1,0),FALSE)</f>
        <v>486596.49337076169</v>
      </c>
      <c r="G74" s="62">
        <f ca="1">VLOOKUP($A74,Model!$1:$1048576,MATCH(G$14,Model!$1:$1,0),FALSE)</f>
        <v>496155.39589073515</v>
      </c>
      <c r="H74" s="62"/>
      <c r="I74" s="62">
        <f>VLOOKUP($A74,Model!$1:$1048576,MATCH(I$14,Model!$1:$1,0),FALSE)</f>
        <v>468999</v>
      </c>
      <c r="J74" s="62">
        <f>VLOOKUP($A74,Model!$1:$1048576,MATCH(J$14,Model!$1:$1,0),FALSE)</f>
        <v>458547</v>
      </c>
      <c r="K74" s="62">
        <f>VLOOKUP($A74,Model!$1:$1048576,MATCH(K$14,Model!$1:$1,0),FALSE)</f>
        <v>473004.07998366241</v>
      </c>
      <c r="L74" s="62">
        <f>VLOOKUP($A74,Model!$1:$1048576,MATCH(L$14,Model!$1:$1,0),FALSE)</f>
        <v>477683.98771293456</v>
      </c>
    </row>
    <row r="77" spans="1:15">
      <c r="B77" s="2" t="s">
        <v>1103</v>
      </c>
      <c r="C77" s="107"/>
      <c r="D77" s="107"/>
      <c r="E77" s="107"/>
      <c r="F77" s="107"/>
      <c r="G77" s="107"/>
      <c r="H77" s="107"/>
      <c r="I77" s="107"/>
      <c r="J77" s="107"/>
      <c r="K77" s="107"/>
      <c r="L77" s="107"/>
    </row>
    <row r="79" spans="1:15">
      <c r="B79" s="5" t="s">
        <v>1104</v>
      </c>
      <c r="C79" s="9" t="str">
        <f ca="1">C$14</f>
        <v>FY24A</v>
      </c>
      <c r="D79" s="9" t="str">
        <f ca="1">D$14</f>
        <v>FY25A</v>
      </c>
      <c r="E79" s="9" t="str">
        <f ca="1">E$14</f>
        <v>FY26E</v>
      </c>
      <c r="F79" s="9" t="str">
        <f ca="1">F$14</f>
        <v>FY27E</v>
      </c>
      <c r="G79" s="9" t="str">
        <f ca="1">G$14</f>
        <v>FY28E</v>
      </c>
      <c r="H79" s="16"/>
      <c r="I79" s="9" t="str">
        <f>I$14</f>
        <v>1H25A</v>
      </c>
      <c r="J79" s="9" t="str">
        <f>J$14</f>
        <v>2H25A</v>
      </c>
      <c r="K79" s="9" t="str">
        <f>K$14</f>
        <v>1H26E</v>
      </c>
      <c r="L79" s="9" t="str">
        <f>L$14</f>
        <v>2H26E</v>
      </c>
    </row>
    <row r="80" spans="1:15" s="17" customFormat="1">
      <c r="A80" s="1"/>
      <c r="B80" s="17" t="s">
        <v>724</v>
      </c>
    </row>
    <row r="81" spans="1:12">
      <c r="A81" s="1" t="s">
        <v>1001</v>
      </c>
      <c r="B81" s="15" t="s">
        <v>725</v>
      </c>
      <c r="C81" s="46">
        <f ca="1">VLOOKUP($A81,Model!$1:$1048576,MATCH(C$14,Model!$1:$1,0),FALSE) * 100</f>
        <v>9.3829642126422339</v>
      </c>
      <c r="D81" s="46">
        <f ca="1">VLOOKUP($A81,Model!$1:$1048576,MATCH(D$14,Model!$1:$1,0),FALSE) * 100</f>
        <v>8.2342087975063958</v>
      </c>
      <c r="E81" s="46">
        <f ca="1">VLOOKUP($A81,Model!$1:$1048576,MATCH(E$14,Model!$1:$1,0),FALSE) * 100</f>
        <v>10.166620055431071</v>
      </c>
      <c r="F81" s="46">
        <f ca="1">VLOOKUP($A81,Model!$1:$1048576,MATCH(F$14,Model!$1:$1,0),FALSE) * 100</f>
        <v>9.7658961224029834</v>
      </c>
      <c r="G81" s="46">
        <f ca="1">VLOOKUP($A81,Model!$1:$1048576,MATCH(G$14,Model!$1:$1,0),FALSE) * 100</f>
        <v>10.061619300922889</v>
      </c>
      <c r="H81" s="46"/>
      <c r="I81" s="46">
        <f>VLOOKUP($A81,Model!$1:$1048576,MATCH(I$14,Model!$1:$1,0),FALSE) * 100</f>
        <v>10.363459762922011</v>
      </c>
      <c r="J81" s="46">
        <f>VLOOKUP($A81,Model!$1:$1048576,MATCH(J$14,Model!$1:$1,0),FALSE) * 100</f>
        <v>6.1793027964509566</v>
      </c>
      <c r="K81" s="46">
        <f>VLOOKUP($A81,Model!$1:$1048576,MATCH(K$14,Model!$1:$1,0),FALSE) * 100</f>
        <v>10.398513704832402</v>
      </c>
      <c r="L81" s="46">
        <f>VLOOKUP($A81,Model!$1:$1048576,MATCH(L$14,Model!$1:$1,0),FALSE) * 100</f>
        <v>9.9412472350984995</v>
      </c>
    </row>
    <row r="82" spans="1:12">
      <c r="A82" s="1" t="s">
        <v>1002</v>
      </c>
      <c r="B82" s="15" t="s">
        <v>595</v>
      </c>
      <c r="C82" s="46">
        <f ca="1">VLOOKUP($A82,Model!$1:$1048576,MATCH(C$14,Model!$1:$1,0),FALSE) * 100</f>
        <v>9.6557665386410143</v>
      </c>
      <c r="D82" s="46">
        <f ca="1">VLOOKUP($A82,Model!$1:$1048576,MATCH(D$14,Model!$1:$1,0),FALSE) * 100</f>
        <v>8.0888416756356314</v>
      </c>
      <c r="E82" s="46">
        <f ca="1">VLOOKUP($A82,Model!$1:$1048576,MATCH(E$14,Model!$1:$1,0),FALSE) * 100</f>
        <v>10.166620055431071</v>
      </c>
      <c r="F82" s="46">
        <f ca="1">VLOOKUP($A82,Model!$1:$1048576,MATCH(F$14,Model!$1:$1,0),FALSE) * 100</f>
        <v>9.765896122402987</v>
      </c>
      <c r="G82" s="46">
        <f ca="1">VLOOKUP($A82,Model!$1:$1048576,MATCH(G$14,Model!$1:$1,0),FALSE) * 100</f>
        <v>10.061619300922892</v>
      </c>
      <c r="H82" s="46"/>
      <c r="I82" s="46">
        <f>VLOOKUP($A82,Model!$1:$1048576,MATCH(I$14,Model!$1:$1,0),FALSE) * 100</f>
        <v>10.15288974028164</v>
      </c>
      <c r="J82" s="46">
        <f>VLOOKUP($A82,Model!$1:$1048576,MATCH(J$14,Model!$1:$1,0),FALSE) * 100</f>
        <v>6.0968754581256892</v>
      </c>
      <c r="K82" s="46">
        <f>VLOOKUP($A82,Model!$1:$1048576,MATCH(K$14,Model!$1:$1,0),FALSE) * 100</f>
        <v>10.398513704832402</v>
      </c>
      <c r="L82" s="46">
        <f>VLOOKUP($A82,Model!$1:$1048576,MATCH(L$14,Model!$1:$1,0),FALSE) * 100</f>
        <v>9.9412472350984995</v>
      </c>
    </row>
    <row r="83" spans="1:12">
      <c r="A83" s="1" t="s">
        <v>1003</v>
      </c>
      <c r="B83" s="15" t="s">
        <v>596</v>
      </c>
      <c r="C83" s="46">
        <f ca="1">VLOOKUP($A83,Model!$1:$1048576,MATCH(C$14,Model!$1:$1,0),FALSE) * 100</f>
        <v>10.321303323536409</v>
      </c>
      <c r="D83" s="46">
        <f ca="1">VLOOKUP($A83,Model!$1:$1048576,MATCH(D$14,Model!$1:$1,0),FALSE) * 100</f>
        <v>8.6662872888462914</v>
      </c>
      <c r="E83" s="46">
        <f ca="1">VLOOKUP($A83,Model!$1:$1048576,MATCH(E$14,Model!$1:$1,0),FALSE) * 100</f>
        <v>10.858136113115002</v>
      </c>
      <c r="F83" s="46">
        <f ca="1">VLOOKUP($A83,Model!$1:$1048576,MATCH(F$14,Model!$1:$1,0),FALSE) * 100</f>
        <v>10.404664794513021</v>
      </c>
      <c r="G83" s="46">
        <f ca="1">VLOOKUP($A83,Model!$1:$1048576,MATCH(G$14,Model!$1:$1,0),FALSE) * 100</f>
        <v>10.719617698361178</v>
      </c>
      <c r="H83" s="46"/>
      <c r="I83" s="46">
        <f>VLOOKUP($A83,Model!$1:$1048576,MATCH(I$14,Model!$1:$1,0),FALSE) * 100</f>
        <v>10.874613449042409</v>
      </c>
      <c r="J83" s="46">
        <f>VLOOKUP($A83,Model!$1:$1048576,MATCH(J$14,Model!$1:$1,0),FALSE) * 100</f>
        <v>6.5300534354425412</v>
      </c>
      <c r="K83" s="46">
        <f>VLOOKUP($A83,Model!$1:$1048576,MATCH(K$14,Model!$1:$1,0),FALSE) * 100</f>
        <v>11.117467879235898</v>
      </c>
      <c r="L83" s="46">
        <f>VLOOKUP($A83,Model!$1:$1048576,MATCH(L$14,Model!$1:$1,0),FALSE) * 100</f>
        <v>10.606579420523824</v>
      </c>
    </row>
    <row r="84" spans="1:12">
      <c r="A84" s="1" t="s">
        <v>890</v>
      </c>
      <c r="B84" s="15" t="s">
        <v>597</v>
      </c>
      <c r="C84" s="13">
        <f ca="1">VLOOKUP($A84,Model!$1:$1048576,MATCH(C$14,Model!$1:$1,0),FALSE) * 100</f>
        <v>1.541134836694134</v>
      </c>
      <c r="D84" s="13">
        <f ca="1">VLOOKUP($A84,Model!$1:$1048576,MATCH(D$14,Model!$1:$1,0),FALSE) * 100</f>
        <v>1.255931452615739</v>
      </c>
      <c r="E84" s="13">
        <f ca="1">VLOOKUP($A84,Model!$1:$1048576,MATCH(E$14,Model!$1:$1,0),FALSE) * 100</f>
        <v>1.6172309519097972</v>
      </c>
      <c r="F84" s="13">
        <f ca="1">VLOOKUP($A84,Model!$1:$1048576,MATCH(F$14,Model!$1:$1,0),FALSE) * 100</f>
        <v>1.5732050359406828</v>
      </c>
      <c r="G84" s="13">
        <f ca="1">VLOOKUP($A84,Model!$1:$1048576,MATCH(G$14,Model!$1:$1,0),FALSE) * 100</f>
        <v>1.5907187435803476</v>
      </c>
      <c r="H84" s="13"/>
      <c r="I84" s="13">
        <f>VLOOKUP($A84,Model!$1:$1048576,MATCH(I$14,Model!$1:$1,0),FALSE) * 100</f>
        <v>1.5630740252592388</v>
      </c>
      <c r="J84" s="13">
        <f>VLOOKUP($A84,Model!$1:$1048576,MATCH(J$14,Model!$1:$1,0),FALSE) * 100</f>
        <v>0.9543190994171481</v>
      </c>
      <c r="K84" s="13">
        <f>VLOOKUP($A84,Model!$1:$1048576,MATCH(K$14,Model!$1:$1,0),FALSE) * 100</f>
        <v>1.6456763053175578</v>
      </c>
      <c r="L84" s="13">
        <f>VLOOKUP($A84,Model!$1:$1048576,MATCH(L$14,Model!$1:$1,0),FALSE) * 100</f>
        <v>1.5893326107328163</v>
      </c>
    </row>
    <row r="85" spans="1:12">
      <c r="A85" s="1" t="s">
        <v>891</v>
      </c>
      <c r="B85" s="15" t="s">
        <v>501</v>
      </c>
      <c r="C85" s="13">
        <f ca="1">VLOOKUP($A85,Model!$1:$1048576,MATCH(C$14,Model!$1:$1,0),FALSE) * 100</f>
        <v>0.57362974993154825</v>
      </c>
      <c r="D85" s="13">
        <f ca="1">VLOOKUP($A85,Model!$1:$1048576,MATCH(D$14,Model!$1:$1,0),FALSE) * 100</f>
        <v>0.4339333315837029</v>
      </c>
      <c r="E85" s="13">
        <f ca="1">VLOOKUP($A85,Model!$1:$1048576,MATCH(E$14,Model!$1:$1,0),FALSE) * 100</f>
        <v>0.55155317814637428</v>
      </c>
      <c r="F85" s="13">
        <f ca="1">VLOOKUP($A85,Model!$1:$1048576,MATCH(F$14,Model!$1:$1,0),FALSE) * 100</f>
        <v>0.53387058296003742</v>
      </c>
      <c r="G85" s="13">
        <f ca="1">VLOOKUP($A85,Model!$1:$1048576,MATCH(G$14,Model!$1:$1,0),FALSE) * 100</f>
        <v>0.53204466078244961</v>
      </c>
      <c r="H85" s="13"/>
      <c r="I85" s="13">
        <f>VLOOKUP($A85,Model!$1:$1048576,MATCH(I$14,Model!$1:$1,0),FALSE) * 100</f>
        <v>0.5429266087141954</v>
      </c>
      <c r="J85" s="13">
        <f>VLOOKUP($A85,Model!$1:$1048576,MATCH(J$14,Model!$1:$1,0),FALSE) * 100</f>
        <v>0.32804301272554637</v>
      </c>
      <c r="K85" s="13">
        <f>VLOOKUP($A85,Model!$1:$1048576,MATCH(K$14,Model!$1:$1,0),FALSE) * 100</f>
        <v>0.56009170277177256</v>
      </c>
      <c r="L85" s="13">
        <f>VLOOKUP($A85,Model!$1:$1048576,MATCH(L$14,Model!$1:$1,0),FALSE) * 100</f>
        <v>0.54314941386584603</v>
      </c>
    </row>
    <row r="86" spans="1:12">
      <c r="A86" s="1" t="s">
        <v>892</v>
      </c>
      <c r="B86" s="15" t="s">
        <v>502</v>
      </c>
      <c r="C86" s="13">
        <f ca="1">VLOOKUP($A86,Model!$1:$1048576,MATCH(C$14,Model!$1:$1,0),FALSE) * 100</f>
        <v>0.57583562525901899</v>
      </c>
      <c r="D86" s="13">
        <f ca="1">VLOOKUP($A86,Model!$1:$1048576,MATCH(D$14,Model!$1:$1,0),FALSE) * 100</f>
        <v>0.4354899883207109</v>
      </c>
      <c r="E86" s="13">
        <f ca="1">VLOOKUP($A86,Model!$1:$1048576,MATCH(E$14,Model!$1:$1,0),FALSE) * 100</f>
        <v>0.55346544411568233</v>
      </c>
      <c r="F86" s="13">
        <f ca="1">VLOOKUP($A86,Model!$1:$1048576,MATCH(F$14,Model!$1:$1,0),FALSE) * 100</f>
        <v>0.53566835821939163</v>
      </c>
      <c r="G86" s="13">
        <f ca="1">VLOOKUP($A86,Model!$1:$1048576,MATCH(G$14,Model!$1:$1,0),FALSE) * 100</f>
        <v>0.53377721077529494</v>
      </c>
      <c r="H86" s="13"/>
      <c r="I86" s="13">
        <f>VLOOKUP($A86,Model!$1:$1048576,MATCH(I$14,Model!$1:$1,0),FALSE) * 100</f>
        <v>0.54486032960728037</v>
      </c>
      <c r="J86" s="13">
        <f>VLOOKUP($A86,Model!$1:$1048576,MATCH(J$14,Model!$1:$1,0),FALSE) * 100</f>
        <v>0.32921806383931462</v>
      </c>
      <c r="K86" s="13">
        <f>VLOOKUP($A86,Model!$1:$1048576,MATCH(K$14,Model!$1:$1,0),FALSE) * 100</f>
        <v>0.56204945500417247</v>
      </c>
      <c r="L86" s="13">
        <f>VLOOKUP($A86,Model!$1:$1048576,MATCH(L$14,Model!$1:$1,0),FALSE) * 100</f>
        <v>0.54501730653804981</v>
      </c>
    </row>
    <row r="87" spans="1:12">
      <c r="A87" s="1" t="s">
        <v>1012</v>
      </c>
      <c r="B87" s="15" t="s">
        <v>566</v>
      </c>
      <c r="C87" s="46">
        <f ca="1">VLOOKUP($A87,Model!$1:$1048576,MATCH(C$14,Model!$1:$1,0),FALSE)</f>
        <v>2.992283950617284</v>
      </c>
      <c r="D87" s="46">
        <f ca="1">VLOOKUP($A87,Model!$1:$1048576,MATCH(D$14,Model!$1:$1,0),FALSE)</f>
        <v>2.8994252873563218</v>
      </c>
      <c r="E87" s="46">
        <f ca="1">VLOOKUP($A87,Model!$1:$1048576,MATCH(E$14,Model!$1:$1,0),FALSE)</f>
        <v>2.0455840148041222</v>
      </c>
      <c r="F87" s="46">
        <f ca="1">VLOOKUP($A87,Model!$1:$1048576,MATCH(F$14,Model!$1:$1,0),FALSE)</f>
        <v>2.0649489784972617</v>
      </c>
      <c r="G87" s="46">
        <f ca="1">VLOOKUP($A87,Model!$1:$1048576,MATCH(G$14,Model!$1:$1,0),FALSE)</f>
        <v>2.077670410393369</v>
      </c>
      <c r="H87" s="46"/>
      <c r="I87" s="46">
        <f>VLOOKUP($A87,Model!$1:$1048576,MATCH(I$14,Model!$1:$1,0),FALSE)</f>
        <v>3.4044983339503889</v>
      </c>
      <c r="J87" s="46">
        <f>VLOOKUP($A87,Model!$1:$1048576,MATCH(J$14,Model!$1:$1,0),FALSE)</f>
        <v>2.5055958904109588</v>
      </c>
      <c r="K87" s="46">
        <f>VLOOKUP($A87,Model!$1:$1048576,MATCH(K$14,Model!$1:$1,0),FALSE)</f>
        <v>2.0201780247860208</v>
      </c>
      <c r="L87" s="46">
        <f>VLOOKUP($A87,Model!$1:$1048576,MATCH(L$14,Model!$1:$1,0),FALSE)</f>
        <v>2.0503803198028012</v>
      </c>
    </row>
    <row r="88" spans="1:12">
      <c r="A88" s="1" t="s">
        <v>677</v>
      </c>
      <c r="B88" s="15" t="s">
        <v>776</v>
      </c>
      <c r="C88" s="46">
        <f ca="1">VLOOKUP($A88,Model!$1:$1048576,MATCH(C$14,Model!$1:$1,0),FALSE) * 100</f>
        <v>8.9184226632858277</v>
      </c>
      <c r="D88" s="46">
        <f ca="1">VLOOKUP($A88,Model!$1:$1048576,MATCH(D$14,Model!$1:$1,0),FALSE) * 100</f>
        <v>7.3762010347376199</v>
      </c>
      <c r="E88" s="46">
        <f ca="1">VLOOKUP($A88,Model!$1:$1048576,MATCH(E$14,Model!$1:$1,0),FALSE) * 100</f>
        <v>7.6969217993619843</v>
      </c>
      <c r="F88" s="46">
        <f ca="1">VLOOKUP($A88,Model!$1:$1048576,MATCH(F$14,Model!$1:$1,0),FALSE) * 100</f>
        <v>7.3357999881782945</v>
      </c>
      <c r="G88" s="46">
        <f ca="1">VLOOKUP($A88,Model!$1:$1048576,MATCH(G$14,Model!$1:$1,0),FALSE) * 100</f>
        <v>7.1719939666657506</v>
      </c>
      <c r="H88" s="46"/>
      <c r="I88" s="46">
        <f>VLOOKUP($A88,Model!$1:$1048576,MATCH(I$14,Model!$1:$1,0),FALSE) * 100</f>
        <v>8.0931074739369091</v>
      </c>
      <c r="J88" s="46">
        <f>VLOOKUP($A88,Model!$1:$1048576,MATCH(J$14,Model!$1:$1,0),FALSE) * 100</f>
        <v>6.6378474407974979</v>
      </c>
      <c r="K88" s="46">
        <f>VLOOKUP($A88,Model!$1:$1048576,MATCH(K$14,Model!$1:$1,0),FALSE) * 100</f>
        <v>7.8748242608682881</v>
      </c>
      <c r="L88" s="46">
        <f>VLOOKUP($A88,Model!$1:$1048576,MATCH(L$14,Model!$1:$1,0),FALSE) * 100</f>
        <v>7.4500979347694161</v>
      </c>
    </row>
    <row r="89" spans="1:12">
      <c r="A89" s="1" t="s">
        <v>814</v>
      </c>
      <c r="B89" s="15" t="s">
        <v>503</v>
      </c>
      <c r="C89" s="46">
        <f ca="1">VLOOKUP($A89,Model!$1:$1048576,MATCH(C$14,Model!$1:$1,0),FALSE) * 100</f>
        <v>22.778605411120189</v>
      </c>
      <c r="D89" s="46">
        <f ca="1">VLOOKUP($A89,Model!$1:$1048576,MATCH(D$14,Model!$1:$1,0),FALSE) * 100</f>
        <v>17.982556281108728</v>
      </c>
      <c r="E89" s="46">
        <f ca="1">VLOOKUP($A89,Model!$1:$1048576,MATCH(E$14,Model!$1:$1,0),FALSE) * 100</f>
        <v>18.486841701819134</v>
      </c>
      <c r="F89" s="46">
        <f ca="1">VLOOKUP($A89,Model!$1:$1048576,MATCH(F$14,Model!$1:$1,0),FALSE) * 100</f>
        <v>18.096580389466475</v>
      </c>
      <c r="G89" s="46">
        <f ca="1">VLOOKUP($A89,Model!$1:$1048576,MATCH(G$14,Model!$1:$1,0),FALSE) * 100</f>
        <v>18.02455977424987</v>
      </c>
      <c r="H89" s="46"/>
      <c r="I89" s="46">
        <f>VLOOKUP($A89,Model!$1:$1048576,MATCH(I$14,Model!$1:$1,0),FALSE) * 100</f>
        <v>19.33606184629377</v>
      </c>
      <c r="J89" s="46">
        <f>VLOOKUP($A89,Model!$1:$1048576,MATCH(J$14,Model!$1:$1,0),FALSE) * 100</f>
        <v>16.617754952311078</v>
      </c>
      <c r="K89" s="46">
        <f>VLOOKUP($A89,Model!$1:$1048576,MATCH(K$14,Model!$1:$1,0),FALSE) * 100</f>
        <v>18.953599138366911</v>
      </c>
      <c r="L89" s="46">
        <f>VLOOKUP($A89,Model!$1:$1048576,MATCH(L$14,Model!$1:$1,0),FALSE) * 100</f>
        <v>18.027270654396258</v>
      </c>
    </row>
    <row r="90" spans="1:12" s="17" customFormat="1">
      <c r="A90" s="1" t="s">
        <v>815</v>
      </c>
      <c r="B90" s="15" t="s">
        <v>474</v>
      </c>
      <c r="C90" s="46">
        <f ca="1">VLOOKUP($A90,Model!$1:$1048576,MATCH(C$14,Model!$1:$1,0),FALSE) * 100</f>
        <v>51.61708875967129</v>
      </c>
      <c r="D90" s="46">
        <f ca="1">VLOOKUP($A90,Model!$1:$1048576,MATCH(D$14,Model!$1:$1,0),FALSE) * 100</f>
        <v>58.815471026074249</v>
      </c>
      <c r="E90" s="46">
        <f ca="1">VLOOKUP($A90,Model!$1:$1048576,MATCH(E$14,Model!$1:$1,0),FALSE) * 100</f>
        <v>49.867149484944939</v>
      </c>
      <c r="F90" s="46">
        <f ca="1">VLOOKUP($A90,Model!$1:$1048576,MATCH(F$14,Model!$1:$1,0),FALSE) * 100</f>
        <v>49.581431445968569</v>
      </c>
      <c r="G90" s="46">
        <f ca="1">VLOOKUP($A90,Model!$1:$1048576,MATCH(G$14,Model!$1:$1,0),FALSE) * 100</f>
        <v>49.035032703057418</v>
      </c>
      <c r="H90" s="46"/>
      <c r="I90" s="46">
        <f>VLOOKUP($A90,Model!$1:$1048576,MATCH(I$14,Model!$1:$1,0),FALSE) * 100</f>
        <v>52.2237380627558</v>
      </c>
      <c r="J90" s="46">
        <f>VLOOKUP($A90,Model!$1:$1048576,MATCH(J$14,Model!$1:$1,0),FALSE) * 100</f>
        <v>65.462215700660309</v>
      </c>
      <c r="K90" s="46">
        <f>VLOOKUP($A90,Model!$1:$1048576,MATCH(K$14,Model!$1:$1,0),FALSE) * 100</f>
        <v>49.437372072527538</v>
      </c>
      <c r="L90" s="46">
        <f>VLOOKUP($A90,Model!$1:$1048576,MATCH(L$14,Model!$1:$1,0),FALSE) * 100</f>
        <v>50.290309867871471</v>
      </c>
    </row>
    <row r="91" spans="1:12">
      <c r="A91" s="1" t="s">
        <v>816</v>
      </c>
      <c r="B91" s="15" t="s">
        <v>410</v>
      </c>
      <c r="C91" s="46">
        <f ca="1">VLOOKUP($A91,Model!$1:$1048576,MATCH(C$14,Model!$1:$1,0),FALSE) * 100</f>
        <v>-6.3966894606490854</v>
      </c>
      <c r="D91" s="46">
        <f ca="1">VLOOKUP($A91,Model!$1:$1048576,MATCH(D$14,Model!$1:$1,0),FALSE) * 100</f>
        <v>-14.67622877310848</v>
      </c>
      <c r="E91" s="46">
        <f ca="1">VLOOKUP($A91,Model!$1:$1048576,MATCH(E$14,Model!$1:$1,0),FALSE) * 100</f>
        <v>16.019211752026408</v>
      </c>
      <c r="F91" s="46">
        <f ca="1">VLOOKUP($A91,Model!$1:$1048576,MATCH(F$14,Model!$1:$1,0),FALSE) * 100</f>
        <v>0.58212205141010553</v>
      </c>
      <c r="G91" s="46">
        <f ca="1">VLOOKUP($A91,Model!$1:$1048576,MATCH(G$14,Model!$1:$1,0),FALSE) * 100</f>
        <v>1.1277691022862024</v>
      </c>
      <c r="H91" s="46"/>
      <c r="I91" s="46">
        <f>VLOOKUP($A91,Model!$1:$1048576,MATCH(I$14,Model!$1:$1,0),FALSE) * 100</f>
        <v>1.1858333898949969</v>
      </c>
      <c r="J91" s="46">
        <f>VLOOKUP($A91,Model!$1:$1048576,MATCH(J$14,Model!$1:$1,0),FALSE) * 100</f>
        <v>-25.139735312384314</v>
      </c>
      <c r="K91" s="46">
        <f>VLOOKUP($A91,Model!$1:$1048576,MATCH(K$14,Model!$1:$1,0),FALSE) * 100</f>
        <v>25.681496246828651</v>
      </c>
      <c r="L91" s="46">
        <f>VLOOKUP($A91,Model!$1:$1048576,MATCH(L$14,Model!$1:$1,0),FALSE) * 100</f>
        <v>-1.7522681518117089</v>
      </c>
    </row>
    <row r="92" spans="1:12">
      <c r="A92" s="1" t="s">
        <v>2102</v>
      </c>
      <c r="B92" s="15" t="s">
        <v>2103</v>
      </c>
      <c r="C92" s="41">
        <f ca="1">VLOOKUP($A92,Model!$1:$1048576,MATCH(C$14,Model!$1:$1,0),FALSE) * 100</f>
        <v>112.32139885991685</v>
      </c>
      <c r="D92" s="41">
        <f ca="1">VLOOKUP($A92,Model!$1:$1048576,MATCH(D$14,Model!$1:$1,0),FALSE) * 100</f>
        <v>110.88339524929249</v>
      </c>
      <c r="E92" s="41">
        <f ca="1">VLOOKUP($A92,Model!$1:$1048576,MATCH(E$14,Model!$1:$1,0),FALSE) * 100</f>
        <v>105.03987196687463</v>
      </c>
      <c r="F92" s="41">
        <f ca="1">VLOOKUP($A92,Model!$1:$1048576,MATCH(F$14,Model!$1:$1,0),FALSE) * 100</f>
        <v>102.53793807030449</v>
      </c>
      <c r="G92" s="41">
        <f ca="1">VLOOKUP($A92,Model!$1:$1048576,MATCH(G$14,Model!$1:$1,0),FALSE) * 100</f>
        <v>100.35827507694432</v>
      </c>
      <c r="H92" s="41"/>
      <c r="I92" s="41">
        <f>VLOOKUP($A92,Model!$1:$1048576,MATCH(I$14,Model!$1:$1,0),FALSE) * 100</f>
        <v>108.41262812844899</v>
      </c>
      <c r="J92" s="41">
        <f>VLOOKUP($A92,Model!$1:$1048576,MATCH(J$14,Model!$1:$1,0),FALSE) * 100</f>
        <v>110.88339524929249</v>
      </c>
      <c r="K92" s="41">
        <f>VLOOKUP($A92,Model!$1:$1048576,MATCH(K$14,Model!$1:$1,0),FALSE) * 100</f>
        <v>107.96857036654465</v>
      </c>
      <c r="L92" s="41">
        <f>VLOOKUP($A92,Model!$1:$1048576,MATCH(L$14,Model!$1:$1,0),FALSE) * 100</f>
        <v>105.03987196687463</v>
      </c>
    </row>
    <row r="93" spans="1:12">
      <c r="B93" s="17" t="s">
        <v>573</v>
      </c>
    </row>
    <row r="94" spans="1:12">
      <c r="A94" s="1" t="s">
        <v>818</v>
      </c>
      <c r="B94" s="15" t="s">
        <v>424</v>
      </c>
      <c r="C94" s="13">
        <f ca="1">VLOOKUP($A94,Model!$1:$1048576,MATCH(C$14,Model!$1:$1,0),FALSE) * 100</f>
        <v>6.2840774159244051E-2</v>
      </c>
      <c r="D94" s="13">
        <f ca="1">VLOOKUP($A94,Model!$1:$1048576,MATCH(D$14,Model!$1:$1,0),FALSE) * 100</f>
        <v>7.4085375784701424E-2</v>
      </c>
      <c r="E94" s="13">
        <f ca="1">VLOOKUP($A94,Model!$1:$1048576,MATCH(E$14,Model!$1:$1,0),FALSE) * 100</f>
        <v>0.12148655321127556</v>
      </c>
      <c r="F94" s="13">
        <f ca="1">VLOOKUP($A94,Model!$1:$1048576,MATCH(F$14,Model!$1:$1,0),FALSE) * 100</f>
        <v>0.21175955854471404</v>
      </c>
      <c r="G94" s="13">
        <f ca="1">VLOOKUP($A94,Model!$1:$1048576,MATCH(G$14,Model!$1:$1,0),FALSE) * 100</f>
        <v>0.20387742883908525</v>
      </c>
      <c r="H94" s="13"/>
      <c r="I94" s="13">
        <f>VLOOKUP($A94,Model!$1:$1048576,MATCH(I$14,Model!$1:$1,0),FALSE) * 100</f>
        <v>7.2339099621166983E-2</v>
      </c>
      <c r="J94" s="13">
        <f>VLOOKUP($A94,Model!$1:$1048576,MATCH(J$14,Model!$1:$1,0),FALSE) * 100</f>
        <v>7.5806804278679626E-2</v>
      </c>
      <c r="K94" s="13">
        <f>VLOOKUP($A94,Model!$1:$1048576,MATCH(K$14,Model!$1:$1,0),FALSE) * 100</f>
        <v>0.10599703603376184</v>
      </c>
      <c r="L94" s="13">
        <f>VLOOKUP($A94,Model!$1:$1048576,MATCH(L$14,Model!$1:$1,0),FALSE) * 100</f>
        <v>0.1367991419654733</v>
      </c>
    </row>
    <row r="95" spans="1:12">
      <c r="A95" s="1" t="s">
        <v>819</v>
      </c>
      <c r="B95" s="15" t="s">
        <v>862</v>
      </c>
      <c r="C95" s="13">
        <f ca="1">VLOOKUP($A95,Model!$1:$1048576,MATCH(C$14,Model!$1:$1,0),FALSE) * 100</f>
        <v>2.6258655087431051E-2</v>
      </c>
      <c r="D95" s="13">
        <f ca="1">VLOOKUP($A95,Model!$1:$1048576,MATCH(D$14,Model!$1:$1,0),FALSE) * 100</f>
        <v>2.9744313878070545E-2</v>
      </c>
      <c r="E95" s="13">
        <f ca="1">VLOOKUP($A95,Model!$1:$1048576,MATCH(E$14,Model!$1:$1,0),FALSE) * 100</f>
        <v>4.7581020383286515E-2</v>
      </c>
      <c r="F95" s="13">
        <f ca="1">VLOOKUP($A95,Model!$1:$1048576,MATCH(F$14,Model!$1:$1,0),FALSE) * 100</f>
        <v>8.1715282267049383E-2</v>
      </c>
      <c r="G95" s="13">
        <f ca="1">VLOOKUP($A95,Model!$1:$1048576,MATCH(G$14,Model!$1:$1,0),FALSE) * 100</f>
        <v>7.6882014023628265E-2</v>
      </c>
      <c r="H95" s="13"/>
      <c r="I95" s="13">
        <f>VLOOKUP($A95,Model!$1:$1048576,MATCH(I$14,Model!$1:$1,0),FALSE) * 100</f>
        <v>2.9192557423233952E-2</v>
      </c>
      <c r="J95" s="13">
        <f>VLOOKUP($A95,Model!$1:$1048576,MATCH(J$14,Model!$1:$1,0),FALSE) * 100</f>
        <v>3.0282721442013837E-2</v>
      </c>
      <c r="K95" s="13">
        <f>VLOOKUP($A95,Model!$1:$1048576,MATCH(K$14,Model!$1:$1,0),FALSE) * 100</f>
        <v>4.1728584224991636E-2</v>
      </c>
      <c r="L95" s="13">
        <f>VLOOKUP($A95,Model!$1:$1048576,MATCH(L$14,Model!$1:$1,0),FALSE) * 100</f>
        <v>5.3307865154469655E-2</v>
      </c>
    </row>
    <row r="96" spans="1:12">
      <c r="A96" s="1" t="s">
        <v>820</v>
      </c>
      <c r="B96" s="15" t="s">
        <v>353</v>
      </c>
      <c r="C96" s="13">
        <f ca="1">VLOOKUP($A96,Model!$1:$1048576,MATCH(C$14,Model!$1:$1,0),FALSE) * 100</f>
        <v>0.14253270563493342</v>
      </c>
      <c r="D96" s="13">
        <f ca="1">VLOOKUP($A96,Model!$1:$1048576,MATCH(D$14,Model!$1:$1,0),FALSE) * 100</f>
        <v>0.14267096384739444</v>
      </c>
      <c r="E96" s="13">
        <f ca="1">VLOOKUP($A96,Model!$1:$1048576,MATCH(E$14,Model!$1:$1,0),FALSE) * 100</f>
        <v>0.21585475030492757</v>
      </c>
      <c r="F96" s="13">
        <f ca="1">VLOOKUP($A96,Model!$1:$1048576,MATCH(F$14,Model!$1:$1,0),FALSE) * 100</f>
        <v>0.30464482880023902</v>
      </c>
      <c r="G96" s="13">
        <f ca="1">VLOOKUP($A96,Model!$1:$1048576,MATCH(G$14,Model!$1:$1,0),FALSE) * 100</f>
        <v>0.32606505322448215</v>
      </c>
      <c r="H96" s="13"/>
      <c r="I96" s="13">
        <f>VLOOKUP($A96,Model!$1:$1048576,MATCH(I$14,Model!$1:$1,0),FALSE) * 100</f>
        <v>9.4497022027650548E-2</v>
      </c>
      <c r="J96" s="13">
        <f>VLOOKUP($A96,Model!$1:$1048576,MATCH(J$14,Model!$1:$1,0),FALSE) * 100</f>
        <v>0.19015944124143366</v>
      </c>
      <c r="K96" s="13">
        <f>VLOOKUP($A96,Model!$1:$1048576,MATCH(K$14,Model!$1:$1,0),FALSE) * 100</f>
        <v>0.20411004444519204</v>
      </c>
      <c r="L96" s="13">
        <f>VLOOKUP($A96,Model!$1:$1048576,MATCH(L$14,Model!$1:$1,0),FALSE) * 100</f>
        <v>0.2274653027067948</v>
      </c>
    </row>
    <row r="97" spans="1:15">
      <c r="A97" s="1" t="s">
        <v>821</v>
      </c>
      <c r="B97" s="15" t="s">
        <v>352</v>
      </c>
      <c r="C97" s="13">
        <f ca="1">VLOOKUP($A97,Model!$1:$1048576,MATCH(C$14,Model!$1:$1,0),FALSE) * 100</f>
        <v>5.955873723741345E-2</v>
      </c>
      <c r="D97" s="13">
        <f ca="1">VLOOKUP($A97,Model!$1:$1048576,MATCH(D$14,Model!$1:$1,0),FALSE) * 100</f>
        <v>5.7280534586153321E-2</v>
      </c>
      <c r="E97" s="13">
        <f ca="1">VLOOKUP($A97,Model!$1:$1048576,MATCH(E$14,Model!$1:$1,0),FALSE) * 100</f>
        <v>8.4540955378218194E-2</v>
      </c>
      <c r="F97" s="13">
        <f ca="1">VLOOKUP($A97,Model!$1:$1048576,MATCH(F$14,Model!$1:$1,0),FALSE) * 100</f>
        <v>0.11755850998032731</v>
      </c>
      <c r="G97" s="13">
        <f ca="1">VLOOKUP($A97,Model!$1:$1048576,MATCH(G$14,Model!$1:$1,0),FALSE) * 100</f>
        <v>0.1229588686563515</v>
      </c>
      <c r="H97" s="13"/>
      <c r="I97" s="13">
        <f>VLOOKUP($A97,Model!$1:$1048576,MATCH(I$14,Model!$1:$1,0),FALSE) * 100</f>
        <v>3.8134421859179479E-2</v>
      </c>
      <c r="J97" s="13">
        <f>VLOOKUP($A97,Model!$1:$1048576,MATCH(J$14,Model!$1:$1,0),FALSE) * 100</f>
        <v>7.5963436837594031E-2</v>
      </c>
      <c r="K97" s="13">
        <f>VLOOKUP($A97,Model!$1:$1048576,MATCH(K$14,Model!$1:$1,0),FALSE) * 100</f>
        <v>8.0353408920652278E-2</v>
      </c>
      <c r="L97" s="13">
        <f>VLOOKUP($A97,Model!$1:$1048576,MATCH(L$14,Model!$1:$1,0),FALSE) * 100</f>
        <v>8.8638638443177042E-2</v>
      </c>
    </row>
    <row r="98" spans="1:15">
      <c r="A98" s="1" t="s">
        <v>822</v>
      </c>
      <c r="B98" s="15" t="s">
        <v>625</v>
      </c>
      <c r="C98" s="13">
        <f ca="1">VLOOKUP($A98,Model!$1:$1048576,MATCH(C$14,Model!$1:$1,0),FALSE) * 100</f>
        <v>0.53108560422358919</v>
      </c>
      <c r="D98" s="13">
        <f ca="1">VLOOKUP($A98,Model!$1:$1048576,MATCH(D$14,Model!$1:$1,0),FALSE) * 100</f>
        <v>0.77978578934108411</v>
      </c>
      <c r="E98" s="13">
        <f ca="1">VLOOKUP($A98,Model!$1:$1048576,MATCH(E$14,Model!$1:$1,0),FALSE) * 100</f>
        <v>0.9114414438338887</v>
      </c>
      <c r="F98" s="13">
        <f ca="1">VLOOKUP($A98,Model!$1:$1048576,MATCH(F$14,Model!$1:$1,0),FALSE) * 100</f>
        <v>1.0463231059527702</v>
      </c>
      <c r="G98" s="13">
        <f ca="1">VLOOKUP($A98,Model!$1:$1048576,MATCH(G$14,Model!$1:$1,0),FALSE) * 100</f>
        <v>1.0857871968295367</v>
      </c>
      <c r="H98" s="13"/>
      <c r="I98" s="13">
        <f>VLOOKUP($A98,Model!$1:$1048576,MATCH(I$14,Model!$1:$1,0),FALSE) * 100</f>
        <v>0.69303182961018506</v>
      </c>
      <c r="J98" s="13">
        <f>VLOOKUP($A98,Model!$1:$1048576,MATCH(J$14,Model!$1:$1,0),FALSE) * 100</f>
        <v>0.77978578934108411</v>
      </c>
      <c r="K98" s="13">
        <f>VLOOKUP($A98,Model!$1:$1048576,MATCH(K$14,Model!$1:$1,0),FALSE) * 100</f>
        <v>0.85031145843521283</v>
      </c>
      <c r="L98" s="13">
        <f>VLOOKUP($A98,Model!$1:$1048576,MATCH(L$14,Model!$1:$1,0),FALSE) * 100</f>
        <v>0.9114414438338887</v>
      </c>
    </row>
    <row r="99" spans="1:15">
      <c r="A99" s="1" t="s">
        <v>823</v>
      </c>
      <c r="B99" s="15" t="s">
        <v>348</v>
      </c>
      <c r="C99" s="13">
        <f ca="1">VLOOKUP($A99,Model!$1:$1048576,MATCH(C$14,Model!$1:$1,0),FALSE) * 100</f>
        <v>0.73020595392955623</v>
      </c>
      <c r="D99" s="13">
        <f ca="1">VLOOKUP($A99,Model!$1:$1048576,MATCH(D$14,Model!$1:$1,0),FALSE) * 100</f>
        <v>0.8423440964180785</v>
      </c>
      <c r="E99" s="13">
        <f ca="1">VLOOKUP($A99,Model!$1:$1048576,MATCH(E$14,Model!$1:$1,0),FALSE) * 100</f>
        <v>0.96805220663978198</v>
      </c>
      <c r="F99" s="13">
        <f ca="1">VLOOKUP($A99,Model!$1:$1048576,MATCH(F$14,Model!$1:$1,0),FALSE) * 100</f>
        <v>1.092356100030353</v>
      </c>
      <c r="G99" s="13">
        <f ca="1">VLOOKUP($A99,Model!$1:$1048576,MATCH(G$14,Model!$1:$1,0),FALSE) * 100</f>
        <v>1.108895896100236</v>
      </c>
      <c r="H99" s="13"/>
      <c r="I99" s="13">
        <f>VLOOKUP($A99,Model!$1:$1048576,MATCH(I$14,Model!$1:$1,0),FALSE) * 100</f>
        <v>0.83002930949559373</v>
      </c>
      <c r="J99" s="13">
        <f>VLOOKUP($A99,Model!$1:$1048576,MATCH(J$14,Model!$1:$1,0),FALSE) * 100</f>
        <v>0.8423440964180785</v>
      </c>
      <c r="K99" s="13">
        <f>VLOOKUP($A99,Model!$1:$1048576,MATCH(K$14,Model!$1:$1,0),FALSE) * 100</f>
        <v>0.90499185201121135</v>
      </c>
      <c r="L99" s="13">
        <f>VLOOKUP($A99,Model!$1:$1048576,MATCH(L$14,Model!$1:$1,0),FALSE) * 100</f>
        <v>0.96805220663978198</v>
      </c>
    </row>
    <row r="100" spans="1:15">
      <c r="A100" s="1" t="s">
        <v>824</v>
      </c>
      <c r="B100" s="15" t="s">
        <v>296</v>
      </c>
      <c r="C100" s="13">
        <f ca="1">VLOOKUP($A100,Model!$1:$1048576,MATCH(C$14,Model!$1:$1,0),FALSE) * 100</f>
        <v>1.3135325651280167</v>
      </c>
      <c r="D100" s="13">
        <f ca="1">VLOOKUP($A100,Model!$1:$1048576,MATCH(D$14,Model!$1:$1,0),FALSE) * 100</f>
        <v>1.5237260302651636</v>
      </c>
      <c r="E100" s="13">
        <f ca="1">VLOOKUP($A100,Model!$1:$1048576,MATCH(E$14,Model!$1:$1,0),FALSE) * 100</f>
        <v>1.7406098858731875</v>
      </c>
      <c r="F100" s="13">
        <f ca="1">VLOOKUP($A100,Model!$1:$1048576,MATCH(F$14,Model!$1:$1,0),FALSE) * 100</f>
        <v>1.9931060961069997</v>
      </c>
      <c r="G100" s="13">
        <f ca="1">VLOOKUP($A100,Model!$1:$1048576,MATCH(G$14,Model!$1:$1,0),FALSE) * 100</f>
        <v>2.0565752214712165</v>
      </c>
      <c r="H100" s="13"/>
      <c r="I100" s="13">
        <f>VLOOKUP($A100,Model!$1:$1048576,MATCH(I$14,Model!$1:$1,0),FALSE) * 100</f>
        <v>1.451602242222265</v>
      </c>
      <c r="J100" s="13">
        <f>VLOOKUP($A100,Model!$1:$1048576,MATCH(J$14,Model!$1:$1,0),FALSE) * 100</f>
        <v>1.5237260302651636</v>
      </c>
      <c r="K100" s="13">
        <f>VLOOKUP($A100,Model!$1:$1048576,MATCH(K$14,Model!$1:$1,0),FALSE) * 100</f>
        <v>1.620091449926345</v>
      </c>
      <c r="L100" s="13">
        <f>VLOOKUP($A100,Model!$1:$1048576,MATCH(L$14,Model!$1:$1,0),FALSE) * 100</f>
        <v>1.7406098858731875</v>
      </c>
    </row>
    <row r="101" spans="1:15">
      <c r="A101" s="1" t="s">
        <v>825</v>
      </c>
      <c r="B101" s="15" t="s">
        <v>515</v>
      </c>
      <c r="C101" s="46">
        <f ca="1">VLOOKUP($A101,Model!$1:$1048576,MATCH(C$14,Model!$1:$1,0),FALSE) * 100</f>
        <v>18.192557590076785</v>
      </c>
      <c r="D101" s="46">
        <f ca="1">VLOOKUP($A101,Model!$1:$1048576,MATCH(D$14,Model!$1:$1,0),FALSE) * 100</f>
        <v>15.721040189125295</v>
      </c>
      <c r="E101" s="46">
        <f ca="1">VLOOKUP($A101,Model!$1:$1048576,MATCH(E$14,Model!$1:$1,0),FALSE) * 100</f>
        <v>17.931610828082718</v>
      </c>
      <c r="F101" s="46">
        <f ca="1">VLOOKUP($A101,Model!$1:$1048576,MATCH(F$14,Model!$1:$1,0),FALSE) * 100</f>
        <v>19.529881679376551</v>
      </c>
      <c r="G101" s="46">
        <f ca="1">VLOOKUP($A101,Model!$1:$1048576,MATCH(G$14,Model!$1:$1,0),FALSE) * 100</f>
        <v>25.635893652208175</v>
      </c>
      <c r="H101" s="46"/>
      <c r="I101" s="46">
        <f>VLOOKUP($A101,Model!$1:$1048576,MATCH(I$14,Model!$1:$1,0),FALSE) * 100</f>
        <v>16.163410301953817</v>
      </c>
      <c r="J101" s="46">
        <f>VLOOKUP($A101,Model!$1:$1048576,MATCH(J$14,Model!$1:$1,0),FALSE) * 100</f>
        <v>15.721040189125295</v>
      </c>
      <c r="K101" s="46">
        <f>VLOOKUP($A101,Model!$1:$1048576,MATCH(K$14,Model!$1:$1,0),FALSE) * 100</f>
        <v>17.141510788429805</v>
      </c>
      <c r="L101" s="46">
        <f>VLOOKUP($A101,Model!$1:$1048576,MATCH(L$14,Model!$1:$1,0),FALSE) * 100</f>
        <v>17.931610828082718</v>
      </c>
    </row>
    <row r="102" spans="1:15">
      <c r="A102" s="1" t="s">
        <v>826</v>
      </c>
      <c r="B102" s="15" t="s">
        <v>351</v>
      </c>
      <c r="C102" s="13">
        <f ca="1">VLOOKUP($A102,Model!$1:$1048576,MATCH(C$14,Model!$1:$1,0),FALSE) * 100</f>
        <v>1.3322625877953831</v>
      </c>
      <c r="D102" s="13">
        <f ca="1">VLOOKUP($A102,Model!$1:$1048576,MATCH(D$14,Model!$1:$1,0),FALSE) * 100</f>
        <v>1.3454223686070161</v>
      </c>
      <c r="E102" s="13">
        <f ca="1">VLOOKUP($A102,Model!$1:$1048576,MATCH(E$14,Model!$1:$1,0),FALSE) * 100</f>
        <v>1.367104268596647</v>
      </c>
      <c r="F102" s="13">
        <f ca="1">VLOOKUP($A102,Model!$1:$1048576,MATCH(F$14,Model!$1:$1,0),FALSE) * 100</f>
        <v>1.3891076542769014</v>
      </c>
      <c r="G102" s="13">
        <f ca="1">VLOOKUP($A102,Model!$1:$1048576,MATCH(G$14,Model!$1:$1,0),FALSE) * 100</f>
        <v>1.4074911582097833</v>
      </c>
      <c r="H102" s="13"/>
      <c r="I102" s="13">
        <f>VLOOKUP($A102,Model!$1:$1048576,MATCH(I$14,Model!$1:$1,0),FALSE) * 100</f>
        <v>1.3171297649785043</v>
      </c>
      <c r="J102" s="13">
        <f>VLOOKUP($A102,Model!$1:$1048576,MATCH(J$14,Model!$1:$1,0),FALSE) * 100</f>
        <v>1.3454223686070161</v>
      </c>
      <c r="K102" s="13">
        <f>VLOOKUP($A102,Model!$1:$1048576,MATCH(K$14,Model!$1:$1,0),FALSE) * 100</f>
        <v>1.3601744855901488</v>
      </c>
      <c r="L102" s="13">
        <f>VLOOKUP($A102,Model!$1:$1048576,MATCH(L$14,Model!$1:$1,0),FALSE) * 100</f>
        <v>1.367104268596647</v>
      </c>
    </row>
    <row r="103" spans="1:15">
      <c r="A103" s="1" t="s">
        <v>827</v>
      </c>
      <c r="B103" s="15" t="s">
        <v>297</v>
      </c>
      <c r="C103" s="13">
        <f ca="1">VLOOKUP($A103,Model!$1:$1048576,MATCH(C$14,Model!$1:$1,0),FALSE) * 100</f>
        <v>1.1758517103423454</v>
      </c>
      <c r="D103" s="13">
        <f ca="1">VLOOKUP($A103,Model!$1:$1048576,MATCH(D$14,Model!$1:$1,0),FALSE) * 100</f>
        <v>1.1848488702131863</v>
      </c>
      <c r="E103" s="13">
        <f ca="1">VLOOKUP($A103,Model!$1:$1048576,MATCH(E$14,Model!$1:$1,0),FALSE) * 100</f>
        <v>1.1627562159803115</v>
      </c>
      <c r="F103" s="13">
        <f ca="1">VLOOKUP($A103,Model!$1:$1048576,MATCH(F$14,Model!$1:$1,0),FALSE) * 100</f>
        <v>1.1710190359235935</v>
      </c>
      <c r="G103" s="13">
        <f ca="1">VLOOKUP($A103,Model!$1:$1048576,MATCH(G$14,Model!$1:$1,0),FALSE) * 100</f>
        <v>1.172987308944845</v>
      </c>
      <c r="H103" s="13"/>
      <c r="I103" s="13">
        <f>VLOOKUP($A103,Model!$1:$1048576,MATCH(I$14,Model!$1:$1,0),FALSE) * 100</f>
        <v>1.1320325538707314</v>
      </c>
      <c r="J103" s="13">
        <f>VLOOKUP($A103,Model!$1:$1048576,MATCH(J$14,Model!$1:$1,0),FALSE) * 100</f>
        <v>1.1848488702131863</v>
      </c>
      <c r="K103" s="13">
        <f>VLOOKUP($A103,Model!$1:$1048576,MATCH(K$14,Model!$1:$1,0),FALSE) * 100</f>
        <v>1.1580907575544299</v>
      </c>
      <c r="L103" s="13">
        <f>VLOOKUP($A103,Model!$1:$1048576,MATCH(L$14,Model!$1:$1,0),FALSE) * 100</f>
        <v>1.1627562159803115</v>
      </c>
    </row>
    <row r="104" spans="1:15">
      <c r="A104" s="1" t="s">
        <v>828</v>
      </c>
      <c r="B104" s="15" t="s">
        <v>263</v>
      </c>
      <c r="C104" s="13">
        <f ca="1">VLOOKUP($A104,Model!$1:$1048576,MATCH(C$14,Model!$1:$1,0),FALSE) * 100</f>
        <v>0.95100115992135825</v>
      </c>
      <c r="D104" s="13">
        <f ca="1">VLOOKUP($A104,Model!$1:$1048576,MATCH(D$14,Model!$1:$1,0),FALSE) * 100</f>
        <v>0.95497299077302866</v>
      </c>
      <c r="E104" s="13">
        <f ca="1">VLOOKUP($A104,Model!$1:$1048576,MATCH(E$14,Model!$1:$1,0),FALSE) * 100</f>
        <v>0.9483642784675721</v>
      </c>
      <c r="F104" s="13">
        <f ca="1">VLOOKUP($A104,Model!$1:$1048576,MATCH(F$14,Model!$1:$1,0),FALSE) * 100</f>
        <v>0.96117259660629428</v>
      </c>
      <c r="G104" s="13">
        <f ca="1">VLOOKUP($A104,Model!$1:$1048576,MATCH(G$14,Model!$1:$1,0),FALSE) * 100</f>
        <v>0.9683813848453503</v>
      </c>
      <c r="H104" s="13"/>
      <c r="I104" s="13">
        <f>VLOOKUP($A104,Model!$1:$1048576,MATCH(I$14,Model!$1:$1,0),FALSE) * 100</f>
        <v>0.91258190315970833</v>
      </c>
      <c r="J104" s="13">
        <f>VLOOKUP($A104,Model!$1:$1048576,MATCH(J$14,Model!$1:$1,0),FALSE) * 100</f>
        <v>0.95497299077302866</v>
      </c>
      <c r="K104" s="13">
        <f>VLOOKUP($A104,Model!$1:$1048576,MATCH(K$14,Model!$1:$1,0),FALSE) * 100</f>
        <v>0.94136272377544494</v>
      </c>
      <c r="L104" s="13">
        <f>VLOOKUP($A104,Model!$1:$1048576,MATCH(L$14,Model!$1:$1,0),FALSE) * 100</f>
        <v>0.9483642784675721</v>
      </c>
    </row>
    <row r="105" spans="1:15">
      <c r="A105" s="1" t="s">
        <v>829</v>
      </c>
      <c r="B105" s="15" t="s">
        <v>264</v>
      </c>
      <c r="C105" s="13">
        <f ca="1">VLOOKUP($A105,Model!$1:$1048576,MATCH(C$14,Model!$1:$1,0),FALSE) * 100</f>
        <v>1.4288806421963669</v>
      </c>
      <c r="D105" s="13">
        <f ca="1">VLOOKUP($A105,Model!$1:$1048576,MATCH(D$14,Model!$1:$1,0),FALSE) * 100</f>
        <v>1.4680128059384159</v>
      </c>
      <c r="E105" s="13">
        <f ca="1">VLOOKUP($A105,Model!$1:$1048576,MATCH(E$14,Model!$1:$1,0),FALSE) * 100</f>
        <v>1.5305404012307982</v>
      </c>
      <c r="F105" s="13">
        <f ca="1">VLOOKUP($A105,Model!$1:$1048576,MATCH(F$14,Model!$1:$1,0),FALSE) * 100</f>
        <v>1.593453318853455</v>
      </c>
      <c r="G105" s="13">
        <f ca="1">VLOOKUP($A105,Model!$1:$1048576,MATCH(G$14,Model!$1:$1,0),FALSE) * 100</f>
        <v>1.6858424092782955</v>
      </c>
      <c r="H105" s="13"/>
      <c r="I105" s="13">
        <f>VLOOKUP($A105,Model!$1:$1048576,MATCH(I$14,Model!$1:$1,0),FALSE) * 100</f>
        <v>1.429147343121536</v>
      </c>
      <c r="J105" s="13">
        <f>VLOOKUP($A105,Model!$1:$1048576,MATCH(J$14,Model!$1:$1,0),FALSE) * 100</f>
        <v>1.4680128059384159</v>
      </c>
      <c r="K105" s="13">
        <f>VLOOKUP($A105,Model!$1:$1048576,MATCH(K$14,Model!$1:$1,0),FALSE) * 100</f>
        <v>1.5059307159730757</v>
      </c>
      <c r="L105" s="13">
        <f>VLOOKUP($A105,Model!$1:$1048576,MATCH(L$14,Model!$1:$1,0),FALSE) * 100</f>
        <v>1.5305404012307982</v>
      </c>
    </row>
    <row r="106" spans="1:15" s="17" customFormat="1">
      <c r="A106" s="1" t="s">
        <v>830</v>
      </c>
      <c r="B106" s="15" t="s">
        <v>372</v>
      </c>
      <c r="C106" s="13">
        <f ca="1">VLOOKUP($A106,Model!$1:$1048576,MATCH(C$14,Model!$1:$1,0),FALSE) * 100</f>
        <v>1.2611265694865512</v>
      </c>
      <c r="D106" s="13">
        <f ca="1">VLOOKUP($A106,Model!$1:$1048576,MATCH(D$14,Model!$1:$1,0),FALSE) * 100</f>
        <v>1.2928083813378863</v>
      </c>
      <c r="E106" s="13">
        <f ca="1">VLOOKUP($A106,Model!$1:$1048576,MATCH(E$14,Model!$1:$1,0),FALSE) * 100</f>
        <v>1.3017627157048841</v>
      </c>
      <c r="F106" s="13">
        <f ca="1">VLOOKUP($A106,Model!$1:$1048576,MATCH(F$14,Model!$1:$1,0),FALSE) * 100</f>
        <v>1.3432826199524104</v>
      </c>
      <c r="G106" s="13">
        <f ca="1">VLOOKUP($A106,Model!$1:$1048576,MATCH(G$14,Model!$1:$1,0),FALSE) * 100</f>
        <v>1.4049621125006775</v>
      </c>
      <c r="H106" s="13"/>
      <c r="I106" s="13">
        <f>VLOOKUP($A106,Model!$1:$1048576,MATCH(I$14,Model!$1:$1,0),FALSE) * 100</f>
        <v>1.2283082196672142</v>
      </c>
      <c r="J106" s="13">
        <f>VLOOKUP($A106,Model!$1:$1048576,MATCH(J$14,Model!$1:$1,0),FALSE) * 100</f>
        <v>1.2928083813378863</v>
      </c>
      <c r="K106" s="13">
        <f>VLOOKUP($A106,Model!$1:$1048576,MATCH(K$14,Model!$1:$1,0),FALSE) * 100</f>
        <v>1.2821917056686005</v>
      </c>
      <c r="L106" s="13">
        <f>VLOOKUP($A106,Model!$1:$1048576,MATCH(L$14,Model!$1:$1,0),FALSE) * 100</f>
        <v>1.3017627157048841</v>
      </c>
    </row>
    <row r="107" spans="1:15">
      <c r="A107" s="1" t="s">
        <v>831</v>
      </c>
      <c r="B107" s="15" t="s">
        <v>373</v>
      </c>
      <c r="C107" s="13">
        <f ca="1">VLOOKUP($A107,Model!$1:$1048576,MATCH(C$14,Model!$1:$1,0),FALSE) * 100</f>
        <v>1.0199694568970537</v>
      </c>
      <c r="D107" s="13">
        <f ca="1">VLOOKUP($A107,Model!$1:$1048576,MATCH(D$14,Model!$1:$1,0),FALSE) * 100</f>
        <v>1.041986971891649</v>
      </c>
      <c r="E107" s="13">
        <f ca="1">VLOOKUP($A107,Model!$1:$1048576,MATCH(E$14,Model!$1:$1,0),FALSE) * 100</f>
        <v>1.0617404075321268</v>
      </c>
      <c r="F107" s="13">
        <f ca="1">VLOOKUP($A107,Model!$1:$1048576,MATCH(F$14,Model!$1:$1,0),FALSE) * 100</f>
        <v>1.1025665716675914</v>
      </c>
      <c r="G107" s="13">
        <f ca="1">VLOOKUP($A107,Model!$1:$1048576,MATCH(G$14,Model!$1:$1,0),FALSE) * 100</f>
        <v>1.1598924777647603</v>
      </c>
      <c r="H107" s="13"/>
      <c r="I107" s="13">
        <f>VLOOKUP($A107,Model!$1:$1048576,MATCH(I$14,Model!$1:$1,0),FALSE) * 100</f>
        <v>0.99019400894244969</v>
      </c>
      <c r="J107" s="13">
        <f>VLOOKUP($A107,Model!$1:$1048576,MATCH(J$14,Model!$1:$1,0),FALSE) * 100</f>
        <v>1.041986971891649</v>
      </c>
      <c r="K107" s="13">
        <f>VLOOKUP($A107,Model!$1:$1048576,MATCH(K$14,Model!$1:$1,0),FALSE) * 100</f>
        <v>1.0422391065440728</v>
      </c>
      <c r="L107" s="13">
        <f>VLOOKUP($A107,Model!$1:$1048576,MATCH(L$14,Model!$1:$1,0),FALSE) * 100</f>
        <v>1.0617404075321268</v>
      </c>
    </row>
    <row r="108" spans="1:15">
      <c r="B108" s="17" t="s">
        <v>623</v>
      </c>
    </row>
    <row r="109" spans="1:15">
      <c r="A109" s="1" t="s">
        <v>957</v>
      </c>
      <c r="B109" s="15" t="s">
        <v>546</v>
      </c>
      <c r="C109" s="46">
        <f ca="1">VLOOKUP($A109,Model!$1:$1048576,MATCH(C$14,Model!$1:$1,0),FALSE) * 100</f>
        <v>12.196864181718027</v>
      </c>
      <c r="D109" s="46">
        <f ca="1">VLOOKUP($A109,Model!$1:$1048576,MATCH(D$14,Model!$1:$1,0),FALSE) * 100</f>
        <v>12.034535173057506</v>
      </c>
      <c r="E109" s="46">
        <f ca="1">VLOOKUP($A109,Model!$1:$1048576,MATCH(E$14,Model!$1:$1,0),FALSE) * 100</f>
        <v>12.491240172017685</v>
      </c>
      <c r="F109" s="46">
        <f ca="1">VLOOKUP($A109,Model!$1:$1048576,MATCH(F$14,Model!$1:$1,0),FALSE) * 100</f>
        <v>12.409317790658436</v>
      </c>
      <c r="G109" s="46">
        <f ca="1">VLOOKUP($A109,Model!$1:$1048576,MATCH(G$14,Model!$1:$1,0),FALSE) * 100</f>
        <v>12.124542651726324</v>
      </c>
      <c r="H109" s="46"/>
      <c r="I109" s="46">
        <f>VLOOKUP($A109,Model!$1:$1048576,MATCH(I$14,Model!$1:$1,0),FALSE) * 100</f>
        <v>11.775931291964376</v>
      </c>
      <c r="J109" s="46">
        <f>VLOOKUP($A109,Model!$1:$1048576,MATCH(J$14,Model!$1:$1,0),FALSE) * 100</f>
        <v>12.034535173057506</v>
      </c>
      <c r="K109" s="46">
        <f>VLOOKUP($A109,Model!$1:$1048576,MATCH(K$14,Model!$1:$1,0),FALSE) * 100</f>
        <v>12.222691222660554</v>
      </c>
      <c r="L109" s="46">
        <f>VLOOKUP($A109,Model!$1:$1048576,MATCH(L$14,Model!$1:$1,0),FALSE) * 100</f>
        <v>12.491240172017685</v>
      </c>
      <c r="N109" s="436"/>
      <c r="O109" s="436"/>
    </row>
    <row r="110" spans="1:15">
      <c r="A110" s="1" t="s">
        <v>958</v>
      </c>
      <c r="B110" s="15" t="s">
        <v>547</v>
      </c>
      <c r="C110" s="46">
        <f ca="1">VLOOKUP($A110,Model!$1:$1048576,MATCH(C$14,Model!$1:$1,0),FALSE) * 100</f>
        <v>14.034600588469754</v>
      </c>
      <c r="D110" s="46">
        <f ca="1">VLOOKUP($A110,Model!$1:$1048576,MATCH(D$14,Model!$1:$1,0),FALSE) * 100</f>
        <v>13.638950859999083</v>
      </c>
      <c r="E110" s="46">
        <f ca="1">VLOOKUP($A110,Model!$1:$1048576,MATCH(E$14,Model!$1:$1,0),FALSE) * 100</f>
        <v>14.031379718085368</v>
      </c>
      <c r="F110" s="46">
        <f ca="1">VLOOKUP($A110,Model!$1:$1048576,MATCH(F$14,Model!$1:$1,0),FALSE) * 100</f>
        <v>13.921248127236991</v>
      </c>
      <c r="G110" s="46">
        <f ca="1">VLOOKUP($A110,Model!$1:$1048576,MATCH(G$14,Model!$1:$1,0),FALSE) * 100</f>
        <v>13.60734422174496</v>
      </c>
      <c r="H110" s="46"/>
      <c r="I110" s="46">
        <f>VLOOKUP($A110,Model!$1:$1048576,MATCH(I$14,Model!$1:$1,0),FALSE) * 100</f>
        <v>13.362928279164773</v>
      </c>
      <c r="J110" s="46">
        <f>VLOOKUP($A110,Model!$1:$1048576,MATCH(J$14,Model!$1:$1,0),FALSE) * 100</f>
        <v>13.638950859999083</v>
      </c>
      <c r="K110" s="46">
        <f>VLOOKUP($A110,Model!$1:$1048576,MATCH(K$14,Model!$1:$1,0),FALSE) * 100</f>
        <v>13.778068926855857</v>
      </c>
      <c r="L110" s="46">
        <f>VLOOKUP($A110,Model!$1:$1048576,MATCH(L$14,Model!$1:$1,0),FALSE) * 100</f>
        <v>14.031379718085368</v>
      </c>
    </row>
    <row r="111" spans="1:15">
      <c r="A111" s="1" t="s">
        <v>959</v>
      </c>
      <c r="B111" s="15" t="s">
        <v>655</v>
      </c>
      <c r="C111" s="46">
        <f ca="1">VLOOKUP($A111,Model!$1:$1048576,MATCH(C$14,Model!$1:$1,0),FALSE) * 100</f>
        <v>20.570690265169667</v>
      </c>
      <c r="D111" s="46">
        <f ca="1">VLOOKUP($A111,Model!$1:$1048576,MATCH(D$14,Model!$1:$1,0),FALSE) * 100</f>
        <v>21.012240838997965</v>
      </c>
      <c r="E111" s="46">
        <f ca="1">VLOOKUP($A111,Model!$1:$1048576,MATCH(E$14,Model!$1:$1,0),FALSE) * 100</f>
        <v>21.121639881485503</v>
      </c>
      <c r="F111" s="46">
        <f ca="1">VLOOKUP($A111,Model!$1:$1048576,MATCH(F$14,Model!$1:$1,0),FALSE) * 100</f>
        <v>20.893427756752363</v>
      </c>
      <c r="G111" s="46">
        <f ca="1">VLOOKUP($A111,Model!$1:$1048576,MATCH(G$14,Model!$1:$1,0),FALSE) * 100</f>
        <v>20.455244496698548</v>
      </c>
      <c r="H111" s="46"/>
      <c r="I111" s="46">
        <f>VLOOKUP($A111,Model!$1:$1048576,MATCH(I$14,Model!$1:$1,0),FALSE) * 100</f>
        <v>20.363156424640565</v>
      </c>
      <c r="J111" s="46">
        <f>VLOOKUP($A111,Model!$1:$1048576,MATCH(J$14,Model!$1:$1,0),FALSE) * 100</f>
        <v>21.012240838997965</v>
      </c>
      <c r="K111" s="46">
        <f>VLOOKUP($A111,Model!$1:$1048576,MATCH(K$14,Model!$1:$1,0),FALSE) * 100</f>
        <v>20.932081984645937</v>
      </c>
      <c r="L111" s="46">
        <f>VLOOKUP($A111,Model!$1:$1048576,MATCH(L$14,Model!$1:$1,0),FALSE) * 100</f>
        <v>21.121639881485503</v>
      </c>
    </row>
    <row r="112" spans="1:15">
      <c r="A112" s="1" t="s">
        <v>1013</v>
      </c>
      <c r="B112" s="15" t="s">
        <v>656</v>
      </c>
      <c r="C112" s="46">
        <f ca="1">VLOOKUP($A112,Model!$1:$1048576,MATCH(C$14,Model!$1:$1,0),FALSE) * 100</f>
        <v>73.890696781263941</v>
      </c>
      <c r="D112" s="46">
        <f ca="1">VLOOKUP($A112,Model!$1:$1048576,MATCH(D$14,Model!$1:$1,0),FALSE) * 100</f>
        <v>85.407900737169513</v>
      </c>
      <c r="E112" s="46">
        <f ca="1">VLOOKUP($A112,Model!$1:$1048576,MATCH(E$14,Model!$1:$1,0),FALSE) * 100</f>
        <v>69.767245005218911</v>
      </c>
      <c r="F112" s="46">
        <f ca="1">VLOOKUP($A112,Model!$1:$1048576,MATCH(F$14,Model!$1:$1,0),FALSE) * 100</f>
        <v>72.743175619283647</v>
      </c>
      <c r="G112" s="46">
        <f ca="1">VLOOKUP($A112,Model!$1:$1048576,MATCH(G$14,Model!$1:$1,0),FALSE) * 100</f>
        <v>72.091212655667434</v>
      </c>
      <c r="H112" s="46"/>
      <c r="I112" s="46">
        <f>VLOOKUP($A112,Model!$1:$1048576,MATCH(I$14,Model!$1:$1,0),FALSE) * 100</f>
        <v>69.120893112668142</v>
      </c>
      <c r="J112" s="46">
        <f>VLOOKUP($A112,Model!$1:$1048576,MATCH(J$14,Model!$1:$1,0),FALSE) * 100</f>
        <v>111.59629334835512</v>
      </c>
      <c r="K112" s="46">
        <f>VLOOKUP($A112,Model!$1:$1048576,MATCH(K$14,Model!$1:$1,0),FALSE) * 100</f>
        <v>67.623989344120758</v>
      </c>
      <c r="L112" s="46">
        <f>VLOOKUP($A112,Model!$1:$1048576,MATCH(L$14,Model!$1:$1,0),FALSE) * 100</f>
        <v>71.929926329966463</v>
      </c>
    </row>
    <row r="113" spans="1:15">
      <c r="A113" s="1" t="s">
        <v>1075</v>
      </c>
      <c r="B113" s="15" t="s">
        <v>1105</v>
      </c>
      <c r="C113" s="41">
        <f ca="1">VLOOKUP($A113,Model!$1:$1048576,MATCH(C$14,Model!$1:$1,0),FALSE)</f>
        <v>0</v>
      </c>
      <c r="D113" s="41">
        <f ca="1">VLOOKUP($A113,Model!$1:$1048576,MATCH(D$14,Model!$1:$1,0),FALSE)</f>
        <v>0</v>
      </c>
      <c r="E113" s="41">
        <f ca="1">VLOOKUP($A113,Model!$1:$1048576,MATCH(E$14,Model!$1:$1,0),FALSE)</f>
        <v>127.94743012710944</v>
      </c>
      <c r="F113" s="41">
        <f ca="1">VLOOKUP($A113,Model!$1:$1048576,MATCH(F$14,Model!$1:$1,0),FALSE)</f>
        <v>187.77616553131986</v>
      </c>
      <c r="G113" s="41">
        <f ca="1">VLOOKUP($A113,Model!$1:$1048576,MATCH(G$14,Model!$1:$1,0),FALSE)</f>
        <v>264.43568471765093</v>
      </c>
      <c r="H113" s="46"/>
      <c r="I113" s="46"/>
      <c r="J113" s="46"/>
      <c r="K113" s="46"/>
      <c r="L113" s="46"/>
    </row>
    <row r="114" spans="1:15">
      <c r="A114" s="1" t="s">
        <v>1014</v>
      </c>
      <c r="B114" s="15" t="s">
        <v>657</v>
      </c>
      <c r="C114" s="46">
        <f ca="1">VLOOKUP($A114,Model!$1:$1048576,MATCH(C$14,Model!$1:$1,0),FALSE) * 100</f>
        <v>87.301115241635685</v>
      </c>
      <c r="D114" s="46">
        <f ca="1">VLOOKUP($A114,Model!$1:$1048576,MATCH(D$14,Model!$1:$1,0),FALSE) * 100</f>
        <v>84.223259028857782</v>
      </c>
      <c r="E114" s="46">
        <f ca="1">VLOOKUP($A114,Model!$1:$1048576,MATCH(E$14,Model!$1:$1,0),FALSE) * 100</f>
        <v>46.553947557342141</v>
      </c>
      <c r="F114" s="46">
        <f ca="1">VLOOKUP($A114,Model!$1:$1048576,MATCH(F$14,Model!$1:$1,0),FALSE) * 100</f>
        <v>85.4452181258862</v>
      </c>
      <c r="G114" s="46">
        <f ca="1">VLOOKUP($A114,Model!$1:$1048576,MATCH(G$14,Model!$1:$1,0),FALSE) * 100</f>
        <v>96.743938851946353</v>
      </c>
      <c r="H114" s="46"/>
      <c r="I114" s="46">
        <f>VLOOKUP($A114,Model!$1:$1048576,MATCH(I$14,Model!$1:$1,0),FALSE) * 100</f>
        <v>70.263452914798208</v>
      </c>
      <c r="J114" s="46">
        <f>VLOOKUP($A114,Model!$1:$1048576,MATCH(J$14,Model!$1:$1,0),FALSE) * 100</f>
        <v>106.66967102298332</v>
      </c>
      <c r="K114" s="46">
        <f>VLOOKUP($A114,Model!$1:$1048576,MATCH(K$14,Model!$1:$1,0),FALSE) * 100</f>
        <v>45.352945115069069</v>
      </c>
      <c r="L114" s="46">
        <f>VLOOKUP($A114,Model!$1:$1048576,MATCH(L$14,Model!$1:$1,0),FALSE) * 100</f>
        <v>47.765835434287865</v>
      </c>
    </row>
    <row r="115" spans="1:15">
      <c r="A115" s="1" t="s">
        <v>1015</v>
      </c>
      <c r="B115" s="15" t="s">
        <v>548</v>
      </c>
      <c r="C115" s="46">
        <f ca="1">VLOOKUP($A115,Model!$1:$1048576,MATCH(C$14,Model!$1:$1,0),FALSE) * 100</f>
        <v>66.264213838595126</v>
      </c>
      <c r="D115" s="46">
        <f ca="1">VLOOKUP($A115,Model!$1:$1048576,MATCH(D$14,Model!$1:$1,0),FALSE) * 100</f>
        <v>78.006206691913732</v>
      </c>
      <c r="E115" s="46">
        <f ca="1">VLOOKUP($A115,Model!$1:$1048576,MATCH(E$14,Model!$1:$1,0),FALSE) * 100</f>
        <v>62.191822580181821</v>
      </c>
      <c r="F115" s="46">
        <f ca="1">VLOOKUP($A115,Model!$1:$1048576,MATCH(F$14,Model!$1:$1,0),FALSE) * 100</f>
        <v>65.174492035213277</v>
      </c>
      <c r="G115" s="46">
        <f ca="1">VLOOKUP($A115,Model!$1:$1048576,MATCH(G$14,Model!$1:$1,0),FALSE) * 100</f>
        <v>64.363310264867309</v>
      </c>
      <c r="H115" s="46"/>
      <c r="I115" s="46">
        <f>VLOOKUP($A115,Model!$1:$1048576,MATCH(I$14,Model!$1:$1,0),FALSE) * 100</f>
        <v>61.604263174139703</v>
      </c>
      <c r="J115" s="46">
        <f>VLOOKUP($A115,Model!$1:$1048576,MATCH(J$14,Model!$1:$1,0),FALSE) * 100</f>
        <v>104.30899576073433</v>
      </c>
      <c r="K115" s="46">
        <f>VLOOKUP($A115,Model!$1:$1048576,MATCH(K$14,Model!$1:$1,0),FALSE) * 100</f>
        <v>60.105914050130224</v>
      </c>
      <c r="L115" s="46">
        <f>VLOOKUP($A115,Model!$1:$1048576,MATCH(L$14,Model!$1:$1,0),FALSE) * 100</f>
        <v>64.300621566654286</v>
      </c>
    </row>
    <row r="118" spans="1:15">
      <c r="B118" s="2" t="s">
        <v>1106</v>
      </c>
      <c r="C118" s="107"/>
      <c r="D118" s="107"/>
      <c r="E118" s="107"/>
      <c r="F118" s="107"/>
      <c r="G118" s="107"/>
      <c r="H118" s="107"/>
      <c r="I118" s="107"/>
      <c r="J118" s="107"/>
      <c r="K118" s="107"/>
      <c r="L118" s="107"/>
    </row>
    <row r="119" spans="1:15">
      <c r="C119" s="343"/>
    </row>
    <row r="120" spans="1:15">
      <c r="B120" s="113" t="s">
        <v>708</v>
      </c>
      <c r="C120" s="114">
        <f ca="1">(EOMONTH(DATE(C121,MONTH($C$10),15),0)-G$2)/(EOMONTH(DATE(C121,MONTH($C$10),15),0)-EOMONTH(DATE(C121-1,MONTH(C$10),15),0))</f>
        <v>8.2191780821917804E-2</v>
      </c>
      <c r="D120" s="114">
        <f ca="1">1-C120</f>
        <v>0.9178082191780822</v>
      </c>
      <c r="E120" s="9" t="s">
        <v>709</v>
      </c>
      <c r="F120" s="115" t="s">
        <v>1107</v>
      </c>
      <c r="G120" s="9" t="s">
        <v>710</v>
      </c>
      <c r="H120" s="9" t="s">
        <v>1108</v>
      </c>
      <c r="I120" s="9" t="s">
        <v>1108</v>
      </c>
      <c r="J120" s="9"/>
      <c r="K120" s="116"/>
      <c r="L120" s="116"/>
      <c r="M120" s="134"/>
    </row>
    <row r="121" spans="1:15">
      <c r="B121" s="113"/>
      <c r="C121" s="9">
        <f ca="1">IF(MONTH($G$2)&lt;=MONTH($C$10),YEAR($G$2),YEAR($G$2)+1)</f>
        <v>2026</v>
      </c>
      <c r="D121" s="9">
        <f ca="1">C121+1</f>
        <v>2027</v>
      </c>
      <c r="E121" s="9" t="s">
        <v>858</v>
      </c>
      <c r="F121" s="9" t="s">
        <v>1109</v>
      </c>
      <c r="G121" s="9" t="s">
        <v>1110</v>
      </c>
      <c r="H121" s="9" t="s">
        <v>1111</v>
      </c>
      <c r="I121" s="9" t="s">
        <v>2361</v>
      </c>
      <c r="J121" s="9" t="s">
        <v>859</v>
      </c>
      <c r="K121" s="116" t="s">
        <v>860</v>
      </c>
      <c r="L121" s="116"/>
      <c r="M121" s="134"/>
    </row>
    <row r="122" spans="1:15">
      <c r="A122" s="1" t="s">
        <v>109</v>
      </c>
      <c r="B122" s="15" t="s">
        <v>861</v>
      </c>
      <c r="C122" s="13">
        <f ca="1">VLOOKUP($A122,Model!$1:$1048576,MATCH("FY"&amp;RIGHT(Summary!C$121,2)&amp;"E",Model!$1:$1,0),FALSE)</f>
        <v>2.5285348049597367</v>
      </c>
      <c r="D122" s="13">
        <f ca="1">VLOOKUP($A122,Model!$1:$1048576,MATCH("FY"&amp;RIGHT(Summary!D$121,2)&amp;"E",Model!$1:$1,0),FALSE)</f>
        <v>2.5067709357212138</v>
      </c>
      <c r="E122" s="13">
        <f ca="1">SUMPRODUCT(C122:D122,C$120:D$120)</f>
        <v>2.5085597468915033</v>
      </c>
      <c r="F122" s="117">
        <v>17.5</v>
      </c>
      <c r="G122" s="118">
        <f ca="1">(((VLOOKUP("AD_ProfitabilityROTECash",Model!$1:$1048576,MATCH("FY"&amp;RIGHT(Summary!$C$121,2)&amp;"E",Model!$1:$1,0),FALSE)-$G$4)/($G$8-$G$4))/VLOOKUP("AD_ProfitabilityROTECash",Model!$1:$1048576,MATCH("FY"&amp;RIGHT(Summary!$C$121,2)&amp;"E",Model!$1:$1,0),FALSE)*C120+((VLOOKUP("AD_ProfitabilityROTECash",Model!$1:$1048576,MATCH("FY"&amp;RIGHT($D$121,2)&amp;"E",Model!$1:$1,0),FALSE)-$G$4)/($G$8-$G$4))/VLOOKUP("AD_ProfitabilityROTECash",Model!$1:$1048576,MATCH("FY"&amp;RIGHT(Summary!$D$121,2)&amp;"E",Model!$1:$1,0),FALSE)*D120)/(((AVERAGE(INDIRECT(ADDRESS(ROW(Model!$785:$785),MATCH("FY"&amp;RIGHT(Summary!$C$121,2)&amp;"E",Model!$1:$1,0)-14,,,"Model")&amp;":"&amp;ADDRESS(ROW(Model!$785:$785),MATCH("FY"&amp;RIGHT(Summary!$C$121,2)&amp;"E",Model!$1:$1,0),,,)))-$G$4)/($G$8-$G$4))/(AVERAGE(INDIRECT(ADDRESS(ROW(Model!$785:$785),MATCH("FY"&amp;RIGHT(Summary!$C$121,2)&amp;"E",Model!$1:$1,0)-14,,,"Model")&amp;":"&amp;ADDRESS(ROW(Model!$785:$785),MATCH(E127,Model!$1:$1,0),,,)))))*0+100%</f>
        <v>1</v>
      </c>
      <c r="H122" s="119" t="s">
        <v>215</v>
      </c>
      <c r="I122" s="119" t="s">
        <v>215</v>
      </c>
      <c r="J122" s="119">
        <f ca="1">D122*F122*G122</f>
        <v>43.868491375121238</v>
      </c>
      <c r="K122" s="186" t="s">
        <v>2559</v>
      </c>
    </row>
    <row r="123" spans="1:15">
      <c r="A123" s="1" t="s">
        <v>954</v>
      </c>
      <c r="B123" s="15" t="s">
        <v>731</v>
      </c>
      <c r="C123" s="13">
        <f ca="1">VLOOKUP($A123,Model!$1:$1048576,MATCH("FY"&amp;RIGHT(Summary!C$121,2)&amp;"E",Model!$1:$1,0),FALSE)</f>
        <v>3.8516414344555976</v>
      </c>
      <c r="D123" s="13">
        <f ca="1">VLOOKUP($A123,Model!$1:$1048576,MATCH("FY"&amp;RIGHT(Summary!D$121,2)&amp;"E",Model!$1:$1,0),FALSE)</f>
        <v>3.9154116662134784</v>
      </c>
      <c r="E123" s="13">
        <f ca="1">SUMPRODUCT(C123:D123,C$120:D$120)</f>
        <v>3.9101702773018721</v>
      </c>
      <c r="F123" s="117">
        <v>3.8</v>
      </c>
      <c r="G123" s="118">
        <f ca="1">G$122</f>
        <v>1</v>
      </c>
      <c r="H123" s="119" t="s">
        <v>215</v>
      </c>
      <c r="I123" s="119" t="s">
        <v>215</v>
      </c>
      <c r="J123" s="119">
        <f ca="1">E123*F123*G123</f>
        <v>14.858647053747113</v>
      </c>
      <c r="K123" s="186" t="s">
        <v>2421</v>
      </c>
    </row>
    <row r="124" spans="1:15">
      <c r="A124" s="1" t="s">
        <v>2299</v>
      </c>
      <c r="B124" s="15" t="s">
        <v>2370</v>
      </c>
      <c r="C124" s="13">
        <f ca="1">VLOOKUP($A124,Model!$1:$1048576,MATCH("FY"&amp;RIGHT(Summary!C$121-1,2)&amp;"A",Model!$1:$1,0),FALSE)</f>
        <v>21.502373072331064</v>
      </c>
      <c r="D124" s="13">
        <f ca="1">VLOOKUP($A124,Model!$1:$1048576,MATCH("FY"&amp;RIGHT(Summary!D$121-1,2)&amp;"E",Model!$1:$1,0),FALSE)</f>
        <v>22.265721235454716</v>
      </c>
      <c r="E124" s="13">
        <f ca="1">SUMPRODUCT(C124:D124,C$120:D$120)</f>
        <v>22.202980290540445</v>
      </c>
      <c r="F124" s="344">
        <f>(VLOOKUP("AD_ProfitabilityROTECashOptimised",Model!$1:$1048576,MATCH($G$3,Model!$1:$1,0),FALSE)-$G$4)/($G$8-$G$4)</f>
        <v>1.4114345402274886</v>
      </c>
      <c r="G124" s="120">
        <v>1</v>
      </c>
      <c r="H124" s="119">
        <f ca="1">SUMPRODUCT(C138:G138,C143:G143)</f>
        <v>5.0115752559424864</v>
      </c>
      <c r="I124" s="119">
        <v>0</v>
      </c>
      <c r="J124" s="119">
        <f ca="1">E124*F124*G124+H124+I124</f>
        <v>36.349628534001432</v>
      </c>
      <c r="K124" s="186" t="s">
        <v>2104</v>
      </c>
      <c r="O124" s="368"/>
    </row>
    <row r="125" spans="1:15">
      <c r="A125" s="1" t="s">
        <v>966</v>
      </c>
      <c r="B125" s="15" t="s">
        <v>2371</v>
      </c>
      <c r="C125" s="13">
        <f ca="1">VLOOKUP($A125,Model!$1:$1048576,MATCH("FY"&amp;RIGHT(Summary!C$121-1,2)&amp;"A",Model!$1:$1,0),FALSE)</f>
        <v>21.994823577831472</v>
      </c>
      <c r="D125" s="13">
        <f ca="1">VLOOKUP($A125,Model!$1:$1048576,MATCH("FY"&amp;RIGHT(Summary!D$121-1,2)&amp;"E",Model!$1:$1,0),FALSE)</f>
        <v>23.142311395039812</v>
      </c>
      <c r="E125" s="13">
        <f ca="1">SUMPRODUCT(C125:D125,C$120:D$120)</f>
        <v>23.047997327872004</v>
      </c>
      <c r="F125" s="117">
        <v>1.33</v>
      </c>
      <c r="G125" s="120">
        <v>1</v>
      </c>
      <c r="H125" s="119" t="s">
        <v>215</v>
      </c>
      <c r="I125" s="119" t="s">
        <v>215</v>
      </c>
      <c r="J125" s="119">
        <f ca="1">E125*F125*G125</f>
        <v>30.653836446069768</v>
      </c>
      <c r="K125" s="186" t="str">
        <f>"Sustainable ROTE = "&amp;TEXT(VLOOKUP("AD_ProfitabilityROTECashOptimised",Model!$1:$1048576,MATCH($G$3,Model!$1:$1,0),FALSE),"0.0%")</f>
        <v>Sustainable ROTE = 12.0%</v>
      </c>
      <c r="O125" s="368"/>
    </row>
    <row r="126" spans="1:15">
      <c r="C126" s="16"/>
      <c r="D126" s="16"/>
      <c r="E126" s="16"/>
      <c r="F126" s="13"/>
      <c r="G126" s="16"/>
      <c r="H126" s="16"/>
      <c r="I126" s="146"/>
    </row>
    <row r="127" spans="1:15">
      <c r="B127" s="113" t="s">
        <v>733</v>
      </c>
      <c r="C127" s="9" t="str">
        <f ca="1">C$14</f>
        <v>FY24A</v>
      </c>
      <c r="D127" s="9" t="str">
        <f ca="1">D$14</f>
        <v>FY25A</v>
      </c>
      <c r="E127" s="9" t="str">
        <f ca="1">E$14</f>
        <v>FY26E</v>
      </c>
      <c r="F127" s="9" t="str">
        <f ca="1">F$14</f>
        <v>FY27E</v>
      </c>
      <c r="G127" s="9" t="str">
        <f ca="1">G$14</f>
        <v>FY28E</v>
      </c>
      <c r="H127" s="16"/>
      <c r="I127" s="576"/>
      <c r="K127" s="344"/>
    </row>
    <row r="128" spans="1:15">
      <c r="A128" s="1" t="s">
        <v>757</v>
      </c>
      <c r="B128" s="15" t="s">
        <v>2245</v>
      </c>
      <c r="C128" s="41">
        <f ca="1">VLOOKUP($A128,Model!$1:$1048576,MATCH(C$127,Model!$1:$1,0),FALSE)</f>
        <v>2979.41626</v>
      </c>
      <c r="D128" s="41">
        <f ca="1">VLOOKUP($A128,Model!$1:$1048576,MATCH(D$127,Model!$1:$1,0),FALSE)</f>
        <v>2983.52018</v>
      </c>
      <c r="E128" s="41">
        <f ca="1">VLOOKUP($A128,Model!$1:$1048576,MATCH(E$127,Model!$1:$1,0),FALSE)</f>
        <v>3027.2492010175706</v>
      </c>
      <c r="F128" s="41">
        <f ca="1">VLOOKUP($A128,Model!$1:$1048576,MATCH(F$127,Model!$1:$1,0),FALSE)</f>
        <v>3001.4422682441705</v>
      </c>
      <c r="G128" s="41">
        <f ca="1">VLOOKUP($A128,Model!$1:$1048576,MATCH(G$127,Model!$1:$1,0),FALSE)</f>
        <v>2953.1136337895286</v>
      </c>
      <c r="H128" s="16"/>
      <c r="K128" s="364"/>
    </row>
    <row r="129" spans="1:43">
      <c r="C129" s="41"/>
      <c r="D129" s="41"/>
      <c r="E129" s="41"/>
      <c r="F129" s="41"/>
      <c r="G129" s="41"/>
      <c r="H129" s="16"/>
    </row>
    <row r="130" spans="1:43">
      <c r="A130" s="1" t="s">
        <v>751</v>
      </c>
      <c r="B130" s="15" t="s">
        <v>2246</v>
      </c>
      <c r="C130" s="41">
        <f ca="1">VLOOKUP($A130,Model!$1:$1048576,MATCH(C$127,Model!$1:$1,0),FALSE)</f>
        <v>38390.248247332645</v>
      </c>
      <c r="D130" s="41">
        <f ca="1">VLOOKUP($A130,Model!$1:$1048576,MATCH(D$127,Model!$1:$1,0),FALSE)</f>
        <v>37048.151086087251</v>
      </c>
      <c r="E130" s="41">
        <f ca="1">VLOOKUP($A130,Model!$1:$1048576,MATCH(E$127,Model!$1:$1,0),FALSE)</f>
        <v>36913.906328278215</v>
      </c>
      <c r="F130" s="41">
        <f ca="1">VLOOKUP($A130,Model!$1:$1048576,MATCH(F$127,Model!$1:$1,0),FALSE)</f>
        <v>33830.664656638022</v>
      </c>
      <c r="G130" s="41">
        <f ca="1">VLOOKUP($A130,Model!$1:$1048576,MATCH(G$127,Model!$1:$1,0),FALSE)</f>
        <v>29383.61734352116</v>
      </c>
      <c r="H130" s="16"/>
      <c r="I130" s="121"/>
      <c r="J130" s="121"/>
      <c r="K130" s="121"/>
      <c r="L130" s="121"/>
      <c r="M130" s="121"/>
      <c r="N130" s="121"/>
      <c r="O130" s="121"/>
      <c r="P130" s="121"/>
      <c r="Q130" s="121"/>
      <c r="R130" s="121"/>
      <c r="S130" s="121"/>
      <c r="T130" s="121"/>
      <c r="U130" s="121"/>
      <c r="V130" s="121"/>
      <c r="W130" s="121"/>
      <c r="X130" s="121"/>
      <c r="Y130" s="121"/>
      <c r="Z130" s="121"/>
      <c r="AA130" s="121"/>
      <c r="AB130" s="121"/>
      <c r="AC130" s="121"/>
      <c r="AD130" s="121"/>
      <c r="AE130" s="121"/>
      <c r="AF130" s="121"/>
      <c r="AG130" s="121"/>
      <c r="AH130" s="121"/>
      <c r="AI130" s="121"/>
      <c r="AJ130" s="121"/>
      <c r="AK130" s="121"/>
      <c r="AL130" s="121"/>
      <c r="AM130" s="121"/>
      <c r="AN130" s="121"/>
      <c r="AO130" s="121"/>
      <c r="AP130" s="121"/>
      <c r="AQ130" s="121"/>
    </row>
    <row r="131" spans="1:43">
      <c r="A131" s="1" t="s">
        <v>6</v>
      </c>
      <c r="B131" s="15" t="s">
        <v>2247</v>
      </c>
      <c r="C131" s="41">
        <f ca="1">VLOOKUP($A131,Model!$1:$1048576,MATCH(C$127,Model!$1:$1,0),FALSE)</f>
        <v>50911.439724415213</v>
      </c>
      <c r="D131" s="41">
        <f ca="1">VLOOKUP($A131,Model!$1:$1048576,MATCH(D$127,Model!$1:$1,0),FALSE)</f>
        <v>55595.292179061413</v>
      </c>
      <c r="E131" s="41">
        <f ca="1">VLOOKUP($A131,Model!$1:$1048576,MATCH(E$127,Model!$1:$1,0),FALSE)</f>
        <v>60710.059059535073</v>
      </c>
      <c r="F131" s="41">
        <f ca="1">VLOOKUP($A131,Model!$1:$1048576,MATCH(F$127,Model!$1:$1,0),FALSE)</f>
        <v>66295.384493012301</v>
      </c>
      <c r="G131" s="41">
        <f ca="1">VLOOKUP($A131,Model!$1:$1048576,MATCH(G$127,Model!$1:$1,0),FALSE)</f>
        <v>72394.55986636944</v>
      </c>
      <c r="H131" s="16"/>
      <c r="I131" s="122"/>
      <c r="J131" s="122"/>
      <c r="K131" s="122"/>
      <c r="L131" s="122"/>
      <c r="M131" s="122"/>
      <c r="N131" s="122"/>
      <c r="O131" s="122"/>
      <c r="P131" s="122"/>
      <c r="Q131" s="122"/>
      <c r="R131" s="122"/>
      <c r="S131" s="122"/>
      <c r="T131" s="122"/>
      <c r="U131" s="122"/>
      <c r="V131" s="122"/>
      <c r="W131" s="122"/>
      <c r="X131" s="122"/>
      <c r="Y131" s="122"/>
      <c r="Z131" s="122"/>
      <c r="AA131" s="122"/>
      <c r="AB131" s="122"/>
      <c r="AC131" s="122"/>
      <c r="AD131" s="122"/>
      <c r="AE131" s="122"/>
      <c r="AF131" s="122"/>
      <c r="AG131" s="122"/>
      <c r="AH131" s="122"/>
      <c r="AI131" s="122"/>
      <c r="AJ131" s="122"/>
      <c r="AK131" s="122"/>
      <c r="AL131" s="122"/>
      <c r="AM131" s="122"/>
      <c r="AN131" s="122"/>
      <c r="AO131" s="122"/>
      <c r="AP131" s="122"/>
      <c r="AQ131" s="122"/>
    </row>
    <row r="132" spans="1:43">
      <c r="B132" s="17" t="s">
        <v>2248</v>
      </c>
      <c r="C132" s="62">
        <f ca="1">C130+C131</f>
        <v>89301.687971747859</v>
      </c>
      <c r="D132" s="62">
        <f ca="1">D130+D131</f>
        <v>92643.443265148671</v>
      </c>
      <c r="E132" s="62">
        <f ca="1">E130+E131</f>
        <v>97623.965387813281</v>
      </c>
      <c r="F132" s="62">
        <f ca="1">F130+F131</f>
        <v>100126.04914965032</v>
      </c>
      <c r="G132" s="62">
        <f ca="1">G130+G131</f>
        <v>101778.17720989059</v>
      </c>
      <c r="H132" s="16"/>
    </row>
    <row r="133" spans="1:43" s="63" customFormat="1">
      <c r="A133" s="111"/>
      <c r="B133" s="63" t="s">
        <v>1112</v>
      </c>
      <c r="C133" s="123">
        <f ca="1">C132/C$128</f>
        <v>29.972880651375601</v>
      </c>
      <c r="D133" s="123">
        <f ca="1">D132/D$128</f>
        <v>31.051723358931216</v>
      </c>
      <c r="E133" s="123">
        <f ca="1">E132/E$128</f>
        <v>32.248407351135235</v>
      </c>
      <c r="F133" s="123">
        <f ca="1">F132/F$128</f>
        <v>33.359312024423375</v>
      </c>
      <c r="G133" s="123">
        <f ca="1">G132/G$128</f>
        <v>34.46470059443179</v>
      </c>
      <c r="H133" s="66"/>
    </row>
    <row r="134" spans="1:43">
      <c r="B134" s="17"/>
      <c r="C134" s="16"/>
      <c r="D134" s="16"/>
      <c r="E134" s="16"/>
      <c r="F134" s="16"/>
      <c r="G134" s="16"/>
      <c r="H134" s="16"/>
    </row>
    <row r="135" spans="1:43">
      <c r="A135" s="1" t="s">
        <v>753</v>
      </c>
      <c r="B135" s="15" t="s">
        <v>2249</v>
      </c>
      <c r="C135" s="41">
        <f ca="1">VLOOKUP($A135,Model!$1:$1048576,MATCH(C$127,Model!$1:$1,0),FALSE)</f>
        <v>6466.5708807406772</v>
      </c>
      <c r="D135" s="41">
        <f ca="1">VLOOKUP($A135,Model!$1:$1048576,MATCH(D$127,Model!$1:$1,0),FALSE)</f>
        <v>6238.3554017688193</v>
      </c>
      <c r="E135" s="41">
        <f ca="1">VLOOKUP($A135,Model!$1:$1048576,MATCH(E$127,Model!$1:$1,0),FALSE)</f>
        <v>5901.310615315504</v>
      </c>
      <c r="F135" s="41">
        <f ca="1">VLOOKUP($A135,Model!$1:$1048576,MATCH(F$127,Model!$1:$1,0),FALSE)</f>
        <v>5457.9534022330072</v>
      </c>
      <c r="G135" s="41">
        <f ca="1">VLOOKUP($A135,Model!$1:$1048576,MATCH(G$127,Model!$1:$1,0),FALSE)</f>
        <v>4959.3807921634825</v>
      </c>
      <c r="H135" s="16"/>
    </row>
    <row r="136" spans="1:43">
      <c r="A136" s="1" t="s">
        <v>754</v>
      </c>
      <c r="B136" s="15" t="s">
        <v>2250</v>
      </c>
      <c r="C136" s="41">
        <f ca="1">VLOOKUP($A136,Model!$1:$1048576,MATCH(C$127,Model!$1:$1,0),FALSE)</f>
        <v>7773.7999420324741</v>
      </c>
      <c r="D136" s="41">
        <f ca="1">VLOOKUP($A136,Model!$1:$1048576,MATCH(D$127,Model!$1:$1,0),FALSE)</f>
        <v>8488.9895366994624</v>
      </c>
      <c r="E136" s="41">
        <f ca="1">VLOOKUP($A136,Model!$1:$1048576,MATCH(E$127,Model!$1:$1,0),FALSE)</f>
        <v>9269.9765740758139</v>
      </c>
      <c r="F136" s="41">
        <f ca="1">VLOOKUP($A136,Model!$1:$1048576,MATCH(F$127,Model!$1:$1,0),FALSE)</f>
        <v>10122.81441889079</v>
      </c>
      <c r="G136" s="41">
        <f ca="1">VLOOKUP($A136,Model!$1:$1048576,MATCH(G$127,Model!$1:$1,0),FALSE)</f>
        <v>11054.113345428745</v>
      </c>
      <c r="H136" s="16"/>
    </row>
    <row r="137" spans="1:43">
      <c r="B137" s="17" t="s">
        <v>2248</v>
      </c>
      <c r="C137" s="62">
        <f ca="1">C135+C136</f>
        <v>14240.370822773151</v>
      </c>
      <c r="D137" s="62">
        <f ca="1">D135+D136</f>
        <v>14727.344938468283</v>
      </c>
      <c r="E137" s="62">
        <f ca="1">E135+E136</f>
        <v>15171.287189391318</v>
      </c>
      <c r="F137" s="62">
        <f ca="1">F135+F136</f>
        <v>15580.767821123798</v>
      </c>
      <c r="G137" s="62">
        <f ca="1">G135+G136</f>
        <v>16013.494137592228</v>
      </c>
      <c r="H137" s="16"/>
    </row>
    <row r="138" spans="1:43" s="63" customFormat="1">
      <c r="A138" s="111"/>
      <c r="B138" s="63" t="s">
        <v>2251</v>
      </c>
      <c r="C138" s="123">
        <f ca="1">C137/C$128</f>
        <v>4.7795841802827352</v>
      </c>
      <c r="D138" s="123">
        <f ca="1">D137/D$128</f>
        <v>4.9362310458608274</v>
      </c>
      <c r="E138" s="123">
        <f ca="1">E137/E$128</f>
        <v>5.0115752559424864</v>
      </c>
      <c r="F138" s="123">
        <f ca="1">F137/F$128</f>
        <v>5.1910936238791869</v>
      </c>
      <c r="G138" s="123">
        <f ca="1">G137/G$128</f>
        <v>5.4225797322411893</v>
      </c>
      <c r="H138" s="66"/>
    </row>
    <row r="139" spans="1:43">
      <c r="B139" s="17"/>
      <c r="C139" s="16"/>
      <c r="D139" s="16"/>
      <c r="E139" s="16"/>
      <c r="F139" s="16"/>
      <c r="G139" s="16"/>
      <c r="H139" s="16"/>
    </row>
    <row r="140" spans="1:43">
      <c r="B140" s="17" t="s">
        <v>2252</v>
      </c>
      <c r="C140" s="62">
        <f ca="1">C132+C137</f>
        <v>103542.05879452101</v>
      </c>
      <c r="D140" s="62">
        <f ca="1">D132+D137</f>
        <v>107370.78820361695</v>
      </c>
      <c r="E140" s="62">
        <f ca="1">E132+E137</f>
        <v>112795.25257720461</v>
      </c>
      <c r="F140" s="62">
        <f ca="1">F132+F137</f>
        <v>115706.81697077412</v>
      </c>
      <c r="G140" s="62">
        <f ca="1">G132+G137</f>
        <v>117791.67134748283</v>
      </c>
      <c r="H140" s="16"/>
    </row>
    <row r="141" spans="1:43" s="128" customFormat="1">
      <c r="A141" s="124"/>
      <c r="B141" s="125" t="s">
        <v>2253</v>
      </c>
      <c r="C141" s="126">
        <f ca="1">C140/C128</f>
        <v>34.752464831658337</v>
      </c>
      <c r="D141" s="126">
        <f ca="1">D140/D128</f>
        <v>35.987954404792042</v>
      </c>
      <c r="E141" s="126">
        <f ca="1">E140/E128</f>
        <v>37.259982607077717</v>
      </c>
      <c r="F141" s="126">
        <f ca="1">F140/F128</f>
        <v>38.550405648302558</v>
      </c>
      <c r="G141" s="126">
        <f ca="1">G140/G128</f>
        <v>39.887280326672979</v>
      </c>
      <c r="H141" s="127"/>
    </row>
    <row r="142" spans="1:43">
      <c r="C142" s="16"/>
      <c r="D142" s="16"/>
      <c r="E142" s="16"/>
      <c r="F142" s="16"/>
      <c r="G142" s="16"/>
      <c r="H142" s="16"/>
    </row>
    <row r="143" spans="1:43">
      <c r="B143" s="15" t="s">
        <v>734</v>
      </c>
      <c r="C143" s="43">
        <f ca="1">IF(MID(C127,3,2)+2000+1=$D$121,100%,0%)</f>
        <v>0</v>
      </c>
      <c r="D143" s="43">
        <f t="shared" ref="D143:G143" ca="1" si="0">IF(MID(D127,3,2)+2000+1=$D$121,100%,0%)</f>
        <v>0</v>
      </c>
      <c r="E143" s="43">
        <f t="shared" ca="1" si="0"/>
        <v>1</v>
      </c>
      <c r="F143" s="43">
        <f t="shared" ca="1" si="0"/>
        <v>0</v>
      </c>
      <c r="G143" s="43">
        <f t="shared" ca="1" si="0"/>
        <v>0</v>
      </c>
      <c r="H143" s="16"/>
    </row>
    <row r="144" spans="1:43">
      <c r="C144" s="16"/>
      <c r="D144" s="16"/>
      <c r="E144" s="16"/>
      <c r="F144" s="16"/>
      <c r="G144" s="16"/>
      <c r="H144" s="16"/>
      <c r="I144" s="492" t="s">
        <v>2464</v>
      </c>
      <c r="J144" s="492" t="s">
        <v>2465</v>
      </c>
    </row>
    <row r="145" spans="2:43">
      <c r="B145" s="129" t="s">
        <v>2254</v>
      </c>
      <c r="C145" s="130"/>
      <c r="D145" s="130"/>
      <c r="E145" s="130"/>
      <c r="F145" s="130"/>
      <c r="G145" s="131">
        <f ca="1">SUMPRODUCT(C141:G141,C143:G143)</f>
        <v>37.259982607077717</v>
      </c>
      <c r="H145" s="10"/>
      <c r="I145" s="577">
        <f ca="1">G145/C125</f>
        <v>1.6940341655948521</v>
      </c>
      <c r="J145" s="577">
        <f ca="1">G145/Model!DA742</f>
        <v>1.5074632871680342</v>
      </c>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row>
    <row r="146" spans="2:43">
      <c r="B146" s="17"/>
      <c r="C146" s="10"/>
      <c r="D146" s="10"/>
      <c r="E146" s="10"/>
      <c r="F146" s="10"/>
      <c r="G146" s="132"/>
      <c r="H146" s="10"/>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row>
    <row r="147" spans="2:43">
      <c r="B147" s="113" t="s">
        <v>726</v>
      </c>
      <c r="C147" s="9" t="s">
        <v>859</v>
      </c>
      <c r="D147" s="9" t="s">
        <v>2100</v>
      </c>
      <c r="E147" s="16"/>
      <c r="F147" s="16"/>
      <c r="G147" s="16"/>
      <c r="H147" s="16"/>
    </row>
    <row r="148" spans="2:43">
      <c r="B148" s="15" t="s">
        <v>732</v>
      </c>
      <c r="C148" s="119">
        <f ca="1">J125</f>
        <v>30.653836446069768</v>
      </c>
      <c r="D148" s="328">
        <v>0</v>
      </c>
      <c r="E148" s="42"/>
      <c r="F148" s="13"/>
      <c r="G148" s="361"/>
      <c r="H148" s="16"/>
    </row>
    <row r="149" spans="2:43">
      <c r="B149" s="15" t="s">
        <v>727</v>
      </c>
      <c r="C149" s="119">
        <f ca="1">G145</f>
        <v>37.259982607077717</v>
      </c>
      <c r="D149" s="120">
        <v>0.5</v>
      </c>
      <c r="E149" s="212"/>
      <c r="F149" s="42"/>
      <c r="G149" s="361"/>
      <c r="H149" s="16"/>
      <c r="O149" s="343"/>
    </row>
    <row r="150" spans="2:43">
      <c r="B150" s="15" t="s">
        <v>2360</v>
      </c>
      <c r="C150" s="119">
        <f ca="1">_xlfn.IFNA(RIM!AB44,0)</f>
        <v>36.115451046695632</v>
      </c>
      <c r="D150" s="120">
        <v>0</v>
      </c>
      <c r="E150" s="119"/>
      <c r="F150" s="13"/>
      <c r="G150" s="361"/>
      <c r="H150" s="16"/>
    </row>
    <row r="151" spans="2:43">
      <c r="B151" s="15" t="s">
        <v>861</v>
      </c>
      <c r="C151" s="119">
        <f ca="1">J122</f>
        <v>43.868491375121238</v>
      </c>
      <c r="D151" s="120">
        <f>1-SUM(D148,D149,D152)</f>
        <v>0.5</v>
      </c>
      <c r="E151" s="119"/>
      <c r="F151" s="13"/>
      <c r="G151" s="361"/>
      <c r="H151" s="16"/>
    </row>
    <row r="152" spans="2:43">
      <c r="B152" s="15" t="s">
        <v>731</v>
      </c>
      <c r="C152" s="119">
        <f ca="1">J123</f>
        <v>14.858647053747113</v>
      </c>
      <c r="D152" s="120">
        <v>0</v>
      </c>
      <c r="E152" s="119"/>
      <c r="F152" s="13"/>
      <c r="G152" s="361"/>
      <c r="H152" s="16"/>
    </row>
    <row r="153" spans="2:43">
      <c r="B153" s="17" t="s">
        <v>728</v>
      </c>
      <c r="C153" s="184">
        <f ca="1">SUMPRODUCT(C148:C152,D148:D152)</f>
        <v>40.564236991099477</v>
      </c>
      <c r="D153" s="185">
        <v>1</v>
      </c>
      <c r="E153" s="10"/>
      <c r="F153" s="10"/>
      <c r="G153" s="10"/>
      <c r="H153" s="10"/>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row>
    <row r="154" spans="2:43">
      <c r="B154" s="63" t="s">
        <v>729</v>
      </c>
      <c r="C154" s="421" t="e">
        <f ca="1">C153/C5-1</f>
        <v>#NAME?</v>
      </c>
      <c r="D154" s="66"/>
      <c r="E154" s="66"/>
      <c r="F154" s="421"/>
      <c r="G154" s="66"/>
      <c r="H154" s="66"/>
      <c r="I154" s="135"/>
      <c r="J154" s="63"/>
      <c r="K154" s="63"/>
      <c r="L154" s="63"/>
      <c r="M154" s="63"/>
      <c r="N154" s="63"/>
      <c r="O154" s="63"/>
      <c r="P154" s="63"/>
      <c r="Q154" s="63"/>
      <c r="R154" s="63"/>
      <c r="S154" s="63"/>
      <c r="T154" s="63"/>
      <c r="U154" s="63"/>
      <c r="V154" s="63"/>
      <c r="W154" s="63"/>
      <c r="X154" s="63"/>
      <c r="Y154" s="63"/>
      <c r="Z154" s="63"/>
      <c r="AA154" s="63"/>
      <c r="AB154" s="63"/>
      <c r="AC154" s="63"/>
      <c r="AD154" s="63"/>
      <c r="AE154" s="63"/>
      <c r="AF154" s="63"/>
      <c r="AG154" s="63"/>
      <c r="AH154" s="63"/>
      <c r="AI154" s="63"/>
      <c r="AJ154" s="63"/>
      <c r="AK154" s="63"/>
      <c r="AL154" s="63"/>
      <c r="AM154" s="63"/>
      <c r="AN154" s="63"/>
      <c r="AO154" s="63"/>
      <c r="AP154" s="63"/>
      <c r="AQ154" s="63"/>
    </row>
    <row r="155" spans="2:43">
      <c r="B155" s="63"/>
      <c r="C155" s="371"/>
      <c r="D155" s="133"/>
      <c r="E155" s="133"/>
      <c r="F155" s="66"/>
      <c r="G155" s="66"/>
      <c r="H155" s="66"/>
      <c r="I155" s="63"/>
      <c r="J155" s="63"/>
      <c r="K155" s="63"/>
      <c r="L155" s="63"/>
      <c r="M155" s="63"/>
      <c r="N155" s="63"/>
      <c r="O155" s="63"/>
      <c r="P155" s="63"/>
      <c r="Q155" s="63"/>
      <c r="R155" s="63"/>
      <c r="S155" s="63"/>
      <c r="T155" s="63"/>
      <c r="U155" s="63"/>
      <c r="V155" s="63"/>
      <c r="W155" s="63"/>
      <c r="X155" s="63"/>
      <c r="Y155" s="63"/>
      <c r="Z155" s="63"/>
      <c r="AA155" s="63"/>
      <c r="AB155" s="63"/>
      <c r="AC155" s="63"/>
      <c r="AD155" s="63"/>
      <c r="AE155" s="63"/>
      <c r="AF155" s="63"/>
      <c r="AG155" s="63"/>
      <c r="AH155" s="63"/>
      <c r="AI155" s="63"/>
      <c r="AJ155" s="63"/>
      <c r="AK155" s="63"/>
      <c r="AL155" s="63"/>
      <c r="AM155" s="63"/>
      <c r="AN155" s="63"/>
      <c r="AO155" s="63"/>
      <c r="AP155" s="63"/>
      <c r="AQ155" s="63"/>
    </row>
    <row r="156" spans="2:43">
      <c r="B156" s="63"/>
      <c r="C156" s="371"/>
      <c r="D156" s="133"/>
      <c r="E156" s="133"/>
      <c r="F156" s="66"/>
      <c r="G156" s="66"/>
      <c r="H156" s="66"/>
      <c r="I156" s="63"/>
      <c r="J156" s="63"/>
      <c r="K156" s="63"/>
      <c r="L156" s="63"/>
      <c r="M156" s="63"/>
      <c r="N156" s="63"/>
      <c r="O156" s="63"/>
      <c r="P156" s="63"/>
      <c r="Q156" s="63"/>
      <c r="R156" s="63"/>
      <c r="S156" s="63"/>
      <c r="T156" s="63"/>
      <c r="U156" s="63"/>
      <c r="V156" s="63"/>
      <c r="W156" s="63"/>
      <c r="X156" s="63"/>
      <c r="Y156" s="63"/>
      <c r="Z156" s="63"/>
      <c r="AA156" s="63"/>
      <c r="AB156" s="63"/>
      <c r="AC156" s="63"/>
      <c r="AD156" s="63"/>
      <c r="AE156" s="63"/>
      <c r="AF156" s="63"/>
      <c r="AG156" s="63"/>
      <c r="AH156" s="63"/>
      <c r="AI156" s="63"/>
      <c r="AJ156" s="63"/>
      <c r="AK156" s="63"/>
      <c r="AL156" s="63"/>
      <c r="AM156" s="63"/>
      <c r="AN156" s="63"/>
      <c r="AO156" s="63"/>
      <c r="AP156" s="63"/>
      <c r="AQ156" s="63"/>
    </row>
    <row r="157" spans="2:43">
      <c r="C157" s="497"/>
      <c r="D157" s="364"/>
      <c r="E157" s="364"/>
      <c r="F157" s="364"/>
    </row>
    <row r="158" spans="2:43">
      <c r="C158" s="412"/>
    </row>
    <row r="159" spans="2:43">
      <c r="H159" s="108"/>
    </row>
    <row r="160" spans="2:43">
      <c r="D160" s="435"/>
      <c r="E160" s="435"/>
      <c r="I160" s="364"/>
      <c r="J160" s="364"/>
      <c r="K160" s="364"/>
    </row>
    <row r="161" spans="2:8">
      <c r="C161" s="108"/>
      <c r="D161" s="435"/>
      <c r="E161" s="432"/>
      <c r="H161" s="108"/>
    </row>
    <row r="162" spans="2:8">
      <c r="C162" s="41"/>
      <c r="D162" s="41"/>
      <c r="E162" s="41"/>
    </row>
    <row r="163" spans="2:8">
      <c r="C163" s="505"/>
      <c r="D163" s="505"/>
      <c r="E163" s="435"/>
    </row>
    <row r="164" spans="2:8">
      <c r="C164" s="435"/>
      <c r="D164" s="435"/>
    </row>
    <row r="165" spans="2:8">
      <c r="C165" s="108"/>
      <c r="D165" s="343"/>
      <c r="E165" s="108"/>
    </row>
    <row r="166" spans="2:8">
      <c r="B166" s="63"/>
      <c r="C166" s="108"/>
      <c r="D166" s="343"/>
    </row>
    <row r="167" spans="2:8">
      <c r="C167" s="422"/>
      <c r="D167" s="422"/>
      <c r="E167" s="422"/>
    </row>
    <row r="168" spans="2:8">
      <c r="B168" s="63"/>
      <c r="C168" s="435"/>
      <c r="D168" s="435"/>
    </row>
    <row r="170" spans="2:8">
      <c r="C170" s="108"/>
      <c r="D170" s="108"/>
      <c r="E170" s="108"/>
    </row>
    <row r="172" spans="2:8">
      <c r="C172" s="108"/>
      <c r="D172" s="108"/>
      <c r="E172" s="108"/>
    </row>
    <row r="174" spans="2:8">
      <c r="C174" s="436"/>
      <c r="D174" s="436"/>
      <c r="E174" s="436"/>
    </row>
  </sheetData>
  <phoneticPr fontId="12" type="noConversion"/>
  <dataValidations count="1">
    <dataValidation type="list" allowBlank="1" showInputMessage="1" showErrorMessage="1" sqref="C7" xr:uid="{00000000-0002-0000-0A00-000000000000}">
      <formula1>$AU$2:$AU$4</formula1>
    </dataValidation>
  </dataValidations>
  <pageMargins left="0.75" right="0.75" top="1" bottom="1" header="0.5" footer="0.5"/>
  <pageSetup paperSize="171" scale="16" orientation="landscape" horizontalDpi="1200" verticalDpi="1200" r:id="rId1"/>
  <headerFooter alignWithMargins="0"/>
  <customProperties>
    <customPr name="Qube.Worksheet.ID" r:id="rId2"/>
    <customPr name="Qube.Worksheet.Visibility" r:id="rId3"/>
    <customPr name="QXL_SHEET_ID" r:id="rId4"/>
    <customPr name="SHEET_UNIQUE_ID" r:id="rId5"/>
  </customProperties>
  <drawing r:id="rId6"/>
  <legacyDrawing r:id="rId7"/>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dimension ref="A1:DI857"/>
  <sheetViews>
    <sheetView zoomScale="85" zoomScaleNormal="85" workbookViewId="0">
      <pane xSplit="43" ySplit="7" topLeftCell="BC91" activePane="bottomRight" state="frozen"/>
      <selection pane="topRight" activeCell="AR1" sqref="AR1"/>
      <selection pane="bottomLeft" activeCell="A8" sqref="A8"/>
      <selection pane="bottomRight" activeCell="BJ97" sqref="BJ97"/>
    </sheetView>
  </sheetViews>
  <sheetFormatPr defaultColWidth="10.75" defaultRowHeight="12.75" outlineLevelRow="3" outlineLevelCol="1"/>
  <cols>
    <col min="1" max="1" width="4" style="1" customWidth="1"/>
    <col min="2" max="2" width="27.375" style="15" bestFit="1" customWidth="1"/>
    <col min="3" max="39" width="10.75" style="16" hidden="1" customWidth="1" outlineLevel="1"/>
    <col min="40" max="40" width="10.75" style="16" hidden="1" customWidth="1" outlineLevel="1" collapsed="1"/>
    <col min="41" max="43" width="10.75" style="16" hidden="1" customWidth="1" outlineLevel="1"/>
    <col min="44" max="44" width="10.75" style="16" customWidth="1" collapsed="1"/>
    <col min="45" max="61" width="10.75" style="16" customWidth="1"/>
    <col min="62" max="69" width="10.75" style="16" customWidth="1" outlineLevel="1"/>
    <col min="70" max="70" width="4" style="16" customWidth="1"/>
    <col min="71" max="89" width="10.75" style="16" hidden="1" customWidth="1" outlineLevel="1"/>
    <col min="90" max="90" width="10.75" style="16" hidden="1" customWidth="1" outlineLevel="1" collapsed="1"/>
    <col min="91" max="94" width="10.75" style="16" hidden="1" customWidth="1" outlineLevel="1"/>
    <col min="95" max="95" width="10.125" style="16" hidden="1" customWidth="1" outlineLevel="1"/>
    <col min="96" max="97" width="10.75" style="16" hidden="1" customWidth="1" outlineLevel="1"/>
    <col min="98" max="98" width="10.75" style="16" customWidth="1" collapsed="1"/>
    <col min="99" max="103" width="10.75" style="16" customWidth="1"/>
    <col min="104" max="105" width="10.625" style="16" customWidth="1"/>
    <col min="106" max="107" width="10.75" customWidth="1"/>
    <col min="108" max="113" width="10.75" customWidth="1" outlineLevel="1"/>
    <col min="114" max="16384" width="10.75" style="15"/>
  </cols>
  <sheetData>
    <row r="1" spans="1:113" s="4" customFormat="1" ht="12">
      <c r="A1" s="1"/>
      <c r="B1" s="2" t="s">
        <v>646</v>
      </c>
      <c r="C1" s="3" t="s">
        <v>132</v>
      </c>
      <c r="D1" s="3" t="str">
        <f t="shared" ref="D1:L1" si="0">IF(LEFT(C1,1)="1","2H"&amp;TEXT(MID(C1,3,2),"00")&amp;"A","1H"&amp;TEXT(MID(C1,3,2)+1,"00")&amp;"A")</f>
        <v>1H02A</v>
      </c>
      <c r="E1" s="3" t="str">
        <f t="shared" si="0"/>
        <v>2H02A</v>
      </c>
      <c r="F1" s="3" t="str">
        <f t="shared" si="0"/>
        <v>1H03A</v>
      </c>
      <c r="G1" s="3" t="str">
        <f t="shared" si="0"/>
        <v>2H03A</v>
      </c>
      <c r="H1" s="3" t="str">
        <f t="shared" si="0"/>
        <v>1H04A</v>
      </c>
      <c r="I1" s="3" t="str">
        <f t="shared" si="0"/>
        <v>2H04A</v>
      </c>
      <c r="J1" s="3" t="str">
        <f t="shared" si="0"/>
        <v>1H05A</v>
      </c>
      <c r="K1" s="3" t="str">
        <f t="shared" si="0"/>
        <v>2H05A</v>
      </c>
      <c r="L1" s="3" t="str">
        <f t="shared" si="0"/>
        <v>1H06A</v>
      </c>
      <c r="M1" s="3" t="str">
        <f t="shared" ref="M1:T1" si="1">IF(LEFT(L1,1)="1","2H"&amp;TEXT(MID(L1,3,2),"00")&amp;"A","1H"&amp;TEXT(MID(L1,3,2)+1,"00")&amp;"A")</f>
        <v>2H06A</v>
      </c>
      <c r="N1" s="3" t="str">
        <f t="shared" si="1"/>
        <v>1H07A</v>
      </c>
      <c r="O1" s="3" t="str">
        <f t="shared" si="1"/>
        <v>2H07A</v>
      </c>
      <c r="P1" s="3" t="str">
        <f t="shared" si="1"/>
        <v>1H08A</v>
      </c>
      <c r="Q1" s="3" t="str">
        <f t="shared" si="1"/>
        <v>2H08A</v>
      </c>
      <c r="R1" s="3" t="str">
        <f t="shared" si="1"/>
        <v>1H09A</v>
      </c>
      <c r="S1" s="3" t="str">
        <f t="shared" si="1"/>
        <v>2H09A</v>
      </c>
      <c r="T1" s="3" t="str">
        <f t="shared" si="1"/>
        <v>1H10A</v>
      </c>
      <c r="U1" s="3" t="str">
        <f>IF(LEFT(T1,1)="1","2H"&amp;TEXT(MID(T1,3,2),"00")&amp;"A","1H"&amp;TEXT(MID(T1,3,2)+1,"00")&amp;"A")</f>
        <v>2H10A</v>
      </c>
      <c r="V1" s="3" t="str">
        <f>IF(LEFT(U1,1)="1","2H"&amp;TEXT(MID(U1,3,2),"00")&amp;"A","1H"&amp;TEXT(MID(U1,3,2)+1,"00")&amp;"A")</f>
        <v>1H11A</v>
      </c>
      <c r="W1" s="3" t="str">
        <f>IF(LEFT(V1,1)="1","2H"&amp;TEXT(MID(V1,3,2),"00")&amp;"A","1H"&amp;TEXT(MID(V1,3,2)+1,"00")&amp;"A")</f>
        <v>2H11A</v>
      </c>
      <c r="X1" s="3" t="str">
        <f>IF(LEFT(W1,1)="1","2H"&amp;TEXT(MID(W1,3,2),"00")&amp;"A","1H"&amp;TEXT(MID(W1,3,2)+1,"00")&amp;"A")</f>
        <v>1H12A</v>
      </c>
      <c r="Y1" s="3" t="str">
        <f>IF(LEFT(X1,1)="1","2H"&amp;TEXT(MID(X1,3,2),"00")&amp;"A","1H"&amp;TEXT(MID(X1,3,2)+1,"00")&amp;"A")</f>
        <v>2H12A</v>
      </c>
      <c r="Z1" s="3" t="s">
        <v>2256</v>
      </c>
      <c r="AA1" s="3" t="str">
        <f>IF(LEFT(Z1,1)="1","2H"&amp;TEXT(MID(Z1,3,2),"00")&amp;"A","1H"&amp;TEXT(MID(Z1,3,2)+1,"00")&amp;"A")</f>
        <v>2H13A</v>
      </c>
      <c r="AB1" s="3" t="s">
        <v>2369</v>
      </c>
      <c r="AC1" s="3" t="str">
        <f>IF(LEFT(AB1,1)="1","2H"&amp;TEXT(MID(AB1,3,2),"00")&amp;"A","1H"&amp;TEXT(MID(AB1,3,2)+1,"00")&amp;"E")</f>
        <v>2H14A</v>
      </c>
      <c r="AD1" s="3" t="str">
        <f t="shared" ref="AD1:AJ1" si="2">IF(LEFT(AC1,1)="1","2H"&amp;TEXT(MID(AC1,3,2),"00")&amp;"A","1H"&amp;TEXT(MID(AC1,3,2)+1,"00")&amp;"A")</f>
        <v>1H15A</v>
      </c>
      <c r="AE1" s="3" t="str">
        <f t="shared" si="2"/>
        <v>2H15A</v>
      </c>
      <c r="AF1" s="3" t="str">
        <f t="shared" si="2"/>
        <v>1H16A</v>
      </c>
      <c r="AG1" s="3" t="str">
        <f t="shared" si="2"/>
        <v>2H16A</v>
      </c>
      <c r="AH1" s="3" t="str">
        <f t="shared" si="2"/>
        <v>1H17A</v>
      </c>
      <c r="AI1" s="3" t="str">
        <f t="shared" si="2"/>
        <v>2H17A</v>
      </c>
      <c r="AJ1" s="3" t="str">
        <f t="shared" si="2"/>
        <v>1H18A</v>
      </c>
      <c r="AK1" s="3" t="str">
        <f t="shared" ref="AK1:AX1" si="3">IF(LEFT(AJ1,1)="1","2H"&amp;TEXT(MID(AJ1,3,2),"00")&amp;"A","1H"&amp;TEXT(MID(AJ1,3,2)+1,"00")&amp;"A")</f>
        <v>2H18A</v>
      </c>
      <c r="AL1" s="3" t="str">
        <f t="shared" si="3"/>
        <v>1H19A</v>
      </c>
      <c r="AM1" s="3" t="str">
        <f t="shared" si="3"/>
        <v>2H19A</v>
      </c>
      <c r="AN1" s="3" t="str">
        <f t="shared" si="3"/>
        <v>1H20A</v>
      </c>
      <c r="AO1" s="3" t="str">
        <f t="shared" si="3"/>
        <v>2H20A</v>
      </c>
      <c r="AP1" s="3" t="str">
        <f t="shared" si="3"/>
        <v>1H21A</v>
      </c>
      <c r="AQ1" s="3" t="str">
        <f t="shared" si="3"/>
        <v>2H21A</v>
      </c>
      <c r="AR1" s="3" t="str">
        <f t="shared" si="3"/>
        <v>1H22A</v>
      </c>
      <c r="AS1" s="3" t="str">
        <f t="shared" si="3"/>
        <v>2H22A</v>
      </c>
      <c r="AT1" s="3" t="str">
        <f t="shared" si="3"/>
        <v>1H23A</v>
      </c>
      <c r="AU1" s="3" t="str">
        <f t="shared" si="3"/>
        <v>2H23A</v>
      </c>
      <c r="AV1" s="3" t="str">
        <f t="shared" si="3"/>
        <v>1H24A</v>
      </c>
      <c r="AW1" s="3" t="str">
        <f t="shared" si="3"/>
        <v>2H24A</v>
      </c>
      <c r="AX1" s="3" t="str">
        <f t="shared" si="3"/>
        <v>1H25A</v>
      </c>
      <c r="AY1" s="195" t="str">
        <f>IF(LEFT(AX1,1)="1","2H"&amp;TEXT(MID(AX1,3,2),"00")&amp;"A","1H"&amp;TEXT(MID(AX1,3,2)+1,"00")&amp;"E")</f>
        <v>2H25A</v>
      </c>
      <c r="AZ1" s="3" t="str">
        <f t="shared" ref="AZ1" si="4">IF(LEFT(AY1,1)="1","2H"&amp;TEXT(MID(AY1,3,2),"00")&amp;"E","1H"&amp;TEXT(MID(AY1,3,2)+1,"00")&amp;"E")</f>
        <v>1H26E</v>
      </c>
      <c r="BA1" s="3" t="str">
        <f t="shared" ref="BA1" si="5">IF(LEFT(AZ1,1)="1","2H"&amp;TEXT(MID(AZ1,3,2),"00")&amp;"E","1H"&amp;TEXT(MID(AZ1,3,2)+1,"00")&amp;"E")</f>
        <v>2H26E</v>
      </c>
      <c r="BB1" s="3" t="str">
        <f t="shared" ref="BB1" si="6">IF(LEFT(BA1,1)="1","2H"&amp;TEXT(MID(BA1,3,2),"00")&amp;"E","1H"&amp;TEXT(MID(BA1,3,2)+1,"00")&amp;"E")</f>
        <v>1H27E</v>
      </c>
      <c r="BC1" s="3" t="str">
        <f t="shared" ref="BC1" si="7">IF(LEFT(BB1,1)="1","2H"&amp;TEXT(MID(BB1,3,2),"00")&amp;"E","1H"&amp;TEXT(MID(BB1,3,2)+1,"00")&amp;"E")</f>
        <v>2H27E</v>
      </c>
      <c r="BD1" s="3" t="str">
        <f t="shared" ref="BD1" si="8">IF(LEFT(BC1,1)="1","2H"&amp;TEXT(MID(BC1,3,2),"00")&amp;"E","1H"&amp;TEXT(MID(BC1,3,2)+1,"00")&amp;"E")</f>
        <v>1H28E</v>
      </c>
      <c r="BE1" s="3" t="str">
        <f t="shared" ref="BE1" si="9">IF(LEFT(BD1,1)="1","2H"&amp;TEXT(MID(BD1,3,2),"00")&amp;"E","1H"&amp;TEXT(MID(BD1,3,2)+1,"00")&amp;"E")</f>
        <v>2H28E</v>
      </c>
      <c r="BF1" s="3" t="str">
        <f t="shared" ref="BF1" si="10">IF(LEFT(BE1,1)="1","2H"&amp;TEXT(MID(BE1,3,2),"00")&amp;"E","1H"&amp;TEXT(MID(BE1,3,2)+1,"00")&amp;"E")</f>
        <v>1H29E</v>
      </c>
      <c r="BG1" s="3" t="str">
        <f t="shared" ref="BG1:BK1" si="11">IF(LEFT(BF1,1)="1","2H"&amp;TEXT(MID(BF1,3,2),"00")&amp;"E","1H"&amp;TEXT(MID(BF1,3,2)+1,"00")&amp;"E")</f>
        <v>2H29E</v>
      </c>
      <c r="BH1" s="3" t="str">
        <f t="shared" si="11"/>
        <v>1H30E</v>
      </c>
      <c r="BI1" s="3" t="str">
        <f t="shared" si="11"/>
        <v>2H30E</v>
      </c>
      <c r="BJ1" s="3" t="str">
        <f t="shared" si="11"/>
        <v>1H31E</v>
      </c>
      <c r="BK1" s="3" t="str">
        <f t="shared" si="11"/>
        <v>2H31E</v>
      </c>
      <c r="BL1" s="3" t="str">
        <f t="shared" ref="BL1" si="12">IF(LEFT(BK1,1)="1","2H"&amp;TEXT(MID(BK1,3,2),"00")&amp;"E","1H"&amp;TEXT(MID(BK1,3,2)+1,"00")&amp;"E")</f>
        <v>1H32E</v>
      </c>
      <c r="BM1" s="3" t="str">
        <f t="shared" ref="BM1" si="13">IF(LEFT(BL1,1)="1","2H"&amp;TEXT(MID(BL1,3,2),"00")&amp;"E","1H"&amp;TEXT(MID(BL1,3,2)+1,"00")&amp;"E")</f>
        <v>2H32E</v>
      </c>
      <c r="BN1" s="3" t="str">
        <f t="shared" ref="BN1" si="14">IF(LEFT(BM1,1)="1","2H"&amp;TEXT(MID(BM1,3,2),"00")&amp;"E","1H"&amp;TEXT(MID(BM1,3,2)+1,"00")&amp;"E")</f>
        <v>1H33E</v>
      </c>
      <c r="BO1" s="3" t="str">
        <f t="shared" ref="BO1" si="15">IF(LEFT(BN1,1)="1","2H"&amp;TEXT(MID(BN1,3,2),"00")&amp;"E","1H"&amp;TEXT(MID(BN1,3,2)+1,"00")&amp;"E")</f>
        <v>2H33E</v>
      </c>
      <c r="BP1" s="3" t="str">
        <f t="shared" ref="BP1" si="16">IF(LEFT(BO1,1)="1","2H"&amp;TEXT(MID(BO1,3,2),"00")&amp;"E","1H"&amp;TEXT(MID(BO1,3,2)+1,"00")&amp;"E")</f>
        <v>1H34E</v>
      </c>
      <c r="BQ1" s="3" t="str">
        <f t="shared" ref="BQ1" si="17">IF(LEFT(BP1,1)="1","2H"&amp;TEXT(MID(BP1,3,2),"00")&amp;"E","1H"&amp;TEXT(MID(BP1,3,2)+1,"00")&amp;"E")</f>
        <v>2H34E</v>
      </c>
      <c r="BR1" s="3"/>
      <c r="BS1" s="3" t="s">
        <v>208</v>
      </c>
      <c r="BT1" s="3" t="str">
        <f t="shared" ref="BT1:BZ1" si="18">"FY"&amp;TEXT(MID(BS1,3,2)+1,"00")&amp;"A"</f>
        <v>FY93A</v>
      </c>
      <c r="BU1" s="3" t="str">
        <f t="shared" si="18"/>
        <v>FY94A</v>
      </c>
      <c r="BV1" s="3" t="str">
        <f t="shared" si="18"/>
        <v>FY95A</v>
      </c>
      <c r="BW1" s="3" t="str">
        <f t="shared" si="18"/>
        <v>FY96A</v>
      </c>
      <c r="BX1" s="3" t="str">
        <f t="shared" si="18"/>
        <v>FY97A</v>
      </c>
      <c r="BY1" s="3" t="str">
        <f t="shared" si="18"/>
        <v>FY98A</v>
      </c>
      <c r="BZ1" s="3" t="str">
        <f t="shared" si="18"/>
        <v>FY99A</v>
      </c>
      <c r="CA1" s="3" t="s">
        <v>209</v>
      </c>
      <c r="CB1" s="3" t="str">
        <f t="shared" ref="CB1" si="19">"FY"&amp;TEXT(MID(CA1,3,2)+1,"00")&amp;"A"</f>
        <v>FY01A</v>
      </c>
      <c r="CC1" s="3" t="str">
        <f>"FY"&amp;TEXT(MID(CB1,3,2)+1,"00")&amp;"A"</f>
        <v>FY02A</v>
      </c>
      <c r="CD1" s="3" t="str">
        <f t="shared" ref="CD1:CJ1" si="20">"FY"&amp;TEXT(MID(CC1,3,2)+1,"00")&amp;"A"</f>
        <v>FY03A</v>
      </c>
      <c r="CE1" s="3" t="str">
        <f t="shared" si="20"/>
        <v>FY04A</v>
      </c>
      <c r="CF1" s="3" t="str">
        <f t="shared" si="20"/>
        <v>FY05A</v>
      </c>
      <c r="CG1" s="3" t="str">
        <f t="shared" si="20"/>
        <v>FY06A</v>
      </c>
      <c r="CH1" s="3" t="str">
        <f t="shared" si="20"/>
        <v>FY07A</v>
      </c>
      <c r="CI1" s="3" t="str">
        <f t="shared" si="20"/>
        <v>FY08A</v>
      </c>
      <c r="CJ1" s="3" t="str">
        <f t="shared" si="20"/>
        <v>FY09A</v>
      </c>
      <c r="CK1" s="3" t="str">
        <f t="shared" ref="CK1:CQ1" si="21">"FY"&amp;TEXT(MID(CJ1,3,2)+1,"00")&amp;"A"</f>
        <v>FY10A</v>
      </c>
      <c r="CL1" s="3" t="str">
        <f t="shared" si="21"/>
        <v>FY11A</v>
      </c>
      <c r="CM1" s="3" t="str">
        <f t="shared" si="21"/>
        <v>FY12A</v>
      </c>
      <c r="CN1" s="3" t="str">
        <f t="shared" si="21"/>
        <v>FY13A</v>
      </c>
      <c r="CO1" s="3" t="str">
        <f t="shared" si="21"/>
        <v>FY14A</v>
      </c>
      <c r="CP1" s="3" t="str">
        <f t="shared" si="21"/>
        <v>FY15A</v>
      </c>
      <c r="CQ1" s="3" t="str">
        <f t="shared" si="21"/>
        <v>FY16A</v>
      </c>
      <c r="CR1" s="3" t="str">
        <f t="shared" ref="CR1:CY1" si="22">"FY"&amp;TEXT(MID(CQ1,3,2)+1,"00")&amp;"A"</f>
        <v>FY17A</v>
      </c>
      <c r="CS1" s="3" t="str">
        <f t="shared" si="22"/>
        <v>FY18A</v>
      </c>
      <c r="CT1" s="3" t="str">
        <f t="shared" si="22"/>
        <v>FY19A</v>
      </c>
      <c r="CU1" s="3" t="str">
        <f t="shared" si="22"/>
        <v>FY20A</v>
      </c>
      <c r="CV1" s="3" t="str">
        <f t="shared" si="22"/>
        <v>FY21A</v>
      </c>
      <c r="CW1" s="3" t="str">
        <f t="shared" si="22"/>
        <v>FY22A</v>
      </c>
      <c r="CX1" s="3" t="str">
        <f t="shared" si="22"/>
        <v>FY23A</v>
      </c>
      <c r="CY1" s="3" t="str">
        <f t="shared" si="22"/>
        <v>FY24A</v>
      </c>
      <c r="CZ1" s="195" t="str">
        <f>"FY"&amp;TEXT(MID(CY1,3,2)+1,"00")&amp;"A"</f>
        <v>FY25A</v>
      </c>
      <c r="DA1" s="3" t="str">
        <f t="shared" ref="DA1" si="23">"FY"&amp;TEXT(MID(CZ1,3,2)+1,"00")&amp;"E"</f>
        <v>FY26E</v>
      </c>
      <c r="DB1" s="3" t="str">
        <f t="shared" ref="DB1" si="24">"FY"&amp;TEXT(MID(DA1,3,2)+1,"00")&amp;"E"</f>
        <v>FY27E</v>
      </c>
      <c r="DC1" s="3" t="str">
        <f t="shared" ref="DC1:DI1" si="25">"FY"&amp;TEXT(MID(DB1,3,2)+1,"00")&amp;"E"</f>
        <v>FY28E</v>
      </c>
      <c r="DD1" s="3" t="str">
        <f t="shared" si="25"/>
        <v>FY29E</v>
      </c>
      <c r="DE1" s="3" t="str">
        <f t="shared" si="25"/>
        <v>FY30E</v>
      </c>
      <c r="DF1" s="3" t="str">
        <f t="shared" si="25"/>
        <v>FY31E</v>
      </c>
      <c r="DG1" s="3" t="str">
        <f t="shared" si="25"/>
        <v>FY32E</v>
      </c>
      <c r="DH1" s="3" t="str">
        <f t="shared" si="25"/>
        <v>FY33E</v>
      </c>
      <c r="DI1" s="3" t="str">
        <f t="shared" si="25"/>
        <v>FY34E</v>
      </c>
    </row>
    <row r="2" spans="1:113" s="7" customFormat="1" ht="12" hidden="1">
      <c r="A2" s="1"/>
      <c r="B2" s="5" t="s">
        <v>798</v>
      </c>
      <c r="C2" s="6" t="str">
        <f>RIGHT(C1,1)</f>
        <v>A</v>
      </c>
      <c r="D2" s="6" t="str">
        <f t="shared" ref="D2:L2" si="26">RIGHT(D1,1)</f>
        <v>A</v>
      </c>
      <c r="E2" s="6" t="str">
        <f t="shared" si="26"/>
        <v>A</v>
      </c>
      <c r="F2" s="6" t="str">
        <f t="shared" si="26"/>
        <v>A</v>
      </c>
      <c r="G2" s="6" t="str">
        <f t="shared" si="26"/>
        <v>A</v>
      </c>
      <c r="H2" s="6" t="str">
        <f t="shared" si="26"/>
        <v>A</v>
      </c>
      <c r="I2" s="6" t="str">
        <f t="shared" si="26"/>
        <v>A</v>
      </c>
      <c r="J2" s="6" t="str">
        <f t="shared" si="26"/>
        <v>A</v>
      </c>
      <c r="K2" s="6" t="str">
        <f t="shared" si="26"/>
        <v>A</v>
      </c>
      <c r="L2" s="6" t="str">
        <f t="shared" si="26"/>
        <v>A</v>
      </c>
      <c r="M2" s="6" t="str">
        <f t="shared" ref="M2:AH2" si="27">RIGHT(M1,1)</f>
        <v>A</v>
      </c>
      <c r="N2" s="6" t="str">
        <f t="shared" si="27"/>
        <v>A</v>
      </c>
      <c r="O2" s="6" t="str">
        <f t="shared" si="27"/>
        <v>A</v>
      </c>
      <c r="P2" s="6" t="str">
        <f t="shared" si="27"/>
        <v>A</v>
      </c>
      <c r="Q2" s="6" t="str">
        <f t="shared" si="27"/>
        <v>A</v>
      </c>
      <c r="R2" s="6" t="str">
        <f t="shared" si="27"/>
        <v>A</v>
      </c>
      <c r="S2" s="6" t="str">
        <f t="shared" si="27"/>
        <v>A</v>
      </c>
      <c r="T2" s="6" t="str">
        <f t="shared" si="27"/>
        <v>A</v>
      </c>
      <c r="U2" s="6" t="str">
        <f t="shared" si="27"/>
        <v>A</v>
      </c>
      <c r="V2" s="6" t="str">
        <f t="shared" si="27"/>
        <v>A</v>
      </c>
      <c r="W2" s="6" t="str">
        <f t="shared" si="27"/>
        <v>A</v>
      </c>
      <c r="X2" s="6" t="str">
        <f t="shared" si="27"/>
        <v>A</v>
      </c>
      <c r="Y2" s="6" t="str">
        <f t="shared" si="27"/>
        <v>A</v>
      </c>
      <c r="Z2" s="6" t="str">
        <f t="shared" si="27"/>
        <v>A</v>
      </c>
      <c r="AA2" s="6" t="str">
        <f t="shared" si="27"/>
        <v>A</v>
      </c>
      <c r="AB2" s="6" t="str">
        <f t="shared" si="27"/>
        <v>A</v>
      </c>
      <c r="AC2" s="6" t="str">
        <f t="shared" si="27"/>
        <v>A</v>
      </c>
      <c r="AD2" s="6" t="str">
        <f t="shared" si="27"/>
        <v>A</v>
      </c>
      <c r="AE2" s="6" t="str">
        <f t="shared" si="27"/>
        <v>A</v>
      </c>
      <c r="AF2" s="6" t="str">
        <f t="shared" si="27"/>
        <v>A</v>
      </c>
      <c r="AG2" s="6" t="str">
        <f t="shared" si="27"/>
        <v>A</v>
      </c>
      <c r="AH2" s="6" t="str">
        <f t="shared" si="27"/>
        <v>A</v>
      </c>
      <c r="AI2" s="6" t="str">
        <f t="shared" ref="AI2:AJ2" si="28">RIGHT(AI1,1)</f>
        <v>A</v>
      </c>
      <c r="AJ2" s="6" t="str">
        <f t="shared" si="28"/>
        <v>A</v>
      </c>
      <c r="AK2" s="6" t="str">
        <f t="shared" ref="AK2:AP2" si="29">RIGHT(AK1,1)</f>
        <v>A</v>
      </c>
      <c r="AL2" s="6" t="str">
        <f t="shared" si="29"/>
        <v>A</v>
      </c>
      <c r="AM2" s="6" t="str">
        <f t="shared" si="29"/>
        <v>A</v>
      </c>
      <c r="AN2" s="6" t="str">
        <f t="shared" si="29"/>
        <v>A</v>
      </c>
      <c r="AO2" s="6" t="str">
        <f t="shared" si="29"/>
        <v>A</v>
      </c>
      <c r="AP2" s="6" t="str">
        <f t="shared" si="29"/>
        <v>A</v>
      </c>
      <c r="AQ2" s="6" t="str">
        <f t="shared" ref="AQ2:AR2" si="30">RIGHT(AQ1,1)</f>
        <v>A</v>
      </c>
      <c r="AR2" s="6" t="str">
        <f t="shared" si="30"/>
        <v>A</v>
      </c>
      <c r="AS2" s="6" t="str">
        <f t="shared" ref="AS2:AT2" si="31">RIGHT(AS1,1)</f>
        <v>A</v>
      </c>
      <c r="AT2" s="6" t="str">
        <f t="shared" si="31"/>
        <v>A</v>
      </c>
      <c r="AU2" s="6" t="str">
        <f t="shared" ref="AU2" si="32">RIGHT(AU1,1)</f>
        <v>A</v>
      </c>
      <c r="AV2" s="6" t="str">
        <f t="shared" ref="AV2:AW2" si="33">RIGHT(AV1,1)</f>
        <v>A</v>
      </c>
      <c r="AW2" s="6" t="str">
        <f t="shared" si="33"/>
        <v>A</v>
      </c>
      <c r="AX2" s="6" t="str">
        <f t="shared" ref="AX2" si="34">RIGHT(AX1,1)</f>
        <v>A</v>
      </c>
      <c r="AY2" s="196" t="str">
        <f t="shared" ref="AY2" si="35">RIGHT(AY1,1)</f>
        <v>A</v>
      </c>
      <c r="AZ2" s="6" t="str">
        <f t="shared" ref="AZ2:BA2" si="36">RIGHT(AZ1,1)</f>
        <v>E</v>
      </c>
      <c r="BA2" s="6" t="str">
        <f t="shared" si="36"/>
        <v>E</v>
      </c>
      <c r="BB2" s="6" t="str">
        <f t="shared" ref="BB2:BC2" si="37">RIGHT(BB1,1)</f>
        <v>E</v>
      </c>
      <c r="BC2" s="6" t="str">
        <f t="shared" si="37"/>
        <v>E</v>
      </c>
      <c r="BD2" s="6" t="str">
        <f t="shared" ref="BD2:BE2" si="38">RIGHT(BD1,1)</f>
        <v>E</v>
      </c>
      <c r="BE2" s="6" t="str">
        <f t="shared" si="38"/>
        <v>E</v>
      </c>
      <c r="BF2" s="6" t="str">
        <f t="shared" ref="BF2:BG2" si="39">RIGHT(BF1,1)</f>
        <v>E</v>
      </c>
      <c r="BG2" s="6" t="str">
        <f t="shared" si="39"/>
        <v>E</v>
      </c>
      <c r="BH2" s="6" t="str">
        <f t="shared" ref="BH2:BI2" si="40">RIGHT(BH1,1)</f>
        <v>E</v>
      </c>
      <c r="BI2" s="6" t="str">
        <f t="shared" si="40"/>
        <v>E</v>
      </c>
      <c r="BJ2" s="6" t="str">
        <f t="shared" ref="BJ2:BK2" si="41">RIGHT(BJ1,1)</f>
        <v>E</v>
      </c>
      <c r="BK2" s="6" t="str">
        <f t="shared" si="41"/>
        <v>E</v>
      </c>
      <c r="BL2" s="6" t="str">
        <f t="shared" ref="BL2:BM2" si="42">RIGHT(BL1,1)</f>
        <v>E</v>
      </c>
      <c r="BM2" s="6" t="str">
        <f t="shared" si="42"/>
        <v>E</v>
      </c>
      <c r="BN2" s="6" t="str">
        <f t="shared" ref="BN2:BO2" si="43">RIGHT(BN1,1)</f>
        <v>E</v>
      </c>
      <c r="BO2" s="6" t="str">
        <f t="shared" si="43"/>
        <v>E</v>
      </c>
      <c r="BP2" s="6" t="str">
        <f t="shared" ref="BP2:BQ2" si="44">RIGHT(BP1,1)</f>
        <v>E</v>
      </c>
      <c r="BQ2" s="6" t="str">
        <f t="shared" si="44"/>
        <v>E</v>
      </c>
      <c r="BR2" s="6"/>
      <c r="BS2" s="6" t="str">
        <f t="shared" ref="BS2:CB2" si="45">RIGHT(BS1,1)</f>
        <v>A</v>
      </c>
      <c r="BT2" s="6" t="str">
        <f t="shared" si="45"/>
        <v>A</v>
      </c>
      <c r="BU2" s="6" t="str">
        <f t="shared" si="45"/>
        <v>A</v>
      </c>
      <c r="BV2" s="6" t="str">
        <f t="shared" si="45"/>
        <v>A</v>
      </c>
      <c r="BW2" s="6" t="str">
        <f t="shared" si="45"/>
        <v>A</v>
      </c>
      <c r="BX2" s="6" t="str">
        <f t="shared" si="45"/>
        <v>A</v>
      </c>
      <c r="BY2" s="6" t="str">
        <f t="shared" si="45"/>
        <v>A</v>
      </c>
      <c r="BZ2" s="6" t="str">
        <f t="shared" si="45"/>
        <v>A</v>
      </c>
      <c r="CA2" s="6" t="str">
        <f t="shared" si="45"/>
        <v>A</v>
      </c>
      <c r="CB2" s="6" t="str">
        <f t="shared" si="45"/>
        <v>A</v>
      </c>
      <c r="CC2" s="6" t="str">
        <f t="shared" ref="CC2:CR2" si="46">RIGHT(CC1,1)</f>
        <v>A</v>
      </c>
      <c r="CD2" s="6" t="str">
        <f t="shared" si="46"/>
        <v>A</v>
      </c>
      <c r="CE2" s="6" t="str">
        <f t="shared" si="46"/>
        <v>A</v>
      </c>
      <c r="CF2" s="6" t="str">
        <f t="shared" si="46"/>
        <v>A</v>
      </c>
      <c r="CG2" s="6" t="str">
        <f t="shared" si="46"/>
        <v>A</v>
      </c>
      <c r="CH2" s="6" t="str">
        <f t="shared" si="46"/>
        <v>A</v>
      </c>
      <c r="CI2" s="6" t="str">
        <f t="shared" si="46"/>
        <v>A</v>
      </c>
      <c r="CJ2" s="6" t="str">
        <f t="shared" si="46"/>
        <v>A</v>
      </c>
      <c r="CK2" s="6" t="str">
        <f t="shared" si="46"/>
        <v>A</v>
      </c>
      <c r="CL2" s="6" t="str">
        <f t="shared" si="46"/>
        <v>A</v>
      </c>
      <c r="CM2" s="6" t="str">
        <f t="shared" si="46"/>
        <v>A</v>
      </c>
      <c r="CN2" s="6" t="str">
        <f t="shared" si="46"/>
        <v>A</v>
      </c>
      <c r="CO2" s="6" t="str">
        <f t="shared" si="46"/>
        <v>A</v>
      </c>
      <c r="CP2" s="6" t="str">
        <f t="shared" si="46"/>
        <v>A</v>
      </c>
      <c r="CQ2" s="6" t="str">
        <f t="shared" si="46"/>
        <v>A</v>
      </c>
      <c r="CR2" s="6" t="str">
        <f t="shared" si="46"/>
        <v>A</v>
      </c>
      <c r="CS2" s="6" t="str">
        <f t="shared" ref="CS2:CU2" si="47">RIGHT(CS1,1)</f>
        <v>A</v>
      </c>
      <c r="CT2" s="6" t="str">
        <f t="shared" ref="CT2" si="48">RIGHT(CT1,1)</f>
        <v>A</v>
      </c>
      <c r="CU2" s="6" t="str">
        <f t="shared" si="47"/>
        <v>A</v>
      </c>
      <c r="CV2" s="6" t="str">
        <f t="shared" ref="CV2:CW2" si="49">RIGHT(CV1,1)</f>
        <v>A</v>
      </c>
      <c r="CW2" s="6" t="str">
        <f t="shared" si="49"/>
        <v>A</v>
      </c>
      <c r="CX2" s="6" t="str">
        <f t="shared" ref="CX2:CY2" si="50">RIGHT(CX1,1)</f>
        <v>A</v>
      </c>
      <c r="CY2" s="6" t="str">
        <f t="shared" si="50"/>
        <v>A</v>
      </c>
      <c r="CZ2" s="196" t="str">
        <f>RIGHT(CZ1,1)</f>
        <v>A</v>
      </c>
      <c r="DA2" s="6" t="str">
        <f t="shared" ref="DA2:DC2" si="51">RIGHT(DA1,1)</f>
        <v>E</v>
      </c>
      <c r="DB2" s="6" t="str">
        <f t="shared" si="51"/>
        <v>E</v>
      </c>
      <c r="DC2" s="6" t="str">
        <f t="shared" si="51"/>
        <v>E</v>
      </c>
      <c r="DD2" s="6" t="str">
        <f t="shared" ref="DD2" si="52">RIGHT(DD1,1)</f>
        <v>E</v>
      </c>
      <c r="DE2" s="6" t="str">
        <f>RIGHT(DE1,1)</f>
        <v>E</v>
      </c>
      <c r="DF2" s="6" t="str">
        <f>RIGHT(DF1,1)</f>
        <v>E</v>
      </c>
      <c r="DG2" s="6" t="str">
        <f>RIGHT(DG1,1)</f>
        <v>E</v>
      </c>
      <c r="DH2" s="6" t="str">
        <f>RIGHT(DH1,1)</f>
        <v>E</v>
      </c>
      <c r="DI2" s="6" t="str">
        <f>RIGHT(DI1,1)</f>
        <v>E</v>
      </c>
    </row>
    <row r="3" spans="1:113" s="4" customFormat="1" ht="12">
      <c r="A3" s="1"/>
      <c r="B3" s="5" t="s">
        <v>647</v>
      </c>
      <c r="C3" s="6">
        <f>IF(LEFT(C1,1)="1",DATE(MID(C1,3,2)+2000,3,31),DATE(MID(C1,3,2)+2000,9,30))</f>
        <v>37164</v>
      </c>
      <c r="D3" s="6">
        <f t="shared" ref="D3:L3" si="53">IF(LEFT(D1,1)="1",DATE(MID(D1,3,2)+2000,3,31),DATE(MID(D1,3,2)+2000,9,30))</f>
        <v>37346</v>
      </c>
      <c r="E3" s="6">
        <f t="shared" si="53"/>
        <v>37529</v>
      </c>
      <c r="F3" s="6">
        <f t="shared" si="53"/>
        <v>37711</v>
      </c>
      <c r="G3" s="6">
        <f t="shared" si="53"/>
        <v>37894</v>
      </c>
      <c r="H3" s="6">
        <f t="shared" si="53"/>
        <v>38077</v>
      </c>
      <c r="I3" s="6">
        <f t="shared" si="53"/>
        <v>38260</v>
      </c>
      <c r="J3" s="6">
        <f t="shared" si="53"/>
        <v>38442</v>
      </c>
      <c r="K3" s="6">
        <f t="shared" si="53"/>
        <v>38625</v>
      </c>
      <c r="L3" s="6">
        <f t="shared" si="53"/>
        <v>38807</v>
      </c>
      <c r="M3" s="6">
        <f t="shared" ref="M3:CO3" si="54">IF(LEFT(M1,1)="1",DATE(MID(M1,3,2)+2000,3,31),DATE(MID(M1,3,2)+2000,9,30))</f>
        <v>38990</v>
      </c>
      <c r="N3" s="6">
        <f t="shared" si="54"/>
        <v>39172</v>
      </c>
      <c r="O3" s="6">
        <f t="shared" si="54"/>
        <v>39355</v>
      </c>
      <c r="P3" s="6">
        <f t="shared" si="54"/>
        <v>39538</v>
      </c>
      <c r="Q3" s="6">
        <f t="shared" si="54"/>
        <v>39721</v>
      </c>
      <c r="R3" s="6">
        <f t="shared" si="54"/>
        <v>39903</v>
      </c>
      <c r="S3" s="6">
        <f t="shared" si="54"/>
        <v>40086</v>
      </c>
      <c r="T3" s="6">
        <f t="shared" si="54"/>
        <v>40268</v>
      </c>
      <c r="U3" s="6">
        <f>IF(LEFT(U1,1)="1",DATE(MID(U1,3,2)+2000,3,31),DATE(MID(U1,3,2)+2000,9,30))</f>
        <v>40451</v>
      </c>
      <c r="V3" s="6">
        <f t="shared" si="54"/>
        <v>40633</v>
      </c>
      <c r="W3" s="6">
        <f t="shared" si="54"/>
        <v>40816</v>
      </c>
      <c r="X3" s="6">
        <f t="shared" si="54"/>
        <v>40999</v>
      </c>
      <c r="Y3" s="6">
        <f t="shared" si="54"/>
        <v>41182</v>
      </c>
      <c r="Z3" s="6">
        <f t="shared" si="54"/>
        <v>41364</v>
      </c>
      <c r="AA3" s="6">
        <f t="shared" si="54"/>
        <v>41547</v>
      </c>
      <c r="AB3" s="6">
        <f t="shared" si="54"/>
        <v>41729</v>
      </c>
      <c r="AC3" s="6">
        <f t="shared" si="54"/>
        <v>41912</v>
      </c>
      <c r="AD3" s="6">
        <f t="shared" si="54"/>
        <v>42094</v>
      </c>
      <c r="AE3" s="6">
        <f t="shared" si="54"/>
        <v>42277</v>
      </c>
      <c r="AF3" s="6">
        <f t="shared" si="54"/>
        <v>42460</v>
      </c>
      <c r="AG3" s="6">
        <f t="shared" si="54"/>
        <v>42643</v>
      </c>
      <c r="AH3" s="6">
        <f t="shared" si="54"/>
        <v>42825</v>
      </c>
      <c r="AI3" s="6">
        <f t="shared" ref="AI3:AJ3" si="55">IF(LEFT(AI1,1)="1",DATE(MID(AI1,3,2)+2000,3,31),DATE(MID(AI1,3,2)+2000,9,30))</f>
        <v>43008</v>
      </c>
      <c r="AJ3" s="6">
        <f t="shared" si="55"/>
        <v>43190</v>
      </c>
      <c r="AK3" s="6">
        <f t="shared" ref="AK3:AP3" si="56">IF(LEFT(AK1,1)="1",DATE(MID(AK1,3,2)+2000,3,31),DATE(MID(AK1,3,2)+2000,9,30))</f>
        <v>43373</v>
      </c>
      <c r="AL3" s="6">
        <f t="shared" si="56"/>
        <v>43555</v>
      </c>
      <c r="AM3" s="6">
        <f t="shared" si="56"/>
        <v>43738</v>
      </c>
      <c r="AN3" s="6">
        <f t="shared" si="56"/>
        <v>43921</v>
      </c>
      <c r="AO3" s="6">
        <f t="shared" si="56"/>
        <v>44104</v>
      </c>
      <c r="AP3" s="6">
        <f t="shared" si="56"/>
        <v>44286</v>
      </c>
      <c r="AQ3" s="6">
        <f t="shared" ref="AQ3:AR3" si="57">IF(LEFT(AQ1,1)="1",DATE(MID(AQ1,3,2)+2000,3,31),DATE(MID(AQ1,3,2)+2000,9,30))</f>
        <v>44469</v>
      </c>
      <c r="AR3" s="6">
        <f t="shared" si="57"/>
        <v>44651</v>
      </c>
      <c r="AS3" s="6">
        <f t="shared" ref="AS3:AT3" si="58">IF(LEFT(AS1,1)="1",DATE(MID(AS1,3,2)+2000,3,31),DATE(MID(AS1,3,2)+2000,9,30))</f>
        <v>44834</v>
      </c>
      <c r="AT3" s="6">
        <f t="shared" si="58"/>
        <v>45016</v>
      </c>
      <c r="AU3" s="6">
        <f t="shared" ref="AU3" si="59">IF(LEFT(AU1,1)="1",DATE(MID(AU1,3,2)+2000,3,31),DATE(MID(AU1,3,2)+2000,9,30))</f>
        <v>45199</v>
      </c>
      <c r="AV3" s="6">
        <f t="shared" ref="AV3:AW3" si="60">IF(LEFT(AV1,1)="1",DATE(MID(AV1,3,2)+2000,3,31),DATE(MID(AV1,3,2)+2000,9,30))</f>
        <v>45382</v>
      </c>
      <c r="AW3" s="6">
        <f t="shared" si="60"/>
        <v>45565</v>
      </c>
      <c r="AX3" s="6">
        <f t="shared" ref="AX3" si="61">IF(LEFT(AX1,1)="1",DATE(MID(AX1,3,2)+2000,3,31),DATE(MID(AX1,3,2)+2000,9,30))</f>
        <v>45747</v>
      </c>
      <c r="AY3" s="196">
        <f t="shared" ref="AY3" si="62">IF(LEFT(AY1,1)="1",DATE(MID(AY1,3,2)+2000,3,31),DATE(MID(AY1,3,2)+2000,9,30))</f>
        <v>45930</v>
      </c>
      <c r="AZ3" s="6">
        <f t="shared" ref="AZ3:BA3" si="63">IF(LEFT(AZ1,1)="1",DATE(MID(AZ1,3,2)+2000,3,31),DATE(MID(AZ1,3,2)+2000,9,30))</f>
        <v>46112</v>
      </c>
      <c r="BA3" s="6">
        <f t="shared" si="63"/>
        <v>46295</v>
      </c>
      <c r="BB3" s="6">
        <f t="shared" ref="BB3:BC3" si="64">IF(LEFT(BB1,1)="1",DATE(MID(BB1,3,2)+2000,3,31),DATE(MID(BB1,3,2)+2000,9,30))</f>
        <v>46477</v>
      </c>
      <c r="BC3" s="6">
        <f t="shared" si="64"/>
        <v>46660</v>
      </c>
      <c r="BD3" s="6">
        <f t="shared" ref="BD3:BE3" si="65">IF(LEFT(BD1,1)="1",DATE(MID(BD1,3,2)+2000,3,31),DATE(MID(BD1,3,2)+2000,9,30))</f>
        <v>46843</v>
      </c>
      <c r="BE3" s="6">
        <f t="shared" si="65"/>
        <v>47026</v>
      </c>
      <c r="BF3" s="6">
        <f t="shared" ref="BF3:BG3" si="66">IF(LEFT(BF1,1)="1",DATE(MID(BF1,3,2)+2000,3,31),DATE(MID(BF1,3,2)+2000,9,30))</f>
        <v>47208</v>
      </c>
      <c r="BG3" s="6">
        <f t="shared" si="66"/>
        <v>47391</v>
      </c>
      <c r="BH3" s="6">
        <f t="shared" ref="BH3:BI3" si="67">IF(LEFT(BH1,1)="1",DATE(MID(BH1,3,2)+2000,3,31),DATE(MID(BH1,3,2)+2000,9,30))</f>
        <v>47573</v>
      </c>
      <c r="BI3" s="6">
        <f t="shared" si="67"/>
        <v>47756</v>
      </c>
      <c r="BJ3" s="6">
        <f t="shared" ref="BJ3:BK3" si="68">IF(LEFT(BJ1,1)="1",DATE(MID(BJ1,3,2)+2000,3,31),DATE(MID(BJ1,3,2)+2000,9,30))</f>
        <v>47938</v>
      </c>
      <c r="BK3" s="6">
        <f t="shared" si="68"/>
        <v>48121</v>
      </c>
      <c r="BL3" s="6">
        <f t="shared" ref="BL3:BM3" si="69">IF(LEFT(BL1,1)="1",DATE(MID(BL1,3,2)+2000,3,31),DATE(MID(BL1,3,2)+2000,9,30))</f>
        <v>48304</v>
      </c>
      <c r="BM3" s="6">
        <f t="shared" si="69"/>
        <v>48487</v>
      </c>
      <c r="BN3" s="6">
        <f t="shared" ref="BN3:BO3" si="70">IF(LEFT(BN1,1)="1",DATE(MID(BN1,3,2)+2000,3,31),DATE(MID(BN1,3,2)+2000,9,30))</f>
        <v>48669</v>
      </c>
      <c r="BO3" s="6">
        <f t="shared" si="70"/>
        <v>48852</v>
      </c>
      <c r="BP3" s="6">
        <f t="shared" ref="BP3:BQ3" si="71">IF(LEFT(BP1,1)="1",DATE(MID(BP1,3,2)+2000,3,31),DATE(MID(BP1,3,2)+2000,9,30))</f>
        <v>49034</v>
      </c>
      <c r="BQ3" s="6">
        <f t="shared" si="71"/>
        <v>49217</v>
      </c>
      <c r="BR3" s="8"/>
      <c r="BS3" s="6">
        <f t="shared" ref="BS3:BZ3" si="72">IF(LEFT(BS1,1)="1",DATE(MID(BS1,3,2)+1900,3,31),DATE(MID(BS1,3,2)+1900,9,30))</f>
        <v>33877</v>
      </c>
      <c r="BT3" s="6">
        <f t="shared" si="72"/>
        <v>34242</v>
      </c>
      <c r="BU3" s="6">
        <f t="shared" si="72"/>
        <v>34607</v>
      </c>
      <c r="BV3" s="6">
        <f t="shared" si="72"/>
        <v>34972</v>
      </c>
      <c r="BW3" s="6">
        <f t="shared" si="72"/>
        <v>35338</v>
      </c>
      <c r="BX3" s="6">
        <f t="shared" si="72"/>
        <v>35703</v>
      </c>
      <c r="BY3" s="6">
        <f t="shared" si="72"/>
        <v>36068</v>
      </c>
      <c r="BZ3" s="6">
        <f t="shared" si="72"/>
        <v>36433</v>
      </c>
      <c r="CA3" s="6">
        <f t="shared" ref="CA3:CB3" si="73">IF(LEFT(CA1,1)="1",DATE(MID(CA1,3,2)+2000,3,31),DATE(MID(CA1,3,2)+2000,9,30))</f>
        <v>36799</v>
      </c>
      <c r="CB3" s="6">
        <f t="shared" si="73"/>
        <v>37164</v>
      </c>
      <c r="CC3" s="6">
        <f>IF(LEFT(CC1,1)="1",DATE(MID(CC1,3,2)+2000,3,31),DATE(MID(CC1,3,2)+2000,9,30))</f>
        <v>37529</v>
      </c>
      <c r="CD3" s="6">
        <f t="shared" si="54"/>
        <v>37894</v>
      </c>
      <c r="CE3" s="6">
        <f t="shared" si="54"/>
        <v>38260</v>
      </c>
      <c r="CF3" s="6">
        <f t="shared" si="54"/>
        <v>38625</v>
      </c>
      <c r="CG3" s="6">
        <f t="shared" si="54"/>
        <v>38990</v>
      </c>
      <c r="CH3" s="6">
        <f t="shared" si="54"/>
        <v>39355</v>
      </c>
      <c r="CI3" s="6">
        <f t="shared" si="54"/>
        <v>39721</v>
      </c>
      <c r="CJ3" s="6">
        <f t="shared" si="54"/>
        <v>40086</v>
      </c>
      <c r="CK3" s="6">
        <f>IF(LEFT(CK1,1)="1",DATE(MID(CK1,3,2)+2000,3,31),DATE(MID(CK1,3,2)+2000,9,30))</f>
        <v>40451</v>
      </c>
      <c r="CL3" s="6">
        <f t="shared" si="54"/>
        <v>40816</v>
      </c>
      <c r="CM3" s="6">
        <f t="shared" si="54"/>
        <v>41182</v>
      </c>
      <c r="CN3" s="6">
        <f t="shared" si="54"/>
        <v>41547</v>
      </c>
      <c r="CO3" s="6">
        <f t="shared" si="54"/>
        <v>41912</v>
      </c>
      <c r="CP3" s="6">
        <f>IF(LEFT(CP1,1)="1",DATE(MID(CP1,3,2)+2000,3,31),DATE(MID(CP1,3,2)+2000,9,30))</f>
        <v>42277</v>
      </c>
      <c r="CQ3" s="6">
        <f>IF(LEFT(CQ1,1)="1",DATE(MID(CQ1,3,2)+2000,3,31),DATE(MID(CQ1,3,2)+2000,9,30))</f>
        <v>42643</v>
      </c>
      <c r="CR3" s="6">
        <f>IF(LEFT(CR1,1)="1",DATE(MID(CR1,3,2)+2000,3,31),DATE(MID(CR1,3,2)+2000,9,30))</f>
        <v>43008</v>
      </c>
      <c r="CS3" s="6">
        <f t="shared" ref="CS3:CU3" si="74">IF(LEFT(CS1,1)="1",DATE(MID(CS1,3,2)+2000,3,31),DATE(MID(CS1,3,2)+2000,9,30))</f>
        <v>43373</v>
      </c>
      <c r="CT3" s="6">
        <f t="shared" ref="CT3" si="75">IF(LEFT(CT1,1)="1",DATE(MID(CT1,3,2)+2000,3,31),DATE(MID(CT1,3,2)+2000,9,30))</f>
        <v>43738</v>
      </c>
      <c r="CU3" s="6">
        <f t="shared" si="74"/>
        <v>44104</v>
      </c>
      <c r="CV3" s="6">
        <f t="shared" ref="CV3:CW3" si="76">IF(LEFT(CV1,1)="1",DATE(MID(CV1,3,2)+2000,3,31),DATE(MID(CV1,3,2)+2000,9,30))</f>
        <v>44469</v>
      </c>
      <c r="CW3" s="6">
        <f t="shared" si="76"/>
        <v>44834</v>
      </c>
      <c r="CX3" s="6">
        <f t="shared" ref="CX3:CY3" si="77">IF(LEFT(CX1,1)="1",DATE(MID(CX1,3,2)+2000,3,31),DATE(MID(CX1,3,2)+2000,9,30))</f>
        <v>45199</v>
      </c>
      <c r="CY3" s="6">
        <f t="shared" si="77"/>
        <v>45565</v>
      </c>
      <c r="CZ3" s="196">
        <f>IF(LEFT(CZ1,1)="1",DATE(MID(CZ1,3,2)+2000,3,31),DATE(MID(CZ1,3,2)+2000,9,30))</f>
        <v>45930</v>
      </c>
      <c r="DA3" s="6">
        <f t="shared" ref="DA3:DC3" si="78">IF(LEFT(DA1,1)="1",DATE(MID(DA1,3,2)+2000,3,31),DATE(MID(DA1,3,2)+2000,9,30))</f>
        <v>46295</v>
      </c>
      <c r="DB3" s="6">
        <f t="shared" si="78"/>
        <v>46660</v>
      </c>
      <c r="DC3" s="6">
        <f t="shared" si="78"/>
        <v>47026</v>
      </c>
      <c r="DD3" s="6">
        <f t="shared" ref="DD3" si="79">IF(LEFT(DD1,1)="1",DATE(MID(DD1,3,2)+2000,3,31),DATE(MID(DD1,3,2)+2000,9,30))</f>
        <v>47391</v>
      </c>
      <c r="DE3" s="6">
        <f>IF(LEFT(DE1,1)="1",DATE(MID(DE1,3,2)+2000,3,31),DATE(MID(DE1,3,2)+2000,9,30))</f>
        <v>47756</v>
      </c>
      <c r="DF3" s="6">
        <f>IF(LEFT(DF1,1)="1",DATE(MID(DF1,3,2)+2000,3,31),DATE(MID(DF1,3,2)+2000,9,30))</f>
        <v>48121</v>
      </c>
      <c r="DG3" s="6">
        <f>IF(LEFT(DG1,1)="1",DATE(MID(DG1,3,2)+2000,3,31),DATE(MID(DG1,3,2)+2000,9,30))</f>
        <v>48487</v>
      </c>
      <c r="DH3" s="6">
        <f>IF(LEFT(DH1,1)="1",DATE(MID(DH1,3,2)+2000,3,31),DATE(MID(DH1,3,2)+2000,9,30))</f>
        <v>48852</v>
      </c>
      <c r="DI3" s="6">
        <f>IF(LEFT(DI1,1)="1",DATE(MID(DI1,3,2)+2000,3,31),DATE(MID(DI1,3,2)+2000,9,30))</f>
        <v>49217</v>
      </c>
    </row>
    <row r="4" spans="1:113" s="4" customFormat="1" ht="12">
      <c r="A4" s="1"/>
      <c r="B4" s="5" t="s">
        <v>540</v>
      </c>
      <c r="C4" s="9"/>
      <c r="D4" s="9" t="str">
        <f t="shared" ref="D4:L4" si="80">IF(AND(D325="Ok",D391="Ok",D639="Ok",D725="Ok"),"Ok","Error")</f>
        <v>Ok</v>
      </c>
      <c r="E4" s="9" t="str">
        <f t="shared" si="80"/>
        <v>Ok</v>
      </c>
      <c r="F4" s="9" t="str">
        <f t="shared" si="80"/>
        <v>Ok</v>
      </c>
      <c r="G4" s="9" t="str">
        <f t="shared" si="80"/>
        <v>Ok</v>
      </c>
      <c r="H4" s="9" t="str">
        <f t="shared" si="80"/>
        <v>Ok</v>
      </c>
      <c r="I4" s="9" t="str">
        <f t="shared" si="80"/>
        <v>Ok</v>
      </c>
      <c r="J4" s="9" t="str">
        <f t="shared" si="80"/>
        <v>Ok</v>
      </c>
      <c r="K4" s="9" t="str">
        <f t="shared" si="80"/>
        <v>Ok</v>
      </c>
      <c r="L4" s="9" t="str">
        <f t="shared" si="80"/>
        <v>Ok</v>
      </c>
      <c r="M4" s="9" t="str">
        <f t="shared" ref="M4:AH4" si="81">IF(AND(M325="Ok",M391="Ok",M639="Ok",M725="Ok"),"Ok","Error")</f>
        <v>Ok</v>
      </c>
      <c r="N4" s="9" t="str">
        <f t="shared" si="81"/>
        <v>Ok</v>
      </c>
      <c r="O4" s="9" t="str">
        <f t="shared" si="81"/>
        <v>Ok</v>
      </c>
      <c r="P4" s="9" t="str">
        <f t="shared" si="81"/>
        <v>Ok</v>
      </c>
      <c r="Q4" s="9" t="str">
        <f t="shared" si="81"/>
        <v>Ok</v>
      </c>
      <c r="R4" s="9" t="str">
        <f t="shared" si="81"/>
        <v>Ok</v>
      </c>
      <c r="S4" s="9" t="str">
        <f t="shared" si="81"/>
        <v>Ok</v>
      </c>
      <c r="T4" s="9" t="str">
        <f t="shared" si="81"/>
        <v>Ok</v>
      </c>
      <c r="U4" s="9" t="str">
        <f t="shared" si="81"/>
        <v>Ok</v>
      </c>
      <c r="V4" s="9" t="str">
        <f t="shared" si="81"/>
        <v>Ok</v>
      </c>
      <c r="W4" s="9" t="str">
        <f t="shared" si="81"/>
        <v>Ok</v>
      </c>
      <c r="X4" s="9" t="str">
        <f t="shared" si="81"/>
        <v>Ok</v>
      </c>
      <c r="Y4" s="9" t="str">
        <f t="shared" si="81"/>
        <v>Ok</v>
      </c>
      <c r="Z4" s="9" t="str">
        <f t="shared" si="81"/>
        <v>Ok</v>
      </c>
      <c r="AA4" s="9" t="str">
        <f t="shared" si="81"/>
        <v>Ok</v>
      </c>
      <c r="AB4" s="9" t="str">
        <f t="shared" si="81"/>
        <v>Ok</v>
      </c>
      <c r="AC4" s="9" t="str">
        <f t="shared" si="81"/>
        <v>Ok</v>
      </c>
      <c r="AD4" s="9" t="str">
        <f t="shared" si="81"/>
        <v>Ok</v>
      </c>
      <c r="AE4" s="9" t="str">
        <f t="shared" si="81"/>
        <v>Ok</v>
      </c>
      <c r="AF4" s="9" t="str">
        <f t="shared" si="81"/>
        <v>Ok</v>
      </c>
      <c r="AG4" s="9" t="str">
        <f t="shared" si="81"/>
        <v>Ok</v>
      </c>
      <c r="AH4" s="9" t="str">
        <f t="shared" si="81"/>
        <v>Ok</v>
      </c>
      <c r="AI4" s="9" t="str">
        <f t="shared" ref="AI4:AJ4" si="82">IF(AND(AI325="Ok",AI391="Ok",AI639="Ok",AI725="Ok"),"Ok","Error")</f>
        <v>Ok</v>
      </c>
      <c r="AJ4" s="9" t="str">
        <f t="shared" si="82"/>
        <v>Ok</v>
      </c>
      <c r="AK4" s="9" t="str">
        <f t="shared" ref="AK4:AP4" si="83">IF(AND(AK325="Ok",AK391="Ok",AK639="Ok",AK725="Ok"),"Ok","Error")</f>
        <v>Ok</v>
      </c>
      <c r="AL4" s="9" t="str">
        <f t="shared" si="83"/>
        <v>Ok</v>
      </c>
      <c r="AM4" s="9" t="str">
        <f t="shared" si="83"/>
        <v>Ok</v>
      </c>
      <c r="AN4" s="9" t="str">
        <f t="shared" si="83"/>
        <v>Ok</v>
      </c>
      <c r="AO4" s="9" t="str">
        <f t="shared" si="83"/>
        <v>Ok</v>
      </c>
      <c r="AP4" s="9" t="str">
        <f t="shared" si="83"/>
        <v>Ok</v>
      </c>
      <c r="AQ4" s="9" t="str">
        <f t="shared" ref="AQ4:AR4" si="84">IF(AND(AQ325="Ok",AQ391="Ok",AQ639="Ok",AQ725="Ok"),"Ok","Error")</f>
        <v>Ok</v>
      </c>
      <c r="AR4" s="9" t="str">
        <f t="shared" si="84"/>
        <v>Ok</v>
      </c>
      <c r="AS4" s="9" t="str">
        <f t="shared" ref="AS4:AT4" si="85">IF(AND(AS325="Ok",AS391="Ok",AS639="Ok",AS725="Ok"),"Ok","Error")</f>
        <v>Ok</v>
      </c>
      <c r="AT4" s="9" t="str">
        <f t="shared" si="85"/>
        <v>Ok</v>
      </c>
      <c r="AU4" s="9" t="str">
        <f t="shared" ref="AU4" si="86">IF(AND(AU325="Ok",AU391="Ok",AU639="Ok",AU725="Ok"),"Ok","Error")</f>
        <v>Ok</v>
      </c>
      <c r="AV4" s="9" t="str">
        <f t="shared" ref="AV4:AW4" si="87">IF(AND(AV325="Ok",AV391="Ok",AV639="Ok",AV725="Ok"),"Ok","Error")</f>
        <v>Ok</v>
      </c>
      <c r="AW4" s="9" t="str">
        <f t="shared" si="87"/>
        <v>Ok</v>
      </c>
      <c r="AX4" s="9" t="str">
        <f t="shared" ref="AX4" si="88">IF(AND(AX325="Ok",AX391="Ok",AX639="Ok",AX725="Ok"),"Ok","Error")</f>
        <v>Ok</v>
      </c>
      <c r="AY4" s="197" t="str">
        <f t="shared" ref="AY4" si="89">IF(AND(AY325="Ok",AY391="Ok",AY639="Ok",AY725="Ok"),"Ok","Error")</f>
        <v>Ok</v>
      </c>
      <c r="AZ4" s="9" t="str">
        <f t="shared" ref="AZ4:BA4" si="90">IF(AND(AZ325="Ok",AZ391="Ok",AZ639="Ok",AZ725="Ok"),"Ok","Error")</f>
        <v>Ok</v>
      </c>
      <c r="BA4" s="9" t="str">
        <f t="shared" si="90"/>
        <v>Ok</v>
      </c>
      <c r="BB4" s="9" t="str">
        <f t="shared" ref="BB4:BC4" si="91">IF(AND(BB325="Ok",BB391="Ok",BB639="Ok",BB725="Ok"),"Ok","Error")</f>
        <v>Ok</v>
      </c>
      <c r="BC4" s="9" t="str">
        <f t="shared" si="91"/>
        <v>Ok</v>
      </c>
      <c r="BD4" s="9" t="str">
        <f t="shared" ref="BD4:BE4" si="92">IF(AND(BD325="Ok",BD391="Ok",BD639="Ok",BD725="Ok"),"Ok","Error")</f>
        <v>Ok</v>
      </c>
      <c r="BE4" s="9" t="str">
        <f t="shared" si="92"/>
        <v>Ok</v>
      </c>
      <c r="BF4" s="9" t="str">
        <f t="shared" ref="BF4:BG4" si="93">IF(AND(BF325="Ok",BF391="Ok",BF639="Ok",BF725="Ok"),"Ok","Error")</f>
        <v>Ok</v>
      </c>
      <c r="BG4" s="9" t="str">
        <f t="shared" si="93"/>
        <v>Ok</v>
      </c>
      <c r="BH4" s="9" t="str">
        <f t="shared" ref="BH4:BI4" si="94">IF(AND(BH325="Ok",BH391="Ok",BH639="Ok",BH725="Ok"),"Ok","Error")</f>
        <v>Ok</v>
      </c>
      <c r="BI4" s="9" t="str">
        <f t="shared" si="94"/>
        <v>Ok</v>
      </c>
      <c r="BJ4" s="9" t="str">
        <f t="shared" ref="BJ4:BK4" si="95">IF(AND(BJ325="Ok",BJ391="Ok",BJ639="Ok",BJ725="Ok"),"Ok","Error")</f>
        <v>Ok</v>
      </c>
      <c r="BK4" s="9" t="str">
        <f t="shared" si="95"/>
        <v>Ok</v>
      </c>
      <c r="BL4" s="9" t="str">
        <f t="shared" ref="BL4:BM4" si="96">IF(AND(BL325="Ok",BL391="Ok",BL639="Ok",BL725="Ok"),"Ok","Error")</f>
        <v>Ok</v>
      </c>
      <c r="BM4" s="9" t="str">
        <f t="shared" si="96"/>
        <v>Ok</v>
      </c>
      <c r="BN4" s="9" t="str">
        <f t="shared" ref="BN4:BO4" si="97">IF(AND(BN325="Ok",BN391="Ok",BN639="Ok",BN725="Ok"),"Ok","Error")</f>
        <v>Ok</v>
      </c>
      <c r="BO4" s="9" t="str">
        <f t="shared" si="97"/>
        <v>Ok</v>
      </c>
      <c r="BP4" s="9" t="str">
        <f t="shared" ref="BP4:BQ4" si="98">IF(AND(BP325="Ok",BP391="Ok",BP639="Ok",BP725="Ok"),"Ok","Error")</f>
        <v>Ok</v>
      </c>
      <c r="BQ4" s="9" t="str">
        <f t="shared" si="98"/>
        <v>Ok</v>
      </c>
      <c r="BR4" s="10"/>
      <c r="BS4" s="9"/>
      <c r="BT4" s="9" t="str">
        <f>IF(AND(BT325="Ok",BT391="Ok",BT639="Ok",BT725="Ok"),"Ok","Error")</f>
        <v>Ok</v>
      </c>
      <c r="BU4" s="9" t="str">
        <f t="shared" ref="BU4:CZ4" ca="1" si="99">IF(AND(BU325="Ok",BU391="Ok",BU639="Ok",BU655="Ok",BU725="Ok"),"Ok","Error")</f>
        <v>Ok</v>
      </c>
      <c r="BV4" s="9" t="str">
        <f t="shared" ca="1" si="99"/>
        <v>Ok</v>
      </c>
      <c r="BW4" s="9" t="str">
        <f t="shared" ca="1" si="99"/>
        <v>Ok</v>
      </c>
      <c r="BX4" s="9" t="str">
        <f t="shared" ca="1" si="99"/>
        <v>Ok</v>
      </c>
      <c r="BY4" s="9" t="str">
        <f t="shared" ca="1" si="99"/>
        <v>Ok</v>
      </c>
      <c r="BZ4" s="9" t="str">
        <f t="shared" ca="1" si="99"/>
        <v>Ok</v>
      </c>
      <c r="CA4" s="9" t="str">
        <f t="shared" ca="1" si="99"/>
        <v>Ok</v>
      </c>
      <c r="CB4" s="9" t="str">
        <f t="shared" ca="1" si="99"/>
        <v>Ok</v>
      </c>
      <c r="CC4" s="9" t="str">
        <f t="shared" ca="1" si="99"/>
        <v>Ok</v>
      </c>
      <c r="CD4" s="9" t="str">
        <f t="shared" ca="1" si="99"/>
        <v>Ok</v>
      </c>
      <c r="CE4" s="9" t="str">
        <f t="shared" ca="1" si="99"/>
        <v>Ok</v>
      </c>
      <c r="CF4" s="9" t="str">
        <f t="shared" ca="1" si="99"/>
        <v>Ok</v>
      </c>
      <c r="CG4" s="9" t="str">
        <f t="shared" ca="1" si="99"/>
        <v>Ok</v>
      </c>
      <c r="CH4" s="9" t="str">
        <f t="shared" ca="1" si="99"/>
        <v>Ok</v>
      </c>
      <c r="CI4" s="9" t="str">
        <f t="shared" ca="1" si="99"/>
        <v>Ok</v>
      </c>
      <c r="CJ4" s="9" t="str">
        <f t="shared" ca="1" si="99"/>
        <v>Ok</v>
      </c>
      <c r="CK4" s="9" t="str">
        <f t="shared" ca="1" si="99"/>
        <v>Ok</v>
      </c>
      <c r="CL4" s="9" t="str">
        <f t="shared" ca="1" si="99"/>
        <v>Ok</v>
      </c>
      <c r="CM4" s="9" t="str">
        <f t="shared" ca="1" si="99"/>
        <v>Ok</v>
      </c>
      <c r="CN4" s="9" t="str">
        <f t="shared" ca="1" si="99"/>
        <v>Ok</v>
      </c>
      <c r="CO4" s="9" t="str">
        <f t="shared" ca="1" si="99"/>
        <v>Ok</v>
      </c>
      <c r="CP4" s="9" t="str">
        <f t="shared" ca="1" si="99"/>
        <v>Ok</v>
      </c>
      <c r="CQ4" s="9" t="str">
        <f t="shared" ca="1" si="99"/>
        <v>Ok</v>
      </c>
      <c r="CR4" s="9" t="str">
        <f t="shared" ca="1" si="99"/>
        <v>Ok</v>
      </c>
      <c r="CS4" s="9" t="str">
        <f t="shared" ca="1" si="99"/>
        <v>Ok</v>
      </c>
      <c r="CT4" s="9" t="str">
        <f t="shared" ref="CT4" ca="1" si="100">IF(AND(CT325="Ok",CT391="Ok",CT639="Ok",CT655="Ok",CT725="Ok"),"Ok","Error")</f>
        <v>Ok</v>
      </c>
      <c r="CU4" s="9" t="str">
        <f t="shared" ca="1" si="99"/>
        <v>Ok</v>
      </c>
      <c r="CV4" s="9" t="str">
        <f t="shared" ref="CV4:CW4" ca="1" si="101">IF(AND(CV325="Ok",CV391="Ok",CV639="Ok",CV655="Ok",CV725="Ok"),"Ok","Error")</f>
        <v>Ok</v>
      </c>
      <c r="CW4" s="9" t="str">
        <f t="shared" ca="1" si="101"/>
        <v>Ok</v>
      </c>
      <c r="CX4" s="9" t="str">
        <f ca="1">IF(AND(CX325="Ok",CX391="Ok",CX639="Ok",CX655="Ok",CX725="Ok"),"Ok","Error")</f>
        <v>Ok</v>
      </c>
      <c r="CY4" s="9" t="str">
        <f ca="1">IF(AND(CY325="Ok",CY391="Ok",CY639="Ok",CY655="Ok",CY725="Ok"),"Ok","Error")</f>
        <v>Ok</v>
      </c>
      <c r="CZ4" s="197" t="str">
        <f t="shared" ca="1" si="99"/>
        <v>Ok</v>
      </c>
      <c r="DA4" s="9" t="str">
        <f ca="1">IF(AND(DA325="Ok",DA391="Ok",DA639="Ok",DA655="Ok",DA725="Ok"),"Ok","Error")</f>
        <v>Ok</v>
      </c>
      <c r="DB4" s="9" t="str">
        <f t="shared" ref="DB4:DC4" ca="1" si="102">IF(AND(DB325="Ok",DB391="Ok",DB639="Ok",DB655="Ok",DB725="Ok"),"Ok","Error")</f>
        <v>Ok</v>
      </c>
      <c r="DC4" s="9" t="str">
        <f t="shared" ca="1" si="102"/>
        <v>Ok</v>
      </c>
      <c r="DD4" s="9" t="str">
        <f t="shared" ref="DD4:DG4" ca="1" si="103">IF(AND(DD325="Ok",DD391="Ok",DD639="Ok",DD655="Ok",DD725="Ok"),"Ok","Error")</f>
        <v>Ok</v>
      </c>
      <c r="DE4" s="9" t="str">
        <f t="shared" ca="1" si="103"/>
        <v>Ok</v>
      </c>
      <c r="DF4" s="9" t="str">
        <f t="shared" ca="1" si="103"/>
        <v>Ok</v>
      </c>
      <c r="DG4" s="9" t="str">
        <f t="shared" ca="1" si="103"/>
        <v>Ok</v>
      </c>
      <c r="DH4" s="9" t="str">
        <f ca="1">IF(AND(DH325="Ok",DH391="Ok",DH639="Ok",DH655="Ok",DH725="Ok"),"Ok","Error")</f>
        <v>Ok</v>
      </c>
      <c r="DI4" s="9" t="str">
        <f ca="1">IF(AND(DI325="Ok",DI391="Ok",DI639="Ok",DI655="Ok",DI725="Ok"),"Ok","Error")</f>
        <v>Ok</v>
      </c>
    </row>
    <row r="5" spans="1:113" s="14" customFormat="1" ht="12">
      <c r="A5" s="1" t="s">
        <v>1017</v>
      </c>
      <c r="B5" s="5" t="s">
        <v>541</v>
      </c>
      <c r="C5" s="11">
        <f>E5</f>
        <v>1.9945355191256831</v>
      </c>
      <c r="D5" s="11">
        <f>IF(LEFT(D$1,1)="2",(D3-A3)/(D3-C3),(E3-C3)/(D3-C3))</f>
        <v>2.0054945054945055</v>
      </c>
      <c r="E5" s="11">
        <f t="shared" ref="E5:L5" si="104">IF(LEFT(E$1,1)="2",(E3-C3)/(E3-D3),(F3-D3)/(E3-D3))</f>
        <v>1.9945355191256831</v>
      </c>
      <c r="F5" s="11">
        <f t="shared" si="104"/>
        <v>2.0054945054945055</v>
      </c>
      <c r="G5" s="11">
        <f t="shared" si="104"/>
        <v>1.9945355191256831</v>
      </c>
      <c r="H5" s="11">
        <f t="shared" si="104"/>
        <v>2</v>
      </c>
      <c r="I5" s="11">
        <f t="shared" si="104"/>
        <v>2</v>
      </c>
      <c r="J5" s="11">
        <f t="shared" si="104"/>
        <v>2.0054945054945055</v>
      </c>
      <c r="K5" s="11">
        <f t="shared" si="104"/>
        <v>1.9945355191256831</v>
      </c>
      <c r="L5" s="11">
        <f t="shared" si="104"/>
        <v>2.0054945054945055</v>
      </c>
      <c r="M5" s="11">
        <f t="shared" ref="M5:AD5" si="105">IF(LEFT(M$1,1)="2",(M3-K3)/(M3-L3),(N3-L3)/(M3-L3))</f>
        <v>1.9945355191256831</v>
      </c>
      <c r="N5" s="11">
        <f t="shared" si="105"/>
        <v>2.0054945054945055</v>
      </c>
      <c r="O5" s="11">
        <f t="shared" si="105"/>
        <v>1.9945355191256831</v>
      </c>
      <c r="P5" s="11">
        <f t="shared" si="105"/>
        <v>2</v>
      </c>
      <c r="Q5" s="11">
        <f t="shared" si="105"/>
        <v>2</v>
      </c>
      <c r="R5" s="11">
        <f t="shared" si="105"/>
        <v>2.0054945054945055</v>
      </c>
      <c r="S5" s="11">
        <f t="shared" si="105"/>
        <v>1.9945355191256831</v>
      </c>
      <c r="T5" s="11">
        <f t="shared" si="105"/>
        <v>2.0054945054945055</v>
      </c>
      <c r="U5" s="11">
        <f t="shared" si="105"/>
        <v>1.9945355191256831</v>
      </c>
      <c r="V5" s="11">
        <f t="shared" si="105"/>
        <v>2.0054945054945055</v>
      </c>
      <c r="W5" s="11">
        <f t="shared" si="105"/>
        <v>1.9945355191256831</v>
      </c>
      <c r="X5" s="11">
        <f t="shared" si="105"/>
        <v>2</v>
      </c>
      <c r="Y5" s="11">
        <f t="shared" si="105"/>
        <v>2</v>
      </c>
      <c r="Z5" s="11">
        <f t="shared" si="105"/>
        <v>2.0054945054945055</v>
      </c>
      <c r="AA5" s="11">
        <f t="shared" si="105"/>
        <v>1.9945355191256831</v>
      </c>
      <c r="AB5" s="11">
        <f t="shared" si="105"/>
        <v>2.0054945054945055</v>
      </c>
      <c r="AC5" s="11">
        <f t="shared" si="105"/>
        <v>1.9945355191256831</v>
      </c>
      <c r="AD5" s="11">
        <f t="shared" si="105"/>
        <v>2.0054945054945055</v>
      </c>
      <c r="AE5" s="11">
        <f>IF(LEFT(AE$1,1)="2",(AE3-AC3)/(AE3-AD3),(BR3-AD3)/(AE3-AD3))</f>
        <v>1.9945355191256831</v>
      </c>
      <c r="AF5" s="11">
        <f>IF(LEFT(AF$1,1)="2",(AF3-AD3)/(AF3-AE3),(AG3-AE3)/(AF3-AE3))</f>
        <v>2</v>
      </c>
      <c r="AG5" s="11">
        <f>IF(LEFT(AG$1,1)="2",(AG3-AE3)/(AG3-AF3),(BT3-AF3)/(AG3-AF3))</f>
        <v>2</v>
      </c>
      <c r="AH5" s="11">
        <f>IF(LEFT(AH$1,1)="2",(AH3-AF3)/(AH3-AG3),(AI3-AG3)/(AH3-AG3))</f>
        <v>2.0054945054945055</v>
      </c>
      <c r="AI5" s="11">
        <f>IF(LEFT(AI$1,1)="2",(AI3-AG3)/(AI3-AH3),(AJ3-AH3)/(AI3-AH3))</f>
        <v>1.9945355191256831</v>
      </c>
      <c r="AJ5" s="11">
        <f>IF(LEFT(AJ$1,1)="2",(AJ3-AH3)/(AJ3-AI3),(AK3-AI3)/(AJ3-AI3))</f>
        <v>2.0054945054945055</v>
      </c>
      <c r="AK5" s="11">
        <f>IF(LEFT(AK$1,1)="2",(AK3-AI3)/(AK3-AJ3),(BX3-AJ3)/(AK3-AJ3))</f>
        <v>1.9945355191256831</v>
      </c>
      <c r="AL5" s="11">
        <f t="shared" ref="AL5:AX5" si="106">IF(LEFT(AL$1,1)="2",(AL3-AJ3)/(AL3-AK3),(AM3-AK3)/(AL3-AK3))</f>
        <v>2.0054945054945055</v>
      </c>
      <c r="AM5" s="11">
        <f t="shared" si="106"/>
        <v>1.9945355191256831</v>
      </c>
      <c r="AN5" s="11">
        <f t="shared" si="106"/>
        <v>2</v>
      </c>
      <c r="AO5" s="11">
        <f t="shared" si="106"/>
        <v>2</v>
      </c>
      <c r="AP5" s="11">
        <f t="shared" si="106"/>
        <v>2.0054945054945055</v>
      </c>
      <c r="AQ5" s="11">
        <f t="shared" si="106"/>
        <v>1.9945355191256831</v>
      </c>
      <c r="AR5" s="11">
        <f t="shared" si="106"/>
        <v>2.0054945054945055</v>
      </c>
      <c r="AS5" s="11">
        <f t="shared" si="106"/>
        <v>1.9945355191256831</v>
      </c>
      <c r="AT5" s="11">
        <f t="shared" si="106"/>
        <v>2.0054945054945055</v>
      </c>
      <c r="AU5" s="11">
        <f t="shared" si="106"/>
        <v>1.9945355191256831</v>
      </c>
      <c r="AV5" s="11">
        <f t="shared" si="106"/>
        <v>2</v>
      </c>
      <c r="AW5" s="11">
        <f t="shared" si="106"/>
        <v>2</v>
      </c>
      <c r="AX5" s="11">
        <f t="shared" si="106"/>
        <v>2.0054945054945055</v>
      </c>
      <c r="AY5" s="198">
        <f t="shared" ref="AY5" si="107">IF(LEFT(AY$1,1)="2",(AY3-AW3)/(AY3-AX3),(CL3-AX3)/(AY3-AX3))</f>
        <v>1.9945355191256831</v>
      </c>
      <c r="AZ5" s="11">
        <f t="shared" ref="AZ5" si="108">IF(LEFT(AZ$1,1)="2",(AZ3-AX3)/(AZ3-AY3),(BA3-AY3)/(AZ3-AY3))</f>
        <v>2.0054945054945055</v>
      </c>
      <c r="BA5" s="11">
        <f t="shared" ref="BA5" si="109">IF(LEFT(BA$1,1)="2",(BA3-AY3)/(BA3-AZ3),(CN3-AZ3)/(BA3-AZ3))</f>
        <v>1.9945355191256831</v>
      </c>
      <c r="BB5" s="11">
        <f t="shared" ref="BB5" si="110">IF(LEFT(BB$1,1)="2",(BB3-AZ3)/(BB3-BA3),(BC3-BA3)/(BB3-BA3))</f>
        <v>2.0054945054945055</v>
      </c>
      <c r="BC5" s="11">
        <f t="shared" ref="BC5" si="111">IF(LEFT(BC$1,1)="2",(BC3-BA3)/(BC3-BB3),(CP3-BB3)/(BC3-BB3))</f>
        <v>1.9945355191256831</v>
      </c>
      <c r="BD5" s="11">
        <f t="shared" ref="BD5" si="112">IF(LEFT(BD$1,1)="2",(BD3-BB3)/(BD3-BC3),(BE3-BC3)/(BD3-BC3))</f>
        <v>2</v>
      </c>
      <c r="BE5" s="11">
        <f t="shared" ref="BE5" si="113">IF(LEFT(BE$1,1)="2",(BE3-BC3)/(BE3-BD3),(CR3-BD3)/(BE3-BD3))</f>
        <v>2</v>
      </c>
      <c r="BF5" s="11">
        <f t="shared" ref="BF5" si="114">IF(LEFT(BF$1,1)="2",(BF3-BD3)/(BF3-BE3),(BG3-BE3)/(BF3-BE3))</f>
        <v>2.0054945054945055</v>
      </c>
      <c r="BG5" s="11">
        <f t="shared" ref="BG5" si="115">IF(LEFT(BG$1,1)="2",(BG3-BE3)/(BG3-BF3),(CT3-BF3)/(BG3-BF3))</f>
        <v>1.9945355191256831</v>
      </c>
      <c r="BH5" s="11">
        <f t="shared" ref="BH5:BJ5" si="116">IF(LEFT(BH$1,1)="2",(BH3-BF3)/(BH3-BG3),(BI3-BG3)/(BH3-BG3))</f>
        <v>2.0054945054945055</v>
      </c>
      <c r="BI5" s="11">
        <f>IF(LEFT(BI$1,1)="2",(BI3-BG3)/(BI3-BH3),(CV3-BH3)/(BI3-BH3))</f>
        <v>1.9945355191256831</v>
      </c>
      <c r="BJ5" s="11">
        <f t="shared" si="116"/>
        <v>2.0054945054945055</v>
      </c>
      <c r="BK5" s="11">
        <f>IF(LEFT(BK$1,1)="2",(BK3-BI3)/(BK3-BJ3),(CX3-BJ3)/(BK3-BJ3))</f>
        <v>1.9945355191256831</v>
      </c>
      <c r="BL5" s="11">
        <f t="shared" ref="BL5" si="117">IF(LEFT(BL$1,1)="2",(BL3-BJ3)/(BL3-BK3),(BM3-BK3)/(BL3-BK3))</f>
        <v>2</v>
      </c>
      <c r="BM5" s="11">
        <f>IF(LEFT(BM$1,1)="2",(BM3-BK3)/(BM3-BL3),(CZ3-BL3)/(BM3-BL3))</f>
        <v>2</v>
      </c>
      <c r="BN5" s="11">
        <f t="shared" ref="BN5" si="118">IF(LEFT(BN$1,1)="2",(BN3-BL3)/(BN3-BM3),(BO3-BM3)/(BN3-BM3))</f>
        <v>2.0054945054945055</v>
      </c>
      <c r="BO5" s="11">
        <f>IF(LEFT(BO$1,1)="2",(BO3-BM3)/(BO3-BN3),(DB3-BN3)/(BO3-BN3))</f>
        <v>1.9945355191256831</v>
      </c>
      <c r="BP5" s="11">
        <f t="shared" ref="BP5" si="119">IF(LEFT(BP$1,1)="2",(BP3-BN3)/(BP3-BO3),(BQ3-BO3)/(BP3-BO3))</f>
        <v>2.0054945054945055</v>
      </c>
      <c r="BQ5" s="11">
        <f>IF(LEFT(BQ$1,1)="2",(BQ3-BO3)/(BQ3-BP3),(DD3-BP3)/(BQ3-BP3))</f>
        <v>1.9945355191256831</v>
      </c>
      <c r="BR5" s="12"/>
      <c r="BS5" s="11">
        <v>1</v>
      </c>
      <c r="BT5" s="11">
        <v>1</v>
      </c>
      <c r="BU5" s="11">
        <v>1</v>
      </c>
      <c r="BV5" s="11">
        <v>1</v>
      </c>
      <c r="BW5" s="11">
        <v>1</v>
      </c>
      <c r="BX5" s="11">
        <v>1</v>
      </c>
      <c r="BY5" s="11">
        <v>1</v>
      </c>
      <c r="BZ5" s="11">
        <v>1</v>
      </c>
      <c r="CA5" s="11">
        <v>1</v>
      </c>
      <c r="CB5" s="11">
        <v>1</v>
      </c>
      <c r="CC5" s="11">
        <v>1</v>
      </c>
      <c r="CD5" s="11">
        <v>1</v>
      </c>
      <c r="CE5" s="11">
        <v>1</v>
      </c>
      <c r="CF5" s="11">
        <v>1</v>
      </c>
      <c r="CG5" s="11">
        <v>1</v>
      </c>
      <c r="CH5" s="11">
        <v>1</v>
      </c>
      <c r="CI5" s="11">
        <v>1</v>
      </c>
      <c r="CJ5" s="11">
        <v>1</v>
      </c>
      <c r="CK5" s="11">
        <v>1</v>
      </c>
      <c r="CL5" s="11">
        <v>1</v>
      </c>
      <c r="CM5" s="11">
        <v>1</v>
      </c>
      <c r="CN5" s="11">
        <v>1</v>
      </c>
      <c r="CO5" s="11">
        <v>1</v>
      </c>
      <c r="CP5" s="11">
        <v>1</v>
      </c>
      <c r="CQ5" s="11">
        <v>1</v>
      </c>
      <c r="CR5" s="11">
        <v>1</v>
      </c>
      <c r="CS5" s="11">
        <v>1</v>
      </c>
      <c r="CT5" s="11">
        <v>1</v>
      </c>
      <c r="CU5" s="11">
        <v>1</v>
      </c>
      <c r="CV5" s="11">
        <v>1</v>
      </c>
      <c r="CW5" s="11">
        <v>1</v>
      </c>
      <c r="CX5" s="11">
        <v>1</v>
      </c>
      <c r="CY5" s="11">
        <v>1</v>
      </c>
      <c r="CZ5" s="198">
        <v>1</v>
      </c>
      <c r="DA5" s="11">
        <v>1</v>
      </c>
      <c r="DB5" s="11">
        <v>1</v>
      </c>
      <c r="DC5" s="11">
        <v>1</v>
      </c>
      <c r="DD5" s="11">
        <v>1</v>
      </c>
      <c r="DE5" s="11">
        <v>1</v>
      </c>
      <c r="DF5" s="11">
        <v>1</v>
      </c>
      <c r="DG5" s="11">
        <v>1</v>
      </c>
      <c r="DH5" s="11">
        <v>1</v>
      </c>
      <c r="DI5" s="11">
        <v>1</v>
      </c>
    </row>
    <row r="6" spans="1:113" s="14" customFormat="1" ht="12">
      <c r="A6" s="1"/>
      <c r="B6" s="15"/>
      <c r="C6" s="13"/>
      <c r="D6" s="13"/>
      <c r="E6" s="13"/>
      <c r="F6" s="13"/>
      <c r="G6" s="13"/>
      <c r="H6" s="13"/>
      <c r="I6" s="13"/>
      <c r="J6" s="13"/>
      <c r="K6" s="13"/>
      <c r="L6" s="13"/>
      <c r="M6" s="13"/>
      <c r="N6" s="13"/>
      <c r="O6" s="13"/>
      <c r="P6" s="13"/>
      <c r="Q6" s="13"/>
      <c r="R6" s="13"/>
      <c r="S6" s="13"/>
      <c r="T6" s="13"/>
      <c r="U6" s="13"/>
      <c r="V6" s="13"/>
      <c r="W6" s="13"/>
      <c r="X6" s="13"/>
      <c r="Y6" s="13"/>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99"/>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c r="CO6" s="13"/>
      <c r="CP6" s="13"/>
      <c r="CQ6" s="13"/>
      <c r="CR6" s="13"/>
      <c r="CS6" s="13"/>
      <c r="CT6" s="13"/>
      <c r="CU6" s="13"/>
      <c r="CV6" s="13"/>
      <c r="CW6" s="13"/>
      <c r="CX6" s="13"/>
      <c r="CY6" s="13"/>
      <c r="CZ6" s="199"/>
      <c r="DA6" s="13"/>
      <c r="DB6" s="13"/>
      <c r="DC6" s="13"/>
      <c r="DD6" s="13"/>
      <c r="DE6" s="13"/>
      <c r="DF6" s="13"/>
      <c r="DG6" s="13"/>
      <c r="DH6" s="13"/>
      <c r="DI6" s="13"/>
    </row>
    <row r="7" spans="1:113" s="4" customFormat="1" ht="12" hidden="1" customHeight="1" outlineLevel="3">
      <c r="A7" s="1"/>
      <c r="B7" s="2" t="s">
        <v>542</v>
      </c>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195"/>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195"/>
      <c r="DA7" s="3"/>
      <c r="DB7" s="3"/>
      <c r="DC7" s="3"/>
      <c r="DD7" s="3"/>
      <c r="DE7" s="3"/>
      <c r="DF7" s="3"/>
      <c r="DG7" s="3"/>
      <c r="DH7" s="3"/>
      <c r="DI7" s="3"/>
    </row>
    <row r="8" spans="1:113" ht="12" hidden="1" customHeight="1" outlineLevel="3">
      <c r="AY8" s="200"/>
      <c r="CZ8" s="200"/>
      <c r="DB8" s="16"/>
      <c r="DC8" s="16"/>
      <c r="DD8" s="16"/>
      <c r="DE8" s="16"/>
      <c r="DF8" s="16"/>
      <c r="DG8" s="16"/>
      <c r="DH8" s="16"/>
      <c r="DI8" s="16"/>
    </row>
    <row r="9" spans="1:113" s="17" customFormat="1" ht="12" hidden="1" customHeight="1" outlineLevel="3">
      <c r="A9" s="1"/>
      <c r="B9" s="15" t="s">
        <v>543</v>
      </c>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201"/>
      <c r="AZ9" s="10"/>
      <c r="BA9" s="10"/>
      <c r="BB9" s="10"/>
      <c r="BC9" s="10"/>
      <c r="BD9" s="10"/>
      <c r="BE9" s="10"/>
      <c r="BF9" s="10"/>
      <c r="BG9" s="10"/>
      <c r="BH9" s="10"/>
      <c r="BI9" s="10"/>
      <c r="BJ9" s="10"/>
      <c r="BK9" s="10"/>
      <c r="BL9" s="10"/>
      <c r="BM9" s="10"/>
      <c r="BN9" s="10"/>
      <c r="BO9" s="10"/>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c r="CW9" s="10"/>
      <c r="CX9" s="10"/>
      <c r="CY9" s="10"/>
      <c r="CZ9" s="201"/>
      <c r="DA9" s="10"/>
      <c r="DB9" s="10"/>
      <c r="DC9" s="10"/>
      <c r="DD9" s="10"/>
      <c r="DE9" s="10"/>
      <c r="DF9" s="10"/>
      <c r="DG9" s="10"/>
      <c r="DH9" s="10"/>
      <c r="DI9" s="10"/>
    </row>
    <row r="10" spans="1:113" s="20" customFormat="1" ht="12" hidden="1" customHeight="1" outlineLevel="3">
      <c r="A10" s="1"/>
      <c r="B10" s="18" t="s">
        <v>305</v>
      </c>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2"/>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c r="CM10" s="19"/>
      <c r="CN10" s="19"/>
      <c r="CO10" s="19"/>
      <c r="CP10" s="19"/>
      <c r="CQ10" s="19"/>
      <c r="CR10" s="19"/>
      <c r="CS10" s="19"/>
      <c r="CT10" s="19"/>
      <c r="CU10" s="19"/>
      <c r="CV10" s="19"/>
      <c r="CW10" s="19"/>
      <c r="CX10" s="19"/>
      <c r="CY10" s="19"/>
      <c r="CZ10" s="202"/>
      <c r="DA10" s="19"/>
      <c r="DB10" s="19"/>
      <c r="DC10" s="19"/>
      <c r="DD10" s="19"/>
      <c r="DE10" s="19"/>
      <c r="DF10" s="19"/>
      <c r="DG10" s="19"/>
      <c r="DH10" s="19"/>
      <c r="DI10" s="19"/>
    </row>
    <row r="11" spans="1:113" s="21" customFormat="1" ht="12" hidden="1" customHeight="1" outlineLevel="3">
      <c r="A11" s="1"/>
      <c r="B11" s="21" t="s">
        <v>306</v>
      </c>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03"/>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2"/>
      <c r="CJ11" s="22"/>
      <c r="CK11" s="22"/>
      <c r="CL11" s="22"/>
      <c r="CM11" s="22"/>
      <c r="CN11" s="22"/>
      <c r="CO11" s="22"/>
      <c r="CP11" s="22"/>
      <c r="CQ11" s="22"/>
      <c r="CR11" s="22"/>
      <c r="CS11" s="22"/>
      <c r="CT11" s="22"/>
      <c r="CU11" s="22"/>
      <c r="CV11" s="22"/>
      <c r="CW11" s="22"/>
      <c r="CX11" s="22"/>
      <c r="CY11" s="22"/>
      <c r="CZ11" s="203"/>
      <c r="DA11" s="22"/>
      <c r="DB11" s="22"/>
      <c r="DC11" s="22"/>
      <c r="DD11" s="22"/>
      <c r="DE11" s="22"/>
      <c r="DF11" s="22"/>
      <c r="DG11" s="22"/>
      <c r="DH11" s="22"/>
      <c r="DI11" s="22"/>
    </row>
    <row r="12" spans="1:113" s="25" customFormat="1" ht="12" hidden="1" customHeight="1" outlineLevel="3">
      <c r="A12" s="1"/>
      <c r="B12" s="23" t="s">
        <v>307</v>
      </c>
      <c r="C12" s="24"/>
      <c r="D12" s="24"/>
      <c r="E12" s="24"/>
      <c r="F12" s="24"/>
      <c r="G12" s="24"/>
      <c r="H12" s="24"/>
      <c r="I12" s="24"/>
      <c r="J12" s="24"/>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c r="AT12" s="24"/>
      <c r="AU12" s="24"/>
      <c r="AV12" s="24"/>
      <c r="AW12" s="24"/>
      <c r="AX12" s="24"/>
      <c r="AY12" s="204"/>
      <c r="AZ12" s="24"/>
      <c r="BA12" s="24"/>
      <c r="BB12" s="24"/>
      <c r="BC12" s="24"/>
      <c r="BD12" s="24"/>
      <c r="BE12" s="24"/>
      <c r="BF12" s="24"/>
      <c r="BG12" s="24"/>
      <c r="BH12" s="24"/>
      <c r="BI12" s="24"/>
      <c r="BJ12" s="24"/>
      <c r="BK12" s="24"/>
      <c r="BL12" s="24"/>
      <c r="BM12" s="24"/>
      <c r="BN12" s="24"/>
      <c r="BO12" s="24"/>
      <c r="BP12" s="24"/>
      <c r="BQ12" s="24"/>
      <c r="BR12" s="24"/>
      <c r="BS12" s="24"/>
      <c r="BT12" s="24"/>
      <c r="BU12" s="24"/>
      <c r="BV12" s="24"/>
      <c r="BW12" s="24"/>
      <c r="BX12" s="24"/>
      <c r="BY12" s="24"/>
      <c r="BZ12" s="24"/>
      <c r="CA12" s="24"/>
      <c r="CB12" s="24"/>
      <c r="CC12" s="24"/>
      <c r="CD12" s="24"/>
      <c r="CE12" s="24"/>
      <c r="CF12" s="24"/>
      <c r="CG12" s="24"/>
      <c r="CH12" s="24"/>
      <c r="CI12" s="24"/>
      <c r="CJ12" s="24"/>
      <c r="CK12" s="24"/>
      <c r="CL12" s="24"/>
      <c r="CM12" s="24"/>
      <c r="CN12" s="24"/>
      <c r="CO12" s="24"/>
      <c r="CP12" s="24"/>
      <c r="CQ12" s="24"/>
      <c r="CR12" s="24"/>
      <c r="CS12" s="24"/>
      <c r="CT12" s="24"/>
      <c r="CU12" s="24"/>
      <c r="CV12" s="24"/>
      <c r="CW12" s="24"/>
      <c r="CX12" s="24"/>
      <c r="CY12" s="24"/>
      <c r="CZ12" s="204"/>
      <c r="DA12" s="24"/>
      <c r="DB12" s="24"/>
      <c r="DC12" s="24"/>
      <c r="DD12" s="24"/>
      <c r="DE12" s="24"/>
      <c r="DF12" s="24"/>
      <c r="DG12" s="24"/>
      <c r="DH12" s="24"/>
      <c r="DI12" s="24"/>
    </row>
    <row r="13" spans="1:113" ht="12" hidden="1" customHeight="1" outlineLevel="3">
      <c r="AY13" s="200"/>
      <c r="CZ13" s="200"/>
      <c r="DB13" s="16"/>
      <c r="DC13" s="16"/>
      <c r="DD13" s="16"/>
      <c r="DE13" s="16"/>
      <c r="DF13" s="16"/>
      <c r="DG13" s="16"/>
      <c r="DH13" s="16"/>
      <c r="DI13" s="16"/>
    </row>
    <row r="14" spans="1:113" s="26" customFormat="1" ht="12" collapsed="1">
      <c r="A14" s="1" t="s">
        <v>985</v>
      </c>
      <c r="B14" s="2" t="s">
        <v>133</v>
      </c>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195"/>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195"/>
      <c r="DA14" s="3"/>
      <c r="DB14" s="3"/>
      <c r="DC14" s="3"/>
      <c r="DD14" s="3"/>
      <c r="DE14" s="3"/>
      <c r="DF14" s="3"/>
      <c r="DG14" s="3"/>
      <c r="DH14" s="3"/>
      <c r="DI14" s="3"/>
    </row>
    <row r="15" spans="1:113" ht="12" outlineLevel="1">
      <c r="AY15" s="200"/>
      <c r="CZ15" s="200"/>
      <c r="DB15" s="15"/>
      <c r="DC15" s="15"/>
      <c r="DD15" s="15"/>
      <c r="DE15" s="15"/>
      <c r="DF15" s="15"/>
      <c r="DG15" s="15"/>
      <c r="DH15" s="15"/>
      <c r="DI15" s="15"/>
    </row>
    <row r="16" spans="1:113" ht="12" outlineLevel="1">
      <c r="B16" s="17" t="s">
        <v>210</v>
      </c>
      <c r="Z16" s="32"/>
      <c r="AY16" s="200"/>
      <c r="CZ16" s="200"/>
      <c r="DB16" s="15"/>
      <c r="DC16" s="15"/>
      <c r="DD16" s="15"/>
      <c r="DE16" s="15"/>
      <c r="DF16" s="15"/>
      <c r="DG16" s="15"/>
      <c r="DH16" s="15"/>
      <c r="DI16" s="15"/>
    </row>
    <row r="17" spans="1:113" ht="12" outlineLevel="1">
      <c r="A17" s="1" t="s">
        <v>801</v>
      </c>
      <c r="B17" s="15" t="s">
        <v>211</v>
      </c>
      <c r="C17" s="27">
        <v>0.33310000000000001</v>
      </c>
      <c r="D17" s="27">
        <v>0.37209999999999999</v>
      </c>
      <c r="E17" s="27">
        <v>0.34770000000000001</v>
      </c>
      <c r="F17" s="27">
        <v>0.38279999999999997</v>
      </c>
      <c r="G17" s="27">
        <v>0.40699999999999997</v>
      </c>
      <c r="H17" s="27">
        <v>0.41370000000000001</v>
      </c>
      <c r="I17" s="27">
        <v>0.39829999999999999</v>
      </c>
      <c r="J17" s="27">
        <v>0.41070000000000001</v>
      </c>
      <c r="K17" s="27">
        <v>0.4325</v>
      </c>
      <c r="L17" s="27">
        <v>0.41039999999999999</v>
      </c>
      <c r="M17" s="27">
        <v>0.3982</v>
      </c>
      <c r="N17" s="27">
        <v>0.4113</v>
      </c>
      <c r="O17" s="27">
        <v>0.4355</v>
      </c>
      <c r="P17" s="27">
        <v>0.45889999999999997</v>
      </c>
      <c r="Q17" s="27">
        <v>0.44400000000000001</v>
      </c>
      <c r="R17" s="27">
        <v>0.47949999999999998</v>
      </c>
      <c r="S17" s="27">
        <v>0.54859999999999998</v>
      </c>
      <c r="T17" s="27">
        <v>0.60729999999999995</v>
      </c>
      <c r="U17" s="27">
        <v>0.61050000000000004</v>
      </c>
      <c r="V17" s="27">
        <v>0.64149999999999996</v>
      </c>
      <c r="W17" s="27">
        <v>0.62429999999999997</v>
      </c>
      <c r="X17" s="27">
        <v>0.65100000000000002</v>
      </c>
      <c r="Y17" s="27">
        <v>0.64370000000000005</v>
      </c>
      <c r="Z17" s="329">
        <v>0.68859999999999999</v>
      </c>
      <c r="AA17" s="329">
        <v>0.57599999999999996</v>
      </c>
      <c r="AB17" s="329">
        <v>0.55520000000000003</v>
      </c>
      <c r="AC17" s="329">
        <v>0.5383</v>
      </c>
      <c r="AD17" s="329">
        <v>0.51629999999999998</v>
      </c>
      <c r="AE17" s="329">
        <v>0.46250000000000002</v>
      </c>
      <c r="AF17" s="329">
        <v>0.53349999999999997</v>
      </c>
      <c r="AG17" s="329">
        <v>0.58740000000000003</v>
      </c>
      <c r="AH17" s="329">
        <v>0.61219999999999997</v>
      </c>
      <c r="AI17" s="329">
        <v>0.58479999999999999</v>
      </c>
      <c r="AJ17" s="329">
        <v>0.54449999999999998</v>
      </c>
      <c r="AK17" s="329">
        <v>0.55200000000000005</v>
      </c>
      <c r="AL17" s="329">
        <v>0.54249999999999998</v>
      </c>
      <c r="AM17" s="329">
        <v>0.54910000000000003</v>
      </c>
      <c r="AN17" s="329">
        <v>0.50170000000000003</v>
      </c>
      <c r="AO17" s="329">
        <v>0.55389999999999995</v>
      </c>
      <c r="AP17" s="329">
        <v>0.55379999999999996</v>
      </c>
      <c r="AQ17" s="329">
        <v>0.53569999999999995</v>
      </c>
      <c r="AR17" s="329">
        <v>0.57040000000000002</v>
      </c>
      <c r="AS17" s="329">
        <v>0.58450000000000002</v>
      </c>
      <c r="AT17" s="329">
        <v>0.54190000000000005</v>
      </c>
      <c r="AU17" s="329">
        <v>0.52859999999999996</v>
      </c>
      <c r="AV17" s="329">
        <v>0.51570000000000005</v>
      </c>
      <c r="AW17" s="329">
        <v>0.51780000000000004</v>
      </c>
      <c r="AX17" s="329">
        <v>0.48480000000000001</v>
      </c>
      <c r="AY17" s="236">
        <v>0.49070000000000003</v>
      </c>
      <c r="AZ17" s="205">
        <f>VLOOKUP(RIGHT($A17,LEN($A17)-4),[1]Sheet1!$2:$65479,MATCH(AZ$3,[1]Sheet1!$2:$2,0),FALSE)</f>
        <v>0.47535211267605654</v>
      </c>
      <c r="BA17" s="205">
        <f>VLOOKUP(RIGHT($A17,LEN($A17)-4),[1]Sheet1!$2:$65479,MATCH(BA$3,[1]Sheet1!$2:$2,0),FALSE)</f>
        <v>0.47499999999999992</v>
      </c>
      <c r="BB17" s="205">
        <f>VLOOKUP(RIGHT($A17,LEN($A17)-4),[1]Sheet1!$2:$65479,MATCH(BB$3,[1]Sheet1!$2:$2,0),FALSE)</f>
        <v>0.48523985239852396</v>
      </c>
      <c r="BC17" s="205">
        <f>VLOOKUP(RIGHT($A17,LEN($A17)-4),[1]Sheet1!$2:$65479,MATCH(BC$3,[1]Sheet1!$2:$2,0),FALSE)</f>
        <v>0.49999999999999983</v>
      </c>
      <c r="BD17" s="205">
        <f>VLOOKUP(RIGHT($A17,LEN($A17)-4),[1]Sheet1!$2:$65479,MATCH(BD$3,[1]Sheet1!$2:$2,0),FALSE)</f>
        <v>0.51401869158878488</v>
      </c>
      <c r="BE17" s="205">
        <f>VLOOKUP(RIGHT($A17,LEN($A17)-4),[1]Sheet1!$2:$65479,MATCH(BE$3,[1]Sheet1!$2:$2,0),FALSE)</f>
        <v>0.52720450281425824</v>
      </c>
      <c r="BF17" s="205">
        <f>VLOOKUP(RIGHT($A17,LEN($A17)-4),[1]Sheet1!$2:$65479,MATCH(BF$3,[1]Sheet1!$2:$2,0),FALSE)</f>
        <v>0.54614220877458386</v>
      </c>
      <c r="BG17" s="205">
        <f>VLOOKUP(RIGHT($A17,LEN($A17)-4),[1]Sheet1!$2:$65479,MATCH(BG$3,[1]Sheet1!$2:$2,0),FALSE)</f>
        <v>0.57120980091883578</v>
      </c>
      <c r="BH17" s="205">
        <f>VLOOKUP(RIGHT($A17,LEN($A17)-4),[1]Sheet1!$2:$65479,MATCH(BH$3,[1]Sheet1!$2:$2,0),FALSE)</f>
        <v>0.59689922480620106</v>
      </c>
      <c r="BI17" s="205">
        <f>VLOOKUP(RIGHT($A17,LEN($A17)-4),[1]Sheet1!$2:$65479,MATCH(BI$3,[1]Sheet1!$2:$2,0),FALSE)</f>
        <v>0.62323390894819397</v>
      </c>
      <c r="BJ17" s="205">
        <f>VLOOKUP(RIGHT($A17,LEN($A17)-4),[1]Sheet1!$2:$65479,MATCH(BJ$3,[1]Sheet1!$2:$2,0),FALSE)</f>
        <v>0.6366508688783562</v>
      </c>
      <c r="BK17" s="205">
        <f>VLOOKUP(RIGHT($A17,LEN($A17)-4),[1]Sheet1!$2:$65479,MATCH(BK$3,[1]Sheet1!$2:$2,0),FALSE)</f>
        <v>0.6366508688783562</v>
      </c>
      <c r="BL17" s="205">
        <f>VLOOKUP(RIGHT($A17,LEN($A17)-4),[1]Sheet1!$2:$65479,MATCH(BL$3,[1]Sheet1!$2:$2,0),FALSE)</f>
        <v>0.6366508688783562</v>
      </c>
      <c r="BM17" s="205">
        <f>VLOOKUP(RIGHT($A17,LEN($A17)-4),[1]Sheet1!$2:$65479,MATCH(BM$3,[1]Sheet1!$2:$2,0),FALSE)</f>
        <v>0.6366508688783562</v>
      </c>
      <c r="BN17" s="205">
        <f>VLOOKUP(RIGHT($A17,LEN($A17)-4),[1]Sheet1!$2:$65479,MATCH(BN$3,[1]Sheet1!$2:$2,0),FALSE)</f>
        <v>0.6366508688783562</v>
      </c>
      <c r="BO17" s="205">
        <f>VLOOKUP(RIGHT($A17,LEN($A17)-4),[1]Sheet1!$2:$65479,MATCH(BO$3,[1]Sheet1!$2:$2,0),FALSE)</f>
        <v>0.6366508688783562</v>
      </c>
      <c r="BP17" s="205">
        <f>VLOOKUP(RIGHT($A17,LEN($A17)-4),[1]Sheet1!$2:$65479,MATCH(BP$3,[1]Sheet1!$2:$2,0),FALSE)</f>
        <v>0.6366508688783562</v>
      </c>
      <c r="BQ17" s="205">
        <f>VLOOKUP(RIGHT($A17,LEN($A17)-4),[1]Sheet1!$2:$65479,MATCH(BQ$3,[1]Sheet1!$2:$2,0),FALSE)</f>
        <v>0.6366508688783562</v>
      </c>
      <c r="BR17" s="28"/>
      <c r="BS17" s="27">
        <v>0.39889999999999998</v>
      </c>
      <c r="BT17" s="27">
        <v>0.42749999999999999</v>
      </c>
      <c r="BU17" s="27">
        <v>0.46850000000000003</v>
      </c>
      <c r="BV17" s="27">
        <v>0.47639999999999999</v>
      </c>
      <c r="BW17" s="27">
        <v>0.50619999999999998</v>
      </c>
      <c r="BX17" s="27">
        <v>0.44650000000000001</v>
      </c>
      <c r="BY17" s="27">
        <v>0.34960000000000002</v>
      </c>
      <c r="BZ17" s="27">
        <v>0.3972</v>
      </c>
      <c r="CA17" s="27">
        <v>0.372</v>
      </c>
      <c r="CB17" s="27">
        <v>0.33310000000000001</v>
      </c>
      <c r="CC17" s="28">
        <f>E17</f>
        <v>0.34770000000000001</v>
      </c>
      <c r="CD17" s="28">
        <f>G17</f>
        <v>0.40699999999999997</v>
      </c>
      <c r="CE17" s="28">
        <f>I17</f>
        <v>0.39829999999999999</v>
      </c>
      <c r="CF17" s="28">
        <f>K17</f>
        <v>0.4325</v>
      </c>
      <c r="CG17" s="28">
        <f>M17</f>
        <v>0.3982</v>
      </c>
      <c r="CH17" s="28">
        <f>O17</f>
        <v>0.4355</v>
      </c>
      <c r="CI17" s="28">
        <f>Q17</f>
        <v>0.44400000000000001</v>
      </c>
      <c r="CJ17" s="28">
        <f>S17</f>
        <v>0.54859999999999998</v>
      </c>
      <c r="CK17" s="28">
        <f>U17</f>
        <v>0.61050000000000004</v>
      </c>
      <c r="CL17" s="28">
        <f>W17</f>
        <v>0.62429999999999997</v>
      </c>
      <c r="CM17" s="28">
        <f>Y17</f>
        <v>0.64370000000000005</v>
      </c>
      <c r="CN17" s="28">
        <f>AA17</f>
        <v>0.57599999999999996</v>
      </c>
      <c r="CO17" s="28">
        <f>AC17</f>
        <v>0.5383</v>
      </c>
      <c r="CP17" s="28">
        <f>AE17</f>
        <v>0.46250000000000002</v>
      </c>
      <c r="CQ17" s="28">
        <f>AG17</f>
        <v>0.58740000000000003</v>
      </c>
      <c r="CR17" s="28">
        <f>AI17</f>
        <v>0.58479999999999999</v>
      </c>
      <c r="CS17" s="28">
        <f>AK17</f>
        <v>0.55200000000000005</v>
      </c>
      <c r="CT17" s="28">
        <f>AM17</f>
        <v>0.54910000000000003</v>
      </c>
      <c r="CU17" s="28">
        <f>AO17</f>
        <v>0.55389999999999995</v>
      </c>
      <c r="CV17" s="28">
        <f>AQ17</f>
        <v>0.53569999999999995</v>
      </c>
      <c r="CW17" s="28">
        <f>AS17</f>
        <v>0.58450000000000002</v>
      </c>
      <c r="CX17" s="28">
        <f>AU17</f>
        <v>0.52859999999999996</v>
      </c>
      <c r="CY17" s="28">
        <f>AW17</f>
        <v>0.51780000000000004</v>
      </c>
      <c r="CZ17" s="206">
        <f>AY17</f>
        <v>0.49070000000000003</v>
      </c>
      <c r="DA17" s="28">
        <f>BA17</f>
        <v>0.47499999999999992</v>
      </c>
      <c r="DB17" s="28">
        <f>BC17</f>
        <v>0.49999999999999983</v>
      </c>
      <c r="DC17" s="28">
        <f>BE17</f>
        <v>0.52720450281425824</v>
      </c>
      <c r="DD17" s="28">
        <f>BG17</f>
        <v>0.57120980091883578</v>
      </c>
      <c r="DE17" s="28">
        <f>BI17</f>
        <v>0.62323390894819397</v>
      </c>
      <c r="DF17" s="28">
        <f>BK17</f>
        <v>0.6366508688783562</v>
      </c>
      <c r="DG17" s="28">
        <f>BM17</f>
        <v>0.6366508688783562</v>
      </c>
      <c r="DH17" s="28">
        <f>BO17</f>
        <v>0.6366508688783562</v>
      </c>
      <c r="DI17" s="28">
        <f>BQ17</f>
        <v>0.6366508688783562</v>
      </c>
    </row>
    <row r="18" spans="1:113" ht="12" outlineLevel="1">
      <c r="A18" s="1" t="s">
        <v>802</v>
      </c>
      <c r="B18" s="15" t="s">
        <v>212</v>
      </c>
      <c r="C18" s="27">
        <v>0.49030000000000001</v>
      </c>
      <c r="D18" s="27">
        <v>0.53059999999999996</v>
      </c>
      <c r="E18" s="27">
        <v>0.54410000000000003</v>
      </c>
      <c r="F18" s="27">
        <v>0.60350000000000004</v>
      </c>
      <c r="G18" s="27">
        <v>0.67949999999999999</v>
      </c>
      <c r="H18" s="27">
        <v>0.75849999999999995</v>
      </c>
      <c r="I18" s="27">
        <v>0.71650000000000003</v>
      </c>
      <c r="J18" s="27">
        <v>0.77190000000000003</v>
      </c>
      <c r="K18" s="27">
        <v>0.76229999999999998</v>
      </c>
      <c r="L18" s="27">
        <v>0.71619999999999995</v>
      </c>
      <c r="M18" s="27">
        <v>0.74760000000000004</v>
      </c>
      <c r="N18" s="27">
        <v>0.80769999999999997</v>
      </c>
      <c r="O18" s="27">
        <v>0.88160000000000005</v>
      </c>
      <c r="P18" s="27">
        <v>0.91579999999999995</v>
      </c>
      <c r="Q18" s="27">
        <v>0.79949999999999999</v>
      </c>
      <c r="R18" s="27">
        <v>0.6855</v>
      </c>
      <c r="S18" s="27">
        <v>0.87919999999999998</v>
      </c>
      <c r="T18" s="27">
        <v>0.91559999999999997</v>
      </c>
      <c r="U18" s="27">
        <v>0.96679999999999999</v>
      </c>
      <c r="V18" s="27">
        <v>1.0333000000000001</v>
      </c>
      <c r="W18" s="27">
        <v>0.97309999999999997</v>
      </c>
      <c r="X18" s="27">
        <v>1.0401</v>
      </c>
      <c r="Y18" s="27">
        <v>1.0462</v>
      </c>
      <c r="Z18" s="329">
        <v>1.0424</v>
      </c>
      <c r="AA18" s="329">
        <v>0.93120000000000003</v>
      </c>
      <c r="AB18" s="329">
        <v>0.92330000000000001</v>
      </c>
      <c r="AC18" s="329">
        <v>0.87519999999999998</v>
      </c>
      <c r="AD18" s="329">
        <v>0.76339999999999997</v>
      </c>
      <c r="AE18" s="329">
        <v>0.70130000000000003</v>
      </c>
      <c r="AF18" s="329">
        <v>0.7651</v>
      </c>
      <c r="AG18" s="329">
        <v>0.76170000000000004</v>
      </c>
      <c r="AH18" s="329">
        <v>0.76439999999999997</v>
      </c>
      <c r="AI18" s="329">
        <v>0.78449999999999998</v>
      </c>
      <c r="AJ18" s="329">
        <v>0.7671</v>
      </c>
      <c r="AK18" s="329">
        <v>0.72160000000000002</v>
      </c>
      <c r="AL18" s="329">
        <v>0.70940000000000003</v>
      </c>
      <c r="AM18" s="329">
        <v>0.6754</v>
      </c>
      <c r="AN18" s="329">
        <v>0.61890000000000001</v>
      </c>
      <c r="AO18" s="329">
        <v>0.71099999999999997</v>
      </c>
      <c r="AP18" s="329">
        <v>0.76</v>
      </c>
      <c r="AQ18" s="329">
        <v>0.72019999999999995</v>
      </c>
      <c r="AR18" s="329">
        <v>0.74829999999999997</v>
      </c>
      <c r="AS18" s="329">
        <v>0.64890000000000003</v>
      </c>
      <c r="AT18" s="329">
        <v>0.67120000000000002</v>
      </c>
      <c r="AU18" s="329">
        <v>0.64680000000000004</v>
      </c>
      <c r="AV18" s="329">
        <v>0.65080000000000005</v>
      </c>
      <c r="AW18" s="329">
        <v>0.69330000000000003</v>
      </c>
      <c r="AX18" s="329">
        <v>0.62829999999999997</v>
      </c>
      <c r="AY18" s="236">
        <v>0.65980000000000005</v>
      </c>
      <c r="AZ18" s="205">
        <f>VLOOKUP(RIGHT($A18,LEN($A18)-4),[1]Sheet1!$2:$65479,MATCH(AZ$3,[1]Sheet1!$2:$2,0),FALSE)</f>
        <v>0.67500000000000016</v>
      </c>
      <c r="BA18" s="205">
        <f>VLOOKUP(RIGHT($A18,LEN($A18)-4),[1]Sheet1!$2:$65479,MATCH(BA$3,[1]Sheet1!$2:$2,0),FALSE)</f>
        <v>0.66500000000000004</v>
      </c>
      <c r="BB18" s="205">
        <f>VLOOKUP(RIGHT($A18,LEN($A18)-4),[1]Sheet1!$2:$65479,MATCH(BB$3,[1]Sheet1!$2:$2,0),FALSE)</f>
        <v>0.65749999999999997</v>
      </c>
      <c r="BC18" s="205">
        <f>VLOOKUP(RIGHT($A18,LEN($A18)-4),[1]Sheet1!$2:$65479,MATCH(BC$3,[1]Sheet1!$2:$2,0),FALSE)</f>
        <v>0.67249999999999965</v>
      </c>
      <c r="BD18" s="205">
        <f>VLOOKUP(RIGHT($A18,LEN($A18)-4),[1]Sheet1!$2:$65479,MATCH(BD$3,[1]Sheet1!$2:$2,0),FALSE)</f>
        <v>0.68749999999999989</v>
      </c>
      <c r="BE18" s="205">
        <f>VLOOKUP(RIGHT($A18,LEN($A18)-4),[1]Sheet1!$2:$65479,MATCH(BE$3,[1]Sheet1!$2:$2,0),FALSE)</f>
        <v>0.70249999999999957</v>
      </c>
      <c r="BF18" s="205">
        <f>VLOOKUP(RIGHT($A18,LEN($A18)-4),[1]Sheet1!$2:$65479,MATCH(BF$3,[1]Sheet1!$2:$2,0),FALSE)</f>
        <v>0.72199999999999998</v>
      </c>
      <c r="BG18" s="205">
        <f>VLOOKUP(RIGHT($A18,LEN($A18)-4),[1]Sheet1!$2:$65479,MATCH(BG$3,[1]Sheet1!$2:$2,0),FALSE)</f>
        <v>0.746</v>
      </c>
      <c r="BH18" s="205">
        <f>VLOOKUP(RIGHT($A18,LEN($A18)-4),[1]Sheet1!$2:$65479,MATCH(BH$3,[1]Sheet1!$2:$2,0),FALSE)</f>
        <v>0.77</v>
      </c>
      <c r="BI18" s="205">
        <f>VLOOKUP(RIGHT($A18,LEN($A18)-4),[1]Sheet1!$2:$65479,MATCH(BI$3,[1]Sheet1!$2:$2,0),FALSE)</f>
        <v>0.79400000000000004</v>
      </c>
      <c r="BJ18" s="205">
        <f>VLOOKUP(RIGHT($A18,LEN($A18)-4),[1]Sheet1!$2:$65479,MATCH(BJ$3,[1]Sheet1!$2:$2,0),FALSE)</f>
        <v>0.80600000000000005</v>
      </c>
      <c r="BK18" s="205">
        <f>VLOOKUP(RIGHT($A18,LEN($A18)-4),[1]Sheet1!$2:$65479,MATCH(BK$3,[1]Sheet1!$2:$2,0),FALSE)</f>
        <v>0.80600000000000005</v>
      </c>
      <c r="BL18" s="205">
        <f>VLOOKUP(RIGHT($A18,LEN($A18)-4),[1]Sheet1!$2:$65479,MATCH(BL$3,[1]Sheet1!$2:$2,0),FALSE)</f>
        <v>0.80600000000000005</v>
      </c>
      <c r="BM18" s="205">
        <f>VLOOKUP(RIGHT($A18,LEN($A18)-4),[1]Sheet1!$2:$65479,MATCH(BM$3,[1]Sheet1!$2:$2,0),FALSE)</f>
        <v>0.80600000000000005</v>
      </c>
      <c r="BN18" s="205">
        <f>VLOOKUP(RIGHT($A18,LEN($A18)-4),[1]Sheet1!$2:$65479,MATCH(BN$3,[1]Sheet1!$2:$2,0),FALSE)</f>
        <v>0.80600000000000005</v>
      </c>
      <c r="BO18" s="205">
        <f>VLOOKUP(RIGHT($A18,LEN($A18)-4),[1]Sheet1!$2:$65479,MATCH(BO$3,[1]Sheet1!$2:$2,0),FALSE)</f>
        <v>0.80600000000000005</v>
      </c>
      <c r="BP18" s="205">
        <f>VLOOKUP(RIGHT($A18,LEN($A18)-4),[1]Sheet1!$2:$65479,MATCH(BP$3,[1]Sheet1!$2:$2,0),FALSE)</f>
        <v>0.80600000000000005</v>
      </c>
      <c r="BQ18" s="205">
        <f>VLOOKUP(RIGHT($A18,LEN($A18)-4),[1]Sheet1!$2:$65479,MATCH(BQ$3,[1]Sheet1!$2:$2,0),FALSE)</f>
        <v>0.80600000000000005</v>
      </c>
      <c r="BR18" s="28"/>
      <c r="BS18" s="27">
        <v>0.71430000000000005</v>
      </c>
      <c r="BT18" s="27">
        <v>0.64549999999999996</v>
      </c>
      <c r="BU18" s="27">
        <v>0.73929999999999996</v>
      </c>
      <c r="BV18" s="27">
        <v>0.752</v>
      </c>
      <c r="BW18" s="27">
        <v>0.79139999999999999</v>
      </c>
      <c r="BX18" s="27">
        <v>0.71970000000000001</v>
      </c>
      <c r="BY18" s="27">
        <v>0.59719999999999995</v>
      </c>
      <c r="BZ18" s="27">
        <v>0.65329999999999999</v>
      </c>
      <c r="CA18" s="27">
        <v>0.5444</v>
      </c>
      <c r="CB18" s="27">
        <v>0.49030000000000001</v>
      </c>
      <c r="CC18" s="28">
        <f>E18</f>
        <v>0.54410000000000003</v>
      </c>
      <c r="CD18" s="28">
        <f>G18</f>
        <v>0.67949999999999999</v>
      </c>
      <c r="CE18" s="28">
        <f>I18</f>
        <v>0.71650000000000003</v>
      </c>
      <c r="CF18" s="28">
        <f>K18</f>
        <v>0.76229999999999998</v>
      </c>
      <c r="CG18" s="28">
        <f>M18</f>
        <v>0.74760000000000004</v>
      </c>
      <c r="CH18" s="28">
        <f>O18</f>
        <v>0.88160000000000005</v>
      </c>
      <c r="CI18" s="28">
        <f>Q18</f>
        <v>0.79949999999999999</v>
      </c>
      <c r="CJ18" s="28">
        <f>S18</f>
        <v>0.87919999999999998</v>
      </c>
      <c r="CK18" s="28">
        <f>U18</f>
        <v>0.96679999999999999</v>
      </c>
      <c r="CL18" s="28">
        <f>W18</f>
        <v>0.97309999999999997</v>
      </c>
      <c r="CM18" s="28">
        <f>Y18</f>
        <v>1.0462</v>
      </c>
      <c r="CN18" s="28">
        <f>AA18</f>
        <v>0.93120000000000003</v>
      </c>
      <c r="CO18" s="28">
        <f>AC18</f>
        <v>0.87519999999999998</v>
      </c>
      <c r="CP18" s="28">
        <f>AE18</f>
        <v>0.70130000000000003</v>
      </c>
      <c r="CQ18" s="28">
        <f>AG18</f>
        <v>0.76170000000000004</v>
      </c>
      <c r="CR18" s="28">
        <f>AI18</f>
        <v>0.78449999999999998</v>
      </c>
      <c r="CS18" s="28">
        <f>AK18</f>
        <v>0.72160000000000002</v>
      </c>
      <c r="CT18" s="28">
        <f>AM18</f>
        <v>0.6754</v>
      </c>
      <c r="CU18" s="28">
        <f>AO18</f>
        <v>0.71099999999999997</v>
      </c>
      <c r="CV18" s="28">
        <f>AQ18</f>
        <v>0.72019999999999995</v>
      </c>
      <c r="CW18" s="28">
        <f>AS18</f>
        <v>0.64890000000000003</v>
      </c>
      <c r="CX18" s="28">
        <f>AU18</f>
        <v>0.64680000000000004</v>
      </c>
      <c r="CY18" s="28">
        <f>AW18</f>
        <v>0.69330000000000003</v>
      </c>
      <c r="CZ18" s="206">
        <f>AY18</f>
        <v>0.65980000000000005</v>
      </c>
      <c r="DA18" s="28">
        <f>BA18</f>
        <v>0.66500000000000004</v>
      </c>
      <c r="DB18" s="28">
        <f>BC18</f>
        <v>0.67249999999999965</v>
      </c>
      <c r="DC18" s="28">
        <f>BE18</f>
        <v>0.70249999999999957</v>
      </c>
      <c r="DD18" s="28">
        <f>BG18</f>
        <v>0.746</v>
      </c>
      <c r="DE18" s="28">
        <f>BI18</f>
        <v>0.79400000000000004</v>
      </c>
      <c r="DF18" s="28">
        <f>BK18</f>
        <v>0.80600000000000005</v>
      </c>
      <c r="DG18" s="28">
        <f>BM18</f>
        <v>0.80600000000000005</v>
      </c>
      <c r="DH18" s="28">
        <f>BO18</f>
        <v>0.80600000000000005</v>
      </c>
      <c r="DI18" s="28">
        <f>BQ18</f>
        <v>0.80600000000000005</v>
      </c>
    </row>
    <row r="19" spans="1:113" ht="12" outlineLevel="1">
      <c r="A19" s="1" t="s">
        <v>1119</v>
      </c>
      <c r="B19" s="15" t="s">
        <v>213</v>
      </c>
      <c r="C19" s="27">
        <v>1.2126999999999999</v>
      </c>
      <c r="D19" s="27">
        <v>1.2121999999999999</v>
      </c>
      <c r="E19" s="27">
        <v>1.1585000000000001</v>
      </c>
      <c r="F19" s="27">
        <v>1.0904</v>
      </c>
      <c r="G19" s="27">
        <v>1.1431</v>
      </c>
      <c r="H19" s="27">
        <v>1.1467000000000001</v>
      </c>
      <c r="I19" s="27">
        <v>1.07</v>
      </c>
      <c r="J19" s="27">
        <v>1.0899000000000001</v>
      </c>
      <c r="K19" s="27">
        <v>1.0998000000000001</v>
      </c>
      <c r="L19" s="27">
        <v>1.17</v>
      </c>
      <c r="M19" s="27">
        <v>1.1455</v>
      </c>
      <c r="N19" s="27">
        <v>1.1312</v>
      </c>
      <c r="O19" s="27">
        <v>1.1642999999999999</v>
      </c>
      <c r="P19" s="27">
        <v>1.155</v>
      </c>
      <c r="Q19" s="27">
        <v>1.1934</v>
      </c>
      <c r="R19" s="27">
        <v>1.2067000000000001</v>
      </c>
      <c r="S19" s="27">
        <v>1.2188000000000001</v>
      </c>
      <c r="T19" s="27">
        <v>1.2902</v>
      </c>
      <c r="U19" s="27">
        <v>1.3139000000000001</v>
      </c>
      <c r="V19" s="27">
        <v>1.3588</v>
      </c>
      <c r="W19" s="27">
        <v>1.2726999999999999</v>
      </c>
      <c r="X19" s="27">
        <v>1.2697000000000001</v>
      </c>
      <c r="Y19" s="27">
        <v>1.2528999999999999</v>
      </c>
      <c r="Z19" s="329">
        <v>1.2468999999999999</v>
      </c>
      <c r="AA19" s="329">
        <v>1.1236999999999999</v>
      </c>
      <c r="AB19" s="329">
        <v>1.0668</v>
      </c>
      <c r="AC19" s="329">
        <v>1.1218999999999999</v>
      </c>
      <c r="AD19" s="329">
        <v>1.0187999999999999</v>
      </c>
      <c r="AE19" s="329">
        <v>1.1003000000000001</v>
      </c>
      <c r="AF19" s="329">
        <v>1.1093</v>
      </c>
      <c r="AG19" s="329">
        <v>1.0487</v>
      </c>
      <c r="AH19" s="329">
        <v>1.0939000000000001</v>
      </c>
      <c r="AI19" s="329">
        <v>1.0867</v>
      </c>
      <c r="AJ19" s="329">
        <v>1.0649999999999999</v>
      </c>
      <c r="AK19" s="329">
        <v>1.0918000000000001</v>
      </c>
      <c r="AL19" s="329">
        <v>1.0436000000000001</v>
      </c>
      <c r="AM19" s="329">
        <v>1.0793999999999999</v>
      </c>
      <c r="AN19" s="329">
        <v>1.0268999999999999</v>
      </c>
      <c r="AO19" s="329">
        <v>1.0802</v>
      </c>
      <c r="AP19" s="329">
        <v>1.0893999999999999</v>
      </c>
      <c r="AQ19" s="329">
        <v>1.0472999999999999</v>
      </c>
      <c r="AR19" s="329">
        <v>1.0760000000000001</v>
      </c>
      <c r="AS19" s="329">
        <v>1.1349</v>
      </c>
      <c r="AT19" s="329">
        <v>1.0679000000000001</v>
      </c>
      <c r="AU19" s="329">
        <v>1.0742</v>
      </c>
      <c r="AV19" s="329">
        <v>1.0903</v>
      </c>
      <c r="AW19" s="329">
        <v>1.0882000000000001</v>
      </c>
      <c r="AX19" s="329">
        <v>1.1000000000000001</v>
      </c>
      <c r="AY19" s="236">
        <v>1.1383000000000001</v>
      </c>
      <c r="AZ19" s="205">
        <f>VLOOKUP(RIGHT($A19,LEN($A19)-4),[1]Sheet1!$2:$65479,MATCH(AZ$3,[1]Sheet1!$2:$2,0),FALSE)</f>
        <v>1.08</v>
      </c>
      <c r="BA19" s="205">
        <f>VLOOKUP(RIGHT($A19,LEN($A19)-4),[1]Sheet1!$2:$65479,MATCH(BA$3,[1]Sheet1!$2:$2,0),FALSE)</f>
        <v>1.0991735537190082</v>
      </c>
      <c r="BB19" s="205">
        <f>VLOOKUP(RIGHT($A19,LEN($A19)-4),[1]Sheet1!$2:$65479,MATCH(BB$3,[1]Sheet1!$2:$2,0),FALSE)</f>
        <v>1.1239316239316237</v>
      </c>
      <c r="BC19" s="205">
        <f>VLOOKUP(RIGHT($A19,LEN($A19)-4),[1]Sheet1!$2:$65479,MATCH(BC$3,[1]Sheet1!$2:$2,0),FALSE)</f>
        <v>1.130252100840335</v>
      </c>
      <c r="BD19" s="205">
        <f>VLOOKUP(RIGHT($A19,LEN($A19)-4),[1]Sheet1!$2:$65479,MATCH(BD$3,[1]Sheet1!$2:$2,0),FALSE)</f>
        <v>1.1410788381742736</v>
      </c>
      <c r="BE19" s="205">
        <f>VLOOKUP(RIGHT($A19,LEN($A19)-4),[1]Sheet1!$2:$65479,MATCH(BE$3,[1]Sheet1!$2:$2,0),FALSE)</f>
        <v>1.1563786008230443</v>
      </c>
      <c r="BF19" s="205">
        <f>VLOOKUP(RIGHT($A19,LEN($A19)-4),[1]Sheet1!$2:$65479,MATCH(BF$3,[1]Sheet1!$2:$2,0),FALSE)</f>
        <v>1.1701782820097246</v>
      </c>
      <c r="BG19" s="205">
        <f>VLOOKUP(RIGHT($A19,LEN($A19)-4),[1]Sheet1!$2:$65479,MATCH(BG$3,[1]Sheet1!$2:$2,0),FALSE)</f>
        <v>1.1822503961965141</v>
      </c>
      <c r="BH19" s="205">
        <f>VLOOKUP(RIGHT($A19,LEN($A19)-4),[1]Sheet1!$2:$65479,MATCH(BH$3,[1]Sheet1!$2:$2,0),FALSE)</f>
        <v>1.1937984496124041</v>
      </c>
      <c r="BI19" s="205">
        <f>VLOOKUP(RIGHT($A19,LEN($A19)-4),[1]Sheet1!$2:$65479,MATCH(BI$3,[1]Sheet1!$2:$2,0),FALSE)</f>
        <v>1.2048558421851303</v>
      </c>
      <c r="BJ19" s="205">
        <f>VLOOKUP(RIGHT($A19,LEN($A19)-4),[1]Sheet1!$2:$65479,MATCH(BJ$3,[1]Sheet1!$2:$2,0),FALSE)</f>
        <v>1.2102102102102119</v>
      </c>
      <c r="BK19" s="205">
        <f>VLOOKUP(RIGHT($A19,LEN($A19)-4),[1]Sheet1!$2:$65479,MATCH(BK$3,[1]Sheet1!$2:$2,0),FALSE)</f>
        <v>1.2102102102102119</v>
      </c>
      <c r="BL19" s="205">
        <f>VLOOKUP(RIGHT($A19,LEN($A19)-4),[1]Sheet1!$2:$65479,MATCH(BL$3,[1]Sheet1!$2:$2,0),FALSE)</f>
        <v>1.2102102102102119</v>
      </c>
      <c r="BM19" s="205">
        <f>VLOOKUP(RIGHT($A19,LEN($A19)-4),[1]Sheet1!$2:$65479,MATCH(BM$3,[1]Sheet1!$2:$2,0),FALSE)</f>
        <v>1.2102102102102119</v>
      </c>
      <c r="BN19" s="205">
        <f>VLOOKUP(RIGHT($A19,LEN($A19)-4),[1]Sheet1!$2:$65479,MATCH(BN$3,[1]Sheet1!$2:$2,0),FALSE)</f>
        <v>1.2102102102102119</v>
      </c>
      <c r="BO19" s="205">
        <f>VLOOKUP(RIGHT($A19,LEN($A19)-4),[1]Sheet1!$2:$65479,MATCH(BO$3,[1]Sheet1!$2:$2,0),FALSE)</f>
        <v>1.2102102102102119</v>
      </c>
      <c r="BP19" s="205">
        <f>VLOOKUP(RIGHT($A19,LEN($A19)-4),[1]Sheet1!$2:$65479,MATCH(BP$3,[1]Sheet1!$2:$2,0),FALSE)</f>
        <v>1.2102102102102119</v>
      </c>
      <c r="BQ19" s="205">
        <f>VLOOKUP(RIGHT($A19,LEN($A19)-4),[1]Sheet1!$2:$65479,MATCH(BQ$3,[1]Sheet1!$2:$2,0),FALSE)</f>
        <v>1.2102102102102119</v>
      </c>
      <c r="BR19" s="28"/>
      <c r="BS19" s="27">
        <v>1.3318000000000001</v>
      </c>
      <c r="BT19" s="27">
        <v>1.1736</v>
      </c>
      <c r="BU19" s="27">
        <v>1.2254</v>
      </c>
      <c r="BV19" s="27">
        <v>1.1497999999999999</v>
      </c>
      <c r="BW19" s="27">
        <v>1.1314</v>
      </c>
      <c r="BX19" s="27">
        <v>1.1272</v>
      </c>
      <c r="BY19" s="27">
        <v>1.1868000000000001</v>
      </c>
      <c r="BZ19" s="27">
        <v>1.2598</v>
      </c>
      <c r="CA19" s="27">
        <v>1.3324</v>
      </c>
      <c r="CB19" s="27">
        <v>1.2126999999999999</v>
      </c>
      <c r="CC19" s="28">
        <f>E19</f>
        <v>1.1585000000000001</v>
      </c>
      <c r="CD19" s="28">
        <f>G19</f>
        <v>1.1431</v>
      </c>
      <c r="CE19" s="28">
        <f>I19</f>
        <v>1.07</v>
      </c>
      <c r="CF19" s="28">
        <f>K19</f>
        <v>1.0998000000000001</v>
      </c>
      <c r="CG19" s="28">
        <f>M19</f>
        <v>1.1455</v>
      </c>
      <c r="CH19" s="28">
        <f>O19</f>
        <v>1.1642999999999999</v>
      </c>
      <c r="CI19" s="28">
        <f>Q19</f>
        <v>1.1934</v>
      </c>
      <c r="CJ19" s="28">
        <f>S19</f>
        <v>1.2188000000000001</v>
      </c>
      <c r="CK19" s="28">
        <f>U19</f>
        <v>1.3139000000000001</v>
      </c>
      <c r="CL19" s="28">
        <f>W19</f>
        <v>1.2726999999999999</v>
      </c>
      <c r="CM19" s="28">
        <f>Y19</f>
        <v>1.2528999999999999</v>
      </c>
      <c r="CN19" s="28">
        <f>AA19</f>
        <v>1.1236999999999999</v>
      </c>
      <c r="CO19" s="28">
        <f>AC19</f>
        <v>1.1218999999999999</v>
      </c>
      <c r="CP19" s="28">
        <f>AE19</f>
        <v>1.1003000000000001</v>
      </c>
      <c r="CQ19" s="28">
        <f>AG19</f>
        <v>1.0487</v>
      </c>
      <c r="CR19" s="28">
        <f>AI19</f>
        <v>1.0867</v>
      </c>
      <c r="CS19" s="28">
        <f>AK19</f>
        <v>1.0918000000000001</v>
      </c>
      <c r="CT19" s="28">
        <f>AM19</f>
        <v>1.0793999999999999</v>
      </c>
      <c r="CU19" s="28">
        <f>AO19</f>
        <v>1.0802</v>
      </c>
      <c r="CV19" s="28">
        <f>AQ19</f>
        <v>1.0472999999999999</v>
      </c>
      <c r="CW19" s="28">
        <f>AS19</f>
        <v>1.1349</v>
      </c>
      <c r="CX19" s="28">
        <f>AU19</f>
        <v>1.0742</v>
      </c>
      <c r="CY19" s="28">
        <f>AW19</f>
        <v>1.0882000000000001</v>
      </c>
      <c r="CZ19" s="206">
        <f>AY19</f>
        <v>1.1383000000000001</v>
      </c>
      <c r="DA19" s="28">
        <f>BA19</f>
        <v>1.0991735537190082</v>
      </c>
      <c r="DB19" s="28">
        <f>BC19</f>
        <v>1.130252100840335</v>
      </c>
      <c r="DC19" s="28">
        <f>BE19</f>
        <v>1.1563786008230443</v>
      </c>
      <c r="DD19" s="28">
        <f>BG19</f>
        <v>1.1822503961965141</v>
      </c>
      <c r="DE19" s="28">
        <f>BI19</f>
        <v>1.2048558421851303</v>
      </c>
      <c r="DF19" s="28">
        <f>BK19</f>
        <v>1.2102102102102119</v>
      </c>
      <c r="DG19" s="28">
        <f>BM19</f>
        <v>1.2102102102102119</v>
      </c>
      <c r="DH19" s="28">
        <f>BO19</f>
        <v>1.2102102102102119</v>
      </c>
      <c r="DI19" s="28">
        <f>BQ19</f>
        <v>1.2102102102102119</v>
      </c>
    </row>
    <row r="20" spans="1:113" ht="12" outlineLevel="1">
      <c r="A20" s="1" t="s">
        <v>1120</v>
      </c>
      <c r="B20" s="15" t="s">
        <v>214</v>
      </c>
      <c r="C20" s="27">
        <v>0.53990000000000005</v>
      </c>
      <c r="D20" s="27">
        <v>0.61180000000000001</v>
      </c>
      <c r="E20" s="27">
        <v>0.54959999999999998</v>
      </c>
      <c r="F20" s="27">
        <v>0.55359999999999998</v>
      </c>
      <c r="G20" s="27">
        <v>0.58450000000000002</v>
      </c>
      <c r="H20" s="27">
        <v>0.61950000000000005</v>
      </c>
      <c r="I20" s="27">
        <v>0.58140000000000003</v>
      </c>
      <c r="J20" s="27">
        <v>0.59699999999999998</v>
      </c>
      <c r="K20" s="27">
        <v>0.63249999999999995</v>
      </c>
      <c r="L20" s="27">
        <v>0.58899999999999997</v>
      </c>
      <c r="M20" s="27">
        <v>0.58819999999999995</v>
      </c>
      <c r="N20" s="27">
        <v>0.60540000000000005</v>
      </c>
      <c r="O20" s="27">
        <v>0.62229999999999996</v>
      </c>
      <c r="P20" s="27">
        <v>0.57950000000000002</v>
      </c>
      <c r="Q20" s="27">
        <v>0.55679999999999996</v>
      </c>
      <c r="R20" s="27">
        <v>0.51780000000000004</v>
      </c>
      <c r="S20" s="27">
        <v>0.60140000000000005</v>
      </c>
      <c r="T20" s="27">
        <v>0.68289999999999995</v>
      </c>
      <c r="U20" s="27">
        <v>0.71109999999999995</v>
      </c>
      <c r="V20" s="27">
        <v>0.73050000000000004</v>
      </c>
      <c r="W20" s="27">
        <v>0.71940000000000004</v>
      </c>
      <c r="X20" s="27">
        <v>0.77910000000000001</v>
      </c>
      <c r="Y20" s="27">
        <v>0.80920000000000003</v>
      </c>
      <c r="Z20" s="329">
        <v>0.81520000000000004</v>
      </c>
      <c r="AA20" s="329">
        <v>0.68959999999999999</v>
      </c>
      <c r="AB20" s="329">
        <v>0.67159999999999997</v>
      </c>
      <c r="AC20" s="329">
        <v>0.6895</v>
      </c>
      <c r="AD20" s="329">
        <v>0.70569999999999999</v>
      </c>
      <c r="AE20" s="329">
        <v>0.62290000000000001</v>
      </c>
      <c r="AF20" s="329">
        <v>0.67600000000000005</v>
      </c>
      <c r="AG20" s="329">
        <v>0.67889999999999995</v>
      </c>
      <c r="AH20" s="329">
        <v>0.71599999999999997</v>
      </c>
      <c r="AI20" s="329">
        <v>0.66549999999999998</v>
      </c>
      <c r="AJ20" s="329">
        <v>0.62209999999999999</v>
      </c>
      <c r="AK20" s="329">
        <v>0.62050000000000005</v>
      </c>
      <c r="AL20" s="329">
        <v>0.63129999999999997</v>
      </c>
      <c r="AM20" s="329">
        <v>0.61750000000000005</v>
      </c>
      <c r="AN20" s="329">
        <v>0.56189999999999996</v>
      </c>
      <c r="AO20" s="329">
        <v>0.60609999999999997</v>
      </c>
      <c r="AP20" s="329">
        <v>0.64900000000000002</v>
      </c>
      <c r="AQ20" s="329">
        <v>0.62090000000000001</v>
      </c>
      <c r="AR20" s="329">
        <v>0.67030000000000001</v>
      </c>
      <c r="AS20" s="329">
        <v>0.66180000000000005</v>
      </c>
      <c r="AT20" s="329">
        <v>0.61580000000000001</v>
      </c>
      <c r="AU20" s="329">
        <v>0.61119999999999997</v>
      </c>
      <c r="AV20" s="329">
        <v>0.60399999999999998</v>
      </c>
      <c r="AW20" s="329">
        <v>0.62090000000000001</v>
      </c>
      <c r="AX20" s="329">
        <v>0.5796</v>
      </c>
      <c r="AY20" s="236">
        <v>0.56200000000000006</v>
      </c>
      <c r="AZ20" s="205">
        <f>VLOOKUP(RIGHT($A20,LEN($A20)-4),[1]Sheet1!$2:$65479,MATCH(AZ$3,[1]Sheet1!$2:$2,0),FALSE)</f>
        <v>0.55102040816326547</v>
      </c>
      <c r="BA20" s="205">
        <f>VLOOKUP(RIGHT($A20,LEN($A20)-4),[1]Sheet1!$2:$65479,MATCH(BA$3,[1]Sheet1!$2:$2,0),FALSE)</f>
        <v>0.53200000000000003</v>
      </c>
      <c r="BB20" s="205">
        <f>VLOOKUP(RIGHT($A20,LEN($A20)-4),[1]Sheet1!$2:$65479,MATCH(BB$3,[1]Sheet1!$2:$2,0),FALSE)</f>
        <v>0.52600000000000002</v>
      </c>
      <c r="BC20" s="205">
        <f>VLOOKUP(RIGHT($A20,LEN($A20)-4),[1]Sheet1!$2:$65479,MATCH(BC$3,[1]Sheet1!$2:$2,0),FALSE)</f>
        <v>0.5379999999999997</v>
      </c>
      <c r="BD20" s="205">
        <f>VLOOKUP(RIGHT($A20,LEN($A20)-4),[1]Sheet1!$2:$65479,MATCH(BD$3,[1]Sheet1!$2:$2,0),FALSE)</f>
        <v>0.54999999999999993</v>
      </c>
      <c r="BE20" s="205">
        <f>VLOOKUP(RIGHT($A20,LEN($A20)-4),[1]Sheet1!$2:$65479,MATCH(BE$3,[1]Sheet1!$2:$2,0),FALSE)</f>
        <v>0.56199999999999961</v>
      </c>
      <c r="BF20" s="205">
        <f>VLOOKUP(RIGHT($A20,LEN($A20)-4),[1]Sheet1!$2:$65479,MATCH(BF$3,[1]Sheet1!$2:$2,0),FALSE)</f>
        <v>0.5799196787148595</v>
      </c>
      <c r="BG20" s="205">
        <f>VLOOKUP(RIGHT($A20,LEN($A20)-4),[1]Sheet1!$2:$65479,MATCH(BG$3,[1]Sheet1!$2:$2,0),FALSE)</f>
        <v>0.60404858299595154</v>
      </c>
      <c r="BH20" s="205">
        <f>VLOOKUP(RIGHT($A20,LEN($A20)-4),[1]Sheet1!$2:$65479,MATCH(BH$3,[1]Sheet1!$2:$2,0),FALSE)</f>
        <v>0.62857142857142889</v>
      </c>
      <c r="BI20" s="205">
        <f>VLOOKUP(RIGHT($A20,LEN($A20)-4),[1]Sheet1!$2:$65479,MATCH(BI$3,[1]Sheet1!$2:$2,0),FALSE)</f>
        <v>0.65349794238683179</v>
      </c>
      <c r="BJ20" s="205">
        <f>VLOOKUP(RIGHT($A20,LEN($A20)-4),[1]Sheet1!$2:$65479,MATCH(BJ$3,[1]Sheet1!$2:$2,0),FALSE)</f>
        <v>0.66611570247933938</v>
      </c>
      <c r="BK20" s="205">
        <f>VLOOKUP(RIGHT($A20,LEN($A20)-4),[1]Sheet1!$2:$65479,MATCH(BK$3,[1]Sheet1!$2:$2,0),FALSE)</f>
        <v>0.66611570247933938</v>
      </c>
      <c r="BL20" s="205">
        <f>VLOOKUP(RIGHT($A20,LEN($A20)-4),[1]Sheet1!$2:$65479,MATCH(BL$3,[1]Sheet1!$2:$2,0),FALSE)</f>
        <v>0.66611570247933938</v>
      </c>
      <c r="BM20" s="205">
        <f>VLOOKUP(RIGHT($A20,LEN($A20)-4),[1]Sheet1!$2:$65479,MATCH(BM$3,[1]Sheet1!$2:$2,0),FALSE)</f>
        <v>0.66611570247933938</v>
      </c>
      <c r="BN20" s="205">
        <f>VLOOKUP(RIGHT($A20,LEN($A20)-4),[1]Sheet1!$2:$65479,MATCH(BN$3,[1]Sheet1!$2:$2,0),FALSE)</f>
        <v>0.66611570247933938</v>
      </c>
      <c r="BO20" s="205">
        <f>VLOOKUP(RIGHT($A20,LEN($A20)-4),[1]Sheet1!$2:$65479,MATCH(BO$3,[1]Sheet1!$2:$2,0),FALSE)</f>
        <v>0.66611570247933938</v>
      </c>
      <c r="BP20" s="205">
        <f>VLOOKUP(RIGHT($A20,LEN($A20)-4),[1]Sheet1!$2:$65479,MATCH(BP$3,[1]Sheet1!$2:$2,0),FALSE)</f>
        <v>0.66611570247933938</v>
      </c>
      <c r="BQ20" s="205">
        <f>VLOOKUP(RIGHT($A20,LEN($A20)-4),[1]Sheet1!$2:$65479,MATCH(BQ$3,[1]Sheet1!$2:$2,0),FALSE)</f>
        <v>0.66611570247933938</v>
      </c>
      <c r="BR20" s="28"/>
      <c r="BS20" s="27"/>
      <c r="BT20" s="27"/>
      <c r="BU20" s="27"/>
      <c r="BV20" s="27"/>
      <c r="BW20" s="27"/>
      <c r="BX20" s="27">
        <v>0.64980000000000004</v>
      </c>
      <c r="BY20" s="27">
        <v>0.5071</v>
      </c>
      <c r="BZ20" s="27">
        <v>0.61060000000000003</v>
      </c>
      <c r="CA20" s="27">
        <v>0.61439999999999995</v>
      </c>
      <c r="CB20" s="27">
        <v>0.53990000000000005</v>
      </c>
      <c r="CC20" s="28">
        <f>E20</f>
        <v>0.54959999999999998</v>
      </c>
      <c r="CD20" s="28">
        <f>G20</f>
        <v>0.58450000000000002</v>
      </c>
      <c r="CE20" s="28">
        <f>I20</f>
        <v>0.58140000000000003</v>
      </c>
      <c r="CF20" s="28">
        <f>K20</f>
        <v>0.63249999999999995</v>
      </c>
      <c r="CG20" s="28">
        <f>M20</f>
        <v>0.58819999999999995</v>
      </c>
      <c r="CH20" s="28">
        <f>O20</f>
        <v>0.62229999999999996</v>
      </c>
      <c r="CI20" s="28">
        <f>Q20</f>
        <v>0.55679999999999996</v>
      </c>
      <c r="CJ20" s="28">
        <f>S20</f>
        <v>0.60140000000000005</v>
      </c>
      <c r="CK20" s="28">
        <f>U20</f>
        <v>0.71109999999999995</v>
      </c>
      <c r="CL20" s="28">
        <f>W20</f>
        <v>0.71940000000000004</v>
      </c>
      <c r="CM20" s="28">
        <f>Y20</f>
        <v>0.80920000000000003</v>
      </c>
      <c r="CN20" s="28">
        <f>AA20</f>
        <v>0.68959999999999999</v>
      </c>
      <c r="CO20" s="28">
        <f>AC20</f>
        <v>0.6895</v>
      </c>
      <c r="CP20" s="28">
        <f>AE20</f>
        <v>0.62290000000000001</v>
      </c>
      <c r="CQ20" s="28">
        <f>AG20</f>
        <v>0.67889999999999995</v>
      </c>
      <c r="CR20" s="28">
        <f>AI20</f>
        <v>0.66549999999999998</v>
      </c>
      <c r="CS20" s="28">
        <f>AK20</f>
        <v>0.62050000000000005</v>
      </c>
      <c r="CT20" s="28">
        <f>AM20</f>
        <v>0.61750000000000005</v>
      </c>
      <c r="CU20" s="28">
        <f>AO20</f>
        <v>0.60609999999999997</v>
      </c>
      <c r="CV20" s="28">
        <f>AQ20</f>
        <v>0.62090000000000001</v>
      </c>
      <c r="CW20" s="28">
        <f>AS20</f>
        <v>0.66180000000000005</v>
      </c>
      <c r="CX20" s="28">
        <f>AU20</f>
        <v>0.61119999999999997</v>
      </c>
      <c r="CY20" s="28">
        <f>AW20</f>
        <v>0.62090000000000001</v>
      </c>
      <c r="CZ20" s="206">
        <f>AY20</f>
        <v>0.56200000000000006</v>
      </c>
      <c r="DA20" s="28">
        <f>BA20</f>
        <v>0.53200000000000003</v>
      </c>
      <c r="DB20" s="28">
        <f>BC20</f>
        <v>0.5379999999999997</v>
      </c>
      <c r="DC20" s="28">
        <f>BE20</f>
        <v>0.56199999999999961</v>
      </c>
      <c r="DD20" s="28">
        <f>BG20</f>
        <v>0.60404858299595154</v>
      </c>
      <c r="DE20" s="28">
        <f>BI20</f>
        <v>0.65349794238683179</v>
      </c>
      <c r="DF20" s="28">
        <f>BK20</f>
        <v>0.66611570247933938</v>
      </c>
      <c r="DG20" s="28">
        <f>BM20</f>
        <v>0.66611570247933938</v>
      </c>
      <c r="DH20" s="28">
        <f>BO20</f>
        <v>0.66611570247933938</v>
      </c>
      <c r="DI20" s="28">
        <f>BQ20</f>
        <v>0.66611570247933938</v>
      </c>
    </row>
    <row r="21" spans="1:113" ht="12" outlineLevel="1">
      <c r="C21" s="28"/>
      <c r="D21" s="28"/>
      <c r="E21" s="28"/>
      <c r="F21" s="28"/>
      <c r="G21" s="28"/>
      <c r="H21" s="28"/>
      <c r="I21" s="28"/>
      <c r="J21" s="28"/>
      <c r="K21" s="28"/>
      <c r="L21" s="28"/>
      <c r="M21" s="28"/>
      <c r="N21" s="28"/>
      <c r="O21" s="28"/>
      <c r="P21" s="28"/>
      <c r="Q21" s="28"/>
      <c r="R21" s="28"/>
      <c r="S21" s="28"/>
      <c r="T21" s="28"/>
      <c r="U21" s="28"/>
      <c r="V21" s="28"/>
      <c r="W21" s="28"/>
      <c r="X21" s="28"/>
      <c r="Y21" s="28"/>
      <c r="Z21" s="28"/>
      <c r="AA21" s="329"/>
      <c r="AB21" s="28"/>
      <c r="AC21" s="28"/>
      <c r="AD21" s="28"/>
      <c r="AE21" s="28"/>
      <c r="AF21" s="28"/>
      <c r="AG21" s="28"/>
      <c r="AH21" s="28"/>
      <c r="AI21" s="28"/>
      <c r="AJ21" s="28"/>
      <c r="AK21" s="28"/>
      <c r="AL21" s="28"/>
      <c r="AM21" s="28"/>
      <c r="AN21" s="28"/>
      <c r="AO21" s="28"/>
      <c r="AP21" s="28"/>
      <c r="AQ21" s="28"/>
      <c r="AR21" s="28"/>
      <c r="AS21" s="28"/>
      <c r="AT21" s="28"/>
      <c r="AU21" s="28"/>
      <c r="AV21" s="28"/>
      <c r="AW21" s="28">
        <f t="shared" ref="AW21:AY21" si="120">AW19/AV19-1</f>
        <v>-1.9260753920938845E-3</v>
      </c>
      <c r="AX21" s="28">
        <f t="shared" si="120"/>
        <v>1.0843594927403055E-2</v>
      </c>
      <c r="AY21" s="206">
        <f t="shared" si="120"/>
        <v>3.4818181818181859E-2</v>
      </c>
      <c r="AZ21" s="28">
        <f>AZ19/AY19-1</f>
        <v>-5.121672669770716E-2</v>
      </c>
      <c r="BA21" s="28"/>
      <c r="BB21" s="28"/>
      <c r="BC21" s="28"/>
      <c r="BD21" s="28"/>
      <c r="BE21" s="28"/>
      <c r="BF21" s="28"/>
      <c r="BG21" s="28"/>
      <c r="BH21" s="28"/>
      <c r="BI21" s="28"/>
      <c r="BJ21" s="28"/>
      <c r="BK21" s="28"/>
      <c r="BL21" s="28"/>
      <c r="BM21" s="28"/>
      <c r="BN21" s="28"/>
      <c r="BO21" s="28"/>
      <c r="BP21" s="28"/>
      <c r="BQ21" s="28"/>
      <c r="BR21" s="28"/>
      <c r="BS21" s="28"/>
      <c r="BT21" s="28"/>
      <c r="BU21" s="28"/>
      <c r="BV21" s="28"/>
      <c r="BW21" s="28"/>
      <c r="BX21" s="28"/>
      <c r="BY21" s="28"/>
      <c r="BZ21" s="28"/>
      <c r="CA21" s="28"/>
      <c r="CB21" s="28"/>
      <c r="CC21" s="28"/>
      <c r="CD21" s="28"/>
      <c r="CE21" s="28"/>
      <c r="CF21" s="28"/>
      <c r="CG21" s="28"/>
      <c r="CH21" s="28"/>
      <c r="CI21" s="28"/>
      <c r="CJ21" s="28"/>
      <c r="CK21" s="28"/>
      <c r="CL21" s="28"/>
      <c r="CM21" s="28"/>
      <c r="CN21" s="28"/>
      <c r="CO21" s="28"/>
      <c r="CP21" s="28"/>
      <c r="CQ21" s="28"/>
      <c r="CR21" s="28"/>
      <c r="CS21" s="28"/>
      <c r="CT21" s="28"/>
      <c r="CU21" s="28"/>
      <c r="CV21" s="28"/>
      <c r="CW21" s="28"/>
      <c r="CX21" s="28"/>
      <c r="CY21" s="28"/>
      <c r="CZ21" s="206"/>
      <c r="DA21" s="28"/>
      <c r="DB21" s="28"/>
      <c r="DC21" s="28"/>
      <c r="DD21" s="28"/>
      <c r="DE21" s="28"/>
      <c r="DF21" s="28"/>
      <c r="DG21" s="28"/>
      <c r="DH21" s="28"/>
      <c r="DI21" s="28"/>
    </row>
    <row r="22" spans="1:113" ht="12" outlineLevel="1">
      <c r="B22" s="17" t="s">
        <v>216</v>
      </c>
      <c r="C22" s="28"/>
      <c r="D22" s="28"/>
      <c r="E22" s="28"/>
      <c r="F22" s="28"/>
      <c r="G22" s="28"/>
      <c r="H22" s="28"/>
      <c r="I22" s="28"/>
      <c r="J22" s="28"/>
      <c r="K22" s="28"/>
      <c r="L22" s="28"/>
      <c r="M22" s="28"/>
      <c r="N22" s="28"/>
      <c r="O22" s="28"/>
      <c r="P22" s="28"/>
      <c r="Q22" s="28"/>
      <c r="R22" s="28"/>
      <c r="S22" s="28"/>
      <c r="T22" s="28"/>
      <c r="U22" s="28"/>
      <c r="V22" s="28"/>
      <c r="W22" s="28"/>
      <c r="X22" s="28"/>
      <c r="Y22" s="28"/>
      <c r="Z22" s="28"/>
      <c r="AA22" s="329"/>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206"/>
      <c r="AZ22" s="28"/>
      <c r="BA22" s="28"/>
      <c r="BB22" s="28"/>
      <c r="BC22" s="28"/>
      <c r="BD22" s="28"/>
      <c r="BE22" s="28"/>
      <c r="BF22" s="28"/>
      <c r="BG22" s="28"/>
      <c r="BH22" s="28"/>
      <c r="BI22" s="28"/>
      <c r="BJ22" s="28"/>
      <c r="BK22" s="28"/>
      <c r="BL22" s="28"/>
      <c r="BM22" s="28"/>
      <c r="BN22" s="28"/>
      <c r="BO22" s="28"/>
      <c r="BP22" s="28"/>
      <c r="BQ22" s="28"/>
      <c r="BR22" s="28"/>
      <c r="BS22" s="28"/>
      <c r="BT22" s="28"/>
      <c r="BU22" s="28"/>
      <c r="BV22" s="28"/>
      <c r="BW22" s="28"/>
      <c r="BX22" s="28"/>
      <c r="BY22" s="28"/>
      <c r="BZ22" s="28"/>
      <c r="CA22" s="28"/>
      <c r="CB22" s="28"/>
      <c r="CC22" s="28"/>
      <c r="CD22" s="28"/>
      <c r="CE22" s="28"/>
      <c r="CF22" s="28"/>
      <c r="CG22" s="28"/>
      <c r="CH22" s="28"/>
      <c r="CI22" s="28"/>
      <c r="CJ22" s="28"/>
      <c r="CK22" s="28"/>
      <c r="CL22" s="28"/>
      <c r="CM22" s="28"/>
      <c r="CN22" s="28"/>
      <c r="CO22" s="28"/>
      <c r="CP22" s="28"/>
      <c r="CQ22" s="28"/>
      <c r="CR22" s="28"/>
      <c r="CS22" s="28"/>
      <c r="CT22" s="28"/>
      <c r="CU22" s="28"/>
      <c r="CV22" s="28"/>
      <c r="CW22" s="28"/>
      <c r="CX22" s="28"/>
      <c r="CY22" s="28"/>
      <c r="CZ22" s="206"/>
      <c r="DA22" s="28"/>
      <c r="DB22" s="28"/>
      <c r="DC22" s="28"/>
      <c r="DD22" s="28"/>
      <c r="DE22" s="28"/>
      <c r="DF22" s="28"/>
      <c r="DG22" s="28"/>
      <c r="DH22" s="28"/>
      <c r="DI22" s="28"/>
    </row>
    <row r="23" spans="1:113" ht="12" outlineLevel="1">
      <c r="A23" s="1" t="s">
        <v>571</v>
      </c>
      <c r="B23" s="15" t="s">
        <v>211</v>
      </c>
      <c r="C23" s="27">
        <v>0.35920000000000002</v>
      </c>
      <c r="D23" s="27">
        <v>0.3589</v>
      </c>
      <c r="E23" s="27">
        <v>0.36530000000000001</v>
      </c>
      <c r="F23" s="27">
        <v>0.3624</v>
      </c>
      <c r="G23" s="27">
        <v>0.40189999999999998</v>
      </c>
      <c r="H23" s="27">
        <v>0.41789999999999999</v>
      </c>
      <c r="I23" s="27">
        <v>0.39269999999999999</v>
      </c>
      <c r="J23" s="27">
        <v>0.40849999999999997</v>
      </c>
      <c r="K23" s="27">
        <v>0.4199</v>
      </c>
      <c r="L23" s="27">
        <v>0.42370000000000002</v>
      </c>
      <c r="M23" s="27">
        <v>0.40629999999999999</v>
      </c>
      <c r="N23" s="27">
        <v>0.40200000000000002</v>
      </c>
      <c r="O23" s="27">
        <v>0.41860000000000003</v>
      </c>
      <c r="P23" s="27">
        <v>0.44629999999999997</v>
      </c>
      <c r="Q23" s="27">
        <v>0.47389999999999999</v>
      </c>
      <c r="R23" s="27">
        <v>0.44479999999999997</v>
      </c>
      <c r="S23" s="27">
        <v>0.49880000000000002</v>
      </c>
      <c r="T23" s="27">
        <v>0.56710000000000005</v>
      </c>
      <c r="U23" s="27">
        <v>0.58660000000000001</v>
      </c>
      <c r="V23" s="27">
        <v>0.62580000000000002</v>
      </c>
      <c r="W23" s="27">
        <v>0.65129999999999999</v>
      </c>
      <c r="X23" s="27">
        <v>0.65690000000000004</v>
      </c>
      <c r="Y23" s="27">
        <v>0.64749999999999996</v>
      </c>
      <c r="Z23" s="329">
        <v>0.65739999999999998</v>
      </c>
      <c r="AA23" s="329">
        <v>0.61480000000000001</v>
      </c>
      <c r="AB23" s="329">
        <v>0.55649999999999999</v>
      </c>
      <c r="AC23" s="329">
        <v>0.55389999999999995</v>
      </c>
      <c r="AD23" s="329">
        <v>0.52949999999999997</v>
      </c>
      <c r="AE23" s="329">
        <v>0.48530000000000001</v>
      </c>
      <c r="AF23" s="329">
        <v>0.48859999999999998</v>
      </c>
      <c r="AG23" s="329">
        <v>0.54320000000000002</v>
      </c>
      <c r="AH23" s="329">
        <v>0.60709999999999997</v>
      </c>
      <c r="AI23" s="329">
        <v>0.59160000000000001</v>
      </c>
      <c r="AJ23" s="329">
        <v>0.57179999999999997</v>
      </c>
      <c r="AK23" s="329">
        <v>0.55840000000000001</v>
      </c>
      <c r="AL23" s="329">
        <v>0.55200000000000005</v>
      </c>
      <c r="AM23" s="329">
        <v>0.55030000000000001</v>
      </c>
      <c r="AN23" s="329">
        <v>0.52249999999999996</v>
      </c>
      <c r="AO23" s="329">
        <v>0.5403</v>
      </c>
      <c r="AP23" s="329">
        <v>0.55679999999999996</v>
      </c>
      <c r="AQ23" s="329">
        <v>0.54179999999999995</v>
      </c>
      <c r="AR23" s="329">
        <v>0.53979999999999995</v>
      </c>
      <c r="AS23" s="329">
        <v>0.57450000000000001</v>
      </c>
      <c r="AT23" s="329">
        <v>0.56179999999999997</v>
      </c>
      <c r="AU23" s="329">
        <v>0.52549999999999997</v>
      </c>
      <c r="AV23" s="329">
        <v>0.52159999999999995</v>
      </c>
      <c r="AW23" s="329">
        <v>0.51880000000000004</v>
      </c>
      <c r="AX23" s="329">
        <v>0.50370000000000004</v>
      </c>
      <c r="AY23" s="236">
        <v>0.48249999999999998</v>
      </c>
      <c r="AZ23" s="28">
        <f t="shared" ref="AZ23:AZ26" si="121">AVERAGE(AY17:AZ17)</f>
        <v>0.48302605633802831</v>
      </c>
      <c r="BA23" s="28">
        <f t="shared" ref="BA23:BA26" si="122">AVERAGE(AZ17:BA17)</f>
        <v>0.47517605633802823</v>
      </c>
      <c r="BB23" s="28">
        <f t="shared" ref="BB23:BB26" si="123">AVERAGE(BA17:BB17)</f>
        <v>0.48011992619926191</v>
      </c>
      <c r="BC23" s="28">
        <f t="shared" ref="BC23:BC26" si="124">AVERAGE(BB17:BC17)</f>
        <v>0.49261992619926187</v>
      </c>
      <c r="BD23" s="28">
        <f t="shared" ref="BD23:BD26" si="125">AVERAGE(BC17:BD17)</f>
        <v>0.50700934579439239</v>
      </c>
      <c r="BE23" s="28">
        <f t="shared" ref="BE23:BE26" si="126">AVERAGE(BD17:BE17)</f>
        <v>0.5206115972015215</v>
      </c>
      <c r="BF23" s="28">
        <f t="shared" ref="BF23:BF26" si="127">AVERAGE(BE17:BF17)</f>
        <v>0.53667335579442099</v>
      </c>
      <c r="BG23" s="28">
        <f t="shared" ref="BG23:BK26" si="128">AVERAGE(BF17:BG17)</f>
        <v>0.55867600484670987</v>
      </c>
      <c r="BH23" s="28">
        <f t="shared" si="128"/>
        <v>0.58405451286251842</v>
      </c>
      <c r="BI23" s="28">
        <f t="shared" si="128"/>
        <v>0.61006656687719751</v>
      </c>
      <c r="BJ23" s="28">
        <f t="shared" si="128"/>
        <v>0.62994238891327514</v>
      </c>
      <c r="BK23" s="28">
        <f t="shared" si="128"/>
        <v>0.6366508688783562</v>
      </c>
      <c r="BL23" s="28">
        <f t="shared" ref="BL23:BL26" si="129">AVERAGE(BK17:BL17)</f>
        <v>0.6366508688783562</v>
      </c>
      <c r="BM23" s="28">
        <f t="shared" ref="BM23:BM26" si="130">AVERAGE(BL17:BM17)</f>
        <v>0.6366508688783562</v>
      </c>
      <c r="BN23" s="28">
        <f t="shared" ref="BN23:BN26" si="131">AVERAGE(BM17:BN17)</f>
        <v>0.6366508688783562</v>
      </c>
      <c r="BO23" s="28">
        <f t="shared" ref="BO23:BO26" si="132">AVERAGE(BN17:BO17)</f>
        <v>0.6366508688783562</v>
      </c>
      <c r="BP23" s="28">
        <f t="shared" ref="BP23:BP26" si="133">AVERAGE(BO17:BP17)</f>
        <v>0.6366508688783562</v>
      </c>
      <c r="BQ23" s="28">
        <f t="shared" ref="BQ23:BQ26" si="134">AVERAGE(BP17:BQ17)</f>
        <v>0.6366508688783562</v>
      </c>
      <c r="BR23" s="28"/>
      <c r="BS23" s="27">
        <v>0.41570000000000001</v>
      </c>
      <c r="BT23" s="27">
        <v>0.44819999999999999</v>
      </c>
      <c r="BU23" s="27">
        <v>0.46529999999999999</v>
      </c>
      <c r="BV23" s="27">
        <v>0.46589999999999998</v>
      </c>
      <c r="BW23" s="27">
        <v>0.49630000000000002</v>
      </c>
      <c r="BX23" s="27">
        <v>0.46939999999999998</v>
      </c>
      <c r="BY23" s="27">
        <v>0.39119999999999999</v>
      </c>
      <c r="BZ23" s="27">
        <v>0.39319999999999999</v>
      </c>
      <c r="CA23" s="27">
        <v>0.39029999999999998</v>
      </c>
      <c r="CB23" s="27">
        <v>0.36270000000000002</v>
      </c>
      <c r="CC23" s="28">
        <f>SUMPRODUCT(D23:E23,D$5:E$5)/SUM(D$5:E$5)</f>
        <v>0.36209123287671235</v>
      </c>
      <c r="CD23" s="28">
        <f>SUMPRODUCT(F23:G23,F$5:G$5)/SUM(F$5:G$5)</f>
        <v>0.38209589041095893</v>
      </c>
      <c r="CE23" s="28">
        <f>SUMPRODUCT(H23:I23,H$5:I$5)/SUM(H$5:I$5)</f>
        <v>0.40529999999999999</v>
      </c>
      <c r="CF23" s="28">
        <f>SUMPRODUCT(J23:K23,J$5:K$5)/SUM(J$5:K$5)</f>
        <v>0.41418438356164383</v>
      </c>
      <c r="CG23" s="28">
        <f>SUMPRODUCT(L23:M23,L$5:M$5)/SUM(L$5:M$5)</f>
        <v>0.41502383561643841</v>
      </c>
      <c r="CH23" s="28">
        <f>SUMPRODUCT(N23:O23,N$5:O$5)/SUM(N$5:O$5)</f>
        <v>0.41027726027397271</v>
      </c>
      <c r="CI23" s="28">
        <f>SUMPRODUCT(P23:Q23,P$5:Q$5)/SUM(P$5:Q$5)</f>
        <v>0.46009999999999995</v>
      </c>
      <c r="CJ23" s="28">
        <f>SUMPRODUCT(R23:S23,R$5:S$5)/SUM(R$5:S$5)</f>
        <v>0.47172602739726027</v>
      </c>
      <c r="CK23" s="28">
        <f>SUMPRODUCT(T23:U23,T$5:U$5)/SUM(T$5:U$5)</f>
        <v>0.57682328767123292</v>
      </c>
      <c r="CL23" s="28">
        <f>SUMPRODUCT(V23:W23,V$5:W$5)/SUM(V$5:W$5)</f>
        <v>0.63851506849315065</v>
      </c>
      <c r="CM23" s="28">
        <f>SUMPRODUCT(X23:Y23,X$5:Y$5)/SUM(X$5:Y$5)</f>
        <v>0.6522</v>
      </c>
      <c r="CN23" s="28">
        <f>SUMPRODUCT(Z23:AA23,Z$5:AA$5)/SUM(Z$5:AA$5)</f>
        <v>0.63615835616438354</v>
      </c>
      <c r="CO23" s="28">
        <f>SUMPRODUCT(AB23:AC23,AB$5:AC$5)/SUM(AB$5:AC$5)</f>
        <v>0.55520356164383566</v>
      </c>
      <c r="CP23" s="28">
        <f>SUMPRODUCT(AD23:AE23,AD$5:AE$5)/SUM(AD$5:AE$5)</f>
        <v>0.50746054794520545</v>
      </c>
      <c r="CQ23" s="28">
        <f>SUMPRODUCT(AF23:AG23,AF$5:AG$5)/SUM(AF$5:AG$5)</f>
        <v>0.51590000000000003</v>
      </c>
      <c r="CR23" s="28">
        <f>SUMPRODUCT(AH23:AI23,AH$5:AI$5)/SUM(AH$5:AI$5)</f>
        <v>0.59937123287671235</v>
      </c>
      <c r="CS23" s="28">
        <f>SUMPRODUCT(AJ23:AK23,AJ$5:AK$5)/SUM(AJ$5:AK$5)</f>
        <v>0.56511835616438355</v>
      </c>
      <c r="CT23" s="28">
        <f>SUMPRODUCT(AL23:AM23,AL$5:AM$5)/SUM(AL$5:AM$5)</f>
        <v>0.55115232876712339</v>
      </c>
      <c r="CU23" s="28">
        <f>SUMPRODUCT(AN23:AO23,AN$5:AO$5)/SUM(AN$5:AO$5)</f>
        <v>0.53139999999999998</v>
      </c>
      <c r="CV23" s="28">
        <f>SUMPRODUCT(AP23:AQ23,AP$5:AQ$5)/SUM(AP$5:AQ$5)</f>
        <v>0.54932054794520557</v>
      </c>
      <c r="CW23" s="28">
        <f>SUMPRODUCT(AR23:AS23,AR$5:AS$5)/SUM(AR$5:AS$5)</f>
        <v>0.55710246575342459</v>
      </c>
      <c r="CX23" s="28">
        <f>SUMPRODUCT(AT23:AU23,AT$5:AU$5)/SUM(AT$5:AU$5)</f>
        <v>0.54369972602739725</v>
      </c>
      <c r="CY23" s="28">
        <f>SUMPRODUCT(AV23:AW23,AV$5:AW$5)/SUM(AV$5:AW$5)</f>
        <v>0.5202</v>
      </c>
      <c r="CZ23" s="206">
        <f>SUMPRODUCT(AX23:AY23,AX$5:AY$5)/SUM(AX$5:AY$5)</f>
        <v>0.49312904109589045</v>
      </c>
      <c r="DA23" s="28">
        <f>SUMPRODUCT(AZ23:BA23,AZ$5:BA$5)/SUM(AZ$5:BA$5)</f>
        <v>0.47911180976268586</v>
      </c>
      <c r="DB23" s="28">
        <f>SUMPRODUCT(BB23:BC23,BB$5:BC$5)/SUM(BB$5:BC$5)</f>
        <v>0.48635280291159066</v>
      </c>
      <c r="DC23" s="28">
        <f>SUMPRODUCT(BD23:BE23,BD$5:BE$5)/SUM(BD$5:BE$5)</f>
        <v>0.513810471497957</v>
      </c>
      <c r="DD23" s="28">
        <f>SUMPRODUCT(BF23:BG23,BF$5:BG$5)/SUM(BF$5:BG$5)</f>
        <v>0.54764453970542537</v>
      </c>
      <c r="DE23" s="28">
        <f>SUMPRODUCT(BH23:BI23,BH$5:BI$5)/SUM(BH$5:BI$5)</f>
        <v>0.59702490691915289</v>
      </c>
      <c r="DF23" s="28">
        <f>SUMPRODUCT(BJ23:BK23,BJ$5:BK$5)/SUM(BJ$5:BK$5)</f>
        <v>0.6332874391972334</v>
      </c>
      <c r="DG23" s="28">
        <f>SUMPRODUCT(BL23:BM23,BL$5:BM$5)/SUM(BL$5:BM$5)</f>
        <v>0.6366508688783562</v>
      </c>
      <c r="DH23" s="28">
        <f>SUMPRODUCT(BN23:BO23,BN$5:BO$5)/SUM(BN$5:BO$5)</f>
        <v>0.6366508688783562</v>
      </c>
      <c r="DI23" s="28">
        <f>SUMPRODUCT(BP23:BQ23,BP$5:BQ$5)/SUM(BP$5:BQ$5)</f>
        <v>0.6366508688783562</v>
      </c>
    </row>
    <row r="24" spans="1:113" ht="12" outlineLevel="1">
      <c r="A24" s="1" t="s">
        <v>705</v>
      </c>
      <c r="B24" s="15" t="s">
        <v>212</v>
      </c>
      <c r="C24" s="27">
        <v>0.51349999999999996</v>
      </c>
      <c r="D24" s="27">
        <v>0.5151</v>
      </c>
      <c r="E24" s="27">
        <v>0.5494</v>
      </c>
      <c r="F24" s="27">
        <v>0.5756</v>
      </c>
      <c r="G24" s="27">
        <v>0.64910000000000001</v>
      </c>
      <c r="H24" s="27">
        <v>0.74029999999999996</v>
      </c>
      <c r="I24" s="27">
        <v>0.71250000000000002</v>
      </c>
      <c r="J24" s="27">
        <v>0.7671</v>
      </c>
      <c r="K24" s="27">
        <v>0.76429999999999998</v>
      </c>
      <c r="L24" s="27">
        <v>0.74180000000000001</v>
      </c>
      <c r="M24" s="27">
        <v>0.75180000000000002</v>
      </c>
      <c r="N24" s="27">
        <v>0.77800000000000002</v>
      </c>
      <c r="O24" s="27">
        <v>0.83860000000000001</v>
      </c>
      <c r="P24" s="27">
        <v>0.89759999999999995</v>
      </c>
      <c r="Q24" s="27">
        <v>0.91620000000000001</v>
      </c>
      <c r="R24" s="27">
        <v>0.66769999999999996</v>
      </c>
      <c r="S24" s="27">
        <v>0.79569999999999996</v>
      </c>
      <c r="T24" s="27">
        <v>0.90600000000000003</v>
      </c>
      <c r="U24" s="27">
        <v>0.89200000000000002</v>
      </c>
      <c r="V24" s="27">
        <v>0.99560000000000004</v>
      </c>
      <c r="W24" s="27">
        <v>1.0544</v>
      </c>
      <c r="X24" s="27">
        <v>1.032</v>
      </c>
      <c r="Y24" s="27">
        <v>1.0237000000000001</v>
      </c>
      <c r="Z24" s="329">
        <v>1.0387</v>
      </c>
      <c r="AA24" s="329">
        <v>0.94740000000000002</v>
      </c>
      <c r="AB24" s="329">
        <v>0.9113</v>
      </c>
      <c r="AC24" s="329">
        <v>0.92889999999999995</v>
      </c>
      <c r="AD24" s="329">
        <v>0.82</v>
      </c>
      <c r="AE24" s="329">
        <v>0.748</v>
      </c>
      <c r="AF24" s="329">
        <v>0.72119999999999995</v>
      </c>
      <c r="AG24" s="329">
        <v>0.751</v>
      </c>
      <c r="AH24" s="329">
        <v>0.75329999999999997</v>
      </c>
      <c r="AI24" s="329">
        <v>0.76500000000000001</v>
      </c>
      <c r="AJ24" s="329">
        <v>0.7772</v>
      </c>
      <c r="AK24" s="329">
        <v>0.74280000000000002</v>
      </c>
      <c r="AL24" s="329">
        <v>0.71450000000000002</v>
      </c>
      <c r="AM24" s="329">
        <v>0.69230000000000003</v>
      </c>
      <c r="AN24" s="329">
        <v>0.67049999999999998</v>
      </c>
      <c r="AO24" s="329">
        <v>0.68400000000000005</v>
      </c>
      <c r="AP24" s="329">
        <v>0.75070000000000003</v>
      </c>
      <c r="AQ24" s="329">
        <v>0.75180000000000002</v>
      </c>
      <c r="AR24" s="329">
        <v>0.72599999999999998</v>
      </c>
      <c r="AS24" s="329">
        <v>0.69910000000000005</v>
      </c>
      <c r="AT24" s="329">
        <v>0.66990000000000005</v>
      </c>
      <c r="AU24" s="329">
        <v>0.66149999999999998</v>
      </c>
      <c r="AV24" s="329">
        <v>0.65429999999999999</v>
      </c>
      <c r="AW24" s="329">
        <v>0.66439999999999999</v>
      </c>
      <c r="AX24" s="329">
        <v>0.63959999999999995</v>
      </c>
      <c r="AY24" s="236">
        <v>0.64739999999999998</v>
      </c>
      <c r="AZ24" s="28">
        <f t="shared" si="121"/>
        <v>0.6674000000000001</v>
      </c>
      <c r="BA24" s="28">
        <f t="shared" si="122"/>
        <v>0.67000000000000015</v>
      </c>
      <c r="BB24" s="28">
        <f t="shared" si="123"/>
        <v>0.66125</v>
      </c>
      <c r="BC24" s="28">
        <f t="shared" si="124"/>
        <v>0.66499999999999981</v>
      </c>
      <c r="BD24" s="28">
        <f t="shared" si="125"/>
        <v>0.67999999999999972</v>
      </c>
      <c r="BE24" s="28">
        <f t="shared" si="126"/>
        <v>0.69499999999999973</v>
      </c>
      <c r="BF24" s="28">
        <f t="shared" si="127"/>
        <v>0.71224999999999983</v>
      </c>
      <c r="BG24" s="28">
        <f t="shared" si="128"/>
        <v>0.73399999999999999</v>
      </c>
      <c r="BH24" s="28">
        <f t="shared" si="128"/>
        <v>0.75800000000000001</v>
      </c>
      <c r="BI24" s="28">
        <f t="shared" si="128"/>
        <v>0.78200000000000003</v>
      </c>
      <c r="BJ24" s="28">
        <f t="shared" si="128"/>
        <v>0.8</v>
      </c>
      <c r="BK24" s="28">
        <f t="shared" si="128"/>
        <v>0.80600000000000005</v>
      </c>
      <c r="BL24" s="28">
        <f t="shared" si="129"/>
        <v>0.80600000000000005</v>
      </c>
      <c r="BM24" s="28">
        <f t="shared" si="130"/>
        <v>0.80600000000000005</v>
      </c>
      <c r="BN24" s="28">
        <f t="shared" si="131"/>
        <v>0.80600000000000005</v>
      </c>
      <c r="BO24" s="28">
        <f t="shared" si="132"/>
        <v>0.80600000000000005</v>
      </c>
      <c r="BP24" s="28">
        <f t="shared" si="133"/>
        <v>0.80600000000000005</v>
      </c>
      <c r="BQ24" s="28">
        <f t="shared" si="134"/>
        <v>0.80600000000000005</v>
      </c>
      <c r="BR24" s="28"/>
      <c r="BS24" s="27">
        <v>0.75449999999999995</v>
      </c>
      <c r="BT24" s="27">
        <v>0.68530000000000002</v>
      </c>
      <c r="BU24" s="27">
        <v>0.70640000000000003</v>
      </c>
      <c r="BV24" s="27">
        <v>0.74060000000000004</v>
      </c>
      <c r="BW24" s="27">
        <v>0.76849999999999996</v>
      </c>
      <c r="BX24" s="27">
        <v>0.76790000000000003</v>
      </c>
      <c r="BY24" s="27">
        <v>0.64680000000000004</v>
      </c>
      <c r="BZ24" s="27">
        <v>0.64029999999999998</v>
      </c>
      <c r="CA24" s="27">
        <v>0.61009999999999998</v>
      </c>
      <c r="CB24" s="27">
        <v>0.52300000000000002</v>
      </c>
      <c r="CC24" s="28">
        <f>SUMPRODUCT(D24:E24,D$5:E$5)/SUM(D$5:E$5)</f>
        <v>0.5322030136986301</v>
      </c>
      <c r="CD24" s="28">
        <f>SUMPRODUCT(F24:G24,F$5:G$5)/SUM(F$5:G$5)</f>
        <v>0.61224931506849323</v>
      </c>
      <c r="CE24" s="28">
        <f>SUMPRODUCT(H24:I24,H$5:I$5)/SUM(H$5:I$5)</f>
        <v>0.72639999999999993</v>
      </c>
      <c r="CF24" s="28">
        <f>SUMPRODUCT(J24:K24,J$5:K$5)/SUM(J$5:K$5)</f>
        <v>0.7657038356164384</v>
      </c>
      <c r="CG24" s="28">
        <f>SUMPRODUCT(L24:M24,L$5:M$5)/SUM(L$5:M$5)</f>
        <v>0.74678630136986301</v>
      </c>
      <c r="CH24" s="28">
        <f>SUMPRODUCT(N24:O24,N$5:O$5)/SUM(N$5:O$5)</f>
        <v>0.80821698630136996</v>
      </c>
      <c r="CI24" s="28">
        <f>SUMPRODUCT(P24:Q24,P$5:Q$5)/SUM(P$5:Q$5)</f>
        <v>0.90690000000000004</v>
      </c>
      <c r="CJ24" s="28">
        <f>SUMPRODUCT(R24:S24,R$5:S$5)/SUM(R$5:S$5)</f>
        <v>0.73152465753424656</v>
      </c>
      <c r="CK24" s="28">
        <f>SUMPRODUCT(T24:U24,T$5:U$5)/SUM(T$5:U$5)</f>
        <v>0.89901917808219178</v>
      </c>
      <c r="CL24" s="28">
        <f>SUMPRODUCT(V24:W24,V$5:W$5)/SUM(V$5:W$5)</f>
        <v>1.0249194520547946</v>
      </c>
      <c r="CM24" s="28">
        <f>SUMPRODUCT(X24:Y24,X$5:Y$5)/SUM(X$5:Y$5)</f>
        <v>1.0278499999999999</v>
      </c>
      <c r="CN24" s="28">
        <f>SUMPRODUCT(Z24:AA24,Z$5:AA$5)/SUM(Z$5:AA$5)</f>
        <v>0.99317506849315074</v>
      </c>
      <c r="CO24" s="28">
        <f>SUMPRODUCT(AB24:AC24,AB$5:AC$5)/SUM(AB$5:AC$5)</f>
        <v>0.92007589041095894</v>
      </c>
      <c r="CP24" s="28">
        <f>SUMPRODUCT(AD24:AE24,AD$5:AE$5)/SUM(AD$5:AE$5)</f>
        <v>0.78409863013698633</v>
      </c>
      <c r="CQ24" s="28">
        <f>SUMPRODUCT(AF24:AG24,AF$5:AG$5)/SUM(AF$5:AG$5)</f>
        <v>0.73609999999999998</v>
      </c>
      <c r="CR24" s="28">
        <f>SUMPRODUCT(AH24:AI24,AH$5:AI$5)/SUM(AH$5:AI$5)</f>
        <v>0.75913397260273974</v>
      </c>
      <c r="CS24" s="28">
        <f>SUMPRODUCT(AJ24:AK24,AJ$5:AK$5)/SUM(AJ$5:AK$5)</f>
        <v>0.76004712328767132</v>
      </c>
      <c r="CT24" s="28">
        <f>SUMPRODUCT(AL24:AM24,AL$5:AM$5)/SUM(AL$5:AM$5)</f>
        <v>0.70343041095890424</v>
      </c>
      <c r="CU24" s="28">
        <f>SUMPRODUCT(AN24:AO24,AN$5:AO$5)/SUM(AN$5:AO$5)</f>
        <v>0.67725000000000002</v>
      </c>
      <c r="CV24" s="28">
        <f>SUMPRODUCT(AP24:AQ24,AP$5:AQ$5)/SUM(AP$5:AQ$5)</f>
        <v>0.75124849315068498</v>
      </c>
      <c r="CW24" s="28">
        <f>SUMPRODUCT(AR24:AS24,AR$5:AS$5)/SUM(AR$5:AS$5)</f>
        <v>0.71258684931506866</v>
      </c>
      <c r="CX24" s="28">
        <f>SUMPRODUCT(AT24:AU24,AT$5:AU$5)/SUM(AT$5:AU$5)</f>
        <v>0.66571150684931502</v>
      </c>
      <c r="CY24" s="28">
        <f>SUMPRODUCT(AV24:AW24,AV$5:AW$5)/SUM(AV$5:AW$5)</f>
        <v>0.65934999999999999</v>
      </c>
      <c r="CZ24" s="206">
        <f>SUMPRODUCT(AX24:AY24,AX$5:AY$5)/SUM(AX$5:AY$5)</f>
        <v>0.64348931506849316</v>
      </c>
      <c r="DA24" s="28">
        <f>SUMPRODUCT(AZ24:BA24,AZ$5:BA$5)/SUM(AZ$5:BA$5)</f>
        <v>0.66869643835616455</v>
      </c>
      <c r="DB24" s="28">
        <f>SUMPRODUCT(BB24:BC24,BB$5:BC$5)/SUM(BB$5:BC$5)</f>
        <v>0.66311986301369863</v>
      </c>
      <c r="DC24" s="28">
        <f>SUMPRODUCT(BD24:BE24,BD$5:BE$5)/SUM(BD$5:BE$5)</f>
        <v>0.68749999999999978</v>
      </c>
      <c r="DD24" s="28">
        <f>SUMPRODUCT(BF24:BG24,BF$5:BG$5)/SUM(BF$5:BG$5)</f>
        <v>0.72309520547945194</v>
      </c>
      <c r="DE24" s="28">
        <f>SUMPRODUCT(BH24:BI24,BH$5:BI$5)/SUM(BH$5:BI$5)</f>
        <v>0.76996712328767125</v>
      </c>
      <c r="DF24" s="28">
        <f>SUMPRODUCT(BJ24:BK24,BJ$5:BK$5)/SUM(BJ$5:BK$5)</f>
        <v>0.80299178082191791</v>
      </c>
      <c r="DG24" s="28">
        <f>SUMPRODUCT(BL24:BM24,BL$5:BM$5)/SUM(BL$5:BM$5)</f>
        <v>0.80600000000000005</v>
      </c>
      <c r="DH24" s="28">
        <f>SUMPRODUCT(BN24:BO24,BN$5:BO$5)/SUM(BN$5:BO$5)</f>
        <v>0.80600000000000005</v>
      </c>
      <c r="DI24" s="28">
        <f>SUMPRODUCT(BP24:BQ24,BP$5:BQ$5)/SUM(BP$5:BQ$5)</f>
        <v>0.80600000000000005</v>
      </c>
    </row>
    <row r="25" spans="1:113" ht="12" outlineLevel="1">
      <c r="A25" s="1" t="s">
        <v>2372</v>
      </c>
      <c r="B25" s="15" t="s">
        <v>213</v>
      </c>
      <c r="C25" s="27">
        <v>1.2317</v>
      </c>
      <c r="D25" s="27">
        <v>1.2256</v>
      </c>
      <c r="E25" s="27">
        <v>1.1747000000000001</v>
      </c>
      <c r="F25" s="27">
        <v>1.1025</v>
      </c>
      <c r="G25" s="27">
        <v>1.1252</v>
      </c>
      <c r="H25" s="27">
        <v>1.1400999999999999</v>
      </c>
      <c r="I25" s="27">
        <v>1.1125</v>
      </c>
      <c r="J25" s="27">
        <v>1.0831999999999999</v>
      </c>
      <c r="K25" s="27">
        <v>1.0862000000000001</v>
      </c>
      <c r="L25" s="27">
        <v>1.0921000000000001</v>
      </c>
      <c r="M25" s="27">
        <v>1.1941999999999999</v>
      </c>
      <c r="N25" s="27">
        <v>1.1358999999999999</v>
      </c>
      <c r="O25" s="27">
        <v>1.1301000000000001</v>
      </c>
      <c r="P25" s="27">
        <v>1.1541999999999999</v>
      </c>
      <c r="Q25" s="27">
        <v>1.2294</v>
      </c>
      <c r="R25" s="27">
        <v>1.2032</v>
      </c>
      <c r="S25" s="27">
        <v>1.2463</v>
      </c>
      <c r="T25" s="27">
        <v>1.2615000000000001</v>
      </c>
      <c r="U25" s="27">
        <v>1.2591000000000001</v>
      </c>
      <c r="V25" s="27">
        <v>1.3158000000000001</v>
      </c>
      <c r="W25" s="27">
        <v>1.2945</v>
      </c>
      <c r="X25" s="27">
        <v>1.2959000000000001</v>
      </c>
      <c r="Y25" s="27">
        <v>1.2807999999999999</v>
      </c>
      <c r="Z25" s="329">
        <v>1.2533000000000001</v>
      </c>
      <c r="AA25" s="329">
        <v>1.1733</v>
      </c>
      <c r="AB25" s="329">
        <v>1.0959000000000001</v>
      </c>
      <c r="AC25" s="329">
        <v>1.0903</v>
      </c>
      <c r="AD25" s="329">
        <v>1.0690999999999999</v>
      </c>
      <c r="AE25" s="329">
        <v>1.0878000000000001</v>
      </c>
      <c r="AF25" s="329">
        <v>1.0833999999999999</v>
      </c>
      <c r="AG25" s="329">
        <v>1.0640000000000001</v>
      </c>
      <c r="AH25" s="329">
        <v>1.0592999999999999</v>
      </c>
      <c r="AI25" s="329">
        <v>1.0670999999999999</v>
      </c>
      <c r="AJ25" s="329">
        <v>1.0924</v>
      </c>
      <c r="AK25" s="329">
        <v>1.0841000000000001</v>
      </c>
      <c r="AL25" s="329">
        <v>1.0578000000000001</v>
      </c>
      <c r="AM25" s="329">
        <v>1.0567</v>
      </c>
      <c r="AN25" s="329">
        <v>1.0488</v>
      </c>
      <c r="AO25" s="329">
        <v>1.071</v>
      </c>
      <c r="AP25" s="329">
        <v>1.0697000000000001</v>
      </c>
      <c r="AQ25" s="329">
        <v>1.0626</v>
      </c>
      <c r="AR25" s="329">
        <v>1.0589999999999999</v>
      </c>
      <c r="AS25" s="329">
        <v>1.1063000000000001</v>
      </c>
      <c r="AT25" s="329">
        <v>1.0876999999999999</v>
      </c>
      <c r="AU25" s="329">
        <v>1.0813999999999999</v>
      </c>
      <c r="AV25" s="329">
        <v>1.0761000000000001</v>
      </c>
      <c r="AW25" s="329">
        <v>1.0929</v>
      </c>
      <c r="AX25" s="329">
        <v>1.1044</v>
      </c>
      <c r="AY25" s="236">
        <v>1.0918000000000001</v>
      </c>
      <c r="AZ25" s="28">
        <f t="shared" si="121"/>
        <v>1.1091500000000001</v>
      </c>
      <c r="BA25" s="28">
        <f t="shared" si="122"/>
        <v>1.089586776859504</v>
      </c>
      <c r="BB25" s="28">
        <f t="shared" si="123"/>
        <v>1.1115525888253159</v>
      </c>
      <c r="BC25" s="28">
        <f t="shared" si="124"/>
        <v>1.1270918623859794</v>
      </c>
      <c r="BD25" s="28">
        <f t="shared" si="125"/>
        <v>1.1356654695073043</v>
      </c>
      <c r="BE25" s="28">
        <f t="shared" si="126"/>
        <v>1.1487287194986591</v>
      </c>
      <c r="BF25" s="28">
        <f t="shared" si="127"/>
        <v>1.1632784414163844</v>
      </c>
      <c r="BG25" s="28">
        <f t="shared" si="128"/>
        <v>1.1762143391031192</v>
      </c>
      <c r="BH25" s="28">
        <f t="shared" si="128"/>
        <v>1.188024422904459</v>
      </c>
      <c r="BI25" s="28">
        <f t="shared" si="128"/>
        <v>1.1993271458987671</v>
      </c>
      <c r="BJ25" s="28">
        <f t="shared" si="128"/>
        <v>1.2075330261976711</v>
      </c>
      <c r="BK25" s="28">
        <f t="shared" si="128"/>
        <v>1.2102102102102119</v>
      </c>
      <c r="BL25" s="28">
        <f t="shared" si="129"/>
        <v>1.2102102102102119</v>
      </c>
      <c r="BM25" s="28">
        <f t="shared" si="130"/>
        <v>1.2102102102102119</v>
      </c>
      <c r="BN25" s="28">
        <f t="shared" si="131"/>
        <v>1.2102102102102119</v>
      </c>
      <c r="BO25" s="28">
        <f t="shared" si="132"/>
        <v>1.2102102102102119</v>
      </c>
      <c r="BP25" s="28">
        <f t="shared" si="133"/>
        <v>1.2102102102102119</v>
      </c>
      <c r="BQ25" s="28">
        <f t="shared" si="134"/>
        <v>1.2102102102102119</v>
      </c>
      <c r="BR25" s="28"/>
      <c r="BS25" s="27">
        <v>1.3818999999999999</v>
      </c>
      <c r="BT25" s="27">
        <v>1.28</v>
      </c>
      <c r="BU25" s="27">
        <v>1.22</v>
      </c>
      <c r="BV25" s="27">
        <v>1.1407</v>
      </c>
      <c r="BW25" s="27">
        <v>1.1339999999999999</v>
      </c>
      <c r="BX25" s="27">
        <v>1.1191</v>
      </c>
      <c r="BY25" s="27">
        <v>1.1580999999999999</v>
      </c>
      <c r="BZ25" s="27">
        <v>1.2014</v>
      </c>
      <c r="CA25" s="27">
        <v>1.2646999999999999</v>
      </c>
      <c r="CB25" s="27">
        <v>1.2473000000000001</v>
      </c>
      <c r="CC25" s="28">
        <f>SUMPRODUCT(D25:E25,D$5:E$5)/SUM(D$5:E$5)</f>
        <v>1.2002197260273975</v>
      </c>
      <c r="CD25" s="28">
        <f>SUMPRODUCT(F25:G25,F$5:G$5)/SUM(F$5:G$5)</f>
        <v>1.1138189041095892</v>
      </c>
      <c r="CE25" s="28">
        <f>SUMPRODUCT(H25:I25,H$5:I$5)/SUM(H$5:I$5)</f>
        <v>1.1263000000000001</v>
      </c>
      <c r="CF25" s="28">
        <f>SUMPRODUCT(J25:K25,J$5:K$5)/SUM(J$5:K$5)</f>
        <v>1.0846958904109589</v>
      </c>
      <c r="CG25" s="28">
        <f>SUMPRODUCT(L25:M25,L$5:M$5)/SUM(L$5:M$5)</f>
        <v>1.1430101369863015</v>
      </c>
      <c r="CH25" s="28">
        <f>SUMPRODUCT(N25:O25,N$5:O$5)/SUM(N$5:O$5)</f>
        <v>1.1330079452054795</v>
      </c>
      <c r="CI25" s="28">
        <f>SUMPRODUCT(P25:Q25,P$5:Q$5)/SUM(P$5:Q$5)</f>
        <v>1.1918</v>
      </c>
      <c r="CJ25" s="28">
        <f>SUMPRODUCT(R25:S25,R$5:S$5)/SUM(R$5:S$5)</f>
        <v>1.2246909589041095</v>
      </c>
      <c r="CK25" s="28">
        <f>SUMPRODUCT(T25:U25,T$5:U$5)/SUM(T$5:U$5)</f>
        <v>1.260303287671233</v>
      </c>
      <c r="CL25" s="28">
        <f>SUMPRODUCT(V25:W25,V$5:W$5)/SUM(V$5:W$5)</f>
        <v>1.3051791780821917</v>
      </c>
      <c r="CM25" s="28">
        <f>SUMPRODUCT(X25:Y25,X$5:Y$5)/SUM(X$5:Y$5)</f>
        <v>1.2883499999999999</v>
      </c>
      <c r="CN25" s="28">
        <f>SUMPRODUCT(Z25:AA25,Z$5:AA$5)/SUM(Z$5:AA$5)</f>
        <v>1.2134095890410961</v>
      </c>
      <c r="CO25" s="28">
        <f>SUMPRODUCT(AB25:AC25,AB$5:AC$5)/SUM(AB$5:AC$5)</f>
        <v>1.0931076712328769</v>
      </c>
      <c r="CP25" s="28">
        <f>SUMPRODUCT(AD25:AE25,AD$5:AE$5)/SUM(AD$5:AE$5)</f>
        <v>1.0784243835616438</v>
      </c>
      <c r="CQ25" s="28">
        <f>SUMPRODUCT(AF25:AG25,AF$5:AG$5)/SUM(AF$5:AG$5)</f>
        <v>1.0737000000000001</v>
      </c>
      <c r="CR25" s="28">
        <f>SUMPRODUCT(AH25:AI25,AH$5:AI$5)/SUM(AH$5:AI$5)</f>
        <v>1.0631893150684932</v>
      </c>
      <c r="CS25" s="28">
        <f>SUMPRODUCT(AJ25:AK25,AJ$5:AK$5)/SUM(AJ$5:AK$5)</f>
        <v>1.0882613698630137</v>
      </c>
      <c r="CT25" s="28">
        <f>SUMPRODUCT(AL25:AM25,AL$5:AM$5)/SUM(AL$5:AM$5)</f>
        <v>1.0572515068493153</v>
      </c>
      <c r="CU25" s="28">
        <f>SUMPRODUCT(AN25:AO25,AN$5:AO$5)/SUM(AN$5:AO$5)</f>
        <v>1.0598999999999998</v>
      </c>
      <c r="CV25" s="28">
        <f>SUMPRODUCT(AP25:AQ25,AP$5:AQ$5)/SUM(AP$5:AQ$5)</f>
        <v>1.0661597260273974</v>
      </c>
      <c r="CW25" s="28">
        <f>SUMPRODUCT(AR25:AS25,AR$5:AS$5)/SUM(AR$5:AS$5)</f>
        <v>1.082585205479452</v>
      </c>
      <c r="CX25" s="28">
        <f>SUMPRODUCT(AT25:AU25,AT$5:AU$5)/SUM(AT$5:AU$5)</f>
        <v>1.0845586301369863</v>
      </c>
      <c r="CY25" s="28">
        <f>SUMPRODUCT(AV25:AW25,AV$5:AW$5)/SUM(AV$5:AW$5)</f>
        <v>1.0845</v>
      </c>
      <c r="CZ25" s="206">
        <f>SUMPRODUCT(AX25:AY25,AX$5:AY$5)/SUM(AX$5:AY$5)</f>
        <v>1.0981172602739726</v>
      </c>
      <c r="DA25" s="28">
        <f>SUMPRODUCT(AZ25:BA25,AZ$5:BA$5)/SUM(AZ$5:BA$5)</f>
        <v>1.0993951873655612</v>
      </c>
      <c r="DB25" s="28">
        <f>SUMPRODUCT(BB25:BC25,BB$5:BC$5)/SUM(BB$5:BC$5)</f>
        <v>1.1193009389295372</v>
      </c>
      <c r="DC25" s="28">
        <f>SUMPRODUCT(BD25:BE25,BD$5:BE$5)/SUM(BD$5:BE$5)</f>
        <v>1.1421970945029818</v>
      </c>
      <c r="DD25" s="28">
        <f>SUMPRODUCT(BF25:BG25,BF$5:BG$5)/SUM(BF$5:BG$5)</f>
        <v>1.1697286698519618</v>
      </c>
      <c r="DE25" s="28">
        <f>SUMPRODUCT(BH25:BI25,BH$5:BI$5)/SUM(BH$5:BI$5)</f>
        <v>1.1936603012194291</v>
      </c>
      <c r="DF25" s="28">
        <f>SUMPRODUCT(BJ25:BK25,BJ$5:BK$5)/SUM(BJ$5:BK$5)</f>
        <v>1.208867950828582</v>
      </c>
      <c r="DG25" s="28">
        <f>SUMPRODUCT(BL25:BM25,BL$5:BM$5)/SUM(BL$5:BM$5)</f>
        <v>1.2102102102102119</v>
      </c>
      <c r="DH25" s="28">
        <f>SUMPRODUCT(BN25:BO25,BN$5:BO$5)/SUM(BN$5:BO$5)</f>
        <v>1.2102102102102121</v>
      </c>
      <c r="DI25" s="28">
        <f>SUMPRODUCT(BP25:BQ25,BP$5:BQ$5)/SUM(BP$5:BQ$5)</f>
        <v>1.2102102102102121</v>
      </c>
    </row>
    <row r="26" spans="1:113" ht="12" outlineLevel="1">
      <c r="A26" s="1" t="s">
        <v>571</v>
      </c>
      <c r="B26" s="15" t="s">
        <v>214</v>
      </c>
      <c r="C26" s="27">
        <v>0.58021666666666671</v>
      </c>
      <c r="D26" s="27">
        <v>0.58535000000000004</v>
      </c>
      <c r="E26" s="27">
        <v>0.57331666666666659</v>
      </c>
      <c r="F26" s="27">
        <v>0.5533499999999999</v>
      </c>
      <c r="G26" s="27">
        <v>0.57533333333333336</v>
      </c>
      <c r="H26" s="27">
        <v>0.60660000000000003</v>
      </c>
      <c r="I26" s="27">
        <v>0.58699999999999997</v>
      </c>
      <c r="J26" s="27">
        <v>0.58830000000000005</v>
      </c>
      <c r="K26" s="27">
        <v>0.61639999999999995</v>
      </c>
      <c r="L26" s="27">
        <v>0.62019999999999997</v>
      </c>
      <c r="M26" s="27">
        <v>0.59409999999999996</v>
      </c>
      <c r="N26" s="27">
        <v>0.59830000000000005</v>
      </c>
      <c r="O26" s="27">
        <v>0.61609999999999998</v>
      </c>
      <c r="P26" s="27">
        <v>0.60909999999999997</v>
      </c>
      <c r="Q26" s="27">
        <v>0.59689999999999999</v>
      </c>
      <c r="R26" s="27">
        <v>0.50860000000000005</v>
      </c>
      <c r="S26" s="27">
        <v>0.5696</v>
      </c>
      <c r="T26" s="27">
        <v>0.63300000000000001</v>
      </c>
      <c r="U26" s="27">
        <v>0.69320000000000004</v>
      </c>
      <c r="V26" s="27">
        <v>0.73029999999999995</v>
      </c>
      <c r="W26" s="27">
        <v>0.74029999999999996</v>
      </c>
      <c r="X26" s="27">
        <v>0.77580000000000005</v>
      </c>
      <c r="Y26" s="27">
        <v>0.80710000000000004</v>
      </c>
      <c r="Z26" s="329">
        <v>0.79379999999999995</v>
      </c>
      <c r="AA26" s="329">
        <v>0.71930000000000005</v>
      </c>
      <c r="AB26" s="329">
        <v>0.66720000000000002</v>
      </c>
      <c r="AC26" s="329">
        <v>0.6885</v>
      </c>
      <c r="AD26" s="329">
        <v>0.69089999999999996</v>
      </c>
      <c r="AE26" s="329">
        <v>0.67669999999999997</v>
      </c>
      <c r="AF26" s="329">
        <v>0.65580000000000005</v>
      </c>
      <c r="AG26" s="329">
        <v>0.6694</v>
      </c>
      <c r="AH26" s="329">
        <v>0.70250000000000001</v>
      </c>
      <c r="AI26" s="329">
        <v>0.67290000000000005</v>
      </c>
      <c r="AJ26" s="329">
        <v>0.64600000000000002</v>
      </c>
      <c r="AK26" s="329">
        <v>0.63149999999999995</v>
      </c>
      <c r="AL26" s="329">
        <v>0.62739999999999996</v>
      </c>
      <c r="AM26" s="329">
        <v>0.61970000000000003</v>
      </c>
      <c r="AN26" s="329">
        <v>0.60660000000000003</v>
      </c>
      <c r="AO26" s="329">
        <v>0.6038</v>
      </c>
      <c r="AP26" s="329">
        <v>0.62629999999999997</v>
      </c>
      <c r="AQ26" s="329">
        <v>0.63100000000000001</v>
      </c>
      <c r="AR26" s="329">
        <v>0.64059999999999995</v>
      </c>
      <c r="AS26" s="329">
        <v>0.67469999999999997</v>
      </c>
      <c r="AT26" s="329">
        <v>0.64090000000000003</v>
      </c>
      <c r="AU26" s="329">
        <v>0.60760000000000003</v>
      </c>
      <c r="AV26" s="329">
        <v>0.60540000000000005</v>
      </c>
      <c r="AW26" s="329">
        <v>0.61099999999999999</v>
      </c>
      <c r="AX26" s="329">
        <v>0.60399999999999998</v>
      </c>
      <c r="AY26" s="236">
        <v>0.56240000000000001</v>
      </c>
      <c r="AZ26" s="28">
        <f t="shared" si="121"/>
        <v>0.55651020408163276</v>
      </c>
      <c r="BA26" s="28">
        <f t="shared" si="122"/>
        <v>0.54151020408163275</v>
      </c>
      <c r="BB26" s="28">
        <f t="shared" si="123"/>
        <v>0.52900000000000003</v>
      </c>
      <c r="BC26" s="28">
        <f t="shared" si="124"/>
        <v>0.53199999999999981</v>
      </c>
      <c r="BD26" s="28">
        <f t="shared" si="125"/>
        <v>0.54399999999999982</v>
      </c>
      <c r="BE26" s="28">
        <f t="shared" si="126"/>
        <v>0.55599999999999983</v>
      </c>
      <c r="BF26" s="28">
        <f t="shared" si="127"/>
        <v>0.57095983935742955</v>
      </c>
      <c r="BG26" s="28">
        <f t="shared" si="128"/>
        <v>0.59198413085540547</v>
      </c>
      <c r="BH26" s="28">
        <f t="shared" si="128"/>
        <v>0.61631000578369022</v>
      </c>
      <c r="BI26" s="28">
        <f t="shared" si="128"/>
        <v>0.64103468547913034</v>
      </c>
      <c r="BJ26" s="28">
        <f t="shared" si="128"/>
        <v>0.65980682243308553</v>
      </c>
      <c r="BK26" s="28">
        <f t="shared" si="128"/>
        <v>0.66611570247933938</v>
      </c>
      <c r="BL26" s="28">
        <f t="shared" si="129"/>
        <v>0.66611570247933938</v>
      </c>
      <c r="BM26" s="28">
        <f t="shared" si="130"/>
        <v>0.66611570247933938</v>
      </c>
      <c r="BN26" s="28">
        <f t="shared" si="131"/>
        <v>0.66611570247933938</v>
      </c>
      <c r="BO26" s="28">
        <f t="shared" si="132"/>
        <v>0.66611570247933938</v>
      </c>
      <c r="BP26" s="28">
        <f t="shared" si="133"/>
        <v>0.66611570247933938</v>
      </c>
      <c r="BQ26" s="28">
        <f t="shared" si="134"/>
        <v>0.66611570247933938</v>
      </c>
      <c r="BR26" s="28"/>
      <c r="BS26" s="27"/>
      <c r="BT26" s="27"/>
      <c r="BU26" s="27"/>
      <c r="BV26" s="27"/>
      <c r="BW26" s="27"/>
      <c r="BX26" s="27"/>
      <c r="BY26" s="27">
        <f t="shared" ref="BY26:BZ26" si="135">AVERAGE(BX20:BY20)</f>
        <v>0.57845000000000002</v>
      </c>
      <c r="BZ26" s="27">
        <f t="shared" si="135"/>
        <v>0.55885000000000007</v>
      </c>
      <c r="CA26" s="27">
        <f>AVERAGE(BZ20:CA20)</f>
        <v>0.61250000000000004</v>
      </c>
      <c r="CB26" s="27">
        <f>AVERAGE(CA20:CB20)</f>
        <v>0.57715000000000005</v>
      </c>
      <c r="CC26" s="28">
        <f>SUMPRODUCT(D26:E26,D$5:E$5)/SUM(D$5:E$5)</f>
        <v>0.57934981735159818</v>
      </c>
      <c r="CD26" s="28">
        <f>SUMPRODUCT(F26:G26,F$5:G$5)/SUM(F$5:G$5)</f>
        <v>0.56431155251141563</v>
      </c>
      <c r="CE26" s="28">
        <f>SUMPRODUCT(H26:I26,H$5:I$5)/SUM(H$5:I$5)</f>
        <v>0.5968</v>
      </c>
      <c r="CF26" s="28">
        <f>SUMPRODUCT(J26:K26,J$5:K$5)/SUM(J$5:K$5)</f>
        <v>0.60231150684931511</v>
      </c>
      <c r="CG26" s="28">
        <f>SUMPRODUCT(L26:M26,L$5:M$5)/SUM(L$5:M$5)</f>
        <v>0.60718575342465753</v>
      </c>
      <c r="CH26" s="28">
        <f>SUMPRODUCT(N26:O26,N$5:O$5)/SUM(N$5:O$5)</f>
        <v>0.60717561643835616</v>
      </c>
      <c r="CI26" s="28">
        <f>SUMPRODUCT(P26:Q26,P$5:Q$5)/SUM(P$5:Q$5)</f>
        <v>0.60299999999999998</v>
      </c>
      <c r="CJ26" s="28">
        <f>SUMPRODUCT(R26:S26,R$5:S$5)/SUM(R$5:S$5)</f>
        <v>0.53901643835616442</v>
      </c>
      <c r="CK26" s="28">
        <f>SUMPRODUCT(T26:U26,T$5:U$5)/SUM(T$5:U$5)</f>
        <v>0.6630175342465755</v>
      </c>
      <c r="CL26" s="28">
        <f>SUMPRODUCT(V26:W26,V$5:W$5)/SUM(V$5:W$5)</f>
        <v>0.73528630136986295</v>
      </c>
      <c r="CM26" s="28">
        <f>SUMPRODUCT(X26:Y26,X$5:Y$5)/SUM(X$5:Y$5)</f>
        <v>0.79144999999999999</v>
      </c>
      <c r="CN26" s="28">
        <f>SUMPRODUCT(Z26:AA26,Z$5:AA$5)/SUM(Z$5:AA$5)</f>
        <v>0.75665205479452058</v>
      </c>
      <c r="CO26" s="28">
        <f>SUMPRODUCT(AB26:AC26,AB$5:AC$5)/SUM(AB$5:AC$5)</f>
        <v>0.67782082191780835</v>
      </c>
      <c r="CP26" s="28">
        <f>SUMPRODUCT(AD26:AE26,AD$5:AE$5)/SUM(AD$5:AE$5)</f>
        <v>0.68381945205479455</v>
      </c>
      <c r="CQ26" s="28">
        <f>SUMPRODUCT(AF26:AG26,AF$5:AG$5)/SUM(AF$5:AG$5)</f>
        <v>0.66260000000000008</v>
      </c>
      <c r="CR26" s="28">
        <f>SUMPRODUCT(AH26:AI26,AH$5:AI$5)/SUM(AH$5:AI$5)</f>
        <v>0.68774054794520545</v>
      </c>
      <c r="CS26" s="28">
        <f>SUMPRODUCT(AJ26:AK26,AJ$5:AK$5)/SUM(AJ$5:AK$5)</f>
        <v>0.63876986301369865</v>
      </c>
      <c r="CT26" s="28">
        <f>SUMPRODUCT(AL26:AM26,AL$5:AM$5)/SUM(AL$5:AM$5)</f>
        <v>0.62356054794520555</v>
      </c>
      <c r="CU26" s="28">
        <f>SUMPRODUCT(AN26:AO26,AN$5:AO$5)/SUM(AN$5:AO$5)</f>
        <v>0.60519999999999996</v>
      </c>
      <c r="CV26" s="28">
        <f>SUMPRODUCT(AP26:AQ26,AP$5:AQ$5)/SUM(AP$5:AQ$5)</f>
        <v>0.62864356164383572</v>
      </c>
      <c r="CW26" s="28">
        <f>SUMPRODUCT(AR26:AS26,AR$5:AS$5)/SUM(AR$5:AS$5)</f>
        <v>0.65760328767123288</v>
      </c>
      <c r="CX26" s="28">
        <f>SUMPRODUCT(AT26:AU26,AT$5:AU$5)/SUM(AT$5:AU$5)</f>
        <v>0.62429561643835629</v>
      </c>
      <c r="CY26" s="28">
        <f>SUMPRODUCT(AV26:AW26,AV$5:AW$5)/SUM(AV$5:AW$5)</f>
        <v>0.60820000000000007</v>
      </c>
      <c r="CZ26" s="206">
        <f>SUMPRODUCT(AX26:AY26,AX$5:AY$5)/SUM(AX$5:AY$5)</f>
        <v>0.58325698630136991</v>
      </c>
      <c r="DA26" s="28">
        <f>SUMPRODUCT(AZ26:BA26,AZ$5:BA$5)/SUM(AZ$5:BA$5)</f>
        <v>0.54903075202683826</v>
      </c>
      <c r="DB26" s="28">
        <f>SUMPRODUCT(BB26:BC26,BB$5:BC$5)/SUM(BB$5:BC$5)</f>
        <v>0.5304958904109589</v>
      </c>
      <c r="DC26" s="28">
        <f>SUMPRODUCT(BD26:BE26,BD$5:BE$5)/SUM(BD$5:BE$5)</f>
        <v>0.54999999999999982</v>
      </c>
      <c r="DD26" s="28">
        <f>SUMPRODUCT(BF26:BG26,BF$5:BG$5)/SUM(BF$5:BG$5)</f>
        <v>0.58144318470710532</v>
      </c>
      <c r="DE26" s="28">
        <f>SUMPRODUCT(BH26:BI26,BH$5:BI$5)/SUM(BH$5:BI$5)</f>
        <v>0.62863847620716995</v>
      </c>
      <c r="DF26" s="28">
        <f>SUMPRODUCT(BJ26:BK26,BJ$5:BK$5)/SUM(BJ$5:BK$5)</f>
        <v>0.66295262015477929</v>
      </c>
      <c r="DG26" s="28">
        <f>SUMPRODUCT(BL26:BM26,BL$5:BM$5)/SUM(BL$5:BM$5)</f>
        <v>0.66611570247933938</v>
      </c>
      <c r="DH26" s="28">
        <f>SUMPRODUCT(BN26:BO26,BN$5:BO$5)/SUM(BN$5:BO$5)</f>
        <v>0.66611570247933949</v>
      </c>
      <c r="DI26" s="28">
        <f>SUMPRODUCT(BP26:BQ26,BP$5:BQ$5)/SUM(BP$5:BQ$5)</f>
        <v>0.66611570247933949</v>
      </c>
    </row>
    <row r="27" spans="1:113" ht="12" outlineLevel="1">
      <c r="C27" s="28"/>
      <c r="D27" s="28"/>
      <c r="E27" s="28"/>
      <c r="F27" s="28"/>
      <c r="G27" s="28"/>
      <c r="H27" s="28"/>
      <c r="I27" s="28"/>
      <c r="J27" s="28"/>
      <c r="K27" s="28"/>
      <c r="L27" s="28"/>
      <c r="M27" s="28"/>
      <c r="N27" s="28"/>
      <c r="O27" s="28"/>
      <c r="P27" s="28"/>
      <c r="Q27" s="28"/>
      <c r="R27" s="28"/>
      <c r="S27" s="28"/>
      <c r="T27" s="28"/>
      <c r="U27" s="28"/>
      <c r="V27" s="28"/>
      <c r="W27" s="28"/>
      <c r="X27" s="28"/>
      <c r="Y27" s="62"/>
      <c r="Z27" s="41"/>
      <c r="AA27" s="62"/>
      <c r="AB27" s="28"/>
      <c r="AC27" s="28"/>
      <c r="AD27" s="28"/>
      <c r="AE27" s="28"/>
      <c r="AF27" s="28"/>
      <c r="AG27" s="28"/>
      <c r="AH27" s="28"/>
      <c r="AI27" s="28"/>
      <c r="AJ27" s="28"/>
      <c r="AK27" s="28"/>
      <c r="AL27" s="28"/>
      <c r="AM27" s="28"/>
      <c r="AN27" s="28"/>
      <c r="AO27" s="28"/>
      <c r="AP27" s="28"/>
      <c r="AQ27" s="28"/>
      <c r="AR27" s="28"/>
      <c r="AS27" s="28"/>
      <c r="AT27" s="28"/>
      <c r="AU27" s="28"/>
      <c r="AV27" s="28"/>
      <c r="AW27" s="28"/>
      <c r="AX27" s="28"/>
      <c r="AY27" s="206"/>
      <c r="AZ27" s="28"/>
      <c r="BA27" s="28"/>
      <c r="BB27" s="28"/>
      <c r="BC27" s="28"/>
      <c r="BD27" s="28"/>
      <c r="BE27" s="28"/>
      <c r="BF27" s="28"/>
      <c r="BG27" s="28"/>
      <c r="BH27" s="28"/>
      <c r="BI27" s="28"/>
      <c r="BJ27" s="28"/>
      <c r="BK27" s="28"/>
      <c r="BL27" s="28"/>
      <c r="BM27" s="28"/>
      <c r="BN27" s="28"/>
      <c r="BO27" s="28"/>
      <c r="BP27" s="28"/>
      <c r="BQ27" s="28"/>
      <c r="BR27" s="28"/>
      <c r="BS27" s="28"/>
      <c r="BT27" s="28"/>
      <c r="BU27" s="28"/>
      <c r="BV27" s="28"/>
      <c r="BW27" s="28"/>
      <c r="BX27" s="28"/>
      <c r="BY27" s="28"/>
      <c r="BZ27" s="28"/>
      <c r="CA27" s="28"/>
      <c r="CB27" s="28"/>
      <c r="CC27" s="28"/>
      <c r="CD27" s="28"/>
      <c r="CE27" s="28"/>
      <c r="CF27" s="28"/>
      <c r="CG27" s="28"/>
      <c r="CH27" s="28"/>
      <c r="CI27" s="28"/>
      <c r="CJ27" s="28"/>
      <c r="CK27" s="28"/>
      <c r="CL27" s="28"/>
      <c r="CM27" s="28"/>
      <c r="CN27" s="28"/>
      <c r="CO27" s="28"/>
      <c r="CP27" s="28"/>
      <c r="CQ27" s="28"/>
      <c r="CR27" s="28"/>
      <c r="CS27" s="28"/>
      <c r="CT27" s="28"/>
      <c r="CU27" s="28"/>
      <c r="CV27" s="28"/>
      <c r="CW27" s="28"/>
      <c r="CX27" s="28"/>
      <c r="CY27" s="28"/>
      <c r="CZ27" s="206"/>
      <c r="DA27" s="28"/>
      <c r="DB27" s="28"/>
      <c r="DC27" s="28"/>
      <c r="DD27" s="28"/>
      <c r="DE27" s="28"/>
      <c r="DF27" s="28"/>
      <c r="DG27" s="28"/>
      <c r="DH27" s="28"/>
      <c r="DI27" s="28"/>
    </row>
    <row r="28" spans="1:113" ht="12" outlineLevel="1">
      <c r="B28" s="17" t="s">
        <v>217</v>
      </c>
      <c r="Y28" s="62"/>
      <c r="Z28" s="62"/>
      <c r="AA28" s="150"/>
      <c r="AY28" s="200"/>
      <c r="CZ28" s="200"/>
      <c r="DB28" s="16"/>
      <c r="DC28" s="16"/>
      <c r="DD28" s="16"/>
      <c r="DE28" s="16"/>
      <c r="DF28" s="16"/>
      <c r="DG28" s="16"/>
      <c r="DH28" s="16"/>
      <c r="DI28" s="16"/>
    </row>
    <row r="29" spans="1:113" ht="12" outlineLevel="1">
      <c r="A29" s="1" t="s">
        <v>706</v>
      </c>
      <c r="B29" s="15" t="s">
        <v>218</v>
      </c>
      <c r="C29" s="373">
        <f>VLOOKUP(RIGHT($A29,LEN($A29)-4),[1]Sheet1!$2:$65479,MATCH(C$3,[1]Sheet1!$2:$2,0),FALSE)</f>
        <v>7.6487013005069882E-2</v>
      </c>
      <c r="D29" s="373">
        <f>VLOOKUP(RIGHT($A29,LEN($A29)-4),[1]Sheet1!$2:$65479,MATCH(D$3,[1]Sheet1!$2:$2,0),FALSE)</f>
        <v>9.4328086966191993E-2</v>
      </c>
      <c r="E29" s="373">
        <f>VLOOKUP(RIGHT($A29,LEN($A29)-4),[1]Sheet1!$2:$65479,MATCH(E$3,[1]Sheet1!$2:$2,0),FALSE)</f>
        <v>8.9366095945671464E-2</v>
      </c>
      <c r="F29" s="373">
        <f>VLOOKUP(RIGHT($A29,LEN($A29)-4),[1]Sheet1!$2:$65479,MATCH(F$3,[1]Sheet1!$2:$2,0),FALSE)</f>
        <v>8.0831933841144052E-2</v>
      </c>
      <c r="G29" s="373">
        <f>VLOOKUP(RIGHT($A29,LEN($A29)-4),[1]Sheet1!$2:$65479,MATCH(G$3,[1]Sheet1!$2:$2,0),FALSE)</f>
        <v>0.10326189022538834</v>
      </c>
      <c r="H29" s="373">
        <f>VLOOKUP(RIGHT($A29,LEN($A29)-4),[1]Sheet1!$2:$65479,MATCH(H$3,[1]Sheet1!$2:$2,0),FALSE)</f>
        <v>0.1053426766998693</v>
      </c>
      <c r="I29" s="373">
        <f>VLOOKUP(RIGHT($A29,LEN($A29)-4),[1]Sheet1!$2:$65479,MATCH(I$3,[1]Sheet1!$2:$2,0),FALSE)</f>
        <v>7.9558080981864343E-2</v>
      </c>
      <c r="J29" s="373">
        <f>VLOOKUP(RIGHT($A29,LEN($A29)-4),[1]Sheet1!$2:$65479,MATCH(J$3,[1]Sheet1!$2:$2,0),FALSE)</f>
        <v>7.117201619406277E-2</v>
      </c>
      <c r="K29" s="373">
        <f>VLOOKUP(RIGHT($A29,LEN($A29)-4),[1]Sheet1!$2:$65479,MATCH(K$3,[1]Sheet1!$2:$2,0),FALSE)</f>
        <v>5.8138954690363898E-2</v>
      </c>
      <c r="L29" s="373">
        <f>VLOOKUP(RIGHT($A29,LEN($A29)-4),[1]Sheet1!$2:$65479,MATCH(L$3,[1]Sheet1!$2:$2,0),FALSE)</f>
        <v>6.6393515099896439E-2</v>
      </c>
      <c r="M29" s="136">
        <f>VLOOKUP(RIGHT($A29,LEN($A29)-4),[1]Sheet1!$2:$65479,MATCH(M$3,[1]Sheet1!$2:$2,0),FALSE)</f>
        <v>7.374074216817128E-2</v>
      </c>
      <c r="N29" s="136">
        <f>VLOOKUP(RIGHT($A29,LEN($A29)-4),[1]Sheet1!$2:$65479,MATCH(N$3,[1]Sheet1!$2:$2,0),FALSE)</f>
        <v>5.6919411490562011E-2</v>
      </c>
      <c r="O29" s="136">
        <f>VLOOKUP(RIGHT($A29,LEN($A29)-4),[1]Sheet1!$2:$65479,MATCH(O$3,[1]Sheet1!$2:$2,0),FALSE)</f>
        <v>5.875313444498409E-2</v>
      </c>
      <c r="P29" s="136">
        <f>VLOOKUP(RIGHT($A29,LEN($A29)-4),[1]Sheet1!$2:$65479,MATCH(P$3,[1]Sheet1!$2:$2,0),FALSE)</f>
        <v>5.0182425554365917E-2</v>
      </c>
      <c r="Q29" s="136">
        <f>VLOOKUP(RIGHT($A29,LEN($A29)-4),[1]Sheet1!$2:$65479,MATCH(Q$3,[1]Sheet1!$2:$2,0),FALSE)</f>
        <v>3.2832317544658762E-2</v>
      </c>
      <c r="R29" s="136">
        <f>VLOOKUP(RIGHT($A29,LEN($A29)-4),[1]Sheet1!$2:$65479,MATCH(R$3,[1]Sheet1!$2:$2,0),FALSE)</f>
        <v>3.1018976045242397E-2</v>
      </c>
      <c r="S29" s="136">
        <f>VLOOKUP(RIGHT($A29,LEN($A29)-4),[1]Sheet1!$2:$65479,MATCH(S$3,[1]Sheet1!$2:$2,0),FALSE)</f>
        <v>3.9160751055448806E-2</v>
      </c>
      <c r="T29" s="137">
        <f>VLOOKUP(RIGHT($A29,LEN($A29)-4),[1]Sheet1!$2:$65479,MATCH(T$3,[1]Sheet1!$2:$2,0),FALSE)</f>
        <v>4.1558519826635942E-2</v>
      </c>
      <c r="U29" s="136">
        <f>VLOOKUP(RIGHT($A29,LEN($A29)-4),[1]Sheet1!$2:$65479,MATCH(U$3,[1]Sheet1!$2:$2,0),FALSE)</f>
        <v>3.3345746670791376E-2</v>
      </c>
      <c r="V29" s="136">
        <f>VLOOKUP(RIGHT($A29,LEN($A29)-4),[1]Sheet1!$2:$65479,MATCH(V$3,[1]Sheet1!$2:$2,0),FALSE)</f>
        <v>3.0197451978076328E-2</v>
      </c>
      <c r="W29" s="136">
        <f>VLOOKUP(RIGHT($A29,LEN($A29)-4),[1]Sheet1!$2:$65479,MATCH(W$3,[1]Sheet1!$2:$2,0),FALSE)</f>
        <v>2.717372880716673E-2</v>
      </c>
      <c r="X29" s="136">
        <f>VLOOKUP(RIGHT($A29,LEN($A29)-4),[1]Sheet1!$2:$65479,MATCH(X$3,[1]Sheet1!$2:$2,0),FALSE)</f>
        <v>2.4857917594106382E-2</v>
      </c>
      <c r="Y29" s="137">
        <f>VLOOKUP(RIGHT($A29,LEN($A29)-4),[1]Sheet1!$2:$65479,MATCH(Y$3,[1]Sheet1!$2:$2,0),FALSE)</f>
        <v>2.1575877070242555E-2</v>
      </c>
      <c r="Z29" s="137">
        <f>VLOOKUP(RIGHT($A29,LEN($A29)-4),[1]Sheet1!$2:$65479,MATCH(Z$3,[1]Sheet1!$2:$2,0),FALSE)</f>
        <v>2.2231493788246182E-2</v>
      </c>
      <c r="AA29" s="137">
        <f>VLOOKUP(RIGHT($A29,LEN($A29)-4),[1]Sheet1!$2:$65479,MATCH(AA$3,[1]Sheet1!$2:$2,0),FALSE)</f>
        <v>2.6252035932903928E-2</v>
      </c>
      <c r="AB29" s="354">
        <f>VLOOKUP(RIGHT($A29,LEN($A29)-4),[1]Sheet1!$2:$65479,MATCH(AB$3,[1]Sheet1!$2:$2,0),FALSE)</f>
        <v>3.1763937168866496E-2</v>
      </c>
      <c r="AC29" s="354">
        <f>VLOOKUP(RIGHT($A29,LEN($A29)-4),[1]Sheet1!$2:$65479,MATCH(AC$3,[1]Sheet1!$2:$2,0),FALSE)</f>
        <v>3.4654223000067041E-2</v>
      </c>
      <c r="AD29" s="354">
        <f>VLOOKUP(RIGHT($A29,LEN($A29)-4),[1]Sheet1!$2:$65479,MATCH(AD$3,[1]Sheet1!$2:$2,0),FALSE)</f>
        <v>3.6096440047710399E-2</v>
      </c>
      <c r="AE29" s="354">
        <f>VLOOKUP(RIGHT($A29,LEN($A29)-4),[1]Sheet1!$2:$65479,MATCH(AE$3,[1]Sheet1!$2:$2,0),FALSE)</f>
        <v>3.7191416582935677E-2</v>
      </c>
      <c r="AF29" s="354">
        <f>VLOOKUP(RIGHT($A29,LEN($A29)-4),[1]Sheet1!$2:$65479,MATCH(AF$3,[1]Sheet1!$2:$2,0),FALSE)</f>
        <v>3.234364952026092E-2</v>
      </c>
      <c r="AG29" s="354">
        <f>VLOOKUP(RIGHT($A29,LEN($A29)-4),[1]Sheet1!$2:$65479,MATCH(AG$3,[1]Sheet1!$2:$2,0),FALSE)</f>
        <v>3.0965785175655736E-2</v>
      </c>
      <c r="AH29" s="354">
        <f>VLOOKUP(RIGHT($A29,LEN($A29)-4),[1]Sheet1!$2:$65479,MATCH(AH$3,[1]Sheet1!$2:$2,0),FALSE)</f>
        <v>3.284793382994633E-2</v>
      </c>
      <c r="AI29" s="354">
        <f>VLOOKUP(RIGHT($A29,LEN($A29)-4),[1]Sheet1!$2:$65479,MATCH(AI$3,[1]Sheet1!$2:$2,0),FALSE)</f>
        <v>3.1908318611376663E-2</v>
      </c>
      <c r="AJ29" s="354">
        <f>VLOOKUP(RIGHT($A29,LEN($A29)-4),[1]Sheet1!$2:$65479,MATCH(AJ$3,[1]Sheet1!$2:$2,0),FALSE)</f>
        <v>2.8608894333959745E-2</v>
      </c>
      <c r="AK29" s="354">
        <f>VLOOKUP(RIGHT($A29,LEN($A29)-4),[1]Sheet1!$2:$65479,MATCH(AK$3,[1]Sheet1!$2:$2,0),FALSE)</f>
        <v>2.3249952278389774E-2</v>
      </c>
      <c r="AL29" s="354">
        <f>VLOOKUP(RIGHT($A29,LEN($A29)-4),[1]Sheet1!$2:$65479,MATCH(AL$3,[1]Sheet1!$2:$2,0),FALSE)</f>
        <v>1.5879043217825073E-2</v>
      </c>
      <c r="AM29" s="354">
        <f>VLOOKUP(RIGHT($A29,LEN($A29)-4),[1]Sheet1!$2:$65479,MATCH(AM$3,[1]Sheet1!$2:$2,0),FALSE)</f>
        <v>1.3847259246271948E-2</v>
      </c>
      <c r="AN29" s="354">
        <f>VLOOKUP(RIGHT($A29,LEN($A29)-4),[1]Sheet1!$2:$65479,MATCH(AN$3,[1]Sheet1!$2:$2,0),FALSE)</f>
        <v>1.7643934547550755E-2</v>
      </c>
      <c r="AO29" s="354">
        <f>VLOOKUP(RIGHT($A29,LEN($A29)-4),[1]Sheet1!$2:$65479,MATCH(AO$3,[1]Sheet1!$2:$2,0),FALSE)</f>
        <v>1.4780506171763408E-2</v>
      </c>
      <c r="AP29" s="354">
        <f>VLOOKUP(RIGHT($A29,LEN($A29)-4),[1]Sheet1!$2:$65479,MATCH(AP$3,[1]Sheet1!$2:$2,0),FALSE)</f>
        <v>2.6184429690623512E-2</v>
      </c>
      <c r="AQ29" s="354">
        <f>VLOOKUP(RIGHT($A29,LEN($A29)-4),[1]Sheet1!$2:$65479,MATCH(AQ$3,[1]Sheet1!$2:$2,0),FALSE)</f>
        <v>3.7701250705945322E-2</v>
      </c>
      <c r="AR29" s="354">
        <f>VLOOKUP(RIGHT($A29,LEN($A29)-4),[1]Sheet1!$2:$65479,MATCH(AR$3,[1]Sheet1!$2:$2,0),FALSE)</f>
        <v>4.0317782626018817E-2</v>
      </c>
      <c r="AS29" s="354">
        <f>VLOOKUP(RIGHT($A29,LEN($A29)-4),[1]Sheet1!$2:$65479,MATCH(AS$3,[1]Sheet1!$2:$2,0),FALSE)</f>
        <v>3.2511071351760901E-2</v>
      </c>
      <c r="AT29" s="354">
        <f>VLOOKUP(RIGHT($A29,LEN($A29)-4),[1]Sheet1!$2:$65479,MATCH(AT$3,[1]Sheet1!$2:$2,0),FALSE)</f>
        <v>2.1600126986190293E-2</v>
      </c>
      <c r="AU29" s="354">
        <f>VLOOKUP(RIGHT($A29,LEN($A29)-4),[1]Sheet1!$2:$65479,MATCH(AU$3,[1]Sheet1!$2:$2,0),FALSE)</f>
        <v>2.0002027540050982E-2</v>
      </c>
      <c r="AV29" s="354">
        <f>VLOOKUP(RIGHT($A29,LEN($A29)-4),[1]Sheet1!$2:$65479,MATCH(AV$3,[1]Sheet1!$2:$2,0),FALSE)</f>
        <v>2.2823137373980007E-2</v>
      </c>
      <c r="AW29" s="354">
        <f>VLOOKUP(RIGHT($A29,LEN($A29)-4),[1]Sheet1!$2:$65479,MATCH(AW$3,[1]Sheet1!$2:$2,0),FALSE)</f>
        <v>2.7765810155555126E-2</v>
      </c>
      <c r="AX29" s="354">
        <f>VLOOKUP(RIGHT($A29,LEN($A29)-4),[1]Sheet1!$2:$65479,MATCH(AX$3,[1]Sheet1!$2:$2,0),FALSE)</f>
        <v>2.8502608940657259E-2</v>
      </c>
      <c r="AY29" s="341">
        <f>VLOOKUP(RIGHT($A29,LEN($A29)-4),[1]Sheet1!$2:$65479,MATCH(AY$3,[1]Sheet1!$2:$2,0),FALSE)</f>
        <v>3.3600497060578549E-2</v>
      </c>
      <c r="AZ29" s="29">
        <f>VLOOKUP(RIGHT($A29,LEN($A29)-4),[1]Sheet1!$2:$65479,MATCH(AZ$3,[1]Sheet1!$2:$2,0),FALSE)</f>
        <v>3.2256000000000062E-2</v>
      </c>
      <c r="BA29" s="29">
        <f>VLOOKUP(RIGHT($A29,LEN($A29)-4),[1]Sheet1!$2:$65479,MATCH(BA$3,[1]Sheet1!$2:$2,0),FALSE)</f>
        <v>2.9210249999999993E-2</v>
      </c>
      <c r="BB29" s="29">
        <f>VLOOKUP(RIGHT($A29,LEN($A29)-4),[1]Sheet1!$2:$65479,MATCH(BB$3,[1]Sheet1!$2:$2,0),FALSE)</f>
        <v>2.9210249999999993E-2</v>
      </c>
      <c r="BC29" s="29">
        <f>VLOOKUP(RIGHT($A29,LEN($A29)-4),[1]Sheet1!$2:$65479,MATCH(BC$3,[1]Sheet1!$2:$2,0),FALSE)</f>
        <v>2.9210249999999993E-2</v>
      </c>
      <c r="BD29" s="29">
        <f>VLOOKUP(RIGHT($A29,LEN($A29)-4),[1]Sheet1!$2:$65479,MATCH(BD$3,[1]Sheet1!$2:$2,0),FALSE)</f>
        <v>2.9210249999999993E-2</v>
      </c>
      <c r="BE29" s="29">
        <f>VLOOKUP(RIGHT($A29,LEN($A29)-4),[1]Sheet1!$2:$65479,MATCH(BE$3,[1]Sheet1!$2:$2,0),FALSE)</f>
        <v>2.9210249999999993E-2</v>
      </c>
      <c r="BF29" s="29">
        <f>VLOOKUP(RIGHT($A29,LEN($A29)-4),[1]Sheet1!$2:$65479,MATCH(BF$3,[1]Sheet1!$2:$2,0),FALSE)</f>
        <v>2.7181249999999935E-2</v>
      </c>
      <c r="BG29" s="29">
        <f>VLOOKUP(RIGHT($A29,LEN($A29)-4),[1]Sheet1!$2:$65479,MATCH(BG$3,[1]Sheet1!$2:$2,0),FALSE)</f>
        <v>2.5156249999999991E-2</v>
      </c>
      <c r="BH29" s="29">
        <f>VLOOKUP(RIGHT($A29,LEN($A29)-4),[1]Sheet1!$2:$65479,MATCH(BH$3,[1]Sheet1!$2:$2,0),FALSE)</f>
        <v>2.2624999999999895E-2</v>
      </c>
      <c r="BI29" s="29">
        <f>VLOOKUP(RIGHT($A29,LEN($A29)-4),[1]Sheet1!$2:$65479,MATCH(BI$3,[1]Sheet1!$2:$2,0),FALSE)</f>
        <v>2.0100000000000007E-2</v>
      </c>
      <c r="BJ29" s="29">
        <f>VLOOKUP(RIGHT($A29,LEN($A29)-4),[1]Sheet1!$2:$65479,MATCH(BJ$3,[1]Sheet1!$2:$2,0),FALSE)</f>
        <v>2.0100000000000007E-2</v>
      </c>
      <c r="BK29" s="29">
        <f>VLOOKUP(RIGHT($A29,LEN($A29)-4),[1]Sheet1!$2:$65479,MATCH(BK$3,[1]Sheet1!$2:$2,0),FALSE)</f>
        <v>2.0100000000000007E-2</v>
      </c>
      <c r="BL29" s="29">
        <f>VLOOKUP(RIGHT($A29,LEN($A29)-4),[1]Sheet1!$2:$65479,MATCH(BL$3,[1]Sheet1!$2:$2,0),FALSE)</f>
        <v>2.0100000000000007E-2</v>
      </c>
      <c r="BM29" s="29">
        <f>VLOOKUP(RIGHT($A29,LEN($A29)-4),[1]Sheet1!$2:$65479,MATCH(BM$3,[1]Sheet1!$2:$2,0),FALSE)</f>
        <v>2.0100000000000007E-2</v>
      </c>
      <c r="BN29" s="29">
        <f>VLOOKUP(RIGHT($A29,LEN($A29)-4),[1]Sheet1!$2:$65479,MATCH(BN$3,[1]Sheet1!$2:$2,0),FALSE)</f>
        <v>2.0100000000000007E-2</v>
      </c>
      <c r="BO29" s="29">
        <f>VLOOKUP(RIGHT($A29,LEN($A29)-4),[1]Sheet1!$2:$65479,MATCH(BO$3,[1]Sheet1!$2:$2,0),FALSE)</f>
        <v>2.0100000000000007E-2</v>
      </c>
      <c r="BP29" s="29">
        <f>VLOOKUP(RIGHT($A29,LEN($A29)-4),[1]Sheet1!$2:$65479,MATCH(BP$3,[1]Sheet1!$2:$2,0),FALSE)</f>
        <v>2.0100000000000007E-2</v>
      </c>
      <c r="BQ29" s="29">
        <f>VLOOKUP(RIGHT($A29,LEN($A29)-4),[1]Sheet1!$2:$65479,MATCH(BQ$3,[1]Sheet1!$2:$2,0),FALSE)</f>
        <v>2.0100000000000007E-2</v>
      </c>
      <c r="BR29" s="30"/>
      <c r="BS29" s="393">
        <f>VLOOKUP(RIGHT($A29,LEN($A29)-4),[1]Sheet1!$2:$65479,MATCH(BS$3,[1]Sheet1!$2:$2,0),FALSE)</f>
        <v>6.0879970935289185E-2</v>
      </c>
      <c r="BT29" s="393">
        <f>VLOOKUP(RIGHT($A29,LEN($A29)-4),[1]Sheet1!$2:$65479,MATCH(BT$3,[1]Sheet1!$2:$2,0),FALSE)</f>
        <v>8.8466284456117025E-2</v>
      </c>
      <c r="BU29" s="393">
        <f>VLOOKUP(RIGHT($A29,LEN($A29)-4),[1]Sheet1!$2:$65479,MATCH(BU$3,[1]Sheet1!$2:$2,0),FALSE)</f>
        <v>0.10548494082761417</v>
      </c>
      <c r="BV29" s="393">
        <f>VLOOKUP(RIGHT($A29,LEN($A29)-4),[1]Sheet1!$2:$65479,MATCH(BV$3,[1]Sheet1!$2:$2,0),FALSE)</f>
        <v>4.9187440991271592E-2</v>
      </c>
      <c r="BW29" s="393">
        <f>VLOOKUP(RIGHT($A29,LEN($A29)-4),[1]Sheet1!$2:$65479,MATCH(BW$3,[1]Sheet1!$2:$2,0),FALSE)</f>
        <v>5.5588891820383735E-2</v>
      </c>
      <c r="BX29" s="393">
        <f>VLOOKUP(RIGHT($A29,LEN($A29)-4),[1]Sheet1!$2:$65479,MATCH(BX$3,[1]Sheet1!$2:$2,0),FALSE)</f>
        <v>6.5205269475576921E-2</v>
      </c>
      <c r="BY29" s="393">
        <f>VLOOKUP(RIGHT($A29,LEN($A29)-4),[1]Sheet1!$2:$65479,MATCH(BY$3,[1]Sheet1!$2:$2,0),FALSE)</f>
        <v>5.7896740745494002E-2</v>
      </c>
      <c r="BZ29" s="393">
        <f>VLOOKUP(RIGHT($A29,LEN($A29)-4),[1]Sheet1!$2:$65479,MATCH(BZ$3,[1]Sheet1!$2:$2,0),FALSE)</f>
        <v>7.3675877452435534E-2</v>
      </c>
      <c r="CA29" s="393">
        <f>VLOOKUP(RIGHT($A29,LEN($A29)-4),[1]Sheet1!$2:$65479,MATCH(CA$3,[1]Sheet1!$2:$2,0),FALSE)</f>
        <v>6.676780532973936E-2</v>
      </c>
      <c r="CB29" s="393">
        <f>VLOOKUP(RIGHT($A29,LEN($A29)-4),[1]Sheet1!$2:$65479,MATCH(CB$3,[1]Sheet1!$2:$2,0),FALSE)</f>
        <v>7.6487013005069882E-2</v>
      </c>
      <c r="CC29" s="30">
        <f t="shared" ref="CC29:CC35" si="136">(1+D29)*(1+E29)-1</f>
        <v>0.19212391578205579</v>
      </c>
      <c r="CD29" s="30">
        <f t="shared" ref="CD29:CD35" si="137">(1+F29)*(1+G29)-1</f>
        <v>0.19244068234554246</v>
      </c>
      <c r="CE29" s="30">
        <f t="shared" ref="CE29:CE35" si="138">(1+H29)*(1+I29)-1</f>
        <v>0.19328161888546824</v>
      </c>
      <c r="CF29" s="30">
        <f t="shared" ref="CF29:CF35" si="139">(1+J29)*(1+K29)-1</f>
        <v>0.13344883750915515</v>
      </c>
      <c r="CG29" s="30">
        <f t="shared" ref="CG29:CG35" si="140">(1+L29)*(1+M29)-1</f>
        <v>0.14503016434668781</v>
      </c>
      <c r="CH29" s="30">
        <f t="shared" ref="CH29:CH35" si="141">(1+N29)*(1+O29)-1</f>
        <v>0.11901673977138039</v>
      </c>
      <c r="CI29" s="30">
        <f t="shared" ref="CI29:CI35" si="142">(1+P29)*(1+Q29)-1</f>
        <v>8.4662348429986878E-2</v>
      </c>
      <c r="CJ29" s="30">
        <f t="shared" ref="CJ29:CJ35" si="143">(1+R29)*(1+S29)-1</f>
        <v>7.1394453499593835E-2</v>
      </c>
      <c r="CK29" s="30">
        <f t="shared" ref="CK29:CK35" si="144">(1+T29)*(1+U29)-1</f>
        <v>7.6290066371579313E-2</v>
      </c>
      <c r="CL29" s="30">
        <f t="shared" ref="CL29:CL35" si="145">(1+V29)*(1+W29)-1</f>
        <v>5.8191758155962781E-2</v>
      </c>
      <c r="CM29" s="32">
        <f t="shared" ref="CM29:CM35" si="146">(1+X29)*(1+Y29)-1</f>
        <v>4.6970126038581528E-2</v>
      </c>
      <c r="CN29" s="32">
        <f t="shared" ref="CN29:CN35" si="147">(1+Z29)*(1+AA29)-1</f>
        <v>4.9067151694921263E-2</v>
      </c>
      <c r="CO29" s="32">
        <f t="shared" ref="CO29:CO35" si="148">(1+AB29)*(1+AC29)-1</f>
        <v>6.7518914730943624E-2</v>
      </c>
      <c r="CP29" s="32">
        <f t="shared" ref="CP29:CP35" si="149">(1+AD29)*(1+AE29)-1</f>
        <v>7.463033436962152E-2</v>
      </c>
      <c r="CQ29" s="32">
        <f t="shared" ref="CQ29:CQ35" si="150">(1+AF29)*(1+AG29)-1</f>
        <v>6.4310981198757666E-2</v>
      </c>
      <c r="CR29" s="32">
        <f t="shared" ref="CR29:CR35" si="151">(1+AH29)*(1+AI29)-1</f>
        <v>6.5804374779694363E-2</v>
      </c>
      <c r="CS29" s="32">
        <f t="shared" ref="CS29:CS35" si="152">(1+AJ29)*(1+AK29)-1</f>
        <v>5.2524002040351681E-2</v>
      </c>
      <c r="CT29" s="32">
        <f t="shared" ref="CT29:CT35" si="153">(1+AL29)*(1+AM29)-1</f>
        <v>2.9946183692117101E-2</v>
      </c>
      <c r="CU29" s="32">
        <f t="shared" ref="CU29:CU35" si="154">(1+AN29)*(1+AO29)-1</f>
        <v>3.268522700278842E-2</v>
      </c>
      <c r="CV29" s="32">
        <f t="shared" ref="CV29:CV35" si="155">(1+AP29)*(1+AQ29)-1</f>
        <v>6.4872866144927155E-2</v>
      </c>
      <c r="CW29" s="32">
        <f t="shared" ref="CW29:CW35" si="156">(1+AR29)*(1+AS29)-1</f>
        <v>7.4139628285478931E-2</v>
      </c>
      <c r="CX29" s="32">
        <f t="shared" ref="CX29:CX35" si="157">(1+AT29)*(1+AU29)-1</f>
        <v>4.2034200861087667E-2</v>
      </c>
      <c r="CY29" s="32">
        <f t="shared" ref="CY29:CY35" si="158">(1+AV29)*(1+AW29)-1</f>
        <v>5.1222650429015193E-2</v>
      </c>
      <c r="CZ29" s="31">
        <f t="shared" ref="CZ29:CZ35" si="159">(1+AX29)*(1+AY29)-1</f>
        <v>6.3060807829165233E-2</v>
      </c>
      <c r="DA29" s="30">
        <f t="shared" ref="DA29:DA35" si="160">(1+AZ29)*(1+BA29)-1</f>
        <v>6.240845582400012E-2</v>
      </c>
      <c r="DB29" s="30">
        <f t="shared" ref="DB29:DB35" si="161">(1+BB29)*(1+BC29)-1</f>
        <v>5.9273738705062584E-2</v>
      </c>
      <c r="DC29" s="30">
        <f t="shared" ref="DC29:DC35" si="162">(1+BD29)*(1+BE29)-1</f>
        <v>5.9273738705062584E-2</v>
      </c>
      <c r="DD29" s="30">
        <f t="shared" ref="DD29:DD35" si="163">(1+BF29)*(1+BG29)-1</f>
        <v>5.3021278320312337E-2</v>
      </c>
      <c r="DE29" s="30">
        <f t="shared" ref="DE29:DE35" si="164">(1+BH29)*(1+BI29)-1</f>
        <v>4.3179762499999885E-2</v>
      </c>
      <c r="DF29" s="30">
        <f t="shared" ref="DF29:DF35" si="165">(1+BJ29)*(1+BK29)-1</f>
        <v>4.0604010000000024E-2</v>
      </c>
      <c r="DG29" s="30">
        <f t="shared" ref="DG29:DG35" si="166">(1+BL29)*(1+BM29)-1</f>
        <v>4.0604010000000024E-2</v>
      </c>
      <c r="DH29" s="30">
        <f t="shared" ref="DH29:DH35" si="167">(1+BN29)*(1+BO29)-1</f>
        <v>4.0604010000000024E-2</v>
      </c>
      <c r="DI29" s="30">
        <f t="shared" ref="DI29:DI35" si="168">(1+BP29)*(1+BQ29)-1</f>
        <v>4.0604010000000024E-2</v>
      </c>
    </row>
    <row r="30" spans="1:113" ht="12" outlineLevel="1">
      <c r="A30" s="1" t="s">
        <v>707</v>
      </c>
      <c r="B30" s="15" t="s">
        <v>219</v>
      </c>
      <c r="C30" s="373">
        <f>VLOOKUP(RIGHT($A30,LEN($A30)-4),[1]Sheet1!$2:$65479,MATCH(C$3,[1]Sheet1!$2:$2,0),FALSE)</f>
        <v>-1.9953836110875312E-3</v>
      </c>
      <c r="D30" s="373">
        <f>VLOOKUP(RIGHT($A30,LEN($A30)-4),[1]Sheet1!$2:$65479,MATCH(D$3,[1]Sheet1!$2:$2,0),FALSE)</f>
        <v>6.7140274895243213E-3</v>
      </c>
      <c r="E30" s="373">
        <f>VLOOKUP(RIGHT($A30,LEN($A30)-4),[1]Sheet1!$2:$65479,MATCH(E$3,[1]Sheet1!$2:$2,0),FALSE)</f>
        <v>4.0535797021749698E-2</v>
      </c>
      <c r="F30" s="373">
        <f>VLOOKUP(RIGHT($A30,LEN($A30)-4),[1]Sheet1!$2:$65479,MATCH(F$3,[1]Sheet1!$2:$2,0),FALSE)</f>
        <v>3.5949960591146191E-2</v>
      </c>
      <c r="G30" s="373">
        <f>VLOOKUP(RIGHT($A30,LEN($A30)-4),[1]Sheet1!$2:$65479,MATCH(G$3,[1]Sheet1!$2:$2,0),FALSE)</f>
        <v>2.8767367457515292E-2</v>
      </c>
      <c r="H30" s="373">
        <f>VLOOKUP(RIGHT($A30,LEN($A30)-4),[1]Sheet1!$2:$65479,MATCH(H$3,[1]Sheet1!$2:$2,0),FALSE)</f>
        <v>3.1024920386234056E-2</v>
      </c>
      <c r="I30" s="373">
        <f>VLOOKUP(RIGHT($A30,LEN($A30)-4),[1]Sheet1!$2:$65479,MATCH(I$3,[1]Sheet1!$2:$2,0),FALSE)</f>
        <v>5.2961025855101873E-2</v>
      </c>
      <c r="J30" s="373">
        <f>VLOOKUP(RIGHT($A30,LEN($A30)-4),[1]Sheet1!$2:$65479,MATCH(J$3,[1]Sheet1!$2:$2,0),FALSE)</f>
        <v>5.2816160024864667E-2</v>
      </c>
      <c r="K30" s="373">
        <f>VLOOKUP(RIGHT($A30,LEN($A30)-4),[1]Sheet1!$2:$65479,MATCH(K$3,[1]Sheet1!$2:$2,0),FALSE)</f>
        <v>7.4262370279938761E-2</v>
      </c>
      <c r="L30" s="373">
        <f>VLOOKUP(RIGHT($A30,LEN($A30)-4),[1]Sheet1!$2:$65479,MATCH(L$3,[1]Sheet1!$2:$2,0),FALSE)</f>
        <v>8.48457821831059E-2</v>
      </c>
      <c r="M30" s="136">
        <f>VLOOKUP(RIGHT($A30,LEN($A30)-4),[1]Sheet1!$2:$65479,MATCH(M$3,[1]Sheet1!$2:$2,0),FALSE)</f>
        <v>7.114859088521519E-2</v>
      </c>
      <c r="N30" s="136">
        <f>VLOOKUP(RIGHT($A30,LEN($A30)-4),[1]Sheet1!$2:$65479,MATCH(N$3,[1]Sheet1!$2:$2,0),FALSE)</f>
        <v>9.0754448481126668E-2</v>
      </c>
      <c r="O30" s="136">
        <f>VLOOKUP(RIGHT($A30,LEN($A30)-4),[1]Sheet1!$2:$65479,MATCH(O$3,[1]Sheet1!$2:$2,0),FALSE)</f>
        <v>0.12028605941619031</v>
      </c>
      <c r="P30" s="136">
        <f>VLOOKUP(RIGHT($A30,LEN($A30)-4),[1]Sheet1!$2:$65479,MATCH(P$3,[1]Sheet1!$2:$2,0),FALSE)</f>
        <v>8.565231163730358E-2</v>
      </c>
      <c r="Q30" s="136">
        <f>VLOOKUP(RIGHT($A30,LEN($A30)-4),[1]Sheet1!$2:$65479,MATCH(Q$3,[1]Sheet1!$2:$2,0),FALSE)</f>
        <v>4.8409626458220556E-2</v>
      </c>
      <c r="R30" s="136">
        <f>VLOOKUP(RIGHT($A30,LEN($A30)-4),[1]Sheet1!$2:$65479,MATCH(R$3,[1]Sheet1!$2:$2,0),FALSE)</f>
        <v>2.4801139814889517E-3</v>
      </c>
      <c r="S30" s="136">
        <f>VLOOKUP(RIGHT($A30,LEN($A30)-4),[1]Sheet1!$2:$65479,MATCH(S$3,[1]Sheet1!$2:$2,0),FALSE)</f>
        <v>-4.1874125153024577E-2</v>
      </c>
      <c r="T30" s="137">
        <f>VLOOKUP(RIGHT($A30,LEN($A30)-4),[1]Sheet1!$2:$65479,MATCH(T$3,[1]Sheet1!$2:$2,0),FALSE)</f>
        <v>-2.0672426452357451E-2</v>
      </c>
      <c r="U30" s="136">
        <f>VLOOKUP(RIGHT($A30,LEN($A30)-4),[1]Sheet1!$2:$65479,MATCH(U$3,[1]Sheet1!$2:$2,0),FALSE)</f>
        <v>-1.4714796366349758E-2</v>
      </c>
      <c r="V30" s="136">
        <f>VLOOKUP(RIGHT($A30,LEN($A30)-4),[1]Sheet1!$2:$65479,MATCH(V$3,[1]Sheet1!$2:$2,0),FALSE)</f>
        <v>6.7767047184863483E-3</v>
      </c>
      <c r="W30" s="136">
        <f>VLOOKUP(RIGHT($A30,LEN($A30)-4),[1]Sheet1!$2:$65479,MATCH(W$3,[1]Sheet1!$2:$2,0),FALSE)</f>
        <v>-8.1065520493061038E-3</v>
      </c>
      <c r="X30" s="136">
        <f>VLOOKUP(RIGHT($A30,LEN($A30)-4),[1]Sheet1!$2:$65479,MATCH(X$3,[1]Sheet1!$2:$2,0),FALSE)</f>
        <v>1.799016341009918E-2</v>
      </c>
      <c r="Y30" s="137">
        <f>VLOOKUP(RIGHT($A30,LEN($A30)-4),[1]Sheet1!$2:$65479,MATCH(Y$3,[1]Sheet1!$2:$2,0),FALSE)</f>
        <v>2.2053392770545299E-2</v>
      </c>
      <c r="Z30" s="137">
        <f>VLOOKUP(RIGHT($A30,LEN($A30)-4),[1]Sheet1!$2:$65479,MATCH(Z$3,[1]Sheet1!$2:$2,0),FALSE)</f>
        <v>-1.6387438959093448E-3</v>
      </c>
      <c r="AA30" s="137">
        <f>VLOOKUP(RIGHT($A30,LEN($A30)-4),[1]Sheet1!$2:$65479,MATCH(AA$3,[1]Sheet1!$2:$2,0),FALSE)</f>
        <v>1.193989246837468E-2</v>
      </c>
      <c r="AB30" s="354">
        <f>VLOOKUP(RIGHT($A30,LEN($A30)-4),[1]Sheet1!$2:$65479,MATCH(AB$3,[1]Sheet1!$2:$2,0),FALSE)</f>
        <v>1.3799026038668227E-2</v>
      </c>
      <c r="AC30" s="354">
        <f>VLOOKUP(RIGHT($A30,LEN($A30)-4),[1]Sheet1!$2:$65479,MATCH(AC$3,[1]Sheet1!$2:$2,0),FALSE)</f>
        <v>2.3656202171627783E-2</v>
      </c>
      <c r="AD30" s="354">
        <f>VLOOKUP(RIGHT($A30,LEN($A30)-4),[1]Sheet1!$2:$65479,MATCH(AD$3,[1]Sheet1!$2:$2,0),FALSE)</f>
        <v>3.0051425761757233E-2</v>
      </c>
      <c r="AE30" s="354">
        <f>VLOOKUP(RIGHT($A30,LEN($A30)-4),[1]Sheet1!$2:$65479,MATCH(AE$3,[1]Sheet1!$2:$2,0),FALSE)</f>
        <v>3.2645195958608708E-2</v>
      </c>
      <c r="AF30" s="354">
        <f>VLOOKUP(RIGHT($A30,LEN($A30)-4),[1]Sheet1!$2:$65479,MATCH(AF$3,[1]Sheet1!$2:$2,0),FALSE)</f>
        <v>3.1772528517604925E-2</v>
      </c>
      <c r="AG30" s="354">
        <f>VLOOKUP(RIGHT($A30,LEN($A30)-4),[1]Sheet1!$2:$65479,MATCH(AG$3,[1]Sheet1!$2:$2,0),FALSE)</f>
        <v>1.677530373388203E-2</v>
      </c>
      <c r="AH30" s="354">
        <f>VLOOKUP(RIGHT($A30,LEN($A30)-4),[1]Sheet1!$2:$65479,MATCH(AH$3,[1]Sheet1!$2:$2,0),FALSE)</f>
        <v>1.665699856938252E-2</v>
      </c>
      <c r="AI30" s="354">
        <f>VLOOKUP(RIGHT($A30,LEN($A30)-4),[1]Sheet1!$2:$65479,MATCH(AI$3,[1]Sheet1!$2:$2,0),FALSE)</f>
        <v>2.447671159557796E-2</v>
      </c>
      <c r="AJ30" s="354">
        <f>VLOOKUP(RIGHT($A30,LEN($A30)-4),[1]Sheet1!$2:$65479,MATCH(AJ$3,[1]Sheet1!$2:$2,0),FALSE)</f>
        <v>1.3977591663487221E-2</v>
      </c>
      <c r="AK30" s="354">
        <f>VLOOKUP(RIGHT($A30,LEN($A30)-4),[1]Sheet1!$2:$65479,MATCH(AK$3,[1]Sheet1!$2:$2,0),FALSE)</f>
        <v>2.9432017422115431E-2</v>
      </c>
      <c r="AL30" s="354">
        <f>VLOOKUP(RIGHT($A30,LEN($A30)-4),[1]Sheet1!$2:$65479,MATCH(AL$3,[1]Sheet1!$2:$2,0),FALSE)</f>
        <v>1.8544263770812197E-2</v>
      </c>
      <c r="AM30" s="354">
        <f>VLOOKUP(RIGHT($A30,LEN($A30)-4),[1]Sheet1!$2:$65479,MATCH(AM$3,[1]Sheet1!$2:$2,0),FALSE)</f>
        <v>1.1499413734860964E-2</v>
      </c>
      <c r="AN30" s="354">
        <f>VLOOKUP(RIGHT($A30,LEN($A30)-4),[1]Sheet1!$2:$65479,MATCH(AN$3,[1]Sheet1!$2:$2,0),FALSE)</f>
        <v>3.6949610399473309E-2</v>
      </c>
      <c r="AO30" s="354">
        <f>VLOOKUP(RIGHT($A30,LEN($A30)-4),[1]Sheet1!$2:$65479,MATCH(AO$3,[1]Sheet1!$2:$2,0),FALSE)</f>
        <v>-2.5860677339568094E-2</v>
      </c>
      <c r="AP30" s="354">
        <f>VLOOKUP(RIGHT($A30,LEN($A30)-4),[1]Sheet1!$2:$65479,MATCH(AP$3,[1]Sheet1!$2:$2,0),FALSE)</f>
        <v>2.0917087222984687E-3</v>
      </c>
      <c r="AQ30" s="354">
        <f>VLOOKUP(RIGHT($A30,LEN($A30)-4),[1]Sheet1!$2:$65479,MATCH(AQ$3,[1]Sheet1!$2:$2,0),FALSE)</f>
        <v>3.9569421985749642E-2</v>
      </c>
      <c r="AR30" s="354">
        <f>VLOOKUP(RIGHT($A30,LEN($A30)-4),[1]Sheet1!$2:$65479,MATCH(AR$3,[1]Sheet1!$2:$2,0),FALSE)</f>
        <v>5.0434501523235475E-2</v>
      </c>
      <c r="AS30" s="354">
        <f>VLOOKUP(RIGHT($A30,LEN($A30)-4),[1]Sheet1!$2:$65479,MATCH(AS$3,[1]Sheet1!$2:$2,0),FALSE)</f>
        <v>7.900988560464639E-2</v>
      </c>
      <c r="AT30" s="354">
        <f>VLOOKUP(RIGHT($A30,LEN($A30)-4),[1]Sheet1!$2:$65479,MATCH(AT$3,[1]Sheet1!$2:$2,0),FALSE)</f>
        <v>2.3681325522372454E-2</v>
      </c>
      <c r="AU30" s="354">
        <f>VLOOKUP(RIGHT($A30,LEN($A30)-4),[1]Sheet1!$2:$65479,MATCH(AU$3,[1]Sheet1!$2:$2,0),FALSE)</f>
        <v>4.1686911003573357E-2</v>
      </c>
      <c r="AV30" s="354">
        <f>VLOOKUP(RIGHT($A30,LEN($A30)-4),[1]Sheet1!$2:$65479,MATCH(AV$3,[1]Sheet1!$2:$2,0),FALSE)</f>
        <v>3.3924736616333773E-2</v>
      </c>
      <c r="AW30" s="354">
        <f>VLOOKUP(RIGHT($A30,LEN($A30)-4),[1]Sheet1!$2:$65479,MATCH(AW$3,[1]Sheet1!$2:$2,0),FALSE)</f>
        <v>4.0573827443633359E-2</v>
      </c>
      <c r="AX30" s="354">
        <f>VLOOKUP(RIGHT($A30,LEN($A30)-4),[1]Sheet1!$2:$65479,MATCH(AX$3,[1]Sheet1!$2:$2,0),FALSE)</f>
        <v>4.300006955528235E-2</v>
      </c>
      <c r="AY30" s="341">
        <f>VLOOKUP(RIGHT($A30,LEN($A30)-4),[1]Sheet1!$2:$65479,MATCH(AY$3,[1]Sheet1!$2:$2,0),FALSE)</f>
        <v>4.8989678483534194E-2</v>
      </c>
      <c r="AZ30" s="29">
        <f>VLOOKUP(RIGHT($A30,LEN($A30)-4),[1]Sheet1!$2:$65479,MATCH(AZ$3,[1]Sheet1!$2:$2,0),FALSE)</f>
        <v>4.5499999999999874E-2</v>
      </c>
      <c r="BA30" s="29">
        <f>VLOOKUP(RIGHT($A30,LEN($A30)-4),[1]Sheet1!$2:$65479,MATCH(BA$3,[1]Sheet1!$2:$2,0),FALSE)</f>
        <v>3.5299999999999887E-2</v>
      </c>
      <c r="BB30" s="29">
        <f>VLOOKUP(RIGHT($A30,LEN($A30)-4),[1]Sheet1!$2:$65479,MATCH(BB$3,[1]Sheet1!$2:$2,0),FALSE)</f>
        <v>3.0224999999999724E-2</v>
      </c>
      <c r="BC30" s="29">
        <f>VLOOKUP(RIGHT($A30,LEN($A30)-4),[1]Sheet1!$2:$65479,MATCH(BC$3,[1]Sheet1!$2:$2,0),FALSE)</f>
        <v>2.5150000000000006E-2</v>
      </c>
      <c r="BD30" s="29">
        <f>VLOOKUP(RIGHT($A30,LEN($A30)-4),[1]Sheet1!$2:$65479,MATCH(BD$3,[1]Sheet1!$2:$2,0),FALSE)</f>
        <v>2.0100000000000007E-2</v>
      </c>
      <c r="BE30" s="29">
        <f>VLOOKUP(RIGHT($A30,LEN($A30)-4),[1]Sheet1!$2:$65479,MATCH(BE$3,[1]Sheet1!$2:$2,0),FALSE)</f>
        <v>2.0100000000000007E-2</v>
      </c>
      <c r="BF30" s="29">
        <f>VLOOKUP(RIGHT($A30,LEN($A30)-4),[1]Sheet1!$2:$65479,MATCH(BF$3,[1]Sheet1!$2:$2,0),FALSE)</f>
        <v>2.0100000000000007E-2</v>
      </c>
      <c r="BG30" s="29">
        <f>VLOOKUP(RIGHT($A30,LEN($A30)-4),[1]Sheet1!$2:$65479,MATCH(BG$3,[1]Sheet1!$2:$2,0),FALSE)</f>
        <v>2.0100000000000007E-2</v>
      </c>
      <c r="BH30" s="29">
        <f>VLOOKUP(RIGHT($A30,LEN($A30)-4),[1]Sheet1!$2:$65479,MATCH(BH$3,[1]Sheet1!$2:$2,0),FALSE)</f>
        <v>2.0100000000000007E-2</v>
      </c>
      <c r="BI30" s="29">
        <f>VLOOKUP(RIGHT($A30,LEN($A30)-4),[1]Sheet1!$2:$65479,MATCH(BI$3,[1]Sheet1!$2:$2,0),FALSE)</f>
        <v>2.0100000000000007E-2</v>
      </c>
      <c r="BJ30" s="29">
        <f>VLOOKUP(RIGHT($A30,LEN($A30)-4),[1]Sheet1!$2:$65479,MATCH(BJ$3,[1]Sheet1!$2:$2,0),FALSE)</f>
        <v>2.0100000000000007E-2</v>
      </c>
      <c r="BK30" s="29">
        <f>VLOOKUP(RIGHT($A30,LEN($A30)-4),[1]Sheet1!$2:$65479,MATCH(BK$3,[1]Sheet1!$2:$2,0),FALSE)</f>
        <v>2.0100000000000007E-2</v>
      </c>
      <c r="BL30" s="29">
        <f>VLOOKUP(RIGHT($A30,LEN($A30)-4),[1]Sheet1!$2:$65479,MATCH(BL$3,[1]Sheet1!$2:$2,0),FALSE)</f>
        <v>2.0100000000000007E-2</v>
      </c>
      <c r="BM30" s="29">
        <f>VLOOKUP(RIGHT($A30,LEN($A30)-4),[1]Sheet1!$2:$65479,MATCH(BM$3,[1]Sheet1!$2:$2,0),FALSE)</f>
        <v>2.0100000000000007E-2</v>
      </c>
      <c r="BN30" s="29">
        <f>VLOOKUP(RIGHT($A30,LEN($A30)-4),[1]Sheet1!$2:$65479,MATCH(BN$3,[1]Sheet1!$2:$2,0),FALSE)</f>
        <v>2.0100000000000007E-2</v>
      </c>
      <c r="BO30" s="29">
        <f>VLOOKUP(RIGHT($A30,LEN($A30)-4),[1]Sheet1!$2:$65479,MATCH(BO$3,[1]Sheet1!$2:$2,0),FALSE)</f>
        <v>2.0100000000000007E-2</v>
      </c>
      <c r="BP30" s="29">
        <f>VLOOKUP(RIGHT($A30,LEN($A30)-4),[1]Sheet1!$2:$65479,MATCH(BP$3,[1]Sheet1!$2:$2,0),FALSE)</f>
        <v>2.0100000000000007E-2</v>
      </c>
      <c r="BQ30" s="29">
        <f>VLOOKUP(RIGHT($A30,LEN($A30)-4),[1]Sheet1!$2:$65479,MATCH(BQ$3,[1]Sheet1!$2:$2,0),FALSE)</f>
        <v>2.0100000000000007E-2</v>
      </c>
      <c r="BR30" s="30"/>
      <c r="BS30" s="393">
        <f>VLOOKUP(RIGHT($A30,LEN($A30)-4),[1]Sheet1!$2:$65479,MATCH(BS$3,[1]Sheet1!$2:$2,0),FALSE)</f>
        <v>-2.6546006989944582E-2</v>
      </c>
      <c r="BT30" s="393">
        <f>VLOOKUP(RIGHT($A30,LEN($A30)-4),[1]Sheet1!$2:$65479,MATCH(BT$3,[1]Sheet1!$2:$2,0),FALSE)</f>
        <v>-1.1797081643932228E-2</v>
      </c>
      <c r="BU30" s="393">
        <f>VLOOKUP(RIGHT($A30,LEN($A30)-4),[1]Sheet1!$2:$65479,MATCH(BU$3,[1]Sheet1!$2:$2,0),FALSE)</f>
        <v>1.5309910799833126E-2</v>
      </c>
      <c r="BV30" s="393">
        <f>VLOOKUP(RIGHT($A30,LEN($A30)-4),[1]Sheet1!$2:$65479,MATCH(BV$3,[1]Sheet1!$2:$2,0),FALSE)</f>
        <v>4.9770130192503093E-2</v>
      </c>
      <c r="BW30" s="393">
        <f>VLOOKUP(RIGHT($A30,LEN($A30)-4),[1]Sheet1!$2:$65479,MATCH(BW$3,[1]Sheet1!$2:$2,0),FALSE)</f>
        <v>4.701904416313174E-2</v>
      </c>
      <c r="BX30" s="393">
        <f>VLOOKUP(RIGHT($A30,LEN($A30)-4),[1]Sheet1!$2:$65479,MATCH(BX$3,[1]Sheet1!$2:$2,0),FALSE)</f>
        <v>6.4402550232113942E-2</v>
      </c>
      <c r="BY30" s="393">
        <f>VLOOKUP(RIGHT($A30,LEN($A30)-4),[1]Sheet1!$2:$65479,MATCH(BY$3,[1]Sheet1!$2:$2,0),FALSE)</f>
        <v>4.4243049764415732E-2</v>
      </c>
      <c r="BZ30" s="393">
        <f>VLOOKUP(RIGHT($A30,LEN($A30)-4),[1]Sheet1!$2:$65479,MATCH(BZ$3,[1]Sheet1!$2:$2,0),FALSE)</f>
        <v>2.9215896329007451E-2</v>
      </c>
      <c r="CA30" s="393">
        <f>VLOOKUP(RIGHT($A30,LEN($A30)-4),[1]Sheet1!$2:$65479,MATCH(CA$3,[1]Sheet1!$2:$2,0),FALSE)</f>
        <v>4.817296342177424E-2</v>
      </c>
      <c r="CB30" s="393">
        <f>VLOOKUP(RIGHT($A30,LEN($A30)-4),[1]Sheet1!$2:$65479,MATCH(CB$3,[1]Sheet1!$2:$2,0),FALSE)</f>
        <v>-1.9953836110875312E-3</v>
      </c>
      <c r="CC30" s="30">
        <f t="shared" si="136"/>
        <v>4.752198296678789E-2</v>
      </c>
      <c r="CD30" s="30">
        <f t="shared" si="137"/>
        <v>6.5751513775070158E-2</v>
      </c>
      <c r="CE30" s="30">
        <f t="shared" si="138"/>
        <v>8.5629057852063761E-2</v>
      </c>
      <c r="CF30" s="30">
        <f t="shared" si="139"/>
        <v>0.13100078353733435</v>
      </c>
      <c r="CG30" s="30">
        <f t="shared" si="140"/>
        <v>0.16203103091320292</v>
      </c>
      <c r="CH30" s="30">
        <f t="shared" si="141"/>
        <v>0.22195700287960141</v>
      </c>
      <c r="CI30" s="30">
        <f t="shared" si="142"/>
        <v>0.13820833450716918</v>
      </c>
      <c r="CJ30" s="30">
        <f t="shared" si="143"/>
        <v>-3.9497863774790254E-2</v>
      </c>
      <c r="CK30" s="30">
        <f t="shared" si="144"/>
        <v>-3.508303227306242E-2</v>
      </c>
      <c r="CL30" s="30">
        <f t="shared" si="145"/>
        <v>-1.3847830403429517E-3</v>
      </c>
      <c r="CM30" s="32">
        <f t="shared" si="146"/>
        <v>4.0440300320333744E-2</v>
      </c>
      <c r="CN30" s="32">
        <f t="shared" si="147"/>
        <v>1.0281582146564938E-2</v>
      </c>
      <c r="CO30" s="32">
        <f t="shared" si="148"/>
        <v>3.7781660760038305E-2</v>
      </c>
      <c r="CP30" s="32">
        <f t="shared" si="149"/>
        <v>6.3677656403194005E-2</v>
      </c>
      <c r="CQ30" s="32">
        <f t="shared" si="150"/>
        <v>4.9080826067763317E-2</v>
      </c>
      <c r="CR30" s="32">
        <f t="shared" si="151"/>
        <v>4.1541418714991174E-2</v>
      </c>
      <c r="CS30" s="32">
        <f t="shared" si="152"/>
        <v>4.3820997806961692E-2</v>
      </c>
      <c r="CT30" s="32">
        <f t="shared" si="153"/>
        <v>3.0256925667182077E-2</v>
      </c>
      <c r="CU30" s="32">
        <f t="shared" si="154"/>
        <v>1.0133391107541634E-2</v>
      </c>
      <c r="CV30" s="32">
        <f t="shared" si="155"/>
        <v>4.1743898413151959E-2</v>
      </c>
      <c r="CW30" s="32">
        <f t="shared" si="156"/>
        <v>0.13342921132376007</v>
      </c>
      <c r="CX30" s="32">
        <f t="shared" si="157"/>
        <v>6.635543783544362E-2</v>
      </c>
      <c r="CY30" s="32">
        <f t="shared" si="158"/>
        <v>7.5875020469508891E-2</v>
      </c>
      <c r="CZ30" s="31">
        <f t="shared" si="159"/>
        <v>9.409630762109944E-2</v>
      </c>
      <c r="DA30" s="30">
        <f t="shared" si="160"/>
        <v>8.2406149999999734E-2</v>
      </c>
      <c r="DB30" s="30">
        <f t="shared" si="161"/>
        <v>5.6135158749999636E-2</v>
      </c>
      <c r="DC30" s="30">
        <f t="shared" si="162"/>
        <v>4.0604010000000024E-2</v>
      </c>
      <c r="DD30" s="30">
        <f t="shared" si="163"/>
        <v>4.0604010000000024E-2</v>
      </c>
      <c r="DE30" s="30">
        <f t="shared" si="164"/>
        <v>4.0604010000000024E-2</v>
      </c>
      <c r="DF30" s="30">
        <f t="shared" si="165"/>
        <v>4.0604010000000024E-2</v>
      </c>
      <c r="DG30" s="30">
        <f t="shared" si="166"/>
        <v>4.0604010000000024E-2</v>
      </c>
      <c r="DH30" s="30">
        <f t="shared" si="167"/>
        <v>4.0604010000000024E-2</v>
      </c>
      <c r="DI30" s="30">
        <f t="shared" si="168"/>
        <v>4.0604010000000024E-2</v>
      </c>
    </row>
    <row r="31" spans="1:113" ht="12" outlineLevel="1">
      <c r="A31" s="1" t="s">
        <v>845</v>
      </c>
      <c r="B31" s="15" t="s">
        <v>220</v>
      </c>
      <c r="C31" s="373">
        <f>VLOOKUP(RIGHT($A31,LEN($A31)-4),[1]Sheet1!$2:$65479,MATCH(C$3,[1]Sheet1!$2:$2,0),FALSE)</f>
        <v>3.6406755651311906E-2</v>
      </c>
      <c r="D31" s="373">
        <f>VLOOKUP(RIGHT($A31,LEN($A31)-4),[1]Sheet1!$2:$65479,MATCH(D$3,[1]Sheet1!$2:$2,0),FALSE)</f>
        <v>4.5227399917856292E-2</v>
      </c>
      <c r="E31" s="373">
        <f>VLOOKUP(RIGHT($A31,LEN($A31)-4),[1]Sheet1!$2:$65479,MATCH(E$3,[1]Sheet1!$2:$2,0),FALSE)</f>
        <v>5.771318789890012E-2</v>
      </c>
      <c r="F31" s="373">
        <f>VLOOKUP(RIGHT($A31,LEN($A31)-4),[1]Sheet1!$2:$65479,MATCH(F$3,[1]Sheet1!$2:$2,0),FALSE)</f>
        <v>4.7415098135860756E-2</v>
      </c>
      <c r="G31" s="373">
        <f>VLOOKUP(RIGHT($A31,LEN($A31)-4),[1]Sheet1!$2:$65479,MATCH(G$3,[1]Sheet1!$2:$2,0),FALSE)</f>
        <v>8.317951742196561E-2</v>
      </c>
      <c r="H31" s="373">
        <f>VLOOKUP(RIGHT($A31,LEN($A31)-4),[1]Sheet1!$2:$65479,MATCH(H$3,[1]Sheet1!$2:$2,0),FALSE)</f>
        <v>5.8286927599551008E-2</v>
      </c>
      <c r="I31" s="373">
        <f>VLOOKUP(RIGHT($A31,LEN($A31)-4),[1]Sheet1!$2:$65479,MATCH(I$3,[1]Sheet1!$2:$2,0),FALSE)</f>
        <v>5.2557723017667479E-2</v>
      </c>
      <c r="J31" s="373">
        <f>VLOOKUP(RIGHT($A31,LEN($A31)-4),[1]Sheet1!$2:$65479,MATCH(J$3,[1]Sheet1!$2:$2,0),FALSE)</f>
        <v>6.9997484032544577E-2</v>
      </c>
      <c r="K31" s="373">
        <f>VLOOKUP(RIGHT($A31,LEN($A31)-4),[1]Sheet1!$2:$65479,MATCH(K$3,[1]Sheet1!$2:$2,0),FALSE)</f>
        <v>5.5353987284401107E-2</v>
      </c>
      <c r="L31" s="373">
        <f>VLOOKUP(RIGHT($A31,LEN($A31)-4),[1]Sheet1!$2:$65479,MATCH(L$3,[1]Sheet1!$2:$2,0),FALSE)</f>
        <v>4.2715275250303053E-2</v>
      </c>
      <c r="M31" s="136">
        <f>VLOOKUP(RIGHT($A31,LEN($A31)-4),[1]Sheet1!$2:$65479,MATCH(M$3,[1]Sheet1!$2:$2,0),FALSE)</f>
        <v>6.606324846984557E-2</v>
      </c>
      <c r="N31" s="136">
        <f>VLOOKUP(RIGHT($A31,LEN($A31)-4),[1]Sheet1!$2:$65479,MATCH(N$3,[1]Sheet1!$2:$2,0),FALSE)</f>
        <v>4.8316392796795116E-2</v>
      </c>
      <c r="O31" s="136">
        <f>VLOOKUP(RIGHT($A31,LEN($A31)-4),[1]Sheet1!$2:$65479,MATCH(O$3,[1]Sheet1!$2:$2,0),FALSE)</f>
        <v>6.6516574228735692E-2</v>
      </c>
      <c r="P31" s="136">
        <f>VLOOKUP(RIGHT($A31,LEN($A31)-4),[1]Sheet1!$2:$65479,MATCH(P$3,[1]Sheet1!$2:$2,0),FALSE)</f>
        <v>3.2884586824436735E-2</v>
      </c>
      <c r="Q31" s="136">
        <f>VLOOKUP(RIGHT($A31,LEN($A31)-4),[1]Sheet1!$2:$65479,MATCH(Q$3,[1]Sheet1!$2:$2,0),FALSE)</f>
        <v>-1.1498650757536977E-2</v>
      </c>
      <c r="R31" s="136">
        <f>VLOOKUP(RIGHT($A31,LEN($A31)-4),[1]Sheet1!$2:$65479,MATCH(R$3,[1]Sheet1!$2:$2,0),FALSE)</f>
        <v>-5.5931697593794238E-2</v>
      </c>
      <c r="S31" s="136">
        <f>VLOOKUP(RIGHT($A31,LEN($A31)-4),[1]Sheet1!$2:$65479,MATCH(S$3,[1]Sheet1!$2:$2,0),FALSE)</f>
        <v>9.2808867573945797E-4</v>
      </c>
      <c r="T31" s="137">
        <f>VLOOKUP(RIGHT($A31,LEN($A31)-4),[1]Sheet1!$2:$65479,MATCH(T$3,[1]Sheet1!$2:$2,0),FALSE)</f>
        <v>2.2454302666393255E-2</v>
      </c>
      <c r="U31" s="136">
        <f>VLOOKUP(RIGHT($A31,LEN($A31)-4),[1]Sheet1!$2:$65479,MATCH(U$3,[1]Sheet1!$2:$2,0),FALSE)</f>
        <v>5.5589603181911418E-3</v>
      </c>
      <c r="V31" s="136">
        <f>VLOOKUP(RIGHT($A31,LEN($A31)-4),[1]Sheet1!$2:$65479,MATCH(V$3,[1]Sheet1!$2:$2,0),FALSE)</f>
        <v>4.6073130029744558E-3</v>
      </c>
      <c r="W31" s="136">
        <f>VLOOKUP(RIGHT($A31,LEN($A31)-4),[1]Sheet1!$2:$65479,MATCH(W$3,[1]Sheet1!$2:$2,0),FALSE)</f>
        <v>-1.1694051188446686E-2</v>
      </c>
      <c r="X31" s="136">
        <f>VLOOKUP(RIGHT($A31,LEN($A31)-4),[1]Sheet1!$2:$65479,MATCH(X$3,[1]Sheet1!$2:$2,0),FALSE)</f>
        <v>-1.9487018267291267E-3</v>
      </c>
      <c r="Y31" s="137">
        <f>VLOOKUP(RIGHT($A31,LEN($A31)-4),[1]Sheet1!$2:$65479,MATCH(Y$3,[1]Sheet1!$2:$2,0),FALSE)</f>
        <v>-5.298699877677393E-3</v>
      </c>
      <c r="Z31" s="137">
        <f>VLOOKUP(RIGHT($A31,LEN($A31)-4),[1]Sheet1!$2:$65479,MATCH(Z$3,[1]Sheet1!$2:$2,0),FALSE)</f>
        <v>4.7036118872998411E-3</v>
      </c>
      <c r="AA31" s="137">
        <f>VLOOKUP(RIGHT($A31,LEN($A31)-4),[1]Sheet1!$2:$65479,MATCH(AA$3,[1]Sheet1!$2:$2,0),FALSE)</f>
        <v>2.1732847439002168E-3</v>
      </c>
      <c r="AB31" s="354">
        <f>VLOOKUP(RIGHT($A31,LEN($A31)-4),[1]Sheet1!$2:$65479,MATCH(AB$3,[1]Sheet1!$2:$2,0),FALSE)</f>
        <v>1.6795449156183917E-3</v>
      </c>
      <c r="AC31" s="354">
        <f>VLOOKUP(RIGHT($A31,LEN($A31)-4),[1]Sheet1!$2:$65479,MATCH(AC$3,[1]Sheet1!$2:$2,0),FALSE)</f>
        <v>9.3923997479976595E-3</v>
      </c>
      <c r="AD31" s="354">
        <f>VLOOKUP(RIGHT($A31,LEN($A31)-4),[1]Sheet1!$2:$65479,MATCH(AD$3,[1]Sheet1!$2:$2,0),FALSE)</f>
        <v>4.0207203699058613E-3</v>
      </c>
      <c r="AE31" s="354">
        <f>VLOOKUP(RIGHT($A31,LEN($A31)-4),[1]Sheet1!$2:$65479,MATCH(AE$3,[1]Sheet1!$2:$2,0),FALSE)</f>
        <v>-9.4073730769528296E-5</v>
      </c>
      <c r="AF31" s="354">
        <f>VLOOKUP(RIGHT($A31,LEN($A31)-4),[1]Sheet1!$2:$65479,MATCH(AF$3,[1]Sheet1!$2:$2,0),FALSE)</f>
        <v>-4.6514213888356748E-3</v>
      </c>
      <c r="AG31" s="354">
        <f>VLOOKUP(RIGHT($A31,LEN($A31)-4),[1]Sheet1!$2:$65479,MATCH(AG$3,[1]Sheet1!$2:$2,0),FALSE)</f>
        <v>-4.7123538151451205E-3</v>
      </c>
      <c r="AH31" s="354">
        <f>VLOOKUP(RIGHT($A31,LEN($A31)-4),[1]Sheet1!$2:$65479,MATCH(AH$3,[1]Sheet1!$2:$2,0),FALSE)</f>
        <v>-5.6861525861319206E-3</v>
      </c>
      <c r="AI31" s="354">
        <f>VLOOKUP(RIGHT($A31,LEN($A31)-4),[1]Sheet1!$2:$65479,MATCH(AI$3,[1]Sheet1!$2:$2,0),FALSE)</f>
        <v>-3.1390046613766209E-3</v>
      </c>
      <c r="AJ31" s="354">
        <f>VLOOKUP(RIGHT($A31,LEN($A31)-4),[1]Sheet1!$2:$65479,MATCH(AJ$3,[1]Sheet1!$2:$2,0),FALSE)</f>
        <v>-8.3899289042788094E-3</v>
      </c>
      <c r="AK31" s="354">
        <f>VLOOKUP(RIGHT($A31,LEN($A31)-4),[1]Sheet1!$2:$65479,MATCH(AK$3,[1]Sheet1!$2:$2,0),FALSE)</f>
        <v>-5.596918592585487E-3</v>
      </c>
      <c r="AL31" s="354">
        <f>VLOOKUP(RIGHT($A31,LEN($A31)-4),[1]Sheet1!$2:$65479,MATCH(AL$3,[1]Sheet1!$2:$2,0),FALSE)</f>
        <v>-2.2817439701753095E-2</v>
      </c>
      <c r="AM31" s="354">
        <f>VLOOKUP(RIGHT($A31,LEN($A31)-4),[1]Sheet1!$2:$65479,MATCH(AM$3,[1]Sheet1!$2:$2,0),FALSE)</f>
        <v>-2.0274284931587339E-2</v>
      </c>
      <c r="AN31" s="354">
        <f>VLOOKUP(RIGHT($A31,LEN($A31)-4),[1]Sheet1!$2:$65479,MATCH(AN$3,[1]Sheet1!$2:$2,0),FALSE)</f>
        <v>-4.7835379054442795E-2</v>
      </c>
      <c r="AO31" s="354">
        <f>VLOOKUP(RIGHT($A31,LEN($A31)-4),[1]Sheet1!$2:$65479,MATCH(AO$3,[1]Sheet1!$2:$2,0),FALSE)</f>
        <v>-8.5728368295838062E-2</v>
      </c>
      <c r="AP31" s="354">
        <f>VLOOKUP(RIGHT($A31,LEN($A31)-4),[1]Sheet1!$2:$65479,MATCH(AP$3,[1]Sheet1!$2:$2,0),FALSE)</f>
        <v>-2.369839025217646E-2</v>
      </c>
      <c r="AQ31" s="354">
        <f>VLOOKUP(RIGHT($A31,LEN($A31)-4),[1]Sheet1!$2:$65479,MATCH(AQ$3,[1]Sheet1!$2:$2,0),FALSE)</f>
        <v>-3.1141469935002219E-2</v>
      </c>
      <c r="AR31" s="354">
        <f>VLOOKUP(RIGHT($A31,LEN($A31)-4),[1]Sheet1!$2:$65479,MATCH(AR$3,[1]Sheet1!$2:$2,0),FALSE)</f>
        <v>-6.6448395349250067E-4</v>
      </c>
      <c r="AS31" s="354">
        <f>VLOOKUP(RIGHT($A31,LEN($A31)-4),[1]Sheet1!$2:$65479,MATCH(AS$3,[1]Sheet1!$2:$2,0),FALSE)</f>
        <v>-2.2009548549577485E-3</v>
      </c>
      <c r="AT31" s="354">
        <f>VLOOKUP(RIGHT($A31,LEN($A31)-4),[1]Sheet1!$2:$65479,MATCH(AT$3,[1]Sheet1!$2:$2,0),FALSE)</f>
        <v>9.1975599108029549E-4</v>
      </c>
      <c r="AU31" s="354">
        <f>VLOOKUP(RIGHT($A31,LEN($A31)-4),[1]Sheet1!$2:$65479,MATCH(AU$3,[1]Sheet1!$2:$2,0),FALSE)</f>
        <v>1.8065256445970235E-2</v>
      </c>
      <c r="AV31" s="354">
        <f>VLOOKUP(RIGHT($A31,LEN($A31)-4),[1]Sheet1!$2:$65479,MATCH(AV$3,[1]Sheet1!$2:$2,0),FALSE)</f>
        <v>1.4119537150760308E-2</v>
      </c>
      <c r="AW31" s="354">
        <f>VLOOKUP(RIGHT($A31,LEN($A31)-4),[1]Sheet1!$2:$65479,MATCH(AW$3,[1]Sheet1!$2:$2,0),FALSE)</f>
        <v>9.2649760469187825E-3</v>
      </c>
      <c r="AX31" s="354">
        <f>VLOOKUP(RIGHT($A31,LEN($A31)-4),[1]Sheet1!$2:$65479,MATCH(AX$3,[1]Sheet1!$2:$2,0),FALSE)</f>
        <v>1.3501639363060702E-2</v>
      </c>
      <c r="AY31" s="341">
        <f>VLOOKUP(RIGHT($A31,LEN($A31)-4),[1]Sheet1!$2:$65479,MATCH(AY$3,[1]Sheet1!$2:$2,0),FALSE)</f>
        <v>2.9744172402080826E-2</v>
      </c>
      <c r="AZ31" s="29">
        <f>VLOOKUP(RIGHT($A31,LEN($A31)-4),[1]Sheet1!$2:$65479,MATCH(AZ$3,[1]Sheet1!$2:$2,0),FALSE)</f>
        <v>2.2119999999999918E-2</v>
      </c>
      <c r="BA31" s="29">
        <f>VLOOKUP(RIGHT($A31,LEN($A31)-4),[1]Sheet1!$2:$65479,MATCH(BA$3,[1]Sheet1!$2:$2,0),FALSE)</f>
        <v>1.7575000000000118E-2</v>
      </c>
      <c r="BB31" s="29">
        <f>VLOOKUP(RIGHT($A31,LEN($A31)-4),[1]Sheet1!$2:$65479,MATCH(BB$3,[1]Sheet1!$2:$2,0),FALSE)</f>
        <v>1.0024999999999729E-2</v>
      </c>
      <c r="BC31" s="29">
        <f>VLOOKUP(RIGHT($A31,LEN($A31)-4),[1]Sheet1!$2:$65479,MATCH(BC$3,[1]Sheet1!$2:$2,0),FALSE)</f>
        <v>1.0024999999999729E-2</v>
      </c>
      <c r="BD31" s="29">
        <f>VLOOKUP(RIGHT($A31,LEN($A31)-4),[1]Sheet1!$2:$65479,MATCH(BD$3,[1]Sheet1!$2:$2,0),FALSE)</f>
        <v>1.0024999999999729E-2</v>
      </c>
      <c r="BE31" s="29">
        <f>VLOOKUP(RIGHT($A31,LEN($A31)-4),[1]Sheet1!$2:$65479,MATCH(BE$3,[1]Sheet1!$2:$2,0),FALSE)</f>
        <v>1.0024999999999729E-2</v>
      </c>
      <c r="BF31" s="29">
        <f>VLOOKUP(RIGHT($A31,LEN($A31)-4),[1]Sheet1!$2:$65479,MATCH(BF$3,[1]Sheet1!$2:$2,0),FALSE)</f>
        <v>1.0024999999999729E-2</v>
      </c>
      <c r="BG31" s="29">
        <f>VLOOKUP(RIGHT($A31,LEN($A31)-4),[1]Sheet1!$2:$65479,MATCH(BG$3,[1]Sheet1!$2:$2,0),FALSE)</f>
        <v>1.0024999999999729E-2</v>
      </c>
      <c r="BH31" s="29">
        <f>VLOOKUP(RIGHT($A31,LEN($A31)-4),[1]Sheet1!$2:$65479,MATCH(BH$3,[1]Sheet1!$2:$2,0),FALSE)</f>
        <v>1.0024999999999729E-2</v>
      </c>
      <c r="BI31" s="29">
        <f>VLOOKUP(RIGHT($A31,LEN($A31)-4),[1]Sheet1!$2:$65479,MATCH(BI$3,[1]Sheet1!$2:$2,0),FALSE)</f>
        <v>1.0024999999999729E-2</v>
      </c>
      <c r="BJ31" s="29">
        <f>VLOOKUP(RIGHT($A31,LEN($A31)-4),[1]Sheet1!$2:$65479,MATCH(BJ$3,[1]Sheet1!$2:$2,0),FALSE)</f>
        <v>1.0024999999999729E-2</v>
      </c>
      <c r="BK31" s="29">
        <f>VLOOKUP(RIGHT($A31,LEN($A31)-4),[1]Sheet1!$2:$65479,MATCH(BK$3,[1]Sheet1!$2:$2,0),FALSE)</f>
        <v>1.0024999999999729E-2</v>
      </c>
      <c r="BL31" s="29">
        <f>VLOOKUP(RIGHT($A31,LEN($A31)-4),[1]Sheet1!$2:$65479,MATCH(BL$3,[1]Sheet1!$2:$2,0),FALSE)</f>
        <v>1.0024999999999729E-2</v>
      </c>
      <c r="BM31" s="29">
        <f>VLOOKUP(RIGHT($A31,LEN($A31)-4),[1]Sheet1!$2:$65479,MATCH(BM$3,[1]Sheet1!$2:$2,0),FALSE)</f>
        <v>1.0024999999999729E-2</v>
      </c>
      <c r="BN31" s="29">
        <f>VLOOKUP(RIGHT($A31,LEN($A31)-4),[1]Sheet1!$2:$65479,MATCH(BN$3,[1]Sheet1!$2:$2,0),FALSE)</f>
        <v>1.0024999999999729E-2</v>
      </c>
      <c r="BO31" s="29">
        <f>VLOOKUP(RIGHT($A31,LEN($A31)-4),[1]Sheet1!$2:$65479,MATCH(BO$3,[1]Sheet1!$2:$2,0),FALSE)</f>
        <v>1.0024999999999729E-2</v>
      </c>
      <c r="BP31" s="29">
        <f>VLOOKUP(RIGHT($A31,LEN($A31)-4),[1]Sheet1!$2:$65479,MATCH(BP$3,[1]Sheet1!$2:$2,0),FALSE)</f>
        <v>1.0024999999999729E-2</v>
      </c>
      <c r="BQ31" s="29">
        <f>VLOOKUP(RIGHT($A31,LEN($A31)-4),[1]Sheet1!$2:$65479,MATCH(BQ$3,[1]Sheet1!$2:$2,0),FALSE)</f>
        <v>1.0024999999999729E-2</v>
      </c>
      <c r="BR31" s="30"/>
      <c r="BS31" s="393">
        <f>VLOOKUP(RIGHT($A31,LEN($A31)-4),[1]Sheet1!$2:$65479,MATCH(BS$3,[1]Sheet1!$2:$2,0),FALSE)</f>
        <v>-1.3266733120537055E-2</v>
      </c>
      <c r="BT31" s="393">
        <f>VLOOKUP(RIGHT($A31,LEN($A31)-4),[1]Sheet1!$2:$65479,MATCH(BT$3,[1]Sheet1!$2:$2,0),FALSE)</f>
        <v>-2.7113369025844047E-4</v>
      </c>
      <c r="BU31" s="393">
        <f>VLOOKUP(RIGHT($A31,LEN($A31)-4),[1]Sheet1!$2:$65479,MATCH(BU$3,[1]Sheet1!$2:$2,0),FALSE)</f>
        <v>3.0615935659199955E-2</v>
      </c>
      <c r="BV31" s="393">
        <f>VLOOKUP(RIGHT($A31,LEN($A31)-4),[1]Sheet1!$2:$65479,MATCH(BV$3,[1]Sheet1!$2:$2,0),FALSE)</f>
        <v>6.0046746218723079E-2</v>
      </c>
      <c r="BW31" s="393">
        <f>VLOOKUP(RIGHT($A31,LEN($A31)-4),[1]Sheet1!$2:$65479,MATCH(BW$3,[1]Sheet1!$2:$2,0),FALSE)</f>
        <v>7.3786471458982206E-2</v>
      </c>
      <c r="BX31" s="393">
        <f>VLOOKUP(RIGHT($A31,LEN($A31)-4),[1]Sheet1!$2:$65479,MATCH(BX$3,[1]Sheet1!$2:$2,0),FALSE)</f>
        <v>3.9661960122211903E-2</v>
      </c>
      <c r="BY31" s="393">
        <f>VLOOKUP(RIGHT($A31,LEN($A31)-4),[1]Sheet1!$2:$65479,MATCH(BY$3,[1]Sheet1!$2:$2,0),FALSE)</f>
        <v>5.6073711131978898E-2</v>
      </c>
      <c r="BZ31" s="393">
        <f>VLOOKUP(RIGHT($A31,LEN($A31)-4),[1]Sheet1!$2:$65479,MATCH(BZ$3,[1]Sheet1!$2:$2,0),FALSE)</f>
        <v>7.3838315761208584E-2</v>
      </c>
      <c r="CA31" s="393">
        <f>VLOOKUP(RIGHT($A31,LEN($A31)-4),[1]Sheet1!$2:$65479,MATCH(CA$3,[1]Sheet1!$2:$2,0),FALSE)</f>
        <v>5.3768598785746358E-2</v>
      </c>
      <c r="CB31" s="393">
        <f>VLOOKUP(RIGHT($A31,LEN($A31)-4),[1]Sheet1!$2:$65479,MATCH(CB$3,[1]Sheet1!$2:$2,0),FALSE)</f>
        <v>3.6406755651311906E-2</v>
      </c>
      <c r="CC31" s="30">
        <f t="shared" si="136"/>
        <v>0.10555080524639426</v>
      </c>
      <c r="CD31" s="30">
        <f t="shared" si="137"/>
        <v>0.13453858053928247</v>
      </c>
      <c r="CE31" s="30">
        <f t="shared" si="138"/>
        <v>0.11390807881354648</v>
      </c>
      <c r="CF31" s="30">
        <f t="shared" si="139"/>
        <v>0.12922611115802329</v>
      </c>
      <c r="CG31" s="30">
        <f t="shared" si="140"/>
        <v>0.11160043356246718</v>
      </c>
      <c r="CH31" s="30">
        <f t="shared" si="141"/>
        <v>0.11804680795346356</v>
      </c>
      <c r="CI31" s="30">
        <f t="shared" si="142"/>
        <v>2.1007807687699609E-2</v>
      </c>
      <c r="CJ31" s="30">
        <f t="shared" si="143"/>
        <v>-5.5055518493206446E-2</v>
      </c>
      <c r="CK31" s="30">
        <f t="shared" si="144"/>
        <v>2.813808556207964E-2</v>
      </c>
      <c r="CL31" s="30">
        <f t="shared" si="145"/>
        <v>-7.1406163395701938E-3</v>
      </c>
      <c r="CM31" s="32">
        <f t="shared" si="146"/>
        <v>-7.2370761182756205E-3</v>
      </c>
      <c r="CN31" s="32">
        <f t="shared" si="147"/>
        <v>6.8871189191559434E-3</v>
      </c>
      <c r="CO31" s="32">
        <f t="shared" si="148"/>
        <v>1.1087719620858305E-2</v>
      </c>
      <c r="CP31" s="32">
        <f t="shared" si="149"/>
        <v>3.9262683949707888E-3</v>
      </c>
      <c r="CQ31" s="32">
        <f t="shared" si="150"/>
        <v>-9.3418560606532974E-3</v>
      </c>
      <c r="CR31" s="32">
        <f t="shared" si="151"/>
        <v>-8.8073083880353398E-3</v>
      </c>
      <c r="CS31" s="32">
        <f t="shared" si="152"/>
        <v>-1.393988974778948E-2</v>
      </c>
      <c r="CT31" s="32">
        <f t="shared" si="153"/>
        <v>-4.2629117359417767E-2</v>
      </c>
      <c r="CU31" s="32">
        <f t="shared" si="154"/>
        <v>-0.12946289835713054</v>
      </c>
      <c r="CV31" s="32">
        <f t="shared" si="155"/>
        <v>-5.4101857479632587E-2</v>
      </c>
      <c r="CW31" s="32">
        <f t="shared" si="156"/>
        <v>-2.8639763092667136E-3</v>
      </c>
      <c r="CX31" s="32">
        <f t="shared" si="157"/>
        <v>1.9001628064897025E-2</v>
      </c>
      <c r="CY31" s="32">
        <f t="shared" si="158"/>
        <v>2.351533037117437E-2</v>
      </c>
      <c r="CZ31" s="31">
        <f t="shared" si="159"/>
        <v>4.3647406854067095E-2</v>
      </c>
      <c r="DA31" s="30">
        <f t="shared" si="160"/>
        <v>4.0083759000000052E-2</v>
      </c>
      <c r="DB31" s="30">
        <f t="shared" si="161"/>
        <v>2.0150500624999346E-2</v>
      </c>
      <c r="DC31" s="30">
        <f t="shared" si="162"/>
        <v>2.0150500624999346E-2</v>
      </c>
      <c r="DD31" s="30">
        <f t="shared" si="163"/>
        <v>2.0150500624999346E-2</v>
      </c>
      <c r="DE31" s="30">
        <f t="shared" si="164"/>
        <v>2.0150500624999346E-2</v>
      </c>
      <c r="DF31" s="30">
        <f t="shared" si="165"/>
        <v>2.0150500624999346E-2</v>
      </c>
      <c r="DG31" s="30">
        <f t="shared" si="166"/>
        <v>2.0150500624999346E-2</v>
      </c>
      <c r="DH31" s="30">
        <f t="shared" si="167"/>
        <v>2.0150500624999346E-2</v>
      </c>
      <c r="DI31" s="30">
        <f t="shared" si="168"/>
        <v>2.0150500624999346E-2</v>
      </c>
    </row>
    <row r="32" spans="1:113" ht="12" outlineLevel="1">
      <c r="A32" s="1" t="s">
        <v>846</v>
      </c>
      <c r="B32" s="15" t="s">
        <v>221</v>
      </c>
      <c r="C32" s="373">
        <f>VLOOKUP(RIGHT($A32,LEN($A32)-4),[1]Sheet1!$2:$65479,MATCH(C$3,[1]Sheet1!$2:$2,0),FALSE)</f>
        <v>3.382724736631082E-2</v>
      </c>
      <c r="D32" s="373">
        <f>VLOOKUP(RIGHT($A32,LEN($A32)-4),[1]Sheet1!$2:$65479,MATCH(D$3,[1]Sheet1!$2:$2,0),FALSE)</f>
        <v>4.3430874029892541E-2</v>
      </c>
      <c r="E32" s="373">
        <f>VLOOKUP(RIGHT($A32,LEN($A32)-4),[1]Sheet1!$2:$65479,MATCH(E$3,[1]Sheet1!$2:$2,0),FALSE)</f>
        <v>4.2092072781820589E-2</v>
      </c>
      <c r="F32" s="373">
        <f>VLOOKUP(RIGHT($A32,LEN($A32)-4),[1]Sheet1!$2:$65479,MATCH(F$3,[1]Sheet1!$2:$2,0),FALSE)</f>
        <v>6.4322949644911587E-2</v>
      </c>
      <c r="G32" s="373">
        <f>VLOOKUP(RIGHT($A32,LEN($A32)-4),[1]Sheet1!$2:$65479,MATCH(G$3,[1]Sheet1!$2:$2,0),FALSE)</f>
        <v>7.6032921588409019E-2</v>
      </c>
      <c r="H32" s="373">
        <f>VLOOKUP(RIGHT($A32,LEN($A32)-4),[1]Sheet1!$2:$65479,MATCH(H$3,[1]Sheet1!$2:$2,0),FALSE)</f>
        <v>8.727555882862624E-2</v>
      </c>
      <c r="I32" s="373">
        <f>VLOOKUP(RIGHT($A32,LEN($A32)-4),[1]Sheet1!$2:$65479,MATCH(I$3,[1]Sheet1!$2:$2,0),FALSE)</f>
        <v>7.3496557200816826E-2</v>
      </c>
      <c r="J32" s="373">
        <f>VLOOKUP(RIGHT($A32,LEN($A32)-4),[1]Sheet1!$2:$65479,MATCH(J$3,[1]Sheet1!$2:$2,0),FALSE)</f>
        <v>8.0325263612520015E-2</v>
      </c>
      <c r="K32" s="373">
        <f>VLOOKUP(RIGHT($A32,LEN($A32)-4),[1]Sheet1!$2:$65479,MATCH(K$3,[1]Sheet1!$2:$2,0),FALSE)</f>
        <v>7.6636293179489279E-2</v>
      </c>
      <c r="L32" s="373">
        <f>VLOOKUP(RIGHT($A32,LEN($A32)-4),[1]Sheet1!$2:$65479,MATCH(L$3,[1]Sheet1!$2:$2,0),FALSE)</f>
        <v>6.9871813298032492E-2</v>
      </c>
      <c r="M32" s="136">
        <f>VLOOKUP(RIGHT($A32,LEN($A32)-4),[1]Sheet1!$2:$65479,MATCH(M$3,[1]Sheet1!$2:$2,0),FALSE)</f>
        <v>6.3369192850737166E-2</v>
      </c>
      <c r="N32" s="136">
        <f>VLOOKUP(RIGHT($A32,LEN($A32)-4),[1]Sheet1!$2:$65479,MATCH(N$3,[1]Sheet1!$2:$2,0),FALSE)</f>
        <v>7.3732233783760925E-2</v>
      </c>
      <c r="O32" s="136">
        <f>VLOOKUP(RIGHT($A32,LEN($A32)-4),[1]Sheet1!$2:$65479,MATCH(O$3,[1]Sheet1!$2:$2,0),FALSE)</f>
        <v>5.9363137471923455E-2</v>
      </c>
      <c r="P32" s="136">
        <f>VLOOKUP(RIGHT($A32,LEN($A32)-4),[1]Sheet1!$2:$65479,MATCH(P$3,[1]Sheet1!$2:$2,0),FALSE)</f>
        <v>4.9798302081505152E-2</v>
      </c>
      <c r="Q32" s="136">
        <f>VLOOKUP(RIGHT($A32,LEN($A32)-4),[1]Sheet1!$2:$65479,MATCH(Q$3,[1]Sheet1!$2:$2,0),FALSE)</f>
        <v>1.733129849387316E-2</v>
      </c>
      <c r="R32" s="136">
        <f>VLOOKUP(RIGHT($A32,LEN($A32)-4),[1]Sheet1!$2:$65479,MATCH(R$3,[1]Sheet1!$2:$2,0),FALSE)</f>
        <v>1.2901810169509753E-2</v>
      </c>
      <c r="S32" s="136">
        <f>VLOOKUP(RIGHT($A32,LEN($A32)-4),[1]Sheet1!$2:$65479,MATCH(S$3,[1]Sheet1!$2:$2,0),FALSE)</f>
        <v>1.7751760585934306E-2</v>
      </c>
      <c r="T32" s="137">
        <f>VLOOKUP(RIGHT($A32,LEN($A32)-4),[1]Sheet1!$2:$65479,MATCH(T$3,[1]Sheet1!$2:$2,0),FALSE)</f>
        <v>1.5898162791279091E-2</v>
      </c>
      <c r="U32" s="136">
        <f>VLOOKUP(RIGHT($A32,LEN($A32)-4),[1]Sheet1!$2:$65479,MATCH(U$3,[1]Sheet1!$2:$2,0),FALSE)</f>
        <v>9.240106106606083E-3</v>
      </c>
      <c r="V32" s="136">
        <f>VLOOKUP(RIGHT($A32,LEN($A32)-4),[1]Sheet1!$2:$65479,MATCH(V$3,[1]Sheet1!$2:$2,0),FALSE)</f>
        <v>5.6100802314438258E-3</v>
      </c>
      <c r="W32" s="136">
        <f>VLOOKUP(RIGHT($A32,LEN($A32)-4),[1]Sheet1!$2:$65479,MATCH(W$3,[1]Sheet1!$2:$2,0),FALSE)</f>
        <v>6.3958714408791639E-3</v>
      </c>
      <c r="X32" s="136">
        <f>VLOOKUP(RIGHT($A32,LEN($A32)-4),[1]Sheet1!$2:$65479,MATCH(X$3,[1]Sheet1!$2:$2,0),FALSE)</f>
        <v>7.9391546981242289E-3</v>
      </c>
      <c r="Y32" s="137">
        <f>VLOOKUP(RIGHT($A32,LEN($A32)-4),[1]Sheet1!$2:$65479,MATCH(Y$3,[1]Sheet1!$2:$2,0),FALSE)</f>
        <v>1.6515950910381383E-2</v>
      </c>
      <c r="Z32" s="137">
        <f>VLOOKUP(RIGHT($A32,LEN($A32)-4),[1]Sheet1!$2:$65479,MATCH(Z$3,[1]Sheet1!$2:$2,0),FALSE)</f>
        <v>2.7819936111286747E-2</v>
      </c>
      <c r="AA32" s="137">
        <f>VLOOKUP(RIGHT($A32,LEN($A32)-4),[1]Sheet1!$2:$65479,MATCH(AA$3,[1]Sheet1!$2:$2,0),FALSE)</f>
        <v>2.9409977739500937E-2</v>
      </c>
      <c r="AB32" s="354">
        <f>VLOOKUP(RIGHT($A32,LEN($A32)-4),[1]Sheet1!$2:$65479,MATCH(AB$3,[1]Sheet1!$2:$2,0),FALSE)</f>
        <v>2.6285887113755235E-2</v>
      </c>
      <c r="AC32" s="354">
        <f>VLOOKUP(RIGHT($A32,LEN($A32)-4),[1]Sheet1!$2:$65479,MATCH(AC$3,[1]Sheet1!$2:$2,0),FALSE)</f>
        <v>2.0190862556701106E-2</v>
      </c>
      <c r="AD32" s="354">
        <f>VLOOKUP(RIGHT($A32,LEN($A32)-4),[1]Sheet1!$2:$65479,MATCH(AD$3,[1]Sheet1!$2:$2,0),FALSE)</f>
        <v>2.836631535592482E-2</v>
      </c>
      <c r="AE32" s="354">
        <f>VLOOKUP(RIGHT($A32,LEN($A32)-4),[1]Sheet1!$2:$65479,MATCH(AE$3,[1]Sheet1!$2:$2,0),FALSE)</f>
        <v>3.7069934718028996E-2</v>
      </c>
      <c r="AF32" s="354">
        <f>VLOOKUP(RIGHT($A32,LEN($A32)-4),[1]Sheet1!$2:$65479,MATCH(AF$3,[1]Sheet1!$2:$2,0),FALSE)</f>
        <v>3.8233274728698419E-2</v>
      </c>
      <c r="AG32" s="354">
        <f>VLOOKUP(RIGHT($A32,LEN($A32)-4),[1]Sheet1!$2:$65479,MATCH(AG$3,[1]Sheet1!$2:$2,0),FALSE)</f>
        <v>4.877363423191694E-2</v>
      </c>
      <c r="AH32" s="354">
        <f>VLOOKUP(RIGHT($A32,LEN($A32)-4),[1]Sheet1!$2:$65479,MATCH(AH$3,[1]Sheet1!$2:$2,0),FALSE)</f>
        <v>3.6485522519171143E-2</v>
      </c>
      <c r="AI32" s="354">
        <f>VLOOKUP(RIGHT($A32,LEN($A32)-4),[1]Sheet1!$2:$65479,MATCH(AI$3,[1]Sheet1!$2:$2,0),FALSE)</f>
        <v>2.826269860807562E-2</v>
      </c>
      <c r="AJ32" s="354">
        <f>VLOOKUP(RIGHT($A32,LEN($A32)-4),[1]Sheet1!$2:$65479,MATCH(AJ$3,[1]Sheet1!$2:$2,0),FALSE)</f>
        <v>2.8749460217483591E-2</v>
      </c>
      <c r="AK32" s="354">
        <f>VLOOKUP(RIGHT($A32,LEN($A32)-4),[1]Sheet1!$2:$65479,MATCH(AK$3,[1]Sheet1!$2:$2,0),FALSE)</f>
        <v>2.9945014173203832E-2</v>
      </c>
      <c r="AL32" s="354">
        <f>VLOOKUP(RIGHT($A32,LEN($A32)-4),[1]Sheet1!$2:$65479,MATCH(AL$3,[1]Sheet1!$2:$2,0),FALSE)</f>
        <v>3.1481678937635316E-2</v>
      </c>
      <c r="AM32" s="354">
        <f>VLOOKUP(RIGHT($A32,LEN($A32)-4),[1]Sheet1!$2:$65479,MATCH(AM$3,[1]Sheet1!$2:$2,0),FALSE)</f>
        <v>3.3877013880996287E-2</v>
      </c>
      <c r="AN32" s="354">
        <f>VLOOKUP(RIGHT($A32,LEN($A32)-4),[1]Sheet1!$2:$65479,MATCH(AN$3,[1]Sheet1!$2:$2,0),FALSE)</f>
        <v>3.5618654385877635E-2</v>
      </c>
      <c r="AO32" s="354">
        <f>VLOOKUP(RIGHT($A32,LEN($A32)-4),[1]Sheet1!$2:$65479,MATCH(AO$3,[1]Sheet1!$2:$2,0),FALSE)</f>
        <v>3.1517292751539028E-2</v>
      </c>
      <c r="AP32" s="354">
        <f>VLOOKUP(RIGHT($A32,LEN($A32)-4),[1]Sheet1!$2:$65479,MATCH(AP$3,[1]Sheet1!$2:$2,0),FALSE)</f>
        <v>6.4551889143756869E-2</v>
      </c>
      <c r="AQ32" s="354">
        <f>VLOOKUP(RIGHT($A32,LEN($A32)-4),[1]Sheet1!$2:$65479,MATCH(AQ$3,[1]Sheet1!$2:$2,0),FALSE)</f>
        <v>4.8199083573360779E-2</v>
      </c>
      <c r="AR32" s="354">
        <f>VLOOKUP(RIGHT($A32,LEN($A32)-4),[1]Sheet1!$2:$65479,MATCH(AR$3,[1]Sheet1!$2:$2,0),FALSE)</f>
        <v>3.6961655787481451E-2</v>
      </c>
      <c r="AS32" s="354">
        <f>VLOOKUP(RIGHT($A32,LEN($A32)-4),[1]Sheet1!$2:$65479,MATCH(AS$3,[1]Sheet1!$2:$2,0),FALSE)</f>
        <v>1.9538720049446567E-2</v>
      </c>
      <c r="AT32" s="354">
        <f>VLOOKUP(RIGHT($A32,LEN($A32)-4),[1]Sheet1!$2:$65479,MATCH(AT$3,[1]Sheet1!$2:$2,0),FALSE)</f>
        <v>1.5700073566304873E-2</v>
      </c>
      <c r="AU32" s="354">
        <f>VLOOKUP(RIGHT($A32,LEN($A32)-4),[1]Sheet1!$2:$65479,MATCH(AU$3,[1]Sheet1!$2:$2,0),FALSE)</f>
        <v>1.5109915135579577E-2</v>
      </c>
      <c r="AV32" s="354">
        <f>VLOOKUP(RIGHT($A32,LEN($A32)-4),[1]Sheet1!$2:$65479,MATCH(AV$3,[1]Sheet1!$2:$2,0),FALSE)</f>
        <v>1.6105228473624722E-2</v>
      </c>
      <c r="AW32" s="354">
        <f>VLOOKUP(RIGHT($A32,LEN($A32)-4),[1]Sheet1!$2:$65479,MATCH(AW$3,[1]Sheet1!$2:$2,0),FALSE)</f>
        <v>1.6730467984101827E-2</v>
      </c>
      <c r="AX32" s="354">
        <f>VLOOKUP(RIGHT($A32,LEN($A32)-4),[1]Sheet1!$2:$65479,MATCH(AX$3,[1]Sheet1!$2:$2,0),FALSE)</f>
        <v>2.4853717687836063E-2</v>
      </c>
      <c r="AY32" s="341">
        <f>VLOOKUP(RIGHT($A32,LEN($A32)-4),[1]Sheet1!$2:$65479,MATCH(AY$3,[1]Sheet1!$2:$2,0),FALSE)</f>
        <v>2.8439456099081717E-2</v>
      </c>
      <c r="AZ32" s="29">
        <f>VLOOKUP(RIGHT($A32,LEN($A32)-4),[1]Sheet1!$2:$65479,MATCH(AZ$3,[1]Sheet1!$2:$2,0),FALSE)</f>
        <v>2.0100000000000007E-2</v>
      </c>
      <c r="BA32" s="29">
        <f>VLOOKUP(RIGHT($A32,LEN($A32)-4),[1]Sheet1!$2:$65479,MATCH(BA$3,[1]Sheet1!$2:$2,0),FALSE)</f>
        <v>2.0100000000000007E-2</v>
      </c>
      <c r="BB32" s="29">
        <f>VLOOKUP(RIGHT($A32,LEN($A32)-4),[1]Sheet1!$2:$65479,MATCH(BB$3,[1]Sheet1!$2:$2,0),FALSE)</f>
        <v>2.0100000000000007E-2</v>
      </c>
      <c r="BC32" s="29">
        <f>VLOOKUP(RIGHT($A32,LEN($A32)-4),[1]Sheet1!$2:$65479,MATCH(BC$3,[1]Sheet1!$2:$2,0),FALSE)</f>
        <v>2.0100000000000007E-2</v>
      </c>
      <c r="BD32" s="29">
        <f>VLOOKUP(RIGHT($A32,LEN($A32)-4),[1]Sheet1!$2:$65479,MATCH(BD$3,[1]Sheet1!$2:$2,0),FALSE)</f>
        <v>2.0100000000000007E-2</v>
      </c>
      <c r="BE32" s="29">
        <f>VLOOKUP(RIGHT($A32,LEN($A32)-4),[1]Sheet1!$2:$65479,MATCH(BE$3,[1]Sheet1!$2:$2,0),FALSE)</f>
        <v>2.0100000000000007E-2</v>
      </c>
      <c r="BF32" s="29">
        <f>VLOOKUP(RIGHT($A32,LEN($A32)-4),[1]Sheet1!$2:$65479,MATCH(BF$3,[1]Sheet1!$2:$2,0),FALSE)</f>
        <v>2.0100000000000007E-2</v>
      </c>
      <c r="BG32" s="29">
        <f>VLOOKUP(RIGHT($A32,LEN($A32)-4),[1]Sheet1!$2:$65479,MATCH(BG$3,[1]Sheet1!$2:$2,0),FALSE)</f>
        <v>2.0100000000000007E-2</v>
      </c>
      <c r="BH32" s="29">
        <f>VLOOKUP(RIGHT($A32,LEN($A32)-4),[1]Sheet1!$2:$65479,MATCH(BH$3,[1]Sheet1!$2:$2,0),FALSE)</f>
        <v>2.0100000000000007E-2</v>
      </c>
      <c r="BI32" s="29">
        <f>VLOOKUP(RIGHT($A32,LEN($A32)-4),[1]Sheet1!$2:$65479,MATCH(BI$3,[1]Sheet1!$2:$2,0),FALSE)</f>
        <v>2.0100000000000007E-2</v>
      </c>
      <c r="BJ32" s="29">
        <f>VLOOKUP(RIGHT($A32,LEN($A32)-4),[1]Sheet1!$2:$65479,MATCH(BJ$3,[1]Sheet1!$2:$2,0),FALSE)</f>
        <v>2.0100000000000007E-2</v>
      </c>
      <c r="BK32" s="29">
        <f>VLOOKUP(RIGHT($A32,LEN($A32)-4),[1]Sheet1!$2:$65479,MATCH(BK$3,[1]Sheet1!$2:$2,0),FALSE)</f>
        <v>2.0100000000000007E-2</v>
      </c>
      <c r="BL32" s="29">
        <f>VLOOKUP(RIGHT($A32,LEN($A32)-4),[1]Sheet1!$2:$65479,MATCH(BL$3,[1]Sheet1!$2:$2,0),FALSE)</f>
        <v>2.0100000000000007E-2</v>
      </c>
      <c r="BM32" s="29">
        <f>VLOOKUP(RIGHT($A32,LEN($A32)-4),[1]Sheet1!$2:$65479,MATCH(BM$3,[1]Sheet1!$2:$2,0),FALSE)</f>
        <v>2.0100000000000007E-2</v>
      </c>
      <c r="BN32" s="29">
        <f>VLOOKUP(RIGHT($A32,LEN($A32)-4),[1]Sheet1!$2:$65479,MATCH(BN$3,[1]Sheet1!$2:$2,0),FALSE)</f>
        <v>2.0100000000000007E-2</v>
      </c>
      <c r="BO32" s="29">
        <f>VLOOKUP(RIGHT($A32,LEN($A32)-4),[1]Sheet1!$2:$65479,MATCH(BO$3,[1]Sheet1!$2:$2,0),FALSE)</f>
        <v>2.0100000000000007E-2</v>
      </c>
      <c r="BP32" s="29">
        <f>VLOOKUP(RIGHT($A32,LEN($A32)-4),[1]Sheet1!$2:$65479,MATCH(BP$3,[1]Sheet1!$2:$2,0),FALSE)</f>
        <v>2.0100000000000007E-2</v>
      </c>
      <c r="BQ32" s="29">
        <f>VLOOKUP(RIGHT($A32,LEN($A32)-4),[1]Sheet1!$2:$65479,MATCH(BQ$3,[1]Sheet1!$2:$2,0),FALSE)</f>
        <v>2.0100000000000007E-2</v>
      </c>
      <c r="BR32" s="30"/>
      <c r="BS32" s="393">
        <f>VLOOKUP(RIGHT($A32,LEN($A32)-4),[1]Sheet1!$2:$65479,MATCH(BS$3,[1]Sheet1!$2:$2,0),FALSE)</f>
        <v>0</v>
      </c>
      <c r="BT32" s="393">
        <f>VLOOKUP(RIGHT($A32,LEN($A32)-4),[1]Sheet1!$2:$65479,MATCH(BT$3,[1]Sheet1!$2:$2,0),FALSE)</f>
        <v>0</v>
      </c>
      <c r="BU32" s="393">
        <f>VLOOKUP(RIGHT($A32,LEN($A32)-4),[1]Sheet1!$2:$65479,MATCH(BU$3,[1]Sheet1!$2:$2,0),FALSE)</f>
        <v>0</v>
      </c>
      <c r="BV32" s="393">
        <f>VLOOKUP(RIGHT($A32,LEN($A32)-4),[1]Sheet1!$2:$65479,MATCH(BV$3,[1]Sheet1!$2:$2,0),FALSE)</f>
        <v>0</v>
      </c>
      <c r="BW32" s="393">
        <f>VLOOKUP(RIGHT($A32,LEN($A32)-4),[1]Sheet1!$2:$65479,MATCH(BW$3,[1]Sheet1!$2:$2,0),FALSE)</f>
        <v>0</v>
      </c>
      <c r="BX32" s="393">
        <f>VLOOKUP(RIGHT($A32,LEN($A32)-4),[1]Sheet1!$2:$65479,MATCH(BX$3,[1]Sheet1!$2:$2,0),FALSE)</f>
        <v>0</v>
      </c>
      <c r="BY32" s="393">
        <f>VLOOKUP(RIGHT($A32,LEN($A32)-4),[1]Sheet1!$2:$65479,MATCH(BY$3,[1]Sheet1!$2:$2,0),FALSE)</f>
        <v>0</v>
      </c>
      <c r="BZ32" s="393">
        <f>VLOOKUP(RIGHT($A32,LEN($A32)-4),[1]Sheet1!$2:$65479,MATCH(BZ$3,[1]Sheet1!$2:$2,0),FALSE)</f>
        <v>5.0765197159041708E-2</v>
      </c>
      <c r="CA32" s="393">
        <f>VLOOKUP(RIGHT($A32,LEN($A32)-4),[1]Sheet1!$2:$65479,MATCH(CA$3,[1]Sheet1!$2:$2,0),FALSE)</f>
        <v>2.7049655974559439E-2</v>
      </c>
      <c r="CB32" s="393">
        <f>VLOOKUP(RIGHT($A32,LEN($A32)-4),[1]Sheet1!$2:$65479,MATCH(CB$3,[1]Sheet1!$2:$2,0),FALSE)</f>
        <v>3.382724736631082E-2</v>
      </c>
      <c r="CC32" s="30">
        <f t="shared" si="136"/>
        <v>8.7351042322357353E-2</v>
      </c>
      <c r="CD32" s="30">
        <f t="shared" si="137"/>
        <v>0.14524653302000745</v>
      </c>
      <c r="CE32" s="30">
        <f t="shared" si="138"/>
        <v>0.16718656913112451</v>
      </c>
      <c r="CF32" s="30">
        <f t="shared" si="139"/>
        <v>0.16311738724393821</v>
      </c>
      <c r="CG32" s="30">
        <f t="shared" si="140"/>
        <v>0.13766872656048346</v>
      </c>
      <c r="CH32" s="30">
        <f t="shared" si="141"/>
        <v>0.13747234798590169</v>
      </c>
      <c r="CI32" s="30">
        <f t="shared" si="142"/>
        <v>6.7992669813240925E-2</v>
      </c>
      <c r="CJ32" s="30">
        <f t="shared" si="143"/>
        <v>3.0882600600698362E-2</v>
      </c>
      <c r="CK32" s="30">
        <f t="shared" si="144"/>
        <v>2.5285169608976643E-2</v>
      </c>
      <c r="CL32" s="30">
        <f t="shared" si="145"/>
        <v>1.2041833024256432E-2</v>
      </c>
      <c r="CM32" s="32">
        <f t="shared" si="146"/>
        <v>2.4586228297769797E-2</v>
      </c>
      <c r="CN32" s="32">
        <f t="shared" si="147"/>
        <v>5.8048097552535038E-2</v>
      </c>
      <c r="CO32" s="32">
        <f t="shared" si="148"/>
        <v>4.7007484404351096E-2</v>
      </c>
      <c r="CP32" s="32">
        <f t="shared" si="149"/>
        <v>6.6487787532389042E-2</v>
      </c>
      <c r="CQ32" s="32">
        <f t="shared" si="150"/>
        <v>8.8871684717721333E-2</v>
      </c>
      <c r="CR32" s="32">
        <f t="shared" si="151"/>
        <v>6.5779400453764181E-2</v>
      </c>
      <c r="CS32" s="32">
        <f t="shared" si="152"/>
        <v>5.9555377384371999E-2</v>
      </c>
      <c r="CT32" s="32">
        <f t="shared" si="153"/>
        <v>6.6425198092998849E-2</v>
      </c>
      <c r="CU32" s="32">
        <f t="shared" si="154"/>
        <v>6.825855069511233E-2</v>
      </c>
      <c r="CV32" s="32">
        <f t="shared" si="155"/>
        <v>0.11586231461677587</v>
      </c>
      <c r="CW32" s="32">
        <f t="shared" si="156"/>
        <v>5.7222559281923546E-2</v>
      </c>
      <c r="CX32" s="32">
        <f t="shared" si="157"/>
        <v>3.1047215481093682E-2</v>
      </c>
      <c r="CY32" s="32">
        <f t="shared" si="158"/>
        <v>3.3105144467081127E-2</v>
      </c>
      <c r="CZ32" s="31">
        <f t="shared" si="159"/>
        <v>5.4000000000000048E-2</v>
      </c>
      <c r="DA32" s="30">
        <f t="shared" si="160"/>
        <v>4.0604010000000024E-2</v>
      </c>
      <c r="DB32" s="30">
        <f t="shared" si="161"/>
        <v>4.0604010000000024E-2</v>
      </c>
      <c r="DC32" s="30">
        <f t="shared" si="162"/>
        <v>4.0604010000000024E-2</v>
      </c>
      <c r="DD32" s="30">
        <f t="shared" si="163"/>
        <v>4.0604010000000024E-2</v>
      </c>
      <c r="DE32" s="30">
        <f t="shared" si="164"/>
        <v>4.0604010000000024E-2</v>
      </c>
      <c r="DF32" s="30">
        <f t="shared" si="165"/>
        <v>4.0604010000000024E-2</v>
      </c>
      <c r="DG32" s="30">
        <f t="shared" si="166"/>
        <v>4.0604010000000024E-2</v>
      </c>
      <c r="DH32" s="30">
        <f t="shared" si="167"/>
        <v>4.0604010000000024E-2</v>
      </c>
      <c r="DI32" s="30">
        <f t="shared" si="168"/>
        <v>4.0604010000000024E-2</v>
      </c>
    </row>
    <row r="33" spans="1:113" ht="12" outlineLevel="1">
      <c r="A33" s="1" t="s">
        <v>847</v>
      </c>
      <c r="B33" s="15" t="s">
        <v>318</v>
      </c>
      <c r="C33" s="373">
        <f>VLOOKUP(RIGHT($A33,LEN($A33)-4),[1]Sheet1!$2:$65479,MATCH(C$3,[1]Sheet1!$2:$2,0),FALSE)</f>
        <v>4.880824082877333E-2</v>
      </c>
      <c r="D33" s="373">
        <f>VLOOKUP(RIGHT($A33,LEN($A33)-4),[1]Sheet1!$2:$65479,MATCH(D$3,[1]Sheet1!$2:$2,0),FALSE)</f>
        <v>5.2464404200933235E-2</v>
      </c>
      <c r="E33" s="373">
        <f>VLOOKUP(RIGHT($A33,LEN($A33)-4),[1]Sheet1!$2:$65479,MATCH(E$3,[1]Sheet1!$2:$2,0),FALSE)</f>
        <v>7.2535844101828673E-5</v>
      </c>
      <c r="F33" s="373">
        <f>VLOOKUP(RIGHT($A33,LEN($A33)-4),[1]Sheet1!$2:$65479,MATCH(F$3,[1]Sheet1!$2:$2,0),FALSE)</f>
        <v>4.7476729090364378E-2</v>
      </c>
      <c r="G33" s="373">
        <f>VLOOKUP(RIGHT($A33,LEN($A33)-4),[1]Sheet1!$2:$65479,MATCH(G$3,[1]Sheet1!$2:$2,0),FALSE)</f>
        <v>-9.2649680096856812E-4</v>
      </c>
      <c r="H33" s="373">
        <f>VLOOKUP(RIGHT($A33,LEN($A33)-4),[1]Sheet1!$2:$65479,MATCH(H$3,[1]Sheet1!$2:$2,0),FALSE)</f>
        <v>5.0406207583864715E-2</v>
      </c>
      <c r="I33" s="373">
        <f>VLOOKUP(RIGHT($A33,LEN($A33)-4),[1]Sheet1!$2:$65479,MATCH(I$3,[1]Sheet1!$2:$2,0),FALSE)</f>
        <v>2.5417443444921917E-2</v>
      </c>
      <c r="J33" s="373">
        <f>VLOOKUP(RIGHT($A33,LEN($A33)-4),[1]Sheet1!$2:$65479,MATCH(J$3,[1]Sheet1!$2:$2,0),FALSE)</f>
        <v>9.3895266174702355E-2</v>
      </c>
      <c r="K33" s="373">
        <f>VLOOKUP(RIGHT($A33,LEN($A33)-4),[1]Sheet1!$2:$65479,MATCH(K$3,[1]Sheet1!$2:$2,0),FALSE)</f>
        <v>6.8289192288590206E-2</v>
      </c>
      <c r="L33" s="373">
        <f>VLOOKUP(RIGHT($A33,LEN($A33)-4),[1]Sheet1!$2:$65479,MATCH(L$3,[1]Sheet1!$2:$2,0),FALSE)</f>
        <v>6.2357901110230429E-2</v>
      </c>
      <c r="M33" s="136">
        <f>VLOOKUP(RIGHT($A33,LEN($A33)-4),[1]Sheet1!$2:$65479,MATCH(M$3,[1]Sheet1!$2:$2,0),FALSE)</f>
        <v>6.8340633527279593E-2</v>
      </c>
      <c r="N33" s="136">
        <f>VLOOKUP(RIGHT($A33,LEN($A33)-4),[1]Sheet1!$2:$65479,MATCH(N$3,[1]Sheet1!$2:$2,0),FALSE)</f>
        <v>6.703721459569878E-2</v>
      </c>
      <c r="O33" s="136">
        <f>VLOOKUP(RIGHT($A33,LEN($A33)-4),[1]Sheet1!$2:$65479,MATCH(O$3,[1]Sheet1!$2:$2,0),FALSE)</f>
        <v>9.9194748642026376E-2</v>
      </c>
      <c r="P33" s="136">
        <f>VLOOKUP(RIGHT($A33,LEN($A33)-4),[1]Sheet1!$2:$65479,MATCH(P$3,[1]Sheet1!$2:$2,0),FALSE)</f>
        <v>6.3358799740287131E-2</v>
      </c>
      <c r="Q33" s="136">
        <f>VLOOKUP(RIGHT($A33,LEN($A33)-4),[1]Sheet1!$2:$65479,MATCH(Q$3,[1]Sheet1!$2:$2,0),FALSE)</f>
        <v>8.4701543030258453E-2</v>
      </c>
      <c r="R33" s="136">
        <f>VLOOKUP(RIGHT($A33,LEN($A33)-4),[1]Sheet1!$2:$65479,MATCH(R$3,[1]Sheet1!$2:$2,0),FALSE)</f>
        <v>1.2230439901568246E-2</v>
      </c>
      <c r="S33" s="136">
        <f>VLOOKUP(RIGHT($A33,LEN($A33)-4),[1]Sheet1!$2:$65479,MATCH(S$3,[1]Sheet1!$2:$2,0),FALSE)</f>
        <v>-7.1061729702678322E-3</v>
      </c>
      <c r="T33" s="137">
        <f>VLOOKUP(RIGHT($A33,LEN($A33)-4),[1]Sheet1!$2:$65479,MATCH(T$3,[1]Sheet1!$2:$2,0),FALSE)</f>
        <v>-2.8309158598867623E-2</v>
      </c>
      <c r="U33" s="136">
        <f>VLOOKUP(RIGHT($A33,LEN($A33)-4),[1]Sheet1!$2:$65479,MATCH(U$3,[1]Sheet1!$2:$2,0),FALSE)</f>
        <v>4.7184361293026722E-3</v>
      </c>
      <c r="V33" s="136">
        <f>VLOOKUP(RIGHT($A33,LEN($A33)-4),[1]Sheet1!$2:$65479,MATCH(V$3,[1]Sheet1!$2:$2,0),FALSE)</f>
        <v>7.7188848009126509E-3</v>
      </c>
      <c r="W33" s="136">
        <f>VLOOKUP(RIGHT($A33,LEN($A33)-4),[1]Sheet1!$2:$65479,MATCH(W$3,[1]Sheet1!$2:$2,0),FALSE)</f>
        <v>6.8761403766810503E-3</v>
      </c>
      <c r="X33" s="136">
        <f>VLOOKUP(RIGHT($A33,LEN($A33)-4),[1]Sheet1!$2:$65479,MATCH(X$3,[1]Sheet1!$2:$2,0),FALSE)</f>
        <v>5.1741463610547989E-2</v>
      </c>
      <c r="Y33" s="137">
        <f>VLOOKUP(RIGHT($A33,LEN($A33)-4),[1]Sheet1!$2:$65479,MATCH(Y$3,[1]Sheet1!$2:$2,0),FALSE)</f>
        <v>1.1829443974217702E-2</v>
      </c>
      <c r="Z33" s="137">
        <f>VLOOKUP(RIGHT($A33,LEN($A33)-4),[1]Sheet1!$2:$65479,MATCH(Z$3,[1]Sheet1!$2:$2,0),FALSE)</f>
        <v>2.8668560793000397E-2</v>
      </c>
      <c r="AA33" s="137">
        <f>VLOOKUP(RIGHT($A33,LEN($A33)-4),[1]Sheet1!$2:$65479,MATCH(AA$3,[1]Sheet1!$2:$2,0),FALSE)</f>
        <v>1.0176506063901192E-2</v>
      </c>
      <c r="AB33" s="354">
        <f>VLOOKUP(RIGHT($A33,LEN($A33)-4),[1]Sheet1!$2:$65479,MATCH(AB$3,[1]Sheet1!$2:$2,0),FALSE)</f>
        <v>1.2118045660773014E-2</v>
      </c>
      <c r="AC33" s="354">
        <f>VLOOKUP(RIGHT($A33,LEN($A33)-4),[1]Sheet1!$2:$65479,MATCH(AC$3,[1]Sheet1!$2:$2,0),FALSE)</f>
        <v>2.1367779216650451E-2</v>
      </c>
      <c r="AD33" s="354">
        <f>VLOOKUP(RIGHT($A33,LEN($A33)-4),[1]Sheet1!$2:$65479,MATCH(AD$3,[1]Sheet1!$2:$2,0),FALSE)</f>
        <v>3.8547169983047747E-2</v>
      </c>
      <c r="AE33" s="354">
        <f>VLOOKUP(RIGHT($A33,LEN($A33)-4),[1]Sheet1!$2:$65479,MATCH(AE$3,[1]Sheet1!$2:$2,0),FALSE)</f>
        <v>2.5744092375485916E-2</v>
      </c>
      <c r="AF33" s="354">
        <f>VLOOKUP(RIGHT($A33,LEN($A33)-4),[1]Sheet1!$2:$65479,MATCH(AF$3,[1]Sheet1!$2:$2,0),FALSE)</f>
        <v>4.7568918252412828E-2</v>
      </c>
      <c r="AG33" s="354">
        <f>VLOOKUP(RIGHT($A33,LEN($A33)-4),[1]Sheet1!$2:$65479,MATCH(AG$3,[1]Sheet1!$2:$2,0),FALSE)</f>
        <v>2.137835104416852E-2</v>
      </c>
      <c r="AH33" s="354">
        <f>VLOOKUP(RIGHT($A33,LEN($A33)-4),[1]Sheet1!$2:$65479,MATCH(AH$3,[1]Sheet1!$2:$2,0),FALSE)</f>
        <v>1.292912885244113E-2</v>
      </c>
      <c r="AI33" s="354">
        <f>VLOOKUP(RIGHT($A33,LEN($A33)-4),[1]Sheet1!$2:$65479,MATCH(AI$3,[1]Sheet1!$2:$2,0),FALSE)</f>
        <v>1.9177079143751552E-2</v>
      </c>
      <c r="AJ33" s="354">
        <f>VLOOKUP(RIGHT($A33,LEN($A33)-4),[1]Sheet1!$2:$65479,MATCH(AJ$3,[1]Sheet1!$2:$2,0),FALSE)</f>
        <v>1.3497718335135245E-2</v>
      </c>
      <c r="AK33" s="354">
        <f>VLOOKUP(RIGHT($A33,LEN($A33)-4),[1]Sheet1!$2:$65479,MATCH(AK$3,[1]Sheet1!$2:$2,0),FALSE)</f>
        <v>3.3595774396198319E-2</v>
      </c>
      <c r="AL33" s="354">
        <f>VLOOKUP(RIGHT($A33,LEN($A33)-4),[1]Sheet1!$2:$65479,MATCH(AL$3,[1]Sheet1!$2:$2,0),FALSE)</f>
        <v>2.3263844730194716E-2</v>
      </c>
      <c r="AM33" s="354">
        <f>VLOOKUP(RIGHT($A33,LEN($A33)-4),[1]Sheet1!$2:$65479,MATCH(AM$3,[1]Sheet1!$2:$2,0),FALSE)</f>
        <v>3.1933775799724229E-2</v>
      </c>
      <c r="AN33" s="354">
        <f>VLOOKUP(RIGHT($A33,LEN($A33)-4),[1]Sheet1!$2:$65479,MATCH(AN$3,[1]Sheet1!$2:$2,0),FALSE)</f>
        <v>2.4108883713508167E-2</v>
      </c>
      <c r="AO33" s="354">
        <f>VLOOKUP(RIGHT($A33,LEN($A33)-4),[1]Sheet1!$2:$65479,MATCH(AO$3,[1]Sheet1!$2:$2,0),FALSE)</f>
        <v>-5.3425098792330594E-2</v>
      </c>
      <c r="AP33" s="354">
        <f>VLOOKUP(RIGHT($A33,LEN($A33)-4),[1]Sheet1!$2:$65479,MATCH(AP$3,[1]Sheet1!$2:$2,0),FALSE)</f>
        <v>-1.8418523876625681E-2</v>
      </c>
      <c r="AQ33" s="354">
        <f>VLOOKUP(RIGHT($A33,LEN($A33)-4),[1]Sheet1!$2:$65479,MATCH(AQ$3,[1]Sheet1!$2:$2,0),FALSE)</f>
        <v>3.1971929010388145E-3</v>
      </c>
      <c r="AR33" s="354">
        <f>VLOOKUP(RIGHT($A33,LEN($A33)-4),[1]Sheet1!$2:$65479,MATCH(AR$3,[1]Sheet1!$2:$2,0),FALSE)</f>
        <v>1.0800101552552732E-2</v>
      </c>
      <c r="AS33" s="354">
        <f>VLOOKUP(RIGHT($A33,LEN($A33)-4),[1]Sheet1!$2:$65479,MATCH(AS$3,[1]Sheet1!$2:$2,0),FALSE)</f>
        <v>5.6251837111969127E-2</v>
      </c>
      <c r="AT33" s="354">
        <f>VLOOKUP(RIGHT($A33,LEN($A33)-4),[1]Sheet1!$2:$65479,MATCH(AT$3,[1]Sheet1!$2:$2,0),FALSE)</f>
        <v>-2.0392856062227294E-2</v>
      </c>
      <c r="AU33" s="354">
        <f>VLOOKUP(RIGHT($A33,LEN($A33)-4),[1]Sheet1!$2:$65479,MATCH(AU$3,[1]Sheet1!$2:$2,0),FALSE)</f>
        <v>9.3213610911708766E-3</v>
      </c>
      <c r="AV33" s="354">
        <f>VLOOKUP(RIGHT($A33,LEN($A33)-4),[1]Sheet1!$2:$65479,MATCH(AV$3,[1]Sheet1!$2:$2,0),FALSE)</f>
        <v>1.2358377073591109E-2</v>
      </c>
      <c r="AW33" s="354">
        <f>VLOOKUP(RIGHT($A33,LEN($A33)-4),[1]Sheet1!$2:$65479,MATCH(AW$3,[1]Sheet1!$2:$2,0),FALSE)</f>
        <v>1.1289025614631631E-2</v>
      </c>
      <c r="AX33" s="354">
        <f>VLOOKUP(RIGHT($A33,LEN($A33)-4),[1]Sheet1!$2:$65479,MATCH(AX$3,[1]Sheet1!$2:$2,0),FALSE)</f>
        <v>1.3258490092054487E-2</v>
      </c>
      <c r="AY33" s="341">
        <f>VLOOKUP(RIGHT($A33,LEN($A33)-4),[1]Sheet1!$2:$65479,MATCH(AY$3,[1]Sheet1!$2:$2,0),FALSE)</f>
        <v>2.4577115837903341E-2</v>
      </c>
      <c r="AZ33" s="29">
        <f>VLOOKUP(RIGHT($A33,LEN($A33)-4),[1]Sheet1!$2:$65479,MATCH(AZ$3,[1]Sheet1!$2:$2,0),FALSE)</f>
        <v>1.2035999999999936E-2</v>
      </c>
      <c r="BA33" s="29">
        <f>VLOOKUP(RIGHT($A33,LEN($A33)-4),[1]Sheet1!$2:$65479,MATCH(BA$3,[1]Sheet1!$2:$2,0),FALSE)</f>
        <v>1.2035999999999936E-2</v>
      </c>
      <c r="BB33" s="29">
        <f>VLOOKUP(RIGHT($A33,LEN($A33)-4),[1]Sheet1!$2:$65479,MATCH(BB$3,[1]Sheet1!$2:$2,0),FALSE)</f>
        <v>1.2035999999999936E-2</v>
      </c>
      <c r="BC33" s="29">
        <f>VLOOKUP(RIGHT($A33,LEN($A33)-4),[1]Sheet1!$2:$65479,MATCH(BC$3,[1]Sheet1!$2:$2,0),FALSE)</f>
        <v>1.2035999999999936E-2</v>
      </c>
      <c r="BD33" s="29">
        <f>VLOOKUP(RIGHT($A33,LEN($A33)-4),[1]Sheet1!$2:$65479,MATCH(BD$3,[1]Sheet1!$2:$2,0),FALSE)</f>
        <v>1.2035999999999936E-2</v>
      </c>
      <c r="BE33" s="29">
        <f>VLOOKUP(RIGHT($A33,LEN($A33)-4),[1]Sheet1!$2:$65479,MATCH(BE$3,[1]Sheet1!$2:$2,0),FALSE)</f>
        <v>1.2035999999999936E-2</v>
      </c>
      <c r="BF33" s="29">
        <f>VLOOKUP(RIGHT($A33,LEN($A33)-4),[1]Sheet1!$2:$65479,MATCH(BF$3,[1]Sheet1!$2:$2,0),FALSE)</f>
        <v>1.2035999999999936E-2</v>
      </c>
      <c r="BG33" s="29">
        <f>VLOOKUP(RIGHT($A33,LEN($A33)-4),[1]Sheet1!$2:$65479,MATCH(BG$3,[1]Sheet1!$2:$2,0),FALSE)</f>
        <v>1.2035999999999936E-2</v>
      </c>
      <c r="BH33" s="29">
        <f>VLOOKUP(RIGHT($A33,LEN($A33)-4),[1]Sheet1!$2:$65479,MATCH(BH$3,[1]Sheet1!$2:$2,0),FALSE)</f>
        <v>1.2035999999999936E-2</v>
      </c>
      <c r="BI33" s="29">
        <f>VLOOKUP(RIGHT($A33,LEN($A33)-4),[1]Sheet1!$2:$65479,MATCH(BI$3,[1]Sheet1!$2:$2,0),FALSE)</f>
        <v>1.2035999999999936E-2</v>
      </c>
      <c r="BJ33" s="29">
        <f>VLOOKUP(RIGHT($A33,LEN($A33)-4),[1]Sheet1!$2:$65479,MATCH(BJ$3,[1]Sheet1!$2:$2,0),FALSE)</f>
        <v>1.2035999999999936E-2</v>
      </c>
      <c r="BK33" s="29">
        <f>VLOOKUP(RIGHT($A33,LEN($A33)-4),[1]Sheet1!$2:$65479,MATCH(BK$3,[1]Sheet1!$2:$2,0),FALSE)</f>
        <v>1.2035999999999936E-2</v>
      </c>
      <c r="BL33" s="29">
        <f>VLOOKUP(RIGHT($A33,LEN($A33)-4),[1]Sheet1!$2:$65479,MATCH(BL$3,[1]Sheet1!$2:$2,0),FALSE)</f>
        <v>1.2035999999999936E-2</v>
      </c>
      <c r="BM33" s="29">
        <f>VLOOKUP(RIGHT($A33,LEN($A33)-4),[1]Sheet1!$2:$65479,MATCH(BM$3,[1]Sheet1!$2:$2,0),FALSE)</f>
        <v>1.2035999999999936E-2</v>
      </c>
      <c r="BN33" s="29">
        <f>VLOOKUP(RIGHT($A33,LEN($A33)-4),[1]Sheet1!$2:$65479,MATCH(BN$3,[1]Sheet1!$2:$2,0),FALSE)</f>
        <v>1.2035999999999936E-2</v>
      </c>
      <c r="BO33" s="29">
        <f>VLOOKUP(RIGHT($A33,LEN($A33)-4),[1]Sheet1!$2:$65479,MATCH(BO$3,[1]Sheet1!$2:$2,0),FALSE)</f>
        <v>1.2035999999999936E-2</v>
      </c>
      <c r="BP33" s="29">
        <f>VLOOKUP(RIGHT($A33,LEN($A33)-4),[1]Sheet1!$2:$65479,MATCH(BP$3,[1]Sheet1!$2:$2,0),FALSE)</f>
        <v>1.2035999999999936E-2</v>
      </c>
      <c r="BQ33" s="29">
        <f>VLOOKUP(RIGHT($A33,LEN($A33)-4),[1]Sheet1!$2:$65479,MATCH(BQ$3,[1]Sheet1!$2:$2,0),FALSE)</f>
        <v>1.2035999999999936E-2</v>
      </c>
      <c r="BR33" s="30"/>
      <c r="BS33" s="393">
        <f>VLOOKUP(RIGHT($A33,LEN($A33)-4),[1]Sheet1!$2:$65479,MATCH(BS$3,[1]Sheet1!$2:$2,0),FALSE)</f>
        <v>0</v>
      </c>
      <c r="BT33" s="393">
        <f>VLOOKUP(RIGHT($A33,LEN($A33)-4),[1]Sheet1!$2:$65479,MATCH(BT$3,[1]Sheet1!$2:$2,0),FALSE)</f>
        <v>0</v>
      </c>
      <c r="BU33" s="393">
        <f>VLOOKUP(RIGHT($A33,LEN($A33)-4),[1]Sheet1!$2:$65479,MATCH(BU$3,[1]Sheet1!$2:$2,0),FALSE)</f>
        <v>0</v>
      </c>
      <c r="BV33" s="393">
        <f>VLOOKUP(RIGHT($A33,LEN($A33)-4),[1]Sheet1!$2:$65479,MATCH(BV$3,[1]Sheet1!$2:$2,0),FALSE)</f>
        <v>0</v>
      </c>
      <c r="BW33" s="393">
        <f>VLOOKUP(RIGHT($A33,LEN($A33)-4),[1]Sheet1!$2:$65479,MATCH(BW$3,[1]Sheet1!$2:$2,0),FALSE)</f>
        <v>0</v>
      </c>
      <c r="BX33" s="393">
        <f>VLOOKUP(RIGHT($A33,LEN($A33)-4),[1]Sheet1!$2:$65479,MATCH(BX$3,[1]Sheet1!$2:$2,0),FALSE)</f>
        <v>0</v>
      </c>
      <c r="BY33" s="393">
        <f>VLOOKUP(RIGHT($A33,LEN($A33)-4),[1]Sheet1!$2:$65479,MATCH(BY$3,[1]Sheet1!$2:$2,0),FALSE)</f>
        <v>0</v>
      </c>
      <c r="BZ33" s="393">
        <f>VLOOKUP(RIGHT($A33,LEN($A33)-4),[1]Sheet1!$2:$65479,MATCH(BZ$3,[1]Sheet1!$2:$2,0),FALSE)</f>
        <v>4.2575901782535563E-2</v>
      </c>
      <c r="CA33" s="393">
        <f>VLOOKUP(RIGHT($A33,LEN($A33)-4),[1]Sheet1!$2:$65479,MATCH(CA$3,[1]Sheet1!$2:$2,0),FALSE)</f>
        <v>-1.9489402754567786E-2</v>
      </c>
      <c r="CB33" s="393">
        <f>VLOOKUP(RIGHT($A33,LEN($A33)-4),[1]Sheet1!$2:$65479,MATCH(CB$3,[1]Sheet1!$2:$2,0),FALSE)</f>
        <v>4.880824082877333E-2</v>
      </c>
      <c r="CC33" s="30">
        <f t="shared" si="136"/>
        <v>5.2540745594878979E-2</v>
      </c>
      <c r="CD33" s="30">
        <f t="shared" si="137"/>
        <v>4.6506245251773048E-2</v>
      </c>
      <c r="CE33" s="30">
        <f t="shared" si="138"/>
        <v>7.7104847959322598E-2</v>
      </c>
      <c r="CF33" s="30">
        <f t="shared" si="139"/>
        <v>0.16859649035008517</v>
      </c>
      <c r="CG33" s="30">
        <f t="shared" si="140"/>
        <v>0.13496011310481459</v>
      </c>
      <c r="CH33" s="30">
        <f t="shared" si="141"/>
        <v>0.17288170288920712</v>
      </c>
      <c r="CI33" s="30">
        <f t="shared" si="142"/>
        <v>0.15342693087309311</v>
      </c>
      <c r="CJ33" s="30">
        <f t="shared" si="143"/>
        <v>5.0373553098574941E-3</v>
      </c>
      <c r="CK33" s="30">
        <f t="shared" si="144"/>
        <v>-2.372429742628801E-2</v>
      </c>
      <c r="CL33" s="30">
        <f t="shared" si="145"/>
        <v>1.4648101313036177E-2</v>
      </c>
      <c r="CM33" s="32">
        <f t="shared" si="146"/>
        <v>6.418298032969072E-2</v>
      </c>
      <c r="CN33" s="32">
        <f t="shared" si="147"/>
        <v>3.9136812639654961E-2</v>
      </c>
      <c r="CO33" s="32">
        <f t="shared" si="148"/>
        <v>3.3744760601640111E-2</v>
      </c>
      <c r="CP33" s="32">
        <f t="shared" si="149"/>
        <v>6.5283624263390738E-2</v>
      </c>
      <c r="CQ33" s="32">
        <f t="shared" si="150"/>
        <v>6.9964214329772734E-2</v>
      </c>
      <c r="CR33" s="32">
        <f t="shared" si="151"/>
        <v>3.2354150923455727E-2</v>
      </c>
      <c r="CS33" s="32">
        <f t="shared" si="152"/>
        <v>4.7546959031384173E-2</v>
      </c>
      <c r="CT33" s="32">
        <f t="shared" si="153"/>
        <v>5.5940522931772652E-2</v>
      </c>
      <c r="CU33" s="32">
        <f t="shared" si="154"/>
        <v>-3.0604234572989442E-2</v>
      </c>
      <c r="CV33" s="32">
        <f t="shared" si="155"/>
        <v>-1.5280218549372782E-2</v>
      </c>
      <c r="CW33" s="32">
        <f t="shared" si="156"/>
        <v>6.7659464217848742E-2</v>
      </c>
      <c r="CX33" s="32">
        <f t="shared" si="157"/>
        <v>-1.1261584146092685E-2</v>
      </c>
      <c r="CY33" s="32">
        <f t="shared" si="158"/>
        <v>2.3786916723561813E-2</v>
      </c>
      <c r="CZ33" s="31">
        <f t="shared" si="159"/>
        <v>3.8161461376785999E-2</v>
      </c>
      <c r="DA33" s="30">
        <f t="shared" si="160"/>
        <v>2.4216865295999979E-2</v>
      </c>
      <c r="DB33" s="30">
        <f t="shared" si="161"/>
        <v>2.4216865295999979E-2</v>
      </c>
      <c r="DC33" s="30">
        <f t="shared" si="162"/>
        <v>2.4216865295999979E-2</v>
      </c>
      <c r="DD33" s="30">
        <f t="shared" si="163"/>
        <v>2.4216865295999979E-2</v>
      </c>
      <c r="DE33" s="30">
        <f t="shared" si="164"/>
        <v>2.4216865295999979E-2</v>
      </c>
      <c r="DF33" s="30">
        <f t="shared" si="165"/>
        <v>2.4216865295999979E-2</v>
      </c>
      <c r="DG33" s="30">
        <f t="shared" si="166"/>
        <v>2.4216865295999979E-2</v>
      </c>
      <c r="DH33" s="30">
        <f t="shared" si="167"/>
        <v>2.4216865295999979E-2</v>
      </c>
      <c r="DI33" s="30">
        <f t="shared" si="168"/>
        <v>2.4216865295999979E-2</v>
      </c>
    </row>
    <row r="34" spans="1:113" ht="12" outlineLevel="1">
      <c r="A34" s="1" t="s">
        <v>848</v>
      </c>
      <c r="B34" s="15" t="s">
        <v>319</v>
      </c>
      <c r="C34" s="373"/>
      <c r="D34" s="373"/>
      <c r="E34" s="373"/>
      <c r="F34" s="373"/>
      <c r="G34" s="373"/>
      <c r="H34" s="373"/>
      <c r="I34" s="373"/>
      <c r="J34" s="373"/>
      <c r="K34" s="373"/>
      <c r="L34" s="373"/>
      <c r="M34" s="136"/>
      <c r="N34" s="136"/>
      <c r="O34" s="136"/>
      <c r="P34" s="136"/>
      <c r="Q34" s="136"/>
      <c r="R34" s="136"/>
      <c r="S34" s="136"/>
      <c r="T34" s="137"/>
      <c r="U34" s="136"/>
      <c r="V34" s="136"/>
      <c r="W34" s="136"/>
      <c r="X34" s="136"/>
      <c r="Y34" s="137"/>
      <c r="Z34" s="137"/>
      <c r="AA34" s="354"/>
      <c r="AB34" s="354"/>
      <c r="AC34" s="354"/>
      <c r="AD34" s="354">
        <v>0.03</v>
      </c>
      <c r="AE34" s="354">
        <v>0.03</v>
      </c>
      <c r="AF34" s="354">
        <v>0.03</v>
      </c>
      <c r="AG34" s="354">
        <v>0.03</v>
      </c>
      <c r="AH34" s="354">
        <v>0.04</v>
      </c>
      <c r="AI34" s="354">
        <v>0.04</v>
      </c>
      <c r="AJ34" s="354">
        <v>0.04</v>
      </c>
      <c r="AK34" s="354">
        <v>0.04</v>
      </c>
      <c r="AL34" s="354">
        <v>0.04</v>
      </c>
      <c r="AM34" s="354">
        <v>0.04</v>
      </c>
      <c r="AN34" s="354">
        <v>0.04</v>
      </c>
      <c r="AO34" s="354">
        <v>0.04</v>
      </c>
      <c r="AP34" s="354">
        <v>0.04</v>
      </c>
      <c r="AQ34" s="354">
        <v>0.04</v>
      </c>
      <c r="AR34" s="33">
        <v>0.04</v>
      </c>
      <c r="AS34" s="33">
        <v>0.04</v>
      </c>
      <c r="AT34" s="33">
        <v>0.04</v>
      </c>
      <c r="AU34" s="33">
        <v>0.04</v>
      </c>
      <c r="AV34" s="33">
        <v>0.04</v>
      </c>
      <c r="AW34" s="33">
        <v>0.04</v>
      </c>
      <c r="AX34" s="33">
        <v>0.04</v>
      </c>
      <c r="AY34" s="603">
        <v>0.04</v>
      </c>
      <c r="AZ34" s="33">
        <v>0.04</v>
      </c>
      <c r="BA34" s="33">
        <v>0.04</v>
      </c>
      <c r="BB34" s="33">
        <v>0.04</v>
      </c>
      <c r="BC34" s="33">
        <v>0.04</v>
      </c>
      <c r="BD34" s="33">
        <v>0.04</v>
      </c>
      <c r="BE34" s="33">
        <v>0.04</v>
      </c>
      <c r="BF34" s="33">
        <v>0.04</v>
      </c>
      <c r="BG34" s="33">
        <v>0.04</v>
      </c>
      <c r="BH34" s="33">
        <v>0.04</v>
      </c>
      <c r="BI34" s="33">
        <v>0.04</v>
      </c>
      <c r="BJ34" s="33">
        <v>0.04</v>
      </c>
      <c r="BK34" s="33">
        <v>0.04</v>
      </c>
      <c r="BL34" s="33">
        <v>0.04</v>
      </c>
      <c r="BM34" s="33">
        <v>0.04</v>
      </c>
      <c r="BN34" s="33">
        <v>0.04</v>
      </c>
      <c r="BO34" s="33">
        <v>0.04</v>
      </c>
      <c r="BP34" s="33">
        <v>0.04</v>
      </c>
      <c r="BQ34" s="33">
        <v>0.04</v>
      </c>
      <c r="BR34" s="30"/>
      <c r="BS34" s="207"/>
      <c r="BT34" s="207"/>
      <c r="BU34" s="207"/>
      <c r="BV34" s="207"/>
      <c r="BW34" s="207"/>
      <c r="BX34" s="207"/>
      <c r="BY34" s="207"/>
      <c r="BZ34" s="207"/>
      <c r="CA34" s="207"/>
      <c r="CB34" s="207"/>
      <c r="CC34" s="30">
        <f t="shared" si="136"/>
        <v>0</v>
      </c>
      <c r="CD34" s="30">
        <f t="shared" si="137"/>
        <v>0</v>
      </c>
      <c r="CE34" s="30">
        <f t="shared" si="138"/>
        <v>0</v>
      </c>
      <c r="CF34" s="30">
        <f t="shared" si="139"/>
        <v>0</v>
      </c>
      <c r="CG34" s="30">
        <f t="shared" si="140"/>
        <v>0</v>
      </c>
      <c r="CH34" s="30">
        <f t="shared" si="141"/>
        <v>0</v>
      </c>
      <c r="CI34" s="30">
        <f t="shared" si="142"/>
        <v>0</v>
      </c>
      <c r="CJ34" s="30">
        <f t="shared" si="143"/>
        <v>0</v>
      </c>
      <c r="CK34" s="30">
        <f t="shared" si="144"/>
        <v>0</v>
      </c>
      <c r="CL34" s="30">
        <f t="shared" si="145"/>
        <v>0</v>
      </c>
      <c r="CM34" s="32">
        <f t="shared" si="146"/>
        <v>0</v>
      </c>
      <c r="CN34" s="32">
        <f t="shared" si="147"/>
        <v>0</v>
      </c>
      <c r="CO34" s="32">
        <f t="shared" si="148"/>
        <v>0</v>
      </c>
      <c r="CP34" s="32">
        <f t="shared" si="149"/>
        <v>6.0899999999999954E-2</v>
      </c>
      <c r="CQ34" s="32">
        <f t="shared" si="150"/>
        <v>6.0899999999999954E-2</v>
      </c>
      <c r="CR34" s="32">
        <f t="shared" si="151"/>
        <v>8.1600000000000117E-2</v>
      </c>
      <c r="CS34" s="32">
        <f t="shared" si="152"/>
        <v>8.1600000000000117E-2</v>
      </c>
      <c r="CT34" s="32">
        <f t="shared" si="153"/>
        <v>8.1600000000000117E-2</v>
      </c>
      <c r="CU34" s="32">
        <f t="shared" si="154"/>
        <v>8.1600000000000117E-2</v>
      </c>
      <c r="CV34" s="32">
        <f t="shared" si="155"/>
        <v>8.1600000000000117E-2</v>
      </c>
      <c r="CW34" s="32">
        <f t="shared" si="156"/>
        <v>8.1600000000000117E-2</v>
      </c>
      <c r="CX34" s="32">
        <f t="shared" si="157"/>
        <v>8.1600000000000117E-2</v>
      </c>
      <c r="CY34" s="32">
        <f t="shared" si="158"/>
        <v>8.1600000000000117E-2</v>
      </c>
      <c r="CZ34" s="31">
        <f t="shared" si="159"/>
        <v>8.1600000000000117E-2</v>
      </c>
      <c r="DA34" s="30">
        <f t="shared" si="160"/>
        <v>8.1600000000000117E-2</v>
      </c>
      <c r="DB34" s="30">
        <f t="shared" si="161"/>
        <v>8.1600000000000117E-2</v>
      </c>
      <c r="DC34" s="30">
        <f t="shared" si="162"/>
        <v>8.1600000000000117E-2</v>
      </c>
      <c r="DD34" s="30">
        <f t="shared" si="163"/>
        <v>8.1600000000000117E-2</v>
      </c>
      <c r="DE34" s="30">
        <f t="shared" si="164"/>
        <v>8.1600000000000117E-2</v>
      </c>
      <c r="DF34" s="30">
        <f t="shared" si="165"/>
        <v>8.1600000000000117E-2</v>
      </c>
      <c r="DG34" s="30">
        <f t="shared" si="166"/>
        <v>8.1600000000000117E-2</v>
      </c>
      <c r="DH34" s="30">
        <f t="shared" si="167"/>
        <v>8.1600000000000117E-2</v>
      </c>
      <c r="DI34" s="30">
        <f t="shared" si="168"/>
        <v>8.1600000000000117E-2</v>
      </c>
    </row>
    <row r="35" spans="1:113" ht="12" outlineLevel="1">
      <c r="A35" s="1" t="s">
        <v>849</v>
      </c>
      <c r="B35" s="15" t="s">
        <v>320</v>
      </c>
      <c r="C35" s="373"/>
      <c r="D35" s="373"/>
      <c r="E35" s="373"/>
      <c r="F35" s="373"/>
      <c r="G35" s="373"/>
      <c r="H35" s="373"/>
      <c r="I35" s="373"/>
      <c r="J35" s="373"/>
      <c r="K35" s="373"/>
      <c r="L35" s="373"/>
      <c r="M35" s="136"/>
      <c r="N35" s="136"/>
      <c r="O35" s="136"/>
      <c r="P35" s="136"/>
      <c r="Q35" s="136"/>
      <c r="R35" s="136"/>
      <c r="S35" s="136"/>
      <c r="T35" s="137"/>
      <c r="U35" s="136"/>
      <c r="V35" s="136"/>
      <c r="W35" s="136"/>
      <c r="X35" s="136"/>
      <c r="Y35" s="137"/>
      <c r="Z35" s="137"/>
      <c r="AA35" s="354"/>
      <c r="AB35" s="354"/>
      <c r="AC35" s="354"/>
      <c r="AD35" s="354">
        <v>0.03</v>
      </c>
      <c r="AE35" s="354">
        <v>0.03</v>
      </c>
      <c r="AF35" s="354">
        <v>0.03</v>
      </c>
      <c r="AG35" s="354">
        <v>0.03</v>
      </c>
      <c r="AH35" s="354">
        <v>0.04</v>
      </c>
      <c r="AI35" s="354">
        <v>0.04</v>
      </c>
      <c r="AJ35" s="354">
        <v>0.04</v>
      </c>
      <c r="AK35" s="354">
        <v>0.04</v>
      </c>
      <c r="AL35" s="354">
        <v>0.04</v>
      </c>
      <c r="AM35" s="354">
        <v>0.04</v>
      </c>
      <c r="AN35" s="354">
        <v>0.04</v>
      </c>
      <c r="AO35" s="354">
        <v>0.04</v>
      </c>
      <c r="AP35" s="354">
        <v>0.04</v>
      </c>
      <c r="AQ35" s="354">
        <v>0.04</v>
      </c>
      <c r="AR35" s="33">
        <v>0.04</v>
      </c>
      <c r="AS35" s="33">
        <v>0.04</v>
      </c>
      <c r="AT35" s="33">
        <v>0.04</v>
      </c>
      <c r="AU35" s="33">
        <v>0.04</v>
      </c>
      <c r="AV35" s="33">
        <v>0.04</v>
      </c>
      <c r="AW35" s="33">
        <v>0.04</v>
      </c>
      <c r="AX35" s="33">
        <v>0.04</v>
      </c>
      <c r="AY35" s="603">
        <v>0.04</v>
      </c>
      <c r="AZ35" s="33">
        <v>0.04</v>
      </c>
      <c r="BA35" s="33">
        <v>0.04</v>
      </c>
      <c r="BB35" s="33">
        <v>0.04</v>
      </c>
      <c r="BC35" s="33">
        <v>0.04</v>
      </c>
      <c r="BD35" s="33">
        <v>0.04</v>
      </c>
      <c r="BE35" s="33">
        <v>0.04</v>
      </c>
      <c r="BF35" s="33">
        <v>0.04</v>
      </c>
      <c r="BG35" s="33">
        <v>0.04</v>
      </c>
      <c r="BH35" s="33">
        <v>0.04</v>
      </c>
      <c r="BI35" s="33">
        <v>0.04</v>
      </c>
      <c r="BJ35" s="33">
        <v>0.04</v>
      </c>
      <c r="BK35" s="33">
        <v>0.04</v>
      </c>
      <c r="BL35" s="33">
        <v>0.04</v>
      </c>
      <c r="BM35" s="33">
        <v>0.04</v>
      </c>
      <c r="BN35" s="33">
        <v>0.04</v>
      </c>
      <c r="BO35" s="33">
        <v>0.04</v>
      </c>
      <c r="BP35" s="33">
        <v>0.04</v>
      </c>
      <c r="BQ35" s="33">
        <v>0.04</v>
      </c>
      <c r="BR35" s="30"/>
      <c r="BS35" s="207"/>
      <c r="BT35" s="207"/>
      <c r="BU35" s="207"/>
      <c r="BV35" s="207"/>
      <c r="BW35" s="207"/>
      <c r="BX35" s="207"/>
      <c r="BY35" s="207"/>
      <c r="BZ35" s="207"/>
      <c r="CA35" s="207"/>
      <c r="CB35" s="207"/>
      <c r="CC35" s="30">
        <f t="shared" si="136"/>
        <v>0</v>
      </c>
      <c r="CD35" s="30">
        <f t="shared" si="137"/>
        <v>0</v>
      </c>
      <c r="CE35" s="30">
        <f t="shared" si="138"/>
        <v>0</v>
      </c>
      <c r="CF35" s="30">
        <f t="shared" si="139"/>
        <v>0</v>
      </c>
      <c r="CG35" s="30">
        <f t="shared" si="140"/>
        <v>0</v>
      </c>
      <c r="CH35" s="30">
        <f t="shared" si="141"/>
        <v>0</v>
      </c>
      <c r="CI35" s="30">
        <f t="shared" si="142"/>
        <v>0</v>
      </c>
      <c r="CJ35" s="30">
        <f t="shared" si="143"/>
        <v>0</v>
      </c>
      <c r="CK35" s="30">
        <f t="shared" si="144"/>
        <v>0</v>
      </c>
      <c r="CL35" s="30">
        <f t="shared" si="145"/>
        <v>0</v>
      </c>
      <c r="CM35" s="32">
        <f t="shared" si="146"/>
        <v>0</v>
      </c>
      <c r="CN35" s="32">
        <f t="shared" si="147"/>
        <v>0</v>
      </c>
      <c r="CO35" s="32">
        <f t="shared" si="148"/>
        <v>0</v>
      </c>
      <c r="CP35" s="32">
        <f t="shared" si="149"/>
        <v>6.0899999999999954E-2</v>
      </c>
      <c r="CQ35" s="32">
        <f t="shared" si="150"/>
        <v>6.0899999999999954E-2</v>
      </c>
      <c r="CR35" s="32">
        <f t="shared" si="151"/>
        <v>8.1600000000000117E-2</v>
      </c>
      <c r="CS35" s="32">
        <f t="shared" si="152"/>
        <v>8.1600000000000117E-2</v>
      </c>
      <c r="CT35" s="32">
        <f t="shared" si="153"/>
        <v>8.1600000000000117E-2</v>
      </c>
      <c r="CU35" s="32">
        <f t="shared" si="154"/>
        <v>8.1600000000000117E-2</v>
      </c>
      <c r="CV35" s="32">
        <f t="shared" si="155"/>
        <v>8.1600000000000117E-2</v>
      </c>
      <c r="CW35" s="32">
        <f t="shared" si="156"/>
        <v>8.1600000000000117E-2</v>
      </c>
      <c r="CX35" s="32">
        <f t="shared" si="157"/>
        <v>8.1600000000000117E-2</v>
      </c>
      <c r="CY35" s="32">
        <f t="shared" si="158"/>
        <v>8.1600000000000117E-2</v>
      </c>
      <c r="CZ35" s="31">
        <f t="shared" si="159"/>
        <v>8.1600000000000117E-2</v>
      </c>
      <c r="DA35" s="30">
        <f t="shared" si="160"/>
        <v>8.1600000000000117E-2</v>
      </c>
      <c r="DB35" s="30">
        <f t="shared" si="161"/>
        <v>8.1600000000000117E-2</v>
      </c>
      <c r="DC35" s="30">
        <f t="shared" si="162"/>
        <v>8.1600000000000117E-2</v>
      </c>
      <c r="DD35" s="30">
        <f t="shared" si="163"/>
        <v>8.1600000000000117E-2</v>
      </c>
      <c r="DE35" s="30">
        <f t="shared" si="164"/>
        <v>8.1600000000000117E-2</v>
      </c>
      <c r="DF35" s="30">
        <f t="shared" si="165"/>
        <v>8.1600000000000117E-2</v>
      </c>
      <c r="DG35" s="30">
        <f t="shared" si="166"/>
        <v>8.1600000000000117E-2</v>
      </c>
      <c r="DH35" s="30">
        <f t="shared" si="167"/>
        <v>8.1600000000000117E-2</v>
      </c>
      <c r="DI35" s="30">
        <f t="shared" si="168"/>
        <v>8.1600000000000117E-2</v>
      </c>
    </row>
    <row r="36" spans="1:113" ht="12" outlineLevel="1">
      <c r="C36" s="374"/>
      <c r="D36" s="374"/>
      <c r="E36" s="374"/>
      <c r="F36" s="374"/>
      <c r="G36" s="374"/>
      <c r="H36" s="374"/>
      <c r="I36" s="374"/>
      <c r="J36" s="374"/>
      <c r="K36" s="374"/>
      <c r="L36" s="374"/>
      <c r="M36" s="138"/>
      <c r="N36" s="138"/>
      <c r="O36" s="138"/>
      <c r="P36" s="138"/>
      <c r="Q36" s="138"/>
      <c r="R36" s="138"/>
      <c r="S36" s="138"/>
      <c r="T36" s="139"/>
      <c r="U36" s="138"/>
      <c r="V36" s="138"/>
      <c r="W36" s="138"/>
      <c r="X36" s="138"/>
      <c r="Y36" s="139"/>
      <c r="Z36" s="139"/>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1"/>
      <c r="AZ36" s="30"/>
      <c r="BA36" s="30"/>
      <c r="BB36" s="30"/>
      <c r="BC36" s="30"/>
      <c r="BD36" s="30"/>
      <c r="BE36" s="30"/>
      <c r="BF36" s="30"/>
      <c r="BG36" s="30"/>
      <c r="BH36" s="30"/>
      <c r="BI36" s="30"/>
      <c r="BJ36" s="30"/>
      <c r="BK36" s="30"/>
      <c r="BL36" s="30"/>
      <c r="BM36" s="30"/>
      <c r="BN36" s="30"/>
      <c r="BO36" s="30"/>
      <c r="BP36" s="30"/>
      <c r="BQ36" s="30"/>
      <c r="BR36" s="30"/>
      <c r="BS36" s="207"/>
      <c r="BT36" s="207"/>
      <c r="BU36" s="207"/>
      <c r="BV36" s="207"/>
      <c r="BW36" s="207"/>
      <c r="BX36" s="207"/>
      <c r="BY36" s="207"/>
      <c r="BZ36" s="207"/>
      <c r="CA36" s="207"/>
      <c r="CB36" s="207"/>
      <c r="CC36" s="30"/>
      <c r="CD36" s="30"/>
      <c r="CE36" s="30"/>
      <c r="CF36" s="30"/>
      <c r="CG36" s="30"/>
      <c r="CH36" s="30"/>
      <c r="CI36" s="30"/>
      <c r="CJ36" s="30"/>
      <c r="CK36" s="30"/>
      <c r="CL36" s="30"/>
      <c r="CM36" s="32"/>
      <c r="CN36" s="32"/>
      <c r="CO36" s="32"/>
      <c r="CP36" s="32"/>
      <c r="CQ36" s="32"/>
      <c r="CR36" s="32"/>
      <c r="CS36" s="32"/>
      <c r="CT36" s="32"/>
      <c r="CU36" s="32"/>
      <c r="CV36" s="32"/>
      <c r="CW36" s="32"/>
      <c r="CX36" s="32"/>
      <c r="CY36" s="32"/>
      <c r="CZ36" s="31"/>
      <c r="DA36" s="30"/>
      <c r="DB36" s="15"/>
      <c r="DC36" s="15"/>
      <c r="DD36" s="15"/>
      <c r="DE36" s="15"/>
      <c r="DF36" s="15"/>
      <c r="DG36" s="15"/>
      <c r="DH36" s="15"/>
      <c r="DI36" s="15"/>
    </row>
    <row r="37" spans="1:113" ht="12" outlineLevel="1">
      <c r="B37" s="17" t="s">
        <v>324</v>
      </c>
      <c r="C37" s="374"/>
      <c r="D37" s="374"/>
      <c r="E37" s="374"/>
      <c r="F37" s="374"/>
      <c r="G37" s="374"/>
      <c r="H37" s="374"/>
      <c r="I37" s="374"/>
      <c r="J37" s="374"/>
      <c r="K37" s="374"/>
      <c r="L37" s="374"/>
      <c r="M37" s="138"/>
      <c r="N37" s="138"/>
      <c r="O37" s="138"/>
      <c r="P37" s="138"/>
      <c r="Q37" s="138"/>
      <c r="R37" s="138"/>
      <c r="S37" s="138"/>
      <c r="T37" s="139"/>
      <c r="U37" s="138"/>
      <c r="V37" s="138"/>
      <c r="W37" s="138"/>
      <c r="X37" s="138"/>
      <c r="Y37" s="139"/>
      <c r="Z37" s="139"/>
      <c r="AA37" s="32"/>
      <c r="AB37" s="32"/>
      <c r="AC37" s="32"/>
      <c r="AD37" s="32"/>
      <c r="AE37" s="32"/>
      <c r="AF37" s="32"/>
      <c r="AG37" s="32"/>
      <c r="AH37" s="32"/>
      <c r="AI37" s="32"/>
      <c r="AJ37" s="41"/>
      <c r="AK37" s="41"/>
      <c r="AL37" s="41"/>
      <c r="AM37" s="41"/>
      <c r="AN37" s="41"/>
      <c r="AO37" s="41"/>
      <c r="AP37" s="41"/>
      <c r="AQ37" s="41"/>
      <c r="AR37" s="41"/>
      <c r="AS37" s="41"/>
      <c r="AT37" s="41"/>
      <c r="AU37" s="41"/>
      <c r="AV37" s="41"/>
      <c r="AW37" s="41"/>
      <c r="AX37" s="41"/>
      <c r="AY37" s="211"/>
      <c r="AZ37" s="30"/>
      <c r="BA37" s="30"/>
      <c r="BB37" s="30"/>
      <c r="BC37" s="30"/>
      <c r="BD37" s="30"/>
      <c r="BE37" s="30"/>
      <c r="BF37" s="30"/>
      <c r="BG37" s="30"/>
      <c r="BH37" s="30"/>
      <c r="BI37" s="30"/>
      <c r="BJ37" s="30"/>
      <c r="BK37" s="30"/>
      <c r="BL37" s="30"/>
      <c r="BM37" s="30"/>
      <c r="BN37" s="30"/>
      <c r="BO37" s="30"/>
      <c r="BP37" s="30"/>
      <c r="BQ37" s="30"/>
      <c r="BR37" s="30"/>
      <c r="BS37" s="207"/>
      <c r="BT37" s="207"/>
      <c r="BU37" s="207"/>
      <c r="BV37" s="207"/>
      <c r="BW37" s="207"/>
      <c r="BX37" s="207"/>
      <c r="BY37" s="207"/>
      <c r="BZ37" s="207"/>
      <c r="CA37" s="207"/>
      <c r="CB37" s="207"/>
      <c r="CC37" s="30"/>
      <c r="CD37" s="30"/>
      <c r="CE37" s="30"/>
      <c r="CF37" s="30"/>
      <c r="CG37" s="30"/>
      <c r="CH37" s="30"/>
      <c r="CI37" s="30"/>
      <c r="CJ37" s="30"/>
      <c r="CK37" s="30"/>
      <c r="CL37" s="30"/>
      <c r="CM37" s="32"/>
      <c r="CN37" s="32"/>
      <c r="CO37" s="32"/>
      <c r="CP37" s="32"/>
      <c r="CQ37" s="32"/>
      <c r="CR37" s="32"/>
      <c r="CS37" s="32"/>
      <c r="CT37" s="32"/>
      <c r="CU37" s="32"/>
      <c r="CV37" s="32"/>
      <c r="CW37" s="32"/>
      <c r="CX37" s="32"/>
      <c r="CY37" s="32"/>
      <c r="CZ37" s="31"/>
      <c r="DA37" s="30"/>
      <c r="DB37" s="15"/>
      <c r="DC37" s="15"/>
      <c r="DD37" s="15"/>
      <c r="DE37" s="15"/>
      <c r="DF37" s="15"/>
      <c r="DG37" s="15"/>
      <c r="DH37" s="15"/>
      <c r="DI37" s="15"/>
    </row>
    <row r="38" spans="1:113" ht="12" outlineLevel="1">
      <c r="A38" s="1" t="s">
        <v>850</v>
      </c>
      <c r="B38" s="15" t="s">
        <v>325</v>
      </c>
      <c r="C38" s="373">
        <f>VLOOKUP(RIGHT($A38,LEN($A38)-4),[1]Sheet1!$2:$65479,MATCH(C$3,[1]Sheet1!$2:$2,0),FALSE)</f>
        <v>-1.5435995544781478E-2</v>
      </c>
      <c r="D38" s="373">
        <f>VLOOKUP(RIGHT($A38,LEN($A38)-4),[1]Sheet1!$2:$65479,MATCH(D$3,[1]Sheet1!$2:$2,0),FALSE)</f>
        <v>0.13908590603601678</v>
      </c>
      <c r="E38" s="373">
        <f>VLOOKUP(RIGHT($A38,LEN($A38)-4),[1]Sheet1!$2:$65479,MATCH(E$3,[1]Sheet1!$2:$2,0),FALSE)</f>
        <v>-0.11328758288301444</v>
      </c>
      <c r="F38" s="373">
        <f>VLOOKUP(RIGHT($A38,LEN($A38)-4),[1]Sheet1!$2:$65479,MATCH(F$3,[1]Sheet1!$2:$2,0),FALSE)</f>
        <v>-6.7798898003056385E-3</v>
      </c>
      <c r="G38" s="373">
        <f>VLOOKUP(RIGHT($A38,LEN($A38)-4),[1]Sheet1!$2:$65479,MATCH(G$3,[1]Sheet1!$2:$2,0),FALSE)</f>
        <v>0.12203240398528671</v>
      </c>
      <c r="H38" s="373">
        <f>VLOOKUP(RIGHT($A38,LEN($A38)-4),[1]Sheet1!$2:$65479,MATCH(H$3,[1]Sheet1!$2:$2,0),FALSE)</f>
        <v>9.9858475387551979E-2</v>
      </c>
      <c r="I38" s="373">
        <f>VLOOKUP(RIGHT($A38,LEN($A38)-4),[1]Sheet1!$2:$65479,MATCH(I$3,[1]Sheet1!$2:$2,0),FALSE)</f>
        <v>9.7485496952219197E-2</v>
      </c>
      <c r="J38" s="373">
        <f>VLOOKUP(RIGHT($A38,LEN($A38)-4),[1]Sheet1!$2:$65479,MATCH(J$3,[1]Sheet1!$2:$2,0),FALSE)</f>
        <v>0.14471526653760303</v>
      </c>
      <c r="K38" s="373">
        <f>VLOOKUP(RIGHT($A38,LEN($A38)-4),[1]Sheet1!$2:$65479,MATCH(K$3,[1]Sheet1!$2:$2,0),FALSE)</f>
        <v>0.15444261152929317</v>
      </c>
      <c r="L38" s="373">
        <f>VLOOKUP(RIGHT($A38,LEN($A38)-4),[1]Sheet1!$2:$65479,MATCH(L$3,[1]Sheet1!$2:$2,0),FALSE)</f>
        <v>0.12913069405051369</v>
      </c>
      <c r="M38" s="136">
        <f>VLOOKUP(RIGHT($A38,LEN($A38)-4),[1]Sheet1!$2:$65479,MATCH(M$3,[1]Sheet1!$2:$2,0),FALSE)</f>
        <v>2.696873363883312E-2</v>
      </c>
      <c r="N38" s="136">
        <f>VLOOKUP(RIGHT($A38,LEN($A38)-4),[1]Sheet1!$2:$65479,MATCH(N$3,[1]Sheet1!$2:$2,0),FALSE)</f>
        <v>0.18586271856547154</v>
      </c>
      <c r="O38" s="136">
        <f>VLOOKUP(RIGHT($A38,LEN($A38)-4),[1]Sheet1!$2:$65479,MATCH(O$3,[1]Sheet1!$2:$2,0),FALSE)</f>
        <v>0.11644626000066417</v>
      </c>
      <c r="P38" s="136">
        <f>VLOOKUP(RIGHT($A38,LEN($A38)-4),[1]Sheet1!$2:$65479,MATCH(P$3,[1]Sheet1!$2:$2,0),FALSE)</f>
        <v>-0.16734672160923514</v>
      </c>
      <c r="Q38" s="136">
        <f>VLOOKUP(RIGHT($A38,LEN($A38)-4),[1]Sheet1!$2:$65479,MATCH(Q$3,[1]Sheet1!$2:$2,0),FALSE)</f>
        <v>-0.12040957655121275</v>
      </c>
      <c r="R38" s="136">
        <f>VLOOKUP(RIGHT($A38,LEN($A38)-4),[1]Sheet1!$2:$65479,MATCH(R$3,[1]Sheet1!$2:$2,0),FALSE)</f>
        <v>-0.19871326971548176</v>
      </c>
      <c r="S38" s="136">
        <f>VLOOKUP(RIGHT($A38,LEN($A38)-4),[1]Sheet1!$2:$65479,MATCH(S$3,[1]Sheet1!$2:$2,0),FALSE)</f>
        <v>0.35213217416915521</v>
      </c>
      <c r="T38" s="137">
        <f>VLOOKUP(RIGHT($A38,LEN($A38)-4),[1]Sheet1!$2:$65479,MATCH(T$3,[1]Sheet1!$2:$2,0),FALSE)</f>
        <v>4.8011476415038334E-2</v>
      </c>
      <c r="U38" s="136">
        <f>VLOOKUP(RIGHT($A38,LEN($A38)-4),[1]Sheet1!$2:$65479,MATCH(U$3,[1]Sheet1!$2:$2,0),FALSE)</f>
        <v>-4.0018494187662575E-2</v>
      </c>
      <c r="V38" s="136">
        <f>VLOOKUP(RIGHT($A38,LEN($A38)-4),[1]Sheet1!$2:$65479,MATCH(V$3,[1]Sheet1!$2:$2,0),FALSE)</f>
        <v>7.747434775433204E-2</v>
      </c>
      <c r="W38" s="136">
        <f>VLOOKUP(RIGHT($A38,LEN($A38)-4),[1]Sheet1!$2:$65479,MATCH(W$3,[1]Sheet1!$2:$2,0),FALSE)</f>
        <v>-0.1513422929480055</v>
      </c>
      <c r="X38" s="136">
        <f>VLOOKUP(RIGHT($A38,LEN($A38)-4),[1]Sheet1!$2:$65479,MATCH(X$3,[1]Sheet1!$2:$2,0),FALSE)</f>
        <v>0.10691071830508016</v>
      </c>
      <c r="Y38" s="137">
        <f>VLOOKUP(RIGHT($A38,LEN($A38)-4),[1]Sheet1!$2:$65479,MATCH(Y$3,[1]Sheet1!$2:$2,0),FALSE)</f>
        <v>3.7384123149176718E-2</v>
      </c>
      <c r="Z38" s="137">
        <f>VLOOKUP(RIGHT($A38,LEN($A38)-4),[1]Sheet1!$2:$65479,MATCH(Z$3,[1]Sheet1!$2:$2,0),FALSE)</f>
        <v>0.15658668186760871</v>
      </c>
      <c r="AA38" s="137">
        <f>VLOOKUP(RIGHT($A38,LEN($A38)-4),[1]Sheet1!$2:$65479,MATCH(AA$3,[1]Sheet1!$2:$2,0),FALSE)</f>
        <v>7.4623401351684882E-2</v>
      </c>
      <c r="AB38" s="354">
        <f>VLOOKUP(RIGHT($A38,LEN($A38)-4),[1]Sheet1!$2:$65479,MATCH(AB$3,[1]Sheet1!$2:$2,0),FALSE)</f>
        <v>5.5840945703218292E-2</v>
      </c>
      <c r="AC38" s="354">
        <f>VLOOKUP(RIGHT($A38,LEN($A38)-4),[1]Sheet1!$2:$65479,MATCH(AC$3,[1]Sheet1!$2:$2,0),FALSE)</f>
        <v>3.2655870368478723E-3</v>
      </c>
      <c r="AD38" s="354">
        <f>VLOOKUP(RIGHT($A38,LEN($A38)-4),[1]Sheet1!$2:$65479,MATCH(AD$3,[1]Sheet1!$2:$2,0),FALSE)</f>
        <v>0.13758788845834058</v>
      </c>
      <c r="AE38" s="354">
        <f>VLOOKUP(RIGHT($A38,LEN($A38)-4),[1]Sheet1!$2:$65479,MATCH(AE$3,[1]Sheet1!$2:$2,0),FALSE)</f>
        <v>-0.12694167861271677</v>
      </c>
      <c r="AF38" s="354">
        <f>VLOOKUP(RIGHT($A38,LEN($A38)-4),[1]Sheet1!$2:$65479,MATCH(AF$3,[1]Sheet1!$2:$2,0),FALSE)</f>
        <v>3.553954568479667E-2</v>
      </c>
      <c r="AG38" s="354">
        <f>VLOOKUP(RIGHT($A38,LEN($A38)-4),[1]Sheet1!$2:$65479,MATCH(AG$3,[1]Sheet1!$2:$2,0),FALSE)</f>
        <v>9.288778848964574E-2</v>
      </c>
      <c r="AH38" s="354">
        <f>VLOOKUP(RIGHT($A38,LEN($A38)-4),[1]Sheet1!$2:$65479,MATCH(AH$3,[1]Sheet1!$2:$2,0),FALSE)</f>
        <v>0.10249600669415937</v>
      </c>
      <c r="AI38" s="354">
        <f>VLOOKUP(RIGHT($A38,LEN($A38)-4),[1]Sheet1!$2:$65479,MATCH(AI$3,[1]Sheet1!$2:$2,0),FALSE)</f>
        <v>-9.0883129513462668E-3</v>
      </c>
      <c r="AJ38" s="354">
        <f>VLOOKUP(RIGHT($A38,LEN($A38)-4),[1]Sheet1!$2:$65479,MATCH(AJ$3,[1]Sheet1!$2:$2,0),FALSE)</f>
        <v>3.481617119235958E-2</v>
      </c>
      <c r="AK38" s="354">
        <f>VLOOKUP(RIGHT($A38,LEN($A38)-4),[1]Sheet1!$2:$65479,MATCH(AK$3,[1]Sheet1!$2:$2,0),FALSE)</f>
        <v>0.10133039616273321</v>
      </c>
      <c r="AL38" s="354">
        <f>VLOOKUP(RIGHT($A38,LEN($A38)-4),[1]Sheet1!$2:$65479,MATCH(AL$3,[1]Sheet1!$2:$2,0),FALSE)</f>
        <v>1.7540635222229595E-2</v>
      </c>
      <c r="AM38" s="354">
        <f>VLOOKUP(RIGHT($A38,LEN($A38)-4),[1]Sheet1!$2:$65479,MATCH(AM$3,[1]Sheet1!$2:$2,0),FALSE)</f>
        <v>0.10527097635839035</v>
      </c>
      <c r="AN38" s="354">
        <f>VLOOKUP(RIGHT($A38,LEN($A38)-4),[1]Sheet1!$2:$65479,MATCH(AN$3,[1]Sheet1!$2:$2,0),FALSE)</f>
        <v>-0.2257415545513265</v>
      </c>
      <c r="AO38" s="354">
        <f>VLOOKUP(RIGHT($A38,LEN($A38)-4),[1]Sheet1!$2:$65479,MATCH(AO$3,[1]Sheet1!$2:$2,0),FALSE)</f>
        <v>0.15969183845810586</v>
      </c>
      <c r="AP38" s="354">
        <f>VLOOKUP(RIGHT($A38,LEN($A38)-4),[1]Sheet1!$2:$65479,MATCH(AP$3,[1]Sheet1!$2:$2,0),FALSE)</f>
        <v>0.18538896885114009</v>
      </c>
      <c r="AQ38" s="354">
        <f>VLOOKUP(RIGHT($A38,LEN($A38)-4),[1]Sheet1!$2:$65479,MATCH(AQ$3,[1]Sheet1!$2:$2,0),FALSE)</f>
        <v>0.10140090273150747</v>
      </c>
      <c r="AR38" s="354">
        <f>VLOOKUP(RIGHT($A38,LEN($A38)-4),[1]Sheet1!$2:$65479,MATCH(AR$3,[1]Sheet1!$2:$2,0),FALSE)</f>
        <v>4.3834136156981396E-2</v>
      </c>
      <c r="AS38" s="354">
        <f>VLOOKUP(RIGHT($A38,LEN($A38)-4),[1]Sheet1!$2:$65479,MATCH(AS$3,[1]Sheet1!$2:$2,0),FALSE)</f>
        <v>-0.11562420250090621</v>
      </c>
      <c r="AT38" s="354">
        <f>VLOOKUP(RIGHT($A38,LEN($A38)-4),[1]Sheet1!$2:$65479,MATCH(AT$3,[1]Sheet1!$2:$2,0),FALSE)</f>
        <v>0.13188230719495131</v>
      </c>
      <c r="AU38" s="354">
        <f>VLOOKUP(RIGHT($A38,LEN($A38)-4),[1]Sheet1!$2:$65479,MATCH(AU$3,[1]Sheet1!$2:$2,0),FALSE)</f>
        <v>2.4028078538818054E-3</v>
      </c>
      <c r="AV38" s="354">
        <f>VLOOKUP(RIGHT($A38,LEN($A38)-4),[1]Sheet1!$2:$65479,MATCH(AV$3,[1]Sheet1!$2:$2,0),FALSE)</f>
        <v>0.14170901195340968</v>
      </c>
      <c r="AW38" s="354">
        <f>VLOOKUP(RIGHT($A38,LEN($A38)-4),[1]Sheet1!$2:$65479,MATCH(AW$3,[1]Sheet1!$2:$2,0),FALSE)</f>
        <v>6.6515782507608812E-2</v>
      </c>
      <c r="AX38" s="354">
        <f>VLOOKUP(RIGHT($A38,LEN($A38)-4),[1]Sheet1!$2:$65479,MATCH(AX$3,[1]Sheet1!$2:$2,0),FALSE)</f>
        <v>-3.5746239335790464E-2</v>
      </c>
      <c r="AY38" s="341">
        <f>VLOOKUP(RIGHT($A38,LEN($A38)-4),[1]Sheet1!$2:$65479,MATCH(AY$3,[1]Sheet1!$2:$2,0),FALSE)</f>
        <v>0.14662754134478773</v>
      </c>
      <c r="AZ38" s="29">
        <f>VLOOKUP(RIGHT($A38,LEN($A38)-4),[1]Sheet1!$2:$65479,MATCH(AZ$3,[1]Sheet1!$2:$2,0),FALSE)</f>
        <v>5.062499999999992E-2</v>
      </c>
      <c r="BA38" s="29">
        <f>VLOOKUP(RIGHT($A38,LEN($A38)-4),[1]Sheet1!$2:$65479,MATCH(BA$3,[1]Sheet1!$2:$2,0),FALSE)</f>
        <v>5.062499999999992E-2</v>
      </c>
      <c r="BB38" s="29">
        <f>VLOOKUP(RIGHT($A38,LEN($A38)-4),[1]Sheet1!$2:$65479,MATCH(BB$3,[1]Sheet1!$2:$2,0),FALSE)</f>
        <v>5.062499999999992E-2</v>
      </c>
      <c r="BC38" s="29">
        <f>VLOOKUP(RIGHT($A38,LEN($A38)-4),[1]Sheet1!$2:$65479,MATCH(BC$3,[1]Sheet1!$2:$2,0),FALSE)</f>
        <v>5.062499999999992E-2</v>
      </c>
      <c r="BD38" s="29">
        <f>VLOOKUP(RIGHT($A38,LEN($A38)-4),[1]Sheet1!$2:$65479,MATCH(BD$3,[1]Sheet1!$2:$2,0),FALSE)</f>
        <v>5.062499999999992E-2</v>
      </c>
      <c r="BE38" s="29">
        <f>VLOOKUP(RIGHT($A38,LEN($A38)-4),[1]Sheet1!$2:$65479,MATCH(BE$3,[1]Sheet1!$2:$2,0),FALSE)</f>
        <v>5.062499999999992E-2</v>
      </c>
      <c r="BF38" s="29">
        <f>VLOOKUP(RIGHT($A38,LEN($A38)-4),[1]Sheet1!$2:$65479,MATCH(BF$3,[1]Sheet1!$2:$2,0),FALSE)</f>
        <v>5.062499999999992E-2</v>
      </c>
      <c r="BG38" s="29">
        <f>VLOOKUP(RIGHT($A38,LEN($A38)-4),[1]Sheet1!$2:$65479,MATCH(BG$3,[1]Sheet1!$2:$2,0),FALSE)</f>
        <v>5.062499999999992E-2</v>
      </c>
      <c r="BH38" s="29">
        <f>VLOOKUP(RIGHT($A38,LEN($A38)-4),[1]Sheet1!$2:$65479,MATCH(BH$3,[1]Sheet1!$2:$2,0),FALSE)</f>
        <v>5.062499999999992E-2</v>
      </c>
      <c r="BI38" s="29">
        <f>VLOOKUP(RIGHT($A38,LEN($A38)-4),[1]Sheet1!$2:$65479,MATCH(BI$3,[1]Sheet1!$2:$2,0),FALSE)</f>
        <v>5.062499999999992E-2</v>
      </c>
      <c r="BJ38" s="29">
        <f>VLOOKUP(RIGHT($A38,LEN($A38)-4),[1]Sheet1!$2:$65479,MATCH(BJ$3,[1]Sheet1!$2:$2,0),FALSE)</f>
        <v>5.062499999999992E-2</v>
      </c>
      <c r="BK38" s="29">
        <f>VLOOKUP(RIGHT($A38,LEN($A38)-4),[1]Sheet1!$2:$65479,MATCH(BK$3,[1]Sheet1!$2:$2,0),FALSE)</f>
        <v>5.062499999999992E-2</v>
      </c>
      <c r="BL38" s="29">
        <f>VLOOKUP(RIGHT($A38,LEN($A38)-4),[1]Sheet1!$2:$65479,MATCH(BL$3,[1]Sheet1!$2:$2,0),FALSE)</f>
        <v>5.062499999999992E-2</v>
      </c>
      <c r="BM38" s="29">
        <f>VLOOKUP(RIGHT($A38,LEN($A38)-4),[1]Sheet1!$2:$65479,MATCH(BM$3,[1]Sheet1!$2:$2,0),FALSE)</f>
        <v>5.062499999999992E-2</v>
      </c>
      <c r="BN38" s="29">
        <f>VLOOKUP(RIGHT($A38,LEN($A38)-4),[1]Sheet1!$2:$65479,MATCH(BN$3,[1]Sheet1!$2:$2,0),FALSE)</f>
        <v>5.062499999999992E-2</v>
      </c>
      <c r="BO38" s="29">
        <f>VLOOKUP(RIGHT($A38,LEN($A38)-4),[1]Sheet1!$2:$65479,MATCH(BO$3,[1]Sheet1!$2:$2,0),FALSE)</f>
        <v>5.062499999999992E-2</v>
      </c>
      <c r="BP38" s="29">
        <f>VLOOKUP(RIGHT($A38,LEN($A38)-4),[1]Sheet1!$2:$65479,MATCH(BP$3,[1]Sheet1!$2:$2,0),FALSE)</f>
        <v>5.062499999999992E-2</v>
      </c>
      <c r="BQ38" s="29">
        <f>VLOOKUP(RIGHT($A38,LEN($A38)-4),[1]Sheet1!$2:$65479,MATCH(BQ$3,[1]Sheet1!$2:$2,0),FALSE)</f>
        <v>5.062499999999992E-2</v>
      </c>
      <c r="BR38" s="30"/>
      <c r="BS38" s="393">
        <f>VLOOKUP(RIGHT($A38,LEN($A38)-4),[1]Sheet1!$2:$65479,MATCH(BS$3,[1]Sheet1!$2:$2,0),FALSE)</f>
        <v>0</v>
      </c>
      <c r="BT38" s="393">
        <f>VLOOKUP(RIGHT($A38,LEN($A38)-4),[1]Sheet1!$2:$65479,MATCH(BT$3,[1]Sheet1!$2:$2,0),FALSE)</f>
        <v>0.16635490710602863</v>
      </c>
      <c r="BU38" s="393">
        <f>VLOOKUP(RIGHT($A38,LEN($A38)-4),[1]Sheet1!$2:$65479,MATCH(BU$3,[1]Sheet1!$2:$2,0),FALSE)</f>
        <v>1.0968018041177974E-2</v>
      </c>
      <c r="BV38" s="393">
        <f>VLOOKUP(RIGHT($A38,LEN($A38)-4),[1]Sheet1!$2:$65479,MATCH(BV$3,[1]Sheet1!$2:$2,0),FALSE)</f>
        <v>0.14247804192019276</v>
      </c>
      <c r="BW38" s="393">
        <f>VLOOKUP(RIGHT($A38,LEN($A38)-4),[1]Sheet1!$2:$65479,MATCH(BW$3,[1]Sheet1!$2:$2,0),FALSE)</f>
        <v>4.5785124534705401E-2</v>
      </c>
      <c r="BX38" s="393">
        <f>VLOOKUP(RIGHT($A38,LEN($A38)-4),[1]Sheet1!$2:$65479,MATCH(BX$3,[1]Sheet1!$2:$2,0),FALSE)</f>
        <v>0.16677883414845085</v>
      </c>
      <c r="BY38" s="393">
        <f>VLOOKUP(RIGHT($A38,LEN($A38)-4),[1]Sheet1!$2:$65479,MATCH(BY$3,[1]Sheet1!$2:$2,0),FALSE)</f>
        <v>-4.7209541311136964E-2</v>
      </c>
      <c r="BZ38" s="393">
        <f>VLOOKUP(RIGHT($A38,LEN($A38)-4),[1]Sheet1!$2:$65479,MATCH(BZ$3,[1]Sheet1!$2:$2,0),FALSE)</f>
        <v>-6.9952288195496148E-4</v>
      </c>
      <c r="CA38" s="393">
        <f>VLOOKUP(RIGHT($A38,LEN($A38)-4),[1]Sheet1!$2:$65479,MATCH(CA$3,[1]Sheet1!$2:$2,0),FALSE)</f>
        <v>6.9724633871026453E-2</v>
      </c>
      <c r="CB38" s="393">
        <f>VLOOKUP(RIGHT($A38,LEN($A38)-4),[1]Sheet1!$2:$65479,MATCH(CB$3,[1]Sheet1!$2:$2,0),FALSE)</f>
        <v>-1.5435995544781478E-2</v>
      </c>
      <c r="CC38" s="30">
        <f>(1+D38)*(1+E38)-1</f>
        <v>1.0041617045087881E-2</v>
      </c>
      <c r="CD38" s="30">
        <f>(1+F38)*(1+G38)-1</f>
        <v>0.11442514793389447</v>
      </c>
      <c r="CE38" s="30">
        <f>(1+H38)*(1+I38)-1</f>
        <v>0.20707872543781769</v>
      </c>
      <c r="CF38" s="30">
        <f>(1+J38)*(1+K38)-1</f>
        <v>0.32150808175912138</v>
      </c>
      <c r="CG38" s="30">
        <f>(1+L38)*(1+M38)-1</f>
        <v>0.15958191898179286</v>
      </c>
      <c r="CH38" s="30">
        <f>(1+N38)*(1+O38)-1</f>
        <v>0.3239519970166409</v>
      </c>
      <c r="CI38" s="30">
        <f>(1+P38)*(1+Q38)-1</f>
        <v>-0.26760615027424617</v>
      </c>
      <c r="CJ38" s="30">
        <f>(1+R38)*(1+S38)-1</f>
        <v>8.3445568752499089E-2</v>
      </c>
      <c r="CK38" s="30">
        <f>(1+T38)*(1+U38)-1</f>
        <v>6.0716352375194127E-3</v>
      </c>
      <c r="CL38" s="30">
        <f>(1+V38)*(1+W38)-1</f>
        <v>-8.5593090627465229E-2</v>
      </c>
      <c r="CM38" s="32">
        <f>(1+X38)*(1+Y38)-1</f>
        <v>0.14829160491334092</v>
      </c>
      <c r="CN38" s="32">
        <f>(1+Z38)*(1+AA38)-1</f>
        <v>0.24289511402662867</v>
      </c>
      <c r="CO38" s="32">
        <f>(1+AB38)*(1+AC38)-1</f>
        <v>5.9288886208479941E-2</v>
      </c>
      <c r="CP38" s="32">
        <f>(1+AD38)*(1+AE38)-1</f>
        <v>-6.8194276720572322E-3</v>
      </c>
      <c r="CQ38" s="32">
        <f>(1+AF38)*(1+AG38)-1</f>
        <v>0.13172852397702983</v>
      </c>
      <c r="CR38" s="32">
        <f>(1+AH38)*(1+AI38)-1</f>
        <v>9.2476177957713235E-2</v>
      </c>
      <c r="CS38" s="32">
        <f>(1+AJ38)*(1+AK38)-1</f>
        <v>0.13967450377488411</v>
      </c>
      <c r="CT38" s="32">
        <f>(1+AL38)*(1+AM38)-1</f>
        <v>0.12465813137641035</v>
      </c>
      <c r="CU38" s="32">
        <f>(1+AN38)*(1+AO38)-1</f>
        <v>-0.10209879995591276</v>
      </c>
      <c r="CV38" s="32">
        <f>(1+AP38)*(1+AQ38)-1</f>
        <v>0.30558848038061659</v>
      </c>
      <c r="CW38" s="32">
        <f>(1+AR38)*(1+AS38)-1</f>
        <v>-7.6858353379391953E-2</v>
      </c>
      <c r="CX38" s="32">
        <f>(1+AT38)*(1+AU38)-1</f>
        <v>0.13460200289234914</v>
      </c>
      <c r="CY38" s="32">
        <f>(1+AV38)*(1+AW38)-1</f>
        <v>0.21765068027947954</v>
      </c>
      <c r="CZ38" s="31">
        <f>(1+AX38)*(1+AY38)-1</f>
        <v>0.10563991882286805</v>
      </c>
      <c r="DA38" s="30">
        <f>(1+AZ38)*(1+BA38)-1</f>
        <v>0.10381289062499977</v>
      </c>
      <c r="DB38" s="30">
        <f>(1+BB38)*(1+BC38)-1</f>
        <v>0.10381289062499977</v>
      </c>
      <c r="DC38" s="30">
        <f>(1+BD38)*(1+BE38)-1</f>
        <v>0.10381289062499977</v>
      </c>
      <c r="DD38" s="30">
        <f>(1+BF38)*(1+BG38)-1</f>
        <v>0.10381289062499977</v>
      </c>
      <c r="DE38" s="30">
        <f>(1+BH38)*(1+BI38)-1</f>
        <v>0.10381289062499977</v>
      </c>
      <c r="DF38" s="30">
        <f>(1+BJ38)*(1+BK38)-1</f>
        <v>0.10381289062499977</v>
      </c>
      <c r="DG38" s="30">
        <f>(1+BL38)*(1+BM38)-1</f>
        <v>0.10381289062499977</v>
      </c>
      <c r="DH38" s="30">
        <f>(1+BN38)*(1+BO38)-1</f>
        <v>0.10381289062499977</v>
      </c>
      <c r="DI38" s="30">
        <f>(1+BP38)*(1+BQ38)-1</f>
        <v>0.10381289062499977</v>
      </c>
    </row>
    <row r="39" spans="1:113" ht="12" outlineLevel="1">
      <c r="A39" s="1" t="s">
        <v>851</v>
      </c>
      <c r="B39" s="15" t="s">
        <v>326</v>
      </c>
      <c r="C39" s="373">
        <f>VLOOKUP(RIGHT($A39,LEN($A39)-4),[1]Sheet1!$2:$65479,MATCH(C$3,[1]Sheet1!$2:$2,0),FALSE)</f>
        <v>2.9267457955884479E-2</v>
      </c>
      <c r="D39" s="373">
        <f>VLOOKUP(RIGHT($A39,LEN($A39)-4),[1]Sheet1!$2:$65479,MATCH(D$3,[1]Sheet1!$2:$2,0),FALSE)</f>
        <v>-5.8309886328057337E-3</v>
      </c>
      <c r="E39" s="373">
        <f>VLOOKUP(RIGHT($A39,LEN($A39)-4),[1]Sheet1!$2:$65479,MATCH(E$3,[1]Sheet1!$2:$2,0),FALSE)</f>
        <v>6.3895862006534188E-2</v>
      </c>
      <c r="F39" s="373">
        <f>VLOOKUP(RIGHT($A39,LEN($A39)-4),[1]Sheet1!$2:$65479,MATCH(F$3,[1]Sheet1!$2:$2,0),FALSE)</f>
        <v>3.5109802680753699E-2</v>
      </c>
      <c r="G39" s="373">
        <f>VLOOKUP(RIGHT($A39,LEN($A39)-4),[1]Sheet1!$2:$65479,MATCH(G$3,[1]Sheet1!$2:$2,0),FALSE)</f>
        <v>1.9315399872659844E-2</v>
      </c>
      <c r="H39" s="373">
        <f>VLOOKUP(RIGHT($A39,LEN($A39)-4),[1]Sheet1!$2:$65479,MATCH(H$3,[1]Sheet1!$2:$2,0),FALSE)</f>
        <v>2.1934695958964801E-2</v>
      </c>
      <c r="I39" s="373">
        <f>VLOOKUP(RIGHT($A39,LEN($A39)-4),[1]Sheet1!$2:$65479,MATCH(I$3,[1]Sheet1!$2:$2,0),FALSE)</f>
        <v>2.9747969087458914E-2</v>
      </c>
      <c r="J39" s="373">
        <f>VLOOKUP(RIGHT($A39,LEN($A39)-4),[1]Sheet1!$2:$65479,MATCH(J$3,[1]Sheet1!$2:$2,0),FALSE)</f>
        <v>1.7724999564056709E-2</v>
      </c>
      <c r="K39" s="373">
        <f>VLOOKUP(RIGHT($A39,LEN($A39)-4),[1]Sheet1!$2:$65479,MATCH(K$3,[1]Sheet1!$2:$2,0),FALSE)</f>
        <v>3.9058385577110277E-2</v>
      </c>
      <c r="L39" s="373">
        <f>VLOOKUP(RIGHT($A39,LEN($A39)-4),[1]Sheet1!$2:$65479,MATCH(L$3,[1]Sheet1!$2:$2,0),FALSE)</f>
        <v>2.7271579287217129E-2</v>
      </c>
      <c r="M39" s="136">
        <f>VLOOKUP(RIGHT($A39,LEN($A39)-4),[1]Sheet1!$2:$65479,MATCH(M$3,[1]Sheet1!$2:$2,0),FALSE)</f>
        <v>1.9997670319596983E-2</v>
      </c>
      <c r="N39" s="136">
        <f>VLOOKUP(RIGHT($A39,LEN($A39)-4),[1]Sheet1!$2:$65479,MATCH(N$3,[1]Sheet1!$2:$2,0),FALSE)</f>
        <v>1.668784783342514E-2</v>
      </c>
      <c r="O39" s="136">
        <f>VLOOKUP(RIGHT($A39,LEN($A39)-4),[1]Sheet1!$2:$65479,MATCH(O$3,[1]Sheet1!$2:$2,0),FALSE)</f>
        <v>1.7748880443205994E-2</v>
      </c>
      <c r="P39" s="136">
        <f>VLOOKUP(RIGHT($A39,LEN($A39)-4),[1]Sheet1!$2:$65479,MATCH(P$3,[1]Sheet1!$2:$2,0),FALSE)</f>
        <v>2.4715885241221702E-2</v>
      </c>
      <c r="Q39" s="136">
        <f>VLOOKUP(RIGHT($A39,LEN($A39)-4),[1]Sheet1!$2:$65479,MATCH(Q$3,[1]Sheet1!$2:$2,0),FALSE)</f>
        <v>5.7591163941300039E-2</v>
      </c>
      <c r="R39" s="136">
        <f>VLOOKUP(RIGHT($A39,LEN($A39)-4),[1]Sheet1!$2:$65479,MATCH(R$3,[1]Sheet1!$2:$2,0),FALSE)</f>
        <v>6.6327545298407342E-2</v>
      </c>
      <c r="S39" s="136">
        <f>VLOOKUP(RIGHT($A39,LEN($A39)-4),[1]Sheet1!$2:$65479,MATCH(S$3,[1]Sheet1!$2:$2,0),FALSE)</f>
        <v>4.1416178389501734E-3</v>
      </c>
      <c r="T39" s="137">
        <f>VLOOKUP(RIGHT($A39,LEN($A39)-4),[1]Sheet1!$2:$65479,MATCH(T$3,[1]Sheet1!$2:$2,0),FALSE)</f>
        <v>2.3033313437283987E-2</v>
      </c>
      <c r="U39" s="136">
        <f>VLOOKUP(RIGHT($A39,LEN($A39)-4),[1]Sheet1!$2:$65479,MATCH(U$3,[1]Sheet1!$2:$2,0),FALSE)</f>
        <v>4.9227844300828494E-2</v>
      </c>
      <c r="V39" s="136">
        <f>VLOOKUP(RIGHT($A39,LEN($A39)-4),[1]Sheet1!$2:$65479,MATCH(V$3,[1]Sheet1!$2:$2,0),FALSE)</f>
        <v>1.8435263212859931E-2</v>
      </c>
      <c r="W39" s="136">
        <f>VLOOKUP(RIGHT($A39,LEN($A39)-4),[1]Sheet1!$2:$65479,MATCH(W$3,[1]Sheet1!$2:$2,0),FALSE)</f>
        <v>7.0698170881770439E-2</v>
      </c>
      <c r="X39" s="136">
        <f>VLOOKUP(RIGHT($A39,LEN($A39)-4),[1]Sheet1!$2:$65479,MATCH(X$3,[1]Sheet1!$2:$2,0),FALSE)</f>
        <v>2.7395900327880085E-2</v>
      </c>
      <c r="Y39" s="137">
        <f>VLOOKUP(RIGHT($A39,LEN($A39)-4),[1]Sheet1!$2:$65479,MATCH(Y$3,[1]Sheet1!$2:$2,0),FALSE)</f>
        <v>6.6440108594984615E-2</v>
      </c>
      <c r="Z39" s="137">
        <f>VLOOKUP(RIGHT($A39,LEN($A39)-4),[1]Sheet1!$2:$65479,MATCH(Z$3,[1]Sheet1!$2:$2,0),FALSE)</f>
        <v>3.7169527078586562E-3</v>
      </c>
      <c r="AA39" s="137">
        <f>VLOOKUP(RIGHT($A39,LEN($A39)-4),[1]Sheet1!$2:$65479,MATCH(AA$3,[1]Sheet1!$2:$2,0),FALSE)</f>
        <v>1.4444147325310297E-2</v>
      </c>
      <c r="AB39" s="354">
        <f>VLOOKUP(RIGHT($A39,LEN($A39)-4),[1]Sheet1!$2:$65479,MATCH(AB$3,[1]Sheet1!$2:$2,0),FALSE)</f>
        <v>1.8266169351680794E-2</v>
      </c>
      <c r="AC39" s="354">
        <f>VLOOKUP(RIGHT($A39,LEN($A39)-4),[1]Sheet1!$2:$65479,MATCH(AC$3,[1]Sheet1!$2:$2,0),FALSE)</f>
        <v>4.1161769087187494E-2</v>
      </c>
      <c r="AD39" s="354">
        <f>VLOOKUP(RIGHT($A39,LEN($A39)-4),[1]Sheet1!$2:$65479,MATCH(AD$3,[1]Sheet1!$2:$2,0),FALSE)</f>
        <v>6.7336983400292816E-2</v>
      </c>
      <c r="AE39" s="354">
        <f>VLOOKUP(RIGHT($A39,LEN($A39)-4),[1]Sheet1!$2:$65479,MATCH(AE$3,[1]Sheet1!$2:$2,0),FALSE)</f>
        <v>1.6855508254831619E-3</v>
      </c>
      <c r="AF39" s="354">
        <f>VLOOKUP(RIGHT($A39,LEN($A39)-4),[1]Sheet1!$2:$65479,MATCH(AF$3,[1]Sheet1!$2:$2,0),FALSE)</f>
        <v>1.7976122718043497E-2</v>
      </c>
      <c r="AG39" s="354">
        <f>VLOOKUP(RIGHT($A39,LEN($A39)-4),[1]Sheet1!$2:$65479,MATCH(AG$3,[1]Sheet1!$2:$2,0),FALSE)</f>
        <v>3.8246307203407159E-2</v>
      </c>
      <c r="AH39" s="354">
        <f>VLOOKUP(RIGHT($A39,LEN($A39)-4),[1]Sheet1!$2:$65479,MATCH(AH$3,[1]Sheet1!$2:$2,0),FALSE)</f>
        <v>-1.6705733625580366E-2</v>
      </c>
      <c r="AI39" s="354">
        <f>VLOOKUP(RIGHT($A39,LEN($A39)-4),[1]Sheet1!$2:$65479,MATCH(AI$3,[1]Sheet1!$2:$2,0),FALSE)</f>
        <v>9.3962449440720963E-3</v>
      </c>
      <c r="AJ39" s="354">
        <f>VLOOKUP(RIGHT($A39,LEN($A39)-4),[1]Sheet1!$2:$65479,MATCH(AJ$3,[1]Sheet1!$2:$2,0),FALSE)</f>
        <v>2.3230277508933472E-2</v>
      </c>
      <c r="AK39" s="354">
        <f>VLOOKUP(RIGHT($A39,LEN($A39)-4),[1]Sheet1!$2:$65479,MATCH(AK$3,[1]Sheet1!$2:$2,0),FALSE)</f>
        <v>1.3630459156920294E-2</v>
      </c>
      <c r="AL39" s="354">
        <f>VLOOKUP(RIGHT($A39,LEN($A39)-4),[1]Sheet1!$2:$65479,MATCH(AL$3,[1]Sheet1!$2:$2,0),FALSE)</f>
        <v>5.7536091721030358E-2</v>
      </c>
      <c r="AM39" s="354">
        <f>VLOOKUP(RIGHT($A39,LEN($A39)-4),[1]Sheet1!$2:$65479,MATCH(AM$3,[1]Sheet1!$2:$2,0),FALSE)</f>
        <v>5.0874619551761091E-2</v>
      </c>
      <c r="AN39" s="354">
        <f>VLOOKUP(RIGHT($A39,LEN($A39)-4),[1]Sheet1!$2:$65479,MATCH(AN$3,[1]Sheet1!$2:$2,0),FALSE)</f>
        <v>1.6269636112474783E-2</v>
      </c>
      <c r="AO39" s="354">
        <f>VLOOKUP(RIGHT($A39,LEN($A39)-4),[1]Sheet1!$2:$65479,MATCH(AO$3,[1]Sheet1!$2:$2,0),FALSE)</f>
        <v>1.554767416401881E-2</v>
      </c>
      <c r="AP39" s="354">
        <f>VLOOKUP(RIGHT($A39,LEN($A39)-4),[1]Sheet1!$2:$65479,MATCH(AP$3,[1]Sheet1!$2:$2,0),FALSE)</f>
        <v>-3.3164096587447012E-2</v>
      </c>
      <c r="AQ39" s="354">
        <f>VLOOKUP(RIGHT($A39,LEN($A39)-4),[1]Sheet1!$2:$65479,MATCH(AQ$3,[1]Sheet1!$2:$2,0),FALSE)</f>
        <v>1.8377269719900502E-2</v>
      </c>
      <c r="AR39" s="354">
        <f>VLOOKUP(RIGHT($A39,LEN($A39)-4),[1]Sheet1!$2:$65479,MATCH(AR$3,[1]Sheet1!$2:$2,0),FALSE)</f>
        <v>-7.2537510368509639E-2</v>
      </c>
      <c r="AS39" s="354">
        <f>VLOOKUP(RIGHT($A39,LEN($A39)-4),[1]Sheet1!$2:$65479,MATCH(AS$3,[1]Sheet1!$2:$2,0),FALSE)</f>
        <v>-4.4255391896633862E-2</v>
      </c>
      <c r="AT39" s="354">
        <f>VLOOKUP(RIGHT($A39,LEN($A39)-4),[1]Sheet1!$2:$65479,MATCH(AT$3,[1]Sheet1!$2:$2,0),FALSE)</f>
        <v>4.9939320050786273E-2</v>
      </c>
      <c r="AU39" s="354">
        <f>VLOOKUP(RIGHT($A39,LEN($A39)-4),[1]Sheet1!$2:$65479,MATCH(AU$3,[1]Sheet1!$2:$2,0),FALSE)</f>
        <v>-3.2228278861450521E-2</v>
      </c>
      <c r="AV39" s="354">
        <f>VLOOKUP(RIGHT($A39,LEN($A39)-4),[1]Sheet1!$2:$65479,MATCH(AV$3,[1]Sheet1!$2:$2,0),FALSE)</f>
        <v>4.8504344954975354E-2</v>
      </c>
      <c r="AW39" s="354">
        <f>VLOOKUP(RIGHT($A39,LEN($A39)-4),[1]Sheet1!$2:$65479,MATCH(AW$3,[1]Sheet1!$2:$2,0),FALSE)</f>
        <v>2.1566882580506874E-2</v>
      </c>
      <c r="AX39" s="354">
        <f>VLOOKUP(RIGHT($A39,LEN($A39)-4),[1]Sheet1!$2:$65479,MATCH(AX$3,[1]Sheet1!$2:$2,0),FALSE)</f>
        <v>1.0252248564832644E-2</v>
      </c>
      <c r="AY39" s="341">
        <f>VLOOKUP(RIGHT($A39,LEN($A39)-4),[1]Sheet1!$2:$65479,MATCH(AY$3,[1]Sheet1!$2:$2,0),FALSE)</f>
        <v>3.0366294799272664E-2</v>
      </c>
      <c r="AZ39" s="29">
        <f>VLOOKUP(RIGHT($A39,LEN($A39)-4),[1]Sheet1!$2:$65479,MATCH(AZ$3,[1]Sheet1!$2:$2,0),FALSE)</f>
        <v>2.8829823242187524E-2</v>
      </c>
      <c r="BA39" s="29">
        <f>VLOOKUP(RIGHT($A39,LEN($A39)-4),[1]Sheet1!$2:$65479,MATCH(BA$3,[1]Sheet1!$2:$2,0),FALSE)</f>
        <v>2.819600000000011E-2</v>
      </c>
      <c r="BB39" s="29">
        <f>VLOOKUP(RIGHT($A39,LEN($A39)-4),[1]Sheet1!$2:$65479,MATCH(BB$3,[1]Sheet1!$2:$2,0),FALSE)</f>
        <v>2.819600000000011E-2</v>
      </c>
      <c r="BC39" s="29">
        <f>VLOOKUP(RIGHT($A39,LEN($A39)-4),[1]Sheet1!$2:$65479,MATCH(BC$3,[1]Sheet1!$2:$2,0),FALSE)</f>
        <v>2.819600000000011E-2</v>
      </c>
      <c r="BD39" s="29">
        <f>VLOOKUP(RIGHT($A39,LEN($A39)-4),[1]Sheet1!$2:$65479,MATCH(BD$3,[1]Sheet1!$2:$2,0),FALSE)</f>
        <v>2.819600000000011E-2</v>
      </c>
      <c r="BE39" s="29">
        <f>VLOOKUP(RIGHT($A39,LEN($A39)-4),[1]Sheet1!$2:$65479,MATCH(BE$3,[1]Sheet1!$2:$2,0),FALSE)</f>
        <v>2.819600000000011E-2</v>
      </c>
      <c r="BF39" s="29">
        <f>VLOOKUP(RIGHT($A39,LEN($A39)-4),[1]Sheet1!$2:$65479,MATCH(BF$3,[1]Sheet1!$2:$2,0),FALSE)</f>
        <v>2.819600000000011E-2</v>
      </c>
      <c r="BG39" s="29">
        <f>VLOOKUP(RIGHT($A39,LEN($A39)-4),[1]Sheet1!$2:$65479,MATCH(BG$3,[1]Sheet1!$2:$2,0),FALSE)</f>
        <v>2.819600000000011E-2</v>
      </c>
      <c r="BH39" s="29">
        <f>VLOOKUP(RIGHT($A39,LEN($A39)-4),[1]Sheet1!$2:$65479,MATCH(BH$3,[1]Sheet1!$2:$2,0),FALSE)</f>
        <v>2.819600000000011E-2</v>
      </c>
      <c r="BI39" s="29">
        <f>VLOOKUP(RIGHT($A39,LEN($A39)-4),[1]Sheet1!$2:$65479,MATCH(BI$3,[1]Sheet1!$2:$2,0),FALSE)</f>
        <v>2.819600000000011E-2</v>
      </c>
      <c r="BJ39" s="29">
        <f>VLOOKUP(RIGHT($A39,LEN($A39)-4),[1]Sheet1!$2:$65479,MATCH(BJ$3,[1]Sheet1!$2:$2,0),FALSE)</f>
        <v>2.819600000000011E-2</v>
      </c>
      <c r="BK39" s="29">
        <f>VLOOKUP(RIGHT($A39,LEN($A39)-4),[1]Sheet1!$2:$65479,MATCH(BK$3,[1]Sheet1!$2:$2,0),FALSE)</f>
        <v>2.819600000000011E-2</v>
      </c>
      <c r="BL39" s="29">
        <f>VLOOKUP(RIGHT($A39,LEN($A39)-4),[1]Sheet1!$2:$65479,MATCH(BL$3,[1]Sheet1!$2:$2,0),FALSE)</f>
        <v>2.819600000000011E-2</v>
      </c>
      <c r="BM39" s="29">
        <f>VLOOKUP(RIGHT($A39,LEN($A39)-4),[1]Sheet1!$2:$65479,MATCH(BM$3,[1]Sheet1!$2:$2,0),FALSE)</f>
        <v>2.819600000000011E-2</v>
      </c>
      <c r="BN39" s="29">
        <f>VLOOKUP(RIGHT($A39,LEN($A39)-4),[1]Sheet1!$2:$65479,MATCH(BN$3,[1]Sheet1!$2:$2,0),FALSE)</f>
        <v>2.819600000000011E-2</v>
      </c>
      <c r="BO39" s="29">
        <f>VLOOKUP(RIGHT($A39,LEN($A39)-4),[1]Sheet1!$2:$65479,MATCH(BO$3,[1]Sheet1!$2:$2,0),FALSE)</f>
        <v>2.819600000000011E-2</v>
      </c>
      <c r="BP39" s="29">
        <f>VLOOKUP(RIGHT($A39,LEN($A39)-4),[1]Sheet1!$2:$65479,MATCH(BP$3,[1]Sheet1!$2:$2,0),FALSE)</f>
        <v>2.819600000000011E-2</v>
      </c>
      <c r="BQ39" s="29">
        <f>VLOOKUP(RIGHT($A39,LEN($A39)-4),[1]Sheet1!$2:$65479,MATCH(BQ$3,[1]Sheet1!$2:$2,0),FALSE)</f>
        <v>2.819600000000011E-2</v>
      </c>
      <c r="BR39" s="30"/>
      <c r="BS39" s="393">
        <f>VLOOKUP(RIGHT($A39,LEN($A39)-4),[1]Sheet1!$2:$65479,MATCH(BS$3,[1]Sheet1!$2:$2,0),FALSE)</f>
        <v>8.2906313142509833E-2</v>
      </c>
      <c r="BT39" s="393">
        <f>VLOOKUP(RIGHT($A39,LEN($A39)-4),[1]Sheet1!$2:$65479,MATCH(BT$3,[1]Sheet1!$2:$2,0),FALSE)</f>
        <v>6.8777930975284063E-2</v>
      </c>
      <c r="BU39" s="393">
        <f>VLOOKUP(RIGHT($A39,LEN($A39)-4),[1]Sheet1!$2:$65479,MATCH(BU$3,[1]Sheet1!$2:$2,0),FALSE)</f>
        <v>-3.4412422687195687E-2</v>
      </c>
      <c r="BV39" s="393">
        <f>VLOOKUP(RIGHT($A39,LEN($A39)-4),[1]Sheet1!$2:$65479,MATCH(BV$3,[1]Sheet1!$2:$2,0),FALSE)</f>
        <v>9.8969612467491461E-2</v>
      </c>
      <c r="BW39" s="393">
        <f>VLOOKUP(RIGHT($A39,LEN($A39)-4),[1]Sheet1!$2:$65479,MATCH(BW$3,[1]Sheet1!$2:$2,0),FALSE)</f>
        <v>9.3746304118395477E-2</v>
      </c>
      <c r="BX39" s="393">
        <f>VLOOKUP(RIGHT($A39,LEN($A39)-4),[1]Sheet1!$2:$65479,MATCH(BX$3,[1]Sheet1!$2:$2,0),FALSE)</f>
        <v>0.11304649197615246</v>
      </c>
      <c r="BY39" s="393">
        <f>VLOOKUP(RIGHT($A39,LEN($A39)-4),[1]Sheet1!$2:$65479,MATCH(BY$3,[1]Sheet1!$2:$2,0),FALSE)</f>
        <v>5.1803861531185769E-2</v>
      </c>
      <c r="BZ39" s="393">
        <f>VLOOKUP(RIGHT($A39,LEN($A39)-4),[1]Sheet1!$2:$65479,MATCH(BZ$3,[1]Sheet1!$2:$2,0),FALSE)</f>
        <v>-3.471393780384302E-4</v>
      </c>
      <c r="CA39" s="393">
        <f>VLOOKUP(RIGHT($A39,LEN($A39)-4),[1]Sheet1!$2:$65479,MATCH(CA$3,[1]Sheet1!$2:$2,0),FALSE)</f>
        <v>3.9885006252963207E-2</v>
      </c>
      <c r="CB39" s="393">
        <f>VLOOKUP(RIGHT($A39,LEN($A39)-4),[1]Sheet1!$2:$65479,MATCH(CB$3,[1]Sheet1!$2:$2,0),FALSE)</f>
        <v>2.9267457955884479E-2</v>
      </c>
      <c r="CC39" s="30">
        <f>(1+D39)*(1+E39)-1</f>
        <v>5.7692297328685083E-2</v>
      </c>
      <c r="CD39" s="30">
        <f>(1+F39)*(1+G39)-1</f>
        <v>5.5103362431642378E-2</v>
      </c>
      <c r="CE39" s="30">
        <f>(1+H39)*(1+I39)-1</f>
        <v>5.2335177703753732E-2</v>
      </c>
      <c r="CF39" s="30">
        <f>(1+J39)*(1+K39)-1</f>
        <v>5.7475695008494032E-2</v>
      </c>
      <c r="CG39" s="30">
        <f>(1+L39)*(1+M39)-1</f>
        <v>4.7814617658494596E-2</v>
      </c>
      <c r="CH39" s="30">
        <f>(1+N39)*(1+O39)-1</f>
        <v>3.4732918892681042E-2</v>
      </c>
      <c r="CI39" s="30">
        <f>(1+P39)*(1+Q39)-1</f>
        <v>8.3730465781403307E-2</v>
      </c>
      <c r="CJ39" s="30">
        <f>(1+R39)*(1+S39)-1</f>
        <v>7.0743866482179119E-2</v>
      </c>
      <c r="CK39" s="30">
        <f>(1+T39)*(1+U39)-1</f>
        <v>7.3395038105735333E-2</v>
      </c>
      <c r="CL39" s="30">
        <f>(1+V39)*(1+W39)-1</f>
        <v>9.0436773483503652E-2</v>
      </c>
      <c r="CM39" s="32">
        <f>(1+X39)*(1+Y39)-1</f>
        <v>9.5656195515706477E-2</v>
      </c>
      <c r="CN39" s="32">
        <f>(1+Z39)*(1+AA39)-1</f>
        <v>1.8214788245682456E-2</v>
      </c>
      <c r="CO39" s="32">
        <f>(1+AB39)*(1+AC39)-1</f>
        <v>6.0179806283829684E-2</v>
      </c>
      <c r="CP39" s="32">
        <f>(1+AD39)*(1+AE39)-1</f>
        <v>6.9136034133731927E-2</v>
      </c>
      <c r="CQ39" s="32">
        <f>(1+AF39)*(1+AG39)-1</f>
        <v>5.6909950233251072E-2</v>
      </c>
      <c r="CR39" s="32">
        <f>(1+AH39)*(1+AI39)-1</f>
        <v>-7.4664598466246401E-3</v>
      </c>
      <c r="CS39" s="32">
        <f>(1+AJ39)*(1+AK39)-1</f>
        <v>3.7177376014643215E-2</v>
      </c>
      <c r="CT39" s="32">
        <f>(1+AL39)*(1+AM39)-1</f>
        <v>0.11133783804959418</v>
      </c>
      <c r="CU39" s="32">
        <f>(1+AN39)*(1+AO39)-1</f>
        <v>3.2070265277537535E-2</v>
      </c>
      <c r="CV39" s="32">
        <f>(1+AP39)*(1+AQ39)-1</f>
        <v>-1.539629241555085E-2</v>
      </c>
      <c r="CW39" s="32">
        <f>(1+AR39)*(1+AS39)-1</f>
        <v>-0.11358272631657895</v>
      </c>
      <c r="CX39" s="32">
        <f>(1+AT39)*(1+AU39)-1</f>
        <v>1.6101582856587804E-2</v>
      </c>
      <c r="CY39" s="32">
        <f>(1+AV39)*(1+AW39)-1</f>
        <v>7.1117315047770635E-2</v>
      </c>
      <c r="CZ39" s="31">
        <f>(1+AX39)*(1+AY39)-1</f>
        <v>4.0929866166380391E-2</v>
      </c>
      <c r="DA39" s="30">
        <f>(1+AZ39)*(1+BA39)-1</f>
        <v>5.7838708938324324E-2</v>
      </c>
      <c r="DB39" s="30">
        <f>(1+BB39)*(1+BC39)-1</f>
        <v>5.718701441600027E-2</v>
      </c>
      <c r="DC39" s="30">
        <f>(1+BD39)*(1+BE39)-1</f>
        <v>5.718701441600027E-2</v>
      </c>
      <c r="DD39" s="30">
        <f>(1+BF39)*(1+BG39)-1</f>
        <v>5.718701441600027E-2</v>
      </c>
      <c r="DE39" s="30">
        <f>(1+BH39)*(1+BI39)-1</f>
        <v>5.718701441600027E-2</v>
      </c>
      <c r="DF39" s="30">
        <f>(1+BJ39)*(1+BK39)-1</f>
        <v>5.718701441600027E-2</v>
      </c>
      <c r="DG39" s="30">
        <f>(1+BL39)*(1+BM39)-1</f>
        <v>5.718701441600027E-2</v>
      </c>
      <c r="DH39" s="30">
        <f>(1+BN39)*(1+BO39)-1</f>
        <v>5.718701441600027E-2</v>
      </c>
      <c r="DI39" s="30">
        <f>(1+BP39)*(1+BQ39)-1</f>
        <v>5.718701441600027E-2</v>
      </c>
    </row>
    <row r="40" spans="1:113" ht="12" outlineLevel="1">
      <c r="A40" s="1" t="s">
        <v>852</v>
      </c>
      <c r="B40" s="15" t="s">
        <v>327</v>
      </c>
      <c r="C40" s="373">
        <f>VLOOKUP(RIGHT($A40,LEN($A40)-4),[1]Sheet1!$2:$65479,MATCH(C$3,[1]Sheet1!$2:$2,0),FALSE)</f>
        <v>4.9583333333333333E-2</v>
      </c>
      <c r="D40" s="373">
        <f>VLOOKUP(RIGHT($A40,LEN($A40)-4),[1]Sheet1!$2:$65479,MATCH(D$3,[1]Sheet1!$2:$2,0),FALSE)</f>
        <v>4.3333333333333328E-2</v>
      </c>
      <c r="E40" s="373">
        <f>VLOOKUP(RIGHT($A40,LEN($A40)-4),[1]Sheet1!$2:$65479,MATCH(E$3,[1]Sheet1!$2:$2,0),FALSE)</f>
        <v>4.6249999999999999E-2</v>
      </c>
      <c r="F40" s="373">
        <f>VLOOKUP(RIGHT($A40,LEN($A40)-4),[1]Sheet1!$2:$65479,MATCH(F$3,[1]Sheet1!$2:$2,0),FALSE)</f>
        <v>4.7500000000000001E-2</v>
      </c>
      <c r="G40" s="373">
        <f>VLOOKUP(RIGHT($A40,LEN($A40)-4),[1]Sheet1!$2:$65479,MATCH(G$3,[1]Sheet1!$2:$2,0),FALSE)</f>
        <v>4.7500000000000001E-2</v>
      </c>
      <c r="H40" s="373">
        <f>VLOOKUP(RIGHT($A40,LEN($A40)-4),[1]Sheet1!$2:$65479,MATCH(H$3,[1]Sheet1!$2:$2,0),FALSE)</f>
        <v>5.1249999999999997E-2</v>
      </c>
      <c r="I40" s="373">
        <f>VLOOKUP(RIGHT($A40,LEN($A40)-4),[1]Sheet1!$2:$65479,MATCH(I$3,[1]Sheet1!$2:$2,0),FALSE)</f>
        <v>5.2499999999999998E-2</v>
      </c>
      <c r="J40" s="373">
        <f>VLOOKUP(RIGHT($A40,LEN($A40)-4),[1]Sheet1!$2:$65479,MATCH(J$3,[1]Sheet1!$2:$2,0),FALSE)</f>
        <v>5.2916666666666667E-2</v>
      </c>
      <c r="K40" s="373">
        <f>VLOOKUP(RIGHT($A40,LEN($A40)-4),[1]Sheet1!$2:$65479,MATCH(K$3,[1]Sheet1!$2:$2,0),FALSE)</f>
        <v>5.5E-2</v>
      </c>
      <c r="L40" s="373">
        <f>VLOOKUP(RIGHT($A40,LEN($A40)-4),[1]Sheet1!$2:$65479,MATCH(L$3,[1]Sheet1!$2:$2,0),FALSE)</f>
        <v>5.5E-2</v>
      </c>
      <c r="M40" s="136">
        <f>VLOOKUP(RIGHT($A40,LEN($A40)-4),[1]Sheet1!$2:$65479,MATCH(M$3,[1]Sheet1!$2:$2,0),FALSE)</f>
        <v>5.7916666666666672E-2</v>
      </c>
      <c r="N40" s="136">
        <f>VLOOKUP(RIGHT($A40,LEN($A40)-4),[1]Sheet1!$2:$65479,MATCH(N$3,[1]Sheet1!$2:$2,0),FALSE)</f>
        <v>6.2083333333333331E-2</v>
      </c>
      <c r="O40" s="136">
        <f>VLOOKUP(RIGHT($A40,LEN($A40)-4),[1]Sheet1!$2:$65479,MATCH(O$3,[1]Sheet1!$2:$2,0),FALSE)</f>
        <v>6.3333333333333325E-2</v>
      </c>
      <c r="P40" s="136">
        <f>VLOOKUP(RIGHT($A40,LEN($A40)-4),[1]Sheet1!$2:$65479,MATCH(P$3,[1]Sheet1!$2:$2,0),FALSE)</f>
        <v>6.8333333333333329E-2</v>
      </c>
      <c r="Q40" s="136">
        <f>VLOOKUP(RIGHT($A40,LEN($A40)-4),[1]Sheet1!$2:$65479,MATCH(Q$3,[1]Sheet1!$2:$2,0),FALSE)</f>
        <v>7.2083333333333333E-2</v>
      </c>
      <c r="R40" s="136">
        <f>VLOOKUP(RIGHT($A40,LEN($A40)-4),[1]Sheet1!$2:$65479,MATCH(R$3,[1]Sheet1!$2:$2,0),FALSE)</f>
        <v>4.3749999999999997E-2</v>
      </c>
      <c r="S40" s="136">
        <f>VLOOKUP(RIGHT($A40,LEN($A40)-4),[1]Sheet1!$2:$65479,MATCH(S$3,[1]Sheet1!$2:$2,0),FALSE)</f>
        <v>0.03</v>
      </c>
      <c r="T40" s="137">
        <f>VLOOKUP(RIGHT($A40,LEN($A40)-4),[1]Sheet1!$2:$65479,MATCH(T$3,[1]Sheet1!$2:$2,0),FALSE)</f>
        <v>3.6666666666666667E-2</v>
      </c>
      <c r="U40" s="136">
        <f>VLOOKUP(RIGHT($A40,LEN($A40)-4),[1]Sheet1!$2:$65479,MATCH(U$3,[1]Sheet1!$2:$2,0),FALSE)</f>
        <v>4.4583333333333329E-2</v>
      </c>
      <c r="V40" s="136">
        <f>VLOOKUP(RIGHT($A40,LEN($A40)-4),[1]Sheet1!$2:$65479,MATCH(V$3,[1]Sheet1!$2:$2,0),FALSE)</f>
        <v>4.7083333333333331E-2</v>
      </c>
      <c r="W40" s="136">
        <f>VLOOKUP(RIGHT($A40,LEN($A40)-4),[1]Sheet1!$2:$65479,MATCH(W$3,[1]Sheet1!$2:$2,0),FALSE)</f>
        <v>4.7500000000000001E-2</v>
      </c>
      <c r="X40" s="136">
        <f>VLOOKUP(RIGHT($A40,LEN($A40)-4),[1]Sheet1!$2:$65479,MATCH(X$3,[1]Sheet1!$2:$2,0),FALSE)</f>
        <v>4.3749999999999997E-2</v>
      </c>
      <c r="Y40" s="137">
        <f>VLOOKUP(RIGHT($A40,LEN($A40)-4),[1]Sheet1!$2:$65479,MATCH(Y$3,[1]Sheet1!$2:$2,0),FALSE)</f>
        <v>3.6666666666666667E-2</v>
      </c>
      <c r="Z40" s="137">
        <f>VLOOKUP(RIGHT($A40,LEN($A40)-4),[1]Sheet1!$2:$65479,MATCH(Z$3,[1]Sheet1!$2:$2,0),FALSE)</f>
        <v>3.0833333333333334E-2</v>
      </c>
      <c r="AA40" s="137">
        <f>VLOOKUP(RIGHT($A40,LEN($A40)-4),[1]Sheet1!$2:$65479,MATCH(AA$3,[1]Sheet1!$2:$2,0),FALSE)</f>
        <v>2.7083333333333334E-2</v>
      </c>
      <c r="AB40" s="354">
        <f>VLOOKUP(RIGHT($A40,LEN($A40)-4),[1]Sheet1!$2:$65479,MATCH(AB$3,[1]Sheet1!$2:$2,0),FALSE)</f>
        <v>2.5000000000000001E-2</v>
      </c>
      <c r="AC40" s="354">
        <f>VLOOKUP(RIGHT($A40,LEN($A40)-4),[1]Sheet1!$2:$65479,MATCH(AC$3,[1]Sheet1!$2:$2,0),FALSE)</f>
        <v>2.5000000000000001E-2</v>
      </c>
      <c r="AD40" s="354">
        <f>VLOOKUP(RIGHT($A40,LEN($A40)-4),[1]Sheet1!$2:$65479,MATCH(AD$3,[1]Sheet1!$2:$2,0),FALSE)</f>
        <v>2.4166666666666666E-2</v>
      </c>
      <c r="AE40" s="354">
        <f>VLOOKUP(RIGHT($A40,LEN($A40)-4),[1]Sheet1!$2:$65479,MATCH(AE$3,[1]Sheet1!$2:$2,0),FALSE)</f>
        <v>2.0416666666666666E-2</v>
      </c>
      <c r="AF40" s="354">
        <f>VLOOKUP(RIGHT($A40,LEN($A40)-4),[1]Sheet1!$2:$65479,MATCH(AF$3,[1]Sheet1!$2:$2,0),FALSE)</f>
        <v>0.02</v>
      </c>
      <c r="AG40" s="354">
        <f>VLOOKUP(RIGHT($A40,LEN($A40)-4),[1]Sheet1!$2:$65479,MATCH(AG$3,[1]Sheet1!$2:$2,0),FALSE)</f>
        <v>1.7083333333333332E-2</v>
      </c>
      <c r="AH40" s="354">
        <f>VLOOKUP(RIGHT($A40,LEN($A40)-4),[1]Sheet1!$2:$65479,MATCH(AH$3,[1]Sheet1!$2:$2,0),FALSE)</f>
        <v>1.4999999999999999E-2</v>
      </c>
      <c r="AI40" s="354">
        <f>VLOOKUP(RIGHT($A40,LEN($A40)-4),[1]Sheet1!$2:$65479,MATCH(AI$3,[1]Sheet1!$2:$2,0),FALSE)</f>
        <v>1.4999999999999999E-2</v>
      </c>
      <c r="AJ40" s="354">
        <f>VLOOKUP(RIGHT($A40,LEN($A40)-4),[1]Sheet1!$2:$65479,MATCH(AJ$3,[1]Sheet1!$2:$2,0),FALSE)</f>
        <v>1.4999999999999999E-2</v>
      </c>
      <c r="AK40" s="354">
        <f>VLOOKUP(RIGHT($A40,LEN($A40)-4),[1]Sheet1!$2:$65479,MATCH(AK$3,[1]Sheet1!$2:$2,0),FALSE)</f>
        <v>1.4999999999999999E-2</v>
      </c>
      <c r="AL40" s="354">
        <f>VLOOKUP(RIGHT($A40,LEN($A40)-4),[1]Sheet1!$2:$65479,MATCH(AL$3,[1]Sheet1!$2:$2,0),FALSE)</f>
        <v>1.4999999999999999E-2</v>
      </c>
      <c r="AM40" s="354">
        <f>VLOOKUP(RIGHT($A40,LEN($A40)-4),[1]Sheet1!$2:$65479,MATCH(AM$3,[1]Sheet1!$2:$2,0),FALSE)</f>
        <v>1.2083333333333333E-2</v>
      </c>
      <c r="AN40" s="354">
        <f>VLOOKUP(RIGHT($A40,LEN($A40)-4),[1]Sheet1!$2:$65479,MATCH(AN$3,[1]Sheet1!$2:$2,0),FALSE)</f>
        <v>6.6666666666666662E-3</v>
      </c>
      <c r="AO40" s="354">
        <f>VLOOKUP(RIGHT($A40,LEN($A40)-4),[1]Sheet1!$2:$65479,MATCH(AO$3,[1]Sheet1!$2:$2,0),FALSE)</f>
        <v>2.5000000000000001E-3</v>
      </c>
      <c r="AP40" s="354">
        <f>VLOOKUP(RIGHT($A40,LEN($A40)-4),[1]Sheet1!$2:$65479,MATCH(AP$3,[1]Sheet1!$2:$2,0),FALSE)</f>
        <v>1.2499999999999998E-3</v>
      </c>
      <c r="AQ40" s="354">
        <f>VLOOKUP(RIGHT($A40,LEN($A40)-4),[1]Sheet1!$2:$65479,MATCH(AQ$3,[1]Sheet1!$2:$2,0),FALSE)</f>
        <v>1E-3</v>
      </c>
      <c r="AR40" s="354">
        <f>VLOOKUP(RIGHT($A40,LEN($A40)-4),[1]Sheet1!$2:$65479,MATCH(AR$3,[1]Sheet1!$2:$2,0),FALSE)</f>
        <v>1E-3</v>
      </c>
      <c r="AS40" s="354">
        <f>VLOOKUP(RIGHT($A40,LEN($A40)-4),[1]Sheet1!$2:$65479,MATCH(AS$3,[1]Sheet1!$2:$2,0),FALSE)</f>
        <v>1.1416666666666665E-2</v>
      </c>
      <c r="AT40" s="354">
        <f>VLOOKUP(RIGHT($A40,LEN($A40)-4),[1]Sheet1!$2:$65479,MATCH(AT$3,[1]Sheet1!$2:$2,0),FALSE)</f>
        <v>3.1E-2</v>
      </c>
      <c r="AU40" s="354">
        <f>VLOOKUP(RIGHT($A40,LEN($A40)-4),[1]Sheet1!$2:$65479,MATCH(AU$3,[1]Sheet1!$2:$2,0),FALSE)</f>
        <v>3.9750000000000001E-2</v>
      </c>
      <c r="AV40" s="354">
        <f>VLOOKUP(RIGHT($A40,LEN($A40)-4),[1]Sheet1!$2:$65479,MATCH(AV$3,[1]Sheet1!$2:$2,0),FALSE)</f>
        <v>4.3083333333333335E-2</v>
      </c>
      <c r="AW40" s="354">
        <f>VLOOKUP(RIGHT($A40,LEN($A40)-4),[1]Sheet1!$2:$65479,MATCH(AW$3,[1]Sheet1!$2:$2,0),FALSE)</f>
        <v>4.3500000000000004E-2</v>
      </c>
      <c r="AX40" s="354">
        <f>VLOOKUP(RIGHT($A40,LEN($A40)-4),[1]Sheet1!$2:$65479,MATCH(AX$3,[1]Sheet1!$2:$2,0),FALSE)</f>
        <v>4.2666666666666665E-2</v>
      </c>
      <c r="AY40" s="341">
        <f>VLOOKUP(RIGHT($A40,LEN($A40)-4),[1]Sheet1!$2:$65479,MATCH(AY$3,[1]Sheet1!$2:$2,0),FALSE)</f>
        <v>3.8083333333333337E-2</v>
      </c>
      <c r="AZ40" s="29">
        <f>VLOOKUP(RIGHT($A40,LEN($A40)-4),[1]Sheet1!$2:$65479,MATCH(AZ$3,[1]Sheet1!$2:$2,0),FALSE)</f>
        <v>3.6833333333333336E-2</v>
      </c>
      <c r="BA40" s="29">
        <f>VLOOKUP(RIGHT($A40,LEN($A40)-4),[1]Sheet1!$2:$65479,MATCH(BA$3,[1]Sheet1!$2:$2,0),FALSE)</f>
        <v>4.0166666666666663E-2</v>
      </c>
      <c r="BB40" s="29">
        <f>VLOOKUP(RIGHT($A40,LEN($A40)-4),[1]Sheet1!$2:$65479,MATCH(BB$3,[1]Sheet1!$2:$2,0),FALSE)</f>
        <v>4.0166666666666663E-2</v>
      </c>
      <c r="BC40" s="29">
        <f>VLOOKUP(RIGHT($A40,LEN($A40)-4),[1]Sheet1!$2:$65479,MATCH(BC$3,[1]Sheet1!$2:$2,0),FALSE)</f>
        <v>3.6000000000000004E-2</v>
      </c>
      <c r="BD40" s="29">
        <f>VLOOKUP(RIGHT($A40,LEN($A40)-4),[1]Sheet1!$2:$65479,MATCH(BD$3,[1]Sheet1!$2:$2,0),FALSE)</f>
        <v>3.6000000000000004E-2</v>
      </c>
      <c r="BE40" s="29">
        <f>VLOOKUP(RIGHT($A40,LEN($A40)-4),[1]Sheet1!$2:$65479,MATCH(BE$3,[1]Sheet1!$2:$2,0),FALSE)</f>
        <v>3.6000000000000004E-2</v>
      </c>
      <c r="BF40" s="29">
        <f>VLOOKUP(RIGHT($A40,LEN($A40)-4),[1]Sheet1!$2:$65479,MATCH(BF$3,[1]Sheet1!$2:$2,0),FALSE)</f>
        <v>3.6000000000000004E-2</v>
      </c>
      <c r="BG40" s="29">
        <f>VLOOKUP(RIGHT($A40,LEN($A40)-4),[1]Sheet1!$2:$65479,MATCH(BG$3,[1]Sheet1!$2:$2,0),FALSE)</f>
        <v>3.6000000000000004E-2</v>
      </c>
      <c r="BH40" s="29">
        <f>VLOOKUP(RIGHT($A40,LEN($A40)-4),[1]Sheet1!$2:$65479,MATCH(BH$3,[1]Sheet1!$2:$2,0),FALSE)</f>
        <v>3.6000000000000004E-2</v>
      </c>
      <c r="BI40" s="29">
        <f>VLOOKUP(RIGHT($A40,LEN($A40)-4),[1]Sheet1!$2:$65479,MATCH(BI$3,[1]Sheet1!$2:$2,0),FALSE)</f>
        <v>3.6000000000000004E-2</v>
      </c>
      <c r="BJ40" s="29">
        <f>VLOOKUP(RIGHT($A40,LEN($A40)-4),[1]Sheet1!$2:$65479,MATCH(BJ$3,[1]Sheet1!$2:$2,0),FALSE)</f>
        <v>3.6000000000000004E-2</v>
      </c>
      <c r="BK40" s="29">
        <f>VLOOKUP(RIGHT($A40,LEN($A40)-4),[1]Sheet1!$2:$65479,MATCH(BK$3,[1]Sheet1!$2:$2,0),FALSE)</f>
        <v>3.6000000000000004E-2</v>
      </c>
      <c r="BL40" s="29">
        <f>VLOOKUP(RIGHT($A40,LEN($A40)-4),[1]Sheet1!$2:$65479,MATCH(BL$3,[1]Sheet1!$2:$2,0),FALSE)</f>
        <v>3.6000000000000004E-2</v>
      </c>
      <c r="BM40" s="29">
        <f>VLOOKUP(RIGHT($A40,LEN($A40)-4),[1]Sheet1!$2:$65479,MATCH(BM$3,[1]Sheet1!$2:$2,0),FALSE)</f>
        <v>3.6000000000000004E-2</v>
      </c>
      <c r="BN40" s="29">
        <f>VLOOKUP(RIGHT($A40,LEN($A40)-4),[1]Sheet1!$2:$65479,MATCH(BN$3,[1]Sheet1!$2:$2,0),FALSE)</f>
        <v>3.6000000000000004E-2</v>
      </c>
      <c r="BO40" s="29">
        <f>VLOOKUP(RIGHT($A40,LEN($A40)-4),[1]Sheet1!$2:$65479,MATCH(BO$3,[1]Sheet1!$2:$2,0),FALSE)</f>
        <v>3.6000000000000004E-2</v>
      </c>
      <c r="BP40" s="29">
        <f>VLOOKUP(RIGHT($A40,LEN($A40)-4),[1]Sheet1!$2:$65479,MATCH(BP$3,[1]Sheet1!$2:$2,0),FALSE)</f>
        <v>3.6000000000000004E-2</v>
      </c>
      <c r="BQ40" s="29">
        <f>VLOOKUP(RIGHT($A40,LEN($A40)-4),[1]Sheet1!$2:$65479,MATCH(BQ$3,[1]Sheet1!$2:$2,0),FALSE)</f>
        <v>3.6000000000000004E-2</v>
      </c>
      <c r="BR40" s="30"/>
      <c r="BS40" s="393">
        <f>VLOOKUP(RIGHT($A40,LEN($A40)-4),[1]Sheet1!$2:$65479,MATCH(BS$3,[1]Sheet1!$2:$2,0),FALSE)</f>
        <v>6.1499999999999992E-2</v>
      </c>
      <c r="BT40" s="393">
        <f>VLOOKUP(RIGHT($A40,LEN($A40)-4),[1]Sheet1!$2:$65479,MATCH(BT$3,[1]Sheet1!$2:$2,0),FALSE)</f>
        <v>4.9500000000000002E-2</v>
      </c>
      <c r="BU40" s="393">
        <f>VLOOKUP(RIGHT($A40,LEN($A40)-4),[1]Sheet1!$2:$65479,MATCH(BU$3,[1]Sheet1!$2:$2,0),FALSE)</f>
        <v>4.8999999999999995E-2</v>
      </c>
      <c r="BV40" s="393">
        <f>VLOOKUP(RIGHT($A40,LEN($A40)-4),[1]Sheet1!$2:$65479,MATCH(BV$3,[1]Sheet1!$2:$2,0),FALSE)</f>
        <v>7.4116666666666664E-2</v>
      </c>
      <c r="BW40" s="393">
        <f>VLOOKUP(RIGHT($A40,LEN($A40)-4),[1]Sheet1!$2:$65479,MATCH(BW$3,[1]Sheet1!$2:$2,0),FALSE)</f>
        <v>7.1166666666666656E-2</v>
      </c>
      <c r="BX40" s="393">
        <f>VLOOKUP(RIGHT($A40,LEN($A40)-4),[1]Sheet1!$2:$65479,MATCH(BX$3,[1]Sheet1!$2:$2,0),FALSE)</f>
        <v>5.3399999999999996E-2</v>
      </c>
      <c r="BY40" s="393">
        <f>VLOOKUP(RIGHT($A40,LEN($A40)-4),[1]Sheet1!$2:$65479,MATCH(BY$3,[1]Sheet1!$2:$2,0),FALSE)</f>
        <v>4.9783333333333346E-2</v>
      </c>
      <c r="BZ40" s="393">
        <f>VLOOKUP(RIGHT($A40,LEN($A40)-4),[1]Sheet1!$2:$65479,MATCH(BZ$3,[1]Sheet1!$2:$2,0),FALSE)</f>
        <v>4.7566666666666667E-2</v>
      </c>
      <c r="CA40" s="393">
        <f>VLOOKUP(RIGHT($A40,LEN($A40)-4),[1]Sheet1!$2:$65479,MATCH(CA$3,[1]Sheet1!$2:$2,0),FALSE)</f>
        <v>6.0416666666666667E-2</v>
      </c>
      <c r="CB40" s="393">
        <f>VLOOKUP(RIGHT($A40,LEN($A40)-4),[1]Sheet1!$2:$65479,MATCH(CB$3,[1]Sheet1!$2:$2,0),FALSE)</f>
        <v>4.9583333333333333E-2</v>
      </c>
      <c r="CC40" s="30">
        <f>(1+D40)*(1+E40)-1</f>
        <v>9.1587499999999711E-2</v>
      </c>
      <c r="CD40" s="30">
        <f>(1+F40)*(1+G40)-1</f>
        <v>9.7256250000000266E-2</v>
      </c>
      <c r="CE40" s="30">
        <f>(1+H40)*(1+I40)-1</f>
        <v>0.10644062500000007</v>
      </c>
      <c r="CF40" s="30">
        <f>(1+J40)*(1+K40)-1</f>
        <v>0.11082708333333335</v>
      </c>
      <c r="CG40" s="30">
        <f>(1+L40)*(1+M40)-1</f>
        <v>0.11610208333333327</v>
      </c>
      <c r="CH40" s="30">
        <f>(1+N40)*(1+O40)-1</f>
        <v>0.12934861111111084</v>
      </c>
      <c r="CI40" s="30">
        <f>(1+P40)*(1+Q40)-1</f>
        <v>0.1453423611111111</v>
      </c>
      <c r="CJ40" s="30">
        <f>(1+R40)*(1+S40)-1</f>
        <v>7.5062500000000032E-2</v>
      </c>
      <c r="CK40" s="30">
        <f>(1+T40)*(1+U40)-1</f>
        <v>8.2884722222222207E-2</v>
      </c>
      <c r="CL40" s="30">
        <f>(1+V40)*(1+W40)-1</f>
        <v>9.6819791666666877E-2</v>
      </c>
      <c r="CM40" s="32">
        <f>(1+X40)*(1+Y40)-1</f>
        <v>8.202083333333321E-2</v>
      </c>
      <c r="CN40" s="32">
        <f>(1+Z40)*(1+AA40)-1</f>
        <v>5.8751736111110953E-2</v>
      </c>
      <c r="CO40" s="32">
        <f>(1+AB40)*(1+AC40)-1</f>
        <v>5.062499999999992E-2</v>
      </c>
      <c r="CP40" s="32">
        <f>(1+AD40)*(1+AE40)-1</f>
        <v>4.5076736111111293E-2</v>
      </c>
      <c r="CQ40" s="32">
        <f>(1+AF40)*(1+AG40)-1</f>
        <v>3.7425000000000042E-2</v>
      </c>
      <c r="CR40" s="32">
        <f>(1+AH40)*(1+AI40)-1</f>
        <v>3.0224999999999724E-2</v>
      </c>
      <c r="CS40" s="32">
        <f>(1+AJ40)*(1+AK40)-1</f>
        <v>3.0224999999999724E-2</v>
      </c>
      <c r="CT40" s="32">
        <f>(1+AL40)*(1+AM40)-1</f>
        <v>2.7264583333333148E-2</v>
      </c>
      <c r="CU40" s="32">
        <f>(1+AN40)*(1+AO40)-1</f>
        <v>9.1833333333333211E-3</v>
      </c>
      <c r="CV40" s="32">
        <f>(1+AP40)*(1+AQ40)-1</f>
        <v>2.2512499999998159E-3</v>
      </c>
      <c r="CW40" s="32">
        <f>(1+AR40)*(1+AS40)-1</f>
        <v>1.2428083333333229E-2</v>
      </c>
      <c r="CX40" s="32">
        <f>(1+AT40)*(1+AU40)-1</f>
        <v>7.1982249999999803E-2</v>
      </c>
      <c r="CY40" s="32">
        <f>(1+AV40)*(1+AW40)-1</f>
        <v>8.8457458333333516E-2</v>
      </c>
      <c r="CZ40" s="31">
        <f>(1+AX40)*(1+AY40)-1</f>
        <v>8.2374888888888664E-2</v>
      </c>
      <c r="DA40" s="30">
        <f>(1+AZ40)*(1+BA40)-1</f>
        <v>7.847947222222218E-2</v>
      </c>
      <c r="DB40" s="30">
        <f>(1+BB40)*(1+BC40)-1</f>
        <v>7.7612666666666774E-2</v>
      </c>
      <c r="DC40" s="30">
        <f>(1+BD40)*(1+BE40)-1</f>
        <v>7.3296000000000028E-2</v>
      </c>
      <c r="DD40" s="30">
        <f>(1+BF40)*(1+BG40)-1</f>
        <v>7.3296000000000028E-2</v>
      </c>
      <c r="DE40" s="30">
        <f>(1+BH40)*(1+BI40)-1</f>
        <v>7.3296000000000028E-2</v>
      </c>
      <c r="DF40" s="30">
        <f>(1+BJ40)*(1+BK40)-1</f>
        <v>7.3296000000000028E-2</v>
      </c>
      <c r="DG40" s="30">
        <f>(1+BL40)*(1+BM40)-1</f>
        <v>7.3296000000000028E-2</v>
      </c>
      <c r="DH40" s="30">
        <f>(1+BN40)*(1+BO40)-1</f>
        <v>7.3296000000000028E-2</v>
      </c>
      <c r="DI40" s="30">
        <f>(1+BP40)*(1+BQ40)-1</f>
        <v>7.3296000000000028E-2</v>
      </c>
    </row>
    <row r="41" spans="1:113" ht="12" outlineLevel="1">
      <c r="C41" s="207"/>
      <c r="D41" s="207"/>
      <c r="E41" s="207"/>
      <c r="F41" s="207"/>
      <c r="G41" s="207"/>
      <c r="H41" s="207"/>
      <c r="I41" s="207"/>
      <c r="J41" s="207"/>
      <c r="K41" s="207"/>
      <c r="L41" s="207"/>
      <c r="M41" s="30"/>
      <c r="N41" s="30"/>
      <c r="O41" s="30"/>
      <c r="P41" s="30"/>
      <c r="Q41" s="30"/>
      <c r="R41" s="30"/>
      <c r="S41" s="30"/>
      <c r="T41" s="32"/>
      <c r="U41" s="30"/>
      <c r="V41" s="30"/>
      <c r="W41" s="30"/>
      <c r="X41" s="30"/>
      <c r="Y41" s="32"/>
      <c r="Z41" s="32"/>
      <c r="AA41" s="32"/>
      <c r="AB41" s="32"/>
      <c r="AC41" s="32"/>
      <c r="AD41" s="32"/>
      <c r="AE41" s="32"/>
      <c r="AF41" s="32"/>
      <c r="AG41" s="32"/>
      <c r="AH41" s="32"/>
      <c r="AI41" s="32"/>
      <c r="AJ41" s="32"/>
      <c r="AK41" s="32"/>
      <c r="AL41" s="32"/>
      <c r="AM41" s="32"/>
      <c r="AN41" s="32"/>
      <c r="AO41" s="32"/>
      <c r="AP41" s="32"/>
      <c r="AQ41" s="32"/>
      <c r="AR41" s="32"/>
      <c r="AS41" s="32"/>
      <c r="AT41" s="32"/>
      <c r="AU41" s="32"/>
      <c r="AV41" s="32"/>
      <c r="AW41" s="32"/>
      <c r="AX41" s="32"/>
      <c r="AY41" s="31"/>
      <c r="AZ41" s="30"/>
      <c r="BA41" s="30"/>
      <c r="BB41" s="30"/>
      <c r="BC41" s="30"/>
      <c r="BD41" s="30"/>
      <c r="BE41" s="30"/>
      <c r="BF41" s="30"/>
      <c r="BG41" s="30"/>
      <c r="BH41" s="30"/>
      <c r="BI41" s="30"/>
      <c r="BJ41" s="30"/>
      <c r="BK41" s="30"/>
      <c r="BL41" s="30"/>
      <c r="BM41" s="30"/>
      <c r="BN41" s="30"/>
      <c r="BO41" s="30"/>
      <c r="BP41" s="30"/>
      <c r="BQ41" s="30"/>
      <c r="BR41" s="30"/>
      <c r="BS41" s="207"/>
      <c r="BT41" s="207"/>
      <c r="BU41" s="207"/>
      <c r="BV41" s="207"/>
      <c r="BW41" s="207"/>
      <c r="BX41" s="207"/>
      <c r="BY41" s="207"/>
      <c r="BZ41" s="207"/>
      <c r="CA41" s="207"/>
      <c r="CB41" s="207"/>
      <c r="CC41" s="30"/>
      <c r="CD41" s="30"/>
      <c r="CE41" s="30"/>
      <c r="CF41" s="30"/>
      <c r="CG41" s="30"/>
      <c r="CH41" s="30"/>
      <c r="CI41" s="30"/>
      <c r="CJ41" s="30"/>
      <c r="CK41" s="30"/>
      <c r="CL41" s="30"/>
      <c r="CM41" s="32"/>
      <c r="CN41" s="32"/>
      <c r="CO41" s="32"/>
      <c r="CP41" s="32"/>
      <c r="CQ41" s="32"/>
      <c r="CR41" s="32"/>
      <c r="CS41" s="32"/>
      <c r="CT41" s="32"/>
      <c r="CU41" s="32"/>
      <c r="CV41" s="32"/>
      <c r="CW41" s="32"/>
      <c r="CX41" s="32"/>
      <c r="CY41" s="32"/>
      <c r="CZ41" s="31"/>
      <c r="DA41" s="30"/>
      <c r="DB41" s="15"/>
      <c r="DC41" s="15"/>
      <c r="DD41" s="15"/>
      <c r="DE41" s="15"/>
      <c r="DF41" s="15"/>
      <c r="DG41" s="15"/>
      <c r="DH41" s="15"/>
      <c r="DI41" s="15"/>
    </row>
    <row r="42" spans="1:113" ht="12" outlineLevel="1">
      <c r="B42" s="17" t="s">
        <v>390</v>
      </c>
      <c r="C42" s="207"/>
      <c r="D42" s="207"/>
      <c r="E42" s="207"/>
      <c r="F42" s="207"/>
      <c r="G42" s="207"/>
      <c r="H42" s="207"/>
      <c r="I42" s="207"/>
      <c r="J42" s="207"/>
      <c r="K42" s="207"/>
      <c r="L42" s="207"/>
      <c r="M42" s="30"/>
      <c r="N42" s="30"/>
      <c r="O42" s="30"/>
      <c r="P42" s="30"/>
      <c r="Q42" s="30"/>
      <c r="R42" s="30"/>
      <c r="S42" s="30"/>
      <c r="T42" s="32"/>
      <c r="U42" s="30"/>
      <c r="V42" s="30"/>
      <c r="W42" s="30"/>
      <c r="X42" s="30"/>
      <c r="Y42" s="32"/>
      <c r="Z42" s="32"/>
      <c r="AA42" s="32"/>
      <c r="AB42" s="32"/>
      <c r="AC42" s="32"/>
      <c r="AD42" s="32"/>
      <c r="AE42" s="32"/>
      <c r="AF42" s="32"/>
      <c r="AG42" s="32"/>
      <c r="AH42" s="32"/>
      <c r="AI42" s="32"/>
      <c r="AJ42" s="32"/>
      <c r="AK42" s="32"/>
      <c r="AL42" s="32"/>
      <c r="AM42" s="32"/>
      <c r="AN42" s="32"/>
      <c r="AO42" s="32"/>
      <c r="AP42" s="32"/>
      <c r="AQ42" s="32"/>
      <c r="AR42" s="32"/>
      <c r="AS42" s="32"/>
      <c r="AT42" s="32"/>
      <c r="AU42" s="32"/>
      <c r="AV42" s="32"/>
      <c r="AW42" s="32"/>
      <c r="AX42" s="32"/>
      <c r="AY42" s="31"/>
      <c r="AZ42" s="30"/>
      <c r="BA42" s="30"/>
      <c r="BB42" s="30"/>
      <c r="BC42" s="30"/>
      <c r="BD42" s="30"/>
      <c r="BE42" s="30"/>
      <c r="BF42" s="30"/>
      <c r="BG42" s="30"/>
      <c r="BH42" s="30"/>
      <c r="BI42" s="30"/>
      <c r="BJ42" s="30"/>
      <c r="BK42" s="30"/>
      <c r="BL42" s="30"/>
      <c r="BM42" s="30"/>
      <c r="BN42" s="30"/>
      <c r="BO42" s="30"/>
      <c r="BP42" s="30"/>
      <c r="BQ42" s="30"/>
      <c r="BR42" s="30"/>
      <c r="BS42" s="207"/>
      <c r="BT42" s="207"/>
      <c r="BU42" s="207"/>
      <c r="BV42" s="207"/>
      <c r="BW42" s="207"/>
      <c r="BX42" s="207"/>
      <c r="BY42" s="207"/>
      <c r="BZ42" s="207"/>
      <c r="CA42" s="207"/>
      <c r="CB42" s="207"/>
      <c r="CC42" s="30"/>
      <c r="CD42" s="30"/>
      <c r="CE42" s="30"/>
      <c r="CF42" s="30"/>
      <c r="CG42" s="30"/>
      <c r="CH42" s="30"/>
      <c r="CI42" s="30"/>
      <c r="CJ42" s="30"/>
      <c r="CK42" s="30"/>
      <c r="CL42" s="30"/>
      <c r="CM42" s="32"/>
      <c r="CN42" s="32"/>
      <c r="CO42" s="32"/>
      <c r="CP42" s="32"/>
      <c r="CQ42" s="32"/>
      <c r="CR42" s="32"/>
      <c r="CS42" s="32"/>
      <c r="CT42" s="32"/>
      <c r="CU42" s="32"/>
      <c r="CV42" s="32"/>
      <c r="CW42" s="32"/>
      <c r="CX42" s="32"/>
      <c r="CY42" s="32"/>
      <c r="CZ42" s="31"/>
      <c r="DA42" s="30"/>
      <c r="DB42" s="15"/>
      <c r="DC42" s="15"/>
      <c r="DD42" s="15"/>
      <c r="DE42" s="15"/>
      <c r="DF42" s="15"/>
      <c r="DG42" s="15"/>
      <c r="DH42" s="15"/>
      <c r="DI42" s="15"/>
    </row>
    <row r="43" spans="1:113" ht="12" outlineLevel="1">
      <c r="A43" s="1" t="s">
        <v>384</v>
      </c>
      <c r="B43" s="15" t="s">
        <v>218</v>
      </c>
      <c r="C43" s="207" t="e">
        <f t="shared" ref="C43:L45" si="169">C52-C29</f>
        <v>#VALUE!</v>
      </c>
      <c r="D43" s="207">
        <f t="shared" si="169"/>
        <v>-6.9255988495644516E-3</v>
      </c>
      <c r="E43" s="207">
        <f t="shared" si="169"/>
        <v>6.1956877069679894E-3</v>
      </c>
      <c r="F43" s="207">
        <f t="shared" si="169"/>
        <v>6.2416233647131364E-3</v>
      </c>
      <c r="G43" s="207">
        <f t="shared" si="169"/>
        <v>-5.9699089110685222E-3</v>
      </c>
      <c r="H43" s="207">
        <f t="shared" si="169"/>
        <v>-2.111041780930889E-2</v>
      </c>
      <c r="I43" s="207">
        <f t="shared" si="169"/>
        <v>8.1560820782103471E-2</v>
      </c>
      <c r="J43" s="207">
        <f t="shared" si="169"/>
        <v>2.7493124919590883E-2</v>
      </c>
      <c r="K43" s="207">
        <f t="shared" si="169"/>
        <v>-2.8861804803916868E-3</v>
      </c>
      <c r="L43" s="207">
        <f t="shared" si="169"/>
        <v>-4.4390434125416434E-3</v>
      </c>
      <c r="M43" s="30">
        <f t="shared" ref="M43:Y45" si="170">M52-M29</f>
        <v>-2.1090142246646293E-2</v>
      </c>
      <c r="N43" s="30">
        <f t="shared" si="170"/>
        <v>-7.7948835588341758E-3</v>
      </c>
      <c r="O43" s="30">
        <f t="shared" si="170"/>
        <v>7.0795210205008008E-3</v>
      </c>
      <c r="P43" s="30">
        <f t="shared" si="170"/>
        <v>9.5838779352914738E-3</v>
      </c>
      <c r="Q43" s="30">
        <f t="shared" si="170"/>
        <v>3.340556602169098E-2</v>
      </c>
      <c r="R43" s="30">
        <f t="shared" si="170"/>
        <v>3.442676144204504E-2</v>
      </c>
      <c r="S43" s="30">
        <f t="shared" si="170"/>
        <v>-7.0051684586651675E-3</v>
      </c>
      <c r="T43" s="32">
        <f t="shared" si="170"/>
        <v>1.0865731154642067E-2</v>
      </c>
      <c r="U43" s="30">
        <f t="shared" si="170"/>
        <v>3.3518579386708769E-2</v>
      </c>
      <c r="V43" s="30">
        <f t="shared" si="170"/>
        <v>8.5271937219097982E-3</v>
      </c>
      <c r="W43" s="30">
        <f t="shared" si="170"/>
        <v>1.6692238879696397E-3</v>
      </c>
      <c r="X43" s="30">
        <f t="shared" si="170"/>
        <v>2.5245041751660535E-2</v>
      </c>
      <c r="Y43" s="32">
        <f t="shared" si="170"/>
        <v>-2.0505361471450101E-3</v>
      </c>
      <c r="Z43" s="32">
        <f t="shared" ref="Z43:AA45" si="171">Z52-Z29</f>
        <v>9.2955077669467645E-3</v>
      </c>
      <c r="AA43" s="139">
        <f t="shared" si="171"/>
        <v>1.129031708348327E-2</v>
      </c>
      <c r="AB43" s="139">
        <f t="shared" ref="AB43:AC43" si="172">AB52-AB29</f>
        <v>2.3353157386327705E-3</v>
      </c>
      <c r="AC43" s="139">
        <f t="shared" si="172"/>
        <v>3.708008623202641E-3</v>
      </c>
      <c r="AD43" s="139">
        <f t="shared" ref="AD43:AE43" si="173">AD52-AD29</f>
        <v>5.1904642473901141E-3</v>
      </c>
      <c r="AE43" s="139">
        <f t="shared" si="173"/>
        <v>2.3073283356445984E-2</v>
      </c>
      <c r="AF43" s="139">
        <f t="shared" ref="AF43:AG43" si="174">AF52-AF29</f>
        <v>1.7669560862666911E-2</v>
      </c>
      <c r="AG43" s="139">
        <f t="shared" si="174"/>
        <v>-1.4775277556835942E-2</v>
      </c>
      <c r="AH43" s="139">
        <f t="shared" ref="AH43:AI43" si="175">AH52-AH29</f>
        <v>5.187227383119497E-3</v>
      </c>
      <c r="AI43" s="139">
        <f t="shared" si="175"/>
        <v>8.7741271299646151E-4</v>
      </c>
      <c r="AJ43" s="139">
        <f t="shared" ref="AJ43:AK43" si="176">AJ52-AJ29</f>
        <v>-3.8990251531414444E-3</v>
      </c>
      <c r="AK43" s="139">
        <f t="shared" si="176"/>
        <v>-1.9839404336727595E-2</v>
      </c>
      <c r="AL43" s="139">
        <f t="shared" ref="AL43:AM43" si="177">AL52-AL29</f>
        <v>-2.6145877806893925E-2</v>
      </c>
      <c r="AM43" s="139">
        <f t="shared" si="177"/>
        <v>-2.8655679954248447E-2</v>
      </c>
      <c r="AN43" s="139">
        <f t="shared" ref="AN43:AO43" si="178">AN52-AN29</f>
        <v>-2.2138129859991751E-2</v>
      </c>
      <c r="AO43" s="139">
        <f t="shared" si="178"/>
        <v>2.8357477712665835E-2</v>
      </c>
      <c r="AP43" s="139">
        <f t="shared" ref="AP43:AQ43" si="179">AP52-AP29</f>
        <v>-5.8983589985039941E-3</v>
      </c>
      <c r="AQ43" s="139">
        <f t="shared" si="179"/>
        <v>-4.7770936496103755E-2</v>
      </c>
      <c r="AR43" s="139">
        <f t="shared" ref="AR43:AS43" si="180">AR52-AR29</f>
        <v>-3.9691252307712643E-2</v>
      </c>
      <c r="AS43" s="139">
        <f t="shared" si="180"/>
        <v>-1.6501369810885569E-2</v>
      </c>
      <c r="AT43" s="139">
        <f t="shared" ref="AT43:AU43" si="181">AT52-AT29</f>
        <v>1.4717401693465249E-2</v>
      </c>
      <c r="AU43" s="139">
        <f t="shared" si="181"/>
        <v>1.9424214014031937E-2</v>
      </c>
      <c r="AV43" s="139">
        <f t="shared" ref="AV43:AW43" si="182">AV52-AV29</f>
        <v>9.9585732591969123E-3</v>
      </c>
      <c r="AW43" s="139">
        <f t="shared" si="182"/>
        <v>0.18849127748767014</v>
      </c>
      <c r="AX43" s="139">
        <f t="shared" ref="AX43:AY43" si="183">AX52-AX29</f>
        <v>-3.1407263659903872E-3</v>
      </c>
      <c r="AY43" s="140">
        <f t="shared" si="183"/>
        <v>-8.5442705308467204E-3</v>
      </c>
      <c r="AZ43" s="602">
        <v>-8.9999999999999993E-3</v>
      </c>
      <c r="BA43" s="33">
        <v>-7.4999999999999997E-3</v>
      </c>
      <c r="BB43" s="33">
        <v>-5.0000000000000001E-3</v>
      </c>
      <c r="BC43" s="33">
        <v>0</v>
      </c>
      <c r="BD43" s="33">
        <v>0</v>
      </c>
      <c r="BE43" s="33">
        <v>0</v>
      </c>
      <c r="BF43" s="33">
        <v>0</v>
      </c>
      <c r="BG43" s="33">
        <v>0</v>
      </c>
      <c r="BH43" s="33">
        <v>0</v>
      </c>
      <c r="BI43" s="33">
        <v>0</v>
      </c>
      <c r="BJ43" s="33">
        <v>0</v>
      </c>
      <c r="BK43" s="33">
        <v>0</v>
      </c>
      <c r="BL43" s="33">
        <v>0</v>
      </c>
      <c r="BM43" s="33">
        <v>0</v>
      </c>
      <c r="BN43" s="33">
        <v>0</v>
      </c>
      <c r="BO43" s="33">
        <v>0</v>
      </c>
      <c r="BP43" s="33">
        <v>0</v>
      </c>
      <c r="BQ43" s="33">
        <v>0</v>
      </c>
      <c r="BR43" s="30"/>
      <c r="BS43" s="207" t="e">
        <f t="shared" ref="BS43:CB45" si="184">BS52-BS29</f>
        <v>#DIV/0!</v>
      </c>
      <c r="BT43" s="207">
        <f t="shared" si="184"/>
        <v>-0.11754900763588881</v>
      </c>
      <c r="BU43" s="207">
        <f t="shared" si="184"/>
        <v>-5.7052893238677571E-2</v>
      </c>
      <c r="BV43" s="207">
        <f t="shared" si="184"/>
        <v>2.9106838276939495E-2</v>
      </c>
      <c r="BW43" s="207">
        <f t="shared" si="184"/>
        <v>2.348386257139623E-2</v>
      </c>
      <c r="BX43" s="207">
        <f t="shared" si="184"/>
        <v>2.0858966735523232E-2</v>
      </c>
      <c r="BY43" s="207">
        <f t="shared" si="184"/>
        <v>6.7322055538335368E-2</v>
      </c>
      <c r="BZ43" s="207">
        <f t="shared" si="184"/>
        <v>0.19009501321806033</v>
      </c>
      <c r="CA43" s="207">
        <f t="shared" si="184"/>
        <v>0.21372076934517548</v>
      </c>
      <c r="CB43" s="207">
        <f t="shared" si="184"/>
        <v>7.2673928513300456E-3</v>
      </c>
      <c r="CC43" s="30">
        <f t="shared" ref="CC43:CQ45" si="185">CC52-CC29</f>
        <v>-8.0730635268499995E-4</v>
      </c>
      <c r="CD43" s="30">
        <f t="shared" si="185"/>
        <v>3.9641507527798936E-4</v>
      </c>
      <c r="CE43" s="30">
        <f t="shared" si="185"/>
        <v>6.5640950814605414E-2</v>
      </c>
      <c r="CF43" s="30">
        <f t="shared" si="185"/>
        <v>2.5920600578818398E-2</v>
      </c>
      <c r="CG43" s="30">
        <f t="shared" si="185"/>
        <v>-2.7163152635647947E-2</v>
      </c>
      <c r="CH43" s="30">
        <f t="shared" si="185"/>
        <v>-8.2555825193364463E-4</v>
      </c>
      <c r="CI43" s="30">
        <f t="shared" si="185"/>
        <v>4.530063207775914E-2</v>
      </c>
      <c r="CJ43" s="30">
        <f t="shared" si="185"/>
        <v>2.8311312401857247E-2</v>
      </c>
      <c r="CK43" s="30">
        <f t="shared" si="185"/>
        <v>4.6503822878131151E-2</v>
      </c>
      <c r="CL43" s="30">
        <f t="shared" si="185"/>
        <v>1.0492773363220298E-2</v>
      </c>
      <c r="CM43" s="32">
        <f t="shared" si="185"/>
        <v>2.3636451592765173E-2</v>
      </c>
      <c r="CN43" s="32">
        <f t="shared" si="185"/>
        <v>2.1185800698591883E-2</v>
      </c>
      <c r="CO43" s="32">
        <f t="shared" si="185"/>
        <v>6.2506932380430591E-3</v>
      </c>
      <c r="CP43" s="32">
        <f t="shared" si="185"/>
        <v>2.9409412763630849E-2</v>
      </c>
      <c r="CQ43" s="32">
        <f t="shared" si="185"/>
        <v>2.7024760667364589E-3</v>
      </c>
      <c r="CR43" s="32">
        <f t="shared" ref="CR43:CS45" si="186">CR52-CR29</f>
        <v>6.2635283341554437E-3</v>
      </c>
      <c r="CS43" s="32">
        <f t="shared" si="186"/>
        <v>-2.4319310724397747E-2</v>
      </c>
      <c r="CT43" s="32">
        <f t="shared" ref="CT43:CX43" si="187">CT52-CT29</f>
        <v>-5.486940338322821E-2</v>
      </c>
      <c r="CU43" s="32">
        <f t="shared" si="187"/>
        <v>5.7646910442381571E-3</v>
      </c>
      <c r="CV43" s="32">
        <f t="shared" si="187"/>
        <v>-5.4860755600752764E-2</v>
      </c>
      <c r="CW43" s="32">
        <f t="shared" si="187"/>
        <v>-5.7493365862895107E-2</v>
      </c>
      <c r="CX43" s="32">
        <f t="shared" si="187"/>
        <v>3.514143303102224E-2</v>
      </c>
      <c r="CY43" s="32">
        <f t="shared" ref="CY43:CZ45" si="188">CY52-CY29</f>
        <v>0.20490542511688092</v>
      </c>
      <c r="CZ43" s="31">
        <f t="shared" si="188"/>
        <v>-1.2007225649755204E-2</v>
      </c>
      <c r="DA43" s="30">
        <f t="shared" ref="DA43:DB43" si="189">DA52-DA29</f>
        <v>-1.6937312249999836E-2</v>
      </c>
      <c r="DB43" s="30">
        <f t="shared" si="189"/>
        <v>-5.1460512499998945E-3</v>
      </c>
      <c r="DC43" s="30">
        <f t="shared" ref="DC43:DH43" si="190">DC52-DC29</f>
        <v>0</v>
      </c>
      <c r="DD43" s="30">
        <f t="shared" si="190"/>
        <v>0</v>
      </c>
      <c r="DE43" s="30">
        <f t="shared" si="190"/>
        <v>0</v>
      </c>
      <c r="DF43" s="30">
        <f t="shared" si="190"/>
        <v>0</v>
      </c>
      <c r="DG43" s="30">
        <f t="shared" si="190"/>
        <v>2.2204460492503131E-16</v>
      </c>
      <c r="DH43" s="30">
        <f t="shared" si="190"/>
        <v>-2.2204460492503131E-16</v>
      </c>
      <c r="DI43" s="30">
        <f>DI52-DI29</f>
        <v>0</v>
      </c>
    </row>
    <row r="44" spans="1:113" ht="12" outlineLevel="1">
      <c r="A44" s="1" t="s">
        <v>309</v>
      </c>
      <c r="B44" s="15" t="s">
        <v>219</v>
      </c>
      <c r="C44" s="207" t="e">
        <f t="shared" si="169"/>
        <v>#DIV/0!</v>
      </c>
      <c r="D44" s="207">
        <f t="shared" si="169"/>
        <v>-1.9550958439342625E-2</v>
      </c>
      <c r="E44" s="207">
        <f t="shared" si="169"/>
        <v>-3.001760758609251E-3</v>
      </c>
      <c r="F44" s="207">
        <f t="shared" si="169"/>
        <v>4.8271160166438065E-2</v>
      </c>
      <c r="G44" s="207">
        <f t="shared" si="169"/>
        <v>6.1962646384802866E-2</v>
      </c>
      <c r="H44" s="207">
        <f t="shared" si="169"/>
        <v>4.3363353390902359E-2</v>
      </c>
      <c r="I44" s="207">
        <f t="shared" si="169"/>
        <v>-7.6313173080127417E-2</v>
      </c>
      <c r="J44" s="207">
        <f t="shared" si="169"/>
        <v>5.2275518845042779E-2</v>
      </c>
      <c r="K44" s="207">
        <f t="shared" si="169"/>
        <v>-2.2732081552696126E-2</v>
      </c>
      <c r="L44" s="207">
        <f t="shared" si="169"/>
        <v>-4.81690047083696E-2</v>
      </c>
      <c r="M44" s="30">
        <f t="shared" si="170"/>
        <v>-2.4360904050909182E-2</v>
      </c>
      <c r="N44" s="30">
        <f t="shared" si="170"/>
        <v>-5.0589891337655221E-2</v>
      </c>
      <c r="O44" s="30">
        <f t="shared" si="170"/>
        <v>-9.1581051682745329E-3</v>
      </c>
      <c r="P44" s="30">
        <f t="shared" si="170"/>
        <v>6.1242726128264646E-2</v>
      </c>
      <c r="Q44" s="30">
        <f t="shared" si="170"/>
        <v>1.5403594698225165E-2</v>
      </c>
      <c r="R44" s="30">
        <f t="shared" si="170"/>
        <v>-2.6429531510510862E-2</v>
      </c>
      <c r="S44" s="30">
        <f t="shared" si="170"/>
        <v>-5.237903571264646E-2</v>
      </c>
      <c r="T44" s="32">
        <f t="shared" si="170"/>
        <v>2.5743257102711636E-2</v>
      </c>
      <c r="U44" s="30">
        <f t="shared" si="170"/>
        <v>1.0916560486749272E-2</v>
      </c>
      <c r="V44" s="30">
        <f t="shared" si="170"/>
        <v>0.21767981077929144</v>
      </c>
      <c r="W44" s="30">
        <f t="shared" si="170"/>
        <v>2.423830722178455E-2</v>
      </c>
      <c r="X44" s="30">
        <f t="shared" si="170"/>
        <v>2.3748035995486916E-2</v>
      </c>
      <c r="Y44" s="32">
        <f t="shared" si="170"/>
        <v>7.0790143743371114E-3</v>
      </c>
      <c r="Z44" s="32">
        <f t="shared" si="171"/>
        <v>2.2413246272106058E-2</v>
      </c>
      <c r="AA44" s="139">
        <f t="shared" si="171"/>
        <v>6.7418432883832313E-3</v>
      </c>
      <c r="AB44" s="139">
        <f t="shared" ref="AB44:AC44" si="191">AB53-AB30</f>
        <v>3.6043663148283223E-2</v>
      </c>
      <c r="AC44" s="139">
        <f t="shared" si="191"/>
        <v>8.1419050838926754E-3</v>
      </c>
      <c r="AD44" s="139">
        <f t="shared" ref="AD44:AE44" si="192">AD53-AD30</f>
        <v>8.7693520296088234E-3</v>
      </c>
      <c r="AE44" s="139">
        <f t="shared" si="192"/>
        <v>5.8947309052947983E-3</v>
      </c>
      <c r="AF44" s="139">
        <f t="shared" ref="AF44:AG44" si="193">AF53-AF30</f>
        <v>-7.4238291647347299E-2</v>
      </c>
      <c r="AG44" s="139">
        <f t="shared" si="193"/>
        <v>1.1214781723555722E-2</v>
      </c>
      <c r="AH44" s="139">
        <f t="shared" ref="AH44:AI44" si="194">AH53-AH30</f>
        <v>-1.9982222770105196E-2</v>
      </c>
      <c r="AI44" s="139">
        <f t="shared" si="194"/>
        <v>-2.4057866452737331E-2</v>
      </c>
      <c r="AJ44" s="139">
        <f t="shared" ref="AJ44:AK44" si="195">AJ53-AJ30</f>
        <v>-9.0473940224748972E-3</v>
      </c>
      <c r="AK44" s="139">
        <f t="shared" si="195"/>
        <v>2.6135908908720529E-2</v>
      </c>
      <c r="AL44" s="139">
        <f t="shared" ref="AL44:AM44" si="196">AL53-AL30</f>
        <v>-3.1255811000198475E-2</v>
      </c>
      <c r="AM44" s="139">
        <f t="shared" si="196"/>
        <v>7.6014802069667375E-2</v>
      </c>
      <c r="AN44" s="139">
        <f t="shared" ref="AN44:AO44" si="197">AN53-AN30</f>
        <v>7.9952190819930768E-2</v>
      </c>
      <c r="AO44" s="139">
        <f t="shared" si="197"/>
        <v>-5.8059493803332862E-2</v>
      </c>
      <c r="AP44" s="139">
        <f t="shared" ref="AP44:AQ44" si="198">AP53-AP30</f>
        <v>-7.4918428577599006E-2</v>
      </c>
      <c r="AQ44" s="139">
        <f t="shared" si="198"/>
        <v>-3.1739436884100192E-2</v>
      </c>
      <c r="AR44" s="139">
        <f t="shared" ref="AR44:AS44" si="199">AR53-AR30</f>
        <v>2.0515363577226609E-2</v>
      </c>
      <c r="AS44" s="139">
        <f t="shared" si="199"/>
        <v>-6.2982562006006493E-3</v>
      </c>
      <c r="AT44" s="139">
        <f t="shared" ref="AT44:AU44" si="200">AT53-AT30</f>
        <v>-1.1182984466533874E-2</v>
      </c>
      <c r="AU44" s="139">
        <f t="shared" si="200"/>
        <v>-2.3273402064672544E-2</v>
      </c>
      <c r="AV44" s="139">
        <f t="shared" ref="AV44:AW44" si="201">AV53-AV30</f>
        <v>-1.3281199962724477E-2</v>
      </c>
      <c r="AW44" s="139">
        <f t="shared" si="201"/>
        <v>5.8478198720225194E-2</v>
      </c>
      <c r="AX44" s="139">
        <f t="shared" ref="AX44:AY44" si="202">AX53-AX30</f>
        <v>-3.2663585057514766E-2</v>
      </c>
      <c r="AY44" s="140">
        <f t="shared" si="202"/>
        <v>3.5020880463605408E-3</v>
      </c>
      <c r="AZ44" s="602">
        <v>0</v>
      </c>
      <c r="BA44" s="602">
        <v>2.5000000000000001E-3</v>
      </c>
      <c r="BB44" s="602">
        <v>2.5000000000000001E-3</v>
      </c>
      <c r="BC44" s="602">
        <v>2.5000000000000001E-3</v>
      </c>
      <c r="BD44" s="602">
        <v>2.5000000000000001E-3</v>
      </c>
      <c r="BE44" s="602">
        <v>2.5000000000000001E-3</v>
      </c>
      <c r="BF44" s="33">
        <v>0</v>
      </c>
      <c r="BG44" s="33">
        <v>0</v>
      </c>
      <c r="BH44" s="33">
        <v>0</v>
      </c>
      <c r="BI44" s="33">
        <v>0</v>
      </c>
      <c r="BJ44" s="33">
        <v>0</v>
      </c>
      <c r="BK44" s="33">
        <v>0</v>
      </c>
      <c r="BL44" s="33">
        <v>0</v>
      </c>
      <c r="BM44" s="33">
        <v>0</v>
      </c>
      <c r="BN44" s="33">
        <v>0</v>
      </c>
      <c r="BO44" s="33">
        <v>0</v>
      </c>
      <c r="BP44" s="33">
        <v>0</v>
      </c>
      <c r="BQ44" s="33">
        <v>0</v>
      </c>
      <c r="BR44" s="30"/>
      <c r="BS44" s="207" t="e">
        <f t="shared" si="184"/>
        <v>#DIV/0!</v>
      </c>
      <c r="BT44" s="207">
        <f t="shared" si="184"/>
        <v>-2.3644308846616613E-2</v>
      </c>
      <c r="BU44" s="207">
        <f t="shared" si="184"/>
        <v>3.592033247099069E-2</v>
      </c>
      <c r="BV44" s="207">
        <f t="shared" si="184"/>
        <v>2.5037276102680028E-2</v>
      </c>
      <c r="BW44" s="207">
        <f t="shared" si="184"/>
        <v>3.6093845296699234E-2</v>
      </c>
      <c r="BX44" s="207">
        <f t="shared" si="184"/>
        <v>4.4922248501455764E-2</v>
      </c>
      <c r="BY44" s="207">
        <f t="shared" si="184"/>
        <v>0.11165717062229041</v>
      </c>
      <c r="BZ44" s="207">
        <f t="shared" si="184"/>
        <v>5.6203413750834263E-2</v>
      </c>
      <c r="CA44" s="207">
        <f t="shared" si="184"/>
        <v>4.129601208067557E-2</v>
      </c>
      <c r="CB44" s="207">
        <f t="shared" si="184"/>
        <v>-3.2148807336809249E-3</v>
      </c>
      <c r="CC44" s="30">
        <f t="shared" si="185"/>
        <v>-2.1627597220764905E-2</v>
      </c>
      <c r="CD44" s="30">
        <f t="shared" si="185"/>
        <v>0.11684100427698318</v>
      </c>
      <c r="CE44" s="30">
        <f t="shared" si="185"/>
        <v>-3.6330057221012124E-2</v>
      </c>
      <c r="CF44" s="30">
        <f t="shared" si="185"/>
        <v>3.103658861481251E-2</v>
      </c>
      <c r="CG44" s="30">
        <f t="shared" si="185"/>
        <v>-7.6850545025581196E-2</v>
      </c>
      <c r="CH44" s="30">
        <f t="shared" si="185"/>
        <v>-6.6201086419586774E-2</v>
      </c>
      <c r="CI44" s="30">
        <f t="shared" si="185"/>
        <v>8.1873769946563257E-2</v>
      </c>
      <c r="CJ44" s="30">
        <f t="shared" si="185"/>
        <v>-7.6447406316900612E-2</v>
      </c>
      <c r="CK44" s="30">
        <f t="shared" si="185"/>
        <v>3.6336366832900424E-2</v>
      </c>
      <c r="CL44" s="30">
        <f t="shared" si="185"/>
        <v>0.24559393126547702</v>
      </c>
      <c r="CM44" s="32">
        <f t="shared" si="185"/>
        <v>3.1646240448712337E-2</v>
      </c>
      <c r="CN44" s="32">
        <f t="shared" si="185"/>
        <v>2.9562759750259904E-2</v>
      </c>
      <c r="CO44" s="32">
        <f t="shared" si="185"/>
        <v>4.5444038859103975E-2</v>
      </c>
      <c r="CP44" s="32">
        <f t="shared" si="185"/>
        <v>1.5179198188954635E-2</v>
      </c>
      <c r="CQ44" s="32">
        <f t="shared" si="185"/>
        <v>-6.4745124079084726E-2</v>
      </c>
      <c r="CR44" s="32">
        <f t="shared" si="186"/>
        <v>-4.4449190526878457E-2</v>
      </c>
      <c r="CS44" s="32">
        <f t="shared" si="186"/>
        <v>1.6951087024198896E-2</v>
      </c>
      <c r="CT44" s="32">
        <f t="shared" ref="CT44:CX44" si="203">CT53-CT30</f>
        <v>4.3433301820517967E-2</v>
      </c>
      <c r="CU44" s="32">
        <f t="shared" si="203"/>
        <v>1.3037819803715767E-2</v>
      </c>
      <c r="CV44" s="32">
        <f t="shared" si="203"/>
        <v>-0.10731086529827194</v>
      </c>
      <c r="CW44" s="32">
        <f t="shared" si="203"/>
        <v>1.5391163478199354E-2</v>
      </c>
      <c r="CX44" s="32">
        <f t="shared" si="203"/>
        <v>-3.5213449525951068E-2</v>
      </c>
      <c r="CY44" s="32">
        <f t="shared" si="188"/>
        <v>4.5865326480686974E-2</v>
      </c>
      <c r="CZ44" s="31">
        <f t="shared" si="188"/>
        <v>-3.0725476262440488E-2</v>
      </c>
      <c r="DA44" s="30">
        <f t="shared" ref="DA44:DB44" si="204">DA53-DA30</f>
        <v>2.6137499999996372E-3</v>
      </c>
      <c r="DB44" s="30">
        <f t="shared" si="204"/>
        <v>5.144687499999856E-3</v>
      </c>
      <c r="DC44" s="30">
        <f t="shared" ref="DC44:DD44" si="205">DC53-DC30</f>
        <v>5.1067499999997157E-3</v>
      </c>
      <c r="DD44" s="30">
        <f t="shared" si="205"/>
        <v>0</v>
      </c>
      <c r="DE44" s="30">
        <f t="shared" ref="DE44" si="206">DE53-DE30</f>
        <v>0</v>
      </c>
      <c r="DF44" s="30">
        <f t="shared" ref="DF44" si="207">DF53-DF30</f>
        <v>-2.2204460492503131E-16</v>
      </c>
      <c r="DG44" s="30">
        <f>DG53-DG30</f>
        <v>0</v>
      </c>
      <c r="DH44" s="30">
        <f>DH53-DH30</f>
        <v>0</v>
      </c>
      <c r="DI44" s="30">
        <f>DI53-DI30</f>
        <v>0</v>
      </c>
    </row>
    <row r="45" spans="1:113" ht="12" outlineLevel="1">
      <c r="A45" s="1" t="s">
        <v>310</v>
      </c>
      <c r="B45" s="15" t="s">
        <v>220</v>
      </c>
      <c r="C45" s="207" t="e">
        <f t="shared" si="169"/>
        <v>#VALUE!</v>
      </c>
      <c r="D45" s="207">
        <f t="shared" si="169"/>
        <v>-2.9090926501469383E-3</v>
      </c>
      <c r="E45" s="207">
        <f t="shared" si="169"/>
        <v>2.1088143954596017E-2</v>
      </c>
      <c r="F45" s="207">
        <f t="shared" si="169"/>
        <v>1.1998482111052811E-2</v>
      </c>
      <c r="G45" s="207">
        <f t="shared" si="169"/>
        <v>-4.7734020942237443E-2</v>
      </c>
      <c r="H45" s="207">
        <f t="shared" si="169"/>
        <v>-3.8826200753126594E-2</v>
      </c>
      <c r="I45" s="207">
        <f t="shared" si="169"/>
        <v>-1.0239415749958125E-2</v>
      </c>
      <c r="J45" s="207">
        <f t="shared" si="169"/>
        <v>2.9629404644706536E-3</v>
      </c>
      <c r="K45" s="207">
        <f t="shared" si="169"/>
        <v>6.4365773688193073E-2</v>
      </c>
      <c r="L45" s="207">
        <f t="shared" si="169"/>
        <v>4.3777179663204713E-2</v>
      </c>
      <c r="M45" s="30">
        <f t="shared" si="170"/>
        <v>-1.7621514052501563E-2</v>
      </c>
      <c r="N45" s="30">
        <f t="shared" si="170"/>
        <v>3.0293593707928279E-2</v>
      </c>
      <c r="O45" s="30">
        <f t="shared" si="170"/>
        <v>-4.1293540066766887E-4</v>
      </c>
      <c r="P45" s="30">
        <f t="shared" si="170"/>
        <v>-0.18603862105426561</v>
      </c>
      <c r="Q45" s="30">
        <f t="shared" si="170"/>
        <v>6.0234070551970609E-2</v>
      </c>
      <c r="R45" s="30">
        <f t="shared" si="170"/>
        <v>8.7426026412206204E-2</v>
      </c>
      <c r="S45" s="30">
        <f t="shared" si="170"/>
        <v>4.1134471375504189E-2</v>
      </c>
      <c r="T45" s="32">
        <f t="shared" si="170"/>
        <v>3.45070742417104E-2</v>
      </c>
      <c r="U45" s="30">
        <f t="shared" si="170"/>
        <v>-2.4572834741474203E-3</v>
      </c>
      <c r="V45" s="30">
        <f t="shared" si="170"/>
        <v>2.9405635107954131E-2</v>
      </c>
      <c r="W45" s="30">
        <f t="shared" si="170"/>
        <v>1.9730683278905481E-2</v>
      </c>
      <c r="X45" s="30">
        <f t="shared" si="170"/>
        <v>1.2609682636963604E-2</v>
      </c>
      <c r="Y45" s="32">
        <f t="shared" si="170"/>
        <v>-2.0109482107279475E-2</v>
      </c>
      <c r="Z45" s="32">
        <f t="shared" si="171"/>
        <v>2.7108152818582587E-2</v>
      </c>
      <c r="AA45" s="139">
        <f t="shared" si="171"/>
        <v>2.6559726293224672E-2</v>
      </c>
      <c r="AB45" s="139">
        <f t="shared" ref="AB45:AC45" si="208">AB54-AB31</f>
        <v>-4.2644254970592654E-2</v>
      </c>
      <c r="AC45" s="139">
        <f t="shared" si="208"/>
        <v>-1.3367991463973938E-2</v>
      </c>
      <c r="AD45" s="139">
        <f t="shared" ref="AD45:AE45" si="209">AD54-AD31</f>
        <v>3.8771445229277335E-2</v>
      </c>
      <c r="AE45" s="139">
        <f t="shared" si="209"/>
        <v>-9.4305835595990262E-3</v>
      </c>
      <c r="AF45" s="139">
        <f t="shared" ref="AF45:AG45" si="210">AF54-AF31</f>
        <v>1.6065099828666773E-2</v>
      </c>
      <c r="AG45" s="139">
        <f t="shared" si="210"/>
        <v>-7.5499529202378568E-3</v>
      </c>
      <c r="AH45" s="139">
        <f t="shared" ref="AH45:AI45" si="211">AH54-AH31</f>
        <v>-5.4689391734938919E-3</v>
      </c>
      <c r="AI45" s="139">
        <f t="shared" si="211"/>
        <v>-3.0976715862640836E-2</v>
      </c>
      <c r="AJ45" s="139">
        <f t="shared" ref="AJ45:AK45" si="212">AJ54-AJ31</f>
        <v>6.4119690286077446E-3</v>
      </c>
      <c r="AK45" s="139">
        <f t="shared" si="212"/>
        <v>-3.8287566118626271E-2</v>
      </c>
      <c r="AL45" s="139">
        <f t="shared" ref="AL45:AM45" si="213">AL54-AL31</f>
        <v>-2.8016633933623525E-2</v>
      </c>
      <c r="AM45" s="139">
        <f t="shared" si="213"/>
        <v>-4.0977794935301182E-2</v>
      </c>
      <c r="AN45" s="139">
        <f t="shared" ref="AN45:AO45" si="214">AN54-AN31</f>
        <v>-1.8188770718460701E-2</v>
      </c>
      <c r="AO45" s="139">
        <f t="shared" si="214"/>
        <v>-0.11424790972574896</v>
      </c>
      <c r="AP45" s="139">
        <f t="shared" ref="AP45:AQ45" si="215">AP54-AP31</f>
        <v>2.1178004781457371E-2</v>
      </c>
      <c r="AQ45" s="139">
        <f t="shared" si="215"/>
        <v>-7.2752703667851581E-2</v>
      </c>
      <c r="AR45" s="139">
        <f t="shared" ref="AR45:AS45" si="216">AR54-AR31</f>
        <v>1.3270222882004634E-2</v>
      </c>
      <c r="AS45" s="139">
        <f t="shared" si="216"/>
        <v>-2.1550068896066032E-2</v>
      </c>
      <c r="AT45" s="139">
        <f t="shared" ref="AT45:AU45" si="217">AT54-AT31</f>
        <v>-1.0986870085040068E-2</v>
      </c>
      <c r="AU45" s="139">
        <f t="shared" si="217"/>
        <v>-3.4336442886648166E-2</v>
      </c>
      <c r="AV45" s="139">
        <f t="shared" ref="AV45:AW45" si="218">AV54-AV31</f>
        <v>-6.7108534843234313E-3</v>
      </c>
      <c r="AW45" s="139">
        <f t="shared" si="218"/>
        <v>-2.910420984202744E-2</v>
      </c>
      <c r="AX45" s="139">
        <f t="shared" ref="AX45:AY45" si="219">AX54-AX31</f>
        <v>-6.7418931284191408E-2</v>
      </c>
      <c r="AY45" s="140">
        <f t="shared" si="219"/>
        <v>-5.3351697300642265E-2</v>
      </c>
      <c r="AZ45" s="602">
        <v>0</v>
      </c>
      <c r="BA45" s="33">
        <v>0</v>
      </c>
      <c r="BB45" s="33">
        <v>0</v>
      </c>
      <c r="BC45" s="33">
        <v>0</v>
      </c>
      <c r="BD45" s="33">
        <v>0</v>
      </c>
      <c r="BE45" s="33">
        <v>0</v>
      </c>
      <c r="BF45" s="33">
        <v>0</v>
      </c>
      <c r="BG45" s="33">
        <v>0</v>
      </c>
      <c r="BH45" s="33">
        <v>0</v>
      </c>
      <c r="BI45" s="33">
        <v>0</v>
      </c>
      <c r="BJ45" s="33">
        <v>0</v>
      </c>
      <c r="BK45" s="33">
        <v>0</v>
      </c>
      <c r="BL45" s="33">
        <v>0</v>
      </c>
      <c r="BM45" s="33">
        <v>0</v>
      </c>
      <c r="BN45" s="33">
        <v>0</v>
      </c>
      <c r="BO45" s="33">
        <v>0</v>
      </c>
      <c r="BP45" s="33">
        <v>0</v>
      </c>
      <c r="BQ45" s="33">
        <v>0</v>
      </c>
      <c r="BR45" s="30"/>
      <c r="BS45" s="207" t="e">
        <f t="shared" si="184"/>
        <v>#DIV/0!</v>
      </c>
      <c r="BT45" s="207">
        <f t="shared" si="184"/>
        <v>4.0155372929164712E-2</v>
      </c>
      <c r="BU45" s="207">
        <f t="shared" si="184"/>
        <v>-1.0335074522320076E-2</v>
      </c>
      <c r="BV45" s="207">
        <f t="shared" si="184"/>
        <v>5.4391253467748202E-2</v>
      </c>
      <c r="BW45" s="207">
        <f t="shared" si="184"/>
        <v>-3.5103112336742681E-2</v>
      </c>
      <c r="BX45" s="207">
        <f t="shared" si="184"/>
        <v>-0.1960812450626237</v>
      </c>
      <c r="BY45" s="207">
        <f t="shared" si="184"/>
        <v>8.5682590039958706E-2</v>
      </c>
      <c r="BZ45" s="207">
        <f t="shared" si="184"/>
        <v>0.23099857962686787</v>
      </c>
      <c r="CA45" s="207">
        <f t="shared" si="184"/>
        <v>0.31778312535218456</v>
      </c>
      <c r="CB45" s="207">
        <f t="shared" si="184"/>
        <v>1.9140070244351159E-2</v>
      </c>
      <c r="CC45" s="30">
        <f t="shared" si="185"/>
        <v>2.9717105705018287E-3</v>
      </c>
      <c r="CD45" s="30">
        <f t="shared" si="185"/>
        <v>-3.7573559963150815E-2</v>
      </c>
      <c r="CE45" s="30">
        <f t="shared" si="185"/>
        <v>-5.1305499681072675E-2</v>
      </c>
      <c r="CF45" s="30">
        <f t="shared" si="185"/>
        <v>7.218887889282799E-2</v>
      </c>
      <c r="CG45" s="30">
        <f t="shared" si="185"/>
        <v>2.7523600298408724E-2</v>
      </c>
      <c r="CH45" s="30">
        <f t="shared" si="185"/>
        <v>3.1863223535515406E-2</v>
      </c>
      <c r="CI45" s="30">
        <f t="shared" si="185"/>
        <v>-0.1328904482744967</v>
      </c>
      <c r="CJ45" s="30">
        <f t="shared" si="185"/>
        <v>0.12993713946006036</v>
      </c>
      <c r="CK45" s="30">
        <f t="shared" si="185"/>
        <v>3.2101643973828642E-2</v>
      </c>
      <c r="CL45" s="30">
        <f t="shared" si="185"/>
        <v>4.9463546091236932E-2</v>
      </c>
      <c r="CM45" s="32">
        <f t="shared" si="185"/>
        <v>-7.7810011970113058E-3</v>
      </c>
      <c r="CN45" s="32">
        <f t="shared" si="185"/>
        <v>5.4571704610255845E-2</v>
      </c>
      <c r="CO45" s="32">
        <f t="shared" si="185"/>
        <v>-5.5865162429866944E-2</v>
      </c>
      <c r="CP45" s="32">
        <f t="shared" si="185"/>
        <v>2.8933659201799022E-2</v>
      </c>
      <c r="CQ45" s="32">
        <f t="shared" si="185"/>
        <v>8.3532697390931165E-3</v>
      </c>
      <c r="CR45" s="32">
        <f t="shared" si="186"/>
        <v>-3.6082939902716715E-2</v>
      </c>
      <c r="CS45" s="32">
        <f t="shared" si="186"/>
        <v>-3.1835753089170082E-2</v>
      </c>
      <c r="CT45" s="32">
        <f t="shared" ref="CT45:CX45" si="220">CT54-CT31</f>
        <v>-6.6343343404573929E-2</v>
      </c>
      <c r="CU45" s="32">
        <f t="shared" si="220"/>
        <v>-0.12333426570623496</v>
      </c>
      <c r="CV45" s="32">
        <f t="shared" si="220"/>
        <v>-5.2050848228299196E-2</v>
      </c>
      <c r="CW45" s="32">
        <f t="shared" si="220"/>
        <v>-8.5807077179351765E-3</v>
      </c>
      <c r="CX45" s="32">
        <f t="shared" si="220"/>
        <v>-4.51761247091923E-2</v>
      </c>
      <c r="CY45" s="32">
        <f t="shared" si="188"/>
        <v>-3.6092863107218487E-2</v>
      </c>
      <c r="CZ45" s="31">
        <f t="shared" si="188"/>
        <v>-0.11989936986226812</v>
      </c>
      <c r="DA45" s="30">
        <f t="shared" ref="DA45:DB45" si="221">DA54-DA31</f>
        <v>0</v>
      </c>
      <c r="DB45" s="30">
        <f t="shared" si="221"/>
        <v>0</v>
      </c>
      <c r="DC45" s="30">
        <f t="shared" ref="DC45:DD45" si="222">DC54-DC31</f>
        <v>2.2204460492503131E-16</v>
      </c>
      <c r="DD45" s="30">
        <f t="shared" si="222"/>
        <v>2.2204460492503131E-16</v>
      </c>
      <c r="DE45" s="30">
        <f t="shared" ref="DE45" si="223">DE54-DE31</f>
        <v>0</v>
      </c>
      <c r="DF45" s="30">
        <f t="shared" ref="DF45" si="224">DF54-DF31</f>
        <v>2.2204460492503131E-16</v>
      </c>
      <c r="DG45" s="30">
        <f>DG54-DG31</f>
        <v>0</v>
      </c>
      <c r="DH45" s="30">
        <f>DH54-DH31</f>
        <v>0</v>
      </c>
      <c r="DI45" s="30">
        <f>DI54-DI31</f>
        <v>0</v>
      </c>
    </row>
    <row r="46" spans="1:113" ht="12" outlineLevel="1">
      <c r="A46" s="1" t="s">
        <v>311</v>
      </c>
      <c r="B46" s="15" t="s">
        <v>221</v>
      </c>
      <c r="C46" s="207" t="e">
        <f t="shared" ref="C46:L47" si="225">C56-C32</f>
        <v>#VALUE!</v>
      </c>
      <c r="D46" s="207">
        <f t="shared" si="225"/>
        <v>-4.4907247515885484E-2</v>
      </c>
      <c r="E46" s="207">
        <f t="shared" si="225"/>
        <v>-4.4432128478711697E-2</v>
      </c>
      <c r="F46" s="207">
        <f t="shared" si="225"/>
        <v>-4.412663758497426E-2</v>
      </c>
      <c r="G46" s="207">
        <f t="shared" si="225"/>
        <v>-3.4317043209703968E-2</v>
      </c>
      <c r="H46" s="207">
        <f t="shared" si="225"/>
        <v>1.5979624801116039</v>
      </c>
      <c r="I46" s="207">
        <f t="shared" si="225"/>
        <v>-3.2149319451471037E-2</v>
      </c>
      <c r="J46" s="207">
        <f t="shared" si="225"/>
        <v>-9.890735618279578E-3</v>
      </c>
      <c r="K46" s="207">
        <f t="shared" si="225"/>
        <v>-1.4666111872186693E-2</v>
      </c>
      <c r="L46" s="207">
        <f t="shared" si="225"/>
        <v>-2.9291817971472955E-3</v>
      </c>
      <c r="M46" s="30">
        <f t="shared" ref="M46:Y47" si="226">M56-M32</f>
        <v>-3.5448391203165563E-3</v>
      </c>
      <c r="N46" s="30">
        <f t="shared" si="226"/>
        <v>-8.0391170775655496E-3</v>
      </c>
      <c r="O46" s="30">
        <f t="shared" si="226"/>
        <v>7.9271280130857047E-3</v>
      </c>
      <c r="P46" s="30">
        <f t="shared" si="226"/>
        <v>1.3681119810696973E-2</v>
      </c>
      <c r="Q46" s="30">
        <f t="shared" si="226"/>
        <v>1.3776180401980476E-2</v>
      </c>
      <c r="R46" s="30">
        <f t="shared" si="226"/>
        <v>4.1793068305913117E-3</v>
      </c>
      <c r="S46" s="30">
        <f t="shared" si="226"/>
        <v>-2.731636849029706E-2</v>
      </c>
      <c r="T46" s="32">
        <f t="shared" si="226"/>
        <v>-2.0514888810020393E-2</v>
      </c>
      <c r="U46" s="30">
        <f t="shared" si="226"/>
        <v>-2.1884983394671043E-3</v>
      </c>
      <c r="V46" s="30">
        <f t="shared" si="226"/>
        <v>-5.084839293441723E-3</v>
      </c>
      <c r="W46" s="30">
        <f t="shared" si="226"/>
        <v>-1.4776792564008656E-2</v>
      </c>
      <c r="X46" s="30">
        <f t="shared" si="226"/>
        <v>-7.5070173492668424E-3</v>
      </c>
      <c r="Y46" s="32">
        <f t="shared" si="226"/>
        <v>1.8179550648991682E-2</v>
      </c>
      <c r="Z46" s="32">
        <f t="shared" ref="Z46:AB47" si="227">Z56-Z32</f>
        <v>-3.1220776151790197E-3</v>
      </c>
      <c r="AA46" s="139">
        <f t="shared" si="227"/>
        <v>2.915893546287851E-3</v>
      </c>
      <c r="AB46" s="139">
        <f t="shared" si="227"/>
        <v>3.4549446586824573E-3</v>
      </c>
      <c r="AC46" s="139">
        <f t="shared" ref="AC46:AD46" si="228">AC56-AC32</f>
        <v>1.5739587372731734E-3</v>
      </c>
      <c r="AD46" s="139">
        <f t="shared" si="228"/>
        <v>5.1761440141391279E-3</v>
      </c>
      <c r="AE46" s="139">
        <f t="shared" ref="AE46:AF46" si="229">AE56-AE32</f>
        <v>1.6178277842104016E-2</v>
      </c>
      <c r="AF46" s="139">
        <f t="shared" si="229"/>
        <v>1.0687118525223305E-3</v>
      </c>
      <c r="AG46" s="139">
        <f t="shared" ref="AG46:AH46" si="230">AG56-AG32</f>
        <v>-1.0156299376123945E-2</v>
      </c>
      <c r="AH46" s="139">
        <f t="shared" si="230"/>
        <v>-1.3298733883954084E-2</v>
      </c>
      <c r="AI46" s="139">
        <f t="shared" ref="AI46:AJ46" si="231">AI56-AI32</f>
        <v>-3.8075806610269325E-3</v>
      </c>
      <c r="AJ46" s="139">
        <f t="shared" si="231"/>
        <v>-6.9315839773718135E-3</v>
      </c>
      <c r="AK46" s="139">
        <f t="shared" ref="AK46:AL46" si="232">AK56-AK32</f>
        <v>-3.6408666620026953E-3</v>
      </c>
      <c r="AL46" s="139">
        <f t="shared" si="232"/>
        <v>-3.4283082590651492E-3</v>
      </c>
      <c r="AM46" s="139">
        <f t="shared" ref="AM46:AN46" si="233">AM56-AM32</f>
        <v>-1.1190860070040554E-2</v>
      </c>
      <c r="AN46" s="139">
        <f t="shared" si="233"/>
        <v>-2.0706949747515413E-3</v>
      </c>
      <c r="AO46" s="139">
        <f t="shared" ref="AO46" si="234">AO56-AO32</f>
        <v>-9.2958344946569849E-3</v>
      </c>
      <c r="AP46" s="139">
        <f t="shared" ref="AP46:AQ46" si="235">AP56-AP32</f>
        <v>7.453808371427062E-4</v>
      </c>
      <c r="AQ46" s="139">
        <f t="shared" si="235"/>
        <v>-1.2086436592583683E-2</v>
      </c>
      <c r="AR46" s="139">
        <f t="shared" ref="AR46:AS46" si="236">AR56-AR32</f>
        <v>5.9451964005188263E-3</v>
      </c>
      <c r="AS46" s="139">
        <f t="shared" si="236"/>
        <v>-8.8629615891260283E-3</v>
      </c>
      <c r="AT46" s="139">
        <f t="shared" ref="AT46:AU46" si="237">AT56-AT32</f>
        <v>-1.1722935760937636E-2</v>
      </c>
      <c r="AU46" s="139">
        <f t="shared" si="237"/>
        <v>1.1217881959286746E-2</v>
      </c>
      <c r="AV46" s="139">
        <f t="shared" ref="AV46:AW46" si="238">AV56-AV32</f>
        <v>3.7479645406686135E-3</v>
      </c>
      <c r="AW46" s="139">
        <f t="shared" si="238"/>
        <v>-1.8375857294521403E-3</v>
      </c>
      <c r="AX46" s="139">
        <f t="shared" ref="AX46:AY46" si="239">AX56-AX32</f>
        <v>-4.1986064618104724E-3</v>
      </c>
      <c r="AY46" s="140">
        <f t="shared" si="239"/>
        <v>-4.4522842545329233E-3</v>
      </c>
      <c r="AZ46" s="602">
        <v>-1.4999999999999999E-2</v>
      </c>
      <c r="BA46" s="33">
        <v>-0.01</v>
      </c>
      <c r="BB46" s="33">
        <v>-2E-3</v>
      </c>
      <c r="BC46" s="33">
        <v>-2E-3</v>
      </c>
      <c r="BD46" s="33">
        <v>-2E-3</v>
      </c>
      <c r="BE46" s="33">
        <v>-2E-3</v>
      </c>
      <c r="BF46" s="33">
        <v>-2E-3</v>
      </c>
      <c r="BG46" s="33">
        <v>-2E-3</v>
      </c>
      <c r="BH46" s="33">
        <v>0</v>
      </c>
      <c r="BI46" s="33">
        <v>0</v>
      </c>
      <c r="BJ46" s="33">
        <v>0</v>
      </c>
      <c r="BK46" s="33">
        <v>0</v>
      </c>
      <c r="BL46" s="33">
        <v>0</v>
      </c>
      <c r="BM46" s="33">
        <v>0</v>
      </c>
      <c r="BN46" s="33">
        <v>0</v>
      </c>
      <c r="BO46" s="33">
        <v>0</v>
      </c>
      <c r="BP46" s="33">
        <v>0</v>
      </c>
      <c r="BQ46" s="33">
        <v>0</v>
      </c>
      <c r="BR46" s="30"/>
      <c r="BS46" s="207" t="e">
        <f>BS56-BS32</f>
        <v>#DIV/0!</v>
      </c>
      <c r="BT46" s="207">
        <f>BT56-BT32</f>
        <v>-7.8302222658656384E-2</v>
      </c>
      <c r="BU46" s="207">
        <f t="shared" ref="BU46:CB47" si="240">BU56-BU32</f>
        <v>4.658444916222293E-2</v>
      </c>
      <c r="BV46" s="207">
        <f t="shared" si="240"/>
        <v>0.17445101359557924</v>
      </c>
      <c r="BW46" s="207">
        <f t="shared" si="240"/>
        <v>0.14675724653038591</v>
      </c>
      <c r="BX46" s="207">
        <f t="shared" si="240"/>
        <v>0.13078477935865385</v>
      </c>
      <c r="BY46" s="207">
        <f t="shared" si="240"/>
        <v>0.14913085709262219</v>
      </c>
      <c r="BZ46" s="207">
        <f t="shared" si="240"/>
        <v>-1.9277499796595876E-2</v>
      </c>
      <c r="CA46" s="207">
        <f t="shared" si="240"/>
        <v>9.4961655344697693E-2</v>
      </c>
      <c r="CB46" s="207">
        <f t="shared" si="240"/>
        <v>-2.6396719025811644E-2</v>
      </c>
      <c r="CC46" s="30">
        <f t="shared" ref="CC46:CR47" si="241">CC56-CC32</f>
        <v>-9.1164016709054718E-2</v>
      </c>
      <c r="CD46" s="30">
        <f t="shared" si="241"/>
        <v>-8.2491835683774495E-2</v>
      </c>
      <c r="CE46" s="30">
        <f t="shared" si="241"/>
        <v>1.6290786454187547</v>
      </c>
      <c r="CF46" s="30">
        <f t="shared" si="241"/>
        <v>-2.6347837472297631E-2</v>
      </c>
      <c r="CG46" s="30">
        <f t="shared" si="241"/>
        <v>-6.8969416626234459E-3</v>
      </c>
      <c r="CH46" s="30">
        <f t="shared" si="241"/>
        <v>-6.845853099957111E-5</v>
      </c>
      <c r="CI46" s="30">
        <f t="shared" si="241"/>
        <v>2.856891575164755E-2</v>
      </c>
      <c r="CJ46" s="30">
        <f t="shared" si="241"/>
        <v>-2.3529465691634499E-2</v>
      </c>
      <c r="CK46" s="30">
        <f t="shared" si="241"/>
        <v>-2.2882843201631475E-2</v>
      </c>
      <c r="CL46" s="30">
        <f t="shared" si="241"/>
        <v>-1.9901915212255927E-2</v>
      </c>
      <c r="CM46" s="32">
        <f t="shared" si="241"/>
        <v>1.0556403832521877E-2</v>
      </c>
      <c r="CN46" s="32">
        <f t="shared" si="241"/>
        <v>-2.259879758585992E-4</v>
      </c>
      <c r="CO46" s="32">
        <f t="shared" si="241"/>
        <v>5.1454725507222854E-3</v>
      </c>
      <c r="CP46" s="32">
        <f t="shared" si="241"/>
        <v>2.2088960404134994E-2</v>
      </c>
      <c r="CQ46" s="32">
        <f t="shared" si="241"/>
        <v>-9.434625304402644E-3</v>
      </c>
      <c r="CR46" s="32">
        <f t="shared" si="241"/>
        <v>-1.7570458220610874E-2</v>
      </c>
      <c r="CS46" s="32">
        <f>CS56-CS32</f>
        <v>-1.0859452998058128E-2</v>
      </c>
      <c r="CT46" s="32">
        <f t="shared" ref="CT46:CX46" si="242">CT56-CT32</f>
        <v>-1.5049250521343094E-2</v>
      </c>
      <c r="CU46" s="32">
        <f t="shared" si="242"/>
        <v>-1.1743648447446242E-2</v>
      </c>
      <c r="CV46" s="32">
        <f t="shared" si="242"/>
        <v>-1.2094340395470526E-2</v>
      </c>
      <c r="CW46" s="32">
        <f t="shared" si="242"/>
        <v>-3.1818854433509625E-3</v>
      </c>
      <c r="CX46" s="32">
        <f t="shared" si="242"/>
        <v>-6.3757130370212245E-4</v>
      </c>
      <c r="CY46" s="32">
        <f t="shared" ref="CY46:DA47" si="243">CY56-CY32</f>
        <v>1.9366020678024398E-3</v>
      </c>
      <c r="CZ46" s="31">
        <f t="shared" si="243"/>
        <v>-8.862259226978475E-3</v>
      </c>
      <c r="DA46" s="30">
        <f t="shared" si="243"/>
        <v>-2.5352499999999889E-2</v>
      </c>
      <c r="DB46" s="30">
        <f t="shared" ref="DB46" si="244">DB56-DB32</f>
        <v>-4.0764000000002021E-3</v>
      </c>
      <c r="DC46" s="30">
        <f t="shared" ref="DC46:DD46" si="245">DC56-DC32</f>
        <v>-4.076399999999758E-3</v>
      </c>
      <c r="DD46" s="30">
        <f t="shared" si="245"/>
        <v>-4.07639999999998E-3</v>
      </c>
      <c r="DE46" s="30">
        <f t="shared" ref="DE46" si="246">DE56-DE32</f>
        <v>0</v>
      </c>
      <c r="DF46" s="30">
        <f t="shared" ref="DF46" si="247">DF56-DF32</f>
        <v>0</v>
      </c>
      <c r="DG46" s="30">
        <f t="shared" ref="DG46:DI47" si="248">DG56-DG32</f>
        <v>2.2204460492503131E-16</v>
      </c>
      <c r="DH46" s="30">
        <f t="shared" si="248"/>
        <v>0</v>
      </c>
      <c r="DI46" s="30">
        <f t="shared" si="248"/>
        <v>0</v>
      </c>
    </row>
    <row r="47" spans="1:113" ht="12" outlineLevel="1">
      <c r="A47" s="1" t="s">
        <v>312</v>
      </c>
      <c r="B47" s="15" t="s">
        <v>318</v>
      </c>
      <c r="C47" s="207" t="e">
        <f t="shared" si="225"/>
        <v>#VALUE!</v>
      </c>
      <c r="D47" s="207">
        <f t="shared" si="225"/>
        <v>-1.377303214282688E-2</v>
      </c>
      <c r="E47" s="207">
        <f t="shared" si="225"/>
        <v>3.8829994314967475E-2</v>
      </c>
      <c r="F47" s="207">
        <f t="shared" si="225"/>
        <v>1.7154828122487586E-3</v>
      </c>
      <c r="G47" s="207">
        <f t="shared" si="225"/>
        <v>4.0312958558841316E-4</v>
      </c>
      <c r="H47" s="207">
        <f t="shared" si="225"/>
        <v>0.95793552794397541</v>
      </c>
      <c r="I47" s="207">
        <f t="shared" si="225"/>
        <v>-4.5791800893839274E-2</v>
      </c>
      <c r="J47" s="207">
        <f t="shared" si="225"/>
        <v>-6.4439984714150148E-2</v>
      </c>
      <c r="K47" s="207">
        <f t="shared" si="225"/>
        <v>-7.5652978863079645E-2</v>
      </c>
      <c r="L47" s="207">
        <f t="shared" si="225"/>
        <v>8.7299840873971135E-3</v>
      </c>
      <c r="M47" s="30">
        <f t="shared" si="226"/>
        <v>-4.3787220929336401E-2</v>
      </c>
      <c r="N47" s="30">
        <f t="shared" si="226"/>
        <v>-1.4660844202925905E-2</v>
      </c>
      <c r="O47" s="30">
        <f t="shared" si="226"/>
        <v>-7.2614153919607904E-2</v>
      </c>
      <c r="P47" s="30">
        <f t="shared" si="226"/>
        <v>-8.3204066763116202E-3</v>
      </c>
      <c r="Q47" s="30">
        <f t="shared" si="226"/>
        <v>-6.9211076050429865E-2</v>
      </c>
      <c r="R47" s="30">
        <f t="shared" si="226"/>
        <v>-1.5398432832993469E-2</v>
      </c>
      <c r="S47" s="30">
        <f t="shared" si="226"/>
        <v>-1.1017579770622565E-2</v>
      </c>
      <c r="T47" s="32">
        <f t="shared" si="226"/>
        <v>3.8146924705707463E-2</v>
      </c>
      <c r="U47" s="30">
        <f t="shared" si="226"/>
        <v>-2.5303205890080172E-2</v>
      </c>
      <c r="V47" s="30">
        <f t="shared" si="226"/>
        <v>-8.8017124687161941E-3</v>
      </c>
      <c r="W47" s="30">
        <f t="shared" si="226"/>
        <v>-2.0654301037471789E-2</v>
      </c>
      <c r="X47" s="30">
        <f t="shared" si="226"/>
        <v>-2.0658115974567126E-2</v>
      </c>
      <c r="Y47" s="32">
        <f t="shared" si="226"/>
        <v>-2.2393974007913764E-2</v>
      </c>
      <c r="Z47" s="32">
        <f t="shared" si="227"/>
        <v>-1.3785712540927308E-2</v>
      </c>
      <c r="AA47" s="139">
        <f t="shared" si="227"/>
        <v>1.9647165893654783E-2</v>
      </c>
      <c r="AB47" s="139">
        <f t="shared" si="227"/>
        <v>3.459753191849968E-2</v>
      </c>
      <c r="AC47" s="139">
        <f t="shared" ref="AC47:AD47" si="249">AC57-AC33</f>
        <v>1.4102786962577163E-2</v>
      </c>
      <c r="AD47" s="139">
        <f t="shared" si="249"/>
        <v>-8.0807680507843926E-4</v>
      </c>
      <c r="AE47" s="139">
        <f t="shared" ref="AE47:AF47" si="250">AE57-AE33</f>
        <v>4.5815591483946427E-3</v>
      </c>
      <c r="AF47" s="139">
        <f t="shared" si="250"/>
        <v>-5.1211632217600389E-2</v>
      </c>
      <c r="AG47" s="139">
        <f t="shared" ref="AG47:AH47" si="251">AG57-AG33</f>
        <v>-3.3007662788032799E-2</v>
      </c>
      <c r="AH47" s="139">
        <f t="shared" si="251"/>
        <v>-2.4416659622236936E-2</v>
      </c>
      <c r="AI47" s="139">
        <f t="shared" ref="AI47:AJ47" si="252">AI57-AI33</f>
        <v>-2.2454249701317042E-2</v>
      </c>
      <c r="AJ47" s="139">
        <f t="shared" si="252"/>
        <v>-9.7202487094727452E-4</v>
      </c>
      <c r="AK47" s="139">
        <f t="shared" ref="AK47:AL47" si="253">AK57-AK33</f>
        <v>-4.264746580265999E-2</v>
      </c>
      <c r="AL47" s="139">
        <f t="shared" si="253"/>
        <v>-3.8215091827048853E-2</v>
      </c>
      <c r="AM47" s="139">
        <f t="shared" ref="AM47:AN47" si="254">AM57-AM33</f>
        <v>-6.3606331742080857E-2</v>
      </c>
      <c r="AN47" s="139">
        <f t="shared" si="254"/>
        <v>-0.11465146166172202</v>
      </c>
      <c r="AO47" s="139">
        <f t="shared" ref="AO47" si="255">AO57-AO33</f>
        <v>-3.477348949238579E-2</v>
      </c>
      <c r="AP47" s="139">
        <f t="shared" ref="AP47:AQ47" si="256">AP57-AP33</f>
        <v>7.6697761056639946E-3</v>
      </c>
      <c r="AQ47" s="139">
        <f t="shared" si="256"/>
        <v>-0.12650015686429827</v>
      </c>
      <c r="AR47" s="139">
        <f t="shared" ref="AR47:AS47" si="257">AR57-AR33</f>
        <v>2.6143195448242063E-2</v>
      </c>
      <c r="AS47" s="139">
        <f t="shared" si="257"/>
        <v>2.3692269674007171E-3</v>
      </c>
      <c r="AT47" s="139">
        <f t="shared" ref="AT47:AU47" si="258">AT57-AT33</f>
        <v>4.1567311161862186E-2</v>
      </c>
      <c r="AU47" s="139">
        <f t="shared" si="258"/>
        <v>-1.1917704508283999E-2</v>
      </c>
      <c r="AV47" s="139">
        <f t="shared" ref="AV47:AW47" si="259">AV57-AV33</f>
        <v>-6.8805871759867188E-3</v>
      </c>
      <c r="AW47" s="139">
        <f t="shared" si="259"/>
        <v>-3.1237072130342103E-2</v>
      </c>
      <c r="AX47" s="139">
        <f t="shared" ref="AX47:AY47" si="260">AX57-AX33</f>
        <v>-1.6577327317749857E-2</v>
      </c>
      <c r="AY47" s="140">
        <f t="shared" si="260"/>
        <v>-3.2033921909274343E-2</v>
      </c>
      <c r="AZ47" s="602">
        <v>-7.0000000000000007E-2</v>
      </c>
      <c r="BA47" s="33">
        <v>-0.04</v>
      </c>
      <c r="BB47" s="33">
        <v>-0.04</v>
      </c>
      <c r="BC47" s="33">
        <v>-0.04</v>
      </c>
      <c r="BD47" s="33">
        <v>-0.02</v>
      </c>
      <c r="BE47" s="33">
        <v>-0.01</v>
      </c>
      <c r="BF47" s="33">
        <v>-0.01</v>
      </c>
      <c r="BG47" s="33">
        <v>-0.01</v>
      </c>
      <c r="BH47" s="33">
        <v>0</v>
      </c>
      <c r="BI47" s="33">
        <f>BH47</f>
        <v>0</v>
      </c>
      <c r="BJ47" s="33">
        <f t="shared" ref="BJ47:BQ47" si="261">BI47</f>
        <v>0</v>
      </c>
      <c r="BK47" s="33">
        <f t="shared" si="261"/>
        <v>0</v>
      </c>
      <c r="BL47" s="33">
        <f t="shared" si="261"/>
        <v>0</v>
      </c>
      <c r="BM47" s="33">
        <f t="shared" si="261"/>
        <v>0</v>
      </c>
      <c r="BN47" s="33">
        <f t="shared" si="261"/>
        <v>0</v>
      </c>
      <c r="BO47" s="33">
        <f t="shared" si="261"/>
        <v>0</v>
      </c>
      <c r="BP47" s="33">
        <f t="shared" si="261"/>
        <v>0</v>
      </c>
      <c r="BQ47" s="33">
        <f t="shared" si="261"/>
        <v>0</v>
      </c>
      <c r="BR47" s="30"/>
      <c r="BS47" s="207" t="e">
        <f>BS57-BS33</f>
        <v>#DIV/0!</v>
      </c>
      <c r="BT47" s="207">
        <f>BT57-BT33</f>
        <v>-7.8302222658656606E-2</v>
      </c>
      <c r="BU47" s="207">
        <f t="shared" si="240"/>
        <v>4.6584449162222707E-2</v>
      </c>
      <c r="BV47" s="207">
        <f t="shared" si="240"/>
        <v>0.17445101359557902</v>
      </c>
      <c r="BW47" s="207">
        <f t="shared" si="240"/>
        <v>0.14675724653038591</v>
      </c>
      <c r="BX47" s="207">
        <f t="shared" si="240"/>
        <v>0.13078477935865407</v>
      </c>
      <c r="BY47" s="207">
        <f t="shared" si="240"/>
        <v>0.14913085709262219</v>
      </c>
      <c r="BZ47" s="207">
        <f t="shared" si="240"/>
        <v>-1.1088204420089509E-2</v>
      </c>
      <c r="CA47" s="207">
        <f t="shared" si="240"/>
        <v>0.34046277074629971</v>
      </c>
      <c r="CB47" s="207">
        <f t="shared" si="240"/>
        <v>0.14815736821652936</v>
      </c>
      <c r="CC47" s="30">
        <f t="shared" si="241"/>
        <v>2.655834889068287E-2</v>
      </c>
      <c r="CD47" s="30">
        <f t="shared" si="241"/>
        <v>2.1368538444981322E-3</v>
      </c>
      <c r="CE47" s="30">
        <f t="shared" si="241"/>
        <v>0.8903182151692941</v>
      </c>
      <c r="CF47" s="30">
        <f t="shared" si="241"/>
        <v>-0.14672189787018941</v>
      </c>
      <c r="CG47" s="30">
        <f t="shared" si="241"/>
        <v>-3.7573365133271475E-2</v>
      </c>
      <c r="CH47" s="30">
        <f t="shared" si="241"/>
        <v>-9.2532542699574005E-2</v>
      </c>
      <c r="CI47" s="30">
        <f t="shared" si="241"/>
        <v>-8.2045500418908679E-2</v>
      </c>
      <c r="CJ47" s="30">
        <f t="shared" si="241"/>
        <v>-2.6271685061599048E-2</v>
      </c>
      <c r="CK47" s="30">
        <f t="shared" si="241"/>
        <v>1.2774785622080564E-2</v>
      </c>
      <c r="CL47" s="30">
        <f t="shared" si="241"/>
        <v>-2.9494170268055564E-2</v>
      </c>
      <c r="CM47" s="32">
        <f t="shared" si="241"/>
        <v>-4.3992543687054075E-2</v>
      </c>
      <c r="CN47" s="32">
        <f t="shared" si="241"/>
        <v>6.0135687540381344E-3</v>
      </c>
      <c r="CO47" s="32">
        <f t="shared" si="241"/>
        <v>5.0098411142986743E-2</v>
      </c>
      <c r="CP47" s="32">
        <f t="shared" si="241"/>
        <v>3.9255830270015224E-3</v>
      </c>
      <c r="CQ47" s="32">
        <f t="shared" si="241"/>
        <v>-8.5193877782529737E-2</v>
      </c>
      <c r="CR47" s="32">
        <f t="shared" si="241"/>
        <v>-4.7081205653199176E-2</v>
      </c>
      <c r="CS47" s="32">
        <f>CS57-CS33</f>
        <v>-4.418633568554764E-2</v>
      </c>
      <c r="CT47" s="32">
        <f t="shared" ref="CT47:CX47" si="262">CT57-CT33</f>
        <v>-0.10209078176090036</v>
      </c>
      <c r="CU47" s="32">
        <f t="shared" si="262"/>
        <v>-0.14015120410524951</v>
      </c>
      <c r="CV47" s="32">
        <f t="shared" si="262"/>
        <v>-0.11744614072579529</v>
      </c>
      <c r="CW47" s="32">
        <f t="shared" si="262"/>
        <v>3.0070552243102622E-2</v>
      </c>
      <c r="CX47" s="32">
        <f t="shared" si="262"/>
        <v>2.9784719671505644E-2</v>
      </c>
      <c r="CY47" s="32">
        <f t="shared" si="243"/>
        <v>-3.8366444549348455E-2</v>
      </c>
      <c r="CZ47" s="31">
        <f t="shared" si="243"/>
        <v>-4.8912356748277874E-2</v>
      </c>
      <c r="DA47" s="30">
        <f t="shared" si="243"/>
        <v>-0.10852396000000009</v>
      </c>
      <c r="DB47" s="30">
        <f t="shared" ref="DB47" si="263">DB57-DB33</f>
        <v>-7.9362880000000136E-2</v>
      </c>
      <c r="DC47" s="30">
        <f t="shared" ref="DC47:DD47" si="264">DC57-DC33</f>
        <v>-3.0161080000000173E-2</v>
      </c>
      <c r="DD47" s="30">
        <f t="shared" si="264"/>
        <v>-2.014071999999989E-2</v>
      </c>
      <c r="DE47" s="30">
        <f t="shared" ref="DE47" si="265">DE57-DE33</f>
        <v>0</v>
      </c>
      <c r="DF47" s="30">
        <f t="shared" ref="DF47" si="266">DF57-DF33</f>
        <v>-2.2204460492503131E-16</v>
      </c>
      <c r="DG47" s="30">
        <f t="shared" si="248"/>
        <v>0</v>
      </c>
      <c r="DH47" s="30">
        <f t="shared" si="248"/>
        <v>-2.2204460492503131E-16</v>
      </c>
      <c r="DI47" s="30">
        <f t="shared" si="248"/>
        <v>0</v>
      </c>
    </row>
    <row r="48" spans="1:113" ht="12" outlineLevel="1">
      <c r="A48" s="1" t="s">
        <v>313</v>
      </c>
      <c r="B48" s="15" t="s">
        <v>319</v>
      </c>
      <c r="C48" s="207" t="e">
        <f t="shared" ref="C48:L49" si="267">C59-C34</f>
        <v>#VALUE!</v>
      </c>
      <c r="D48" s="207">
        <f t="shared" si="267"/>
        <v>4.4118396899857082E-3</v>
      </c>
      <c r="E48" s="207">
        <f t="shared" si="267"/>
        <v>0.11521230650518266</v>
      </c>
      <c r="F48" s="207">
        <f t="shared" si="267"/>
        <v>0.16068060244343618</v>
      </c>
      <c r="G48" s="207">
        <f t="shared" si="267"/>
        <v>0.20254874180691518</v>
      </c>
      <c r="H48" s="207">
        <f t="shared" si="267"/>
        <v>0.19047327858393515</v>
      </c>
      <c r="I48" s="207">
        <f t="shared" si="267"/>
        <v>0.13846022138705072</v>
      </c>
      <c r="J48" s="207">
        <f t="shared" si="267"/>
        <v>0.2050199124094616</v>
      </c>
      <c r="K48" s="207">
        <f t="shared" si="267"/>
        <v>0.12646895619022791</v>
      </c>
      <c r="L48" s="207">
        <f t="shared" si="267"/>
        <v>9.981572481572476E-2</v>
      </c>
      <c r="M48" s="30">
        <f t="shared" ref="M48:X49" si="268">M59-M34</f>
        <v>0.15379993737994302</v>
      </c>
      <c r="N48" s="30">
        <f t="shared" si="268"/>
        <v>0.19463554043085818</v>
      </c>
      <c r="O48" s="30">
        <f t="shared" si="268"/>
        <v>0.34020559786201843</v>
      </c>
      <c r="P48" s="30">
        <f t="shared" si="268"/>
        <v>0.24055868700265237</v>
      </c>
      <c r="Q48" s="30">
        <f t="shared" si="268"/>
        <v>0.20196644416381027</v>
      </c>
      <c r="R48" s="30">
        <f t="shared" si="268"/>
        <v>3.6414206247325609E-2</v>
      </c>
      <c r="S48" s="30">
        <f t="shared" si="268"/>
        <v>8.524939684677113E-2</v>
      </c>
      <c r="T48" s="32">
        <f t="shared" si="268"/>
        <v>3.4256153652860721E-2</v>
      </c>
      <c r="U48" s="30">
        <f t="shared" si="268"/>
        <v>0.25105501946306252</v>
      </c>
      <c r="V48" s="30">
        <f t="shared" si="268"/>
        <v>0.22977628902497838</v>
      </c>
      <c r="W48" s="30">
        <f t="shared" si="268"/>
        <v>0.13342869931288104</v>
      </c>
      <c r="X48" s="30">
        <f t="shared" si="268"/>
        <v>0.26537089821460436</v>
      </c>
      <c r="Y48" s="32">
        <f t="shared" ref="Y48:AA49" si="269">Y59-Y34</f>
        <v>0.18682508926145736</v>
      </c>
      <c r="Z48" s="32">
        <f t="shared" si="269"/>
        <v>0.12476185029338605</v>
      </c>
      <c r="AA48" s="139">
        <f t="shared" si="269"/>
        <v>0.14040823938185154</v>
      </c>
      <c r="AB48" s="139">
        <f t="shared" ref="AB48:AC48" si="270">AB59-AB34</f>
        <v>4.785836961736889E-2</v>
      </c>
      <c r="AC48" s="139">
        <f t="shared" si="270"/>
        <v>3.7957505972837202E-2</v>
      </c>
      <c r="AD48" s="139">
        <f t="shared" ref="AD48:AE48" si="271">AD59-AD34</f>
        <v>-5.3817558590270348E-2</v>
      </c>
      <c r="AE48" s="139">
        <f t="shared" si="271"/>
        <v>-5.99119085792785E-2</v>
      </c>
      <c r="AF48" s="139">
        <f t="shared" ref="AF48:AG48" si="272">AF59-AF34</f>
        <v>-2.5236114976596252E-2</v>
      </c>
      <c r="AG48" s="139">
        <f t="shared" si="272"/>
        <v>-8.404256395175877E-2</v>
      </c>
      <c r="AH48" s="139">
        <f t="shared" ref="AH48:AI48" si="273">AH59-AH34</f>
        <v>-8.980423654892819E-2</v>
      </c>
      <c r="AI48" s="139">
        <f t="shared" si="273"/>
        <v>-0.65022570612853425</v>
      </c>
      <c r="AJ48" s="139">
        <f t="shared" ref="AJ48:AK48" si="274">AJ59-AJ34</f>
        <v>-0.75128757588359529</v>
      </c>
      <c r="AK48" s="139">
        <f t="shared" si="274"/>
        <v>-5.0279929451219028E-2</v>
      </c>
      <c r="AL48" s="139">
        <f t="shared" ref="AL48:AM48" si="275">AL59-AL34</f>
        <v>-5.306165929977421E-2</v>
      </c>
      <c r="AM48" s="139">
        <f t="shared" si="275"/>
        <v>-0.41682548632647315</v>
      </c>
      <c r="AN48" s="139">
        <f t="shared" ref="AN48:AO48" si="276">AN59-AN34</f>
        <v>-7.4564173611404855E-2</v>
      </c>
      <c r="AO48" s="139">
        <f t="shared" si="276"/>
        <v>1.7945890878020378E-2</v>
      </c>
      <c r="AP48" s="139">
        <f t="shared" ref="AP48:AQ48" si="277">AP59-AP34</f>
        <v>-8.2436960529683398E-3</v>
      </c>
      <c r="AQ48" s="139">
        <f t="shared" si="277"/>
        <v>-7.2291480820695891E-2</v>
      </c>
      <c r="AR48" s="139">
        <f t="shared" ref="AR48:AS48" si="278">AR59-AR34</f>
        <v>-3.9784522740916782E-2</v>
      </c>
      <c r="AS48" s="139">
        <f t="shared" si="278"/>
        <v>-0.12424325021773483</v>
      </c>
      <c r="AT48" s="139">
        <f t="shared" ref="AT48:AU48" si="279">AT59-AT34</f>
        <v>-3.7298410811388925E-2</v>
      </c>
      <c r="AU48" s="139">
        <f t="shared" si="279"/>
        <v>-0.16764569349476185</v>
      </c>
      <c r="AV48" s="139">
        <f t="shared" ref="AV48:AW48" si="280">AV59-AV34</f>
        <v>-3.1475744631890921E-2</v>
      </c>
      <c r="AW48" s="139">
        <f t="shared" si="280"/>
        <v>1.0474019482714238E-2</v>
      </c>
      <c r="AX48" s="139">
        <f t="shared" ref="AX48:AY48" si="281">AX59-AX34</f>
        <v>-7.1916579699815991E-2</v>
      </c>
      <c r="AY48" s="140">
        <f t="shared" si="281"/>
        <v>5.5091390585462544E-3</v>
      </c>
      <c r="AZ48" s="602">
        <v>0</v>
      </c>
      <c r="BA48" s="33">
        <v>0</v>
      </c>
      <c r="BB48" s="33">
        <v>0</v>
      </c>
      <c r="BC48" s="33">
        <v>0</v>
      </c>
      <c r="BD48" s="33">
        <v>0</v>
      </c>
      <c r="BE48" s="33">
        <v>0</v>
      </c>
      <c r="BF48" s="33">
        <v>0</v>
      </c>
      <c r="BG48" s="33">
        <v>0</v>
      </c>
      <c r="BH48" s="33">
        <v>0</v>
      </c>
      <c r="BI48" s="33">
        <v>0</v>
      </c>
      <c r="BJ48" s="33">
        <v>0</v>
      </c>
      <c r="BK48" s="33">
        <v>0</v>
      </c>
      <c r="BL48" s="33">
        <v>0</v>
      </c>
      <c r="BM48" s="33">
        <v>0</v>
      </c>
      <c r="BN48" s="33">
        <v>0</v>
      </c>
      <c r="BO48" s="33">
        <v>0</v>
      </c>
      <c r="BP48" s="33">
        <v>0</v>
      </c>
      <c r="BQ48" s="33">
        <v>0</v>
      </c>
      <c r="BR48" s="30"/>
      <c r="BS48" s="207" t="e">
        <f>BS59-BS34</f>
        <v>#DIV/0!</v>
      </c>
      <c r="BT48" s="207">
        <f>BT59-BT34</f>
        <v>-5.4801450710612043E-2</v>
      </c>
      <c r="BU48" s="207">
        <f t="shared" ref="BU48:CB48" si="282">BU59-BU34</f>
        <v>0.14799755169407991</v>
      </c>
      <c r="BV48" s="207">
        <f t="shared" si="282"/>
        <v>0.27317356610262511</v>
      </c>
      <c r="BW48" s="207">
        <f t="shared" si="282"/>
        <v>0.2264668901346909</v>
      </c>
      <c r="BX48" s="207">
        <f t="shared" si="282"/>
        <v>3.2168509953863555E-2</v>
      </c>
      <c r="BY48" s="207">
        <f t="shared" si="282"/>
        <v>-9.4348260649272486E-2</v>
      </c>
      <c r="BZ48" s="207">
        <f t="shared" si="282"/>
        <v>6.2998973748153553E-2</v>
      </c>
      <c r="CA48" s="207">
        <f t="shared" si="282"/>
        <v>-0.31330981274782099</v>
      </c>
      <c r="CB48" s="207">
        <f t="shared" si="282"/>
        <v>-0.22108147824532831</v>
      </c>
      <c r="CC48" s="30">
        <f t="shared" ref="CC48:CR49" si="283">CC59-CC34</f>
        <v>0.12013244442178261</v>
      </c>
      <c r="CD48" s="30">
        <f t="shared" si="283"/>
        <v>0.39577499810804673</v>
      </c>
      <c r="CE48" s="30">
        <f t="shared" si="283"/>
        <v>0.35530647229203494</v>
      </c>
      <c r="CF48" s="30">
        <f t="shared" si="283"/>
        <v>0.35741752292032603</v>
      </c>
      <c r="CG48" s="30">
        <f t="shared" si="283"/>
        <v>0.26896731442186006</v>
      </c>
      <c r="CH48" s="30">
        <f t="shared" si="283"/>
        <v>0.60105723869035388</v>
      </c>
      <c r="CI48" s="30">
        <f t="shared" si="283"/>
        <v>0.49110991379310343</v>
      </c>
      <c r="CJ48" s="30">
        <f t="shared" si="283"/>
        <v>0.12476789221333506</v>
      </c>
      <c r="CK48" s="30">
        <f t="shared" si="283"/>
        <v>0.29391135243797173</v>
      </c>
      <c r="CL48" s="30">
        <f t="shared" si="283"/>
        <v>0.39386373971540278</v>
      </c>
      <c r="CM48" s="32">
        <f t="shared" si="283"/>
        <v>0.50177392922239838</v>
      </c>
      <c r="CN48" s="32">
        <f t="shared" si="283"/>
        <v>0.28268768141695411</v>
      </c>
      <c r="CO48" s="32">
        <f t="shared" si="283"/>
        <v>8.7632459940807594E-2</v>
      </c>
      <c r="CP48" s="32">
        <f t="shared" si="283"/>
        <v>-0.11391703853441504</v>
      </c>
      <c r="CQ48" s="32">
        <f t="shared" si="283"/>
        <v>-0.11043613148939102</v>
      </c>
      <c r="CR48" s="32">
        <f t="shared" si="283"/>
        <v>-0.71123811726120034</v>
      </c>
      <c r="CS48" s="32">
        <f>CS59-CS34</f>
        <v>-0.79585551923520237</v>
      </c>
      <c r="CT48" s="32">
        <f t="shared" ref="CT48:CX48" si="284">CT59-CT34</f>
        <v>-0.46656517950837939</v>
      </c>
      <c r="CU48" s="32">
        <f t="shared" si="284"/>
        <v>-6.022113456576017E-2</v>
      </c>
      <c r="CV48" s="32">
        <f t="shared" si="284"/>
        <v>-8.3160634953506007E-2</v>
      </c>
      <c r="CW48" s="32">
        <f t="shared" si="284"/>
        <v>-0.16564592546330492</v>
      </c>
      <c r="CX48" s="32">
        <f t="shared" si="284"/>
        <v>-0.206888950531669</v>
      </c>
      <c r="CY48" s="32">
        <f t="shared" ref="CY48:DA49" si="285">CY59-CY34</f>
        <v>-2.2171471717651103E-2</v>
      </c>
      <c r="CZ48" s="31">
        <f t="shared" si="285"/>
        <v>-6.9459936705102088E-2</v>
      </c>
      <c r="DA48" s="30">
        <f t="shared" si="285"/>
        <v>-2.2204460492503131E-16</v>
      </c>
      <c r="DB48" s="30">
        <f t="shared" ref="DB48" si="286">DB59-DB34</f>
        <v>0</v>
      </c>
      <c r="DC48" s="30">
        <f t="shared" ref="DC48:DD48" si="287">DC59-DC34</f>
        <v>0</v>
      </c>
      <c r="DD48" s="30">
        <f t="shared" si="287"/>
        <v>-4.4408920985006262E-16</v>
      </c>
      <c r="DE48" s="30">
        <f t="shared" ref="DE48" si="288">DE59-DE34</f>
        <v>-2.2204460492503131E-16</v>
      </c>
      <c r="DF48" s="30">
        <f t="shared" ref="DF48" si="289">DF59-DF34</f>
        <v>-2.2204460492503131E-16</v>
      </c>
      <c r="DG48" s="30">
        <f t="shared" ref="DG48:DI49" si="290">DG59-DG34</f>
        <v>0</v>
      </c>
      <c r="DH48" s="30">
        <f t="shared" si="290"/>
        <v>-2.2204460492503131E-16</v>
      </c>
      <c r="DI48" s="30">
        <f t="shared" si="290"/>
        <v>0</v>
      </c>
    </row>
    <row r="49" spans="1:113" ht="12" outlineLevel="1">
      <c r="A49" s="1" t="s">
        <v>383</v>
      </c>
      <c r="B49" s="15" t="s">
        <v>320</v>
      </c>
      <c r="C49" s="207" t="e">
        <f t="shared" si="267"/>
        <v>#VALUE!</v>
      </c>
      <c r="D49" s="207">
        <f t="shared" si="267"/>
        <v>0.22133387721802977</v>
      </c>
      <c r="E49" s="207">
        <f t="shared" si="267"/>
        <v>0.40187129926951615</v>
      </c>
      <c r="F49" s="207">
        <f t="shared" si="267"/>
        <v>0.20160203393983966</v>
      </c>
      <c r="G49" s="207">
        <f t="shared" si="267"/>
        <v>0.28952902937989911</v>
      </c>
      <c r="H49" s="207">
        <f t="shared" si="267"/>
        <v>-2.5353365622220125E-2</v>
      </c>
      <c r="I49" s="207">
        <f t="shared" si="267"/>
        <v>3.3438691975277601E-2</v>
      </c>
      <c r="J49" s="207">
        <f t="shared" si="267"/>
        <v>6.0487177250523327E-2</v>
      </c>
      <c r="K49" s="207">
        <f t="shared" si="267"/>
        <v>5.0265578442803438E-2</v>
      </c>
      <c r="L49" s="207">
        <f t="shared" si="267"/>
        <v>0.29009419647140122</v>
      </c>
      <c r="M49" s="30">
        <f t="shared" si="268"/>
        <v>0.12326530116678613</v>
      </c>
      <c r="N49" s="30">
        <f t="shared" si="268"/>
        <v>9.1303619393507063E-2</v>
      </c>
      <c r="O49" s="30">
        <f t="shared" si="268"/>
        <v>9.6951838553918757E-2</v>
      </c>
      <c r="P49" s="30">
        <f t="shared" si="268"/>
        <v>9.5642477268828241E-2</v>
      </c>
      <c r="Q49" s="30">
        <f t="shared" si="268"/>
        <v>0.14891042783503039</v>
      </c>
      <c r="R49" s="30">
        <f t="shared" si="268"/>
        <v>-5.9613871572958832E-2</v>
      </c>
      <c r="S49" s="30">
        <f t="shared" si="268"/>
        <v>0.35382121727854776</v>
      </c>
      <c r="T49" s="32">
        <f t="shared" si="268"/>
        <v>0.13490169785648076</v>
      </c>
      <c r="U49" s="30">
        <f t="shared" si="268"/>
        <v>2.1797579331982999</v>
      </c>
      <c r="V49" s="30">
        <f t="shared" si="268"/>
        <v>4.4584741727230925E-2</v>
      </c>
      <c r="W49" s="30">
        <f t="shared" si="268"/>
        <v>-4.2806680399828712E-2</v>
      </c>
      <c r="X49" s="30">
        <f t="shared" si="268"/>
        <v>-2.1487705898352139E-2</v>
      </c>
      <c r="Y49" s="32">
        <f t="shared" si="269"/>
        <v>3.9254524281698178E-2</v>
      </c>
      <c r="Z49" s="32">
        <f t="shared" si="269"/>
        <v>-5.6329312662617426E-3</v>
      </c>
      <c r="AA49" s="139">
        <f t="shared" si="269"/>
        <v>-8.7169216372678937E-3</v>
      </c>
      <c r="AB49" s="139">
        <f t="shared" ref="AB49:AC49" si="291">AB60-AB35</f>
        <v>2.0281982440890634E-2</v>
      </c>
      <c r="AC49" s="139">
        <f t="shared" si="291"/>
        <v>3.6430997604360194E-2</v>
      </c>
      <c r="AD49" s="139">
        <f t="shared" ref="AD49:AE49" si="292">AD60-AD35</f>
        <v>-6.707240578232751E-2</v>
      </c>
      <c r="AE49" s="139">
        <f t="shared" si="292"/>
        <v>-6.1055363156374914E-2</v>
      </c>
      <c r="AF49" s="139">
        <f t="shared" ref="AF49:AG49" si="293">AF60-AF35</f>
        <v>6.1728904846510863E-2</v>
      </c>
      <c r="AG49" s="139">
        <f t="shared" si="293"/>
        <v>-6.8868349593332739E-2</v>
      </c>
      <c r="AH49" s="139">
        <f t="shared" ref="AH49:AI49" si="294">AH60-AH35</f>
        <v>-6.880451771843496E-2</v>
      </c>
      <c r="AI49" s="139">
        <f t="shared" si="294"/>
        <v>-0.37985901483522283</v>
      </c>
      <c r="AJ49" s="139">
        <f t="shared" ref="AJ49:AK49" si="295">AJ60-AJ35</f>
        <v>-1.0253720788493399</v>
      </c>
      <c r="AK49" s="139">
        <f t="shared" si="295"/>
        <v>-0.17167473902710514</v>
      </c>
      <c r="AL49" s="139">
        <f t="shared" ref="AL49:AM49" si="296">AL60-AL35</f>
        <v>-5.6906873614190633E-2</v>
      </c>
      <c r="AM49" s="139">
        <f t="shared" si="296"/>
        <v>-0.48462456536039838</v>
      </c>
      <c r="AN49" s="139">
        <f t="shared" ref="AN49:AO49" si="297">AN60-AN35</f>
        <v>-0.12365413088540131</v>
      </c>
      <c r="AO49" s="139">
        <f t="shared" si="297"/>
        <v>-5.5303649331763759E-2</v>
      </c>
      <c r="AP49" s="139">
        <f t="shared" ref="AP49:AQ49" si="298">AP60-AP35</f>
        <v>-0.14923581809657768</v>
      </c>
      <c r="AQ49" s="139">
        <f t="shared" si="298"/>
        <v>-9.2368421052631516E-2</v>
      </c>
      <c r="AR49" s="139">
        <f t="shared" ref="AR49:AS49" si="299">AR60-AR35</f>
        <v>0.20682032768675354</v>
      </c>
      <c r="AS49" s="139">
        <f t="shared" si="299"/>
        <v>-0.17283442469597751</v>
      </c>
      <c r="AT49" s="139">
        <f t="shared" ref="AT49:AU49" si="300">AT60-AT35</f>
        <v>-5.6341501001695091E-3</v>
      </c>
      <c r="AU49" s="139">
        <f t="shared" si="300"/>
        <v>-7.6352800953516126E-2</v>
      </c>
      <c r="AV49" s="139">
        <f t="shared" ref="AV49:AW49" si="301">AV60-AV35</f>
        <v>-3.381570810142228E-2</v>
      </c>
      <c r="AW49" s="139">
        <f t="shared" si="301"/>
        <v>2.5304240934234813E-2</v>
      </c>
      <c r="AX49" s="139">
        <f t="shared" ref="AX49:AY49" si="302">AX60-AX35</f>
        <v>-0.13375450742824188</v>
      </c>
      <c r="AY49" s="140">
        <f t="shared" si="302"/>
        <v>1.013528569154868E-2</v>
      </c>
      <c r="AZ49" s="602">
        <v>-0.13</v>
      </c>
      <c r="BA49" s="33">
        <v>-0.1</v>
      </c>
      <c r="BB49" s="33">
        <v>-0.1</v>
      </c>
      <c r="BC49" s="33">
        <v>-7.4999999999999997E-2</v>
      </c>
      <c r="BD49" s="33">
        <v>-7.4999999999999997E-2</v>
      </c>
      <c r="BE49" s="33">
        <v>-7.4999999999999997E-2</v>
      </c>
      <c r="BF49" s="33">
        <v>-7.4999999999999997E-2</v>
      </c>
      <c r="BG49" s="33">
        <v>-7.4999999999999997E-2</v>
      </c>
      <c r="BH49" s="33">
        <v>0</v>
      </c>
      <c r="BI49" s="33">
        <v>0</v>
      </c>
      <c r="BJ49" s="33">
        <v>0</v>
      </c>
      <c r="BK49" s="33">
        <v>-4.4999999999999998E-2</v>
      </c>
      <c r="BL49" s="33">
        <v>-4.4999999999999998E-2</v>
      </c>
      <c r="BM49" s="33">
        <v>-4.4999999999999998E-2</v>
      </c>
      <c r="BN49" s="33">
        <v>-0.02</v>
      </c>
      <c r="BO49" s="33">
        <v>-0.02</v>
      </c>
      <c r="BP49" s="33">
        <v>0</v>
      </c>
      <c r="BQ49" s="33">
        <v>0</v>
      </c>
      <c r="BR49" s="30"/>
      <c r="BS49" s="207" t="e">
        <f t="shared" ref="BS49:CB49" si="303">BS60-BS35</f>
        <v>#DIV/0!</v>
      </c>
      <c r="BT49" s="207">
        <f t="shared" si="303"/>
        <v>-5.4801450710611932E-2</v>
      </c>
      <c r="BU49" s="207">
        <f t="shared" si="303"/>
        <v>0.14799755169407969</v>
      </c>
      <c r="BV49" s="207">
        <f t="shared" si="303"/>
        <v>0.27317356610262489</v>
      </c>
      <c r="BW49" s="207">
        <f t="shared" si="303"/>
        <v>0.22646689013469046</v>
      </c>
      <c r="BX49" s="207">
        <f t="shared" si="303"/>
        <v>3.2168509953863778E-2</v>
      </c>
      <c r="BY49" s="207">
        <f t="shared" si="303"/>
        <v>-9.4348260649272597E-2</v>
      </c>
      <c r="BZ49" s="207">
        <f t="shared" si="303"/>
        <v>6.2998973748153775E-2</v>
      </c>
      <c r="CA49" s="207">
        <f t="shared" si="303"/>
        <v>-0.86280907811374152</v>
      </c>
      <c r="CB49" s="207">
        <f t="shared" si="303"/>
        <v>1.3349525131303235</v>
      </c>
      <c r="CC49" s="30">
        <f t="shared" ref="CC49:CO49" si="304">CC60-CC35</f>
        <v>0.71215290929751496</v>
      </c>
      <c r="CD49" s="30">
        <f t="shared" si="304"/>
        <v>0.54950070452735389</v>
      </c>
      <c r="CE49" s="30">
        <f t="shared" si="304"/>
        <v>7.2375429694793159E-3</v>
      </c>
      <c r="CF49" s="30">
        <f t="shared" si="304"/>
        <v>0.11379317864619676</v>
      </c>
      <c r="CG49" s="30">
        <f t="shared" si="304"/>
        <v>0.44911804613297135</v>
      </c>
      <c r="CH49" s="30">
        <f t="shared" si="304"/>
        <v>0.19710751171425334</v>
      </c>
      <c r="CI49" s="30">
        <f t="shared" si="304"/>
        <v>0.25879506731316182</v>
      </c>
      <c r="CJ49" s="30">
        <f t="shared" si="304"/>
        <v>0.27311469309895764</v>
      </c>
      <c r="CK49" s="30">
        <f t="shared" si="304"/>
        <v>2.6087126771593652</v>
      </c>
      <c r="CL49" s="30">
        <f t="shared" si="304"/>
        <v>-1.3046346242429063E-4</v>
      </c>
      <c r="CM49" s="32">
        <f t="shared" si="304"/>
        <v>1.6923328710401142E-2</v>
      </c>
      <c r="CN49" s="32">
        <f t="shared" si="304"/>
        <v>-1.4300751083093477E-2</v>
      </c>
      <c r="CO49" s="32">
        <f t="shared" si="304"/>
        <v>5.7451872898966361E-2</v>
      </c>
      <c r="CP49" s="32">
        <f t="shared" si="283"/>
        <v>-0.12787647191405171</v>
      </c>
      <c r="CQ49" s="32">
        <f t="shared" si="283"/>
        <v>-1.1604795888209507E-2</v>
      </c>
      <c r="CR49" s="32">
        <f t="shared" si="283"/>
        <v>-0.44047405753906688</v>
      </c>
      <c r="CS49" s="32">
        <f>CS60-CS35</f>
        <v>-1.0688982065493624</v>
      </c>
      <c r="CT49" s="32">
        <f t="shared" ref="CT49:CX49" si="305">CT60-CT35</f>
        <v>-0.53561422764227651</v>
      </c>
      <c r="CU49" s="32">
        <f t="shared" si="305"/>
        <v>-0.17927756673294148</v>
      </c>
      <c r="CV49" s="32">
        <f t="shared" si="305"/>
        <v>-0.23748373183309901</v>
      </c>
      <c r="CW49" s="32">
        <f t="shared" si="305"/>
        <v>-4.0033324076649279E-4</v>
      </c>
      <c r="CX49" s="32">
        <f t="shared" si="305"/>
        <v>-8.4836245954692635E-2</v>
      </c>
      <c r="CY49" s="32">
        <f t="shared" si="285"/>
        <v>-9.7076066790353632E-3</v>
      </c>
      <c r="CZ49" s="31">
        <f t="shared" si="285"/>
        <v>-0.12991963075147872</v>
      </c>
      <c r="DA49" s="30">
        <f t="shared" si="285"/>
        <v>-0.22620000000000007</v>
      </c>
      <c r="DB49" s="30">
        <f t="shared" ref="DB49" si="306">DB60-DB35</f>
        <v>-0.17450000000000021</v>
      </c>
      <c r="DC49" s="30">
        <f t="shared" ref="DC49:DD49" si="307">DC60-DC35</f>
        <v>-0.15037500000000004</v>
      </c>
      <c r="DD49" s="30">
        <f t="shared" si="307"/>
        <v>-0.15037500000000015</v>
      </c>
      <c r="DE49" s="30">
        <f t="shared" ref="DE49" si="308">DE60-DE35</f>
        <v>0</v>
      </c>
      <c r="DF49" s="30">
        <f t="shared" ref="DF49" si="309">DF60-DF35</f>
        <v>-4.6800000000000175E-2</v>
      </c>
      <c r="DG49" s="30">
        <f t="shared" si="290"/>
        <v>-9.1575000000000073E-2</v>
      </c>
      <c r="DH49" s="30">
        <f t="shared" si="290"/>
        <v>-4.1200000000000125E-2</v>
      </c>
      <c r="DI49" s="30">
        <f t="shared" si="290"/>
        <v>2.2204460492503131E-16</v>
      </c>
    </row>
    <row r="50" spans="1:113" ht="12" outlineLevel="1">
      <c r="AF50" s="32"/>
      <c r="AG50" s="37"/>
      <c r="AH50" s="37"/>
      <c r="AI50" s="37"/>
      <c r="AJ50" s="43"/>
      <c r="AK50" s="43"/>
      <c r="AY50" s="200"/>
      <c r="CZ50" s="200"/>
      <c r="DB50" s="15"/>
      <c r="DC50" s="15"/>
      <c r="DD50" s="15"/>
      <c r="DE50" s="15"/>
      <c r="DF50" s="15"/>
      <c r="DG50" s="15"/>
      <c r="DH50" s="15"/>
      <c r="DI50" s="15"/>
    </row>
    <row r="51" spans="1:113" ht="12" outlineLevel="1">
      <c r="B51" s="17" t="s">
        <v>391</v>
      </c>
      <c r="AF51" s="32"/>
      <c r="AJ51" s="361"/>
      <c r="AK51" s="361"/>
      <c r="AY51" s="200"/>
      <c r="AZ51" s="118"/>
      <c r="BA51" s="118"/>
      <c r="BB51" s="118"/>
      <c r="BC51" s="118"/>
      <c r="BD51" s="118"/>
      <c r="BE51" s="118"/>
      <c r="BF51" s="118"/>
      <c r="BG51" s="118"/>
      <c r="BH51" s="118"/>
      <c r="BI51" s="118"/>
      <c r="CZ51" s="200"/>
      <c r="DB51" s="15"/>
      <c r="DC51" s="15"/>
      <c r="DD51" s="15"/>
      <c r="DE51" s="15"/>
      <c r="DF51" s="15"/>
      <c r="DG51" s="15"/>
      <c r="DH51" s="15"/>
      <c r="DI51" s="15"/>
    </row>
    <row r="52" spans="1:113" ht="12" outlineLevel="1">
      <c r="A52" s="1" t="s">
        <v>853</v>
      </c>
      <c r="B52" s="15" t="s">
        <v>218</v>
      </c>
      <c r="C52" s="207" t="e">
        <f>C157/B157-1</f>
        <v>#VALUE!</v>
      </c>
      <c r="D52" s="207">
        <f>D157/C157-1</f>
        <v>8.7402488116627541E-2</v>
      </c>
      <c r="E52" s="207">
        <f>E157/D157-1</f>
        <v>9.5561783652639454E-2</v>
      </c>
      <c r="F52" s="207">
        <f t="shared" ref="F52:L52" si="310">F157/E157-1</f>
        <v>8.7073557205857188E-2</v>
      </c>
      <c r="G52" s="207">
        <f t="shared" si="310"/>
        <v>9.729198131431982E-2</v>
      </c>
      <c r="H52" s="207">
        <f t="shared" si="310"/>
        <v>8.4232258890560407E-2</v>
      </c>
      <c r="I52" s="207">
        <f t="shared" si="310"/>
        <v>0.16111890176396781</v>
      </c>
      <c r="J52" s="207">
        <f t="shared" si="310"/>
        <v>9.8665141113653654E-2</v>
      </c>
      <c r="K52" s="207">
        <f t="shared" si="310"/>
        <v>5.5252774209972211E-2</v>
      </c>
      <c r="L52" s="207">
        <f t="shared" si="310"/>
        <v>6.1954471687354795E-2</v>
      </c>
      <c r="M52" s="30">
        <f t="shared" ref="M52:AY52" si="311">M157/L157-1</f>
        <v>5.2650599921524988E-2</v>
      </c>
      <c r="N52" s="30">
        <f t="shared" si="311"/>
        <v>4.9124527931727835E-2</v>
      </c>
      <c r="O52" s="30">
        <f t="shared" si="311"/>
        <v>6.5832655465484891E-2</v>
      </c>
      <c r="P52" s="30">
        <f t="shared" si="311"/>
        <v>5.9766303489657391E-2</v>
      </c>
      <c r="Q52" s="30">
        <f t="shared" si="311"/>
        <v>6.6237883566349742E-2</v>
      </c>
      <c r="R52" s="30">
        <f t="shared" si="311"/>
        <v>6.5445737487287436E-2</v>
      </c>
      <c r="S52" s="30">
        <f t="shared" si="311"/>
        <v>3.2155582596783638E-2</v>
      </c>
      <c r="T52" s="32">
        <f t="shared" si="311"/>
        <v>5.2424250981278009E-2</v>
      </c>
      <c r="U52" s="30">
        <f t="shared" si="311"/>
        <v>6.6864326057500145E-2</v>
      </c>
      <c r="V52" s="30">
        <f t="shared" si="311"/>
        <v>3.8724645699986127E-2</v>
      </c>
      <c r="W52" s="30">
        <f t="shared" si="311"/>
        <v>2.884295269513637E-2</v>
      </c>
      <c r="X52" s="30">
        <f t="shared" si="311"/>
        <v>5.0102959345766918E-2</v>
      </c>
      <c r="Y52" s="32">
        <f t="shared" si="311"/>
        <v>1.9525340923097545E-2</v>
      </c>
      <c r="Z52" s="32">
        <f t="shared" si="311"/>
        <v>3.1527001555192946E-2</v>
      </c>
      <c r="AA52" s="139">
        <f t="shared" si="311"/>
        <v>3.7542353016387198E-2</v>
      </c>
      <c r="AB52" s="139">
        <f t="shared" si="311"/>
        <v>3.4099252907499267E-2</v>
      </c>
      <c r="AC52" s="139">
        <f t="shared" si="311"/>
        <v>3.8362231623269683E-2</v>
      </c>
      <c r="AD52" s="139">
        <f t="shared" si="311"/>
        <v>4.1286904295100513E-2</v>
      </c>
      <c r="AE52" s="139">
        <f t="shared" si="311"/>
        <v>6.0264699939381661E-2</v>
      </c>
      <c r="AF52" s="139">
        <f t="shared" si="311"/>
        <v>5.0013210382927831E-2</v>
      </c>
      <c r="AG52" s="139">
        <f t="shared" si="311"/>
        <v>1.6190507618819794E-2</v>
      </c>
      <c r="AH52" s="139">
        <f t="shared" si="311"/>
        <v>3.8035161213065827E-2</v>
      </c>
      <c r="AI52" s="139">
        <f t="shared" si="311"/>
        <v>3.2785731324373124E-2</v>
      </c>
      <c r="AJ52" s="139">
        <f t="shared" si="311"/>
        <v>2.47098691808183E-2</v>
      </c>
      <c r="AK52" s="139">
        <f t="shared" si="311"/>
        <v>3.4105479416621787E-3</v>
      </c>
      <c r="AL52" s="139">
        <f t="shared" si="311"/>
        <v>-1.0266834589068852E-2</v>
      </c>
      <c r="AM52" s="139">
        <f t="shared" si="311"/>
        <v>-1.48084207079765E-2</v>
      </c>
      <c r="AN52" s="139">
        <f t="shared" si="311"/>
        <v>-4.4941953124409961E-3</v>
      </c>
      <c r="AO52" s="139">
        <f t="shared" si="311"/>
        <v>4.3137983884429243E-2</v>
      </c>
      <c r="AP52" s="139">
        <f t="shared" si="311"/>
        <v>2.0286070692119518E-2</v>
      </c>
      <c r="AQ52" s="139">
        <f t="shared" si="311"/>
        <v>-1.0069685790158434E-2</v>
      </c>
      <c r="AR52" s="139">
        <f t="shared" si="311"/>
        <v>6.2653031830617323E-4</v>
      </c>
      <c r="AS52" s="139">
        <f t="shared" si="311"/>
        <v>1.6009701540875332E-2</v>
      </c>
      <c r="AT52" s="139">
        <f t="shared" si="311"/>
        <v>3.6317528679655542E-2</v>
      </c>
      <c r="AU52" s="139">
        <f t="shared" si="311"/>
        <v>3.9426241554082919E-2</v>
      </c>
      <c r="AV52" s="139">
        <f t="shared" si="311"/>
        <v>3.2781710633176919E-2</v>
      </c>
      <c r="AW52" s="139">
        <f t="shared" si="311"/>
        <v>0.21625708764322527</v>
      </c>
      <c r="AX52" s="139">
        <f t="shared" si="311"/>
        <v>2.5361882574666872E-2</v>
      </c>
      <c r="AY52" s="140">
        <f t="shared" si="311"/>
        <v>2.5056226529731829E-2</v>
      </c>
      <c r="AZ52" s="30">
        <f t="shared" ref="AZ52:BA52" si="312">AZ29+AZ43</f>
        <v>2.3256000000000061E-2</v>
      </c>
      <c r="BA52" s="30">
        <f t="shared" si="312"/>
        <v>2.1710249999999993E-2</v>
      </c>
      <c r="BB52" s="30">
        <f t="shared" ref="BB52:BC52" si="313">BB29+BB43</f>
        <v>2.4210249999999992E-2</v>
      </c>
      <c r="BC52" s="30">
        <f t="shared" si="313"/>
        <v>2.9210249999999993E-2</v>
      </c>
      <c r="BD52" s="30">
        <f t="shared" ref="BD52:BE52" si="314">BD29+BD43</f>
        <v>2.9210249999999993E-2</v>
      </c>
      <c r="BE52" s="30">
        <f t="shared" si="314"/>
        <v>2.9210249999999993E-2</v>
      </c>
      <c r="BF52" s="30">
        <f t="shared" ref="BF52:BG52" si="315">BF29+BF43</f>
        <v>2.7181249999999935E-2</v>
      </c>
      <c r="BG52" s="30">
        <f t="shared" si="315"/>
        <v>2.5156249999999991E-2</v>
      </c>
      <c r="BH52" s="30">
        <f t="shared" ref="BH52:BI52" si="316">BH29+BH43</f>
        <v>2.2624999999999895E-2</v>
      </c>
      <c r="BI52" s="30">
        <f t="shared" si="316"/>
        <v>2.0100000000000007E-2</v>
      </c>
      <c r="BJ52" s="30">
        <f t="shared" ref="BJ52:BK52" si="317">BJ29+BJ43</f>
        <v>2.0100000000000007E-2</v>
      </c>
      <c r="BK52" s="30">
        <f t="shared" si="317"/>
        <v>2.0100000000000007E-2</v>
      </c>
      <c r="BL52" s="30">
        <f t="shared" ref="BL52:BM52" si="318">BL29+BL43</f>
        <v>2.0100000000000007E-2</v>
      </c>
      <c r="BM52" s="30">
        <f t="shared" si="318"/>
        <v>2.0100000000000007E-2</v>
      </c>
      <c r="BN52" s="30">
        <f t="shared" ref="BN52:BO52" si="319">BN29+BN43</f>
        <v>2.0100000000000007E-2</v>
      </c>
      <c r="BO52" s="30">
        <f t="shared" si="319"/>
        <v>2.0100000000000007E-2</v>
      </c>
      <c r="BP52" s="30">
        <f t="shared" ref="BP52:BQ52" si="320">BP29+BP43</f>
        <v>2.0100000000000007E-2</v>
      </c>
      <c r="BQ52" s="30">
        <f t="shared" si="320"/>
        <v>2.0100000000000007E-2</v>
      </c>
      <c r="BR52" s="30"/>
      <c r="BS52" s="207" t="e">
        <f t="shared" ref="BS52:CB52" si="321">BS157/BR157-1</f>
        <v>#DIV/0!</v>
      </c>
      <c r="BT52" s="207">
        <f t="shared" si="321"/>
        <v>-2.9082723179771786E-2</v>
      </c>
      <c r="BU52" s="207">
        <f t="shared" si="321"/>
        <v>4.84320475889366E-2</v>
      </c>
      <c r="BV52" s="207">
        <f t="shared" si="321"/>
        <v>7.8294279268211087E-2</v>
      </c>
      <c r="BW52" s="207">
        <f t="shared" si="321"/>
        <v>7.9072754391779965E-2</v>
      </c>
      <c r="BX52" s="207">
        <f t="shared" si="321"/>
        <v>8.6064236211100154E-2</v>
      </c>
      <c r="BY52" s="207">
        <f t="shared" si="321"/>
        <v>0.12521879628382937</v>
      </c>
      <c r="BZ52" s="207">
        <f t="shared" si="321"/>
        <v>0.26377089067049586</v>
      </c>
      <c r="CA52" s="207">
        <f t="shared" si="321"/>
        <v>0.28048857467491484</v>
      </c>
      <c r="CB52" s="207">
        <f t="shared" si="321"/>
        <v>8.3754405856399927E-2</v>
      </c>
      <c r="CC52" s="30">
        <f t="shared" ref="CC52:CS52" si="322">CC157/CB157-1</f>
        <v>0.19131660942937079</v>
      </c>
      <c r="CD52" s="30">
        <f t="shared" si="322"/>
        <v>0.19283709742082045</v>
      </c>
      <c r="CE52" s="30">
        <f t="shared" si="322"/>
        <v>0.25892256970007366</v>
      </c>
      <c r="CF52" s="30">
        <f t="shared" si="322"/>
        <v>0.15936943808797355</v>
      </c>
      <c r="CG52" s="30">
        <f t="shared" si="322"/>
        <v>0.11786701171103986</v>
      </c>
      <c r="CH52" s="30">
        <f t="shared" si="322"/>
        <v>0.11819118151944674</v>
      </c>
      <c r="CI52" s="30">
        <f t="shared" si="322"/>
        <v>0.12996298050774602</v>
      </c>
      <c r="CJ52" s="30">
        <f t="shared" si="322"/>
        <v>9.9705765901451082E-2</v>
      </c>
      <c r="CK52" s="30">
        <f t="shared" si="322"/>
        <v>0.12279388924971046</v>
      </c>
      <c r="CL52" s="30">
        <f t="shared" si="322"/>
        <v>6.8684531519183079E-2</v>
      </c>
      <c r="CM52" s="32">
        <f t="shared" si="322"/>
        <v>7.0606577631346701E-2</v>
      </c>
      <c r="CN52" s="32">
        <f t="shared" si="322"/>
        <v>7.0252952393513146E-2</v>
      </c>
      <c r="CO52" s="32">
        <f t="shared" si="322"/>
        <v>7.3769607968986683E-2</v>
      </c>
      <c r="CP52" s="32">
        <f t="shared" si="322"/>
        <v>0.10403974713325237</v>
      </c>
      <c r="CQ52" s="32">
        <f t="shared" si="322"/>
        <v>6.7013457265494125E-2</v>
      </c>
      <c r="CR52" s="32">
        <f t="shared" si="322"/>
        <v>7.2067903113849807E-2</v>
      </c>
      <c r="CS52" s="32">
        <f t="shared" si="322"/>
        <v>2.8204691315953934E-2</v>
      </c>
      <c r="CT52" s="32">
        <f t="shared" ref="CT52" si="323">CT157/CS157-1</f>
        <v>-2.4923219691111109E-2</v>
      </c>
      <c r="CU52" s="32">
        <f t="shared" ref="CU52" si="324">CU157/CT157-1</f>
        <v>3.8449918047026577E-2</v>
      </c>
      <c r="CV52" s="32">
        <f t="shared" ref="CV52" si="325">CV157/CU157-1</f>
        <v>1.0012110544174391E-2</v>
      </c>
      <c r="CW52" s="32">
        <f t="shared" ref="CW52" si="326">CW157/CV157-1</f>
        <v>1.6646262422583824E-2</v>
      </c>
      <c r="CX52" s="32">
        <f t="shared" ref="CX52:DI52" si="327">CX157/CW157-1</f>
        <v>7.7175633892109907E-2</v>
      </c>
      <c r="CY52" s="32">
        <f t="shared" si="327"/>
        <v>0.25612807554589612</v>
      </c>
      <c r="CZ52" s="31">
        <f t="shared" si="327"/>
        <v>5.1053582179410029E-2</v>
      </c>
      <c r="DA52" s="30">
        <f t="shared" si="327"/>
        <v>4.5471143574000283E-2</v>
      </c>
      <c r="DB52" s="30">
        <f t="shared" si="327"/>
        <v>5.412768745506269E-2</v>
      </c>
      <c r="DC52" s="30">
        <f t="shared" si="327"/>
        <v>5.9273738705062584E-2</v>
      </c>
      <c r="DD52" s="30">
        <f t="shared" si="327"/>
        <v>5.3021278320312337E-2</v>
      </c>
      <c r="DE52" s="30">
        <f t="shared" si="327"/>
        <v>4.3179762499999885E-2</v>
      </c>
      <c r="DF52" s="30">
        <f t="shared" si="327"/>
        <v>4.0604010000000024E-2</v>
      </c>
      <c r="DG52" s="30">
        <f t="shared" si="327"/>
        <v>4.0604010000000246E-2</v>
      </c>
      <c r="DH52" s="30">
        <f t="shared" si="327"/>
        <v>4.0604009999999802E-2</v>
      </c>
      <c r="DI52" s="30">
        <f t="shared" si="327"/>
        <v>4.0604010000000024E-2</v>
      </c>
    </row>
    <row r="53" spans="1:113" ht="12" outlineLevel="1">
      <c r="A53" s="1" t="s">
        <v>455</v>
      </c>
      <c r="B53" s="15" t="s">
        <v>219</v>
      </c>
      <c r="C53" s="207" t="e">
        <f>SUM(C158:C159)/SUM(B158:B159)-1</f>
        <v>#DIV/0!</v>
      </c>
      <c r="D53" s="207">
        <f>SUM(D158:D159)/SUM(C158:C159)-1</f>
        <v>-1.2836930949818304E-2</v>
      </c>
      <c r="E53" s="207">
        <f>SUM(E158:E159)/SUM(D158:D159)-1</f>
        <v>3.7534036263140447E-2</v>
      </c>
      <c r="F53" s="207">
        <f t="shared" ref="F53:L53" si="328">SUM(F158:F159)/SUM(E158:E159)-1</f>
        <v>8.4221120757584256E-2</v>
      </c>
      <c r="G53" s="207">
        <f t="shared" si="328"/>
        <v>9.0730013842318158E-2</v>
      </c>
      <c r="H53" s="207">
        <f t="shared" si="328"/>
        <v>7.4388273777136416E-2</v>
      </c>
      <c r="I53" s="207">
        <f t="shared" si="328"/>
        <v>-2.3352147225025544E-2</v>
      </c>
      <c r="J53" s="207">
        <f t="shared" si="328"/>
        <v>0.10509167886990745</v>
      </c>
      <c r="K53" s="207">
        <f t="shared" si="328"/>
        <v>5.1530288727242635E-2</v>
      </c>
      <c r="L53" s="207">
        <f t="shared" si="328"/>
        <v>3.66767774747363E-2</v>
      </c>
      <c r="M53" s="30">
        <f t="shared" ref="M53:AX53" si="329">SUM(M158:M159)/SUM(L158:L159)-1</f>
        <v>4.6787686834306008E-2</v>
      </c>
      <c r="N53" s="30">
        <f t="shared" si="329"/>
        <v>4.0164557143471447E-2</v>
      </c>
      <c r="O53" s="30">
        <f t="shared" si="329"/>
        <v>0.11112795424791577</v>
      </c>
      <c r="P53" s="30">
        <f t="shared" si="329"/>
        <v>0.14689503776556823</v>
      </c>
      <c r="Q53" s="30">
        <f t="shared" si="329"/>
        <v>6.3813221156445721E-2</v>
      </c>
      <c r="R53" s="30">
        <f t="shared" si="329"/>
        <v>-2.394941752902191E-2</v>
      </c>
      <c r="S53" s="30">
        <f t="shared" si="329"/>
        <v>-9.4253160865671037E-2</v>
      </c>
      <c r="T53" s="32">
        <f t="shared" si="329"/>
        <v>5.0708306503541856E-3</v>
      </c>
      <c r="U53" s="30">
        <f t="shared" si="329"/>
        <v>-3.7982358796004867E-3</v>
      </c>
      <c r="V53" s="30">
        <f t="shared" si="329"/>
        <v>0.22445651549777779</v>
      </c>
      <c r="W53" s="30">
        <f t="shared" si="329"/>
        <v>1.6131755172478446E-2</v>
      </c>
      <c r="X53" s="30">
        <f t="shared" si="329"/>
        <v>4.1738199405586096E-2</v>
      </c>
      <c r="Y53" s="32">
        <f t="shared" si="329"/>
        <v>2.9132407144882411E-2</v>
      </c>
      <c r="Z53" s="32">
        <f t="shared" si="329"/>
        <v>2.0774502376196713E-2</v>
      </c>
      <c r="AA53" s="139">
        <f t="shared" si="329"/>
        <v>1.8681735756757911E-2</v>
      </c>
      <c r="AB53" s="139">
        <f t="shared" si="329"/>
        <v>4.984268918695145E-2</v>
      </c>
      <c r="AC53" s="139">
        <f t="shared" si="329"/>
        <v>3.1798107255520458E-2</v>
      </c>
      <c r="AD53" s="139">
        <f t="shared" si="329"/>
        <v>3.8820777791366057E-2</v>
      </c>
      <c r="AE53" s="139">
        <f t="shared" si="329"/>
        <v>3.8539926863903506E-2</v>
      </c>
      <c r="AF53" s="139">
        <f t="shared" si="329"/>
        <v>-4.2465763129742373E-2</v>
      </c>
      <c r="AG53" s="139">
        <f t="shared" si="329"/>
        <v>2.7990085457437752E-2</v>
      </c>
      <c r="AH53" s="139">
        <f t="shared" si="329"/>
        <v>-3.3252242007226762E-3</v>
      </c>
      <c r="AI53" s="139">
        <f t="shared" si="329"/>
        <v>4.1884514284062924E-4</v>
      </c>
      <c r="AJ53" s="139">
        <f t="shared" si="329"/>
        <v>4.9301976410123238E-3</v>
      </c>
      <c r="AK53" s="139">
        <f t="shared" si="329"/>
        <v>5.5567926330835959E-2</v>
      </c>
      <c r="AL53" s="139">
        <f t="shared" si="329"/>
        <v>-1.2711547229386277E-2</v>
      </c>
      <c r="AM53" s="139">
        <f t="shared" si="329"/>
        <v>8.7514215804528339E-2</v>
      </c>
      <c r="AN53" s="139">
        <f t="shared" si="329"/>
        <v>0.11690180121940408</v>
      </c>
      <c r="AO53" s="139">
        <f t="shared" si="329"/>
        <v>-8.3920171142900957E-2</v>
      </c>
      <c r="AP53" s="139">
        <f t="shared" si="329"/>
        <v>-7.2826719855300537E-2</v>
      </c>
      <c r="AQ53" s="139">
        <f t="shared" si="329"/>
        <v>7.8299851016494504E-3</v>
      </c>
      <c r="AR53" s="139">
        <f t="shared" si="329"/>
        <v>7.0949865100462084E-2</v>
      </c>
      <c r="AS53" s="139">
        <f t="shared" si="329"/>
        <v>7.2711629404045741E-2</v>
      </c>
      <c r="AT53" s="139">
        <f t="shared" si="329"/>
        <v>1.249834105583858E-2</v>
      </c>
      <c r="AU53" s="139">
        <f t="shared" si="329"/>
        <v>1.8413508938900813E-2</v>
      </c>
      <c r="AV53" s="139">
        <f t="shared" si="329"/>
        <v>2.0643536653609296E-2</v>
      </c>
      <c r="AW53" s="139">
        <f t="shared" si="329"/>
        <v>9.9052026163858553E-2</v>
      </c>
      <c r="AX53" s="139">
        <f t="shared" si="329"/>
        <v>1.0336484497767584E-2</v>
      </c>
      <c r="AY53" s="140">
        <f>SUM(AY158:AY159)/SUM(AX158:AX159)-1</f>
        <v>5.2491766529894734E-2</v>
      </c>
      <c r="AZ53" s="30">
        <f>AZ30+AZ44</f>
        <v>4.5499999999999874E-2</v>
      </c>
      <c r="BA53" s="30">
        <f t="shared" ref="BA53" si="330">BA30+BA44</f>
        <v>3.7799999999999889E-2</v>
      </c>
      <c r="BB53" s="30">
        <f t="shared" ref="BB53:BC53" si="331">BB30+BB44</f>
        <v>3.2724999999999727E-2</v>
      </c>
      <c r="BC53" s="30">
        <f t="shared" si="331"/>
        <v>2.7650000000000004E-2</v>
      </c>
      <c r="BD53" s="30">
        <f t="shared" ref="BD53:BE53" si="332">BD30+BD44</f>
        <v>2.2600000000000006E-2</v>
      </c>
      <c r="BE53" s="30">
        <f t="shared" si="332"/>
        <v>2.2600000000000006E-2</v>
      </c>
      <c r="BF53" s="30">
        <f t="shared" ref="BF53:BG53" si="333">BF30+BF44</f>
        <v>2.0100000000000007E-2</v>
      </c>
      <c r="BG53" s="30">
        <f t="shared" si="333"/>
        <v>2.0100000000000007E-2</v>
      </c>
      <c r="BH53" s="30">
        <f t="shared" ref="BH53:BI53" si="334">BH30+BH44</f>
        <v>2.0100000000000007E-2</v>
      </c>
      <c r="BI53" s="30">
        <f t="shared" si="334"/>
        <v>2.0100000000000007E-2</v>
      </c>
      <c r="BJ53" s="30">
        <f t="shared" ref="BJ53:BK53" si="335">BJ30+BJ44</f>
        <v>2.0100000000000007E-2</v>
      </c>
      <c r="BK53" s="30">
        <f t="shared" si="335"/>
        <v>2.0100000000000007E-2</v>
      </c>
      <c r="BL53" s="30">
        <f t="shared" ref="BL53:BM53" si="336">BL30+BL44</f>
        <v>2.0100000000000007E-2</v>
      </c>
      <c r="BM53" s="30">
        <f t="shared" si="336"/>
        <v>2.0100000000000007E-2</v>
      </c>
      <c r="BN53" s="30">
        <f t="shared" ref="BN53:BO53" si="337">BN30+BN44</f>
        <v>2.0100000000000007E-2</v>
      </c>
      <c r="BO53" s="30">
        <f t="shared" si="337"/>
        <v>2.0100000000000007E-2</v>
      </c>
      <c r="BP53" s="30">
        <f t="shared" ref="BP53:BQ53" si="338">BP30+BP44</f>
        <v>2.0100000000000007E-2</v>
      </c>
      <c r="BQ53" s="30">
        <f t="shared" si="338"/>
        <v>2.0100000000000007E-2</v>
      </c>
      <c r="BR53" s="30"/>
      <c r="BS53" s="207" t="e">
        <f t="shared" ref="BS53" si="339">SUM(BS158:BS159)/SUM(BR158:BR159)-1</f>
        <v>#DIV/0!</v>
      </c>
      <c r="BT53" s="207">
        <f t="shared" ref="BT53:CB53" si="340">SUM(BT158:BT159)/SUM(BS158:BS159)-1</f>
        <v>-3.5441390490548841E-2</v>
      </c>
      <c r="BU53" s="207">
        <f t="shared" si="340"/>
        <v>5.1230243270823816E-2</v>
      </c>
      <c r="BV53" s="207">
        <f t="shared" si="340"/>
        <v>7.4807406295183121E-2</v>
      </c>
      <c r="BW53" s="207">
        <f t="shared" si="340"/>
        <v>8.3112889459830974E-2</v>
      </c>
      <c r="BX53" s="207">
        <f t="shared" si="340"/>
        <v>0.10932479873356971</v>
      </c>
      <c r="BY53" s="207">
        <f t="shared" si="340"/>
        <v>0.15590022038670615</v>
      </c>
      <c r="BZ53" s="207">
        <f t="shared" si="340"/>
        <v>8.5419310079841715E-2</v>
      </c>
      <c r="CA53" s="207">
        <f t="shared" si="340"/>
        <v>8.946897550244981E-2</v>
      </c>
      <c r="CB53" s="207">
        <f t="shared" si="340"/>
        <v>-5.210264344768456E-3</v>
      </c>
      <c r="CC53" s="30">
        <f t="shared" ref="CC53:CS53" si="341">SUM(CC158:CC159)/SUM(CB158:CB159)-1</f>
        <v>2.5894385746022985E-2</v>
      </c>
      <c r="CD53" s="30">
        <f t="shared" si="341"/>
        <v>0.18259251805205334</v>
      </c>
      <c r="CE53" s="30">
        <f t="shared" si="341"/>
        <v>4.9299000631051637E-2</v>
      </c>
      <c r="CF53" s="30">
        <f t="shared" si="341"/>
        <v>0.16203737215214686</v>
      </c>
      <c r="CG53" s="30">
        <f t="shared" si="341"/>
        <v>8.5180485887621726E-2</v>
      </c>
      <c r="CH53" s="30">
        <f t="shared" si="341"/>
        <v>0.15575591646001463</v>
      </c>
      <c r="CI53" s="30">
        <f t="shared" si="341"/>
        <v>0.22008210445373244</v>
      </c>
      <c r="CJ53" s="30">
        <f t="shared" si="341"/>
        <v>-0.11594527009169087</v>
      </c>
      <c r="CK53" s="30">
        <f t="shared" si="341"/>
        <v>1.2533345598380041E-3</v>
      </c>
      <c r="CL53" s="30">
        <f t="shared" si="341"/>
        <v>0.24420914822513407</v>
      </c>
      <c r="CM53" s="32">
        <f t="shared" si="341"/>
        <v>7.2086540769046081E-2</v>
      </c>
      <c r="CN53" s="32">
        <f t="shared" si="341"/>
        <v>3.9844341896824842E-2</v>
      </c>
      <c r="CO53" s="32">
        <f t="shared" si="341"/>
        <v>8.3225699619142279E-2</v>
      </c>
      <c r="CP53" s="32">
        <f t="shared" si="341"/>
        <v>7.885685459214864E-2</v>
      </c>
      <c r="CQ53" s="32">
        <f t="shared" si="341"/>
        <v>-1.5664298011321409E-2</v>
      </c>
      <c r="CR53" s="32">
        <f t="shared" si="341"/>
        <v>-2.9077718118872831E-3</v>
      </c>
      <c r="CS53" s="32">
        <f t="shared" si="341"/>
        <v>6.0772084831160589E-2</v>
      </c>
      <c r="CT53" s="32">
        <f t="shared" ref="CT53" si="342">SUM(CT158:CT159)/SUM(CS158:CS159)-1</f>
        <v>7.3690227487700044E-2</v>
      </c>
      <c r="CU53" s="32">
        <f t="shared" ref="CU53" si="343">SUM(CU158:CU159)/SUM(CT158:CT159)-1</f>
        <v>2.3171210911257401E-2</v>
      </c>
      <c r="CV53" s="32">
        <f t="shared" ref="CV53" si="344">SUM(CV158:CV159)/SUM(CU158:CU159)-1</f>
        <v>-6.5566966885119982E-2</v>
      </c>
      <c r="CW53" s="32">
        <f t="shared" ref="CW53" si="345">SUM(CW158:CW159)/SUM(CV158:CV159)-1</f>
        <v>0.14882037480195942</v>
      </c>
      <c r="CX53" s="32">
        <f t="shared" ref="CX53:DI53" si="346">SUM(CX158:CX159)/SUM(CW158:CW159)-1</f>
        <v>3.1141988309492552E-2</v>
      </c>
      <c r="CY53" s="32">
        <f t="shared" si="346"/>
        <v>0.12174034695019587</v>
      </c>
      <c r="CZ53" s="31">
        <f t="shared" si="346"/>
        <v>6.3370831358658952E-2</v>
      </c>
      <c r="DA53" s="30">
        <f t="shared" si="346"/>
        <v>8.5019899999999371E-2</v>
      </c>
      <c r="DB53" s="30">
        <f t="shared" si="346"/>
        <v>6.1279846249999492E-2</v>
      </c>
      <c r="DC53" s="30">
        <f t="shared" si="346"/>
        <v>4.5710759999999739E-2</v>
      </c>
      <c r="DD53" s="30">
        <f t="shared" si="346"/>
        <v>4.0604010000000024E-2</v>
      </c>
      <c r="DE53" s="30">
        <f t="shared" si="346"/>
        <v>4.0604010000000024E-2</v>
      </c>
      <c r="DF53" s="30">
        <f t="shared" si="346"/>
        <v>4.0604009999999802E-2</v>
      </c>
      <c r="DG53" s="30">
        <f t="shared" si="346"/>
        <v>4.0604010000000024E-2</v>
      </c>
      <c r="DH53" s="30">
        <f t="shared" si="346"/>
        <v>4.0604010000000024E-2</v>
      </c>
      <c r="DI53" s="30">
        <f t="shared" si="346"/>
        <v>4.0604010000000024E-2</v>
      </c>
    </row>
    <row r="54" spans="1:113" ht="12" outlineLevel="1">
      <c r="A54" s="1" t="s">
        <v>456</v>
      </c>
      <c r="B54" s="15" t="s">
        <v>220</v>
      </c>
      <c r="C54" s="207" t="e">
        <f>C160/B160-1</f>
        <v>#VALUE!</v>
      </c>
      <c r="D54" s="207">
        <f>D160/C160-1</f>
        <v>4.2318307267709354E-2</v>
      </c>
      <c r="E54" s="207">
        <f>E160/D160-1</f>
        <v>7.8801331853496137E-2</v>
      </c>
      <c r="F54" s="207">
        <f t="shared" ref="F54:L54" si="347">F160/E160-1</f>
        <v>5.9413580246913567E-2</v>
      </c>
      <c r="G54" s="207">
        <f t="shared" si="347"/>
        <v>3.5445496479728167E-2</v>
      </c>
      <c r="H54" s="207">
        <f t="shared" si="347"/>
        <v>1.9460726846424414E-2</v>
      </c>
      <c r="I54" s="207">
        <f t="shared" si="347"/>
        <v>4.2318307267709354E-2</v>
      </c>
      <c r="J54" s="207">
        <f t="shared" si="347"/>
        <v>7.296042449701523E-2</v>
      </c>
      <c r="K54" s="207">
        <f t="shared" si="347"/>
        <v>0.11971976097259418</v>
      </c>
      <c r="L54" s="207">
        <f t="shared" si="347"/>
        <v>8.6492454913507766E-2</v>
      </c>
      <c r="M54" s="30">
        <f t="shared" ref="M54:AY54" si="348">M160/L160-1</f>
        <v>4.8441734417344007E-2</v>
      </c>
      <c r="N54" s="30">
        <f t="shared" si="348"/>
        <v>7.8609986504723395E-2</v>
      </c>
      <c r="O54" s="30">
        <f t="shared" si="348"/>
        <v>6.6103638828068023E-2</v>
      </c>
      <c r="P54" s="30">
        <f t="shared" si="348"/>
        <v>-0.15315403422982887</v>
      </c>
      <c r="Q54" s="30">
        <f t="shared" si="348"/>
        <v>4.8735419794433632E-2</v>
      </c>
      <c r="R54" s="30">
        <f t="shared" si="348"/>
        <v>3.1494328818411965E-2</v>
      </c>
      <c r="S54" s="30">
        <f t="shared" si="348"/>
        <v>4.2062560051243647E-2</v>
      </c>
      <c r="T54" s="32">
        <f t="shared" si="348"/>
        <v>5.6961376908103656E-2</v>
      </c>
      <c r="U54" s="30">
        <f t="shared" si="348"/>
        <v>3.1016768440437215E-3</v>
      </c>
      <c r="V54" s="30">
        <f t="shared" si="348"/>
        <v>3.4012948110928587E-2</v>
      </c>
      <c r="W54" s="30">
        <f t="shared" si="348"/>
        <v>8.0366320904587951E-3</v>
      </c>
      <c r="X54" s="30">
        <f t="shared" si="348"/>
        <v>1.0660980810234477E-2</v>
      </c>
      <c r="Y54" s="32">
        <f t="shared" si="348"/>
        <v>-2.5408181984956868E-2</v>
      </c>
      <c r="Z54" s="32">
        <f t="shared" si="348"/>
        <v>3.1811764705882428E-2</v>
      </c>
      <c r="AA54" s="139">
        <f t="shared" si="348"/>
        <v>2.8733011037124889E-2</v>
      </c>
      <c r="AB54" s="139">
        <f t="shared" si="348"/>
        <v>-4.0964710054974263E-2</v>
      </c>
      <c r="AC54" s="139">
        <f t="shared" si="348"/>
        <v>-3.9755917159762788E-3</v>
      </c>
      <c r="AD54" s="139">
        <f t="shared" si="348"/>
        <v>4.2792165599183196E-2</v>
      </c>
      <c r="AE54" s="139">
        <f t="shared" si="348"/>
        <v>-9.5246572903685545E-3</v>
      </c>
      <c r="AF54" s="139">
        <f t="shared" si="348"/>
        <v>1.1413678439831099E-2</v>
      </c>
      <c r="AG54" s="139">
        <f t="shared" si="348"/>
        <v>-1.2262306735382977E-2</v>
      </c>
      <c r="AH54" s="139">
        <f t="shared" si="348"/>
        <v>-1.1155091759625813E-2</v>
      </c>
      <c r="AI54" s="139">
        <f t="shared" si="348"/>
        <v>-3.4115720524017457E-2</v>
      </c>
      <c r="AJ54" s="139">
        <f t="shared" si="348"/>
        <v>-1.9779598756710648E-3</v>
      </c>
      <c r="AK54" s="139">
        <f t="shared" si="348"/>
        <v>-4.3884484711211758E-2</v>
      </c>
      <c r="AL54" s="139">
        <f t="shared" si="348"/>
        <v>-5.083407363537662E-2</v>
      </c>
      <c r="AM54" s="139">
        <f t="shared" si="348"/>
        <v>-6.125207986688852E-2</v>
      </c>
      <c r="AN54" s="139">
        <f t="shared" si="348"/>
        <v>-6.6024149772903495E-2</v>
      </c>
      <c r="AO54" s="139">
        <f t="shared" si="348"/>
        <v>-0.19997627802158702</v>
      </c>
      <c r="AP54" s="139">
        <f t="shared" si="348"/>
        <v>-2.5203854707190887E-3</v>
      </c>
      <c r="AQ54" s="139">
        <f t="shared" si="348"/>
        <v>-0.1038941736028538</v>
      </c>
      <c r="AR54" s="139">
        <f t="shared" si="348"/>
        <v>1.2605738928512134E-2</v>
      </c>
      <c r="AS54" s="139">
        <f t="shared" si="348"/>
        <v>-2.3751023751023781E-2</v>
      </c>
      <c r="AT54" s="139">
        <f t="shared" si="348"/>
        <v>-1.0067114093959773E-2</v>
      </c>
      <c r="AU54" s="139">
        <f t="shared" si="348"/>
        <v>-1.6271186440677932E-2</v>
      </c>
      <c r="AV54" s="139">
        <f t="shared" si="348"/>
        <v>7.4086836664368771E-3</v>
      </c>
      <c r="AW54" s="139">
        <f t="shared" si="348"/>
        <v>-1.9839233795108657E-2</v>
      </c>
      <c r="AX54" s="139">
        <f t="shared" si="348"/>
        <v>-5.3917291921130706E-2</v>
      </c>
      <c r="AY54" s="140">
        <f t="shared" si="348"/>
        <v>-2.3607524898561438E-2</v>
      </c>
      <c r="AZ54" s="30">
        <f t="shared" ref="AZ54:BA54" si="349">AZ31+AZ45</f>
        <v>2.2119999999999918E-2</v>
      </c>
      <c r="BA54" s="30">
        <f t="shared" si="349"/>
        <v>1.7575000000000118E-2</v>
      </c>
      <c r="BB54" s="30">
        <f t="shared" ref="BB54:BC54" si="350">BB31+BB45</f>
        <v>1.0024999999999729E-2</v>
      </c>
      <c r="BC54" s="30">
        <f t="shared" si="350"/>
        <v>1.0024999999999729E-2</v>
      </c>
      <c r="BD54" s="30">
        <f t="shared" ref="BD54:BE54" si="351">BD31+BD45</f>
        <v>1.0024999999999729E-2</v>
      </c>
      <c r="BE54" s="30">
        <f t="shared" si="351"/>
        <v>1.0024999999999729E-2</v>
      </c>
      <c r="BF54" s="30">
        <f t="shared" ref="BF54:BG54" si="352">BF31+BF45</f>
        <v>1.0024999999999729E-2</v>
      </c>
      <c r="BG54" s="30">
        <f t="shared" si="352"/>
        <v>1.0024999999999729E-2</v>
      </c>
      <c r="BH54" s="30">
        <f t="shared" ref="BH54:BI54" si="353">BH31+BH45</f>
        <v>1.0024999999999729E-2</v>
      </c>
      <c r="BI54" s="30">
        <f t="shared" si="353"/>
        <v>1.0024999999999729E-2</v>
      </c>
      <c r="BJ54" s="30">
        <f t="shared" ref="BJ54:BK54" si="354">BJ31+BJ45</f>
        <v>1.0024999999999729E-2</v>
      </c>
      <c r="BK54" s="30">
        <f t="shared" si="354"/>
        <v>1.0024999999999729E-2</v>
      </c>
      <c r="BL54" s="30">
        <f t="shared" ref="BL54:BM54" si="355">BL31+BL45</f>
        <v>1.0024999999999729E-2</v>
      </c>
      <c r="BM54" s="30">
        <f t="shared" si="355"/>
        <v>1.0024999999999729E-2</v>
      </c>
      <c r="BN54" s="30">
        <f t="shared" ref="BN54:BO54" si="356">BN31+BN45</f>
        <v>1.0024999999999729E-2</v>
      </c>
      <c r="BO54" s="30">
        <f t="shared" si="356"/>
        <v>1.0024999999999729E-2</v>
      </c>
      <c r="BP54" s="30">
        <f t="shared" ref="BP54:BQ54" si="357">BP31+BP45</f>
        <v>1.0024999999999729E-2</v>
      </c>
      <c r="BQ54" s="30">
        <f t="shared" si="357"/>
        <v>1.0024999999999729E-2</v>
      </c>
      <c r="BR54" s="30"/>
      <c r="BS54" s="207" t="e">
        <f t="shared" ref="BS54:CB54" si="358">BS160/BR160-1</f>
        <v>#DIV/0!</v>
      </c>
      <c r="BT54" s="207">
        <f t="shared" si="358"/>
        <v>3.9884239238906272E-2</v>
      </c>
      <c r="BU54" s="207">
        <f t="shared" si="358"/>
        <v>2.028086113687988E-2</v>
      </c>
      <c r="BV54" s="207">
        <f t="shared" si="358"/>
        <v>0.11443799968647128</v>
      </c>
      <c r="BW54" s="207">
        <f t="shared" si="358"/>
        <v>3.8683359122239525E-2</v>
      </c>
      <c r="BX54" s="207">
        <f t="shared" si="358"/>
        <v>-0.1564192849404118</v>
      </c>
      <c r="BY54" s="207">
        <f t="shared" si="358"/>
        <v>0.1417563011719376</v>
      </c>
      <c r="BZ54" s="207">
        <f t="shared" si="358"/>
        <v>0.30483689538807646</v>
      </c>
      <c r="CA54" s="207">
        <f t="shared" si="358"/>
        <v>0.37155172413793092</v>
      </c>
      <c r="CB54" s="207">
        <f t="shared" si="358"/>
        <v>5.5546825895663066E-2</v>
      </c>
      <c r="CC54" s="30">
        <f t="shared" ref="CC54:CS54" si="359">CC160/CB160-1</f>
        <v>0.10852251581689609</v>
      </c>
      <c r="CD54" s="30">
        <f t="shared" si="359"/>
        <v>9.6965020576131655E-2</v>
      </c>
      <c r="CE54" s="30">
        <f t="shared" si="359"/>
        <v>6.2602579132473801E-2</v>
      </c>
      <c r="CF54" s="30">
        <f t="shared" si="359"/>
        <v>0.20141499005085128</v>
      </c>
      <c r="CG54" s="30">
        <f t="shared" si="359"/>
        <v>0.13912403386087591</v>
      </c>
      <c r="CH54" s="30">
        <f t="shared" si="359"/>
        <v>0.14991003148897897</v>
      </c>
      <c r="CI54" s="30">
        <f t="shared" si="359"/>
        <v>-0.11188264058679709</v>
      </c>
      <c r="CJ54" s="30">
        <f t="shared" si="359"/>
        <v>7.4881620966853912E-2</v>
      </c>
      <c r="CK54" s="30">
        <f t="shared" si="359"/>
        <v>6.0239729535908282E-2</v>
      </c>
      <c r="CL54" s="30">
        <f t="shared" si="359"/>
        <v>4.2322929751666738E-2</v>
      </c>
      <c r="CM54" s="32">
        <f t="shared" si="359"/>
        <v>-1.5018077315286926E-2</v>
      </c>
      <c r="CN54" s="32">
        <f t="shared" si="359"/>
        <v>6.1458823529411788E-2</v>
      </c>
      <c r="CO54" s="32">
        <f t="shared" si="359"/>
        <v>-4.4777442809008638E-2</v>
      </c>
      <c r="CP54" s="32">
        <f t="shared" si="359"/>
        <v>3.2859927596769811E-2</v>
      </c>
      <c r="CQ54" s="32">
        <f t="shared" si="359"/>
        <v>-9.8858632156018089E-4</v>
      </c>
      <c r="CR54" s="32">
        <f t="shared" si="359"/>
        <v>-4.4890248290752055E-2</v>
      </c>
      <c r="CS54" s="32">
        <f t="shared" si="359"/>
        <v>-4.5775642836959562E-2</v>
      </c>
      <c r="CT54" s="32">
        <f t="shared" ref="CT54" si="360">CT160/CS160-1</f>
        <v>-0.1089724607639917</v>
      </c>
      <c r="CU54" s="32">
        <f t="shared" ref="CU54" si="361">CU160/CT160-1</f>
        <v>-0.2527971640633655</v>
      </c>
      <c r="CV54" s="32">
        <f t="shared" ref="CV54" si="362">CV160/CU160-1</f>
        <v>-0.10615270570793178</v>
      </c>
      <c r="CW54" s="32">
        <f t="shared" ref="CW54" si="363">CW160/CV160-1</f>
        <v>-1.144468402720189E-2</v>
      </c>
      <c r="CX54" s="32">
        <f t="shared" ref="CX54:DI54" si="364">CX160/CW160-1</f>
        <v>-2.6174496644295275E-2</v>
      </c>
      <c r="CY54" s="32">
        <f t="shared" si="364"/>
        <v>-1.2577532736044117E-2</v>
      </c>
      <c r="CZ54" s="31">
        <f t="shared" si="364"/>
        <v>-7.6251963008201029E-2</v>
      </c>
      <c r="DA54" s="30">
        <f t="shared" si="364"/>
        <v>4.0083759000000052E-2</v>
      </c>
      <c r="DB54" s="30">
        <f t="shared" si="364"/>
        <v>2.0150500624999346E-2</v>
      </c>
      <c r="DC54" s="30">
        <f t="shared" si="364"/>
        <v>2.0150500624999568E-2</v>
      </c>
      <c r="DD54" s="30">
        <f t="shared" si="364"/>
        <v>2.0150500624999568E-2</v>
      </c>
      <c r="DE54" s="30">
        <f t="shared" si="364"/>
        <v>2.0150500624999346E-2</v>
      </c>
      <c r="DF54" s="30">
        <f t="shared" si="364"/>
        <v>2.0150500624999568E-2</v>
      </c>
      <c r="DG54" s="30">
        <f t="shared" si="364"/>
        <v>2.0150500624999346E-2</v>
      </c>
      <c r="DH54" s="30">
        <f t="shared" si="364"/>
        <v>2.0150500624999346E-2</v>
      </c>
      <c r="DI54" s="30">
        <f t="shared" si="364"/>
        <v>2.0150500624999346E-2</v>
      </c>
    </row>
    <row r="55" spans="1:113" ht="12" outlineLevel="1">
      <c r="A55" s="1" t="s">
        <v>854</v>
      </c>
      <c r="B55" s="15" t="s">
        <v>475</v>
      </c>
      <c r="C55" s="207">
        <f t="shared" ref="C55:L55" si="365">C161/C186</f>
        <v>1.4739037379493729</v>
      </c>
      <c r="D55" s="207">
        <f t="shared" si="365"/>
        <v>1.4424527789618165</v>
      </c>
      <c r="E55" s="207">
        <f t="shared" si="365"/>
        <v>1.4584132135502341</v>
      </c>
      <c r="F55" s="207">
        <f t="shared" si="365"/>
        <v>1.5505100142512034</v>
      </c>
      <c r="G55" s="207">
        <f t="shared" si="365"/>
        <v>1.6594308085369001</v>
      </c>
      <c r="H55" s="207">
        <f t="shared" si="365"/>
        <v>1.5096635300145131</v>
      </c>
      <c r="I55" s="207">
        <f t="shared" si="365"/>
        <v>1.4056282605963628</v>
      </c>
      <c r="J55" s="207">
        <f t="shared" si="365"/>
        <v>1.471625020284375</v>
      </c>
      <c r="K55" s="207">
        <f t="shared" si="365"/>
        <v>1.4125437024228691</v>
      </c>
      <c r="L55" s="207">
        <f t="shared" si="365"/>
        <v>1.3567291544680409</v>
      </c>
      <c r="M55" s="30">
        <f t="shared" ref="M55:Y55" si="366">M161/M186</f>
        <v>1.3592270937315423</v>
      </c>
      <c r="N55" s="30">
        <f t="shared" si="366"/>
        <v>1.4571492868910003</v>
      </c>
      <c r="O55" s="30">
        <f t="shared" si="366"/>
        <v>1.369160678023976</v>
      </c>
      <c r="P55" s="30">
        <f t="shared" si="366"/>
        <v>1.3693507093248465</v>
      </c>
      <c r="Q55" s="30">
        <f t="shared" si="366"/>
        <v>1.4613123128179419</v>
      </c>
      <c r="R55" s="30">
        <f t="shared" si="366"/>
        <v>1.3935738944197442</v>
      </c>
      <c r="S55" s="30">
        <f t="shared" si="366"/>
        <v>1.3158160154204337</v>
      </c>
      <c r="T55" s="32">
        <f t="shared" si="366"/>
        <v>1.3816984940764936</v>
      </c>
      <c r="U55" s="30">
        <f t="shared" si="366"/>
        <v>1.3460981204248268</v>
      </c>
      <c r="V55" s="30">
        <f t="shared" si="366"/>
        <v>1.4053225585034363</v>
      </c>
      <c r="W55" s="30">
        <f t="shared" si="366"/>
        <v>1.3268619647285407</v>
      </c>
      <c r="X55" s="30">
        <f t="shared" si="366"/>
        <v>1.3591885979169265</v>
      </c>
      <c r="Y55" s="32">
        <f t="shared" si="366"/>
        <v>1.2728517009943767</v>
      </c>
      <c r="Z55" s="32">
        <f t="shared" ref="Z55:AE55" si="367">Z161/Z186</f>
        <v>1.2791052118025594</v>
      </c>
      <c r="AA55" s="139">
        <f t="shared" si="367"/>
        <v>1.2599873543631304</v>
      </c>
      <c r="AB55" s="139">
        <f t="shared" si="367"/>
        <v>1.2668373161936437</v>
      </c>
      <c r="AC55" s="139">
        <f t="shared" si="367"/>
        <v>1.2647242305681266</v>
      </c>
      <c r="AD55" s="139">
        <f t="shared" si="367"/>
        <v>1.2847631521501854</v>
      </c>
      <c r="AE55" s="139">
        <f t="shared" si="367"/>
        <v>1.2955280099542861</v>
      </c>
      <c r="AF55" s="139">
        <f t="shared" ref="AF55:AG55" si="368">AF161/AF186</f>
        <v>1.2833812467613053</v>
      </c>
      <c r="AG55" s="139">
        <f t="shared" si="368"/>
        <v>1.3183266375778215</v>
      </c>
      <c r="AH55" s="139">
        <f t="shared" ref="AH55:AI55" si="369">AH161/AH186</f>
        <v>1.2790622060318322</v>
      </c>
      <c r="AI55" s="139">
        <f t="shared" si="369"/>
        <v>1.2756980351602896</v>
      </c>
      <c r="AJ55" s="139">
        <f t="shared" ref="AJ55:AK55" si="370">AJ161/AJ186</f>
        <v>1.3136863417789151</v>
      </c>
      <c r="AK55" s="139">
        <f t="shared" si="370"/>
        <v>1.3545632663380103</v>
      </c>
      <c r="AL55" s="139">
        <f t="shared" ref="AL55:AM55" si="371">AL161/AL186</f>
        <v>1.3648778443885774</v>
      </c>
      <c r="AM55" s="139">
        <f t="shared" si="371"/>
        <v>1.3634812771885929</v>
      </c>
      <c r="AN55" s="139">
        <f t="shared" ref="AN55:AO55" si="372">AN161/AN186</f>
        <v>1.324886059337814</v>
      </c>
      <c r="AO55" s="139">
        <f t="shared" si="372"/>
        <v>1.2583733008481917</v>
      </c>
      <c r="AP55" s="139">
        <f t="shared" ref="AP55:AQ55" si="373">AP161/AP186</f>
        <v>1.1995695370601687</v>
      </c>
      <c r="AQ55" s="139">
        <f t="shared" si="373"/>
        <v>1.1566869826737285</v>
      </c>
      <c r="AR55" s="139">
        <f t="shared" ref="AR55:AS55" si="374">AR161/AR186</f>
        <v>1.1571204113698044</v>
      </c>
      <c r="AS55" s="139">
        <f t="shared" si="374"/>
        <v>1.1790160350226555</v>
      </c>
      <c r="AT55" s="139">
        <f t="shared" ref="AT55:AU55" si="375">AT161/AT186</f>
        <v>1.1631238742165528</v>
      </c>
      <c r="AU55" s="139">
        <f t="shared" si="375"/>
        <v>1.1860092572590843</v>
      </c>
      <c r="AV55" s="139">
        <f t="shared" ref="AV55:AW55" si="376">AV161/AV186</f>
        <v>1.1945122806683803</v>
      </c>
      <c r="AW55" s="139">
        <f t="shared" si="376"/>
        <v>1.2140230084331232</v>
      </c>
      <c r="AX55" s="139">
        <f t="shared" ref="AX55:AY55" si="377">AX161/AX186</f>
        <v>1.2160099281345813</v>
      </c>
      <c r="AY55" s="140">
        <f t="shared" si="377"/>
        <v>1.2056730140950247</v>
      </c>
      <c r="AZ55" s="33">
        <f>AZ161/((AY186*(1+5%)))</f>
        <v>1.183734394393994</v>
      </c>
      <c r="BA55" s="33">
        <f>BA161/((AZ186*(1+4.5%)))</f>
        <v>1.1636680566619058</v>
      </c>
      <c r="BB55" s="33">
        <f>BB161/((BA186*(1+3%)))</f>
        <v>1.1603811116067337</v>
      </c>
      <c r="BC55" s="33">
        <f>BC161/((BB186*(1+3%)))</f>
        <v>1.158690579710433</v>
      </c>
      <c r="BD55" s="33">
        <f t="shared" ref="BD55:BK55" si="378">BD161/((BC186*(1+3%)))</f>
        <v>1.1549957816053702</v>
      </c>
      <c r="BE55" s="33">
        <f t="shared" si="378"/>
        <v>1.1513261127373549</v>
      </c>
      <c r="BF55" s="33">
        <f t="shared" si="378"/>
        <v>1.1452463032674913</v>
      </c>
      <c r="BG55" s="33">
        <f t="shared" si="378"/>
        <v>1.1377655615172597</v>
      </c>
      <c r="BH55" s="33">
        <f t="shared" si="378"/>
        <v>1.1285409224783354</v>
      </c>
      <c r="BI55" s="33">
        <f t="shared" si="378"/>
        <v>1.1176105541510768</v>
      </c>
      <c r="BJ55" s="33">
        <f t="shared" si="378"/>
        <v>1.1067868587502188</v>
      </c>
      <c r="BK55" s="33">
        <f t="shared" si="378"/>
        <v>1.0960687796713449</v>
      </c>
      <c r="BL55" s="33">
        <f t="shared" ref="BL55" si="379">BK55</f>
        <v>1.0960687796713449</v>
      </c>
      <c r="BM55" s="33">
        <f t="shared" ref="BM55" si="380">BL55</f>
        <v>1.0960687796713449</v>
      </c>
      <c r="BN55" s="33">
        <f t="shared" ref="BN55" si="381">BM55</f>
        <v>1.0960687796713449</v>
      </c>
      <c r="BO55" s="33">
        <f t="shared" ref="BO55" si="382">BN55</f>
        <v>1.0960687796713449</v>
      </c>
      <c r="BP55" s="33">
        <f t="shared" ref="BP55" si="383">BO55</f>
        <v>1.0960687796713449</v>
      </c>
      <c r="BQ55" s="33">
        <f t="shared" ref="BQ55" si="384">BP55</f>
        <v>1.0960687796713449</v>
      </c>
      <c r="BR55" s="30"/>
      <c r="BS55" s="207">
        <f t="shared" ref="BS55:CB55" si="385">BS161/BS186</f>
        <v>1.3941751389324788</v>
      </c>
      <c r="BT55" s="207">
        <f t="shared" si="385"/>
        <v>1.3326446280991735</v>
      </c>
      <c r="BU55" s="207">
        <f t="shared" si="385"/>
        <v>1.3169088662705184</v>
      </c>
      <c r="BV55" s="207">
        <f t="shared" si="385"/>
        <v>1.3275762492780727</v>
      </c>
      <c r="BW55" s="207">
        <f t="shared" si="385"/>
        <v>1.3402892136681761</v>
      </c>
      <c r="BX55" s="207">
        <f t="shared" si="385"/>
        <v>1.3398384766596405</v>
      </c>
      <c r="BY55" s="207">
        <f t="shared" si="385"/>
        <v>1.3642787832763785</v>
      </c>
      <c r="BZ55" s="207">
        <f t="shared" si="385"/>
        <v>1.5359103618588894</v>
      </c>
      <c r="CA55" s="207">
        <f t="shared" si="385"/>
        <v>1.6186926084189472</v>
      </c>
      <c r="CB55" s="207">
        <f t="shared" si="385"/>
        <v>1.6495976591075348</v>
      </c>
      <c r="CC55" s="30">
        <f t="shared" ref="CC55:CR55" si="386">CC161/CC186</f>
        <v>1.4584132135502341</v>
      </c>
      <c r="CD55" s="30">
        <f t="shared" si="386"/>
        <v>1.6594308085369001</v>
      </c>
      <c r="CE55" s="30">
        <f t="shared" si="386"/>
        <v>1.4056282605963628</v>
      </c>
      <c r="CF55" s="30">
        <f t="shared" si="386"/>
        <v>1.4125437024228691</v>
      </c>
      <c r="CG55" s="30">
        <f t="shared" si="386"/>
        <v>1.3592270937315423</v>
      </c>
      <c r="CH55" s="30">
        <f t="shared" si="386"/>
        <v>1.369160678023976</v>
      </c>
      <c r="CI55" s="30">
        <f t="shared" si="386"/>
        <v>1.4613123128179419</v>
      </c>
      <c r="CJ55" s="30">
        <f t="shared" si="386"/>
        <v>1.3158160154204337</v>
      </c>
      <c r="CK55" s="30">
        <f t="shared" si="386"/>
        <v>1.3460981204248268</v>
      </c>
      <c r="CL55" s="30">
        <f t="shared" si="386"/>
        <v>1.3268619647285407</v>
      </c>
      <c r="CM55" s="32">
        <f t="shared" si="386"/>
        <v>1.2728517009943767</v>
      </c>
      <c r="CN55" s="32">
        <f t="shared" si="386"/>
        <v>1.2599873543631304</v>
      </c>
      <c r="CO55" s="32">
        <f t="shared" si="386"/>
        <v>1.2647242305681266</v>
      </c>
      <c r="CP55" s="32">
        <f t="shared" si="386"/>
        <v>1.2955280099542861</v>
      </c>
      <c r="CQ55" s="32">
        <f t="shared" si="386"/>
        <v>1.3183266375778215</v>
      </c>
      <c r="CR55" s="32">
        <f t="shared" si="386"/>
        <v>1.2756980351602896</v>
      </c>
      <c r="CS55" s="32">
        <f t="shared" ref="CS55:CX55" si="387">CS161/CS186</f>
        <v>1.3545632663380103</v>
      </c>
      <c r="CT55" s="32">
        <f t="shared" si="387"/>
        <v>1.3634812771885929</v>
      </c>
      <c r="CU55" s="32">
        <f t="shared" si="387"/>
        <v>1.2583733008481917</v>
      </c>
      <c r="CV55" s="32">
        <f t="shared" si="387"/>
        <v>1.1566869826737285</v>
      </c>
      <c r="CW55" s="32">
        <f t="shared" si="387"/>
        <v>1.1790160350226555</v>
      </c>
      <c r="CX55" s="32">
        <f t="shared" si="387"/>
        <v>1.1860092572590843</v>
      </c>
      <c r="CY55" s="32">
        <f t="shared" ref="CY55:DD55" si="388">CY161/CY186</f>
        <v>1.2140230084331232</v>
      </c>
      <c r="CZ55" s="31">
        <f t="shared" si="388"/>
        <v>1.2056730140950247</v>
      </c>
      <c r="DA55" s="30">
        <f t="shared" si="388"/>
        <v>1.1636680566619058</v>
      </c>
      <c r="DB55" s="30">
        <f t="shared" si="388"/>
        <v>1.158690579710433</v>
      </c>
      <c r="DC55" s="30">
        <f t="shared" si="388"/>
        <v>1.1513261127373549</v>
      </c>
      <c r="DD55" s="30">
        <f t="shared" si="388"/>
        <v>1.1377655615172597</v>
      </c>
      <c r="DE55" s="30">
        <f t="shared" ref="DE55" si="389">DE161/DE186</f>
        <v>1.1176105541510768</v>
      </c>
      <c r="DF55" s="30">
        <f t="shared" ref="DF55" si="390">DF161/DF186</f>
        <v>1.0960687796713449</v>
      </c>
      <c r="DG55" s="30">
        <f>DG161/DG186</f>
        <v>1.0960687796713449</v>
      </c>
      <c r="DH55" s="30">
        <f>DH161/DH186</f>
        <v>1.0960687796713449</v>
      </c>
      <c r="DI55" s="30">
        <f>DI161/DI186</f>
        <v>1.0960687796713449</v>
      </c>
    </row>
    <row r="56" spans="1:113" ht="12" outlineLevel="1">
      <c r="A56" s="1" t="s">
        <v>457</v>
      </c>
      <c r="B56" s="15" t="s">
        <v>386</v>
      </c>
      <c r="C56" s="207" t="e">
        <f t="shared" ref="C56:L56" si="391">(C164*C19)/(B164*B19)-1</f>
        <v>#VALUE!</v>
      </c>
      <c r="D56" s="207">
        <f t="shared" si="391"/>
        <v>-1.4763734859929434E-3</v>
      </c>
      <c r="E56" s="207">
        <f t="shared" si="391"/>
        <v>-2.3400556968911079E-3</v>
      </c>
      <c r="F56" s="207">
        <f t="shared" si="391"/>
        <v>2.0196312059937327E-2</v>
      </c>
      <c r="G56" s="207">
        <f t="shared" si="391"/>
        <v>4.1715878378705051E-2</v>
      </c>
      <c r="H56" s="207">
        <f t="shared" si="391"/>
        <v>1.6852380389402302</v>
      </c>
      <c r="I56" s="207">
        <f t="shared" si="391"/>
        <v>4.1347237749345789E-2</v>
      </c>
      <c r="J56" s="207">
        <f t="shared" si="391"/>
        <v>7.0434527994240437E-2</v>
      </c>
      <c r="K56" s="207">
        <f t="shared" si="391"/>
        <v>6.1970181307302585E-2</v>
      </c>
      <c r="L56" s="207">
        <f t="shared" si="391"/>
        <v>6.6942631500885197E-2</v>
      </c>
      <c r="M56" s="30">
        <f t="shared" ref="M56:AY56" si="392">(M164*M19)/(L164*L19)-1</f>
        <v>5.982435373042061E-2</v>
      </c>
      <c r="N56" s="30">
        <f t="shared" si="392"/>
        <v>6.5693116706195376E-2</v>
      </c>
      <c r="O56" s="30">
        <f t="shared" si="392"/>
        <v>6.729026548500916E-2</v>
      </c>
      <c r="P56" s="30">
        <f t="shared" si="392"/>
        <v>6.3479421892202126E-2</v>
      </c>
      <c r="Q56" s="30">
        <f t="shared" si="392"/>
        <v>3.1107478895853635E-2</v>
      </c>
      <c r="R56" s="30">
        <f t="shared" si="392"/>
        <v>1.7081117000101065E-2</v>
      </c>
      <c r="S56" s="30">
        <f t="shared" si="392"/>
        <v>-9.5646079043627541E-3</v>
      </c>
      <c r="T56" s="32">
        <f t="shared" si="392"/>
        <v>-4.6167260187413017E-3</v>
      </c>
      <c r="U56" s="30">
        <f t="shared" si="392"/>
        <v>7.0516077671389787E-3</v>
      </c>
      <c r="V56" s="30">
        <f t="shared" si="392"/>
        <v>5.2524093800210281E-4</v>
      </c>
      <c r="W56" s="30">
        <f t="shared" si="392"/>
        <v>-8.3809211231294922E-3</v>
      </c>
      <c r="X56" s="30">
        <f t="shared" si="392"/>
        <v>4.3213734885738653E-4</v>
      </c>
      <c r="Y56" s="32">
        <f t="shared" si="392"/>
        <v>3.4695501559373065E-2</v>
      </c>
      <c r="Z56" s="32">
        <f t="shared" si="392"/>
        <v>2.4697858496107727E-2</v>
      </c>
      <c r="AA56" s="139">
        <f t="shared" si="392"/>
        <v>3.2325871285788788E-2</v>
      </c>
      <c r="AB56" s="139">
        <f t="shared" si="392"/>
        <v>2.9740831772437692E-2</v>
      </c>
      <c r="AC56" s="139">
        <f t="shared" si="392"/>
        <v>2.1764821293974279E-2</v>
      </c>
      <c r="AD56" s="139">
        <f t="shared" si="392"/>
        <v>3.3542459370063948E-2</v>
      </c>
      <c r="AE56" s="139">
        <f t="shared" si="392"/>
        <v>5.3248212560133013E-2</v>
      </c>
      <c r="AF56" s="139">
        <f t="shared" si="392"/>
        <v>3.9301986581220749E-2</v>
      </c>
      <c r="AG56" s="139">
        <f t="shared" si="392"/>
        <v>3.8617334855792995E-2</v>
      </c>
      <c r="AH56" s="139">
        <f t="shared" si="392"/>
        <v>2.3186788635217059E-2</v>
      </c>
      <c r="AI56" s="139">
        <f t="shared" si="392"/>
        <v>2.4455117947048688E-2</v>
      </c>
      <c r="AJ56" s="139">
        <f t="shared" si="392"/>
        <v>2.1817876240111778E-2</v>
      </c>
      <c r="AK56" s="139">
        <f t="shared" si="392"/>
        <v>2.6304147511201137E-2</v>
      </c>
      <c r="AL56" s="139">
        <f t="shared" si="392"/>
        <v>2.8053370678570166E-2</v>
      </c>
      <c r="AM56" s="139">
        <f t="shared" si="392"/>
        <v>2.2686153810955734E-2</v>
      </c>
      <c r="AN56" s="139">
        <f t="shared" si="392"/>
        <v>3.3547959411126094E-2</v>
      </c>
      <c r="AO56" s="139">
        <f t="shared" si="392"/>
        <v>2.2221458256882043E-2</v>
      </c>
      <c r="AP56" s="139">
        <f t="shared" si="392"/>
        <v>6.5297269980899575E-2</v>
      </c>
      <c r="AQ56" s="139">
        <f t="shared" si="392"/>
        <v>3.6112646980777097E-2</v>
      </c>
      <c r="AR56" s="139">
        <f t="shared" si="392"/>
        <v>4.2906852188000277E-2</v>
      </c>
      <c r="AS56" s="139">
        <f t="shared" si="392"/>
        <v>1.0675758460320539E-2</v>
      </c>
      <c r="AT56" s="139">
        <f t="shared" si="392"/>
        <v>3.9771378053672368E-3</v>
      </c>
      <c r="AU56" s="139">
        <f t="shared" si="392"/>
        <v>2.6327797094866323E-2</v>
      </c>
      <c r="AV56" s="139">
        <f t="shared" si="392"/>
        <v>1.9853193014293335E-2</v>
      </c>
      <c r="AW56" s="139">
        <f t="shared" si="392"/>
        <v>1.4892882254649686E-2</v>
      </c>
      <c r="AX56" s="139">
        <f t="shared" si="392"/>
        <v>2.0655111226025591E-2</v>
      </c>
      <c r="AY56" s="140">
        <f t="shared" si="392"/>
        <v>2.3987171844548794E-2</v>
      </c>
      <c r="AZ56" s="30">
        <f t="shared" ref="AZ56:BA56" si="393">AZ46+AZ32</f>
        <v>5.1000000000000073E-3</v>
      </c>
      <c r="BA56" s="30">
        <f t="shared" si="393"/>
        <v>1.0100000000000007E-2</v>
      </c>
      <c r="BB56" s="30">
        <f t="shared" ref="BB56:BC56" si="394">BB46+BB32</f>
        <v>1.8100000000000005E-2</v>
      </c>
      <c r="BC56" s="30">
        <f t="shared" si="394"/>
        <v>1.8100000000000005E-2</v>
      </c>
      <c r="BD56" s="30">
        <f t="shared" ref="BD56:BE56" si="395">BD46+BD32</f>
        <v>1.8100000000000005E-2</v>
      </c>
      <c r="BE56" s="30">
        <f t="shared" si="395"/>
        <v>1.8100000000000005E-2</v>
      </c>
      <c r="BF56" s="30">
        <f t="shared" ref="BF56:BG56" si="396">BF46+BF32</f>
        <v>1.8100000000000005E-2</v>
      </c>
      <c r="BG56" s="30">
        <f t="shared" si="396"/>
        <v>1.8100000000000005E-2</v>
      </c>
      <c r="BH56" s="30">
        <f t="shared" ref="BH56:BI56" si="397">BH46+BH32</f>
        <v>2.0100000000000007E-2</v>
      </c>
      <c r="BI56" s="30">
        <f t="shared" si="397"/>
        <v>2.0100000000000007E-2</v>
      </c>
      <c r="BJ56" s="30">
        <f t="shared" ref="BJ56:BK56" si="398">BJ46+BJ32</f>
        <v>2.0100000000000007E-2</v>
      </c>
      <c r="BK56" s="30">
        <f t="shared" si="398"/>
        <v>2.0100000000000007E-2</v>
      </c>
      <c r="BL56" s="30">
        <f t="shared" ref="BL56:BM56" si="399">BL46+BL32</f>
        <v>2.0100000000000007E-2</v>
      </c>
      <c r="BM56" s="30">
        <f t="shared" si="399"/>
        <v>2.0100000000000007E-2</v>
      </c>
      <c r="BN56" s="30">
        <f t="shared" ref="BN56:BO56" si="400">BN46+BN32</f>
        <v>2.0100000000000007E-2</v>
      </c>
      <c r="BO56" s="30">
        <f t="shared" si="400"/>
        <v>2.0100000000000007E-2</v>
      </c>
      <c r="BP56" s="30">
        <f t="shared" ref="BP56:BQ56" si="401">BP46+BP32</f>
        <v>2.0100000000000007E-2</v>
      </c>
      <c r="BQ56" s="30">
        <f t="shared" si="401"/>
        <v>2.0100000000000007E-2</v>
      </c>
      <c r="BR56" s="30"/>
      <c r="BS56" s="207" t="e">
        <f t="shared" ref="BS56:CB56" si="402">(BS164*BS19)/(BR164*BR19)-1</f>
        <v>#DIV/0!</v>
      </c>
      <c r="BT56" s="207">
        <f t="shared" si="402"/>
        <v>-7.8302222658656384E-2</v>
      </c>
      <c r="BU56" s="207">
        <f t="shared" si="402"/>
        <v>4.658444916222293E-2</v>
      </c>
      <c r="BV56" s="207">
        <f t="shared" si="402"/>
        <v>0.17445101359557924</v>
      </c>
      <c r="BW56" s="207">
        <f t="shared" si="402"/>
        <v>0.14675724653038591</v>
      </c>
      <c r="BX56" s="207">
        <f t="shared" si="402"/>
        <v>0.13078477935865385</v>
      </c>
      <c r="BY56" s="207">
        <f t="shared" si="402"/>
        <v>0.14913085709262219</v>
      </c>
      <c r="BZ56" s="207">
        <f t="shared" si="402"/>
        <v>3.1487697362445832E-2</v>
      </c>
      <c r="CA56" s="207">
        <f t="shared" si="402"/>
        <v>0.12201131131925713</v>
      </c>
      <c r="CB56" s="207">
        <f t="shared" si="402"/>
        <v>7.4305283404991762E-3</v>
      </c>
      <c r="CC56" s="30">
        <f t="shared" ref="CC56:CS56" si="403">(CC164*CC19)/(CB164*CB19)-1</f>
        <v>-3.8129743866973653E-3</v>
      </c>
      <c r="CD56" s="30">
        <f t="shared" si="403"/>
        <v>6.2754697336232956E-2</v>
      </c>
      <c r="CE56" s="30">
        <f t="shared" si="403"/>
        <v>1.7962652145498792</v>
      </c>
      <c r="CF56" s="30">
        <f t="shared" si="403"/>
        <v>0.13676954977164058</v>
      </c>
      <c r="CG56" s="30">
        <f t="shared" si="403"/>
        <v>0.13077178489786001</v>
      </c>
      <c r="CH56" s="30">
        <f t="shared" si="403"/>
        <v>0.13740388945490212</v>
      </c>
      <c r="CI56" s="30">
        <f t="shared" si="403"/>
        <v>9.6561585564888475E-2</v>
      </c>
      <c r="CJ56" s="30">
        <f t="shared" si="403"/>
        <v>7.3531349090638631E-3</v>
      </c>
      <c r="CK56" s="30">
        <f t="shared" si="403"/>
        <v>2.4023264073451678E-3</v>
      </c>
      <c r="CL56" s="30">
        <f t="shared" si="403"/>
        <v>-7.8600821879994953E-3</v>
      </c>
      <c r="CM56" s="32">
        <f t="shared" si="403"/>
        <v>3.5142632130291673E-2</v>
      </c>
      <c r="CN56" s="32">
        <f t="shared" si="403"/>
        <v>5.7822109576676439E-2</v>
      </c>
      <c r="CO56" s="32">
        <f t="shared" si="403"/>
        <v>5.2152956955073382E-2</v>
      </c>
      <c r="CP56" s="32">
        <f t="shared" si="403"/>
        <v>8.8576747936524036E-2</v>
      </c>
      <c r="CQ56" s="32">
        <f t="shared" si="403"/>
        <v>7.9437059413318689E-2</v>
      </c>
      <c r="CR56" s="32">
        <f t="shared" si="403"/>
        <v>4.8208942233153307E-2</v>
      </c>
      <c r="CS56" s="32">
        <f t="shared" si="403"/>
        <v>4.8695924386313871E-2</v>
      </c>
      <c r="CT56" s="32">
        <f t="shared" ref="CT56" si="404">(CT164*CT19)/(CS164*CS19)-1</f>
        <v>5.1375947571655756E-2</v>
      </c>
      <c r="CU56" s="32">
        <f t="shared" ref="CU56" si="405">(CU164*CU19)/(CT164*CT19)-1</f>
        <v>5.6514902247666088E-2</v>
      </c>
      <c r="CV56" s="32">
        <f t="shared" ref="CV56" si="406">(CV164*CV19)/(CU164*CU19)-1</f>
        <v>0.10376797422130535</v>
      </c>
      <c r="CW56" s="32">
        <f t="shared" ref="CW56" si="407">(CW164*CW19)/(CV164*CV19)-1</f>
        <v>5.4040673838572584E-2</v>
      </c>
      <c r="CX56" s="32">
        <f t="shared" ref="CX56:DI56" si="408">(CX164*CX19)/(CW164*CW19)-1</f>
        <v>3.0409644177391559E-2</v>
      </c>
      <c r="CY56" s="32">
        <f t="shared" si="408"/>
        <v>3.5041746534883567E-2</v>
      </c>
      <c r="CZ56" s="31">
        <f t="shared" si="408"/>
        <v>4.5137740773021573E-2</v>
      </c>
      <c r="DA56" s="30">
        <f t="shared" si="408"/>
        <v>1.5251510000000135E-2</v>
      </c>
      <c r="DB56" s="30">
        <f t="shared" si="408"/>
        <v>3.6527609999999822E-2</v>
      </c>
      <c r="DC56" s="30">
        <f t="shared" si="408"/>
        <v>3.6527610000000266E-2</v>
      </c>
      <c r="DD56" s="30">
        <f t="shared" si="408"/>
        <v>3.6527610000000044E-2</v>
      </c>
      <c r="DE56" s="30">
        <f t="shared" si="408"/>
        <v>4.0604010000000024E-2</v>
      </c>
      <c r="DF56" s="30">
        <f t="shared" si="408"/>
        <v>4.0604010000000024E-2</v>
      </c>
      <c r="DG56" s="30">
        <f t="shared" si="408"/>
        <v>4.0604010000000246E-2</v>
      </c>
      <c r="DH56" s="30">
        <f t="shared" si="408"/>
        <v>4.0604010000000024E-2</v>
      </c>
      <c r="DI56" s="30">
        <f t="shared" si="408"/>
        <v>4.0604010000000024E-2</v>
      </c>
    </row>
    <row r="57" spans="1:113" ht="12" outlineLevel="1">
      <c r="A57" s="1" t="s">
        <v>458</v>
      </c>
      <c r="B57" s="15" t="s">
        <v>510</v>
      </c>
      <c r="C57" s="207" t="e">
        <f t="shared" ref="C57:L57" si="409">(SUM(C166:C166)*C19)/(SUM(B166:B166)*B19)-1</f>
        <v>#VALUE!</v>
      </c>
      <c r="D57" s="207">
        <f t="shared" si="409"/>
        <v>3.8691372058106355E-2</v>
      </c>
      <c r="E57" s="207">
        <f t="shared" si="409"/>
        <v>3.8902530159069304E-2</v>
      </c>
      <c r="F57" s="207">
        <f t="shared" si="409"/>
        <v>4.9192211902613137E-2</v>
      </c>
      <c r="G57" s="207">
        <f t="shared" si="409"/>
        <v>-5.2336721538015496E-4</v>
      </c>
      <c r="H57" s="207">
        <f t="shared" si="409"/>
        <v>1.0083417355278401</v>
      </c>
      <c r="I57" s="207">
        <f t="shared" si="409"/>
        <v>-2.0374357448917357E-2</v>
      </c>
      <c r="J57" s="207">
        <f t="shared" si="409"/>
        <v>2.9455281460552207E-2</v>
      </c>
      <c r="K57" s="207">
        <f t="shared" si="409"/>
        <v>-7.3637865744894393E-3</v>
      </c>
      <c r="L57" s="207">
        <f t="shared" si="409"/>
        <v>7.1087885197627543E-2</v>
      </c>
      <c r="M57" s="30">
        <f t="shared" ref="M57:AY57" si="410">(SUM(M166:M166)*M19)/(SUM(L166:L166)*L19)-1</f>
        <v>2.4553412597943192E-2</v>
      </c>
      <c r="N57" s="30">
        <f t="shared" si="410"/>
        <v>5.2376370392772875E-2</v>
      </c>
      <c r="O57" s="30">
        <f t="shared" si="410"/>
        <v>2.6580594722418471E-2</v>
      </c>
      <c r="P57" s="30">
        <f t="shared" si="410"/>
        <v>5.503839306397551E-2</v>
      </c>
      <c r="Q57" s="30">
        <f t="shared" si="410"/>
        <v>1.5490466979828588E-2</v>
      </c>
      <c r="R57" s="30">
        <f t="shared" si="410"/>
        <v>-3.1679929314252231E-3</v>
      </c>
      <c r="S57" s="30">
        <f t="shared" si="410"/>
        <v>-1.8123752740890398E-2</v>
      </c>
      <c r="T57" s="32">
        <f t="shared" si="410"/>
        <v>9.8377661068398403E-3</v>
      </c>
      <c r="U57" s="30">
        <f t="shared" si="410"/>
        <v>-2.0584769760777499E-2</v>
      </c>
      <c r="V57" s="30">
        <f t="shared" si="410"/>
        <v>-1.0828276678035431E-3</v>
      </c>
      <c r="W57" s="30">
        <f t="shared" si="410"/>
        <v>-1.3778160660790739E-2</v>
      </c>
      <c r="X57" s="30">
        <f t="shared" si="410"/>
        <v>3.1083347635980862E-2</v>
      </c>
      <c r="Y57" s="32">
        <f t="shared" si="410"/>
        <v>-1.0564530033696062E-2</v>
      </c>
      <c r="Z57" s="32">
        <f t="shared" si="410"/>
        <v>1.4882848252073089E-2</v>
      </c>
      <c r="AA57" s="139">
        <f t="shared" si="410"/>
        <v>2.9823671957555975E-2</v>
      </c>
      <c r="AB57" s="139">
        <f t="shared" si="410"/>
        <v>4.6715577579272693E-2</v>
      </c>
      <c r="AC57" s="139">
        <f t="shared" si="410"/>
        <v>3.5470566179227614E-2</v>
      </c>
      <c r="AD57" s="139">
        <f t="shared" si="410"/>
        <v>3.7739093177969307E-2</v>
      </c>
      <c r="AE57" s="139">
        <f t="shared" si="410"/>
        <v>3.0325651523880559E-2</v>
      </c>
      <c r="AF57" s="139">
        <f t="shared" si="410"/>
        <v>-3.6427139651875606E-3</v>
      </c>
      <c r="AG57" s="139">
        <f t="shared" si="410"/>
        <v>-1.1629311743864279E-2</v>
      </c>
      <c r="AH57" s="139">
        <f t="shared" si="410"/>
        <v>-1.1487530769795806E-2</v>
      </c>
      <c r="AI57" s="139">
        <f t="shared" si="410"/>
        <v>-3.2771705575654897E-3</v>
      </c>
      <c r="AJ57" s="139">
        <f t="shared" si="410"/>
        <v>1.252569346418797E-2</v>
      </c>
      <c r="AK57" s="139">
        <f t="shared" si="410"/>
        <v>-9.0516914064616705E-3</v>
      </c>
      <c r="AL57" s="139">
        <f t="shared" si="410"/>
        <v>-1.4951247096854137E-2</v>
      </c>
      <c r="AM57" s="139">
        <f t="shared" si="410"/>
        <v>-3.1672555942356628E-2</v>
      </c>
      <c r="AN57" s="139">
        <f t="shared" si="410"/>
        <v>-9.0542577948213854E-2</v>
      </c>
      <c r="AO57" s="139">
        <f t="shared" si="410"/>
        <v>-8.8198588284716384E-2</v>
      </c>
      <c r="AP57" s="139">
        <f t="shared" si="410"/>
        <v>-1.0748747770961686E-2</v>
      </c>
      <c r="AQ57" s="139">
        <f t="shared" si="410"/>
        <v>-0.12330296396325946</v>
      </c>
      <c r="AR57" s="139">
        <f t="shared" si="410"/>
        <v>3.6943297000794795E-2</v>
      </c>
      <c r="AS57" s="139">
        <f t="shared" si="410"/>
        <v>5.8621064079369845E-2</v>
      </c>
      <c r="AT57" s="139">
        <f t="shared" si="410"/>
        <v>2.1174455099634892E-2</v>
      </c>
      <c r="AU57" s="139">
        <f t="shared" si="410"/>
        <v>-2.5963434171131228E-3</v>
      </c>
      <c r="AV57" s="139">
        <f t="shared" si="410"/>
        <v>5.4777898976043904E-3</v>
      </c>
      <c r="AW57" s="139">
        <f t="shared" si="410"/>
        <v>-1.9948046515710471E-2</v>
      </c>
      <c r="AX57" s="139">
        <f t="shared" si="410"/>
        <v>-3.3188372256953702E-3</v>
      </c>
      <c r="AY57" s="140">
        <f t="shared" si="410"/>
        <v>-7.4568060713710027E-3</v>
      </c>
      <c r="AZ57" s="30">
        <f t="shared" ref="AZ57:BA57" si="411">AZ47+AZ33</f>
        <v>-5.7964000000000071E-2</v>
      </c>
      <c r="BA57" s="30">
        <f t="shared" si="411"/>
        <v>-2.7964000000000065E-2</v>
      </c>
      <c r="BB57" s="30">
        <f t="shared" ref="BB57:BC57" si="412">BB47+BB33</f>
        <v>-2.7964000000000065E-2</v>
      </c>
      <c r="BC57" s="30">
        <f t="shared" si="412"/>
        <v>-2.7964000000000065E-2</v>
      </c>
      <c r="BD57" s="30">
        <f t="shared" ref="BD57:BE57" si="413">BD47+BD33</f>
        <v>-7.9640000000000648E-3</v>
      </c>
      <c r="BE57" s="30">
        <f t="shared" si="413"/>
        <v>2.0359999999999354E-3</v>
      </c>
      <c r="BF57" s="30">
        <f t="shared" ref="BF57:BG57" si="414">BF47+BF33</f>
        <v>2.0359999999999354E-3</v>
      </c>
      <c r="BG57" s="30">
        <f t="shared" si="414"/>
        <v>2.0359999999999354E-3</v>
      </c>
      <c r="BH57" s="30">
        <f t="shared" ref="BH57:BI57" si="415">BH47+BH33</f>
        <v>1.2035999999999936E-2</v>
      </c>
      <c r="BI57" s="30">
        <f t="shared" si="415"/>
        <v>1.2035999999999936E-2</v>
      </c>
      <c r="BJ57" s="30">
        <f t="shared" ref="BJ57:BK57" si="416">BJ47+BJ33</f>
        <v>1.2035999999999936E-2</v>
      </c>
      <c r="BK57" s="30">
        <f t="shared" si="416"/>
        <v>1.2035999999999936E-2</v>
      </c>
      <c r="BL57" s="30">
        <f t="shared" ref="BL57:BM57" si="417">BL47+BL33</f>
        <v>1.2035999999999936E-2</v>
      </c>
      <c r="BM57" s="30">
        <f t="shared" si="417"/>
        <v>1.2035999999999936E-2</v>
      </c>
      <c r="BN57" s="30">
        <f t="shared" ref="BN57:BO57" si="418">BN47+BN33</f>
        <v>1.2035999999999936E-2</v>
      </c>
      <c r="BO57" s="30">
        <f t="shared" si="418"/>
        <v>1.2035999999999936E-2</v>
      </c>
      <c r="BP57" s="30">
        <f t="shared" ref="BP57:BQ57" si="419">BP47+BP33</f>
        <v>1.2035999999999936E-2</v>
      </c>
      <c r="BQ57" s="30">
        <f t="shared" si="419"/>
        <v>1.2035999999999936E-2</v>
      </c>
      <c r="BR57" s="30"/>
      <c r="BS57" s="207" t="e">
        <f t="shared" ref="BS57" si="420">(SUM(BS166:BS166)*BS19)/(SUM(BR166:BR166)*BR19)-1</f>
        <v>#DIV/0!</v>
      </c>
      <c r="BT57" s="207">
        <f t="shared" ref="BT57:CB57" si="421">(SUM(BT166:BT166)*BT19)/(SUM(BS166:BS166)*BS19)-1</f>
        <v>-7.8302222658656606E-2</v>
      </c>
      <c r="BU57" s="207">
        <f t="shared" si="421"/>
        <v>4.6584449162222707E-2</v>
      </c>
      <c r="BV57" s="207">
        <f t="shared" si="421"/>
        <v>0.17445101359557902</v>
      </c>
      <c r="BW57" s="207">
        <f t="shared" si="421"/>
        <v>0.14675724653038591</v>
      </c>
      <c r="BX57" s="207">
        <f t="shared" si="421"/>
        <v>0.13078477935865407</v>
      </c>
      <c r="BY57" s="207">
        <f t="shared" si="421"/>
        <v>0.14913085709262219</v>
      </c>
      <c r="BZ57" s="207">
        <f t="shared" si="421"/>
        <v>3.1487697362446054E-2</v>
      </c>
      <c r="CA57" s="207">
        <f t="shared" si="421"/>
        <v>0.32097336799173193</v>
      </c>
      <c r="CB57" s="207">
        <f t="shared" si="421"/>
        <v>0.19696560904530269</v>
      </c>
      <c r="CC57" s="30">
        <f t="shared" ref="CC57:CS57" si="422">(SUM(CC166:CC166)*CC19)/(SUM(CB166:CB166)*CB19)-1</f>
        <v>7.9099094485561849E-2</v>
      </c>
      <c r="CD57" s="30">
        <f t="shared" si="422"/>
        <v>4.8643099096271181E-2</v>
      </c>
      <c r="CE57" s="30">
        <f t="shared" si="422"/>
        <v>0.9674230631286167</v>
      </c>
      <c r="CF57" s="30">
        <f t="shared" si="422"/>
        <v>2.187459247989576E-2</v>
      </c>
      <c r="CG57" s="30">
        <f t="shared" si="422"/>
        <v>9.7386747971543119E-2</v>
      </c>
      <c r="CH57" s="30">
        <f t="shared" si="422"/>
        <v>8.0349160189633118E-2</v>
      </c>
      <c r="CI57" s="30">
        <f t="shared" si="422"/>
        <v>7.1381430454184436E-2</v>
      </c>
      <c r="CJ57" s="30">
        <f t="shared" si="422"/>
        <v>-2.1234329751741554E-2</v>
      </c>
      <c r="CK57" s="30">
        <f t="shared" si="422"/>
        <v>-1.0949511804207446E-2</v>
      </c>
      <c r="CL57" s="30">
        <f t="shared" si="422"/>
        <v>-1.4846068955019387E-2</v>
      </c>
      <c r="CM57" s="32">
        <f t="shared" si="422"/>
        <v>2.0190436642636644E-2</v>
      </c>
      <c r="CN57" s="32">
        <f t="shared" si="422"/>
        <v>4.5150381393693095E-2</v>
      </c>
      <c r="CO57" s="32">
        <f t="shared" si="422"/>
        <v>8.3843171744626854E-2</v>
      </c>
      <c r="CP57" s="32">
        <f t="shared" si="422"/>
        <v>6.9209207290392261E-2</v>
      </c>
      <c r="CQ57" s="32">
        <f t="shared" si="422"/>
        <v>-1.5229663452757003E-2</v>
      </c>
      <c r="CR57" s="32">
        <f t="shared" si="422"/>
        <v>-1.472705472974345E-2</v>
      </c>
      <c r="CS57" s="32">
        <f t="shared" si="422"/>
        <v>3.3606233458365331E-3</v>
      </c>
      <c r="CT57" s="32">
        <f t="shared" ref="CT57" si="423">(SUM(CT166:CT166)*CT19)/(SUM(CS166:CS166)*CS19)-1</f>
        <v>-4.615025882912771E-2</v>
      </c>
      <c r="CU57" s="32">
        <f t="shared" ref="CU57" si="424">(SUM(CU166:CU166)*CU19)/(SUM(CT166:CT166)*CT19)-1</f>
        <v>-0.17075543867823895</v>
      </c>
      <c r="CV57" s="32">
        <f t="shared" ref="CV57" si="425">(SUM(CV166:CV166)*CV19)/(SUM(CU166:CU166)*CU19)-1</f>
        <v>-0.13272635927516807</v>
      </c>
      <c r="CW57" s="32">
        <f t="shared" ref="CW57" si="426">(SUM(CW166:CW166)*CW19)/(SUM(CV166:CV166)*CV19)-1</f>
        <v>9.7730016460951363E-2</v>
      </c>
      <c r="CX57" s="32">
        <f t="shared" ref="CX57:DI57" si="427">(SUM(CX166:CX166)*CX19)/(SUM(CW166:CW166)*CW19)-1</f>
        <v>1.8523135525412959E-2</v>
      </c>
      <c r="CY57" s="32">
        <f t="shared" si="427"/>
        <v>-1.4579527825786642E-2</v>
      </c>
      <c r="CZ57" s="31">
        <f t="shared" si="427"/>
        <v>-1.0750895371491875E-2</v>
      </c>
      <c r="DA57" s="30">
        <f t="shared" si="427"/>
        <v>-8.4307094704000107E-2</v>
      </c>
      <c r="DB57" s="30">
        <f t="shared" si="427"/>
        <v>-5.5146014704000157E-2</v>
      </c>
      <c r="DC57" s="30">
        <f t="shared" si="427"/>
        <v>-5.9442147040001947E-3</v>
      </c>
      <c r="DD57" s="30">
        <f t="shared" si="427"/>
        <v>4.0761452960000888E-3</v>
      </c>
      <c r="DE57" s="30">
        <f t="shared" si="427"/>
        <v>2.4216865295999979E-2</v>
      </c>
      <c r="DF57" s="30">
        <f t="shared" si="427"/>
        <v>2.4216865295999757E-2</v>
      </c>
      <c r="DG57" s="30">
        <f t="shared" si="427"/>
        <v>2.4216865295999979E-2</v>
      </c>
      <c r="DH57" s="30">
        <f t="shared" si="427"/>
        <v>2.4216865295999757E-2</v>
      </c>
      <c r="DI57" s="30">
        <f t="shared" si="427"/>
        <v>2.4216865295999979E-2</v>
      </c>
    </row>
    <row r="58" spans="1:113" ht="12" outlineLevel="1">
      <c r="A58" s="1" t="s">
        <v>855</v>
      </c>
      <c r="B58" s="15" t="s">
        <v>511</v>
      </c>
      <c r="C58" s="207">
        <f t="shared" ref="C58:L58" si="428">C167/C192</f>
        <v>0.8172369399244217</v>
      </c>
      <c r="D58" s="207">
        <f t="shared" si="428"/>
        <v>0.77749398801392122</v>
      </c>
      <c r="E58" s="207">
        <f t="shared" si="428"/>
        <v>0.76067726211358788</v>
      </c>
      <c r="F58" s="207">
        <f t="shared" si="428"/>
        <v>0.83822061799168923</v>
      </c>
      <c r="G58" s="207">
        <f t="shared" si="428"/>
        <v>0.80170531639622933</v>
      </c>
      <c r="H58" s="207">
        <f t="shared" si="428"/>
        <v>1.7027406917962729</v>
      </c>
      <c r="I58" s="207">
        <f t="shared" si="428"/>
        <v>1.6314553056387286</v>
      </c>
      <c r="J58" s="207">
        <f t="shared" si="428"/>
        <v>1.6095408217814713</v>
      </c>
      <c r="K58" s="207">
        <f t="shared" si="428"/>
        <v>1.6496517708245182</v>
      </c>
      <c r="L58" s="207">
        <f t="shared" si="428"/>
        <v>1.9726358027296971</v>
      </c>
      <c r="M58" s="30">
        <f t="shared" ref="M58:Y58" si="429">M167/M192</f>
        <v>1.7439619829068675</v>
      </c>
      <c r="N58" s="30">
        <f t="shared" si="429"/>
        <v>1.785642562824505</v>
      </c>
      <c r="O58" s="30">
        <f t="shared" si="429"/>
        <v>1.7462912970143256</v>
      </c>
      <c r="P58" s="30">
        <f t="shared" si="429"/>
        <v>1.6533276784240656</v>
      </c>
      <c r="Q58" s="30">
        <f t="shared" si="429"/>
        <v>1.3713722333665732</v>
      </c>
      <c r="R58" s="30">
        <f t="shared" si="429"/>
        <v>1.4168630031037981</v>
      </c>
      <c r="S58" s="30">
        <f t="shared" si="429"/>
        <v>1.3962560206683743</v>
      </c>
      <c r="T58" s="32">
        <f t="shared" si="429"/>
        <v>1.3936858733512696</v>
      </c>
      <c r="U58" s="30">
        <f t="shared" si="429"/>
        <v>1.4153498192383427</v>
      </c>
      <c r="V58" s="30">
        <f t="shared" si="429"/>
        <v>1.2929890743781896</v>
      </c>
      <c r="W58" s="30">
        <f t="shared" si="429"/>
        <v>1.2894737660952662</v>
      </c>
      <c r="X58" s="30">
        <f t="shared" si="429"/>
        <v>1.2475562826097015</v>
      </c>
      <c r="Y58" s="32">
        <f t="shared" si="429"/>
        <v>1.4594630116410063</v>
      </c>
      <c r="Z58" s="32">
        <f t="shared" ref="Z58:AE58" si="430">Z167/Z192</f>
        <v>1.4258567425820821</v>
      </c>
      <c r="AA58" s="139">
        <f t="shared" si="430"/>
        <v>1.4135587888320882</v>
      </c>
      <c r="AB58" s="139">
        <f t="shared" si="430"/>
        <v>1.3932142908531058</v>
      </c>
      <c r="AC58" s="139">
        <f t="shared" si="430"/>
        <v>1.3931501804522355</v>
      </c>
      <c r="AD58" s="139">
        <f t="shared" si="430"/>
        <v>1.3668954123776846</v>
      </c>
      <c r="AE58" s="139">
        <f t="shared" si="430"/>
        <v>1.3691514618885843</v>
      </c>
      <c r="AF58" s="139">
        <f t="shared" ref="AF58:AG58" si="431">AF167/AF192</f>
        <v>1.3062280335242216</v>
      </c>
      <c r="AG58" s="139">
        <f t="shared" si="431"/>
        <v>1.3162477916452955</v>
      </c>
      <c r="AH58" s="139">
        <f t="shared" ref="AH58:AI58" si="432">AH167/AH192</f>
        <v>1.2855596326093397</v>
      </c>
      <c r="AI58" s="139">
        <f t="shared" si="432"/>
        <v>1.2829670329670331</v>
      </c>
      <c r="AJ58" s="139">
        <f t="shared" ref="AJ58:AK58" si="433">AJ167/AJ192</f>
        <v>1.244674287029</v>
      </c>
      <c r="AK58" s="139">
        <f t="shared" si="433"/>
        <v>1.2032251500661308</v>
      </c>
      <c r="AL58" s="139">
        <f t="shared" ref="AL58:AM58" si="434">AL167/AL192</f>
        <v>1.2281963780199325</v>
      </c>
      <c r="AM58" s="139">
        <f t="shared" si="434"/>
        <v>1.2088892359043928</v>
      </c>
      <c r="AN58" s="139">
        <f t="shared" ref="AN58:AO58" si="435">AN167/AN192</f>
        <v>1.1834191251906898</v>
      </c>
      <c r="AO58" s="139">
        <f t="shared" si="435"/>
        <v>1.0875757468996619</v>
      </c>
      <c r="AP58" s="139">
        <f t="shared" ref="AP58:AQ58" si="436">AP167/AP192</f>
        <v>1.1116364338093401</v>
      </c>
      <c r="AQ58" s="139">
        <f t="shared" si="436"/>
        <v>1.112440526745442</v>
      </c>
      <c r="AR58" s="139">
        <f t="shared" ref="AR58:AS58" si="437">AR167/AR192</f>
        <v>1.1142403743118665</v>
      </c>
      <c r="AS58" s="139">
        <f t="shared" si="437"/>
        <v>1.006095297029703</v>
      </c>
      <c r="AT58" s="139">
        <f t="shared" ref="AT58:AU58" si="438">AT167/AT192</f>
        <v>1.121418152350081</v>
      </c>
      <c r="AU58" s="139">
        <f t="shared" si="438"/>
        <v>1.1117616600947944</v>
      </c>
      <c r="AV58" s="139">
        <f t="shared" ref="AV58:AW58" si="439">AV167/AV192</f>
        <v>1.1028216202483407</v>
      </c>
      <c r="AW58" s="139">
        <f t="shared" si="439"/>
        <v>1.108190772010174</v>
      </c>
      <c r="AX58" s="139">
        <f t="shared" ref="AX58:AY58" si="440">AX167/AX192</f>
        <v>1.0833475120261093</v>
      </c>
      <c r="AY58" s="140">
        <f t="shared" si="440"/>
        <v>1.1010734721543529</v>
      </c>
      <c r="AZ58" s="33">
        <f>AZ167/((AY192*(1+4%)))</f>
        <v>1.1025810197898793</v>
      </c>
      <c r="BA58" s="33">
        <f>BA167/((AZ192*(1+3%)))</f>
        <v>1.0521193164565183</v>
      </c>
      <c r="BB58" s="33">
        <f t="shared" ref="BB58:BG58" si="441">BB167/((BA192*(1+3%)))</f>
        <v>1.0055533838608488</v>
      </c>
      <c r="BC58" s="33">
        <f t="shared" si="441"/>
        <v>0.97758366265100394</v>
      </c>
      <c r="BD58" s="33">
        <f t="shared" si="441"/>
        <v>0.95141186786753895</v>
      </c>
      <c r="BE58" s="33">
        <f t="shared" si="441"/>
        <v>0.92463322456446495</v>
      </c>
      <c r="BF58" s="33">
        <f t="shared" si="441"/>
        <v>0.89995754988742016</v>
      </c>
      <c r="BG58" s="33">
        <f t="shared" si="441"/>
        <v>0.87738081008543434</v>
      </c>
      <c r="BH58" s="33">
        <f t="shared" ref="BH58" si="442">BH167/((BG192*(1+2.5%)))</f>
        <v>0.86323531307989965</v>
      </c>
      <c r="BI58" s="33">
        <f t="shared" ref="BI58:BK58" si="443">BH58</f>
        <v>0.86323531307989965</v>
      </c>
      <c r="BJ58" s="33">
        <f t="shared" si="443"/>
        <v>0.86323531307989965</v>
      </c>
      <c r="BK58" s="33">
        <f t="shared" si="443"/>
        <v>0.86323531307989965</v>
      </c>
      <c r="BL58" s="33">
        <f t="shared" ref="BL58" si="444">BK58</f>
        <v>0.86323531307989965</v>
      </c>
      <c r="BM58" s="33">
        <f t="shared" ref="BM58" si="445">BL58</f>
        <v>0.86323531307989965</v>
      </c>
      <c r="BN58" s="33">
        <f t="shared" ref="BN58" si="446">BM58</f>
        <v>0.86323531307989965</v>
      </c>
      <c r="BO58" s="33">
        <f t="shared" ref="BO58" si="447">BN58</f>
        <v>0.86323531307989965</v>
      </c>
      <c r="BP58" s="33">
        <f t="shared" ref="BP58" si="448">BO58</f>
        <v>0.86323531307989965</v>
      </c>
      <c r="BQ58" s="33">
        <f t="shared" ref="BQ58" si="449">BP58</f>
        <v>0.86323531307989965</v>
      </c>
      <c r="BR58" s="30"/>
      <c r="BS58" s="207">
        <f t="shared" ref="BS58:CB58" si="450">BS167/BS192</f>
        <v>0.45138723151923527</v>
      </c>
      <c r="BT58" s="207">
        <f t="shared" si="450"/>
        <v>0.45931424765091683</v>
      </c>
      <c r="BU58" s="207">
        <f t="shared" si="450"/>
        <v>0.47245942927514084</v>
      </c>
      <c r="BV58" s="207">
        <f t="shared" si="450"/>
        <v>0.50828951947087042</v>
      </c>
      <c r="BW58" s="207">
        <f t="shared" si="450"/>
        <v>0.49601602600867817</v>
      </c>
      <c r="BX58" s="207">
        <f t="shared" si="450"/>
        <v>0.47857463508198456</v>
      </c>
      <c r="BY58" s="207">
        <f t="shared" si="450"/>
        <v>0.51414906682857187</v>
      </c>
      <c r="BZ58" s="207">
        <f t="shared" si="450"/>
        <v>0.56513333908891117</v>
      </c>
      <c r="CA58" s="207">
        <f t="shared" si="450"/>
        <v>0.68651817886260014</v>
      </c>
      <c r="CB58" s="207">
        <f t="shared" si="450"/>
        <v>0.64525945081240554</v>
      </c>
      <c r="CC58" s="30">
        <f t="shared" ref="CC58:CR58" si="451">CC167/CC192</f>
        <v>0.76067726211358788</v>
      </c>
      <c r="CD58" s="30">
        <f t="shared" si="451"/>
        <v>0.80170531639622933</v>
      </c>
      <c r="CE58" s="30">
        <f t="shared" si="451"/>
        <v>1.6314553056387286</v>
      </c>
      <c r="CF58" s="30">
        <f t="shared" si="451"/>
        <v>1.6496517708245182</v>
      </c>
      <c r="CG58" s="30">
        <f t="shared" si="451"/>
        <v>1.7439619829068675</v>
      </c>
      <c r="CH58" s="30">
        <f t="shared" si="451"/>
        <v>1.7462912970143256</v>
      </c>
      <c r="CI58" s="30">
        <f t="shared" si="451"/>
        <v>1.3713722333665732</v>
      </c>
      <c r="CJ58" s="30">
        <f t="shared" si="451"/>
        <v>1.3962560206683743</v>
      </c>
      <c r="CK58" s="30">
        <f t="shared" si="451"/>
        <v>1.4153498192383427</v>
      </c>
      <c r="CL58" s="30">
        <f t="shared" si="451"/>
        <v>1.2894737660952662</v>
      </c>
      <c r="CM58" s="32">
        <f t="shared" si="451"/>
        <v>1.4594630116410063</v>
      </c>
      <c r="CN58" s="32">
        <f t="shared" si="451"/>
        <v>1.4135587888320882</v>
      </c>
      <c r="CO58" s="32">
        <f t="shared" si="451"/>
        <v>1.3931501804522355</v>
      </c>
      <c r="CP58" s="32">
        <f t="shared" si="451"/>
        <v>1.3691514618885843</v>
      </c>
      <c r="CQ58" s="32">
        <f t="shared" si="451"/>
        <v>1.3162477916452955</v>
      </c>
      <c r="CR58" s="32">
        <f t="shared" si="451"/>
        <v>1.2829670329670331</v>
      </c>
      <c r="CS58" s="32">
        <f t="shared" ref="CS58:CX58" si="452">CS167/CS192</f>
        <v>1.2032251500661308</v>
      </c>
      <c r="CT58" s="32">
        <f t="shared" si="452"/>
        <v>1.2088892359043928</v>
      </c>
      <c r="CU58" s="32">
        <f t="shared" si="452"/>
        <v>1.0875757468996619</v>
      </c>
      <c r="CV58" s="32">
        <f t="shared" si="452"/>
        <v>1.112440526745442</v>
      </c>
      <c r="CW58" s="32">
        <f t="shared" si="452"/>
        <v>1.006095297029703</v>
      </c>
      <c r="CX58" s="32">
        <f t="shared" si="452"/>
        <v>1.1117616600947944</v>
      </c>
      <c r="CY58" s="32">
        <f t="shared" ref="CY58:DD58" si="453">CY167/CY192</f>
        <v>1.108190772010174</v>
      </c>
      <c r="CZ58" s="31">
        <f t="shared" si="453"/>
        <v>1.1010734721543529</v>
      </c>
      <c r="DA58" s="30">
        <f t="shared" si="453"/>
        <v>1.0521193164565183</v>
      </c>
      <c r="DB58" s="30">
        <f t="shared" si="453"/>
        <v>0.97758366265100394</v>
      </c>
      <c r="DC58" s="30">
        <f t="shared" si="453"/>
        <v>0.92463322456446495</v>
      </c>
      <c r="DD58" s="30">
        <f t="shared" si="453"/>
        <v>0.87738081008543434</v>
      </c>
      <c r="DE58" s="30">
        <f t="shared" ref="DE58" si="454">DE167/DE192</f>
        <v>0.86323531307989965</v>
      </c>
      <c r="DF58" s="30">
        <f t="shared" ref="DF58" si="455">DF167/DF192</f>
        <v>0.86323531307989965</v>
      </c>
      <c r="DG58" s="30">
        <f>DG167/DG192</f>
        <v>0.86323531307989954</v>
      </c>
      <c r="DH58" s="30">
        <f>DH167/DH192</f>
        <v>0.86323531307989965</v>
      </c>
      <c r="DI58" s="30">
        <f>DI167/DI192</f>
        <v>0.86323531307989965</v>
      </c>
    </row>
    <row r="59" spans="1:113" ht="12" outlineLevel="1">
      <c r="A59" s="1" t="s">
        <v>459</v>
      </c>
      <c r="B59" s="15" t="s">
        <v>179</v>
      </c>
      <c r="C59" s="207" t="e">
        <f t="shared" ref="C59:L59" si="456">(C170*C18)/(B170*B18)-1</f>
        <v>#VALUE!</v>
      </c>
      <c r="D59" s="207">
        <f t="shared" si="456"/>
        <v>4.4118396899857082E-3</v>
      </c>
      <c r="E59" s="207">
        <f t="shared" si="456"/>
        <v>0.11521230650518266</v>
      </c>
      <c r="F59" s="207">
        <f t="shared" si="456"/>
        <v>0.16068060244343618</v>
      </c>
      <c r="G59" s="207">
        <f t="shared" si="456"/>
        <v>0.20254874180691518</v>
      </c>
      <c r="H59" s="207">
        <f t="shared" si="456"/>
        <v>0.19047327858393515</v>
      </c>
      <c r="I59" s="207">
        <f t="shared" si="456"/>
        <v>0.13846022138705072</v>
      </c>
      <c r="J59" s="207">
        <f t="shared" si="456"/>
        <v>0.2050199124094616</v>
      </c>
      <c r="K59" s="207">
        <f t="shared" si="456"/>
        <v>0.12646895619022791</v>
      </c>
      <c r="L59" s="207">
        <f t="shared" si="456"/>
        <v>9.981572481572476E-2</v>
      </c>
      <c r="M59" s="30">
        <f t="shared" ref="M59:AY59" si="457">(M170*M18)/(L170*L18)-1</f>
        <v>0.15379993737994302</v>
      </c>
      <c r="N59" s="30">
        <f t="shared" si="457"/>
        <v>0.19463554043085818</v>
      </c>
      <c r="O59" s="30">
        <f t="shared" si="457"/>
        <v>0.34020559786201843</v>
      </c>
      <c r="P59" s="30">
        <f t="shared" si="457"/>
        <v>0.24055868700265237</v>
      </c>
      <c r="Q59" s="30">
        <f t="shared" si="457"/>
        <v>0.20196644416381027</v>
      </c>
      <c r="R59" s="30">
        <f t="shared" si="457"/>
        <v>3.6414206247325609E-2</v>
      </c>
      <c r="S59" s="30">
        <f t="shared" si="457"/>
        <v>8.524939684677113E-2</v>
      </c>
      <c r="T59" s="32">
        <f t="shared" si="457"/>
        <v>3.4256153652860721E-2</v>
      </c>
      <c r="U59" s="30">
        <f t="shared" si="457"/>
        <v>0.25105501946306252</v>
      </c>
      <c r="V59" s="30">
        <f t="shared" si="457"/>
        <v>0.22977628902497838</v>
      </c>
      <c r="W59" s="30">
        <f t="shared" si="457"/>
        <v>0.13342869931288104</v>
      </c>
      <c r="X59" s="30">
        <f t="shared" si="457"/>
        <v>0.26537089821460436</v>
      </c>
      <c r="Y59" s="32">
        <f t="shared" si="457"/>
        <v>0.18682508926145736</v>
      </c>
      <c r="Z59" s="32">
        <f t="shared" si="457"/>
        <v>0.12476185029338605</v>
      </c>
      <c r="AA59" s="139">
        <f t="shared" si="457"/>
        <v>0.14040823938185154</v>
      </c>
      <c r="AB59" s="139">
        <f t="shared" si="457"/>
        <v>4.785836961736889E-2</v>
      </c>
      <c r="AC59" s="139">
        <f t="shared" si="457"/>
        <v>3.7957505972837202E-2</v>
      </c>
      <c r="AD59" s="139">
        <f t="shared" si="457"/>
        <v>-2.3817558590270349E-2</v>
      </c>
      <c r="AE59" s="139">
        <f t="shared" si="457"/>
        <v>-2.9911908579278501E-2</v>
      </c>
      <c r="AF59" s="139">
        <f t="shared" si="457"/>
        <v>4.7638850234037466E-3</v>
      </c>
      <c r="AG59" s="139">
        <f t="shared" si="457"/>
        <v>-5.4042563951758771E-2</v>
      </c>
      <c r="AH59" s="139">
        <f t="shared" si="457"/>
        <v>-4.9804236548928182E-2</v>
      </c>
      <c r="AI59" s="139">
        <f t="shared" si="457"/>
        <v>-0.61022570612853422</v>
      </c>
      <c r="AJ59" s="139">
        <f t="shared" si="457"/>
        <v>-0.71128757588359526</v>
      </c>
      <c r="AK59" s="139">
        <f t="shared" si="457"/>
        <v>-1.0279929451219028E-2</v>
      </c>
      <c r="AL59" s="139">
        <f t="shared" si="457"/>
        <v>-1.3061659299774209E-2</v>
      </c>
      <c r="AM59" s="139">
        <f t="shared" si="457"/>
        <v>-0.37682548632647317</v>
      </c>
      <c r="AN59" s="139">
        <f t="shared" si="457"/>
        <v>-3.4564173611404847E-2</v>
      </c>
      <c r="AO59" s="139">
        <f t="shared" si="457"/>
        <v>5.7945890878020379E-2</v>
      </c>
      <c r="AP59" s="139">
        <f t="shared" si="457"/>
        <v>3.1756303947031661E-2</v>
      </c>
      <c r="AQ59" s="139">
        <f t="shared" si="457"/>
        <v>-3.2291480820695884E-2</v>
      </c>
      <c r="AR59" s="139">
        <f t="shared" si="457"/>
        <v>2.154772590832188E-4</v>
      </c>
      <c r="AS59" s="139">
        <f t="shared" si="457"/>
        <v>-8.4243250217734822E-2</v>
      </c>
      <c r="AT59" s="139">
        <f t="shared" si="457"/>
        <v>2.7015891886110754E-3</v>
      </c>
      <c r="AU59" s="139">
        <f t="shared" si="457"/>
        <v>-0.12764569349476185</v>
      </c>
      <c r="AV59" s="139">
        <f t="shared" si="457"/>
        <v>8.5242553681090794E-3</v>
      </c>
      <c r="AW59" s="139">
        <f t="shared" si="457"/>
        <v>5.0474019482714239E-2</v>
      </c>
      <c r="AX59" s="139">
        <f t="shared" si="457"/>
        <v>-3.1916579699815983E-2</v>
      </c>
      <c r="AY59" s="140">
        <f t="shared" si="457"/>
        <v>4.5509139058546255E-2</v>
      </c>
      <c r="AZ59" s="30">
        <f t="shared" ref="AZ59:BA59" si="458">AZ48+AZ34</f>
        <v>0.04</v>
      </c>
      <c r="BA59" s="30">
        <f t="shared" si="458"/>
        <v>0.04</v>
      </c>
      <c r="BB59" s="30">
        <f t="shared" ref="BB59:BC59" si="459">BB48+BB34</f>
        <v>0.04</v>
      </c>
      <c r="BC59" s="30">
        <f t="shared" si="459"/>
        <v>0.04</v>
      </c>
      <c r="BD59" s="30">
        <f t="shared" ref="BD59:BE59" si="460">BD48+BD34</f>
        <v>0.04</v>
      </c>
      <c r="BE59" s="30">
        <f t="shared" si="460"/>
        <v>0.04</v>
      </c>
      <c r="BF59" s="30">
        <f t="shared" ref="BF59:BG59" si="461">BF48+BF34</f>
        <v>0.04</v>
      </c>
      <c r="BG59" s="30">
        <f t="shared" si="461"/>
        <v>0.04</v>
      </c>
      <c r="BH59" s="30">
        <f t="shared" ref="BH59:BI59" si="462">BH48+BH34</f>
        <v>0.04</v>
      </c>
      <c r="BI59" s="30">
        <f t="shared" si="462"/>
        <v>0.04</v>
      </c>
      <c r="BJ59" s="30">
        <f t="shared" ref="BJ59:BK59" si="463">BJ48+BJ34</f>
        <v>0.04</v>
      </c>
      <c r="BK59" s="30">
        <f t="shared" si="463"/>
        <v>0.04</v>
      </c>
      <c r="BL59" s="30">
        <f t="shared" ref="BL59:BM59" si="464">BL48+BL34</f>
        <v>0.04</v>
      </c>
      <c r="BM59" s="30">
        <f t="shared" si="464"/>
        <v>0.04</v>
      </c>
      <c r="BN59" s="30">
        <f t="shared" ref="BN59:BO59" si="465">BN48+BN34</f>
        <v>0.04</v>
      </c>
      <c r="BO59" s="30">
        <f t="shared" si="465"/>
        <v>0.04</v>
      </c>
      <c r="BP59" s="30">
        <f t="shared" ref="BP59:BQ59" si="466">BP48+BP34</f>
        <v>0.04</v>
      </c>
      <c r="BQ59" s="30">
        <f t="shared" si="466"/>
        <v>0.04</v>
      </c>
      <c r="BR59" s="30"/>
      <c r="BS59" s="207" t="e">
        <f t="shared" ref="BS59:CB59" si="467">(BS170*BS18)/(BR170*BR18)-1</f>
        <v>#DIV/0!</v>
      </c>
      <c r="BT59" s="207">
        <f t="shared" si="467"/>
        <v>-5.4801450710612043E-2</v>
      </c>
      <c r="BU59" s="207">
        <f t="shared" si="467"/>
        <v>0.14799755169407991</v>
      </c>
      <c r="BV59" s="207">
        <f t="shared" si="467"/>
        <v>0.27317356610262511</v>
      </c>
      <c r="BW59" s="207">
        <f t="shared" si="467"/>
        <v>0.2264668901346909</v>
      </c>
      <c r="BX59" s="207">
        <f t="shared" si="467"/>
        <v>3.2168509953863555E-2</v>
      </c>
      <c r="BY59" s="207">
        <f t="shared" si="467"/>
        <v>-9.4348260649272486E-2</v>
      </c>
      <c r="BZ59" s="207">
        <f t="shared" si="467"/>
        <v>6.2998973748153553E-2</v>
      </c>
      <c r="CA59" s="207">
        <f t="shared" si="467"/>
        <v>-0.31330981274782099</v>
      </c>
      <c r="CB59" s="207">
        <f t="shared" si="467"/>
        <v>-0.22108147824532831</v>
      </c>
      <c r="CC59" s="30">
        <f t="shared" ref="CC59:CS59" si="468">(CC170*CC18)/(CB170*CB18)-1</f>
        <v>0.12013244442178261</v>
      </c>
      <c r="CD59" s="30">
        <f t="shared" si="468"/>
        <v>0.39577499810804673</v>
      </c>
      <c r="CE59" s="30">
        <f t="shared" si="468"/>
        <v>0.35530647229203494</v>
      </c>
      <c r="CF59" s="30">
        <f t="shared" si="468"/>
        <v>0.35741752292032603</v>
      </c>
      <c r="CG59" s="30">
        <f t="shared" si="468"/>
        <v>0.26896731442186006</v>
      </c>
      <c r="CH59" s="30">
        <f t="shared" si="468"/>
        <v>0.60105723869035388</v>
      </c>
      <c r="CI59" s="30">
        <f t="shared" si="468"/>
        <v>0.49110991379310343</v>
      </c>
      <c r="CJ59" s="30">
        <f t="shared" si="468"/>
        <v>0.12476789221333506</v>
      </c>
      <c r="CK59" s="30">
        <f t="shared" si="468"/>
        <v>0.29391135243797173</v>
      </c>
      <c r="CL59" s="30">
        <f t="shared" si="468"/>
        <v>0.39386373971540278</v>
      </c>
      <c r="CM59" s="32">
        <f t="shared" si="468"/>
        <v>0.50177392922239838</v>
      </c>
      <c r="CN59" s="32">
        <f t="shared" si="468"/>
        <v>0.28268768141695411</v>
      </c>
      <c r="CO59" s="32">
        <f t="shared" si="468"/>
        <v>8.7632459940807594E-2</v>
      </c>
      <c r="CP59" s="32">
        <f t="shared" si="468"/>
        <v>-5.3017038534415084E-2</v>
      </c>
      <c r="CQ59" s="32">
        <f t="shared" si="468"/>
        <v>-4.9536131489391066E-2</v>
      </c>
      <c r="CR59" s="32">
        <f t="shared" si="468"/>
        <v>-0.62963811726120023</v>
      </c>
      <c r="CS59" s="32">
        <f t="shared" si="468"/>
        <v>-0.71425551923520225</v>
      </c>
      <c r="CT59" s="32">
        <f t="shared" ref="CT59" si="469">(CT170*CT18)/(CS170*CS18)-1</f>
        <v>-0.38496517950837927</v>
      </c>
      <c r="CU59" s="32">
        <f t="shared" ref="CU59" si="470">(CU170*CU18)/(CT170*CT18)-1</f>
        <v>2.1378865434239946E-2</v>
      </c>
      <c r="CV59" s="32">
        <f t="shared" ref="CV59" si="471">(CV170*CV18)/(CU170*CU18)-1</f>
        <v>-1.5606349535058905E-3</v>
      </c>
      <c r="CW59" s="32">
        <f t="shared" ref="CW59" si="472">(CW170*CW18)/(CV170*CV18)-1</f>
        <v>-8.4045925463304805E-2</v>
      </c>
      <c r="CX59" s="32">
        <f t="shared" ref="CX59:DI59" si="473">(CX170*CX18)/(CW170*CW18)-1</f>
        <v>-0.12528895053166889</v>
      </c>
      <c r="CY59" s="32">
        <f t="shared" si="473"/>
        <v>5.9428528282349014E-2</v>
      </c>
      <c r="CZ59" s="31">
        <f t="shared" si="473"/>
        <v>1.2140063294898029E-2</v>
      </c>
      <c r="DA59" s="30">
        <f t="shared" si="473"/>
        <v>8.1599999999999895E-2</v>
      </c>
      <c r="DB59" s="30">
        <f t="shared" si="473"/>
        <v>8.1600000000000117E-2</v>
      </c>
      <c r="DC59" s="30">
        <f t="shared" si="473"/>
        <v>8.1600000000000117E-2</v>
      </c>
      <c r="DD59" s="30">
        <f t="shared" si="473"/>
        <v>8.1599999999999673E-2</v>
      </c>
      <c r="DE59" s="30">
        <f t="shared" si="473"/>
        <v>8.1599999999999895E-2</v>
      </c>
      <c r="DF59" s="30">
        <f t="shared" si="473"/>
        <v>8.1599999999999895E-2</v>
      </c>
      <c r="DG59" s="30">
        <f t="shared" si="473"/>
        <v>8.1600000000000117E-2</v>
      </c>
      <c r="DH59" s="30">
        <f t="shared" si="473"/>
        <v>8.1599999999999895E-2</v>
      </c>
      <c r="DI59" s="30">
        <f t="shared" si="473"/>
        <v>8.1600000000000117E-2</v>
      </c>
    </row>
    <row r="60" spans="1:113" ht="12" outlineLevel="1">
      <c r="A60" s="1" t="s">
        <v>308</v>
      </c>
      <c r="B60" s="15" t="s">
        <v>180</v>
      </c>
      <c r="C60" s="207" t="e">
        <f t="shared" ref="C60:L60" si="474">(SUM(C172:C172)*C18)/(SUM(B172:B172)*B18)-1</f>
        <v>#VALUE!</v>
      </c>
      <c r="D60" s="207">
        <f t="shared" si="474"/>
        <v>0.22133387721802977</v>
      </c>
      <c r="E60" s="207">
        <f t="shared" si="474"/>
        <v>0.40187129926951615</v>
      </c>
      <c r="F60" s="207">
        <f t="shared" si="474"/>
        <v>0.20160203393983966</v>
      </c>
      <c r="G60" s="207">
        <f t="shared" si="474"/>
        <v>0.28952902937989911</v>
      </c>
      <c r="H60" s="207">
        <f t="shared" si="474"/>
        <v>-2.5353365622220125E-2</v>
      </c>
      <c r="I60" s="207">
        <f t="shared" si="474"/>
        <v>3.3438691975277601E-2</v>
      </c>
      <c r="J60" s="207">
        <f t="shared" si="474"/>
        <v>6.0487177250523327E-2</v>
      </c>
      <c r="K60" s="207">
        <f t="shared" si="474"/>
        <v>5.0265578442803438E-2</v>
      </c>
      <c r="L60" s="207">
        <f t="shared" si="474"/>
        <v>0.29009419647140122</v>
      </c>
      <c r="M60" s="30">
        <f t="shared" ref="M60:AY60" si="475">(SUM(M172:M172)*M18)/(SUM(L172:L172)*L18)-1</f>
        <v>0.12326530116678613</v>
      </c>
      <c r="N60" s="30">
        <f t="shared" si="475"/>
        <v>9.1303619393507063E-2</v>
      </c>
      <c r="O60" s="30">
        <f t="shared" si="475"/>
        <v>9.6951838553918757E-2</v>
      </c>
      <c r="P60" s="30">
        <f t="shared" si="475"/>
        <v>9.5642477268828241E-2</v>
      </c>
      <c r="Q60" s="30">
        <f t="shared" si="475"/>
        <v>0.14891042783503039</v>
      </c>
      <c r="R60" s="30">
        <f t="shared" si="475"/>
        <v>-5.9613871572958832E-2</v>
      </c>
      <c r="S60" s="30">
        <f t="shared" si="475"/>
        <v>0.35382121727854776</v>
      </c>
      <c r="T60" s="32">
        <f t="shared" si="475"/>
        <v>0.13490169785648076</v>
      </c>
      <c r="U60" s="30">
        <f t="shared" si="475"/>
        <v>2.1797579331982999</v>
      </c>
      <c r="V60" s="30">
        <f t="shared" si="475"/>
        <v>4.4584741727230925E-2</v>
      </c>
      <c r="W60" s="30">
        <f t="shared" si="475"/>
        <v>-4.2806680399828712E-2</v>
      </c>
      <c r="X60" s="30">
        <f t="shared" si="475"/>
        <v>-2.1487705898352139E-2</v>
      </c>
      <c r="Y60" s="32">
        <f t="shared" si="475"/>
        <v>3.9254524281698178E-2</v>
      </c>
      <c r="Z60" s="32">
        <f t="shared" si="475"/>
        <v>-5.6329312662617426E-3</v>
      </c>
      <c r="AA60" s="139">
        <f t="shared" si="475"/>
        <v>-8.7169216372678937E-3</v>
      </c>
      <c r="AB60" s="139">
        <f t="shared" si="475"/>
        <v>2.0281982440890634E-2</v>
      </c>
      <c r="AC60" s="139">
        <f t="shared" si="475"/>
        <v>3.6430997604360194E-2</v>
      </c>
      <c r="AD60" s="139">
        <f t="shared" si="475"/>
        <v>-3.7072405782327511E-2</v>
      </c>
      <c r="AE60" s="139">
        <f t="shared" si="475"/>
        <v>-3.1055363156374916E-2</v>
      </c>
      <c r="AF60" s="139">
        <f t="shared" si="475"/>
        <v>9.1728904846510861E-2</v>
      </c>
      <c r="AG60" s="139">
        <f t="shared" si="475"/>
        <v>-3.8868349593332741E-2</v>
      </c>
      <c r="AH60" s="139">
        <f t="shared" si="475"/>
        <v>-2.8804517718434952E-2</v>
      </c>
      <c r="AI60" s="139">
        <f t="shared" si="475"/>
        <v>-0.33985901483522285</v>
      </c>
      <c r="AJ60" s="139">
        <f t="shared" si="475"/>
        <v>-0.98537207884933997</v>
      </c>
      <c r="AK60" s="139">
        <f t="shared" si="475"/>
        <v>-0.13167473902710514</v>
      </c>
      <c r="AL60" s="139">
        <f t="shared" si="475"/>
        <v>-1.6906873614190632E-2</v>
      </c>
      <c r="AM60" s="139">
        <f t="shared" si="475"/>
        <v>-0.4446245653603984</v>
      </c>
      <c r="AN60" s="139">
        <f t="shared" si="475"/>
        <v>-8.3654130885401301E-2</v>
      </c>
      <c r="AO60" s="139">
        <f t="shared" si="475"/>
        <v>-1.5303649331763758E-2</v>
      </c>
      <c r="AP60" s="139">
        <f t="shared" si="475"/>
        <v>-0.10923581809657767</v>
      </c>
      <c r="AQ60" s="139">
        <f t="shared" si="475"/>
        <v>-5.2368421052631509E-2</v>
      </c>
      <c r="AR60" s="139">
        <f t="shared" si="475"/>
        <v>0.24682032768675355</v>
      </c>
      <c r="AS60" s="139">
        <f t="shared" si="475"/>
        <v>-0.1328344246959775</v>
      </c>
      <c r="AT60" s="139">
        <f t="shared" si="475"/>
        <v>3.4365849899830492E-2</v>
      </c>
      <c r="AU60" s="139">
        <f t="shared" si="475"/>
        <v>-3.6352800953516118E-2</v>
      </c>
      <c r="AV60" s="139">
        <f t="shared" si="475"/>
        <v>6.1842918985777207E-3</v>
      </c>
      <c r="AW60" s="139">
        <f t="shared" si="475"/>
        <v>6.5304240934234814E-2</v>
      </c>
      <c r="AX60" s="139">
        <f t="shared" si="475"/>
        <v>-9.3754507428241873E-2</v>
      </c>
      <c r="AY60" s="140">
        <f t="shared" si="475"/>
        <v>5.0135285691548681E-2</v>
      </c>
      <c r="AZ60" s="30">
        <f t="shared" ref="AZ60:BA60" si="476">AZ49+AZ35</f>
        <v>-0.09</v>
      </c>
      <c r="BA60" s="30">
        <f t="shared" si="476"/>
        <v>-6.0000000000000005E-2</v>
      </c>
      <c r="BB60" s="30">
        <f t="shared" ref="BB60:BC60" si="477">BB49+BB35</f>
        <v>-6.0000000000000005E-2</v>
      </c>
      <c r="BC60" s="30">
        <f t="shared" si="477"/>
        <v>-3.4999999999999996E-2</v>
      </c>
      <c r="BD60" s="30">
        <f t="shared" ref="BD60:BE60" si="478">BD49+BD35</f>
        <v>-3.4999999999999996E-2</v>
      </c>
      <c r="BE60" s="30">
        <f t="shared" si="478"/>
        <v>-3.4999999999999996E-2</v>
      </c>
      <c r="BF60" s="30">
        <f t="shared" ref="BF60:BG60" si="479">BF49+BF35</f>
        <v>-3.4999999999999996E-2</v>
      </c>
      <c r="BG60" s="30">
        <f t="shared" si="479"/>
        <v>-3.4999999999999996E-2</v>
      </c>
      <c r="BH60" s="30">
        <f t="shared" ref="BH60:BI60" si="480">BH49+BH35</f>
        <v>0.04</v>
      </c>
      <c r="BI60" s="30">
        <f t="shared" si="480"/>
        <v>0.04</v>
      </c>
      <c r="BJ60" s="30">
        <f t="shared" ref="BJ60:BK60" si="481">BJ49+BJ35</f>
        <v>0.04</v>
      </c>
      <c r="BK60" s="30">
        <f t="shared" si="481"/>
        <v>-4.9999999999999975E-3</v>
      </c>
      <c r="BL60" s="30">
        <f t="shared" ref="BL60:BM60" si="482">BL49+BL35</f>
        <v>-4.9999999999999975E-3</v>
      </c>
      <c r="BM60" s="30">
        <f t="shared" si="482"/>
        <v>-4.9999999999999975E-3</v>
      </c>
      <c r="BN60" s="30">
        <f t="shared" ref="BN60:BO60" si="483">BN49+BN35</f>
        <v>0.02</v>
      </c>
      <c r="BO60" s="30">
        <f t="shared" si="483"/>
        <v>0.02</v>
      </c>
      <c r="BP60" s="30">
        <f t="shared" ref="BP60:BQ60" si="484">BP49+BP35</f>
        <v>0.04</v>
      </c>
      <c r="BQ60" s="30">
        <f t="shared" si="484"/>
        <v>0.04</v>
      </c>
      <c r="BR60" s="30"/>
      <c r="BS60" s="207" t="e">
        <f t="shared" ref="BS60" si="485">(SUM(BS172:BS172)*BS18)/(SUM(BR172:BR172)*BR18)-1</f>
        <v>#DIV/0!</v>
      </c>
      <c r="BT60" s="207">
        <f t="shared" ref="BT60:CB60" si="486">(SUM(BT172:BT172)*BT18)/(SUM(BS172:BS172)*BS18)-1</f>
        <v>-5.4801450710611932E-2</v>
      </c>
      <c r="BU60" s="207">
        <f t="shared" si="486"/>
        <v>0.14799755169407969</v>
      </c>
      <c r="BV60" s="207">
        <f t="shared" si="486"/>
        <v>0.27317356610262489</v>
      </c>
      <c r="BW60" s="207">
        <f t="shared" si="486"/>
        <v>0.22646689013469046</v>
      </c>
      <c r="BX60" s="207">
        <f t="shared" si="486"/>
        <v>3.2168509953863778E-2</v>
      </c>
      <c r="BY60" s="207">
        <f t="shared" si="486"/>
        <v>-9.4348260649272597E-2</v>
      </c>
      <c r="BZ60" s="207">
        <f t="shared" si="486"/>
        <v>6.2998973748153775E-2</v>
      </c>
      <c r="CA60" s="207">
        <f t="shared" si="486"/>
        <v>-0.86280907811374152</v>
      </c>
      <c r="CB60" s="207">
        <f t="shared" si="486"/>
        <v>1.3349525131303235</v>
      </c>
      <c r="CC60" s="30">
        <f t="shared" ref="CC60:CS60" si="487">(SUM(CC172:CC172)*CC18)/(SUM(CB172:CB172)*CB18)-1</f>
        <v>0.71215290929751496</v>
      </c>
      <c r="CD60" s="30">
        <f t="shared" si="487"/>
        <v>0.54950070452735389</v>
      </c>
      <c r="CE60" s="30">
        <f t="shared" si="487"/>
        <v>7.2375429694793159E-3</v>
      </c>
      <c r="CF60" s="30">
        <f t="shared" si="487"/>
        <v>0.11379317864619676</v>
      </c>
      <c r="CG60" s="30">
        <f t="shared" si="487"/>
        <v>0.44911804613297135</v>
      </c>
      <c r="CH60" s="30">
        <f t="shared" si="487"/>
        <v>0.19710751171425334</v>
      </c>
      <c r="CI60" s="30">
        <f t="shared" si="487"/>
        <v>0.25879506731316182</v>
      </c>
      <c r="CJ60" s="30">
        <f t="shared" si="487"/>
        <v>0.27311469309895764</v>
      </c>
      <c r="CK60" s="30">
        <f t="shared" si="487"/>
        <v>2.6087126771593652</v>
      </c>
      <c r="CL60" s="30">
        <f t="shared" si="487"/>
        <v>-1.3046346242429063E-4</v>
      </c>
      <c r="CM60" s="32">
        <f t="shared" si="487"/>
        <v>1.6923328710401142E-2</v>
      </c>
      <c r="CN60" s="32">
        <f t="shared" si="487"/>
        <v>-1.4300751083093477E-2</v>
      </c>
      <c r="CO60" s="32">
        <f t="shared" si="487"/>
        <v>5.7451872898966361E-2</v>
      </c>
      <c r="CP60" s="32">
        <f t="shared" si="487"/>
        <v>-6.6976471914051761E-2</v>
      </c>
      <c r="CQ60" s="32">
        <f t="shared" si="487"/>
        <v>4.9295204111790447E-2</v>
      </c>
      <c r="CR60" s="32">
        <f t="shared" si="487"/>
        <v>-0.35887405753906676</v>
      </c>
      <c r="CS60" s="32">
        <f t="shared" si="487"/>
        <v>-0.98729820654936229</v>
      </c>
      <c r="CT60" s="32">
        <f t="shared" ref="CT60" si="488">(SUM(CT172:CT172)*CT18)/(SUM(CS172:CS172)*CS18)-1</f>
        <v>-0.45401422764227639</v>
      </c>
      <c r="CU60" s="32">
        <f t="shared" ref="CU60" si="489">(SUM(CU172:CU172)*CU18)/(SUM(CT172:CT172)*CT18)-1</f>
        <v>-9.7677566732941368E-2</v>
      </c>
      <c r="CV60" s="32">
        <f t="shared" ref="CV60" si="490">(SUM(CV172:CV172)*CV18)/(SUM(CU172:CU172)*CU18)-1</f>
        <v>-0.15588373183309889</v>
      </c>
      <c r="CW60" s="32">
        <f t="shared" ref="CW60" si="491">(SUM(CW172:CW172)*CW18)/(SUM(CV172:CV172)*CV18)-1</f>
        <v>8.1199666759233624E-2</v>
      </c>
      <c r="CX60" s="32">
        <f t="shared" ref="CX60:DI60" si="492">(SUM(CX172:CX172)*CX18)/(SUM(CW172:CW172)*CW18)-1</f>
        <v>-3.2362459546925182E-3</v>
      </c>
      <c r="CY60" s="32">
        <f t="shared" si="492"/>
        <v>7.1892393320964754E-2</v>
      </c>
      <c r="CZ60" s="31">
        <f t="shared" si="492"/>
        <v>-4.8319630751478604E-2</v>
      </c>
      <c r="DA60" s="30">
        <f t="shared" si="492"/>
        <v>-0.14459999999999995</v>
      </c>
      <c r="DB60" s="30">
        <f t="shared" si="492"/>
        <v>-9.2900000000000094E-2</v>
      </c>
      <c r="DC60" s="30">
        <f t="shared" si="492"/>
        <v>-6.877499999999992E-2</v>
      </c>
      <c r="DD60" s="30">
        <f t="shared" si="492"/>
        <v>-6.8775000000000031E-2</v>
      </c>
      <c r="DE60" s="30">
        <f t="shared" si="492"/>
        <v>8.1600000000000117E-2</v>
      </c>
      <c r="DF60" s="30">
        <f t="shared" si="492"/>
        <v>3.4799999999999942E-2</v>
      </c>
      <c r="DG60" s="30">
        <f t="shared" si="492"/>
        <v>-9.9749999999999561E-3</v>
      </c>
      <c r="DH60" s="30">
        <f t="shared" si="492"/>
        <v>4.0399999999999991E-2</v>
      </c>
      <c r="DI60" s="30">
        <f t="shared" si="492"/>
        <v>8.1600000000000339E-2</v>
      </c>
    </row>
    <row r="61" spans="1:113" ht="12" outlineLevel="1">
      <c r="A61" s="1" t="s">
        <v>856</v>
      </c>
      <c r="B61" s="15" t="s">
        <v>281</v>
      </c>
      <c r="C61" s="207">
        <f>C173/C198</f>
        <v>5.9699188782200778</v>
      </c>
      <c r="D61" s="207">
        <f>D173/D198</f>
        <v>4.9798573625957783</v>
      </c>
      <c r="E61" s="207">
        <f>E173/E198</f>
        <v>4.585364137180842</v>
      </c>
      <c r="F61" s="207">
        <f t="shared" ref="F61:L61" si="493">F173/F198</f>
        <v>4.1558398400274967</v>
      </c>
      <c r="G61" s="207">
        <f t="shared" si="493"/>
        <v>3.3884328079930013</v>
      </c>
      <c r="H61" s="207">
        <f t="shared" si="493"/>
        <v>2.5098575859603898</v>
      </c>
      <c r="I61" s="207">
        <f t="shared" si="493"/>
        <v>2.3787561578084366</v>
      </c>
      <c r="J61" s="207">
        <f t="shared" si="493"/>
        <v>2.010617581804742</v>
      </c>
      <c r="K61" s="207">
        <f t="shared" si="493"/>
        <v>301.55882596985953</v>
      </c>
      <c r="L61" s="207" t="e">
        <f t="shared" si="493"/>
        <v>#DIV/0!</v>
      </c>
      <c r="M61" s="30" t="e">
        <f t="shared" ref="M61:T61" si="494">M173/M198</f>
        <v>#DIV/0!</v>
      </c>
      <c r="N61" s="30">
        <f t="shared" si="494"/>
        <v>0.8221094220610331</v>
      </c>
      <c r="O61" s="30">
        <f t="shared" si="494"/>
        <v>0.95286242342061278</v>
      </c>
      <c r="P61" s="30">
        <f t="shared" si="494"/>
        <v>0.82276546640386761</v>
      </c>
      <c r="Q61" s="30">
        <f t="shared" si="494"/>
        <v>0.76482126691152907</v>
      </c>
      <c r="R61" s="30">
        <f t="shared" si="494"/>
        <v>0.64647652468552486</v>
      </c>
      <c r="S61" s="30">
        <f t="shared" si="494"/>
        <v>0.53867044765460692</v>
      </c>
      <c r="T61" s="32">
        <f t="shared" si="494"/>
        <v>0.40429303491152579</v>
      </c>
      <c r="U61" s="30">
        <f t="shared" ref="U61:Z61" si="495">U173/U198</f>
        <v>0.5142218110690645</v>
      </c>
      <c r="V61" s="30">
        <f t="shared" si="495"/>
        <v>0.49668502465997627</v>
      </c>
      <c r="W61" s="30">
        <f t="shared" si="495"/>
        <v>0.50593898691052885</v>
      </c>
      <c r="X61" s="30">
        <f t="shared" si="495"/>
        <v>0.48694305056318127</v>
      </c>
      <c r="Y61" s="32">
        <f t="shared" si="495"/>
        <v>0.51315699619858413</v>
      </c>
      <c r="Z61" s="32">
        <f t="shared" si="495"/>
        <v>0.60318638365246646</v>
      </c>
      <c r="AA61" s="139">
        <f t="shared" ref="AA61:AF61" si="496">AA173/AA198</f>
        <v>0.68016253224461298</v>
      </c>
      <c r="AB61" s="139">
        <f t="shared" si="496"/>
        <v>0.71034662157768091</v>
      </c>
      <c r="AC61" s="139">
        <f t="shared" si="496"/>
        <v>0.71805255416129443</v>
      </c>
      <c r="AD61" s="139">
        <f t="shared" si="496"/>
        <v>0.66354830198635562</v>
      </c>
      <c r="AE61" s="139">
        <f t="shared" si="496"/>
        <v>0.62721801620630513</v>
      </c>
      <c r="AF61" s="139">
        <f t="shared" si="496"/>
        <v>0.54734796327041257</v>
      </c>
      <c r="AG61" s="139">
        <f t="shared" ref="AG61" si="497">AG173/AG198</f>
        <v>0.55134139623603307</v>
      </c>
      <c r="AH61" s="139">
        <f t="shared" ref="AH61:AI61" si="498">AH173/AH198</f>
        <v>0.49537876335383618</v>
      </c>
      <c r="AI61" s="139">
        <f t="shared" si="498"/>
        <v>0.50755703642001015</v>
      </c>
      <c r="AJ61" s="139">
        <f t="shared" ref="AJ61:AK61" si="499">AJ173/AJ198</f>
        <v>0.52097888964014727</v>
      </c>
      <c r="AK61" s="139">
        <f t="shared" si="499"/>
        <v>0.53226257471425076</v>
      </c>
      <c r="AL61" s="139">
        <f t="shared" ref="AL61:AM61" si="500">AL173/AL198</f>
        <v>0.51403673087103474</v>
      </c>
      <c r="AM61" s="139">
        <f t="shared" si="500"/>
        <v>0.48582407471837574</v>
      </c>
      <c r="AN61" s="139">
        <f t="shared" ref="AN61:AO61" si="501">AN173/AN198</f>
        <v>0.51884089979018755</v>
      </c>
      <c r="AO61" s="139">
        <f t="shared" si="501"/>
        <v>0.45857985682754687</v>
      </c>
      <c r="AP61" s="139">
        <f t="shared" ref="AP61:AQ61" si="502">AP173/AP198</f>
        <v>0.43795330272103322</v>
      </c>
      <c r="AQ61" s="139">
        <f t="shared" si="502"/>
        <v>0.47102846887636179</v>
      </c>
      <c r="AR61" s="139">
        <f t="shared" ref="AR61:AS61" si="503">AR173/AR198</f>
        <v>0.51318118172190519</v>
      </c>
      <c r="AS61" s="139">
        <f t="shared" si="503"/>
        <v>0.61303401380899303</v>
      </c>
      <c r="AT61" s="139">
        <f t="shared" ref="AT61:AU61" si="504">AT173/AT198</f>
        <v>0.48532148535229669</v>
      </c>
      <c r="AU61" s="139">
        <f t="shared" si="504"/>
        <v>0.52427030666261831</v>
      </c>
      <c r="AV61" s="139">
        <f t="shared" ref="AV61:AW61" si="505">AV173/AV198</f>
        <v>0.5555090133891839</v>
      </c>
      <c r="AW61" s="139">
        <f t="shared" si="505"/>
        <v>0.51304739052189563</v>
      </c>
      <c r="AX61" s="139">
        <f t="shared" ref="AX61:AY61" si="506">AX173/AX198</f>
        <v>0.46324122049510652</v>
      </c>
      <c r="AY61" s="140">
        <f t="shared" si="506"/>
        <v>0.45694622698342019</v>
      </c>
      <c r="AZ61" s="33">
        <f>AZ173/((AY198*(1+5%)))</f>
        <v>0.38746047075289491</v>
      </c>
      <c r="BA61" s="33">
        <f>BA173/((AZ198*(1+4.5%)))</f>
        <v>0.3540484119031605</v>
      </c>
      <c r="BB61" s="33">
        <f>BB173/((BA198*(1+2.5%)))</f>
        <v>0.32867760104804522</v>
      </c>
      <c r="BC61" s="33">
        <f t="shared" ref="BC61:BH61" si="507">BC173/((BB198*(1+2.5%)))</f>
        <v>0.30274848641197938</v>
      </c>
      <c r="BD61" s="33">
        <f t="shared" si="507"/>
        <v>0.27901877777740958</v>
      </c>
      <c r="BE61" s="33">
        <f t="shared" si="507"/>
        <v>0.25728645195646871</v>
      </c>
      <c r="BF61" s="33">
        <f t="shared" si="507"/>
        <v>0.23589043199902532</v>
      </c>
      <c r="BG61" s="33">
        <f t="shared" si="507"/>
        <v>0.21514051164660977</v>
      </c>
      <c r="BH61" s="33">
        <f t="shared" si="507"/>
        <v>0.21148509921559164</v>
      </c>
      <c r="BI61" s="33">
        <f>BH61</f>
        <v>0.21148509921559164</v>
      </c>
      <c r="BJ61" s="33">
        <f t="shared" ref="BJ61:BK61" si="508">BI61</f>
        <v>0.21148509921559164</v>
      </c>
      <c r="BK61" s="33">
        <f t="shared" si="508"/>
        <v>0.21148509921559164</v>
      </c>
      <c r="BL61" s="33">
        <f t="shared" ref="BL61" si="509">BK61</f>
        <v>0.21148509921559164</v>
      </c>
      <c r="BM61" s="33">
        <f t="shared" ref="BM61" si="510">BL61</f>
        <v>0.21148509921559164</v>
      </c>
      <c r="BN61" s="33">
        <f t="shared" ref="BN61" si="511">BM61</f>
        <v>0.21148509921559164</v>
      </c>
      <c r="BO61" s="33">
        <f t="shared" ref="BO61" si="512">BN61</f>
        <v>0.21148509921559164</v>
      </c>
      <c r="BP61" s="33">
        <f t="shared" ref="BP61" si="513">BO61</f>
        <v>0.21148509921559164</v>
      </c>
      <c r="BQ61" s="33">
        <f t="shared" ref="BQ61" si="514">BP61</f>
        <v>0.21148509921559164</v>
      </c>
      <c r="BR61" s="30"/>
      <c r="BS61" s="207">
        <f t="shared" ref="BS61:CB61" si="515">BS173/BS198</f>
        <v>5.3064547519563119</v>
      </c>
      <c r="BT61" s="207">
        <f t="shared" si="515"/>
        <v>5.3996438133287787</v>
      </c>
      <c r="BU61" s="207">
        <f t="shared" si="515"/>
        <v>5.5541770092732321</v>
      </c>
      <c r="BV61" s="207">
        <f t="shared" si="515"/>
        <v>5.9753912995894005</v>
      </c>
      <c r="BW61" s="207">
        <f t="shared" si="515"/>
        <v>5.8311055662815408</v>
      </c>
      <c r="BX61" s="207">
        <f t="shared" si="515"/>
        <v>4.2559530831533028</v>
      </c>
      <c r="BY61" s="207">
        <f t="shared" si="515"/>
        <v>4.5723156761005406</v>
      </c>
      <c r="BZ61" s="207">
        <f t="shared" si="515"/>
        <v>5.0257176218211823</v>
      </c>
      <c r="CA61" s="207">
        <f t="shared" si="515"/>
        <v>4.9364662271874078</v>
      </c>
      <c r="CB61" s="207">
        <f t="shared" si="515"/>
        <v>4.7136226821944041</v>
      </c>
      <c r="CC61" s="30">
        <f t="shared" ref="CC61:CO61" si="516">CC173/CC198</f>
        <v>4.585364137180842</v>
      </c>
      <c r="CD61" s="30">
        <f t="shared" si="516"/>
        <v>3.3884328079930013</v>
      </c>
      <c r="CE61" s="30">
        <f t="shared" si="516"/>
        <v>2.3787561578084366</v>
      </c>
      <c r="CF61" s="30">
        <f t="shared" si="516"/>
        <v>301.55882596985953</v>
      </c>
      <c r="CG61" s="30" t="e">
        <f t="shared" si="516"/>
        <v>#DIV/0!</v>
      </c>
      <c r="CH61" s="30">
        <f t="shared" si="516"/>
        <v>0.95286242342061278</v>
      </c>
      <c r="CI61" s="30">
        <f t="shared" si="516"/>
        <v>0.76482126691152907</v>
      </c>
      <c r="CJ61" s="30">
        <f t="shared" si="516"/>
        <v>0.53867044765460692</v>
      </c>
      <c r="CK61" s="30">
        <f t="shared" si="516"/>
        <v>0.5142218110690645</v>
      </c>
      <c r="CL61" s="30">
        <f t="shared" si="516"/>
        <v>0.50593898691052885</v>
      </c>
      <c r="CM61" s="32">
        <f t="shared" si="516"/>
        <v>0.51315699619858413</v>
      </c>
      <c r="CN61" s="32">
        <f t="shared" si="516"/>
        <v>0.68016253224461298</v>
      </c>
      <c r="CO61" s="32">
        <f t="shared" si="516"/>
        <v>0.71805255416129443</v>
      </c>
      <c r="CP61" s="32">
        <f t="shared" ref="CP61:CX61" si="517">CP173/CP198</f>
        <v>0.62721801620630513</v>
      </c>
      <c r="CQ61" s="32">
        <f t="shared" si="517"/>
        <v>0.55134139623603307</v>
      </c>
      <c r="CR61" s="32">
        <f t="shared" si="517"/>
        <v>0.50755703642001015</v>
      </c>
      <c r="CS61" s="32">
        <f t="shared" si="517"/>
        <v>0.53226257471425076</v>
      </c>
      <c r="CT61" s="32">
        <f t="shared" si="517"/>
        <v>0.48582407471837574</v>
      </c>
      <c r="CU61" s="32">
        <f t="shared" si="517"/>
        <v>0.45857985682754687</v>
      </c>
      <c r="CV61" s="32">
        <f t="shared" si="517"/>
        <v>0.47102846887636179</v>
      </c>
      <c r="CW61" s="32">
        <f t="shared" si="517"/>
        <v>0.61303401380899303</v>
      </c>
      <c r="CX61" s="32">
        <f t="shared" si="517"/>
        <v>0.52427030666261831</v>
      </c>
      <c r="CY61" s="32">
        <f t="shared" ref="CY61:DD61" si="518">CY173/CY198</f>
        <v>0.51304739052189563</v>
      </c>
      <c r="CZ61" s="31">
        <f t="shared" si="518"/>
        <v>0.45694622698342019</v>
      </c>
      <c r="DA61" s="30">
        <f t="shared" si="518"/>
        <v>0.3540484119031605</v>
      </c>
      <c r="DB61" s="30">
        <f t="shared" si="518"/>
        <v>0.30274848641197938</v>
      </c>
      <c r="DC61" s="30">
        <f t="shared" si="518"/>
        <v>0.25728645195646871</v>
      </c>
      <c r="DD61" s="30">
        <f t="shared" si="518"/>
        <v>0.21514051164660977</v>
      </c>
      <c r="DE61" s="30">
        <f t="shared" ref="DE61" si="519">DE173/DE198</f>
        <v>0.21148509921559164</v>
      </c>
      <c r="DF61" s="30">
        <f t="shared" ref="DF61" si="520">DF173/DF198</f>
        <v>0.21148509921559161</v>
      </c>
      <c r="DG61" s="30">
        <f>DG173/DG198</f>
        <v>0.21148509921559164</v>
      </c>
      <c r="DH61" s="30">
        <f>DH173/DH198</f>
        <v>0.21148509921559164</v>
      </c>
      <c r="DI61" s="30">
        <f>DI173/DI198</f>
        <v>0.21148509921559164</v>
      </c>
    </row>
    <row r="62" spans="1:113" ht="12" outlineLevel="1">
      <c r="C62" s="207"/>
      <c r="D62" s="207"/>
      <c r="E62" s="207"/>
      <c r="F62" s="207"/>
      <c r="G62" s="207"/>
      <c r="H62" s="207"/>
      <c r="I62" s="207"/>
      <c r="J62" s="207"/>
      <c r="K62" s="207"/>
      <c r="L62" s="207"/>
      <c r="M62" s="30"/>
      <c r="N62" s="30"/>
      <c r="O62" s="30"/>
      <c r="P62" s="30"/>
      <c r="Q62" s="30"/>
      <c r="R62" s="30"/>
      <c r="S62" s="30"/>
      <c r="T62" s="32"/>
      <c r="U62" s="30"/>
      <c r="V62" s="30"/>
      <c r="W62" s="30"/>
      <c r="X62" s="30"/>
      <c r="Y62" s="32"/>
      <c r="Z62" s="32"/>
      <c r="AA62" s="139"/>
      <c r="AB62" s="32"/>
      <c r="AC62" s="32"/>
      <c r="AD62" s="32"/>
      <c r="AE62" s="32"/>
      <c r="AF62" s="32"/>
      <c r="AG62" s="32"/>
      <c r="AH62" s="32"/>
      <c r="AI62" s="32"/>
      <c r="AJ62" s="489"/>
      <c r="AK62" s="489"/>
      <c r="AL62" s="489"/>
      <c r="AM62" s="489"/>
      <c r="AN62" s="489"/>
      <c r="AO62" s="489"/>
      <c r="AP62" s="489"/>
      <c r="AQ62" s="489"/>
      <c r="AR62" s="489"/>
      <c r="AS62" s="489"/>
      <c r="AT62" s="489"/>
      <c r="AU62" s="489"/>
      <c r="AV62" s="489"/>
      <c r="AW62" s="489"/>
      <c r="AX62" s="489"/>
      <c r="AY62" s="488"/>
      <c r="AZ62" s="30"/>
      <c r="BA62" s="30"/>
      <c r="BB62" s="30"/>
      <c r="BC62" s="30"/>
      <c r="BD62" s="30"/>
      <c r="BE62" s="30"/>
      <c r="BF62" s="30"/>
      <c r="BG62" s="30"/>
      <c r="BH62" s="30"/>
      <c r="BI62" s="30"/>
      <c r="BJ62" s="30"/>
      <c r="BK62" s="30"/>
      <c r="BL62" s="30"/>
      <c r="BM62" s="30"/>
      <c r="BN62" s="30"/>
      <c r="BO62" s="30"/>
      <c r="BP62" s="30"/>
      <c r="BQ62" s="30"/>
      <c r="BR62" s="30"/>
      <c r="BS62" s="207"/>
      <c r="BT62" s="207"/>
      <c r="BU62" s="207"/>
      <c r="BV62" s="207"/>
      <c r="BW62" s="207"/>
      <c r="BX62" s="207"/>
      <c r="BY62" s="207"/>
      <c r="BZ62" s="207"/>
      <c r="CA62" s="207"/>
      <c r="CB62" s="207"/>
      <c r="CC62" s="30"/>
      <c r="CD62" s="30"/>
      <c r="CE62" s="30"/>
      <c r="CF62" s="30"/>
      <c r="CG62" s="30"/>
      <c r="CH62" s="30"/>
      <c r="CI62" s="30"/>
      <c r="CJ62" s="30"/>
      <c r="CK62" s="30"/>
      <c r="CL62" s="30"/>
      <c r="CM62" s="32"/>
      <c r="CN62" s="32"/>
      <c r="CO62" s="32"/>
      <c r="CP62" s="32"/>
      <c r="CQ62" s="32"/>
      <c r="CR62" s="32"/>
      <c r="CS62" s="32"/>
      <c r="CT62" s="32"/>
      <c r="CU62" s="32"/>
      <c r="CV62" s="32"/>
      <c r="CW62" s="32"/>
      <c r="CX62" s="32"/>
      <c r="CY62" s="32"/>
      <c r="CZ62" s="31"/>
      <c r="DA62" s="30"/>
      <c r="DB62" s="15"/>
      <c r="DC62" s="15"/>
      <c r="DD62" s="15"/>
      <c r="DE62" s="15"/>
      <c r="DF62" s="15"/>
      <c r="DG62" s="15"/>
      <c r="DH62" s="15"/>
      <c r="DI62" s="15"/>
    </row>
    <row r="63" spans="1:113" ht="12" outlineLevel="1">
      <c r="A63" s="1" t="s">
        <v>867</v>
      </c>
      <c r="B63" s="15" t="s">
        <v>435</v>
      </c>
      <c r="C63" s="207" t="e">
        <f t="shared" ref="C63:L64" si="521">C208/B208-1</f>
        <v>#VALUE!</v>
      </c>
      <c r="D63" s="207">
        <f t="shared" si="521"/>
        <v>6.0745705906996239E-2</v>
      </c>
      <c r="E63" s="207">
        <f t="shared" si="521"/>
        <v>-1</v>
      </c>
      <c r="F63" s="207" t="e">
        <f t="shared" si="521"/>
        <v>#DIV/0!</v>
      </c>
      <c r="G63" s="207" t="e">
        <f t="shared" si="521"/>
        <v>#DIV/0!</v>
      </c>
      <c r="H63" s="207" t="e">
        <f t="shared" si="521"/>
        <v>#DIV/0!</v>
      </c>
      <c r="I63" s="207" t="e">
        <f t="shared" si="521"/>
        <v>#DIV/0!</v>
      </c>
      <c r="J63" s="207" t="e">
        <f t="shared" si="521"/>
        <v>#DIV/0!</v>
      </c>
      <c r="K63" s="207" t="e">
        <f t="shared" si="521"/>
        <v>#DIV/0!</v>
      </c>
      <c r="L63" s="207" t="e">
        <f t="shared" si="521"/>
        <v>#DIV/0!</v>
      </c>
      <c r="M63" s="30" t="e">
        <f t="shared" ref="M63:AY64" si="522">M208/L208-1</f>
        <v>#DIV/0!</v>
      </c>
      <c r="N63" s="30">
        <f t="shared" si="522"/>
        <v>0.1273649257381142</v>
      </c>
      <c r="O63" s="30">
        <f t="shared" si="522"/>
        <v>5.0140420576751943E-2</v>
      </c>
      <c r="P63" s="30">
        <f t="shared" si="522"/>
        <v>-4.457200008696971E-2</v>
      </c>
      <c r="Q63" s="30">
        <f t="shared" si="522"/>
        <v>-4.6719614045468094E-2</v>
      </c>
      <c r="R63" s="30">
        <f t="shared" si="522"/>
        <v>-0.18775364048698973</v>
      </c>
      <c r="S63" s="30">
        <f t="shared" si="522"/>
        <v>0.19673769287288767</v>
      </c>
      <c r="T63" s="32">
        <f t="shared" si="522"/>
        <v>0.70115640745357299</v>
      </c>
      <c r="U63" s="30">
        <f t="shared" si="522"/>
        <v>1.4348005421012333E-2</v>
      </c>
      <c r="V63" s="30">
        <f t="shared" si="522"/>
        <v>2.2945772459264102E-2</v>
      </c>
      <c r="W63" s="30">
        <f t="shared" si="522"/>
        <v>-7.6180470768619224E-2</v>
      </c>
      <c r="X63" s="30">
        <f t="shared" si="522"/>
        <v>3.0581509712318766E-2</v>
      </c>
      <c r="Y63" s="32">
        <f t="shared" si="522"/>
        <v>-1.3420416927619749E-3</v>
      </c>
      <c r="Z63" s="32">
        <f t="shared" si="522"/>
        <v>3.9747954368990035E-2</v>
      </c>
      <c r="AA63" s="139">
        <f t="shared" si="522"/>
        <v>3.1076772840853639E-2</v>
      </c>
      <c r="AB63" s="139">
        <f t="shared" si="522"/>
        <v>2.331541268559012E-2</v>
      </c>
      <c r="AC63" s="139">
        <f t="shared" si="522"/>
        <v>2.7194033101045401E-2</v>
      </c>
      <c r="AD63" s="139">
        <f t="shared" si="522"/>
        <v>6.8212534782032597E-2</v>
      </c>
      <c r="AE63" s="139">
        <f t="shared" si="522"/>
        <v>-4.0115110769307072E-2</v>
      </c>
      <c r="AF63" s="139">
        <f t="shared" si="522"/>
        <v>-6.9264964333712875E-3</v>
      </c>
      <c r="AG63" s="139">
        <f t="shared" si="522"/>
        <v>2.7430772433895578E-2</v>
      </c>
      <c r="AH63" s="139">
        <f t="shared" si="522"/>
        <v>-1</v>
      </c>
      <c r="AI63" s="139" t="e">
        <f t="shared" si="522"/>
        <v>#DIV/0!</v>
      </c>
      <c r="AJ63" s="139" t="e">
        <f t="shared" si="522"/>
        <v>#DIV/0!</v>
      </c>
      <c r="AK63" s="139" t="e">
        <f t="shared" si="522"/>
        <v>#DIV/0!</v>
      </c>
      <c r="AL63" s="139" t="e">
        <f t="shared" si="522"/>
        <v>#DIV/0!</v>
      </c>
      <c r="AM63" s="139" t="e">
        <f t="shared" si="522"/>
        <v>#DIV/0!</v>
      </c>
      <c r="AN63" s="139" t="e">
        <f t="shared" si="522"/>
        <v>#DIV/0!</v>
      </c>
      <c r="AO63" s="139" t="e">
        <f t="shared" si="522"/>
        <v>#DIV/0!</v>
      </c>
      <c r="AP63" s="139" t="e">
        <f t="shared" si="522"/>
        <v>#DIV/0!</v>
      </c>
      <c r="AQ63" s="139">
        <v>0</v>
      </c>
      <c r="AR63" s="139">
        <v>0</v>
      </c>
      <c r="AS63" s="139">
        <v>0</v>
      </c>
      <c r="AT63" s="139">
        <v>0</v>
      </c>
      <c r="AU63" s="139">
        <v>0</v>
      </c>
      <c r="AV63" s="139">
        <v>0</v>
      </c>
      <c r="AW63" s="139">
        <v>0</v>
      </c>
      <c r="AX63" s="139">
        <v>0</v>
      </c>
      <c r="AY63" s="140">
        <v>0</v>
      </c>
      <c r="AZ63" s="33">
        <f t="shared" ref="AZ63" si="523">AY63</f>
        <v>0</v>
      </c>
      <c r="BA63" s="33">
        <f t="shared" ref="BA63" si="524">AZ63</f>
        <v>0</v>
      </c>
      <c r="BB63" s="33">
        <f t="shared" ref="BB63" si="525">BA63</f>
        <v>0</v>
      </c>
      <c r="BC63" s="33">
        <f t="shared" ref="BC63" si="526">BB63</f>
        <v>0</v>
      </c>
      <c r="BD63" s="33">
        <f t="shared" ref="BD63" si="527">BC63</f>
        <v>0</v>
      </c>
      <c r="BE63" s="33">
        <f t="shared" ref="BE63" si="528">BD63</f>
        <v>0</v>
      </c>
      <c r="BF63" s="33">
        <f t="shared" ref="BF63" si="529">BE63</f>
        <v>0</v>
      </c>
      <c r="BG63" s="33">
        <f t="shared" ref="BG63:BK63" si="530">BF63</f>
        <v>0</v>
      </c>
      <c r="BH63" s="33">
        <f t="shared" si="530"/>
        <v>0</v>
      </c>
      <c r="BI63" s="33">
        <f t="shared" si="530"/>
        <v>0</v>
      </c>
      <c r="BJ63" s="33">
        <f t="shared" si="530"/>
        <v>0</v>
      </c>
      <c r="BK63" s="33">
        <f t="shared" si="530"/>
        <v>0</v>
      </c>
      <c r="BL63" s="33">
        <f t="shared" ref="BL63" si="531">BK63</f>
        <v>0</v>
      </c>
      <c r="BM63" s="33">
        <f t="shared" ref="BM63" si="532">BL63</f>
        <v>0</v>
      </c>
      <c r="BN63" s="33">
        <f t="shared" ref="BN63" si="533">BM63</f>
        <v>0</v>
      </c>
      <c r="BO63" s="33">
        <f t="shared" ref="BO63" si="534">BN63</f>
        <v>0</v>
      </c>
      <c r="BP63" s="33">
        <f t="shared" ref="BP63" si="535">BO63</f>
        <v>0</v>
      </c>
      <c r="BQ63" s="33">
        <f t="shared" ref="BQ63" si="536">BP63</f>
        <v>0</v>
      </c>
      <c r="BR63" s="30"/>
      <c r="BS63" s="207" t="e">
        <f t="shared" ref="BS63:CB64" si="537">BS208/BR208-1</f>
        <v>#DIV/0!</v>
      </c>
      <c r="BT63" s="207" t="e">
        <f t="shared" si="537"/>
        <v>#DIV/0!</v>
      </c>
      <c r="BU63" s="207" t="e">
        <f t="shared" si="537"/>
        <v>#DIV/0!</v>
      </c>
      <c r="BV63" s="207" t="e">
        <f t="shared" si="537"/>
        <v>#DIV/0!</v>
      </c>
      <c r="BW63" s="207" t="e">
        <f t="shared" si="537"/>
        <v>#DIV/0!</v>
      </c>
      <c r="BX63" s="207" t="e">
        <f t="shared" si="537"/>
        <v>#DIV/0!</v>
      </c>
      <c r="BY63" s="207" t="e">
        <f t="shared" si="537"/>
        <v>#DIV/0!</v>
      </c>
      <c r="BZ63" s="207" t="e">
        <f t="shared" si="537"/>
        <v>#DIV/0!</v>
      </c>
      <c r="CA63" s="207">
        <f t="shared" si="537"/>
        <v>0.1663795225203053</v>
      </c>
      <c r="CB63" s="207">
        <f t="shared" si="537"/>
        <v>7.3855243722305008E-3</v>
      </c>
      <c r="CC63" s="30">
        <f t="shared" ref="CC63:CS64" si="538">CC208/CB208-1</f>
        <v>-1</v>
      </c>
      <c r="CD63" s="30" t="e">
        <f t="shared" si="538"/>
        <v>#DIV/0!</v>
      </c>
      <c r="CE63" s="30" t="e">
        <f t="shared" si="538"/>
        <v>#DIV/0!</v>
      </c>
      <c r="CF63" s="30" t="e">
        <f t="shared" si="538"/>
        <v>#DIV/0!</v>
      </c>
      <c r="CG63" s="30" t="e">
        <f t="shared" si="538"/>
        <v>#DIV/0!</v>
      </c>
      <c r="CH63" s="30">
        <f t="shared" si="538"/>
        <v>0.18389147725810195</v>
      </c>
      <c r="CI63" s="30">
        <f t="shared" si="538"/>
        <v>-8.920922749114002E-2</v>
      </c>
      <c r="CJ63" s="30">
        <f t="shared" si="538"/>
        <v>-2.7954165671997933E-2</v>
      </c>
      <c r="CK63" s="30">
        <f t="shared" si="538"/>
        <v>0.72556460880970652</v>
      </c>
      <c r="CL63" s="30">
        <f t="shared" si="538"/>
        <v>-5.4982718057451585E-2</v>
      </c>
      <c r="CM63" s="32">
        <f t="shared" si="538"/>
        <v>2.9198426358495233E-2</v>
      </c>
      <c r="CN63" s="32">
        <f t="shared" si="538"/>
        <v>7.205996535865733E-2</v>
      </c>
      <c r="CO63" s="32">
        <f t="shared" si="538"/>
        <v>5.114348589097184E-2</v>
      </c>
      <c r="CP63" s="32">
        <f t="shared" si="538"/>
        <v>2.5361070624088988E-2</v>
      </c>
      <c r="CQ63" s="32">
        <f t="shared" si="538"/>
        <v>2.0314276853096169E-2</v>
      </c>
      <c r="CR63" s="32">
        <f t="shared" si="538"/>
        <v>-1</v>
      </c>
      <c r="CS63" s="32" t="e">
        <f t="shared" si="538"/>
        <v>#DIV/0!</v>
      </c>
      <c r="CT63" s="32" t="e">
        <f t="shared" ref="CT63:CT64" si="539">CT208/CS208-1</f>
        <v>#DIV/0!</v>
      </c>
      <c r="CU63" s="32" t="e">
        <f t="shared" ref="CU63:CU64" si="540">CU208/CT208-1</f>
        <v>#DIV/0!</v>
      </c>
      <c r="CV63" s="32" t="e">
        <f t="shared" ref="CV63:CV64" si="541">CV208/CU208-1</f>
        <v>#DIV/0!</v>
      </c>
      <c r="CW63" s="32" t="e">
        <f t="shared" ref="CW63:CW64" si="542">CW208/CV208-1</f>
        <v>#DIV/0!</v>
      </c>
      <c r="CX63" s="32" t="e">
        <f t="shared" ref="CX63:DI64" si="543">CX208/CW208-1</f>
        <v>#DIV/0!</v>
      </c>
      <c r="CY63" s="32" t="e">
        <f t="shared" si="543"/>
        <v>#DIV/0!</v>
      </c>
      <c r="CZ63" s="31" t="e">
        <f t="shared" si="543"/>
        <v>#DIV/0!</v>
      </c>
      <c r="DA63" s="30" t="e">
        <f t="shared" si="543"/>
        <v>#DIV/0!</v>
      </c>
      <c r="DB63" s="30" t="e">
        <f t="shared" si="543"/>
        <v>#DIV/0!</v>
      </c>
      <c r="DC63" s="30" t="e">
        <f t="shared" si="543"/>
        <v>#DIV/0!</v>
      </c>
      <c r="DD63" s="30" t="e">
        <f t="shared" si="543"/>
        <v>#DIV/0!</v>
      </c>
      <c r="DE63" s="30" t="e">
        <f t="shared" si="543"/>
        <v>#DIV/0!</v>
      </c>
      <c r="DF63" s="30" t="e">
        <f t="shared" si="543"/>
        <v>#DIV/0!</v>
      </c>
      <c r="DG63" s="30" t="e">
        <f t="shared" si="543"/>
        <v>#DIV/0!</v>
      </c>
      <c r="DH63" s="30" t="e">
        <f t="shared" si="543"/>
        <v>#DIV/0!</v>
      </c>
      <c r="DI63" s="30" t="e">
        <f t="shared" si="543"/>
        <v>#DIV/0!</v>
      </c>
    </row>
    <row r="64" spans="1:113" ht="12" outlineLevel="1">
      <c r="A64" s="1" t="s">
        <v>868</v>
      </c>
      <c r="B64" s="15" t="s">
        <v>436</v>
      </c>
      <c r="C64" s="207" t="e">
        <f t="shared" si="521"/>
        <v>#VALUE!</v>
      </c>
      <c r="D64" s="207">
        <f t="shared" si="521"/>
        <v>-0.15111544037694813</v>
      </c>
      <c r="E64" s="207">
        <f t="shared" si="521"/>
        <v>0.39348589763980391</v>
      </c>
      <c r="F64" s="207">
        <f t="shared" si="521"/>
        <v>3.7778695293146036E-2</v>
      </c>
      <c r="G64" s="207">
        <f t="shared" si="521"/>
        <v>3.6403421523771629E-2</v>
      </c>
      <c r="H64" s="207">
        <f t="shared" si="521"/>
        <v>3.5316698656429946E-2</v>
      </c>
      <c r="I64" s="207">
        <f t="shared" si="521"/>
        <v>3.4111976269929567E-2</v>
      </c>
      <c r="J64" s="207">
        <f t="shared" si="521"/>
        <v>1.657485576452955E-2</v>
      </c>
      <c r="K64" s="207">
        <f t="shared" si="521"/>
        <v>1.6304609218436905E-2</v>
      </c>
      <c r="L64" s="207">
        <f t="shared" si="521"/>
        <v>6.4203685007572009E-2</v>
      </c>
      <c r="M64" s="30">
        <f t="shared" si="522"/>
        <v>-1</v>
      </c>
      <c r="N64" s="30" t="e">
        <f t="shared" si="522"/>
        <v>#DIV/0!</v>
      </c>
      <c r="O64" s="30" t="e">
        <f t="shared" si="522"/>
        <v>#DIV/0!</v>
      </c>
      <c r="P64" s="30" t="e">
        <f t="shared" si="522"/>
        <v>#DIV/0!</v>
      </c>
      <c r="Q64" s="30" t="e">
        <f t="shared" si="522"/>
        <v>#DIV/0!</v>
      </c>
      <c r="R64" s="30" t="e">
        <f t="shared" si="522"/>
        <v>#DIV/0!</v>
      </c>
      <c r="S64" s="30" t="e">
        <f t="shared" si="522"/>
        <v>#DIV/0!</v>
      </c>
      <c r="T64" s="32" t="e">
        <f t="shared" si="522"/>
        <v>#DIV/0!</v>
      </c>
      <c r="U64" s="30">
        <f t="shared" si="522"/>
        <v>-5.6441027564222757E-2</v>
      </c>
      <c r="V64" s="30">
        <f t="shared" si="522"/>
        <v>1.7189984101748879E-2</v>
      </c>
      <c r="W64" s="30">
        <f t="shared" si="522"/>
        <v>0.57477776692390359</v>
      </c>
      <c r="X64" s="30">
        <f t="shared" si="522"/>
        <v>8.2439054649215304E-2</v>
      </c>
      <c r="Y64" s="32">
        <f t="shared" si="522"/>
        <v>4.1891117478509932E-2</v>
      </c>
      <c r="Z64" s="32">
        <f t="shared" si="522"/>
        <v>9.9389472526263622E-2</v>
      </c>
      <c r="AA64" s="139">
        <f t="shared" si="522"/>
        <v>0.13463077846708016</v>
      </c>
      <c r="AB64" s="139">
        <f t="shared" si="522"/>
        <v>9.8637506062877467E-2</v>
      </c>
      <c r="AC64" s="139">
        <f t="shared" si="522"/>
        <v>-4.9767217851982681E-2</v>
      </c>
      <c r="AD64" s="139">
        <f t="shared" si="522"/>
        <v>0.18668694036154765</v>
      </c>
      <c r="AE64" s="139">
        <f t="shared" si="522"/>
        <v>-4.9686788154897465E-2</v>
      </c>
      <c r="AF64" s="139">
        <f t="shared" si="522"/>
        <v>-0.69265917602996252</v>
      </c>
      <c r="AG64" s="139">
        <f t="shared" si="522"/>
        <v>6.9095783572995284E-2</v>
      </c>
      <c r="AH64" s="139">
        <f t="shared" si="522"/>
        <v>2.1070329419810783</v>
      </c>
      <c r="AI64" s="139">
        <f t="shared" si="522"/>
        <v>6.1156357766527281E-2</v>
      </c>
      <c r="AJ64" s="139">
        <f t="shared" si="522"/>
        <v>5.7770095073465866E-2</v>
      </c>
      <c r="AK64" s="139">
        <f t="shared" si="522"/>
        <v>4.5103935154922059E-3</v>
      </c>
      <c r="AL64" s="139">
        <f t="shared" si="522"/>
        <v>0.10027982039435157</v>
      </c>
      <c r="AM64" s="139">
        <f t="shared" si="522"/>
        <v>5.7310149041873704E-2</v>
      </c>
      <c r="AN64" s="139">
        <f t="shared" si="522"/>
        <v>-0.11470045309615706</v>
      </c>
      <c r="AO64" s="139">
        <f t="shared" si="522"/>
        <v>3.017091586895404E-2</v>
      </c>
      <c r="AP64" s="139">
        <f t="shared" si="522"/>
        <v>2.720191364082436E-2</v>
      </c>
      <c r="AQ64" s="139">
        <f t="shared" si="522"/>
        <v>0.1130019405881475</v>
      </c>
      <c r="AR64" s="139">
        <f t="shared" si="522"/>
        <v>-6.8696351931330502E-2</v>
      </c>
      <c r="AS64" s="139">
        <f t="shared" si="522"/>
        <v>-0.12658774734295342</v>
      </c>
      <c r="AT64" s="139">
        <f t="shared" si="522"/>
        <v>0.14035087719298245</v>
      </c>
      <c r="AU64" s="139">
        <f t="shared" si="522"/>
        <v>-1.0121457489878916E-3</v>
      </c>
      <c r="AV64" s="139">
        <f t="shared" si="522"/>
        <v>7.5669416702851322E-2</v>
      </c>
      <c r="AW64" s="139">
        <f t="shared" si="522"/>
        <v>-1.9133991765117431E-2</v>
      </c>
      <c r="AX64" s="139">
        <f t="shared" si="522"/>
        <v>-3.0728709394205467E-2</v>
      </c>
      <c r="AY64" s="140">
        <f t="shared" si="522"/>
        <v>4.0760869565217295E-2</v>
      </c>
      <c r="AZ64" s="33">
        <f t="shared" ref="AZ64:BB64" si="544">AZ38*50%+50%*2%</f>
        <v>3.5312499999999962E-2</v>
      </c>
      <c r="BA64" s="33">
        <f t="shared" si="544"/>
        <v>3.5312499999999962E-2</v>
      </c>
      <c r="BB64" s="33">
        <f t="shared" si="544"/>
        <v>3.5312499999999962E-2</v>
      </c>
      <c r="BC64" s="33">
        <f t="shared" ref="BC64" si="545">BC38*50%+50%*2%</f>
        <v>3.5312499999999962E-2</v>
      </c>
      <c r="BD64" s="33">
        <f t="shared" ref="BD64:BE64" si="546">BD38*50%+50%*2%</f>
        <v>3.5312499999999962E-2</v>
      </c>
      <c r="BE64" s="33">
        <f t="shared" si="546"/>
        <v>3.5312499999999962E-2</v>
      </c>
      <c r="BF64" s="33">
        <f t="shared" ref="BF64:BG64" si="547">BF38*50%+50%*2%</f>
        <v>3.5312499999999962E-2</v>
      </c>
      <c r="BG64" s="33">
        <f t="shared" si="547"/>
        <v>3.5312499999999962E-2</v>
      </c>
      <c r="BH64" s="33">
        <f t="shared" ref="BH64:BI64" si="548">BH38*50%+50%*2%</f>
        <v>3.5312499999999962E-2</v>
      </c>
      <c r="BI64" s="33">
        <f t="shared" si="548"/>
        <v>3.5312499999999962E-2</v>
      </c>
      <c r="BJ64" s="33">
        <f t="shared" ref="BJ64:BK64" si="549">BJ38*50%+50%*2%</f>
        <v>3.5312499999999962E-2</v>
      </c>
      <c r="BK64" s="33">
        <f t="shared" si="549"/>
        <v>3.5312499999999962E-2</v>
      </c>
      <c r="BL64" s="33">
        <f t="shared" ref="BL64:BM64" si="550">BL38*50%+50%*2%</f>
        <v>3.5312499999999962E-2</v>
      </c>
      <c r="BM64" s="33">
        <f t="shared" si="550"/>
        <v>3.5312499999999962E-2</v>
      </c>
      <c r="BN64" s="33">
        <f t="shared" ref="BN64:BO64" si="551">BN38*50%+50%*2%</f>
        <v>3.5312499999999962E-2</v>
      </c>
      <c r="BO64" s="33">
        <f t="shared" si="551"/>
        <v>3.5312499999999962E-2</v>
      </c>
      <c r="BP64" s="33">
        <f t="shared" ref="BP64:BQ64" si="552">BP38*50%+50%*2%</f>
        <v>3.5312499999999962E-2</v>
      </c>
      <c r="BQ64" s="33">
        <f t="shared" si="552"/>
        <v>3.5312499999999962E-2</v>
      </c>
      <c r="BR64" s="30"/>
      <c r="BS64" s="207" t="e">
        <f t="shared" si="537"/>
        <v>#DIV/0!</v>
      </c>
      <c r="BT64" s="207">
        <f t="shared" si="537"/>
        <v>0</v>
      </c>
      <c r="BU64" s="207">
        <f t="shared" si="537"/>
        <v>3.0927835051546282E-2</v>
      </c>
      <c r="BV64" s="207">
        <f t="shared" si="537"/>
        <v>0</v>
      </c>
      <c r="BW64" s="207">
        <f t="shared" si="537"/>
        <v>0.13119999999999998</v>
      </c>
      <c r="BX64" s="207">
        <f t="shared" si="537"/>
        <v>0.19147807637906644</v>
      </c>
      <c r="BY64" s="207">
        <f t="shared" si="537"/>
        <v>7.1301380026710159E-2</v>
      </c>
      <c r="BZ64" s="207">
        <f t="shared" si="537"/>
        <v>-0.22397672969042182</v>
      </c>
      <c r="CA64" s="207">
        <f t="shared" si="537"/>
        <v>-3.5519857206604222E-2</v>
      </c>
      <c r="CB64" s="207">
        <f t="shared" si="537"/>
        <v>0.31970111964467463</v>
      </c>
      <c r="CC64" s="30">
        <f t="shared" si="538"/>
        <v>-8.4660577295907036E-2</v>
      </c>
      <c r="CD64" s="30">
        <f t="shared" si="538"/>
        <v>7.5557390586292295E-2</v>
      </c>
      <c r="CE64" s="30">
        <f t="shared" si="538"/>
        <v>7.0633397312859891E-2</v>
      </c>
      <c r="CF64" s="30">
        <f t="shared" si="538"/>
        <v>3.3149711529058878E-2</v>
      </c>
      <c r="CG64" s="30">
        <f t="shared" si="538"/>
        <v>-1</v>
      </c>
      <c r="CH64" s="30" t="e">
        <f t="shared" si="538"/>
        <v>#DIV/0!</v>
      </c>
      <c r="CI64" s="30" t="e">
        <f t="shared" si="538"/>
        <v>#DIV/0!</v>
      </c>
      <c r="CJ64" s="30" t="e">
        <f t="shared" si="538"/>
        <v>#DIV/0!</v>
      </c>
      <c r="CK64" s="30" t="e">
        <f t="shared" si="538"/>
        <v>#DIV/0!</v>
      </c>
      <c r="CL64" s="30">
        <f t="shared" si="538"/>
        <v>0.60184817170111282</v>
      </c>
      <c r="CM64" s="32">
        <f t="shared" si="538"/>
        <v>0.12778363625085287</v>
      </c>
      <c r="CN64" s="32">
        <f t="shared" si="538"/>
        <v>0.24740113305098732</v>
      </c>
      <c r="CO64" s="32">
        <f t="shared" si="538"/>
        <v>4.3961373958287364E-2</v>
      </c>
      <c r="CP64" s="32">
        <f t="shared" si="538"/>
        <v>0.12772427774961992</v>
      </c>
      <c r="CQ64" s="32">
        <f t="shared" si="538"/>
        <v>-0.67142322097378271</v>
      </c>
      <c r="CR64" s="32">
        <f t="shared" si="538"/>
        <v>2.2970477601732591</v>
      </c>
      <c r="CS64" s="32">
        <f t="shared" si="538"/>
        <v>6.2541054451166866E-2</v>
      </c>
      <c r="CT64" s="32">
        <f t="shared" si="539"/>
        <v>0.16333702088891777</v>
      </c>
      <c r="CU64" s="32">
        <f t="shared" si="540"/>
        <v>-8.7990154947698129E-2</v>
      </c>
      <c r="CV64" s="32">
        <f t="shared" si="541"/>
        <v>0.14327772325809618</v>
      </c>
      <c r="CW64" s="32">
        <f t="shared" si="542"/>
        <v>-0.18658798283261802</v>
      </c>
      <c r="CX64" s="32">
        <f t="shared" si="543"/>
        <v>0.13919667590027696</v>
      </c>
      <c r="CY64" s="32">
        <f t="shared" si="543"/>
        <v>5.5087566941670385E-2</v>
      </c>
      <c r="CZ64" s="31">
        <f t="shared" si="543"/>
        <v>8.7796312554873079E-3</v>
      </c>
      <c r="DA64" s="30">
        <f t="shared" si="543"/>
        <v>7.1871972656249561E-2</v>
      </c>
      <c r="DB64" s="30">
        <f t="shared" si="543"/>
        <v>7.1871972656249561E-2</v>
      </c>
      <c r="DC64" s="30">
        <f t="shared" si="543"/>
        <v>7.1871972656249783E-2</v>
      </c>
      <c r="DD64" s="30">
        <f t="shared" si="543"/>
        <v>7.1871972656249561E-2</v>
      </c>
      <c r="DE64" s="30">
        <f t="shared" si="543"/>
        <v>7.1871972656249783E-2</v>
      </c>
      <c r="DF64" s="30">
        <f t="shared" si="543"/>
        <v>7.1871972656249561E-2</v>
      </c>
      <c r="DG64" s="30">
        <f t="shared" si="543"/>
        <v>7.1871972656249783E-2</v>
      </c>
      <c r="DH64" s="30">
        <f t="shared" si="543"/>
        <v>7.1871972656249783E-2</v>
      </c>
      <c r="DI64" s="30">
        <f t="shared" si="543"/>
        <v>7.1871972656249783E-2</v>
      </c>
    </row>
    <row r="65" spans="1:113" ht="12" outlineLevel="1">
      <c r="AA65" s="139"/>
      <c r="AY65" s="200"/>
      <c r="AZ65" s="41"/>
      <c r="BA65" s="41"/>
      <c r="BB65" s="41"/>
      <c r="BC65" s="41"/>
      <c r="BD65" s="41"/>
      <c r="BE65" s="41"/>
      <c r="BF65" s="41"/>
      <c r="BG65" s="41"/>
      <c r="BH65" s="41"/>
      <c r="BI65" s="41"/>
      <c r="CZ65" s="200"/>
      <c r="DB65" s="15"/>
      <c r="DC65" s="15"/>
      <c r="DD65" s="15"/>
      <c r="DE65" s="15"/>
      <c r="DF65" s="15"/>
      <c r="DG65" s="15"/>
      <c r="DH65" s="15"/>
      <c r="DI65" s="15"/>
    </row>
    <row r="66" spans="1:113" ht="12" outlineLevel="1">
      <c r="B66" s="17" t="s">
        <v>437</v>
      </c>
      <c r="Y66" s="41"/>
      <c r="Z66" s="41"/>
      <c r="AA66" s="41"/>
      <c r="AF66" s="423"/>
      <c r="AK66" s="493"/>
      <c r="AL66" s="493"/>
      <c r="AY66" s="200"/>
      <c r="AZ66" s="562"/>
      <c r="BA66" s="562"/>
      <c r="BB66" s="562"/>
      <c r="BC66" s="562"/>
      <c r="BD66" s="562"/>
      <c r="BE66" s="562"/>
      <c r="BF66" s="562"/>
      <c r="BG66" s="562"/>
      <c r="BH66" s="562"/>
      <c r="BI66" s="562"/>
      <c r="CS66" s="37"/>
      <c r="CZ66" s="200"/>
      <c r="DB66" s="15"/>
      <c r="DC66" s="15"/>
      <c r="DD66" s="15"/>
      <c r="DE66" s="15"/>
      <c r="DF66" s="15"/>
      <c r="DG66" s="15"/>
      <c r="DH66" s="15"/>
      <c r="DI66" s="15"/>
    </row>
    <row r="67" spans="1:113" ht="12" hidden="1" outlineLevel="2">
      <c r="A67" s="1" t="s">
        <v>869</v>
      </c>
      <c r="B67" s="15" t="s">
        <v>218</v>
      </c>
      <c r="C67" s="375">
        <f>VLOOKUP($A67,[1]Sheet1!$2:$65479,MATCH(C$3,[1]Sheet1!$2:$2,0),FALSE)</f>
        <v>1.5428502777777704E-2</v>
      </c>
      <c r="D67" s="375">
        <f>VLOOKUP($A67,[1]Sheet1!$2:$65479,MATCH(D$3,[1]Sheet1!$2:$2,0),FALSE)</f>
        <v>1.4608225000000013E-2</v>
      </c>
      <c r="E67" s="375">
        <f>VLOOKUP($A67,[1]Sheet1!$2:$65479,MATCH(E$3,[1]Sheet1!$2:$2,0),FALSE)</f>
        <v>1.2194058333333356E-2</v>
      </c>
      <c r="F67" s="375">
        <f>VLOOKUP($A67,[1]Sheet1!$2:$65479,MATCH(F$3,[1]Sheet1!$2:$2,0),FALSE)</f>
        <v>1.4038988888888788E-2</v>
      </c>
      <c r="G67" s="375">
        <f>VLOOKUP($A67,[1]Sheet1!$2:$65479,MATCH(G$3,[1]Sheet1!$2:$2,0),FALSE)</f>
        <v>1.399159305555555E-2</v>
      </c>
      <c r="H67" s="375">
        <f>VLOOKUP($A67,[1]Sheet1!$2:$65479,MATCH(H$3,[1]Sheet1!$2:$2,0),FALSE)</f>
        <v>1.1687204166666708E-2</v>
      </c>
      <c r="I67" s="375">
        <f>VLOOKUP($A67,[1]Sheet1!$2:$65479,MATCH(I$3,[1]Sheet1!$2:$2,0),FALSE)</f>
        <v>6.9794333333333056E-3</v>
      </c>
      <c r="J67" s="375">
        <f>VLOOKUP($A67,[1]Sheet1!$2:$65479,MATCH(J$3,[1]Sheet1!$2:$2,0),FALSE)</f>
        <v>8.8399819444444153E-3</v>
      </c>
      <c r="K67" s="375">
        <f>VLOOKUP($A67,[1]Sheet1!$2:$65479,MATCH(K$3,[1]Sheet1!$2:$2,0),FALSE)</f>
        <v>9.0907319444444041E-3</v>
      </c>
      <c r="L67" s="375">
        <f>VLOOKUP($A67,[1]Sheet1!$2:$65479,MATCH(L$3,[1]Sheet1!$2:$2,0),FALSE)</f>
        <v>8.6306555555555331E-3</v>
      </c>
      <c r="M67" s="149">
        <f>VLOOKUP($A67,[1]Sheet1!$2:$65479,MATCH(M$3,[1]Sheet1!$2:$2,0),FALSE)</f>
        <v>7.5932944444444227E-3</v>
      </c>
      <c r="N67" s="149">
        <f>VLOOKUP($A67,[1]Sheet1!$2:$65479,MATCH(N$3,[1]Sheet1!$2:$2,0),FALSE)</f>
        <v>8.0042944444444104E-3</v>
      </c>
      <c r="O67" s="149">
        <f>VLOOKUP($A67,[1]Sheet1!$2:$65479,MATCH(O$3,[1]Sheet1!$2:$2,0),FALSE)</f>
        <v>7.3717180555555161E-3</v>
      </c>
      <c r="P67" s="149">
        <f>VLOOKUP($A67,[1]Sheet1!$2:$65479,MATCH(P$3,[1]Sheet1!$2:$2,0),FALSE)</f>
        <v>5.07039166666662E-3</v>
      </c>
      <c r="Q67" s="149">
        <f>VLOOKUP($A67,[1]Sheet1!$2:$65479,MATCH(Q$3,[1]Sheet1!$2:$2,0),FALSE)</f>
        <v>1.043110694444443E-2</v>
      </c>
      <c r="R67" s="149">
        <f>VLOOKUP($A67,[1]Sheet1!$2:$65479,MATCH(R$3,[1]Sheet1!$2:$2,0),FALSE)</f>
        <v>1.8490780555555524E-2</v>
      </c>
      <c r="S67" s="149">
        <f>VLOOKUP($A67,[1]Sheet1!$2:$65479,MATCH(S$3,[1]Sheet1!$2:$2,0),FALSE)</f>
        <v>1.6079843055555511E-2</v>
      </c>
      <c r="T67" s="149">
        <f>VLOOKUP($A67,[1]Sheet1!$2:$65479,MATCH(T$3,[1]Sheet1!$2:$2,0),FALSE)</f>
        <v>1.5407926388888854E-2</v>
      </c>
      <c r="U67" s="149">
        <f>VLOOKUP($A67,[1]Sheet1!$2:$65479,MATCH(U$3,[1]Sheet1!$2:$2,0),FALSE)</f>
        <v>1.7582634722222209E-2</v>
      </c>
      <c r="V67" s="149">
        <f>VLOOKUP($A67,[1]Sheet1!$2:$65479,MATCH(V$3,[1]Sheet1!$2:$2,0),FALSE)</f>
        <v>2.0047843055555539E-2</v>
      </c>
      <c r="W67" s="149">
        <f>VLOOKUP($A67,[1]Sheet1!$2:$65479,MATCH(W$3,[1]Sheet1!$2:$2,0),FALSE)</f>
        <v>2.0428197222222177E-2</v>
      </c>
      <c r="X67" s="149">
        <f>VLOOKUP($A67,[1]Sheet1!$2:$65479,MATCH(X$3,[1]Sheet1!$2:$2,0),FALSE)</f>
        <v>2.1541308333333276E-2</v>
      </c>
      <c r="Y67" s="149">
        <f>VLOOKUP($A67,[1]Sheet1!$2:$65479,MATCH(Y$3,[1]Sheet1!$2:$2,0),FALSE)</f>
        <v>2.4829683333333352E-2</v>
      </c>
      <c r="Z67" s="149">
        <f>VLOOKUP($A67,[1]Sheet1!$2:$65479,MATCH(Z$3,[1]Sheet1!$2:$2,0),FALSE)</f>
        <v>2.4725933333333248E-2</v>
      </c>
      <c r="AA67" s="149">
        <f>VLOOKUP($A67,[1]Sheet1!$2:$65479,MATCH(AA$3,[1]Sheet1!$2:$2,0),FALSE)</f>
        <v>2.3864336111111082E-2</v>
      </c>
      <c r="AB67" s="149">
        <f>VLOOKUP($A67,[1]Sheet1!$2:$65479,MATCH(AB$3,[1]Sheet1!$2:$2,0),FALSE)</f>
        <v>2.2945099999999958E-2</v>
      </c>
      <c r="AC67" s="149">
        <f>VLOOKUP($A67,[1]Sheet1!$2:$65479,MATCH(AC$3,[1]Sheet1!$2:$2,0),FALSE)</f>
        <v>2.2476488888888837E-2</v>
      </c>
      <c r="AD67" s="149">
        <f>VLOOKUP($A67,[1]Sheet1!$2:$65479,MATCH(AD$3,[1]Sheet1!$2:$2,0),FALSE)</f>
        <v>2.275336388888885E-2</v>
      </c>
      <c r="AE67" s="149">
        <f>VLOOKUP($A67,[1]Sheet1!$2:$65479,MATCH(AE$3,[1]Sheet1!$2:$2,0),FALSE)</f>
        <v>2.3239197222222171E-2</v>
      </c>
      <c r="AF67" s="149">
        <f>VLOOKUP($A67,[1]Sheet1!$2:$65479,MATCH(AF$3,[1]Sheet1!$2:$2,0),FALSE)</f>
        <v>2.357780833333328E-2</v>
      </c>
      <c r="AG67" s="149">
        <f>VLOOKUP($A67,[1]Sheet1!$2:$65479,MATCH(AG$3,[1]Sheet1!$2:$2,0),FALSE)</f>
        <v>2.4674405555555532E-2</v>
      </c>
      <c r="AH67" s="149">
        <f>VLOOKUP($A67,[1]Sheet1!$2:$65479,MATCH(AH$3,[1]Sheet1!$2:$2,0),FALSE)</f>
        <v>2.4835863888888823E-2</v>
      </c>
      <c r="AI67" s="149">
        <f>VLOOKUP($A67,[1]Sheet1!$2:$65479,MATCH(AI$3,[1]Sheet1!$2:$2,0),FALSE)</f>
        <v>2.5204822222222079E-2</v>
      </c>
      <c r="AJ67" s="149">
        <f>VLOOKUP($A67,[1]Sheet1!$2:$65479,MATCH(AJ$3,[1]Sheet1!$2:$2,0),FALSE)</f>
        <v>2.4386349999999956E-2</v>
      </c>
      <c r="AK67" s="149">
        <f>VLOOKUP($A67,[1]Sheet1!$2:$65479,MATCH(AK$3,[1]Sheet1!$2:$2,0),FALSE)</f>
        <v>2.2852599999999938E-2</v>
      </c>
      <c r="AL67" s="149">
        <f>VLOOKUP($A67,[1]Sheet1!$2:$65479,MATCH(AL$3,[1]Sheet1!$2:$2,0),FALSE)</f>
        <v>2.4508349999999936E-2</v>
      </c>
      <c r="AM67" s="149">
        <f>VLOOKUP($A67,[1]Sheet1!$2:$65479,MATCH(AM$3,[1]Sheet1!$2:$2,0),FALSE)</f>
        <v>2.8899999999999999E-2</v>
      </c>
      <c r="AN67" s="149">
        <f>VLOOKUP($A67,[1]Sheet1!$2:$65479,MATCH(AN$3,[1]Sheet1!$2:$2,0),FALSE)</f>
        <v>2.8065393242717618E-2</v>
      </c>
      <c r="AO67" s="149">
        <f>VLOOKUP($A67,[1]Sheet1!$2:$65479,MATCH(AO$3,[1]Sheet1!$2:$2,0),FALSE)</f>
        <v>3.0314753095374888E-2</v>
      </c>
      <c r="AP67" s="149">
        <f>VLOOKUP($A67,[1]Sheet1!$2:$65479,MATCH(AP$3,[1]Sheet1!$2:$2,0),FALSE)</f>
        <v>2.926148050862834E-2</v>
      </c>
      <c r="AQ67" s="149">
        <f>VLOOKUP($A67,[1]Sheet1!$2:$65479,MATCH(AQ$3,[1]Sheet1!$2:$2,0),FALSE)</f>
        <v>2.7664337659002766E-2</v>
      </c>
      <c r="AR67" s="149">
        <f>VLOOKUP($A67,[1]Sheet1!$2:$65479,MATCH(AR$3,[1]Sheet1!$2:$2,0),FALSE)</f>
        <v>2.605436888822828E-2</v>
      </c>
      <c r="AS67" s="149">
        <f>VLOOKUP($A67,[1]Sheet1!$2:$65479,MATCH(AS$3,[1]Sheet1!$2:$2,0),FALSE)</f>
        <v>2.0068221160826214E-2</v>
      </c>
      <c r="AT67" s="149">
        <f>VLOOKUP($A67,[1]Sheet1!$2:$65479,MATCH(AT$3,[1]Sheet1!$2:$2,0),FALSE)</f>
        <v>2.1328954863088116E-2</v>
      </c>
      <c r="AU67" s="149">
        <f>VLOOKUP($A67,[1]Sheet1!$2:$65479,MATCH(AU$3,[1]Sheet1!$2:$2,0),FALSE)</f>
        <v>2.0941275720756852E-2</v>
      </c>
      <c r="AV67" s="149">
        <f>VLOOKUP($A67,[1]Sheet1!$2:$65479,MATCH(AV$3,[1]Sheet1!$2:$2,0),FALSE)</f>
        <v>2.0868098554208837E-2</v>
      </c>
      <c r="AW67" s="149">
        <f>VLOOKUP($A67,[1]Sheet1!$2:$65479,MATCH(AW$3,[1]Sheet1!$2:$2,0),FALSE)</f>
        <v>2.0805326121862575E-2</v>
      </c>
      <c r="AX67" s="149">
        <f>AW67</f>
        <v>2.0805326121862575E-2</v>
      </c>
      <c r="AY67" s="559">
        <f>AX67*0.9</f>
        <v>1.8724793509676319E-2</v>
      </c>
      <c r="AZ67" s="34">
        <f>AY67*1</f>
        <v>1.8724793509676319E-2</v>
      </c>
      <c r="BA67" s="34">
        <f>AZ67*1</f>
        <v>1.8724793509676319E-2</v>
      </c>
      <c r="BB67" s="34">
        <f>BA67*0.995</f>
        <v>1.8631169542127936E-2</v>
      </c>
      <c r="BC67" s="34">
        <f>BB67*0.98</f>
        <v>1.8258546151285377E-2</v>
      </c>
      <c r="BD67" s="34">
        <f t="shared" ref="BD67:BE67" si="553">BC67-0.01%</f>
        <v>1.8158546151285378E-2</v>
      </c>
      <c r="BE67" s="34">
        <f t="shared" si="553"/>
        <v>1.8058546151285378E-2</v>
      </c>
      <c r="BF67" s="34">
        <f t="shared" ref="BF67:BI69" si="554">BE67</f>
        <v>1.8058546151285378E-2</v>
      </c>
      <c r="BG67" s="34">
        <f t="shared" si="554"/>
        <v>1.8058546151285378E-2</v>
      </c>
      <c r="BH67" s="34">
        <f t="shared" si="554"/>
        <v>1.8058546151285378E-2</v>
      </c>
      <c r="BI67" s="34">
        <f t="shared" si="554"/>
        <v>1.8058546151285378E-2</v>
      </c>
      <c r="BJ67" s="34">
        <f>BI67</f>
        <v>1.8058546151285378E-2</v>
      </c>
      <c r="BK67" s="34">
        <f>BJ67</f>
        <v>1.8058546151285378E-2</v>
      </c>
      <c r="BL67" s="34">
        <f t="shared" ref="BL67:BL69" si="555">BK67</f>
        <v>1.8058546151285378E-2</v>
      </c>
      <c r="BM67" s="34">
        <f t="shared" ref="BM67:BM69" si="556">BL67</f>
        <v>1.8058546151285378E-2</v>
      </c>
      <c r="BN67" s="34">
        <f t="shared" ref="BN67:BN69" si="557">BM67</f>
        <v>1.8058546151285378E-2</v>
      </c>
      <c r="BO67" s="34">
        <f t="shared" ref="BO67:BO69" si="558">BN67</f>
        <v>1.8058546151285378E-2</v>
      </c>
      <c r="BP67" s="34">
        <f t="shared" ref="BP67:BP69" si="559">BO67</f>
        <v>1.8058546151285378E-2</v>
      </c>
      <c r="BQ67" s="34">
        <f t="shared" ref="BQ67:BQ69" si="560">BP67</f>
        <v>1.8058546151285378E-2</v>
      </c>
      <c r="BR67" s="35"/>
      <c r="BS67" s="345">
        <f t="shared" ref="BS67:CB71" si="561">BS272</f>
        <v>0</v>
      </c>
      <c r="BT67" s="345">
        <f t="shared" si="561"/>
        <v>0</v>
      </c>
      <c r="BU67" s="345">
        <f t="shared" si="561"/>
        <v>0</v>
      </c>
      <c r="BV67" s="345">
        <f t="shared" si="561"/>
        <v>0</v>
      </c>
      <c r="BW67" s="345">
        <f t="shared" si="561"/>
        <v>0</v>
      </c>
      <c r="BX67" s="345">
        <f t="shared" si="561"/>
        <v>0</v>
      </c>
      <c r="BY67" s="345">
        <f t="shared" si="561"/>
        <v>0</v>
      </c>
      <c r="BZ67" s="345">
        <f t="shared" si="561"/>
        <v>0</v>
      </c>
      <c r="CA67" s="345">
        <f t="shared" si="561"/>
        <v>0</v>
      </c>
      <c r="CB67" s="345">
        <f t="shared" si="561"/>
        <v>0</v>
      </c>
      <c r="CC67" s="35">
        <f>CC272</f>
        <v>1.3351544000450504E-2</v>
      </c>
      <c r="CD67" s="35">
        <f t="shared" ref="CD67:CQ71" si="562">CD272</f>
        <v>1.4017377922630315E-2</v>
      </c>
      <c r="CE67" s="35">
        <f t="shared" si="562"/>
        <v>9.1984244215502064E-3</v>
      </c>
      <c r="CF67" s="35">
        <f t="shared" si="562"/>
        <v>8.9709426301383833E-3</v>
      </c>
      <c r="CG67" s="35">
        <f t="shared" si="562"/>
        <v>8.0795843429111083E-3</v>
      </c>
      <c r="CH67" s="35">
        <f t="shared" si="562"/>
        <v>7.7111011296907318E-3</v>
      </c>
      <c r="CI67" s="35">
        <f t="shared" si="562"/>
        <v>7.7797696542841127E-3</v>
      </c>
      <c r="CJ67" s="35">
        <f t="shared" si="562"/>
        <v>1.719101727169951E-2</v>
      </c>
      <c r="CK67" s="35">
        <f t="shared" si="562"/>
        <v>1.6465313654880638E-2</v>
      </c>
      <c r="CL67" s="35">
        <f t="shared" si="562"/>
        <v>2.013598740880811E-2</v>
      </c>
      <c r="CM67" s="37">
        <f t="shared" si="562"/>
        <v>2.3275259488290803E-2</v>
      </c>
      <c r="CN67" s="37">
        <f t="shared" si="562"/>
        <v>2.4321019213611982E-2</v>
      </c>
      <c r="CO67" s="37">
        <f t="shared" si="562"/>
        <v>2.2658196516539234E-2</v>
      </c>
      <c r="CP67" s="37">
        <f t="shared" si="562"/>
        <v>2.3016095604838995E-2</v>
      </c>
      <c r="CQ67" s="37">
        <f t="shared" si="562"/>
        <v>2.4362992830131512E-2</v>
      </c>
      <c r="CR67" s="37">
        <f t="shared" ref="CR67:CS71" si="563">CR272</f>
        <v>2.5028708657643433E-2</v>
      </c>
      <c r="CS67" s="37">
        <f t="shared" si="563"/>
        <v>2.3749944697609635E-2</v>
      </c>
      <c r="CT67" s="37">
        <f t="shared" ref="CT67:CU67" si="564">CT272</f>
        <v>2.6928454738073263E-2</v>
      </c>
      <c r="CU67" s="37">
        <f t="shared" si="564"/>
        <v>2.85075396485946E-2</v>
      </c>
      <c r="CV67" s="37">
        <f t="shared" ref="CV67:CW67" si="565">CV272</f>
        <v>2.8742422699662231E-2</v>
      </c>
      <c r="CW67" s="37">
        <f t="shared" si="565"/>
        <v>2.3055942019367663E-2</v>
      </c>
      <c r="CX67" s="37">
        <f t="shared" ref="CX67" si="566">CX272</f>
        <v>2.1133326891659497E-2</v>
      </c>
      <c r="CY67" s="37">
        <f t="shared" ref="CY67:CZ67" si="567">CY272</f>
        <v>2.0835118652363958E-2</v>
      </c>
      <c r="CZ67" s="36">
        <f t="shared" si="567"/>
        <v>0</v>
      </c>
      <c r="DA67" s="35">
        <f t="shared" ref="DA67:DB67" si="568">DA272</f>
        <v>0</v>
      </c>
      <c r="DB67" s="35">
        <f t="shared" si="568"/>
        <v>0</v>
      </c>
      <c r="DC67" s="35">
        <f t="shared" ref="DC67" si="569">DC272</f>
        <v>0</v>
      </c>
      <c r="DD67" s="35">
        <f t="shared" ref="DD67:DE71" si="570">DD272</f>
        <v>0</v>
      </c>
      <c r="DE67" s="35">
        <f t="shared" si="570"/>
        <v>0</v>
      </c>
      <c r="DF67" s="35">
        <f t="shared" ref="DF67:DG71" si="571">DF272</f>
        <v>0</v>
      </c>
      <c r="DG67" s="35">
        <f t="shared" si="571"/>
        <v>0</v>
      </c>
      <c r="DH67" s="35">
        <f t="shared" ref="DH67" si="572">DH272</f>
        <v>0</v>
      </c>
      <c r="DI67" s="35">
        <f t="shared" ref="DI67" si="573">DI272</f>
        <v>0</v>
      </c>
    </row>
    <row r="68" spans="1:113" ht="12" hidden="1" outlineLevel="2">
      <c r="A68" s="1" t="s">
        <v>870</v>
      </c>
      <c r="B68" s="15" t="s">
        <v>438</v>
      </c>
      <c r="C68" s="375">
        <f>VLOOKUP($A68,[1]Sheet1!$2:$65479,MATCH(C$3,[1]Sheet1!$2:$2,0),FALSE)</f>
        <v>2.6197480827113595E-2</v>
      </c>
      <c r="D68" s="375">
        <f>VLOOKUP($A68,[1]Sheet1!$2:$65479,MATCH(D$3,[1]Sheet1!$2:$2,0),FALSE)</f>
        <v>2.3956810034853671E-2</v>
      </c>
      <c r="E68" s="375">
        <f>VLOOKUP($A68,[1]Sheet1!$2:$65479,MATCH(E$3,[1]Sheet1!$2:$2,0),FALSE)</f>
        <v>2.1905802315802636E-2</v>
      </c>
      <c r="F68" s="375">
        <f>VLOOKUP($A68,[1]Sheet1!$2:$65479,MATCH(F$3,[1]Sheet1!$2:$2,0),FALSE)</f>
        <v>2.2440773840474493E-2</v>
      </c>
      <c r="G68" s="375">
        <f>VLOOKUP($A68,[1]Sheet1!$2:$65479,MATCH(G$3,[1]Sheet1!$2:$2,0),FALSE)</f>
        <v>2.1877184802169825E-2</v>
      </c>
      <c r="H68" s="375">
        <f>VLOOKUP($A68,[1]Sheet1!$2:$65479,MATCH(H$3,[1]Sheet1!$2:$2,0),FALSE)</f>
        <v>1.9410123615064334E-2</v>
      </c>
      <c r="I68" s="375">
        <f>VLOOKUP($A68,[1]Sheet1!$2:$65479,MATCH(I$3,[1]Sheet1!$2:$2,0),FALSE)</f>
        <v>1.9572953769419033E-2</v>
      </c>
      <c r="J68" s="375">
        <f>VLOOKUP($A68,[1]Sheet1!$2:$65479,MATCH(J$3,[1]Sheet1!$2:$2,0),FALSE)</f>
        <v>1.7478928887580736E-2</v>
      </c>
      <c r="K68" s="375">
        <f>VLOOKUP($A68,[1]Sheet1!$2:$65479,MATCH(K$3,[1]Sheet1!$2:$2,0),FALSE)</f>
        <v>1.7565141392041683E-2</v>
      </c>
      <c r="L68" s="375">
        <f>VLOOKUP($A68,[1]Sheet1!$2:$65479,MATCH(L$3,[1]Sheet1!$2:$2,0),FALSE)</f>
        <v>1.687164535966923E-2</v>
      </c>
      <c r="M68" s="149">
        <f>VLOOKUP($A68,[1]Sheet1!$2:$65479,MATCH(M$3,[1]Sheet1!$2:$2,0),FALSE)</f>
        <v>1.4950871234944541E-2</v>
      </c>
      <c r="N68" s="149">
        <f>VLOOKUP($A68,[1]Sheet1!$2:$65479,MATCH(N$3,[1]Sheet1!$2:$2,0),FALSE)</f>
        <v>1.4397025036505973E-2</v>
      </c>
      <c r="O68" s="149">
        <f>VLOOKUP($A68,[1]Sheet1!$2:$65479,MATCH(O$3,[1]Sheet1!$2:$2,0),FALSE)</f>
        <v>1.3361674348231878E-2</v>
      </c>
      <c r="P68" s="149">
        <f>VLOOKUP($A68,[1]Sheet1!$2:$65479,MATCH(P$3,[1]Sheet1!$2:$2,0),FALSE)</f>
        <v>1.1405160783031998E-2</v>
      </c>
      <c r="Q68" s="149">
        <f>VLOOKUP($A68,[1]Sheet1!$2:$65479,MATCH(Q$3,[1]Sheet1!$2:$2,0),FALSE)</f>
        <v>1.5099215944443412E-2</v>
      </c>
      <c r="R68" s="149">
        <f>VLOOKUP($A68,[1]Sheet1!$2:$65479,MATCH(R$3,[1]Sheet1!$2:$2,0),FALSE)</f>
        <v>2.6671259436659489E-2</v>
      </c>
      <c r="S68" s="149">
        <f>VLOOKUP($A68,[1]Sheet1!$2:$65479,MATCH(S$3,[1]Sheet1!$2:$2,0),FALSE)</f>
        <v>2.6726162840427059E-2</v>
      </c>
      <c r="T68" s="149">
        <f>VLOOKUP($A68,[1]Sheet1!$2:$65479,MATCH(T$3,[1]Sheet1!$2:$2,0),FALSE)</f>
        <v>2.6313070915424119E-2</v>
      </c>
      <c r="U68" s="149">
        <f>VLOOKUP($A68,[1]Sheet1!$2:$65479,MATCH(U$3,[1]Sheet1!$2:$2,0),FALSE)</f>
        <v>2.6908276271163101E-2</v>
      </c>
      <c r="V68" s="149">
        <f>VLOOKUP($A68,[1]Sheet1!$2:$65479,MATCH(V$3,[1]Sheet1!$2:$2,0),FALSE)</f>
        <v>3.0174631443157462E-2</v>
      </c>
      <c r="W68" s="149">
        <f>VLOOKUP($A68,[1]Sheet1!$2:$65479,MATCH(W$3,[1]Sheet1!$2:$2,0),FALSE)</f>
        <v>3.1848487022388072E-2</v>
      </c>
      <c r="X68" s="149">
        <f>VLOOKUP($A68,[1]Sheet1!$2:$65479,MATCH(X$3,[1]Sheet1!$2:$2,0),FALSE)</f>
        <v>3.2633245474479433E-2</v>
      </c>
      <c r="Y68" s="149">
        <f>VLOOKUP($A68,[1]Sheet1!$2:$65479,MATCH(Y$3,[1]Sheet1!$2:$2,0),FALSE)</f>
        <v>3.5312886781760033E-2</v>
      </c>
      <c r="Z68" s="149">
        <f>VLOOKUP($A68,[1]Sheet1!$2:$65479,MATCH(Z$3,[1]Sheet1!$2:$2,0),FALSE)</f>
        <v>3.4819712298446825E-2</v>
      </c>
      <c r="AA68" s="149">
        <f>VLOOKUP($A68,[1]Sheet1!$2:$65479,MATCH(AA$3,[1]Sheet1!$2:$2,0),FALSE)</f>
        <v>3.5718445803580634E-2</v>
      </c>
      <c r="AB68" s="149">
        <f>VLOOKUP($A68,[1]Sheet1!$2:$65479,MATCH(AB$3,[1]Sheet1!$2:$2,0),FALSE)</f>
        <v>3.5222716312464986E-2</v>
      </c>
      <c r="AC68" s="149">
        <f>VLOOKUP($A68,[1]Sheet1!$2:$65479,MATCH(AC$3,[1]Sheet1!$2:$2,0),FALSE)</f>
        <v>3.4965744055591941E-2</v>
      </c>
      <c r="AD68" s="149">
        <f>VLOOKUP($A68,[1]Sheet1!$2:$65479,MATCH(AD$3,[1]Sheet1!$2:$2,0),FALSE)</f>
        <v>3.476672874466824E-2</v>
      </c>
      <c r="AE68" s="149">
        <f>VLOOKUP($A68,[1]Sheet1!$2:$65479,MATCH(AE$3,[1]Sheet1!$2:$2,0),FALSE)</f>
        <v>3.3973478780346955E-2</v>
      </c>
      <c r="AF68" s="149">
        <f>VLOOKUP($A68,[1]Sheet1!$2:$65479,MATCH(AF$3,[1]Sheet1!$2:$2,0),FALSE)</f>
        <v>3.2424799556296069E-2</v>
      </c>
      <c r="AG68" s="149">
        <f>VLOOKUP($A68,[1]Sheet1!$2:$65479,MATCH(AG$3,[1]Sheet1!$2:$2,0),FALSE)</f>
        <v>3.3443217158303007E-2</v>
      </c>
      <c r="AH68" s="149">
        <f>VLOOKUP($A68,[1]Sheet1!$2:$65479,MATCH(AH$3,[1]Sheet1!$2:$2,0),FALSE)</f>
        <v>3.2738938233455986E-2</v>
      </c>
      <c r="AI68" s="149">
        <f>VLOOKUP($A68,[1]Sheet1!$2:$65479,MATCH(AI$3,[1]Sheet1!$2:$2,0),FALSE)</f>
        <v>3.2837831902301939E-2</v>
      </c>
      <c r="AJ68" s="149">
        <f>VLOOKUP($A68,[1]Sheet1!$2:$65479,MATCH(AJ$3,[1]Sheet1!$2:$2,0),FALSE)</f>
        <v>3.1513483474842729E-2</v>
      </c>
      <c r="AK68" s="149">
        <f>VLOOKUP($A68,[1]Sheet1!$2:$65479,MATCH(AK$3,[1]Sheet1!$2:$2,0),FALSE)</f>
        <v>3.054692454897312E-2</v>
      </c>
      <c r="AL68" s="149">
        <f>VLOOKUP($A68,[1]Sheet1!$2:$65479,MATCH(AL$3,[1]Sheet1!$2:$2,0),FALSE)</f>
        <v>3.1203907504882E-2</v>
      </c>
      <c r="AM68" s="149">
        <f>VLOOKUP($A68,[1]Sheet1!$2:$65479,MATCH(AM$3,[1]Sheet1!$2:$2,0),FALSE)</f>
        <v>3.4299999999999997E-2</v>
      </c>
      <c r="AN68" s="149">
        <f>VLOOKUP($A68,[1]Sheet1!$2:$65479,MATCH(AN$3,[1]Sheet1!$2:$2,0),FALSE)</f>
        <v>3.3532435182180353E-2</v>
      </c>
      <c r="AO68" s="149">
        <f>VLOOKUP($A68,[1]Sheet1!$2:$65479,MATCH(AO$3,[1]Sheet1!$2:$2,0),FALSE)</f>
        <v>3.4820726722394058E-2</v>
      </c>
      <c r="AP68" s="149">
        <f>VLOOKUP($A68,[1]Sheet1!$2:$65479,MATCH(AP$3,[1]Sheet1!$2:$2,0),FALSE)</f>
        <v>3.3579290462787327E-2</v>
      </c>
      <c r="AQ68" s="149">
        <f>VLOOKUP($A68,[1]Sheet1!$2:$65479,MATCH(AQ$3,[1]Sheet1!$2:$2,0),FALSE)</f>
        <v>3.1926173758044803E-2</v>
      </c>
      <c r="AR68" s="149">
        <f>VLOOKUP($A68,[1]Sheet1!$2:$65479,MATCH(AR$3,[1]Sheet1!$2:$2,0),FALSE)</f>
        <v>2.9990526851627366E-2</v>
      </c>
      <c r="AS68" s="149">
        <f>VLOOKUP($A68,[1]Sheet1!$2:$65479,MATCH(AS$3,[1]Sheet1!$2:$2,0),FALSE)</f>
        <v>2.0490667115181705E-2</v>
      </c>
      <c r="AT68" s="149">
        <f>VLOOKUP($A68,[1]Sheet1!$2:$65479,MATCH(AT$3,[1]Sheet1!$2:$2,0),FALSE)</f>
        <v>2.1599427785411147E-2</v>
      </c>
      <c r="AU68" s="149">
        <f>VLOOKUP($A68,[1]Sheet1!$2:$65479,MATCH(AU$3,[1]Sheet1!$2:$2,0),FALSE)</f>
        <v>2.0455563257273882E-2</v>
      </c>
      <c r="AV68" s="149">
        <f>VLOOKUP($A68,[1]Sheet1!$2:$65479,MATCH(AV$3,[1]Sheet1!$2:$2,0),FALSE)</f>
        <v>2.1223941903063214E-2</v>
      </c>
      <c r="AW68" s="149">
        <f>VLOOKUP($A68,[1]Sheet1!$2:$65479,MATCH(AW$3,[1]Sheet1!$2:$2,0),FALSE)</f>
        <v>2.1617185607577083E-2</v>
      </c>
      <c r="AX68" s="149">
        <f>AW68</f>
        <v>2.1617185607577083E-2</v>
      </c>
      <c r="AY68" s="559">
        <f>AX68*0.9</f>
        <v>1.9455467046819375E-2</v>
      </c>
      <c r="AZ68" s="34">
        <f t="shared" ref="AZ68" si="574">AY68</f>
        <v>1.9455467046819375E-2</v>
      </c>
      <c r="BA68" s="34">
        <f t="shared" ref="BA68:BA69" si="575">AZ68</f>
        <v>1.9455467046819375E-2</v>
      </c>
      <c r="BB68" s="34">
        <f t="shared" ref="BB68:BD73" si="576">BA68</f>
        <v>1.9455467046819375E-2</v>
      </c>
      <c r="BC68" s="34">
        <f t="shared" si="576"/>
        <v>1.9455467046819375E-2</v>
      </c>
      <c r="BD68" s="34">
        <f t="shared" si="576"/>
        <v>1.9455467046819375E-2</v>
      </c>
      <c r="BE68" s="34">
        <f t="shared" ref="BE68:BE69" si="577">BD68</f>
        <v>1.9455467046819375E-2</v>
      </c>
      <c r="BF68" s="34">
        <f t="shared" si="554"/>
        <v>1.9455467046819375E-2</v>
      </c>
      <c r="BG68" s="34">
        <f t="shared" si="554"/>
        <v>1.9455467046819375E-2</v>
      </c>
      <c r="BH68" s="34">
        <f t="shared" si="554"/>
        <v>1.9455467046819375E-2</v>
      </c>
      <c r="BI68" s="34">
        <f t="shared" si="554"/>
        <v>1.9455467046819375E-2</v>
      </c>
      <c r="BJ68" s="34">
        <f t="shared" ref="BJ68:BJ69" si="578">BI68</f>
        <v>1.9455467046819375E-2</v>
      </c>
      <c r="BK68" s="34">
        <f t="shared" ref="BK68:BK69" si="579">BJ68</f>
        <v>1.9455467046819375E-2</v>
      </c>
      <c r="BL68" s="34">
        <f t="shared" si="555"/>
        <v>1.9455467046819375E-2</v>
      </c>
      <c r="BM68" s="34">
        <f t="shared" si="556"/>
        <v>1.9455467046819375E-2</v>
      </c>
      <c r="BN68" s="34">
        <f t="shared" si="557"/>
        <v>1.9455467046819375E-2</v>
      </c>
      <c r="BO68" s="34">
        <f t="shared" si="558"/>
        <v>1.9455467046819375E-2</v>
      </c>
      <c r="BP68" s="34">
        <f t="shared" si="559"/>
        <v>1.9455467046819375E-2</v>
      </c>
      <c r="BQ68" s="34">
        <f t="shared" si="560"/>
        <v>1.9455467046819375E-2</v>
      </c>
      <c r="BR68" s="35"/>
      <c r="BS68" s="345">
        <f t="shared" si="561"/>
        <v>0</v>
      </c>
      <c r="BT68" s="345">
        <f t="shared" si="561"/>
        <v>0</v>
      </c>
      <c r="BU68" s="345">
        <f t="shared" si="561"/>
        <v>0</v>
      </c>
      <c r="BV68" s="345">
        <f t="shared" si="561"/>
        <v>0</v>
      </c>
      <c r="BW68" s="345">
        <f t="shared" si="561"/>
        <v>0</v>
      </c>
      <c r="BX68" s="345">
        <f t="shared" si="561"/>
        <v>0</v>
      </c>
      <c r="BY68" s="345">
        <f t="shared" si="561"/>
        <v>0</v>
      </c>
      <c r="BZ68" s="345">
        <f t="shared" si="561"/>
        <v>0</v>
      </c>
      <c r="CA68" s="345">
        <f t="shared" si="561"/>
        <v>0</v>
      </c>
      <c r="CB68" s="345">
        <f t="shared" si="561"/>
        <v>0</v>
      </c>
      <c r="CC68" s="35">
        <f>CC273</f>
        <v>2.2931092761409217E-2</v>
      </c>
      <c r="CD68" s="35">
        <f t="shared" si="562"/>
        <v>2.2155049440132954E-2</v>
      </c>
      <c r="CE68" s="35">
        <f t="shared" si="562"/>
        <v>1.9491750523252086E-2</v>
      </c>
      <c r="CF68" s="35">
        <f t="shared" si="562"/>
        <v>1.7525662400915604E-2</v>
      </c>
      <c r="CG68" s="35">
        <f t="shared" si="562"/>
        <v>1.5847119161689117E-2</v>
      </c>
      <c r="CH68" s="35">
        <f t="shared" si="562"/>
        <v>1.3919133637584817E-2</v>
      </c>
      <c r="CI68" s="35">
        <f t="shared" si="562"/>
        <v>1.3234348710626344E-2</v>
      </c>
      <c r="CJ68" s="35">
        <f t="shared" si="562"/>
        <v>2.6582456772242288E-2</v>
      </c>
      <c r="CK68" s="35">
        <f t="shared" si="562"/>
        <v>2.6618519500424966E-2</v>
      </c>
      <c r="CL68" s="35">
        <f t="shared" si="562"/>
        <v>2.8947478525244118E-2</v>
      </c>
      <c r="CM68" s="37">
        <f t="shared" si="562"/>
        <v>3.4873092264894753E-2</v>
      </c>
      <c r="CN68" s="37">
        <f t="shared" si="562"/>
        <v>3.5434126953999022E-2</v>
      </c>
      <c r="CO68" s="37">
        <f t="shared" si="562"/>
        <v>3.4910783036292775E-2</v>
      </c>
      <c r="CP68" s="37">
        <f t="shared" si="562"/>
        <v>3.434259220526481E-2</v>
      </c>
      <c r="CQ68" s="37">
        <f t="shared" si="562"/>
        <v>3.2075012844794935E-2</v>
      </c>
      <c r="CR68" s="37">
        <f t="shared" si="563"/>
        <v>3.1621412660336835E-2</v>
      </c>
      <c r="CS68" s="37">
        <f t="shared" si="563"/>
        <v>3.0733542871808128E-2</v>
      </c>
      <c r="CT68" s="37">
        <f t="shared" ref="CT68:CU68" si="580">CT273</f>
        <v>3.2842975170933569E-2</v>
      </c>
      <c r="CU68" s="37">
        <f t="shared" si="580"/>
        <v>3.3767242323140621E-2</v>
      </c>
      <c r="CV68" s="37">
        <f t="shared" ref="CV68:CW68" si="581">CV273</f>
        <v>3.2719341926043352E-2</v>
      </c>
      <c r="CW68" s="37">
        <f t="shared" si="581"/>
        <v>2.5201012594412688E-2</v>
      </c>
      <c r="CX68" s="37">
        <f t="shared" ref="CX68" si="582">CX273</f>
        <v>2.1028515225874837E-2</v>
      </c>
      <c r="CY68" s="37">
        <f t="shared" ref="CY68:CZ68" si="583">CY273</f>
        <v>2.1421570795084461E-2</v>
      </c>
      <c r="CZ68" s="36">
        <f t="shared" si="583"/>
        <v>0</v>
      </c>
      <c r="DA68" s="35">
        <f t="shared" ref="DA68:DB68" si="584">DA273</f>
        <v>0</v>
      </c>
      <c r="DB68" s="35">
        <f t="shared" si="584"/>
        <v>0</v>
      </c>
      <c r="DC68" s="35">
        <f t="shared" ref="DC68" si="585">DC273</f>
        <v>0</v>
      </c>
      <c r="DD68" s="35">
        <f t="shared" si="570"/>
        <v>0</v>
      </c>
      <c r="DE68" s="35">
        <f t="shared" si="570"/>
        <v>0</v>
      </c>
      <c r="DF68" s="35">
        <f t="shared" si="571"/>
        <v>0</v>
      </c>
      <c r="DG68" s="35">
        <f t="shared" si="571"/>
        <v>0</v>
      </c>
      <c r="DH68" s="35">
        <f t="shared" ref="DH68" si="586">DH273</f>
        <v>0</v>
      </c>
      <c r="DI68" s="35">
        <f t="shared" ref="DI68" si="587">DI273</f>
        <v>0</v>
      </c>
    </row>
    <row r="69" spans="1:113" ht="12" hidden="1" outlineLevel="2">
      <c r="A69" s="1" t="s">
        <v>871</v>
      </c>
      <c r="B69" s="15" t="s">
        <v>439</v>
      </c>
      <c r="C69" s="345">
        <f>C274</f>
        <v>-3.2140480227019777E-2</v>
      </c>
      <c r="D69" s="345">
        <f>D274</f>
        <v>-1.6545308437929764E-2</v>
      </c>
      <c r="E69" s="345">
        <f t="shared" ref="E69:L69" si="588">E274</f>
        <v>-2.4593515866652853E-2</v>
      </c>
      <c r="F69" s="345">
        <f t="shared" si="588"/>
        <v>-1.9938011350525895E-2</v>
      </c>
      <c r="G69" s="345">
        <f t="shared" si="588"/>
        <v>-1.8002965742767944E-2</v>
      </c>
      <c r="H69" s="345">
        <f t="shared" si="588"/>
        <v>-2.8453172074138115E-2</v>
      </c>
      <c r="I69" s="345">
        <f t="shared" si="588"/>
        <v>-7.1054396083921507E-3</v>
      </c>
      <c r="J69" s="345">
        <f t="shared" si="588"/>
        <v>3.0292916604888073E-2</v>
      </c>
      <c r="K69" s="345">
        <f t="shared" si="588"/>
        <v>3.4975044839463135E-2</v>
      </c>
      <c r="L69" s="345">
        <f t="shared" si="588"/>
        <v>3.6813072077601865E-2</v>
      </c>
      <c r="M69" s="35">
        <f t="shared" ref="M69:V69" si="589">M274</f>
        <v>3.0118120782575634E-2</v>
      </c>
      <c r="N69" s="35">
        <f t="shared" si="589"/>
        <v>2.9897958648081296E-2</v>
      </c>
      <c r="O69" s="35">
        <f t="shared" si="589"/>
        <v>3.0305159051508001E-2</v>
      </c>
      <c r="P69" s="35">
        <f t="shared" si="589"/>
        <v>2.0133676809485541E-2</v>
      </c>
      <c r="Q69" s="35">
        <f t="shared" si="589"/>
        <v>1.1295435880496637E-2</v>
      </c>
      <c r="R69" s="35">
        <f t="shared" si="589"/>
        <v>5.7486047924208597E-2</v>
      </c>
      <c r="S69" s="35">
        <f t="shared" si="589"/>
        <v>6.1319012999291406E-2</v>
      </c>
      <c r="T69" s="37">
        <f t="shared" si="589"/>
        <v>5.6076469635978329E-2</v>
      </c>
      <c r="U69" s="35">
        <f t="shared" si="589"/>
        <v>5.5959223932312396E-2</v>
      </c>
      <c r="V69" s="35">
        <f t="shared" si="589"/>
        <v>4.133886154303467E-2</v>
      </c>
      <c r="W69" s="35">
        <f t="shared" ref="W69:AB69" si="590">W274</f>
        <v>4.2398357419383921E-2</v>
      </c>
      <c r="X69" s="35">
        <f t="shared" si="590"/>
        <v>4.1794040609325546E-2</v>
      </c>
      <c r="Y69" s="37">
        <f t="shared" si="590"/>
        <v>4.4604226434103007E-2</v>
      </c>
      <c r="Z69" s="228">
        <f t="shared" si="590"/>
        <v>4.8674037865008506E-2</v>
      </c>
      <c r="AA69" s="228">
        <f t="shared" si="590"/>
        <v>4.4830041962631711E-2</v>
      </c>
      <c r="AB69" s="228">
        <f t="shared" si="590"/>
        <v>3.9526562901294117E-2</v>
      </c>
      <c r="AC69" s="228">
        <f t="shared" ref="AC69" si="591">AC274</f>
        <v>3.1541712956034813E-2</v>
      </c>
      <c r="AD69" s="228">
        <f t="shared" ref="AD69" si="592">AD274</f>
        <v>2.6872607711036028E-2</v>
      </c>
      <c r="AE69" s="228">
        <f t="shared" ref="AE69:AI69" si="593">AE274</f>
        <v>2.7823752131666428E-2</v>
      </c>
      <c r="AF69" s="228">
        <f t="shared" si="593"/>
        <v>3.9418445973248353E-2</v>
      </c>
      <c r="AG69" s="228">
        <f t="shared" si="593"/>
        <v>4.6611220287466913E-2</v>
      </c>
      <c r="AH69" s="228">
        <f t="shared" si="593"/>
        <v>4.1903755460564816E-2</v>
      </c>
      <c r="AI69" s="228">
        <f t="shared" si="593"/>
        <v>4.5139864025218732E-2</v>
      </c>
      <c r="AJ69" s="228">
        <f t="shared" ref="AJ69:AK69" si="594">AJ274</f>
        <v>4.247383111606564E-2</v>
      </c>
      <c r="AK69" s="228">
        <f t="shared" si="594"/>
        <v>3.5933173711001E-2</v>
      </c>
      <c r="AL69" s="228">
        <f t="shared" ref="AL69" si="595">AL274</f>
        <v>3.2393193382504161E-2</v>
      </c>
      <c r="AM69" s="228">
        <f t="shared" ref="AM69" si="596">AM274</f>
        <v>3.4843565718053124E-2</v>
      </c>
      <c r="AN69" s="228">
        <f t="shared" ref="AN69" si="597">AN274</f>
        <v>3.7637190934565391E-2</v>
      </c>
      <c r="AO69" s="228">
        <f t="shared" ref="AO69" si="598">AO274</f>
        <v>3.0865352240662829E-2</v>
      </c>
      <c r="AP69" s="228">
        <f t="shared" ref="AP69" si="599">AP274</f>
        <v>3.6625389714161904E-2</v>
      </c>
      <c r="AQ69" s="228">
        <f t="shared" ref="AQ69" si="600">AQ274</f>
        <v>4.0272632701632102E-2</v>
      </c>
      <c r="AR69" s="228">
        <f t="shared" ref="AR69" si="601">AR274</f>
        <v>3.7231954882069318E-2</v>
      </c>
      <c r="AS69" s="228">
        <f t="shared" ref="AS69" si="602">AS274</f>
        <v>1.9135211153411578E-2</v>
      </c>
      <c r="AT69" s="228">
        <f t="shared" ref="AT69" si="603">AT274</f>
        <v>2.0696580627127526E-2</v>
      </c>
      <c r="AU69" s="228">
        <f t="shared" ref="AU69" si="604">AU274</f>
        <v>2.0606233500436822E-2</v>
      </c>
      <c r="AV69" s="228">
        <f t="shared" ref="AV69:AW69" si="605">AV274</f>
        <v>2.6058993602260314E-2</v>
      </c>
      <c r="AW69" s="228">
        <f t="shared" si="605"/>
        <v>2.6767769912733556E-2</v>
      </c>
      <c r="AX69" s="228">
        <f t="shared" ref="AX69" si="606">AX274</f>
        <v>3.2995842058262018E-2</v>
      </c>
      <c r="AY69" s="39">
        <f>AX69-0.05%</f>
        <v>3.2495842058262017E-2</v>
      </c>
      <c r="AZ69" s="34">
        <f>AY69+0.05%</f>
        <v>3.2995842058262018E-2</v>
      </c>
      <c r="BA69" s="34">
        <f t="shared" si="575"/>
        <v>3.2995842058262018E-2</v>
      </c>
      <c r="BB69" s="34">
        <f t="shared" si="576"/>
        <v>3.2995842058262018E-2</v>
      </c>
      <c r="BC69" s="34">
        <f t="shared" si="576"/>
        <v>3.2995842058262018E-2</v>
      </c>
      <c r="BD69" s="34">
        <f t="shared" si="576"/>
        <v>3.2995842058262018E-2</v>
      </c>
      <c r="BE69" s="34">
        <f t="shared" si="577"/>
        <v>3.2995842058262018E-2</v>
      </c>
      <c r="BF69" s="34">
        <f t="shared" si="554"/>
        <v>3.2995842058262018E-2</v>
      </c>
      <c r="BG69" s="34">
        <f t="shared" si="554"/>
        <v>3.2995842058262018E-2</v>
      </c>
      <c r="BH69" s="34">
        <f t="shared" si="554"/>
        <v>3.2995842058262018E-2</v>
      </c>
      <c r="BI69" s="34">
        <f t="shared" si="554"/>
        <v>3.2995842058262018E-2</v>
      </c>
      <c r="BJ69" s="34">
        <f t="shared" si="578"/>
        <v>3.2995842058262018E-2</v>
      </c>
      <c r="BK69" s="34">
        <f t="shared" si="579"/>
        <v>3.2995842058262018E-2</v>
      </c>
      <c r="BL69" s="34">
        <f t="shared" si="555"/>
        <v>3.2995842058262018E-2</v>
      </c>
      <c r="BM69" s="34">
        <f t="shared" si="556"/>
        <v>3.2995842058262018E-2</v>
      </c>
      <c r="BN69" s="34">
        <f t="shared" si="557"/>
        <v>3.2995842058262018E-2</v>
      </c>
      <c r="BO69" s="34">
        <f t="shared" si="558"/>
        <v>3.2995842058262018E-2</v>
      </c>
      <c r="BP69" s="34">
        <f t="shared" si="559"/>
        <v>3.2995842058262018E-2</v>
      </c>
      <c r="BQ69" s="34">
        <f t="shared" si="560"/>
        <v>3.2995842058262018E-2</v>
      </c>
      <c r="BR69" s="35"/>
      <c r="BS69" s="345">
        <f t="shared" si="561"/>
        <v>0</v>
      </c>
      <c r="BT69" s="345">
        <f t="shared" si="561"/>
        <v>0</v>
      </c>
      <c r="BU69" s="345">
        <f t="shared" si="561"/>
        <v>0</v>
      </c>
      <c r="BV69" s="345">
        <f t="shared" si="561"/>
        <v>0</v>
      </c>
      <c r="BW69" s="345">
        <f t="shared" si="561"/>
        <v>0</v>
      </c>
      <c r="BX69" s="345">
        <f t="shared" si="561"/>
        <v>0</v>
      </c>
      <c r="BY69" s="345">
        <f t="shared" si="561"/>
        <v>0</v>
      </c>
      <c r="BZ69" s="345">
        <f t="shared" si="561"/>
        <v>0</v>
      </c>
      <c r="CA69" s="345">
        <f t="shared" si="561"/>
        <v>0</v>
      </c>
      <c r="CB69" s="345">
        <f t="shared" si="561"/>
        <v>0</v>
      </c>
      <c r="CC69" s="35">
        <f>CC274</f>
        <v>-2.0593098167603414E-2</v>
      </c>
      <c r="CD69" s="35">
        <f t="shared" si="562"/>
        <v>-1.8934734356817255E-2</v>
      </c>
      <c r="CE69" s="35">
        <f t="shared" si="562"/>
        <v>-1.7666541793763323E-2</v>
      </c>
      <c r="CF69" s="35">
        <f t="shared" si="562"/>
        <v>3.2717306039679706E-2</v>
      </c>
      <c r="CG69" s="35">
        <f t="shared" si="562"/>
        <v>3.3170997678882298E-2</v>
      </c>
      <c r="CH69" s="35">
        <f t="shared" si="562"/>
        <v>2.9528205568246566E-2</v>
      </c>
      <c r="CI69" s="35">
        <f t="shared" si="562"/>
        <v>1.5938233077262959E-2</v>
      </c>
      <c r="CJ69" s="35">
        <f t="shared" si="562"/>
        <v>6.0429079306672011E-2</v>
      </c>
      <c r="CK69" s="35">
        <f t="shared" si="562"/>
        <v>5.6161906384661425E-2</v>
      </c>
      <c r="CL69" s="35">
        <f t="shared" si="562"/>
        <v>4.5468666520464128E-2</v>
      </c>
      <c r="CM69" s="37">
        <f t="shared" si="562"/>
        <v>4.184142738283305E-2</v>
      </c>
      <c r="CN69" s="37">
        <f t="shared" si="562"/>
        <v>4.6962599326699273E-2</v>
      </c>
      <c r="CO69" s="37">
        <f t="shared" si="562"/>
        <v>3.5868484474145666E-2</v>
      </c>
      <c r="CP69" s="37">
        <f t="shared" si="562"/>
        <v>2.771442688271394E-2</v>
      </c>
      <c r="CQ69" s="37">
        <f t="shared" si="562"/>
        <v>4.2710639972863049E-2</v>
      </c>
      <c r="CR69" s="37">
        <f t="shared" si="563"/>
        <v>4.480852748014999E-2</v>
      </c>
      <c r="CS69" s="37">
        <f t="shared" si="563"/>
        <v>3.8594509085023675E-2</v>
      </c>
      <c r="CT69" s="37">
        <f t="shared" ref="CT69:CU69" si="607">CT274</f>
        <v>3.2715037294787329E-2</v>
      </c>
      <c r="CU69" s="37">
        <f t="shared" si="607"/>
        <v>3.6532874550111859E-2</v>
      </c>
      <c r="CV69" s="37">
        <f t="shared" ref="CV69:CW69" si="608">CV274</f>
        <v>3.7295186606510877E-2</v>
      </c>
      <c r="CW69" s="37">
        <f t="shared" si="608"/>
        <v>2.7769521069047273E-2</v>
      </c>
      <c r="CX69" s="37">
        <f t="shared" ref="CX69" si="609">CX274</f>
        <v>2.0651481572558233E-2</v>
      </c>
      <c r="CY69" s="37">
        <f t="shared" ref="CY69:CZ69" si="610">CY274</f>
        <v>2.6423604129758162E-2</v>
      </c>
      <c r="CZ69" s="36">
        <f t="shared" si="610"/>
        <v>0</v>
      </c>
      <c r="DA69" s="35">
        <f t="shared" ref="DA69:DB69" si="611">DA274</f>
        <v>0</v>
      </c>
      <c r="DB69" s="35">
        <f t="shared" si="611"/>
        <v>0</v>
      </c>
      <c r="DC69" s="35">
        <f t="shared" ref="DC69" si="612">DC274</f>
        <v>0</v>
      </c>
      <c r="DD69" s="35">
        <f t="shared" si="570"/>
        <v>0</v>
      </c>
      <c r="DE69" s="35">
        <f t="shared" si="570"/>
        <v>0</v>
      </c>
      <c r="DF69" s="35">
        <f t="shared" si="571"/>
        <v>0</v>
      </c>
      <c r="DG69" s="35">
        <f t="shared" si="571"/>
        <v>0</v>
      </c>
      <c r="DH69" s="35">
        <f t="shared" ref="DH69" si="613">DH274</f>
        <v>0</v>
      </c>
      <c r="DI69" s="35">
        <f t="shared" ref="DI69" si="614">DI274</f>
        <v>0</v>
      </c>
    </row>
    <row r="70" spans="1:113" ht="12" hidden="1" outlineLevel="2">
      <c r="A70" s="1" t="s">
        <v>872</v>
      </c>
      <c r="B70" s="15" t="s">
        <v>220</v>
      </c>
      <c r="C70" s="375">
        <f>VLOOKUP($A70,[1]Sheet1!$2:$65479,MATCH(C$3,[1]Sheet1!$2:$2,0),FALSE)</f>
        <v>1.8730193848851322E-2</v>
      </c>
      <c r="D70" s="375">
        <f>VLOOKUP($A70,[1]Sheet1!$2:$65479,MATCH(D$3,[1]Sheet1!$2:$2,0),FALSE)</f>
        <v>2.1581375229213023E-2</v>
      </c>
      <c r="E70" s="375">
        <f>VLOOKUP($A70,[1]Sheet1!$2:$65479,MATCH(E$3,[1]Sheet1!$2:$2,0),FALSE)</f>
        <v>1.8717203925846228E-2</v>
      </c>
      <c r="F70" s="375">
        <f>VLOOKUP($A70,[1]Sheet1!$2:$65479,MATCH(F$3,[1]Sheet1!$2:$2,0),FALSE)</f>
        <v>2.1694437593833563E-2</v>
      </c>
      <c r="G70" s="375">
        <f>VLOOKUP($A70,[1]Sheet1!$2:$65479,MATCH(G$3,[1]Sheet1!$2:$2,0),FALSE)</f>
        <v>2.1055072497303456E-2</v>
      </c>
      <c r="H70" s="375">
        <f>VLOOKUP($A70,[1]Sheet1!$2:$65479,MATCH(H$3,[1]Sheet1!$2:$2,0),FALSE)</f>
        <v>1.4999862262611366E-2</v>
      </c>
      <c r="I70" s="375">
        <f>VLOOKUP($A70,[1]Sheet1!$2:$65479,MATCH(I$3,[1]Sheet1!$2:$2,0),FALSE)</f>
        <v>1.5766950521205317E-2</v>
      </c>
      <c r="J70" s="375">
        <f>VLOOKUP($A70,[1]Sheet1!$2:$65479,MATCH(J$3,[1]Sheet1!$2:$2,0),FALSE)</f>
        <v>1.4347605755451902E-2</v>
      </c>
      <c r="K70" s="375">
        <f>VLOOKUP($A70,[1]Sheet1!$2:$65479,MATCH(K$3,[1]Sheet1!$2:$2,0),FALSE)</f>
        <v>1.4931058796965616E-2</v>
      </c>
      <c r="L70" s="375">
        <f>VLOOKUP($A70,[1]Sheet1!$2:$65479,MATCH(L$3,[1]Sheet1!$2:$2,0),FALSE)</f>
        <v>1.4859737964153887E-2</v>
      </c>
      <c r="M70" s="149">
        <f>VLOOKUP($A70,[1]Sheet1!$2:$65479,MATCH(M$3,[1]Sheet1!$2:$2,0),FALSE)</f>
        <v>1.2057686892376289E-2</v>
      </c>
      <c r="N70" s="149">
        <f>VLOOKUP($A70,[1]Sheet1!$2:$65479,MATCH(N$3,[1]Sheet1!$2:$2,0),FALSE)</f>
        <v>1.0756606695925555E-2</v>
      </c>
      <c r="O70" s="149">
        <f>VLOOKUP($A70,[1]Sheet1!$2:$65479,MATCH(O$3,[1]Sheet1!$2:$2,0),FALSE)</f>
        <v>8.6252253791488515E-3</v>
      </c>
      <c r="P70" s="149">
        <f>VLOOKUP($A70,[1]Sheet1!$2:$65479,MATCH(P$3,[1]Sheet1!$2:$2,0),FALSE)</f>
        <v>7.9901286428591192E-3</v>
      </c>
      <c r="Q70" s="149">
        <f>VLOOKUP($A70,[1]Sheet1!$2:$65479,MATCH(Q$3,[1]Sheet1!$2:$2,0),FALSE)</f>
        <v>1.5817441263599179E-2</v>
      </c>
      <c r="R70" s="149">
        <f>VLOOKUP($A70,[1]Sheet1!$2:$65479,MATCH(R$3,[1]Sheet1!$2:$2,0),FALSE)</f>
        <v>4.6217900993245145E-2</v>
      </c>
      <c r="S70" s="149">
        <f>VLOOKUP($A70,[1]Sheet1!$2:$65479,MATCH(S$3,[1]Sheet1!$2:$2,0),FALSE)</f>
        <v>4.9068265320456383E-2</v>
      </c>
      <c r="T70" s="149">
        <f>VLOOKUP($A70,[1]Sheet1!$2:$65479,MATCH(T$3,[1]Sheet1!$2:$2,0),FALSE)</f>
        <v>4.4920333623463371E-2</v>
      </c>
      <c r="U70" s="149">
        <f>VLOOKUP($A70,[1]Sheet1!$2:$65479,MATCH(U$3,[1]Sheet1!$2:$2,0),FALSE)</f>
        <v>4.5912143564777935E-2</v>
      </c>
      <c r="V70" s="149">
        <f>VLOOKUP($A70,[1]Sheet1!$2:$65479,MATCH(V$3,[1]Sheet1!$2:$2,0),FALSE)</f>
        <v>4.5818906078204741E-2</v>
      </c>
      <c r="W70" s="149">
        <f>VLOOKUP($A70,[1]Sheet1!$2:$65479,MATCH(W$3,[1]Sheet1!$2:$2,0),FALSE)</f>
        <v>4.5951908405942099E-2</v>
      </c>
      <c r="X70" s="149">
        <f>VLOOKUP($A70,[1]Sheet1!$2:$65479,MATCH(X$3,[1]Sheet1!$2:$2,0),FALSE)</f>
        <v>4.9110116765833503E-2</v>
      </c>
      <c r="Y70" s="149">
        <f>VLOOKUP($A70,[1]Sheet1!$2:$65479,MATCH(Y$3,[1]Sheet1!$2:$2,0),FALSE)</f>
        <v>5.602576058690692E-2</v>
      </c>
      <c r="Z70" s="149">
        <f>VLOOKUP($A70,[1]Sheet1!$2:$65479,MATCH(Z$3,[1]Sheet1!$2:$2,0),FALSE)</f>
        <v>5.949526133650658E-2</v>
      </c>
      <c r="AA70" s="149">
        <f>VLOOKUP($A70,[1]Sheet1!$2:$65479,MATCH(AA$3,[1]Sheet1!$2:$2,0),FALSE)</f>
        <v>6.2473165828630009E-2</v>
      </c>
      <c r="AB70" s="149">
        <f>VLOOKUP($A70,[1]Sheet1!$2:$65479,MATCH(AB$3,[1]Sheet1!$2:$2,0),FALSE)</f>
        <v>6.2953191456779869E-2</v>
      </c>
      <c r="AC70" s="149">
        <f>VLOOKUP($A70,[1]Sheet1!$2:$65479,MATCH(AC$3,[1]Sheet1!$2:$2,0),FALSE)</f>
        <v>6.2076962662938634E-2</v>
      </c>
      <c r="AD70" s="149">
        <f>VLOOKUP($A70,[1]Sheet1!$2:$65479,MATCH(AD$3,[1]Sheet1!$2:$2,0),FALSE)</f>
        <v>6.1086688750458557E-2</v>
      </c>
      <c r="AE70" s="149">
        <f>VLOOKUP($A70,[1]Sheet1!$2:$65479,MATCH(AE$3,[1]Sheet1!$2:$2,0),FALSE)</f>
        <v>6.3456004858359144E-2</v>
      </c>
      <c r="AF70" s="149">
        <f>VLOOKUP($A70,[1]Sheet1!$2:$65479,MATCH(AF$3,[1]Sheet1!$2:$2,0),FALSE)</f>
        <v>6.1618824051398541E-2</v>
      </c>
      <c r="AG70" s="149">
        <f>VLOOKUP($A70,[1]Sheet1!$2:$65479,MATCH(AG$3,[1]Sheet1!$2:$2,0),FALSE)</f>
        <v>6.472948790063851E-2</v>
      </c>
      <c r="AH70" s="149">
        <f>VLOOKUP($A70,[1]Sheet1!$2:$65479,MATCH(AH$3,[1]Sheet1!$2:$2,0),FALSE)</f>
        <v>6.6715858764929387E-2</v>
      </c>
      <c r="AI70" s="149">
        <f>VLOOKUP($A70,[1]Sheet1!$2:$65479,MATCH(AI$3,[1]Sheet1!$2:$2,0),FALSE)</f>
        <v>6.4933720663044106E-2</v>
      </c>
      <c r="AJ70" s="149">
        <f>VLOOKUP($A70,[1]Sheet1!$2:$65479,MATCH(AJ$3,[1]Sheet1!$2:$2,0),FALSE)</f>
        <v>6.2643651647930135E-2</v>
      </c>
      <c r="AK70" s="149">
        <f>VLOOKUP($A70,[1]Sheet1!$2:$65479,MATCH(AK$3,[1]Sheet1!$2:$2,0),FALSE)</f>
        <v>6.0102091070292296E-2</v>
      </c>
      <c r="AL70" s="149">
        <f>VLOOKUP($A70,[1]Sheet1!$2:$65479,MATCH(AL$3,[1]Sheet1!$2:$2,0),FALSE)</f>
        <v>6.0771909715954614E-2</v>
      </c>
      <c r="AM70" s="149">
        <f>VLOOKUP($A70,[1]Sheet1!$2:$65479,MATCH(AM$3,[1]Sheet1!$2:$2,0),FALSE)</f>
        <v>6.7964945839474641E-2</v>
      </c>
      <c r="AN70" s="149">
        <f>VLOOKUP($A70,[1]Sheet1!$2:$65479,MATCH(AN$3,[1]Sheet1!$2:$2,0),FALSE)</f>
        <v>6.4651928814098245E-2</v>
      </c>
      <c r="AO70" s="149">
        <f>VLOOKUP($A70,[1]Sheet1!$2:$65479,MATCH(AO$3,[1]Sheet1!$2:$2,0),FALSE)</f>
        <v>6.7364974378858841E-2</v>
      </c>
      <c r="AP70" s="149">
        <f>VLOOKUP($A70,[1]Sheet1!$2:$65479,MATCH(AP$3,[1]Sheet1!$2:$2,0),FALSE)</f>
        <v>6.4945367625723019E-2</v>
      </c>
      <c r="AQ70" s="149">
        <f>VLOOKUP($A70,[1]Sheet1!$2:$65479,MATCH(AQ$3,[1]Sheet1!$2:$2,0),FALSE)</f>
        <v>6.3182258410767342E-2</v>
      </c>
      <c r="AR70" s="149">
        <f>VLOOKUP($A70,[1]Sheet1!$2:$65479,MATCH(AR$3,[1]Sheet1!$2:$2,0),FALSE)</f>
        <v>6.0273743392607299E-2</v>
      </c>
      <c r="AS70" s="149">
        <f>VLOOKUP($A70,[1]Sheet1!$2:$65479,MATCH(AS$3,[1]Sheet1!$2:$2,0),FALSE)</f>
        <v>4.7778298419845988E-2</v>
      </c>
      <c r="AT70" s="149">
        <f>VLOOKUP($A70,[1]Sheet1!$2:$65479,MATCH(AT$3,[1]Sheet1!$2:$2,0),FALSE)</f>
        <v>4.2396244113031729E-2</v>
      </c>
      <c r="AU70" s="149">
        <f>VLOOKUP($A70,[1]Sheet1!$2:$65479,MATCH(AU$3,[1]Sheet1!$2:$2,0),FALSE)</f>
        <v>3.9998182793032432E-2</v>
      </c>
      <c r="AV70" s="149">
        <f>VLOOKUP($A70,[1]Sheet1!$2:$65479,MATCH(AV$3,[1]Sheet1!$2:$2,0),FALSE)</f>
        <v>3.9969301790231088E-2</v>
      </c>
      <c r="AW70" s="149">
        <f>VLOOKUP($A70,[1]Sheet1!$2:$65479,MATCH(AW$3,[1]Sheet1!$2:$2,0),FALSE)</f>
        <v>4.0862480625620173E-2</v>
      </c>
      <c r="AX70" s="149">
        <f>AW70</f>
        <v>4.0862480625620173E-2</v>
      </c>
      <c r="AY70" s="559">
        <f t="shared" ref="AY70:BD70" si="615">AX70+AX80-AY80</f>
        <v>4.7061813958953501E-2</v>
      </c>
      <c r="AZ70" s="248">
        <f t="shared" si="615"/>
        <v>4.53473139589535E-2</v>
      </c>
      <c r="BA70" s="248">
        <f t="shared" si="615"/>
        <v>4.1034813958953503E-2</v>
      </c>
      <c r="BB70" s="248">
        <f t="shared" si="615"/>
        <v>4.1534813958953504E-2</v>
      </c>
      <c r="BC70" s="248">
        <f t="shared" si="615"/>
        <v>4.5284813958953493E-2</v>
      </c>
      <c r="BD70" s="248">
        <f t="shared" si="615"/>
        <v>4.5284813958953493E-2</v>
      </c>
      <c r="BE70" s="248">
        <f t="shared" ref="BE70" si="616">BD70+BD80-BE80</f>
        <v>4.5284813958953493E-2</v>
      </c>
      <c r="BF70" s="248">
        <f t="shared" ref="BF70" si="617">BE70+BE80-BF80</f>
        <v>4.5284813958953493E-2</v>
      </c>
      <c r="BG70" s="248">
        <f t="shared" ref="BG70" si="618">BF70+BF80-BG80</f>
        <v>4.5284813958953493E-2</v>
      </c>
      <c r="BH70" s="248">
        <f t="shared" ref="BH70" si="619">BG70+BG80-BH80</f>
        <v>4.5284813958953493E-2</v>
      </c>
      <c r="BI70" s="248">
        <f t="shared" ref="BI70" si="620">BH70+BH80-BI80</f>
        <v>4.5284813958953493E-2</v>
      </c>
      <c r="BJ70" s="248">
        <f t="shared" ref="BJ70" si="621">BI70+BI80-BJ80</f>
        <v>4.5284813958953493E-2</v>
      </c>
      <c r="BK70" s="248">
        <f t="shared" ref="BK70" si="622">BJ70+BJ80-BK80</f>
        <v>4.5284813958953493E-2</v>
      </c>
      <c r="BL70" s="248">
        <f t="shared" ref="BL70" si="623">BK70+BK80-BL80</f>
        <v>4.5284813958953493E-2</v>
      </c>
      <c r="BM70" s="248">
        <f t="shared" ref="BM70" si="624">BL70+BL80-BM80</f>
        <v>4.5284813958953493E-2</v>
      </c>
      <c r="BN70" s="248">
        <f t="shared" ref="BN70" si="625">BM70+BM80-BN80</f>
        <v>4.5284813958953493E-2</v>
      </c>
      <c r="BO70" s="248">
        <f t="shared" ref="BO70" si="626">BN70+BN80-BO80</f>
        <v>4.5284813958953493E-2</v>
      </c>
      <c r="BP70" s="248">
        <f t="shared" ref="BP70" si="627">BO70+BO80-BP80</f>
        <v>4.5284813958953493E-2</v>
      </c>
      <c r="BQ70" s="248">
        <f t="shared" ref="BQ70" si="628">BP70+BP80-BQ80</f>
        <v>4.5284813958953493E-2</v>
      </c>
      <c r="BR70" s="35"/>
      <c r="BS70" s="345">
        <f t="shared" si="561"/>
        <v>0</v>
      </c>
      <c r="BT70" s="345">
        <f t="shared" si="561"/>
        <v>0</v>
      </c>
      <c r="BU70" s="345">
        <f t="shared" si="561"/>
        <v>0</v>
      </c>
      <c r="BV70" s="345">
        <f t="shared" si="561"/>
        <v>0</v>
      </c>
      <c r="BW70" s="345">
        <f t="shared" si="561"/>
        <v>0</v>
      </c>
      <c r="BX70" s="345">
        <f t="shared" si="561"/>
        <v>0</v>
      </c>
      <c r="BY70" s="345">
        <f t="shared" si="561"/>
        <v>0</v>
      </c>
      <c r="BZ70" s="345">
        <f t="shared" si="561"/>
        <v>0</v>
      </c>
      <c r="CA70" s="345">
        <f t="shared" si="561"/>
        <v>0</v>
      </c>
      <c r="CB70" s="345">
        <f t="shared" si="561"/>
        <v>0</v>
      </c>
      <c r="CC70" s="35">
        <f>CC275</f>
        <v>2.0110239865575644E-2</v>
      </c>
      <c r="CD70" s="35">
        <f t="shared" si="562"/>
        <v>2.1369957463882157E-2</v>
      </c>
      <c r="CE70" s="35">
        <f t="shared" si="562"/>
        <v>1.5388808463728369E-2</v>
      </c>
      <c r="CF70" s="35">
        <f t="shared" si="562"/>
        <v>1.4654934207252095E-2</v>
      </c>
      <c r="CG70" s="35">
        <f t="shared" si="562"/>
        <v>1.3467078375114794E-2</v>
      </c>
      <c r="CH70" s="35">
        <f t="shared" si="562"/>
        <v>9.758593523504033E-3</v>
      </c>
      <c r="CI70" s="35">
        <f t="shared" si="562"/>
        <v>1.1125737184274542E-2</v>
      </c>
      <c r="CJ70" s="35">
        <f t="shared" si="562"/>
        <v>4.6982496353034801E-2</v>
      </c>
      <c r="CK70" s="35">
        <f t="shared" si="562"/>
        <v>4.6018124383388558E-2</v>
      </c>
      <c r="CL70" s="35">
        <f t="shared" si="562"/>
        <v>4.584129118644039E-2</v>
      </c>
      <c r="CM70" s="37">
        <f t="shared" si="562"/>
        <v>5.2793264095931131E-2</v>
      </c>
      <c r="CN70" s="37">
        <f t="shared" si="562"/>
        <v>6.1234108705043241E-2</v>
      </c>
      <c r="CO70" s="37">
        <f t="shared" si="562"/>
        <v>6.1855813123152172E-2</v>
      </c>
      <c r="CP70" s="37">
        <f t="shared" si="562"/>
        <v>6.3447030909214081E-2</v>
      </c>
      <c r="CQ70" s="37">
        <f t="shared" si="562"/>
        <v>6.364330019531704E-2</v>
      </c>
      <c r="CR70" s="37">
        <f t="shared" si="563"/>
        <v>6.6158657687922673E-2</v>
      </c>
      <c r="CS70" s="37">
        <f t="shared" si="563"/>
        <v>6.2076239294287842E-2</v>
      </c>
      <c r="CT70" s="37">
        <f t="shared" ref="CT70:CU70" si="629">CT275</f>
        <v>6.4891077420056814E-2</v>
      </c>
      <c r="CU70" s="37">
        <f t="shared" si="629"/>
        <v>6.7349428723792404E-2</v>
      </c>
      <c r="CV70" s="37">
        <f t="shared" ref="CV70:CW70" si="630">CV275</f>
        <v>6.5951600961950282E-2</v>
      </c>
      <c r="CW70" s="37">
        <f t="shared" si="630"/>
        <v>5.4058545938163394E-2</v>
      </c>
      <c r="CX70" s="37">
        <f t="shared" ref="CX70" si="631">CX275</f>
        <v>4.1216388450939979E-2</v>
      </c>
      <c r="CY70" s="37">
        <f t="shared" ref="CY70:CZ70" si="632">CY275</f>
        <v>4.0410685303745829E-2</v>
      </c>
      <c r="CZ70" s="36">
        <f t="shared" si="632"/>
        <v>0</v>
      </c>
      <c r="DA70" s="35">
        <f t="shared" ref="DA70:DB70" si="633">DA275</f>
        <v>0</v>
      </c>
      <c r="DB70" s="35">
        <f t="shared" si="633"/>
        <v>0</v>
      </c>
      <c r="DC70" s="35">
        <f t="shared" ref="DC70" si="634">DC275</f>
        <v>0</v>
      </c>
      <c r="DD70" s="35">
        <f t="shared" si="570"/>
        <v>0</v>
      </c>
      <c r="DE70" s="35">
        <f t="shared" si="570"/>
        <v>0</v>
      </c>
      <c r="DF70" s="35">
        <f t="shared" si="571"/>
        <v>0</v>
      </c>
      <c r="DG70" s="35">
        <f t="shared" si="571"/>
        <v>0</v>
      </c>
      <c r="DH70" s="35">
        <f t="shared" ref="DH70" si="635">DH275</f>
        <v>0</v>
      </c>
      <c r="DI70" s="35">
        <f t="shared" ref="DI70" si="636">DI275</f>
        <v>0</v>
      </c>
    </row>
    <row r="71" spans="1:113" ht="12" hidden="1" outlineLevel="2">
      <c r="A71" s="1" t="s">
        <v>873</v>
      </c>
      <c r="B71" s="15" t="s">
        <v>442</v>
      </c>
      <c r="C71" s="345">
        <f>C276</f>
        <v>1.0799014835632822E-2</v>
      </c>
      <c r="D71" s="345">
        <f>D276</f>
        <v>1.2096224870919617E-2</v>
      </c>
      <c r="E71" s="345">
        <f>E276</f>
        <v>8.7818964619599191E-3</v>
      </c>
      <c r="F71" s="345">
        <f t="shared" ref="F71:L71" si="637">F276</f>
        <v>1.0680498964137544E-2</v>
      </c>
      <c r="G71" s="345">
        <f t="shared" si="637"/>
        <v>1.0674358454017957E-2</v>
      </c>
      <c r="H71" s="345">
        <f t="shared" si="637"/>
        <v>6.5110275201123308E-3</v>
      </c>
      <c r="I71" s="345">
        <f t="shared" si="637"/>
        <v>8.3344571653308289E-3</v>
      </c>
      <c r="J71" s="345">
        <f t="shared" si="637"/>
        <v>1.5149004384324267E-2</v>
      </c>
      <c r="K71" s="345">
        <f t="shared" si="637"/>
        <v>1.614745208897056E-2</v>
      </c>
      <c r="L71" s="345">
        <f t="shared" si="637"/>
        <v>1.5989899786079668E-2</v>
      </c>
      <c r="M71" s="35">
        <f t="shared" ref="M71:T71" si="638">M276</f>
        <v>1.3601955595472663E-2</v>
      </c>
      <c r="N71" s="35">
        <f t="shared" si="638"/>
        <v>1.3556431492332641E-2</v>
      </c>
      <c r="O71" s="35">
        <f t="shared" si="638"/>
        <v>1.3056420326036683E-2</v>
      </c>
      <c r="P71" s="35">
        <f t="shared" si="638"/>
        <v>9.7725515941675112E-3</v>
      </c>
      <c r="Q71" s="35">
        <f t="shared" si="638"/>
        <v>1.1919090067389948E-2</v>
      </c>
      <c r="R71" s="35">
        <f t="shared" si="638"/>
        <v>2.9570974764665185E-2</v>
      </c>
      <c r="S71" s="35">
        <f t="shared" si="638"/>
        <v>2.8267506640147863E-2</v>
      </c>
      <c r="T71" s="37">
        <f t="shared" si="638"/>
        <v>2.58959033427743E-2</v>
      </c>
      <c r="U71" s="35">
        <f t="shared" ref="U71:Z71" si="639">U276</f>
        <v>2.6844417378476981E-2</v>
      </c>
      <c r="V71" s="35">
        <f t="shared" si="639"/>
        <v>2.6875642475935824E-2</v>
      </c>
      <c r="W71" s="35">
        <f t="shared" si="639"/>
        <v>2.7924854079806424E-2</v>
      </c>
      <c r="X71" s="35">
        <f t="shared" si="639"/>
        <v>2.8498402715238312E-2</v>
      </c>
      <c r="Y71" s="37">
        <f t="shared" si="639"/>
        <v>3.1538111072528872E-2</v>
      </c>
      <c r="Z71" s="37">
        <f t="shared" si="639"/>
        <v>3.2162481387400951E-2</v>
      </c>
      <c r="AA71" s="37">
        <f>AA276</f>
        <v>3.1185689277531448E-2</v>
      </c>
      <c r="AB71" s="37">
        <f>AB276</f>
        <v>2.9608532080723317E-2</v>
      </c>
      <c r="AC71" s="37">
        <f>AC276</f>
        <v>2.7787810544885258E-2</v>
      </c>
      <c r="AD71" s="37">
        <f>AD276</f>
        <v>2.6995944981765416E-2</v>
      </c>
      <c r="AE71" s="37">
        <f>AE276</f>
        <v>2.7313269320393976E-2</v>
      </c>
      <c r="AF71" s="37">
        <f t="shared" ref="AF71:AG71" si="640">AF276</f>
        <v>2.9115882536199233E-2</v>
      </c>
      <c r="AG71" s="37">
        <f t="shared" si="640"/>
        <v>3.1234375336097228E-2</v>
      </c>
      <c r="AH71" s="37">
        <f t="shared" ref="AH71:AI71" si="641">AH276</f>
        <v>3.0458539490212534E-2</v>
      </c>
      <c r="AI71" s="37">
        <f t="shared" si="641"/>
        <v>3.1247743885648754E-2</v>
      </c>
      <c r="AJ71" s="37">
        <f t="shared" ref="AJ71:AK71" si="642">AJ276</f>
        <v>2.9868169909324963E-2</v>
      </c>
      <c r="AK71" s="37">
        <f t="shared" si="642"/>
        <v>2.7438940975522422E-2</v>
      </c>
      <c r="AL71" s="37">
        <f t="shared" ref="AL71:AM71" si="643">AL276</f>
        <v>2.7890114442393425E-2</v>
      </c>
      <c r="AM71" s="37">
        <f t="shared" si="643"/>
        <v>3.1784394450643585E-2</v>
      </c>
      <c r="AN71" s="37">
        <f t="shared" ref="AN71:AO71" si="644">AN276</f>
        <v>3.189226837003685E-2</v>
      </c>
      <c r="AO71" s="37">
        <f t="shared" si="644"/>
        <v>3.1660849546902951E-2</v>
      </c>
      <c r="AP71" s="37">
        <f t="shared" ref="AP71:AQ71" si="645">AP276</f>
        <v>3.2016748247669091E-2</v>
      </c>
      <c r="AQ71" s="37">
        <f t="shared" si="645"/>
        <v>3.1439771051583472E-2</v>
      </c>
      <c r="AR71" s="37">
        <f t="shared" ref="AR71:AS71" si="646">AR276</f>
        <v>2.9548488136418267E-2</v>
      </c>
      <c r="AS71" s="37">
        <f t="shared" si="646"/>
        <v>2.0267701464854789E-2</v>
      </c>
      <c r="AT71" s="37">
        <f t="shared" ref="AT71" si="647">AT276</f>
        <v>2.1475729725741785E-2</v>
      </c>
      <c r="AU71" s="37">
        <f t="shared" ref="AU71" si="648">AU276</f>
        <v>2.1030698732267171E-2</v>
      </c>
      <c r="AV71" s="37">
        <f t="shared" ref="AV71:BB71" si="649">AV276</f>
        <v>2.2372128774140264E-2</v>
      </c>
      <c r="AW71" s="37">
        <f t="shared" ref="AW71:AX71" si="650">AW276</f>
        <v>2.2502629237401317E-2</v>
      </c>
      <c r="AX71" s="37">
        <f t="shared" si="650"/>
        <v>2.3874164804001397E-2</v>
      </c>
      <c r="AY71" s="36">
        <f t="shared" si="649"/>
        <v>0</v>
      </c>
      <c r="AZ71" s="35">
        <f t="shared" ref="AZ71:BA71" si="651">AZ276</f>
        <v>0</v>
      </c>
      <c r="BA71" s="35">
        <f t="shared" si="651"/>
        <v>0</v>
      </c>
      <c r="BB71" s="35">
        <f t="shared" si="649"/>
        <v>0</v>
      </c>
      <c r="BC71" s="35">
        <f t="shared" ref="BC71:BD71" si="652">BC276</f>
        <v>0</v>
      </c>
      <c r="BD71" s="35">
        <f t="shared" si="652"/>
        <v>0</v>
      </c>
      <c r="BE71" s="35">
        <f t="shared" ref="BE71:BM71" si="653">BE276</f>
        <v>0</v>
      </c>
      <c r="BF71" s="35">
        <f t="shared" ref="BF71:BI71" si="654">BF276</f>
        <v>0</v>
      </c>
      <c r="BG71" s="35">
        <f t="shared" si="654"/>
        <v>0</v>
      </c>
      <c r="BH71" s="35">
        <f t="shared" si="654"/>
        <v>0</v>
      </c>
      <c r="BI71" s="35">
        <f t="shared" si="654"/>
        <v>0</v>
      </c>
      <c r="BJ71" s="35">
        <f t="shared" si="653"/>
        <v>0</v>
      </c>
      <c r="BK71" s="35">
        <f t="shared" si="653"/>
        <v>0</v>
      </c>
      <c r="BL71" s="35">
        <f t="shared" si="653"/>
        <v>0</v>
      </c>
      <c r="BM71" s="35">
        <f t="shared" si="653"/>
        <v>0</v>
      </c>
      <c r="BN71" s="35">
        <f t="shared" ref="BN71:BO71" si="655">BN276</f>
        <v>0</v>
      </c>
      <c r="BO71" s="35">
        <f t="shared" si="655"/>
        <v>0</v>
      </c>
      <c r="BP71" s="35">
        <f t="shared" ref="BP71:BQ71" si="656">BP276</f>
        <v>0</v>
      </c>
      <c r="BQ71" s="35">
        <f t="shared" si="656"/>
        <v>0</v>
      </c>
      <c r="BR71" s="35"/>
      <c r="BS71" s="345">
        <f t="shared" si="561"/>
        <v>4.0593433758443237E-2</v>
      </c>
      <c r="BT71" s="345">
        <f t="shared" si="561"/>
        <v>4.1501710730948667E-2</v>
      </c>
      <c r="BU71" s="345">
        <f t="shared" si="561"/>
        <v>3.6576702466333419E-2</v>
      </c>
      <c r="BV71" s="345">
        <f t="shared" si="561"/>
        <v>2.311615838227303E-2</v>
      </c>
      <c r="BW71" s="345">
        <f t="shared" si="561"/>
        <v>2.8197670439234698E-2</v>
      </c>
      <c r="BX71" s="345">
        <f t="shared" si="561"/>
        <v>3.123718209905825E-2</v>
      </c>
      <c r="BY71" s="345">
        <f t="shared" si="561"/>
        <v>2.6742967124955601E-2</v>
      </c>
      <c r="BZ71" s="345">
        <f t="shared" si="561"/>
        <v>2.2922166708783984E-2</v>
      </c>
      <c r="CA71" s="345">
        <f t="shared" si="561"/>
        <v>1.5860475072529266E-2</v>
      </c>
      <c r="CB71" s="345">
        <f t="shared" si="561"/>
        <v>2.0184645221486615E-2</v>
      </c>
      <c r="CC71" s="35">
        <f t="shared" ref="CC71:CI71" si="657">CC276</f>
        <v>1.040488067007268E-2</v>
      </c>
      <c r="CD71" s="35">
        <f t="shared" si="657"/>
        <v>1.0679233699707278E-2</v>
      </c>
      <c r="CE71" s="35">
        <f t="shared" si="657"/>
        <v>7.4508988414793229E-3</v>
      </c>
      <c r="CF71" s="35">
        <f t="shared" si="657"/>
        <v>1.5666712215692182E-2</v>
      </c>
      <c r="CG71" s="35">
        <f t="shared" si="657"/>
        <v>1.4723151952071309E-2</v>
      </c>
      <c r="CH71" s="35">
        <f t="shared" si="657"/>
        <v>1.3299567308302642E-2</v>
      </c>
      <c r="CI71" s="35">
        <f t="shared" si="657"/>
        <v>1.0883456278603616E-2</v>
      </c>
      <c r="CJ71" s="35">
        <f t="shared" si="562"/>
        <v>2.892169885348218E-2</v>
      </c>
      <c r="CK71" s="35">
        <f t="shared" si="562"/>
        <v>2.6342801831305669E-2</v>
      </c>
      <c r="CL71" s="35">
        <f t="shared" si="562"/>
        <v>2.7407871467632839E-2</v>
      </c>
      <c r="CM71" s="37">
        <f t="shared" si="562"/>
        <v>3.0051130095377451E-2</v>
      </c>
      <c r="CN71" s="37">
        <f t="shared" si="562"/>
        <v>3.1750794087944532E-2</v>
      </c>
      <c r="CO71" s="37">
        <f t="shared" si="562"/>
        <v>2.8669915636867906E-2</v>
      </c>
      <c r="CP71" s="37">
        <f t="shared" si="562"/>
        <v>2.7242956966693595E-2</v>
      </c>
      <c r="CQ71" s="37">
        <f t="shared" si="562"/>
        <v>3.018257984341614E-2</v>
      </c>
      <c r="CR71" s="37">
        <f t="shared" si="563"/>
        <v>3.0857854451258718E-2</v>
      </c>
      <c r="CS71" s="37">
        <f t="shared" si="563"/>
        <v>2.8639996079983947E-2</v>
      </c>
      <c r="CT71" s="37">
        <f t="shared" ref="CT71:CU71" si="658">CT276</f>
        <v>2.9840936456549373E-2</v>
      </c>
      <c r="CU71" s="37">
        <f t="shared" si="658"/>
        <v>3.1775610697675927E-2</v>
      </c>
      <c r="CV71" s="37">
        <f t="shared" ref="CV71:CW71" si="659">CV276</f>
        <v>3.173083697916209E-2</v>
      </c>
      <c r="CW71" s="37">
        <f t="shared" si="659"/>
        <v>2.4848917410936019E-2</v>
      </c>
      <c r="CX71" s="37">
        <f t="shared" ref="CX71" si="660">CX276</f>
        <v>2.1252156858924679E-2</v>
      </c>
      <c r="CY71" s="37">
        <f t="shared" ref="CY71:CZ71" si="661">CY276</f>
        <v>2.243996995138918E-2</v>
      </c>
      <c r="CZ71" s="36">
        <f t="shared" si="661"/>
        <v>0</v>
      </c>
      <c r="DA71" s="35">
        <f t="shared" ref="DA71:DB71" si="662">DA276</f>
        <v>0</v>
      </c>
      <c r="DB71" s="35">
        <f t="shared" si="662"/>
        <v>0</v>
      </c>
      <c r="DC71" s="35">
        <f t="shared" ref="DC71" si="663">DC276</f>
        <v>0</v>
      </c>
      <c r="DD71" s="35">
        <f t="shared" si="570"/>
        <v>0</v>
      </c>
      <c r="DE71" s="35">
        <f t="shared" si="570"/>
        <v>0</v>
      </c>
      <c r="DF71" s="35">
        <f t="shared" si="571"/>
        <v>0</v>
      </c>
      <c r="DG71" s="35">
        <f t="shared" si="571"/>
        <v>0</v>
      </c>
      <c r="DH71" s="35">
        <f t="shared" ref="DH71" si="664">DH276</f>
        <v>0</v>
      </c>
      <c r="DI71" s="35">
        <f t="shared" ref="DI71" si="665">DI276</f>
        <v>0</v>
      </c>
    </row>
    <row r="72" spans="1:113" ht="12" hidden="1" outlineLevel="2">
      <c r="A72" s="1" t="s">
        <v>874</v>
      </c>
      <c r="B72" s="15" t="s">
        <v>365</v>
      </c>
      <c r="C72" s="345">
        <f t="shared" ref="C72:L74" si="666">C299</f>
        <v>4.8563833333333327E-2</v>
      </c>
      <c r="D72" s="345">
        <f t="shared" si="666"/>
        <v>4.3449999999999996E-2</v>
      </c>
      <c r="E72" s="345">
        <f t="shared" si="666"/>
        <v>4.9258500000000004E-2</v>
      </c>
      <c r="F72" s="345">
        <f t="shared" si="666"/>
        <v>4.8122166666666667E-2</v>
      </c>
      <c r="G72" s="345">
        <f t="shared" si="666"/>
        <v>4.7991666666666676E-2</v>
      </c>
      <c r="H72" s="345">
        <f t="shared" si="666"/>
        <v>5.4583333333333331E-2</v>
      </c>
      <c r="I72" s="345">
        <f t="shared" si="666"/>
        <v>5.4836000000000003E-2</v>
      </c>
      <c r="J72" s="345">
        <f t="shared" si="666"/>
        <v>5.5772166666666657E-2</v>
      </c>
      <c r="K72" s="345">
        <f t="shared" si="666"/>
        <v>5.662233333333333E-2</v>
      </c>
      <c r="L72" s="345">
        <f t="shared" si="666"/>
        <v>1.946405533535376E-2</v>
      </c>
      <c r="M72" s="35">
        <f t="shared" ref="M72:Y74" si="667">M299</f>
        <v>2.0749579527531849E-2</v>
      </c>
      <c r="N72" s="35">
        <f t="shared" si="667"/>
        <v>2.0566142222473369E-2</v>
      </c>
      <c r="O72" s="35">
        <f t="shared" si="667"/>
        <v>2.0857142660086689E-2</v>
      </c>
      <c r="P72" s="35">
        <f t="shared" si="667"/>
        <v>2.4276739490330088E-2</v>
      </c>
      <c r="Q72" s="35">
        <f t="shared" si="667"/>
        <v>2.3334815235573639E-2</v>
      </c>
      <c r="R72" s="35">
        <f t="shared" si="667"/>
        <v>8.493116130157477E-3</v>
      </c>
      <c r="S72" s="35">
        <f t="shared" si="667"/>
        <v>7.6580432699098443E-3</v>
      </c>
      <c r="T72" s="37">
        <f t="shared" si="667"/>
        <v>1.1963761843916065E-2</v>
      </c>
      <c r="U72" s="35">
        <f t="shared" si="667"/>
        <v>1.321197834030232E-2</v>
      </c>
      <c r="V72" s="35">
        <f t="shared" si="667"/>
        <v>1.2163559486265567E-2</v>
      </c>
      <c r="W72" s="35">
        <f t="shared" si="667"/>
        <v>1.0319551821631821E-2</v>
      </c>
      <c r="X72" s="35">
        <f t="shared" si="667"/>
        <v>7.6950199330096739E-3</v>
      </c>
      <c r="Y72" s="37">
        <f t="shared" si="667"/>
        <v>3.07308746148513E-3</v>
      </c>
      <c r="Z72" s="37">
        <f t="shared" ref="Z72:AA74" si="668">Z299</f>
        <v>1.5483410953176582E-3</v>
      </c>
      <c r="AA72" s="37">
        <f t="shared" si="668"/>
        <v>5.3896169039461123E-3</v>
      </c>
      <c r="AB72" s="37">
        <f t="shared" ref="AB72:AC72" si="669">AB299</f>
        <v>4.5905661759496896E-3</v>
      </c>
      <c r="AC72" s="37">
        <f t="shared" si="669"/>
        <v>4.5461613111117301E-3</v>
      </c>
      <c r="AD72" s="37">
        <f t="shared" ref="AD72:AE72" si="670">AD299</f>
        <v>2.5123844103106001E-3</v>
      </c>
      <c r="AE72" s="37">
        <f t="shared" si="670"/>
        <v>1.0222306898509141E-3</v>
      </c>
      <c r="AF72" s="37">
        <f t="shared" ref="AF72:AG72" si="671">AF299</f>
        <v>3.2092916677265567E-3</v>
      </c>
      <c r="AG72" s="37">
        <f t="shared" si="671"/>
        <v>2.0984117557833496E-3</v>
      </c>
      <c r="AH72" s="37">
        <f t="shared" ref="AH72:AI72" si="672">AH299</f>
        <v>2.1496448146941299E-3</v>
      </c>
      <c r="AI72" s="37">
        <f t="shared" si="672"/>
        <v>2.3068330894004162E-3</v>
      </c>
      <c r="AJ72" s="37">
        <f t="shared" ref="AJ72:AK72" si="673">AJ299</f>
        <v>1.9130392695417752E-3</v>
      </c>
      <c r="AK72" s="37">
        <f t="shared" si="673"/>
        <v>3.7504711744993759E-3</v>
      </c>
      <c r="AL72" s="37">
        <f t="shared" ref="AL72:AM72" si="674">AL299</f>
        <v>3.0681476311746354E-3</v>
      </c>
      <c r="AM72" s="37">
        <f t="shared" si="674"/>
        <v>-2.0323790801516483E-3</v>
      </c>
      <c r="AN72" s="37">
        <f t="shared" ref="AN72:AO72" si="675">AN299</f>
        <v>-3.1538515448611953E-3</v>
      </c>
      <c r="AO72" s="37">
        <f t="shared" si="675"/>
        <v>-6.4160736057021581E-3</v>
      </c>
      <c r="AP72" s="37">
        <f t="shared" ref="AP72:AQ72" si="676">AP299</f>
        <v>-6.2705674881466241E-3</v>
      </c>
      <c r="AQ72" s="37">
        <f t="shared" si="676"/>
        <v>-5.7609346425245159E-3</v>
      </c>
      <c r="AR72" s="37">
        <f t="shared" ref="AR72:AS72" si="677">AR299</f>
        <v>-5.3515576941729412E-3</v>
      </c>
      <c r="AS72" s="37">
        <f t="shared" si="677"/>
        <v>5.5185250802401017E-3</v>
      </c>
      <c r="AT72" s="37">
        <f t="shared" ref="AT72:AV72" si="678">AT299</f>
        <v>7.6898431544754862E-3</v>
      </c>
      <c r="AU72" s="37">
        <f t="shared" si="678"/>
        <v>6.8603970266314374E-3</v>
      </c>
      <c r="AV72" s="37">
        <f t="shared" si="678"/>
        <v>4.8672300611491554E-3</v>
      </c>
      <c r="AW72" s="37">
        <f t="shared" ref="AW72:AX72" si="679">AW299</f>
        <v>4.2358388522350174E-3</v>
      </c>
      <c r="AX72" s="37">
        <f t="shared" si="679"/>
        <v>-1.7790398962074377E-3</v>
      </c>
      <c r="AY72" s="36">
        <f t="shared" ref="AY72" si="680">AX72</f>
        <v>-1.7790398962074377E-3</v>
      </c>
      <c r="AZ72" s="34">
        <f t="shared" ref="AZ72" si="681">AY72</f>
        <v>-1.7790398962074377E-3</v>
      </c>
      <c r="BA72" s="34">
        <f t="shared" ref="BA72" si="682">AZ72</f>
        <v>-1.7790398962074377E-3</v>
      </c>
      <c r="BB72" s="34">
        <f t="shared" si="576"/>
        <v>-1.7790398962074377E-3</v>
      </c>
      <c r="BC72" s="34">
        <f t="shared" si="576"/>
        <v>-1.7790398962074377E-3</v>
      </c>
      <c r="BD72" s="34">
        <f t="shared" si="576"/>
        <v>-1.7790398962074377E-3</v>
      </c>
      <c r="BE72" s="34">
        <f t="shared" ref="BE72:BE73" si="683">BD72</f>
        <v>-1.7790398962074377E-3</v>
      </c>
      <c r="BF72" s="34">
        <f t="shared" ref="BF72:BF73" si="684">BE72</f>
        <v>-1.7790398962074377E-3</v>
      </c>
      <c r="BG72" s="34">
        <f t="shared" ref="BG72:BG73" si="685">BF72</f>
        <v>-1.7790398962074377E-3</v>
      </c>
      <c r="BH72" s="34">
        <f t="shared" ref="BH72:BH73" si="686">BG72</f>
        <v>-1.7790398962074377E-3</v>
      </c>
      <c r="BI72" s="34">
        <f t="shared" ref="BI72:BI73" si="687">BH72</f>
        <v>-1.7790398962074377E-3</v>
      </c>
      <c r="BJ72" s="34">
        <f t="shared" ref="BJ72:BJ73" si="688">BI72</f>
        <v>-1.7790398962074377E-3</v>
      </c>
      <c r="BK72" s="34">
        <f t="shared" ref="BK72:BK73" si="689">BJ72</f>
        <v>-1.7790398962074377E-3</v>
      </c>
      <c r="BL72" s="34">
        <f t="shared" ref="BL72:BL73" si="690">BK72</f>
        <v>-1.7790398962074377E-3</v>
      </c>
      <c r="BM72" s="34">
        <f t="shared" ref="BM72:BM73" si="691">BL72</f>
        <v>-1.7790398962074377E-3</v>
      </c>
      <c r="BN72" s="34">
        <f t="shared" ref="BN72:BN73" si="692">BM72</f>
        <v>-1.7790398962074377E-3</v>
      </c>
      <c r="BO72" s="34">
        <f t="shared" ref="BO72:BO73" si="693">BN72</f>
        <v>-1.7790398962074377E-3</v>
      </c>
      <c r="BP72" s="34">
        <f t="shared" ref="BP72:BP73" si="694">BO72</f>
        <v>-1.7790398962074377E-3</v>
      </c>
      <c r="BQ72" s="34">
        <f t="shared" ref="BQ72:BQ73" si="695">BP72</f>
        <v>-1.7790398962074377E-3</v>
      </c>
      <c r="BR72" s="35"/>
      <c r="BS72" s="345">
        <f t="shared" ref="BS72:CB74" si="696">BS299</f>
        <v>0</v>
      </c>
      <c r="BT72" s="345">
        <f t="shared" si="696"/>
        <v>0</v>
      </c>
      <c r="BU72" s="345">
        <f t="shared" si="696"/>
        <v>0</v>
      </c>
      <c r="BV72" s="345">
        <f t="shared" si="696"/>
        <v>0</v>
      </c>
      <c r="BW72" s="345">
        <f t="shared" si="696"/>
        <v>0</v>
      </c>
      <c r="BX72" s="345">
        <f t="shared" si="696"/>
        <v>0</v>
      </c>
      <c r="BY72" s="345">
        <f t="shared" si="696"/>
        <v>0</v>
      </c>
      <c r="BZ72" s="345">
        <f t="shared" si="696"/>
        <v>0</v>
      </c>
      <c r="CA72" s="345">
        <f t="shared" si="696"/>
        <v>0</v>
      </c>
      <c r="CB72" s="345">
        <f t="shared" si="696"/>
        <v>0</v>
      </c>
      <c r="CC72" s="35">
        <f t="shared" ref="CC72:CQ74" si="697">CC299</f>
        <v>4.6435097414159465E-2</v>
      </c>
      <c r="CD72" s="35">
        <f t="shared" si="697"/>
        <v>4.8058422370064184E-2</v>
      </c>
      <c r="CE72" s="35">
        <f t="shared" si="697"/>
        <v>5.471123568879372E-2</v>
      </c>
      <c r="CF72" s="35">
        <f t="shared" si="697"/>
        <v>5.6222668342512598E-2</v>
      </c>
      <c r="CG72" s="35">
        <f t="shared" si="697"/>
        <v>2.0129464992446177E-2</v>
      </c>
      <c r="CH72" s="35">
        <f t="shared" si="697"/>
        <v>2.0883058574461291E-2</v>
      </c>
      <c r="CI72" s="35">
        <f t="shared" si="697"/>
        <v>2.3803245341070627E-2</v>
      </c>
      <c r="CJ72" s="35">
        <f t="shared" si="697"/>
        <v>8.0603643330489309E-3</v>
      </c>
      <c r="CK72" s="35">
        <f t="shared" si="697"/>
        <v>1.2583450830423048E-2</v>
      </c>
      <c r="CL72" s="35">
        <f t="shared" si="697"/>
        <v>1.1211094042740177E-2</v>
      </c>
      <c r="CM72" s="37">
        <f t="shared" si="697"/>
        <v>5.3648957488812805E-3</v>
      </c>
      <c r="CN72" s="37">
        <f t="shared" si="697"/>
        <v>3.5217957553602855E-3</v>
      </c>
      <c r="CO72" s="37">
        <f t="shared" si="697"/>
        <v>4.567582052094509E-3</v>
      </c>
      <c r="CP72" s="37">
        <f t="shared" si="697"/>
        <v>1.7431124988229723E-3</v>
      </c>
      <c r="CQ72" s="37">
        <f t="shared" si="697"/>
        <v>2.6471453015088106E-3</v>
      </c>
      <c r="CR72" s="37">
        <f t="shared" ref="CR72:CS74" si="698">CR299</f>
        <v>2.2322914264900481E-3</v>
      </c>
      <c r="CS72" s="37">
        <f t="shared" si="698"/>
        <v>2.8344940018317044E-3</v>
      </c>
      <c r="CT72" s="37">
        <f t="shared" ref="CT72:CU72" si="699">CT299</f>
        <v>4.2514364916823523E-4</v>
      </c>
      <c r="CU72" s="37">
        <f t="shared" si="699"/>
        <v>-4.907104851346795E-3</v>
      </c>
      <c r="CV72" s="37">
        <f t="shared" ref="CV72:CW72" si="700">CV299</f>
        <v>-6.0123941225752545E-3</v>
      </c>
      <c r="CW72" s="37">
        <f t="shared" si="700"/>
        <v>1.7711023355407039E-4</v>
      </c>
      <c r="CX72" s="37">
        <f t="shared" ref="CX72" si="701">CX299</f>
        <v>7.2785957629708615E-3</v>
      </c>
      <c r="CY72" s="37">
        <f t="shared" ref="CY72:CZ72" si="702">CY299</f>
        <v>4.5456209534788629E-3</v>
      </c>
      <c r="CZ72" s="36">
        <f t="shared" si="702"/>
        <v>0</v>
      </c>
      <c r="DA72" s="35">
        <f t="shared" ref="DA72:DB72" si="703">DA299</f>
        <v>0</v>
      </c>
      <c r="DB72" s="35">
        <f t="shared" si="703"/>
        <v>0</v>
      </c>
      <c r="DC72" s="35">
        <f t="shared" ref="DC72" si="704">DC299</f>
        <v>0</v>
      </c>
      <c r="DD72" s="35">
        <f t="shared" ref="DD72:DE74" si="705">DD299</f>
        <v>0</v>
      </c>
      <c r="DE72" s="35">
        <f t="shared" si="705"/>
        <v>0</v>
      </c>
      <c r="DF72" s="35">
        <f t="shared" ref="DF72:DG74" si="706">DF299</f>
        <v>0</v>
      </c>
      <c r="DG72" s="35">
        <f t="shared" si="706"/>
        <v>0</v>
      </c>
      <c r="DH72" s="35">
        <f t="shared" ref="DH72" si="707">DH299</f>
        <v>0</v>
      </c>
      <c r="DI72" s="35">
        <f t="shared" ref="DI72" si="708">DI299</f>
        <v>0</v>
      </c>
    </row>
    <row r="73" spans="1:113" ht="12" hidden="1" outlineLevel="2">
      <c r="A73" s="1" t="s">
        <v>875</v>
      </c>
      <c r="B73" s="15" t="s">
        <v>262</v>
      </c>
      <c r="C73" s="345">
        <f t="shared" si="666"/>
        <v>4.8563833333333327E-2</v>
      </c>
      <c r="D73" s="345">
        <f t="shared" si="666"/>
        <v>4.3449999999999996E-2</v>
      </c>
      <c r="E73" s="345">
        <f t="shared" si="666"/>
        <v>4.9258500000000004E-2</v>
      </c>
      <c r="F73" s="345">
        <f t="shared" si="666"/>
        <v>4.8122166666666667E-2</v>
      </c>
      <c r="G73" s="345">
        <f t="shared" si="666"/>
        <v>4.7991666666666676E-2</v>
      </c>
      <c r="H73" s="345">
        <f t="shared" si="666"/>
        <v>5.4583333333333331E-2</v>
      </c>
      <c r="I73" s="345">
        <f t="shared" si="666"/>
        <v>5.4836000000000003E-2</v>
      </c>
      <c r="J73" s="345">
        <f t="shared" si="666"/>
        <v>5.5772166666666657E-2</v>
      </c>
      <c r="K73" s="345">
        <f t="shared" si="666"/>
        <v>5.662233333333333E-2</v>
      </c>
      <c r="L73" s="345">
        <f t="shared" si="666"/>
        <v>4.9532838349609226E-4</v>
      </c>
      <c r="M73" s="35">
        <f t="shared" si="667"/>
        <v>2.1078960742422909E-3</v>
      </c>
      <c r="N73" s="35">
        <f t="shared" si="667"/>
        <v>2.1922510342626267E-3</v>
      </c>
      <c r="O73" s="35">
        <f t="shared" si="667"/>
        <v>2.1246039808771877E-3</v>
      </c>
      <c r="P73" s="35">
        <f t="shared" si="667"/>
        <v>4.2369006603333592E-3</v>
      </c>
      <c r="Q73" s="35">
        <f t="shared" si="667"/>
        <v>2.7937357758847647E-4</v>
      </c>
      <c r="R73" s="35">
        <f t="shared" si="667"/>
        <v>-1.6655873073909623E-2</v>
      </c>
      <c r="S73" s="35">
        <f t="shared" si="667"/>
        <v>-7.278709698249182E-3</v>
      </c>
      <c r="T73" s="37">
        <f t="shared" si="667"/>
        <v>-3.884798720892646E-3</v>
      </c>
      <c r="U73" s="35">
        <f t="shared" si="667"/>
        <v>-4.5810050003653249E-3</v>
      </c>
      <c r="V73" s="35">
        <f t="shared" si="667"/>
        <v>-5.6723496183734151E-3</v>
      </c>
      <c r="W73" s="35">
        <f t="shared" si="667"/>
        <v>-6.3941326535607163E-3</v>
      </c>
      <c r="X73" s="35">
        <f t="shared" si="667"/>
        <v>-8.2257430092783426E-3</v>
      </c>
      <c r="Y73" s="37">
        <f t="shared" si="667"/>
        <v>-1.1608417852548437E-2</v>
      </c>
      <c r="Z73" s="37">
        <f t="shared" si="668"/>
        <v>-1.0770190487866951E-2</v>
      </c>
      <c r="AA73" s="37">
        <f t="shared" si="668"/>
        <v>-9.0336747648833184E-3</v>
      </c>
      <c r="AB73" s="37">
        <f t="shared" ref="AB73:AC73" si="709">AB300</f>
        <v>-7.0957823400204859E-3</v>
      </c>
      <c r="AC73" s="37">
        <f t="shared" si="709"/>
        <v>-5.5135234364394881E-3</v>
      </c>
      <c r="AD73" s="37">
        <f t="shared" ref="AD73:AE73" si="710">AD300</f>
        <v>-5.3736166495961593E-3</v>
      </c>
      <c r="AE73" s="37">
        <f t="shared" si="710"/>
        <v>-6.6164903499321241E-3</v>
      </c>
      <c r="AF73" s="37">
        <f t="shared" ref="AF73:AG73" si="711">AF300</f>
        <v>-5.0813470087096996E-3</v>
      </c>
      <c r="AG73" s="37">
        <f t="shared" si="711"/>
        <v>-7.4915404771712588E-3</v>
      </c>
      <c r="AH73" s="37">
        <f t="shared" ref="AH73:AI73" si="712">AH300</f>
        <v>-9.006033065666174E-3</v>
      </c>
      <c r="AI73" s="37">
        <f t="shared" si="712"/>
        <v>-1.1001705337424256E-2</v>
      </c>
      <c r="AJ73" s="37">
        <f t="shared" ref="AJ73:AK73" si="713">AJ300</f>
        <v>-1.067413308840268E-2</v>
      </c>
      <c r="AK73" s="37">
        <f t="shared" si="713"/>
        <v>-1.0658054968663233E-2</v>
      </c>
      <c r="AL73" s="37">
        <f t="shared" ref="AL73:AM73" si="714">AL300</f>
        <v>-1.2500025074484278E-2</v>
      </c>
      <c r="AM73" s="37">
        <f t="shared" si="714"/>
        <v>-1.7835012644520375E-2</v>
      </c>
      <c r="AN73" s="37">
        <f t="shared" ref="AN73:AO73" si="715">AN300</f>
        <v>-1.7378698508944797E-2</v>
      </c>
      <c r="AO73" s="37">
        <f t="shared" si="715"/>
        <v>-1.6766839808129888E-2</v>
      </c>
      <c r="AP73" s="37">
        <f t="shared" ref="AP73:AQ73" si="716">AP300</f>
        <v>-1.2515600104599954E-2</v>
      </c>
      <c r="AQ73" s="37">
        <f t="shared" si="716"/>
        <v>-1.0523112069121317E-2</v>
      </c>
      <c r="AR73" s="37">
        <f t="shared" ref="AR73:AS73" si="717">AR300</f>
        <v>-1.0513424273374291E-2</v>
      </c>
      <c r="AS73" s="37">
        <f t="shared" si="717"/>
        <v>-4.6346997046431424E-3</v>
      </c>
      <c r="AT73" s="37">
        <f t="shared" ref="AT73:AV73" si="718">AT300</f>
        <v>-8.9838849066018432E-3</v>
      </c>
      <c r="AU73" s="37">
        <f t="shared" si="718"/>
        <v>-1.1732597754047187E-2</v>
      </c>
      <c r="AV73" s="37">
        <f t="shared" si="718"/>
        <v>-1.3184947144023188E-2</v>
      </c>
      <c r="AW73" s="37">
        <f t="shared" ref="AW73:AX73" si="719">AW300</f>
        <v>-1.2285026553027861E-2</v>
      </c>
      <c r="AX73" s="37">
        <f t="shared" si="719"/>
        <v>-1.0177183551615256E-2</v>
      </c>
      <c r="AY73" s="36">
        <f>AX73+0.05%</f>
        <v>-9.6771835516152559E-3</v>
      </c>
      <c r="AZ73" s="34">
        <f>AY73+0.05%</f>
        <v>-9.1771835516152554E-3</v>
      </c>
      <c r="BA73" s="34">
        <f>AZ73+0%</f>
        <v>-9.1771835516152554E-3</v>
      </c>
      <c r="BB73" s="34">
        <f>BA73-0.025%</f>
        <v>-9.4271835516152556E-3</v>
      </c>
      <c r="BC73" s="34">
        <f>BB73-0.025%</f>
        <v>-9.6771835516152559E-3</v>
      </c>
      <c r="BD73" s="34">
        <f t="shared" si="576"/>
        <v>-9.6771835516152559E-3</v>
      </c>
      <c r="BE73" s="34">
        <f t="shared" si="683"/>
        <v>-9.6771835516152559E-3</v>
      </c>
      <c r="BF73" s="34">
        <f t="shared" si="684"/>
        <v>-9.6771835516152559E-3</v>
      </c>
      <c r="BG73" s="34">
        <f t="shared" si="685"/>
        <v>-9.6771835516152559E-3</v>
      </c>
      <c r="BH73" s="34">
        <f t="shared" si="686"/>
        <v>-9.6771835516152559E-3</v>
      </c>
      <c r="BI73" s="34">
        <f t="shared" si="687"/>
        <v>-9.6771835516152559E-3</v>
      </c>
      <c r="BJ73" s="34">
        <f t="shared" si="688"/>
        <v>-9.6771835516152559E-3</v>
      </c>
      <c r="BK73" s="34">
        <f t="shared" si="689"/>
        <v>-9.6771835516152559E-3</v>
      </c>
      <c r="BL73" s="34">
        <f t="shared" si="690"/>
        <v>-9.6771835516152559E-3</v>
      </c>
      <c r="BM73" s="34">
        <f t="shared" si="691"/>
        <v>-9.6771835516152559E-3</v>
      </c>
      <c r="BN73" s="34">
        <f t="shared" si="692"/>
        <v>-9.6771835516152559E-3</v>
      </c>
      <c r="BO73" s="34">
        <f t="shared" si="693"/>
        <v>-9.6771835516152559E-3</v>
      </c>
      <c r="BP73" s="34">
        <f t="shared" si="694"/>
        <v>-9.6771835516152559E-3</v>
      </c>
      <c r="BQ73" s="34">
        <f t="shared" si="695"/>
        <v>-9.6771835516152559E-3</v>
      </c>
      <c r="BR73" s="35"/>
      <c r="BS73" s="345">
        <f t="shared" si="696"/>
        <v>0</v>
      </c>
      <c r="BT73" s="345">
        <f t="shared" si="696"/>
        <v>0</v>
      </c>
      <c r="BU73" s="345">
        <f t="shared" si="696"/>
        <v>0</v>
      </c>
      <c r="BV73" s="345">
        <f t="shared" si="696"/>
        <v>0</v>
      </c>
      <c r="BW73" s="345">
        <f t="shared" si="696"/>
        <v>0</v>
      </c>
      <c r="BX73" s="345">
        <f t="shared" si="696"/>
        <v>0</v>
      </c>
      <c r="BY73" s="345">
        <f t="shared" si="696"/>
        <v>0</v>
      </c>
      <c r="BZ73" s="345">
        <f t="shared" si="696"/>
        <v>0</v>
      </c>
      <c r="CA73" s="345">
        <f t="shared" si="696"/>
        <v>0</v>
      </c>
      <c r="CB73" s="345">
        <f t="shared" si="696"/>
        <v>0</v>
      </c>
      <c r="CC73" s="35">
        <f t="shared" si="697"/>
        <v>4.6561522475848258E-2</v>
      </c>
      <c r="CD73" s="35">
        <f t="shared" si="697"/>
        <v>4.8063648247345069E-2</v>
      </c>
      <c r="CE73" s="35">
        <f t="shared" si="697"/>
        <v>5.4717189848516784E-2</v>
      </c>
      <c r="CF73" s="35">
        <f t="shared" si="697"/>
        <v>5.621211308048131E-2</v>
      </c>
      <c r="CG73" s="35">
        <f t="shared" si="697"/>
        <v>1.333496820164643E-3</v>
      </c>
      <c r="CH73" s="35">
        <f t="shared" si="697"/>
        <v>2.1566555924818816E-3</v>
      </c>
      <c r="CI73" s="35">
        <f t="shared" si="697"/>
        <v>2.1238680415031686E-3</v>
      </c>
      <c r="CJ73" s="35">
        <f t="shared" si="697"/>
        <v>-1.1952531655034539E-2</v>
      </c>
      <c r="CK73" s="35">
        <f t="shared" si="697"/>
        <v>-4.2475214504031434E-3</v>
      </c>
      <c r="CL73" s="35">
        <f t="shared" si="697"/>
        <v>-6.0423820370905336E-3</v>
      </c>
      <c r="CM73" s="37">
        <f t="shared" si="697"/>
        <v>-9.9729278327168359E-3</v>
      </c>
      <c r="CN73" s="37">
        <f t="shared" si="697"/>
        <v>-9.8941015674140261E-3</v>
      </c>
      <c r="CO73" s="37">
        <f t="shared" si="697"/>
        <v>-6.310077273125725E-3</v>
      </c>
      <c r="CP73" s="37">
        <f t="shared" si="697"/>
        <v>-5.9833847347089165E-3</v>
      </c>
      <c r="CQ73" s="37">
        <f t="shared" si="697"/>
        <v>-6.2881646065850189E-3</v>
      </c>
      <c r="CR73" s="37">
        <f t="shared" si="698"/>
        <v>-9.9893523283085348E-3</v>
      </c>
      <c r="CS73" s="37">
        <f t="shared" si="698"/>
        <v>-1.0666220809011853E-2</v>
      </c>
      <c r="CT73" s="37">
        <f t="shared" ref="CT73:CU73" si="720">CT300</f>
        <v>-1.5158137163095477E-2</v>
      </c>
      <c r="CU73" s="37">
        <f t="shared" si="720"/>
        <v>-1.708644458053013E-2</v>
      </c>
      <c r="CV73" s="37">
        <f t="shared" ref="CV73:CW73" si="721">CV300</f>
        <v>-1.1515768823820832E-2</v>
      </c>
      <c r="CW73" s="37">
        <f t="shared" si="721"/>
        <v>-7.5592505882730188E-3</v>
      </c>
      <c r="CX73" s="37">
        <f t="shared" ref="CX73" si="722">CX300</f>
        <v>-1.0453860589811244E-2</v>
      </c>
      <c r="CY73" s="37">
        <f t="shared" ref="CY73:CZ73" si="723">CY300</f>
        <v>-1.2728983734078504E-2</v>
      </c>
      <c r="CZ73" s="36">
        <f t="shared" si="723"/>
        <v>0</v>
      </c>
      <c r="DA73" s="35">
        <f t="shared" ref="DA73:DB73" si="724">DA300</f>
        <v>0</v>
      </c>
      <c r="DB73" s="35">
        <f t="shared" si="724"/>
        <v>0</v>
      </c>
      <c r="DC73" s="35">
        <f t="shared" ref="DC73" si="725">DC300</f>
        <v>0</v>
      </c>
      <c r="DD73" s="35">
        <f t="shared" si="705"/>
        <v>0</v>
      </c>
      <c r="DE73" s="35">
        <f t="shared" si="705"/>
        <v>0</v>
      </c>
      <c r="DF73" s="35">
        <f t="shared" si="706"/>
        <v>0</v>
      </c>
      <c r="DG73" s="35">
        <f t="shared" si="706"/>
        <v>0</v>
      </c>
      <c r="DH73" s="35">
        <f t="shared" ref="DH73" si="726">DH300</f>
        <v>0</v>
      </c>
      <c r="DI73" s="35">
        <f t="shared" ref="DI73" si="727">DI300</f>
        <v>0</v>
      </c>
    </row>
    <row r="74" spans="1:113" ht="12" hidden="1" outlineLevel="2">
      <c r="A74" s="1" t="s">
        <v>876</v>
      </c>
      <c r="B74" s="15" t="s">
        <v>360</v>
      </c>
      <c r="C74" s="345">
        <f t="shared" si="666"/>
        <v>4.8563833333333327E-2</v>
      </c>
      <c r="D74" s="345">
        <f t="shared" si="666"/>
        <v>4.3449999999999996E-2</v>
      </c>
      <c r="E74" s="345">
        <f t="shared" si="666"/>
        <v>4.9258500000000004E-2</v>
      </c>
      <c r="F74" s="345">
        <f t="shared" si="666"/>
        <v>4.8122166666666667E-2</v>
      </c>
      <c r="G74" s="345">
        <f t="shared" si="666"/>
        <v>4.7991666666666682E-2</v>
      </c>
      <c r="H74" s="345">
        <f t="shared" si="666"/>
        <v>5.4583333333333331E-2</v>
      </c>
      <c r="I74" s="345">
        <f t="shared" si="666"/>
        <v>5.4836000000000003E-2</v>
      </c>
      <c r="J74" s="345">
        <f t="shared" si="666"/>
        <v>5.5772166666666657E-2</v>
      </c>
      <c r="K74" s="345">
        <f t="shared" si="666"/>
        <v>5.662233333333333E-2</v>
      </c>
      <c r="L74" s="345">
        <f t="shared" si="666"/>
        <v>1.1454115484838075E-2</v>
      </c>
      <c r="M74" s="35">
        <f t="shared" si="667"/>
        <v>1.283748301051698E-2</v>
      </c>
      <c r="N74" s="35">
        <f t="shared" si="667"/>
        <v>1.2948457923091199E-2</v>
      </c>
      <c r="O74" s="35">
        <f t="shared" si="667"/>
        <v>1.297055682672724E-2</v>
      </c>
      <c r="P74" s="35">
        <f t="shared" si="667"/>
        <v>1.4986469044690599E-2</v>
      </c>
      <c r="Q74" s="35">
        <f t="shared" si="667"/>
        <v>1.1926671162913309E-2</v>
      </c>
      <c r="R74" s="35">
        <f t="shared" si="667"/>
        <v>-4.3261335707123786E-3</v>
      </c>
      <c r="S74" s="35">
        <f t="shared" si="667"/>
        <v>2.9221752669536505E-4</v>
      </c>
      <c r="T74" s="37">
        <f t="shared" si="667"/>
        <v>3.7013951071642138E-3</v>
      </c>
      <c r="U74" s="35">
        <f t="shared" si="667"/>
        <v>3.5017002193837351E-3</v>
      </c>
      <c r="V74" s="35">
        <f t="shared" si="667"/>
        <v>1.8444837368643905E-3</v>
      </c>
      <c r="W74" s="35">
        <f t="shared" si="667"/>
        <v>7.1293722245321467E-4</v>
      </c>
      <c r="X74" s="35">
        <f t="shared" si="667"/>
        <v>-1.1664975855669038E-3</v>
      </c>
      <c r="Y74" s="37">
        <f t="shared" si="667"/>
        <v>-5.2783622503746481E-3</v>
      </c>
      <c r="Z74" s="37">
        <f t="shared" si="668"/>
        <v>-5.1789551840826231E-3</v>
      </c>
      <c r="AA74" s="37">
        <f t="shared" si="668"/>
        <v>-2.3545902221638634E-3</v>
      </c>
      <c r="AB74" s="37">
        <f t="shared" ref="AB74:AC74" si="728">AB301</f>
        <v>-1.3846594492734462E-3</v>
      </c>
      <c r="AC74" s="37">
        <f t="shared" si="728"/>
        <v>-3.8635357672513665E-4</v>
      </c>
      <c r="AD74" s="37">
        <f t="shared" ref="AD74:AE74" si="729">AD301</f>
        <v>-1.0422012475427469E-3</v>
      </c>
      <c r="AE74" s="37">
        <f t="shared" si="729"/>
        <v>-2.228141131317678E-3</v>
      </c>
      <c r="AF74" s="37">
        <f t="shared" ref="AF74:AK74" si="730">AF301</f>
        <v>-2.3262151542862894E-4</v>
      </c>
      <c r="AG74" s="37">
        <f t="shared" si="730"/>
        <v>-1.8334307751642622E-3</v>
      </c>
      <c r="AH74" s="37">
        <f t="shared" si="730"/>
        <v>-2.3445976449889979E-3</v>
      </c>
      <c r="AI74" s="37">
        <f t="shared" si="730"/>
        <v>-2.6370866820503054E-3</v>
      </c>
      <c r="AJ74" s="37">
        <f t="shared" si="730"/>
        <v>-2.9040377626180607E-3</v>
      </c>
      <c r="AK74" s="37">
        <f t="shared" si="730"/>
        <v>-1.6365416891778509E-3</v>
      </c>
      <c r="AL74" s="37">
        <f t="shared" ref="AL74:AM74" si="731">AL301</f>
        <v>-2.761958357595874E-3</v>
      </c>
      <c r="AM74" s="37">
        <f t="shared" si="731"/>
        <v>-7.6579866612264975E-3</v>
      </c>
      <c r="AN74" s="37">
        <f t="shared" ref="AN74:AO74" si="732">AN301</f>
        <v>-7.7089780620307876E-3</v>
      </c>
      <c r="AO74" s="37">
        <f t="shared" si="732"/>
        <v>-9.2156136549710645E-3</v>
      </c>
      <c r="AP74" s="37">
        <f t="shared" ref="AP74:AQ74" si="733">AP301</f>
        <v>-7.9374575945159089E-3</v>
      </c>
      <c r="AQ74" s="37">
        <f t="shared" si="733"/>
        <v>-7.0142665678997922E-3</v>
      </c>
      <c r="AR74" s="37">
        <f t="shared" ref="AR74:AS74" si="734">AR301</f>
        <v>-6.5405512484238912E-3</v>
      </c>
      <c r="AS74" s="37">
        <f t="shared" si="734"/>
        <v>3.2234055688251553E-3</v>
      </c>
      <c r="AT74" s="37">
        <f t="shared" ref="AT74:AV74" si="735">AT301</f>
        <v>3.3389252684354097E-3</v>
      </c>
      <c r="AU74" s="37">
        <f t="shared" si="735"/>
        <v>1.4283217074076194E-3</v>
      </c>
      <c r="AV74" s="37">
        <f t="shared" si="735"/>
        <v>-7.2546029329024185E-4</v>
      </c>
      <c r="AW74" s="37">
        <f t="shared" ref="AW74:AX74" si="736">AW301</f>
        <v>-8.4442581362022848E-4</v>
      </c>
      <c r="AX74" s="37">
        <f t="shared" si="736"/>
        <v>-4.6152596300582391E-3</v>
      </c>
      <c r="AY74" s="36">
        <f t="shared" ref="AY74:BB74" si="737">AY301</f>
        <v>0</v>
      </c>
      <c r="AZ74" s="35">
        <f t="shared" ref="AZ74:BA74" si="738">AZ301</f>
        <v>0</v>
      </c>
      <c r="BA74" s="35">
        <f t="shared" si="738"/>
        <v>0</v>
      </c>
      <c r="BB74" s="35">
        <f t="shared" si="737"/>
        <v>0</v>
      </c>
      <c r="BC74" s="35">
        <f t="shared" ref="BC74:BD74" si="739">BC301</f>
        <v>0</v>
      </c>
      <c r="BD74" s="35">
        <f t="shared" si="739"/>
        <v>0</v>
      </c>
      <c r="BE74" s="35">
        <f t="shared" ref="BE74:BM74" si="740">BE301</f>
        <v>0</v>
      </c>
      <c r="BF74" s="35">
        <f t="shared" ref="BF74:BI74" si="741">BF301</f>
        <v>0</v>
      </c>
      <c r="BG74" s="35">
        <f t="shared" si="741"/>
        <v>0</v>
      </c>
      <c r="BH74" s="35">
        <f t="shared" si="741"/>
        <v>0</v>
      </c>
      <c r="BI74" s="35">
        <f t="shared" si="741"/>
        <v>0</v>
      </c>
      <c r="BJ74" s="35">
        <f t="shared" si="740"/>
        <v>0</v>
      </c>
      <c r="BK74" s="35">
        <f t="shared" si="740"/>
        <v>0</v>
      </c>
      <c r="BL74" s="35">
        <f t="shared" si="740"/>
        <v>0</v>
      </c>
      <c r="BM74" s="35">
        <f t="shared" si="740"/>
        <v>0</v>
      </c>
      <c r="BN74" s="35">
        <f t="shared" ref="BN74:BO74" si="742">BN301</f>
        <v>0</v>
      </c>
      <c r="BO74" s="35">
        <f t="shared" si="742"/>
        <v>0</v>
      </c>
      <c r="BP74" s="35">
        <f t="shared" ref="BP74:BQ74" si="743">BP301</f>
        <v>0</v>
      </c>
      <c r="BQ74" s="35">
        <f t="shared" si="743"/>
        <v>0</v>
      </c>
      <c r="BR74" s="35"/>
      <c r="BS74" s="345">
        <f t="shared" si="696"/>
        <v>-1.2095256532302506E-3</v>
      </c>
      <c r="BT74" s="345">
        <f t="shared" si="696"/>
        <v>1.9216494485550795E-3</v>
      </c>
      <c r="BU74" s="345">
        <f t="shared" si="696"/>
        <v>8.4907039151153607E-3</v>
      </c>
      <c r="BV74" s="345">
        <f t="shared" si="696"/>
        <v>2.3346255155605553E-2</v>
      </c>
      <c r="BW74" s="345">
        <f t="shared" si="696"/>
        <v>1.7034742871622537E-2</v>
      </c>
      <c r="BX74" s="345">
        <f t="shared" si="696"/>
        <v>1.6779169242405655E-2</v>
      </c>
      <c r="BY74" s="345">
        <f t="shared" si="696"/>
        <v>1.3753139288690687E-2</v>
      </c>
      <c r="BZ74" s="345">
        <f t="shared" si="696"/>
        <v>1.2900953901629146E-2</v>
      </c>
      <c r="CA74" s="345">
        <f t="shared" si="696"/>
        <v>1.5576580429822823E-2</v>
      </c>
      <c r="CB74" s="345">
        <f t="shared" si="696"/>
        <v>1.2392874010566525E-2</v>
      </c>
      <c r="CC74" s="35">
        <f t="shared" si="697"/>
        <v>4.6479514710354775E-2</v>
      </c>
      <c r="CD74" s="35">
        <f t="shared" si="697"/>
        <v>4.8060370818158324E-2</v>
      </c>
      <c r="CE74" s="35">
        <f t="shared" si="697"/>
        <v>5.4713603814829863E-2</v>
      </c>
      <c r="CF74" s="35">
        <f t="shared" si="697"/>
        <v>5.621811848280113E-2</v>
      </c>
      <c r="CG74" s="35">
        <f t="shared" si="697"/>
        <v>1.2171396625565213E-2</v>
      </c>
      <c r="CH74" s="35">
        <f t="shared" si="697"/>
        <v>1.3020148471401358E-2</v>
      </c>
      <c r="CI74" s="35">
        <f t="shared" si="697"/>
        <v>1.3402447776553524E-2</v>
      </c>
      <c r="CJ74" s="35">
        <f>CJ301</f>
        <v>-1.9714622711718313E-3</v>
      </c>
      <c r="CK74" s="35">
        <f t="shared" si="697"/>
        <v>3.5997011150501073E-3</v>
      </c>
      <c r="CL74" s="35">
        <f t="shared" si="697"/>
        <v>1.2625775665941166E-3</v>
      </c>
      <c r="CM74" s="37">
        <f t="shared" si="697"/>
        <v>-3.2682018835243228E-3</v>
      </c>
      <c r="CN74" s="37">
        <f t="shared" si="697"/>
        <v>-3.7420717835069768E-3</v>
      </c>
      <c r="CO74" s="37">
        <f t="shared" si="697"/>
        <v>-8.7847633762476549E-4</v>
      </c>
      <c r="CP74" s="37">
        <f t="shared" si="697"/>
        <v>-1.6411159776083522E-3</v>
      </c>
      <c r="CQ74" s="37">
        <f t="shared" si="697"/>
        <v>-1.0391748124139288E-3</v>
      </c>
      <c r="CR74" s="37">
        <f t="shared" si="698"/>
        <v>-2.4946434519190516E-3</v>
      </c>
      <c r="CS74" s="37">
        <f t="shared" si="698"/>
        <v>-2.2728961749934476E-3</v>
      </c>
      <c r="CT74" s="37">
        <f t="shared" ref="CT74:CU74" si="744">CT301</f>
        <v>-5.2633553469428954E-3</v>
      </c>
      <c r="CU74" s="37">
        <f t="shared" si="744"/>
        <v>-8.4921892763553473E-3</v>
      </c>
      <c r="CV74" s="37">
        <f t="shared" ref="CV74:CW74" si="745">CV301</f>
        <v>-7.4709521873816869E-3</v>
      </c>
      <c r="CW74" s="37">
        <f t="shared" si="745"/>
        <v>-1.5880491528137983E-3</v>
      </c>
      <c r="CX74" s="37">
        <f t="shared" ref="CX74" si="746">CX301</f>
        <v>2.371019486348607E-3</v>
      </c>
      <c r="CY74" s="37">
        <f t="shared" ref="CY74:CZ74" si="747">CY301</f>
        <v>-7.8595830746672093E-4</v>
      </c>
      <c r="CZ74" s="36">
        <f t="shared" si="747"/>
        <v>0</v>
      </c>
      <c r="DA74" s="35">
        <f t="shared" ref="DA74:DB74" si="748">DA301</f>
        <v>0</v>
      </c>
      <c r="DB74" s="35">
        <f t="shared" si="748"/>
        <v>0</v>
      </c>
      <c r="DC74" s="35">
        <f t="shared" ref="DC74" si="749">DC301</f>
        <v>0</v>
      </c>
      <c r="DD74" s="35">
        <f t="shared" si="705"/>
        <v>0</v>
      </c>
      <c r="DE74" s="35">
        <f t="shared" si="705"/>
        <v>0</v>
      </c>
      <c r="DF74" s="35">
        <f t="shared" si="706"/>
        <v>0</v>
      </c>
      <c r="DG74" s="35">
        <f t="shared" si="706"/>
        <v>0</v>
      </c>
      <c r="DH74" s="35">
        <f t="shared" ref="DH74" si="750">DH301</f>
        <v>0</v>
      </c>
      <c r="DI74" s="35">
        <f t="shared" ref="DI74" si="751">DI301</f>
        <v>0</v>
      </c>
    </row>
    <row r="75" spans="1:113" ht="12" hidden="1" outlineLevel="2">
      <c r="A75" s="1" t="s">
        <v>877</v>
      </c>
      <c r="B75" s="15" t="s">
        <v>273</v>
      </c>
      <c r="C75" s="345">
        <f>C281</f>
        <v>3.2352698212248919E-2</v>
      </c>
      <c r="D75" s="345">
        <f>D281</f>
        <v>3.0241524886294953E-2</v>
      </c>
      <c r="E75" s="345">
        <f>E281</f>
        <v>2.7346661738243329E-2</v>
      </c>
      <c r="F75" s="345">
        <f t="shared" ref="F75:L75" si="752">F281</f>
        <v>2.9955929391517554E-2</v>
      </c>
      <c r="G75" s="345">
        <f t="shared" si="752"/>
        <v>3.4644639408112111E-2</v>
      </c>
      <c r="H75" s="345">
        <f t="shared" si="752"/>
        <v>2.066049020312638E-2</v>
      </c>
      <c r="I75" s="345">
        <f t="shared" si="752"/>
        <v>2.2711307132459967E-2</v>
      </c>
      <c r="J75" s="345">
        <f t="shared" si="752"/>
        <v>2.706030906578711E-2</v>
      </c>
      <c r="K75" s="345">
        <f t="shared" si="752"/>
        <v>2.8205552361972003E-2</v>
      </c>
      <c r="L75" s="345">
        <f t="shared" si="752"/>
        <v>3.0390788622120891E-2</v>
      </c>
      <c r="M75" s="35">
        <f t="shared" ref="M75:T75" si="753">M281</f>
        <v>2.670496038492514E-2</v>
      </c>
      <c r="N75" s="35">
        <f t="shared" si="753"/>
        <v>2.3143919701818769E-2</v>
      </c>
      <c r="O75" s="35">
        <f t="shared" si="753"/>
        <v>2.5217607150833474E-2</v>
      </c>
      <c r="P75" s="35">
        <f t="shared" si="753"/>
        <v>2.2317888877344677E-2</v>
      </c>
      <c r="Q75" s="35">
        <f t="shared" si="753"/>
        <v>1.9742769201854179E-2</v>
      </c>
      <c r="R75" s="35">
        <f t="shared" si="753"/>
        <v>3.6385254561142048E-2</v>
      </c>
      <c r="S75" s="35">
        <f t="shared" si="753"/>
        <v>2.843834529614158E-2</v>
      </c>
      <c r="T75" s="37">
        <f t="shared" si="753"/>
        <v>1.7307267591663136E-2</v>
      </c>
      <c r="U75" s="35">
        <f t="shared" ref="U75:Z75" si="754">U281</f>
        <v>1.3468396691487035E-2</v>
      </c>
      <c r="V75" s="35">
        <f t="shared" si="754"/>
        <v>1.5069918394176388E-2</v>
      </c>
      <c r="W75" s="35">
        <f t="shared" si="754"/>
        <v>1.2616852313283383E-2</v>
      </c>
      <c r="X75" s="35">
        <f t="shared" si="754"/>
        <v>1.7075021910770843E-2</v>
      </c>
      <c r="Y75" s="37">
        <f t="shared" si="754"/>
        <v>2.4740314807079077E-2</v>
      </c>
      <c r="Z75" s="37">
        <f t="shared" si="754"/>
        <v>2.8894257399430388E-2</v>
      </c>
      <c r="AA75" s="37">
        <f t="shared" ref="AA75:AF75" si="755">AA281</f>
        <v>3.1081264344506043E-2</v>
      </c>
      <c r="AB75" s="37">
        <f t="shared" si="755"/>
        <v>3.1328543793885111E-2</v>
      </c>
      <c r="AC75" s="37">
        <f t="shared" si="755"/>
        <v>3.4449054901702802E-2</v>
      </c>
      <c r="AD75" s="37">
        <f t="shared" si="755"/>
        <v>3.6700666525547362E-2</v>
      </c>
      <c r="AE75" s="37">
        <f t="shared" si="755"/>
        <v>3.7416794001687445E-2</v>
      </c>
      <c r="AF75" s="37">
        <f t="shared" si="755"/>
        <v>3.0152893769510185E-2</v>
      </c>
      <c r="AG75" s="37">
        <f t="shared" ref="AG75:AH75" si="756">AG281</f>
        <v>2.9794863837279986E-2</v>
      </c>
      <c r="AH75" s="37">
        <f t="shared" si="756"/>
        <v>2.9569054019023249E-2</v>
      </c>
      <c r="AI75" s="37">
        <f t="shared" ref="AI75:AJ75" si="757">AI281</f>
        <v>3.0143597109861569E-2</v>
      </c>
      <c r="AJ75" s="37">
        <f t="shared" si="757"/>
        <v>2.954974781466424E-2</v>
      </c>
      <c r="AK75" s="37">
        <f t="shared" ref="AK75:AL75" si="758">AK281</f>
        <v>2.7526790439737159E-2</v>
      </c>
      <c r="AL75" s="37">
        <f t="shared" si="758"/>
        <v>2.7359251546154973E-2</v>
      </c>
      <c r="AM75" s="37">
        <f t="shared" ref="AM75:AN75" si="759">AM281</f>
        <v>3.2160107431378475E-2</v>
      </c>
      <c r="AN75" s="37">
        <f t="shared" si="759"/>
        <v>3.2726301435612233E-2</v>
      </c>
      <c r="AO75" s="37">
        <f t="shared" ref="AO75" si="760">AO281</f>
        <v>3.3798581632939612E-2</v>
      </c>
      <c r="AP75" s="37">
        <f t="shared" ref="AP75:AQ75" si="761">AP281</f>
        <v>3.1300818525046702E-2</v>
      </c>
      <c r="AQ75" s="37">
        <f t="shared" si="761"/>
        <v>2.9461927568303674E-2</v>
      </c>
      <c r="AR75" s="37">
        <f t="shared" ref="AR75:AS75" si="762">AR281</f>
        <v>3.0777787910852259E-2</v>
      </c>
      <c r="AS75" s="37">
        <f t="shared" si="762"/>
        <v>2.4497219059234177E-2</v>
      </c>
      <c r="AT75" s="37">
        <f t="shared" ref="AT75:AV75" si="763">AT281</f>
        <v>2.2672875013340414E-2</v>
      </c>
      <c r="AU75" s="37">
        <f t="shared" si="763"/>
        <v>2.1871628292047987E-2</v>
      </c>
      <c r="AV75" s="37">
        <f t="shared" si="763"/>
        <v>2.3252769498993069E-2</v>
      </c>
      <c r="AW75" s="37">
        <f t="shared" ref="AW75:AX75" si="764">AW281</f>
        <v>2.3725069171516927E-2</v>
      </c>
      <c r="AX75" s="37">
        <f t="shared" si="764"/>
        <v>1.9968293029824002E-2</v>
      </c>
      <c r="AY75" s="36">
        <f t="shared" ref="AY75:AZ77" si="765">AX75</f>
        <v>1.9968293029824002E-2</v>
      </c>
      <c r="AZ75" s="34">
        <f t="shared" si="765"/>
        <v>1.9968293029824002E-2</v>
      </c>
      <c r="BA75" s="34">
        <f t="shared" ref="BA75:BD78" si="766">AZ75</f>
        <v>1.9968293029824002E-2</v>
      </c>
      <c r="BB75" s="34">
        <f t="shared" si="766"/>
        <v>1.9968293029824002E-2</v>
      </c>
      <c r="BC75" s="34">
        <f t="shared" si="766"/>
        <v>1.9968293029824002E-2</v>
      </c>
      <c r="BD75" s="34">
        <f t="shared" si="766"/>
        <v>1.9968293029824002E-2</v>
      </c>
      <c r="BE75" s="34">
        <f t="shared" ref="BE75:BE79" si="767">BD75</f>
        <v>1.9968293029824002E-2</v>
      </c>
      <c r="BF75" s="34">
        <f t="shared" ref="BF75:BF79" si="768">BE75</f>
        <v>1.9968293029824002E-2</v>
      </c>
      <c r="BG75" s="34">
        <f t="shared" ref="BG75:BG79" si="769">BF75</f>
        <v>1.9968293029824002E-2</v>
      </c>
      <c r="BH75" s="34">
        <f t="shared" ref="BH75:BH79" si="770">BG75</f>
        <v>1.9968293029824002E-2</v>
      </c>
      <c r="BI75" s="34">
        <f t="shared" ref="BI75:BI79" si="771">BH75</f>
        <v>1.9968293029824002E-2</v>
      </c>
      <c r="BJ75" s="34">
        <f t="shared" ref="BJ75:BJ79" si="772">BI75</f>
        <v>1.9968293029824002E-2</v>
      </c>
      <c r="BK75" s="34">
        <f t="shared" ref="BK75:BK79" si="773">BJ75</f>
        <v>1.9968293029824002E-2</v>
      </c>
      <c r="BL75" s="34">
        <f t="shared" ref="BL75:BL79" si="774">BK75</f>
        <v>1.9968293029824002E-2</v>
      </c>
      <c r="BM75" s="34">
        <f t="shared" ref="BM75:BM79" si="775">BL75</f>
        <v>1.9968293029824002E-2</v>
      </c>
      <c r="BN75" s="34">
        <f t="shared" ref="BN75:BN79" si="776">BM75</f>
        <v>1.9968293029824002E-2</v>
      </c>
      <c r="BO75" s="34">
        <f t="shared" ref="BO75:BO79" si="777">BN75</f>
        <v>1.9968293029824002E-2</v>
      </c>
      <c r="BP75" s="34">
        <f t="shared" ref="BP75:BP79" si="778">BO75</f>
        <v>1.9968293029824002E-2</v>
      </c>
      <c r="BQ75" s="34">
        <f t="shared" ref="BQ75:BQ79" si="779">BP75</f>
        <v>1.9968293029824002E-2</v>
      </c>
      <c r="BR75" s="35"/>
      <c r="BS75" s="345">
        <f t="shared" ref="BS75:CB75" si="780">BS281</f>
        <v>3.1294461663151127E-2</v>
      </c>
      <c r="BT75" s="345">
        <f t="shared" si="780"/>
        <v>3.0817078494485901E-2</v>
      </c>
      <c r="BU75" s="345">
        <f t="shared" si="780"/>
        <v>2.959287960543755E-2</v>
      </c>
      <c r="BV75" s="345">
        <f t="shared" si="780"/>
        <v>2.5937690108376737E-2</v>
      </c>
      <c r="BW75" s="345">
        <f t="shared" si="780"/>
        <v>3.1986950396052441E-2</v>
      </c>
      <c r="BX75" s="345">
        <f t="shared" si="780"/>
        <v>4.2763407147348567E-2</v>
      </c>
      <c r="BY75" s="345">
        <f t="shared" si="780"/>
        <v>4.7424874295032941E-2</v>
      </c>
      <c r="BZ75" s="345">
        <f t="shared" si="780"/>
        <v>2.82081484824699E-2</v>
      </c>
      <c r="CA75" s="345">
        <f t="shared" si="780"/>
        <v>2.2494560439560447E-2</v>
      </c>
      <c r="CB75" s="345">
        <f t="shared" si="780"/>
        <v>3.0776111948082017E-2</v>
      </c>
      <c r="CC75" s="35">
        <f t="shared" ref="CC75:CO75" si="781">CC281</f>
        <v>2.8762807539399447E-2</v>
      </c>
      <c r="CD75" s="35">
        <f t="shared" si="781"/>
        <v>3.2328436731658625E-2</v>
      </c>
      <c r="CE75" s="35">
        <f t="shared" si="781"/>
        <v>2.1826192268842672E-2</v>
      </c>
      <c r="CF75" s="35">
        <f t="shared" si="781"/>
        <v>2.7655763701525657E-2</v>
      </c>
      <c r="CG75" s="35">
        <f t="shared" si="781"/>
        <v>2.8533253199372593E-2</v>
      </c>
      <c r="CH75" s="35">
        <f t="shared" si="781"/>
        <v>2.4219599608038166E-2</v>
      </c>
      <c r="CI75" s="35">
        <f t="shared" si="781"/>
        <v>2.1036346213597571E-2</v>
      </c>
      <c r="CJ75" s="35">
        <f t="shared" si="781"/>
        <v>3.2492233522026348E-2</v>
      </c>
      <c r="CK75" s="35">
        <f t="shared" si="781"/>
        <v>1.5372929294149159E-2</v>
      </c>
      <c r="CL75" s="35">
        <f t="shared" si="781"/>
        <v>1.3837977780862733E-2</v>
      </c>
      <c r="CM75" s="37">
        <f t="shared" si="781"/>
        <v>2.0957030632421336E-2</v>
      </c>
      <c r="CN75" s="37">
        <f t="shared" si="781"/>
        <v>3.0033503574871546E-2</v>
      </c>
      <c r="CO75" s="37">
        <f t="shared" si="781"/>
        <v>3.2916413384454751E-2</v>
      </c>
      <c r="CP75" s="37">
        <f t="shared" ref="CP75:CX75" si="782">CP281</f>
        <v>3.7064538508477074E-2</v>
      </c>
      <c r="CQ75" s="37">
        <f t="shared" si="782"/>
        <v>2.9970113963871503E-2</v>
      </c>
      <c r="CR75" s="37">
        <f t="shared" si="782"/>
        <v>2.9857543728875214E-2</v>
      </c>
      <c r="CS75" s="37">
        <f t="shared" si="782"/>
        <v>2.8523669909538692E-2</v>
      </c>
      <c r="CT75" s="37">
        <f t="shared" si="782"/>
        <v>2.9790406336623457E-2</v>
      </c>
      <c r="CU75" s="37">
        <f t="shared" si="782"/>
        <v>3.3258058036515888E-2</v>
      </c>
      <c r="CV75" s="37">
        <f t="shared" si="782"/>
        <v>3.0360790309457816E-2</v>
      </c>
      <c r="CW75" s="37">
        <f t="shared" si="782"/>
        <v>2.7658388552744256E-2</v>
      </c>
      <c r="CX75" s="37">
        <f t="shared" si="782"/>
        <v>2.2268172742403006E-2</v>
      </c>
      <c r="CY75" s="37">
        <f t="shared" ref="CY75:DD75" si="783">CY281</f>
        <v>2.3487963811769104E-2</v>
      </c>
      <c r="CZ75" s="36">
        <f t="shared" si="783"/>
        <v>0</v>
      </c>
      <c r="DA75" s="35">
        <f t="shared" si="783"/>
        <v>0</v>
      </c>
      <c r="DB75" s="35">
        <f t="shared" si="783"/>
        <v>0</v>
      </c>
      <c r="DC75" s="35">
        <f t="shared" si="783"/>
        <v>0</v>
      </c>
      <c r="DD75" s="35">
        <f t="shared" si="783"/>
        <v>0</v>
      </c>
      <c r="DE75" s="35">
        <f t="shared" ref="DE75" si="784">DE281</f>
        <v>0</v>
      </c>
      <c r="DF75" s="35">
        <f t="shared" ref="DF75" si="785">DF281</f>
        <v>0</v>
      </c>
      <c r="DG75" s="35">
        <f t="shared" ref="DG75" si="786">DG281</f>
        <v>0</v>
      </c>
      <c r="DH75" s="35">
        <f>DH281</f>
        <v>0</v>
      </c>
      <c r="DI75" s="35">
        <f>DI281</f>
        <v>0</v>
      </c>
    </row>
    <row r="76" spans="1:113" ht="12" hidden="1" outlineLevel="2">
      <c r="A76" s="1" t="s">
        <v>832</v>
      </c>
      <c r="B76" s="15" t="s">
        <v>274</v>
      </c>
      <c r="C76" s="345">
        <f>C306</f>
        <v>4.8563833333333327E-2</v>
      </c>
      <c r="D76" s="345">
        <f>D306</f>
        <v>4.3449999999999996E-2</v>
      </c>
      <c r="E76" s="345">
        <f>E306</f>
        <v>4.9258499999999997E-2</v>
      </c>
      <c r="F76" s="345">
        <f t="shared" ref="F76:L76" si="787">F306</f>
        <v>4.8122166666666667E-2</v>
      </c>
      <c r="G76" s="345">
        <f t="shared" si="787"/>
        <v>4.7991666666666676E-2</v>
      </c>
      <c r="H76" s="345">
        <f t="shared" si="787"/>
        <v>5.4583333333333331E-2</v>
      </c>
      <c r="I76" s="345">
        <f t="shared" si="787"/>
        <v>5.4836000000000003E-2</v>
      </c>
      <c r="J76" s="345">
        <f t="shared" si="787"/>
        <v>5.577216666666665E-2</v>
      </c>
      <c r="K76" s="345">
        <f t="shared" si="787"/>
        <v>5.662233333333333E-2</v>
      </c>
      <c r="L76" s="345">
        <f t="shared" si="787"/>
        <v>-1.040900458459194E-3</v>
      </c>
      <c r="M76" s="35">
        <f t="shared" ref="M76:T76" si="788">M306</f>
        <v>8.8613994980840584E-4</v>
      </c>
      <c r="N76" s="35">
        <f t="shared" si="788"/>
        <v>3.0465025682285766E-3</v>
      </c>
      <c r="O76" s="35">
        <f t="shared" si="788"/>
        <v>1.0495944856080098E-3</v>
      </c>
      <c r="P76" s="35">
        <f t="shared" si="788"/>
        <v>3.832631534025726E-3</v>
      </c>
      <c r="Q76" s="35">
        <f t="shared" si="788"/>
        <v>5.0597262926009726E-3</v>
      </c>
      <c r="R76" s="35">
        <f t="shared" si="788"/>
        <v>-1.2434434318375891E-2</v>
      </c>
      <c r="S76" s="35">
        <f t="shared" si="788"/>
        <v>-2.008485108746762E-3</v>
      </c>
      <c r="T76" s="37">
        <f t="shared" si="788"/>
        <v>8.5584440637580649E-3</v>
      </c>
      <c r="U76" s="35">
        <f t="shared" ref="U76:Z76" si="789">U306</f>
        <v>1.3008925417030153E-2</v>
      </c>
      <c r="V76" s="35">
        <f t="shared" si="789"/>
        <v>1.1914629120879025E-2</v>
      </c>
      <c r="W76" s="35">
        <f t="shared" si="789"/>
        <v>1.5513058704405974E-2</v>
      </c>
      <c r="X76" s="35">
        <f t="shared" si="789"/>
        <v>1.2993501315037017E-2</v>
      </c>
      <c r="Y76" s="37">
        <f t="shared" si="789"/>
        <v>4.1019766356596094E-3</v>
      </c>
      <c r="Z76" s="37">
        <f t="shared" si="789"/>
        <v>-9.9180793788056199E-4</v>
      </c>
      <c r="AA76" s="37">
        <f t="shared" ref="AA76:AF76" si="790">AA306</f>
        <v>-2.8921539957820928E-3</v>
      </c>
      <c r="AB76" s="37">
        <f t="shared" si="790"/>
        <v>-3.6961786336458043E-3</v>
      </c>
      <c r="AC76" s="37">
        <f t="shared" si="790"/>
        <v>-6.0561844620855825E-3</v>
      </c>
      <c r="AD76" s="37">
        <f t="shared" si="790"/>
        <v>-7.0401597282683552E-3</v>
      </c>
      <c r="AE76" s="37">
        <f t="shared" si="790"/>
        <v>-8.0604624941472986E-3</v>
      </c>
      <c r="AF76" s="37">
        <f t="shared" si="790"/>
        <v>-6.1342967821923656E-3</v>
      </c>
      <c r="AG76" s="37">
        <f t="shared" ref="AG76:AH76" si="791">AG306</f>
        <v>-8.1002043224655609E-3</v>
      </c>
      <c r="AH76" s="37">
        <f t="shared" si="791"/>
        <v>-9.120134250632567E-3</v>
      </c>
      <c r="AI76" s="37">
        <f t="shared" ref="AI76:AJ76" si="792">AI306</f>
        <v>-9.6945713201200944E-3</v>
      </c>
      <c r="AJ76" s="37">
        <f t="shared" si="792"/>
        <v>-1.0238387198709765E-2</v>
      </c>
      <c r="AK76" s="37">
        <f t="shared" ref="AK76:AL76" si="793">AK306</f>
        <v>-9.2398796690969752E-3</v>
      </c>
      <c r="AL76" s="37">
        <f t="shared" si="793"/>
        <v>-1.1409775175749575E-2</v>
      </c>
      <c r="AM76" s="37">
        <f t="shared" ref="AM76:AN76" si="794">AM306</f>
        <v>-1.6652711765086446E-2</v>
      </c>
      <c r="AN76" s="37">
        <f t="shared" si="794"/>
        <v>-1.664457505195318E-2</v>
      </c>
      <c r="AO76" s="37">
        <f t="shared" ref="AO76" si="795">AO306</f>
        <v>-1.6995525897853813E-2</v>
      </c>
      <c r="AP76" s="37">
        <f t="shared" ref="AP76:AQ76" si="796">AP306</f>
        <v>-1.4553108227152884E-2</v>
      </c>
      <c r="AQ76" s="37">
        <f t="shared" si="796"/>
        <v>-1.3044921255080803E-2</v>
      </c>
      <c r="AR76" s="37">
        <f t="shared" ref="AR76:AS76" si="797">AR306</f>
        <v>-1.2699257562694355E-2</v>
      </c>
      <c r="AS76" s="37">
        <f t="shared" si="797"/>
        <v>-4.2748364960103549E-3</v>
      </c>
      <c r="AT76" s="37">
        <f t="shared" ref="AT76:AV76" si="798">AT306</f>
        <v>-5.3794986736524558E-3</v>
      </c>
      <c r="AU76" s="37">
        <f t="shared" si="798"/>
        <v>-7.5643722180612182E-3</v>
      </c>
      <c r="AV76" s="37">
        <f t="shared" si="798"/>
        <v>-1.0176696878613516E-2</v>
      </c>
      <c r="AW76" s="37">
        <f t="shared" ref="AW76:AX76" si="799">AW306</f>
        <v>-9.7144861290172774E-3</v>
      </c>
      <c r="AX76" s="37">
        <f t="shared" si="799"/>
        <v>-1.2238240421116316E-2</v>
      </c>
      <c r="AY76" s="36">
        <f t="shared" ref="AY76:AY78" si="800">AX76</f>
        <v>-1.2238240421116316E-2</v>
      </c>
      <c r="AZ76" s="34">
        <f t="shared" si="765"/>
        <v>-1.2238240421116316E-2</v>
      </c>
      <c r="BA76" s="34">
        <f t="shared" si="766"/>
        <v>-1.2238240421116316E-2</v>
      </c>
      <c r="BB76" s="34">
        <f t="shared" si="766"/>
        <v>-1.2238240421116316E-2</v>
      </c>
      <c r="BC76" s="34">
        <f t="shared" si="766"/>
        <v>-1.2238240421116316E-2</v>
      </c>
      <c r="BD76" s="34">
        <f t="shared" si="766"/>
        <v>-1.2238240421116316E-2</v>
      </c>
      <c r="BE76" s="34">
        <f t="shared" si="767"/>
        <v>-1.2238240421116316E-2</v>
      </c>
      <c r="BF76" s="34">
        <f t="shared" si="768"/>
        <v>-1.2238240421116316E-2</v>
      </c>
      <c r="BG76" s="34">
        <f t="shared" si="769"/>
        <v>-1.2238240421116316E-2</v>
      </c>
      <c r="BH76" s="34">
        <f t="shared" si="770"/>
        <v>-1.2238240421116316E-2</v>
      </c>
      <c r="BI76" s="34">
        <f t="shared" si="771"/>
        <v>-1.2238240421116316E-2</v>
      </c>
      <c r="BJ76" s="34">
        <f t="shared" si="772"/>
        <v>-1.2238240421116316E-2</v>
      </c>
      <c r="BK76" s="34">
        <f t="shared" si="773"/>
        <v>-1.2238240421116316E-2</v>
      </c>
      <c r="BL76" s="34">
        <f t="shared" si="774"/>
        <v>-1.2238240421116316E-2</v>
      </c>
      <c r="BM76" s="34">
        <f t="shared" si="775"/>
        <v>-1.2238240421116316E-2</v>
      </c>
      <c r="BN76" s="34">
        <f t="shared" si="776"/>
        <v>-1.2238240421116316E-2</v>
      </c>
      <c r="BO76" s="34">
        <f t="shared" si="777"/>
        <v>-1.2238240421116316E-2</v>
      </c>
      <c r="BP76" s="34">
        <f t="shared" si="778"/>
        <v>-1.2238240421116316E-2</v>
      </c>
      <c r="BQ76" s="34">
        <f t="shared" si="779"/>
        <v>-1.2238240421116316E-2</v>
      </c>
      <c r="BR76" s="35"/>
      <c r="BS76" s="345">
        <f t="shared" ref="BS76:CB76" si="801">BS306</f>
        <v>1.4348538124456661E-3</v>
      </c>
      <c r="BT76" s="345">
        <f t="shared" si="801"/>
        <v>3.0739696027104468E-4</v>
      </c>
      <c r="BU76" s="345">
        <f t="shared" si="801"/>
        <v>4.7008964854475532E-3</v>
      </c>
      <c r="BV76" s="345">
        <f t="shared" si="801"/>
        <v>1.5800425939896896E-2</v>
      </c>
      <c r="BW76" s="345">
        <f t="shared" si="801"/>
        <v>5.7842732900539734E-3</v>
      </c>
      <c r="BX76" s="345">
        <f t="shared" si="801"/>
        <v>-6.3449140239350832E-3</v>
      </c>
      <c r="BY76" s="345">
        <f t="shared" si="801"/>
        <v>-3.8152698355968538E-2</v>
      </c>
      <c r="BZ76" s="345">
        <f t="shared" si="801"/>
        <v>8.4902721445221513E-3</v>
      </c>
      <c r="CA76" s="345">
        <f t="shared" si="801"/>
        <v>1.2704941770455426E-2</v>
      </c>
      <c r="CB76" s="345">
        <f t="shared" si="801"/>
        <v>3.9772306685095238E-3</v>
      </c>
      <c r="CC76" s="35">
        <f t="shared" ref="CC76:CO76" si="802">CC306</f>
        <v>4.6454513769421224E-2</v>
      </c>
      <c r="CD76" s="35">
        <f t="shared" si="802"/>
        <v>4.8054977837421527E-2</v>
      </c>
      <c r="CE76" s="35">
        <f t="shared" si="802"/>
        <v>5.4725718712960544E-2</v>
      </c>
      <c r="CF76" s="35">
        <f t="shared" si="802"/>
        <v>5.6205361720015001E-2</v>
      </c>
      <c r="CG76" s="35">
        <f t="shared" si="802"/>
        <v>-9.0452186286851702E-5</v>
      </c>
      <c r="CH76" s="35">
        <f t="shared" si="802"/>
        <v>2.0180751358395334E-3</v>
      </c>
      <c r="CI76" s="35">
        <f t="shared" si="802"/>
        <v>4.4350676880065719E-3</v>
      </c>
      <c r="CJ76" s="35">
        <f t="shared" si="802"/>
        <v>-7.2863422546168592E-3</v>
      </c>
      <c r="CK76" s="35">
        <f t="shared" si="802"/>
        <v>1.0771520206471739E-2</v>
      </c>
      <c r="CL76" s="35">
        <f t="shared" si="802"/>
        <v>1.3745962904184105E-2</v>
      </c>
      <c r="CM76" s="37">
        <f t="shared" si="802"/>
        <v>8.4511690075928549E-3</v>
      </c>
      <c r="CN76" s="37">
        <f t="shared" si="802"/>
        <v>-1.9897775394362928E-3</v>
      </c>
      <c r="CO76" s="37">
        <f t="shared" si="802"/>
        <v>-4.9050363044612225E-3</v>
      </c>
      <c r="CP76" s="37">
        <f t="shared" ref="CP76:CX76" si="803">CP306</f>
        <v>-7.5613027519642433E-3</v>
      </c>
      <c r="CQ76" s="37">
        <f t="shared" si="803"/>
        <v>-7.1542915242149095E-3</v>
      </c>
      <c r="CR76" s="37">
        <f t="shared" si="803"/>
        <v>-9.4142165210492294E-3</v>
      </c>
      <c r="CS76" s="37">
        <f t="shared" si="803"/>
        <v>-9.7250621587636251E-3</v>
      </c>
      <c r="CT76" s="37">
        <f t="shared" si="803"/>
        <v>-1.4122404052672446E-2</v>
      </c>
      <c r="CU76" s="37">
        <f t="shared" si="803"/>
        <v>-1.6824731931374973E-2</v>
      </c>
      <c r="CV76" s="37">
        <f t="shared" si="803"/>
        <v>-1.3800427307649962E-2</v>
      </c>
      <c r="CW76" s="37">
        <f t="shared" si="803"/>
        <v>-8.4524345819026753E-3</v>
      </c>
      <c r="CX76" s="37">
        <f t="shared" si="803"/>
        <v>-6.4959991469334009E-3</v>
      </c>
      <c r="CY76" s="37">
        <f t="shared" ref="CY76:DD76" si="804">CY306</f>
        <v>-9.9471393453882274E-3</v>
      </c>
      <c r="CZ76" s="36">
        <f t="shared" si="804"/>
        <v>0</v>
      </c>
      <c r="DA76" s="35">
        <f t="shared" si="804"/>
        <v>0</v>
      </c>
      <c r="DB76" s="35">
        <f t="shared" si="804"/>
        <v>0</v>
      </c>
      <c r="DC76" s="35">
        <f t="shared" si="804"/>
        <v>0</v>
      </c>
      <c r="DD76" s="35">
        <f t="shared" si="804"/>
        <v>0</v>
      </c>
      <c r="DE76" s="35">
        <f t="shared" ref="DE76" si="805">DE306</f>
        <v>0</v>
      </c>
      <c r="DF76" s="35">
        <f t="shared" ref="DF76" si="806">DF306</f>
        <v>0</v>
      </c>
      <c r="DG76" s="35">
        <f t="shared" ref="DG76" si="807">DG306</f>
        <v>0</v>
      </c>
      <c r="DH76" s="35">
        <f>DH306</f>
        <v>0</v>
      </c>
      <c r="DI76" s="35">
        <f>DI306</f>
        <v>0</v>
      </c>
    </row>
    <row r="77" spans="1:113" ht="12" hidden="1" outlineLevel="2">
      <c r="A77" s="1" t="s">
        <v>382</v>
      </c>
      <c r="B77" s="15" t="s">
        <v>275</v>
      </c>
      <c r="C77" s="345">
        <f>C286</f>
        <v>9.5885334255908089E-3</v>
      </c>
      <c r="D77" s="345">
        <f>D286</f>
        <v>3.7236379496832783E-4</v>
      </c>
      <c r="E77" s="345">
        <f>E286</f>
        <v>-4.6810509694068594E-3</v>
      </c>
      <c r="F77" s="345">
        <f t="shared" ref="F77:L77" si="808">F286</f>
        <v>-6.5356540057738416E-3</v>
      </c>
      <c r="G77" s="345">
        <f t="shared" si="808"/>
        <v>-7.2832003079605009E-3</v>
      </c>
      <c r="H77" s="345">
        <f t="shared" si="808"/>
        <v>-1.0401628292885289E-2</v>
      </c>
      <c r="I77" s="345">
        <f t="shared" si="808"/>
        <v>-1.3144278212066547E-2</v>
      </c>
      <c r="J77" s="345">
        <f t="shared" si="808"/>
        <v>-2.3237954937958619E-3</v>
      </c>
      <c r="K77" s="345">
        <f t="shared" si="808"/>
        <v>5.8062197920437306E-3</v>
      </c>
      <c r="L77" s="345">
        <f t="shared" si="808"/>
        <v>1.0622775738070529E-2</v>
      </c>
      <c r="M77" s="35">
        <f t="shared" ref="M77:T77" si="809">M286</f>
        <v>1.2477289218315986E-2</v>
      </c>
      <c r="N77" s="35">
        <f t="shared" si="809"/>
        <v>1.0324431909701628E-2</v>
      </c>
      <c r="O77" s="35">
        <f t="shared" si="809"/>
        <v>6.10259330138406E-3</v>
      </c>
      <c r="P77" s="35">
        <f t="shared" si="809"/>
        <v>-9.2497083531606211E-3</v>
      </c>
      <c r="Q77" s="35">
        <f t="shared" si="809"/>
        <v>-2.041613103834479E-2</v>
      </c>
      <c r="R77" s="35">
        <f t="shared" si="809"/>
        <v>1.1173555854634927E-2</v>
      </c>
      <c r="S77" s="35">
        <f t="shared" si="809"/>
        <v>1.1607317800999148E-2</v>
      </c>
      <c r="T77" s="37">
        <f t="shared" si="809"/>
        <v>6.6482579059431932E-3</v>
      </c>
      <c r="U77" s="35">
        <f t="shared" ref="U77:Z77" si="810">U286</f>
        <v>2.4903265573122113E-3</v>
      </c>
      <c r="V77" s="35">
        <f t="shared" si="810"/>
        <v>-2.9406400515149742E-3</v>
      </c>
      <c r="W77" s="35">
        <f t="shared" si="810"/>
        <v>-8.3049601524219988E-3</v>
      </c>
      <c r="X77" s="35">
        <f t="shared" si="810"/>
        <v>-2.2502871161361321E-3</v>
      </c>
      <c r="Y77" s="37">
        <f t="shared" si="810"/>
        <v>4.7912214119553778E-3</v>
      </c>
      <c r="Z77" s="37">
        <f t="shared" si="810"/>
        <v>2.6591672439657647E-3</v>
      </c>
      <c r="AA77" s="37">
        <f t="shared" ref="AA77:AF77" si="811">AA286</f>
        <v>3.128004222910815E-3</v>
      </c>
      <c r="AB77" s="37">
        <f t="shared" si="811"/>
        <v>3.435093557892184E-3</v>
      </c>
      <c r="AC77" s="37">
        <f t="shared" si="811"/>
        <v>1.527937461283168E-3</v>
      </c>
      <c r="AD77" s="37">
        <f t="shared" si="811"/>
        <v>2.8162917373022803E-3</v>
      </c>
      <c r="AE77" s="37">
        <f t="shared" si="811"/>
        <v>8.5831381498048601E-3</v>
      </c>
      <c r="AF77" s="37">
        <f t="shared" si="811"/>
        <v>1.0069136505126454E-2</v>
      </c>
      <c r="AG77" s="37">
        <f t="shared" ref="AG77:AH77" si="812">AG286</f>
        <v>1.3454678002088556E-2</v>
      </c>
      <c r="AH77" s="37">
        <f t="shared" si="812"/>
        <v>1.6160852156996159E-2</v>
      </c>
      <c r="AI77" s="37">
        <f t="shared" ref="AI77:AJ77" si="813">AI286</f>
        <v>1.768563990970112E-2</v>
      </c>
      <c r="AJ77" s="37">
        <f t="shared" si="813"/>
        <v>1.7149157187445627E-2</v>
      </c>
      <c r="AK77" s="37">
        <f t="shared" ref="AK77:AL77" si="814">AK286</f>
        <v>1.9269700269789164E-2</v>
      </c>
      <c r="AL77" s="37">
        <f t="shared" si="814"/>
        <v>2.8053487661763483E-2</v>
      </c>
      <c r="AM77" s="37">
        <f t="shared" ref="AM77:AN77" si="815">AM286</f>
        <v>3.3487610386939003E-2</v>
      </c>
      <c r="AN77" s="37">
        <f t="shared" si="815"/>
        <v>3.1728575902000844E-2</v>
      </c>
      <c r="AO77" s="37">
        <f t="shared" ref="AO77" si="816">AO286</f>
        <v>3.9716981235716264E-2</v>
      </c>
      <c r="AP77" s="37">
        <f t="shared" ref="AP77:AQ77" si="817">AP286</f>
        <v>2.1466187416678318E-2</v>
      </c>
      <c r="AQ77" s="37">
        <f t="shared" si="817"/>
        <v>1.8736891958052421E-2</v>
      </c>
      <c r="AR77" s="37">
        <f t="shared" ref="AR77:AS77" si="818">AR286</f>
        <v>1.9158116956915234E-2</v>
      </c>
      <c r="AS77" s="37">
        <f t="shared" si="818"/>
        <v>1.6016208693711727E-2</v>
      </c>
      <c r="AT77" s="37">
        <f t="shared" ref="AT77:AV77" si="819">AT286</f>
        <v>3.1615302353130648E-2</v>
      </c>
      <c r="AU77" s="37">
        <f t="shared" si="819"/>
        <v>2.7803620827931461E-2</v>
      </c>
      <c r="AV77" s="37">
        <f t="shared" si="819"/>
        <v>2.541999970192891E-2</v>
      </c>
      <c r="AW77" s="37">
        <f t="shared" ref="AW77:AX77" si="820">AW286</f>
        <v>2.4155122060389486E-2</v>
      </c>
      <c r="AX77" s="37">
        <f t="shared" si="820"/>
        <v>2.0503387348151048E-2</v>
      </c>
      <c r="AY77" s="36">
        <f t="shared" si="800"/>
        <v>2.0503387348151048E-2</v>
      </c>
      <c r="AZ77" s="34">
        <f t="shared" si="765"/>
        <v>2.0503387348151048E-2</v>
      </c>
      <c r="BA77" s="34">
        <f t="shared" si="766"/>
        <v>2.0503387348151048E-2</v>
      </c>
      <c r="BB77" s="34">
        <f t="shared" si="766"/>
        <v>2.0503387348151048E-2</v>
      </c>
      <c r="BC77" s="34">
        <f t="shared" si="766"/>
        <v>2.0503387348151048E-2</v>
      </c>
      <c r="BD77" s="34">
        <f t="shared" si="766"/>
        <v>2.0503387348151048E-2</v>
      </c>
      <c r="BE77" s="34">
        <f t="shared" si="767"/>
        <v>2.0503387348151048E-2</v>
      </c>
      <c r="BF77" s="34">
        <f t="shared" si="768"/>
        <v>2.0503387348151048E-2</v>
      </c>
      <c r="BG77" s="34">
        <f t="shared" si="769"/>
        <v>2.0503387348151048E-2</v>
      </c>
      <c r="BH77" s="34">
        <f t="shared" si="770"/>
        <v>2.0503387348151048E-2</v>
      </c>
      <c r="BI77" s="34">
        <f t="shared" si="771"/>
        <v>2.0503387348151048E-2</v>
      </c>
      <c r="BJ77" s="34">
        <f t="shared" si="772"/>
        <v>2.0503387348151048E-2</v>
      </c>
      <c r="BK77" s="34">
        <f t="shared" si="773"/>
        <v>2.0503387348151048E-2</v>
      </c>
      <c r="BL77" s="34">
        <f t="shared" si="774"/>
        <v>2.0503387348151048E-2</v>
      </c>
      <c r="BM77" s="34">
        <f t="shared" si="775"/>
        <v>2.0503387348151048E-2</v>
      </c>
      <c r="BN77" s="34">
        <f t="shared" si="776"/>
        <v>2.0503387348151048E-2</v>
      </c>
      <c r="BO77" s="34">
        <f t="shared" si="777"/>
        <v>2.0503387348151048E-2</v>
      </c>
      <c r="BP77" s="34">
        <f t="shared" si="778"/>
        <v>2.0503387348151048E-2</v>
      </c>
      <c r="BQ77" s="34">
        <f t="shared" si="779"/>
        <v>2.0503387348151048E-2</v>
      </c>
      <c r="BR77" s="35"/>
      <c r="BS77" s="345">
        <f t="shared" ref="BS77:CB77" si="821">BS286</f>
        <v>2.757688094330818E-2</v>
      </c>
      <c r="BT77" s="345">
        <f t="shared" si="821"/>
        <v>2.7703139643852841E-2</v>
      </c>
      <c r="BU77" s="345">
        <f t="shared" si="821"/>
        <v>2.661245268138801E-2</v>
      </c>
      <c r="BV77" s="345">
        <f t="shared" si="821"/>
        <v>1.2680892643589001E-2</v>
      </c>
      <c r="BW77" s="345">
        <f t="shared" si="821"/>
        <v>1.8097041914471812E-2</v>
      </c>
      <c r="BX77" s="345">
        <f t="shared" si="821"/>
        <v>2.8740880939314956E-2</v>
      </c>
      <c r="BY77" s="345">
        <f t="shared" si="821"/>
        <v>3.3952681522854196E-2</v>
      </c>
      <c r="BZ77" s="345">
        <f t="shared" si="821"/>
        <v>3.4556543415297306E-2</v>
      </c>
      <c r="CA77" s="345">
        <f t="shared" si="821"/>
        <v>2.3629806546415395E-2</v>
      </c>
      <c r="CB77" s="345">
        <f t="shared" si="821"/>
        <v>1.1184278517929309E-2</v>
      </c>
      <c r="CC77" s="35">
        <f t="shared" ref="CC77:CO77" si="822">CC286</f>
        <v>-1.9587356525240262E-3</v>
      </c>
      <c r="CD77" s="35">
        <f t="shared" si="822"/>
        <v>-6.8735963192878384E-3</v>
      </c>
      <c r="CE77" s="35">
        <f t="shared" si="822"/>
        <v>-1.1796437716615697E-2</v>
      </c>
      <c r="CF77" s="35">
        <f t="shared" si="822"/>
        <v>1.6271712920302081E-3</v>
      </c>
      <c r="CG77" s="35">
        <f t="shared" si="822"/>
        <v>1.1591793289030237E-2</v>
      </c>
      <c r="CH77" s="35">
        <f t="shared" si="822"/>
        <v>8.1505392962037699E-3</v>
      </c>
      <c r="CI77" s="35">
        <f t="shared" si="822"/>
        <v>-1.5111420160201337E-2</v>
      </c>
      <c r="CJ77" s="35">
        <f t="shared" si="822"/>
        <v>1.1369466520655852E-2</v>
      </c>
      <c r="CK77" s="35">
        <f t="shared" si="822"/>
        <v>3.974264537195976E-3</v>
      </c>
      <c r="CL77" s="35">
        <f t="shared" si="822"/>
        <v>-5.8354979102367621E-3</v>
      </c>
      <c r="CM77" s="37">
        <f t="shared" si="822"/>
        <v>1.4586663974374234E-3</v>
      </c>
      <c r="CN77" s="37">
        <f t="shared" si="822"/>
        <v>2.9146238006446303E-3</v>
      </c>
      <c r="CO77" s="37">
        <f t="shared" si="822"/>
        <v>2.4633164309144991E-3</v>
      </c>
      <c r="CP77" s="37">
        <f t="shared" ref="CP77:CX77" si="823">CP286</f>
        <v>5.7195094431976793E-3</v>
      </c>
      <c r="CQ77" s="37">
        <f t="shared" si="823"/>
        <v>1.164855752113623E-2</v>
      </c>
      <c r="CR77" s="37">
        <f t="shared" si="823"/>
        <v>1.6895888322293717E-2</v>
      </c>
      <c r="CS77" s="37">
        <f t="shared" si="823"/>
        <v>1.8238356062139915E-2</v>
      </c>
      <c r="CT77" s="37">
        <f t="shared" si="823"/>
        <v>3.0826680115332503E-2</v>
      </c>
      <c r="CU77" s="37">
        <f t="shared" si="823"/>
        <v>3.5683646320458111E-2</v>
      </c>
      <c r="CV77" s="37">
        <f t="shared" si="823"/>
        <v>2.0040498553544884E-2</v>
      </c>
      <c r="CW77" s="37">
        <f t="shared" si="823"/>
        <v>1.7509204881122321E-2</v>
      </c>
      <c r="CX77" s="37">
        <f t="shared" si="823"/>
        <v>2.9738747481636022E-2</v>
      </c>
      <c r="CY77" s="37">
        <f t="shared" ref="CY77:DD77" si="824">CY286</f>
        <v>2.4788755978294E-2</v>
      </c>
      <c r="CZ77" s="36">
        <f t="shared" si="824"/>
        <v>0</v>
      </c>
      <c r="DA77" s="35">
        <f t="shared" si="824"/>
        <v>0</v>
      </c>
      <c r="DB77" s="35">
        <f t="shared" si="824"/>
        <v>0</v>
      </c>
      <c r="DC77" s="35">
        <f t="shared" si="824"/>
        <v>0</v>
      </c>
      <c r="DD77" s="35">
        <f t="shared" si="824"/>
        <v>0</v>
      </c>
      <c r="DE77" s="35">
        <f t="shared" ref="DE77" si="825">DE286</f>
        <v>0</v>
      </c>
      <c r="DF77" s="35">
        <f t="shared" ref="DF77" si="826">DF286</f>
        <v>0</v>
      </c>
      <c r="DG77" s="35">
        <f t="shared" ref="DG77" si="827">DG286</f>
        <v>0</v>
      </c>
      <c r="DH77" s="35">
        <f>DH286</f>
        <v>0</v>
      </c>
      <c r="DI77" s="35">
        <f>DI286</f>
        <v>0</v>
      </c>
    </row>
    <row r="78" spans="1:113" ht="12" hidden="1" outlineLevel="2">
      <c r="A78" s="1" t="s">
        <v>454</v>
      </c>
      <c r="B78" s="15" t="s">
        <v>276</v>
      </c>
      <c r="C78" s="345">
        <f>C311</f>
        <v>4.8563833333333327E-2</v>
      </c>
      <c r="D78" s="345">
        <f>D311</f>
        <v>4.3449999999999996E-2</v>
      </c>
      <c r="E78" s="345">
        <f>E311</f>
        <v>4.9258499999999997E-2</v>
      </c>
      <c r="F78" s="345">
        <f t="shared" ref="F78:L78" si="828">F311</f>
        <v>4.8122166666666667E-2</v>
      </c>
      <c r="G78" s="345">
        <f t="shared" si="828"/>
        <v>4.7991666666666676E-2</v>
      </c>
      <c r="H78" s="345">
        <f t="shared" si="828"/>
        <v>5.4583333333333331E-2</v>
      </c>
      <c r="I78" s="345">
        <f t="shared" si="828"/>
        <v>5.4836000000000003E-2</v>
      </c>
      <c r="J78" s="345">
        <f t="shared" si="828"/>
        <v>5.577216666666665E-2</v>
      </c>
      <c r="K78" s="345">
        <f t="shared" si="828"/>
        <v>5.662233333333333E-2</v>
      </c>
      <c r="L78" s="345">
        <f t="shared" si="828"/>
        <v>1.7878941944631847E-2</v>
      </c>
      <c r="M78" s="35">
        <f t="shared" ref="M78:T78" si="829">M311</f>
        <v>1.6229585113469325E-2</v>
      </c>
      <c r="N78" s="35">
        <f t="shared" si="829"/>
        <v>1.7873878645438771E-2</v>
      </c>
      <c r="O78" s="35">
        <f t="shared" si="829"/>
        <v>2.1202449850022325E-2</v>
      </c>
      <c r="P78" s="35">
        <f t="shared" si="829"/>
        <v>3.0970216375048459E-2</v>
      </c>
      <c r="Q78" s="35">
        <f t="shared" si="829"/>
        <v>4.4131262942483325E-2</v>
      </c>
      <c r="R78" s="35">
        <f t="shared" si="829"/>
        <v>2.1172630876492442E-2</v>
      </c>
      <c r="S78" s="35">
        <f t="shared" si="829"/>
        <v>2.1463462609682311E-2</v>
      </c>
      <c r="T78" s="37">
        <f t="shared" si="829"/>
        <v>3.1949594040893585E-2</v>
      </c>
      <c r="U78" s="35">
        <f t="shared" ref="U78:Z78" si="830">U311</f>
        <v>3.8307771959486252E-2</v>
      </c>
      <c r="V78" s="35">
        <f t="shared" si="830"/>
        <v>3.953497069661132E-2</v>
      </c>
      <c r="W78" s="35">
        <f t="shared" si="830"/>
        <v>3.9158079934366777E-2</v>
      </c>
      <c r="X78" s="35">
        <f t="shared" si="830"/>
        <v>3.4196271976010648E-2</v>
      </c>
      <c r="Y78" s="37">
        <f t="shared" si="830"/>
        <v>2.6915440541673146E-2</v>
      </c>
      <c r="Z78" s="37">
        <f t="shared" si="830"/>
        <v>2.2766795254774479E-2</v>
      </c>
      <c r="AA78" s="37">
        <f t="shared" ref="AA78:AF78" si="831">AA311</f>
        <v>2.03540806294236E-2</v>
      </c>
      <c r="AB78" s="37">
        <f t="shared" si="831"/>
        <v>1.8834261577769944E-2</v>
      </c>
      <c r="AC78" s="37">
        <f t="shared" si="831"/>
        <v>1.9872482640006413E-2</v>
      </c>
      <c r="AD78" s="37">
        <f t="shared" si="831"/>
        <v>1.745614541907042E-2</v>
      </c>
      <c r="AE78" s="37">
        <f t="shared" si="831"/>
        <v>1.4968739160819727E-2</v>
      </c>
      <c r="AF78" s="37">
        <f t="shared" si="831"/>
        <v>1.7182253763694828E-2</v>
      </c>
      <c r="AG78" s="37">
        <f t="shared" ref="AG78:AH78" si="832">AG311</f>
        <v>1.636983463610394E-2</v>
      </c>
      <c r="AH78" s="37">
        <f t="shared" si="832"/>
        <v>1.5813323967589013E-2</v>
      </c>
      <c r="AI78" s="37">
        <f t="shared" ref="AI78:AJ78" si="833">AI311</f>
        <v>1.6263184889476517E-2</v>
      </c>
      <c r="AJ78" s="37">
        <f t="shared" si="833"/>
        <v>1.8354319702272536E-2</v>
      </c>
      <c r="AK78" s="37">
        <f t="shared" ref="AK78:AL78" si="834">AK311</f>
        <v>1.8054895497981442E-2</v>
      </c>
      <c r="AL78" s="37">
        <f t="shared" si="834"/>
        <v>1.4180554229482523E-2</v>
      </c>
      <c r="AM78" s="37">
        <f t="shared" ref="AM78:AN78" si="835">AM311</f>
        <v>8.2208055050762632E-3</v>
      </c>
      <c r="AN78" s="37">
        <f t="shared" si="835"/>
        <v>6.5458421477498164E-3</v>
      </c>
      <c r="AO78" s="37">
        <f t="shared" ref="AO78" si="836">AO311</f>
        <v>7.2756516331317321E-3</v>
      </c>
      <c r="AP78" s="37">
        <f t="shared" ref="AP78:AQ78" si="837">AP311</f>
        <v>1.2132499956237504E-2</v>
      </c>
      <c r="AQ78" s="37">
        <f t="shared" si="837"/>
        <v>1.3453758994733896E-2</v>
      </c>
      <c r="AR78" s="37">
        <f t="shared" ref="AR78:AS78" si="838">AR311</f>
        <v>1.2372958757177184E-2</v>
      </c>
      <c r="AS78" s="37">
        <f t="shared" si="838"/>
        <v>1.9076357456223287E-2</v>
      </c>
      <c r="AT78" s="37">
        <f t="shared" ref="AT78:AV78" si="839">AT311</f>
        <v>1.4107454865877793E-2</v>
      </c>
      <c r="AU78" s="37">
        <f t="shared" si="839"/>
        <v>1.2371414227672965E-2</v>
      </c>
      <c r="AV78" s="37">
        <f t="shared" si="839"/>
        <v>1.250083325202456E-2</v>
      </c>
      <c r="AW78" s="37">
        <f t="shared" ref="AW78:AX78" si="840">AW311</f>
        <v>1.4685998361457273E-2</v>
      </c>
      <c r="AX78" s="37">
        <f t="shared" si="840"/>
        <v>1.318273175740484E-2</v>
      </c>
      <c r="AY78" s="36">
        <f t="shared" si="800"/>
        <v>1.318273175740484E-2</v>
      </c>
      <c r="AZ78" s="34">
        <f>AY78-0.05%</f>
        <v>1.2682731757404839E-2</v>
      </c>
      <c r="BA78" s="34">
        <f t="shared" si="766"/>
        <v>1.2682731757404839E-2</v>
      </c>
      <c r="BB78" s="34">
        <f t="shared" si="766"/>
        <v>1.2682731757404839E-2</v>
      </c>
      <c r="BC78" s="34">
        <f t="shared" si="766"/>
        <v>1.2682731757404839E-2</v>
      </c>
      <c r="BD78" s="34">
        <f t="shared" si="766"/>
        <v>1.2682731757404839E-2</v>
      </c>
      <c r="BE78" s="34">
        <f t="shared" si="767"/>
        <v>1.2682731757404839E-2</v>
      </c>
      <c r="BF78" s="34">
        <f t="shared" si="768"/>
        <v>1.2682731757404839E-2</v>
      </c>
      <c r="BG78" s="34">
        <f t="shared" si="769"/>
        <v>1.2682731757404839E-2</v>
      </c>
      <c r="BH78" s="34">
        <f t="shared" si="770"/>
        <v>1.2682731757404839E-2</v>
      </c>
      <c r="BI78" s="34">
        <f t="shared" si="771"/>
        <v>1.2682731757404839E-2</v>
      </c>
      <c r="BJ78" s="34">
        <f t="shared" si="772"/>
        <v>1.2682731757404839E-2</v>
      </c>
      <c r="BK78" s="34">
        <f t="shared" si="773"/>
        <v>1.2682731757404839E-2</v>
      </c>
      <c r="BL78" s="34">
        <f t="shared" si="774"/>
        <v>1.2682731757404839E-2</v>
      </c>
      <c r="BM78" s="34">
        <f t="shared" si="775"/>
        <v>1.2682731757404839E-2</v>
      </c>
      <c r="BN78" s="34">
        <f t="shared" si="776"/>
        <v>1.2682731757404839E-2</v>
      </c>
      <c r="BO78" s="34">
        <f t="shared" si="777"/>
        <v>1.2682731757404839E-2</v>
      </c>
      <c r="BP78" s="34">
        <f t="shared" si="778"/>
        <v>1.2682731757404839E-2</v>
      </c>
      <c r="BQ78" s="34">
        <f t="shared" si="779"/>
        <v>1.2682731757404839E-2</v>
      </c>
      <c r="BR78" s="35"/>
      <c r="BS78" s="345">
        <f t="shared" ref="BS78:CB78" si="841">BS311</f>
        <v>-6.965723468195989E-3</v>
      </c>
      <c r="BT78" s="345">
        <f t="shared" si="841"/>
        <v>-6.2738107522852041E-3</v>
      </c>
      <c r="BU78" s="345">
        <f t="shared" si="841"/>
        <v>-1.045328746177375E-3</v>
      </c>
      <c r="BV78" s="345">
        <f t="shared" si="841"/>
        <v>1.9812168227946916E-2</v>
      </c>
      <c r="BW78" s="345">
        <f t="shared" si="841"/>
        <v>1.489332249994417E-2</v>
      </c>
      <c r="BX78" s="345">
        <f t="shared" si="841"/>
        <v>-1.4725123469318951E-4</v>
      </c>
      <c r="BY78" s="345">
        <f t="shared" si="841"/>
        <v>-1.0829240430886046E-2</v>
      </c>
      <c r="BZ78" s="345">
        <f t="shared" si="841"/>
        <v>-4.0383639042453276E-3</v>
      </c>
      <c r="CA78" s="345">
        <f t="shared" si="841"/>
        <v>5.7483353053099373E-3</v>
      </c>
      <c r="CB78" s="345">
        <f t="shared" si="841"/>
        <v>7.7293220338983323E-3</v>
      </c>
      <c r="CC78" s="35">
        <f t="shared" ref="CC78:CO78" si="842">CC311</f>
        <v>4.6263428738383412E-2</v>
      </c>
      <c r="CD78" s="35">
        <f t="shared" si="842"/>
        <v>4.8051650774412875E-2</v>
      </c>
      <c r="CE78" s="35">
        <f t="shared" si="842"/>
        <v>5.4708625859603732E-2</v>
      </c>
      <c r="CF78" s="35">
        <f t="shared" si="842"/>
        <v>5.6210464440630242E-2</v>
      </c>
      <c r="CG78" s="35">
        <f t="shared" si="842"/>
        <v>1.7001347748703519E-2</v>
      </c>
      <c r="CH78" s="35">
        <f t="shared" si="842"/>
        <v>1.960492910615496E-2</v>
      </c>
      <c r="CI78" s="35">
        <f t="shared" si="842"/>
        <v>3.822736441564159E-2</v>
      </c>
      <c r="CJ78" s="35">
        <f t="shared" si="842"/>
        <v>2.1318512232919924E-2</v>
      </c>
      <c r="CK78" s="35">
        <f t="shared" si="842"/>
        <v>3.4146890983286889E-2</v>
      </c>
      <c r="CL78" s="35">
        <f t="shared" si="842"/>
        <v>3.9335752267889816E-2</v>
      </c>
      <c r="CM78" s="37">
        <f t="shared" si="842"/>
        <v>3.0332839213245689E-2</v>
      </c>
      <c r="CN78" s="37">
        <f t="shared" si="842"/>
        <v>2.1487618178574485E-2</v>
      </c>
      <c r="CO78" s="37">
        <f t="shared" si="842"/>
        <v>1.9357548411979231E-2</v>
      </c>
      <c r="CP78" s="37">
        <f t="shared" ref="CP78:CX78" si="843">CP311</f>
        <v>1.6162737915176844E-2</v>
      </c>
      <c r="CQ78" s="37">
        <f t="shared" si="843"/>
        <v>1.6784915386834097E-2</v>
      </c>
      <c r="CR78" s="37">
        <f t="shared" si="843"/>
        <v>1.6026981295466092E-2</v>
      </c>
      <c r="CS78" s="37">
        <f t="shared" si="843"/>
        <v>1.8203067375109384E-2</v>
      </c>
      <c r="CT78" s="37">
        <f t="shared" si="843"/>
        <v>1.1076237678555674E-2</v>
      </c>
      <c r="CU78" s="37">
        <f t="shared" si="843"/>
        <v>8.2268865164198852E-3</v>
      </c>
      <c r="CV78" s="37">
        <f t="shared" si="843"/>
        <v>1.2795191174256166E-2</v>
      </c>
      <c r="CW78" s="37">
        <f t="shared" si="843"/>
        <v>1.5819030839630242E-2</v>
      </c>
      <c r="CX78" s="37">
        <f t="shared" si="843"/>
        <v>1.3241819897575561E-2</v>
      </c>
      <c r="CY78" s="37">
        <f t="shared" ref="CY78:DD78" si="844">CY311</f>
        <v>1.3542726891203121E-2</v>
      </c>
      <c r="CZ78" s="36">
        <f t="shared" si="844"/>
        <v>0</v>
      </c>
      <c r="DA78" s="35">
        <f t="shared" si="844"/>
        <v>0</v>
      </c>
      <c r="DB78" s="35">
        <f t="shared" si="844"/>
        <v>0</v>
      </c>
      <c r="DC78" s="35">
        <f t="shared" si="844"/>
        <v>0</v>
      </c>
      <c r="DD78" s="35">
        <f t="shared" si="844"/>
        <v>0</v>
      </c>
      <c r="DE78" s="35">
        <f t="shared" ref="DE78" si="845">DE311</f>
        <v>0</v>
      </c>
      <c r="DF78" s="35">
        <f t="shared" ref="DF78" si="846">DF311</f>
        <v>0</v>
      </c>
      <c r="DG78" s="35">
        <f t="shared" ref="DG78" si="847">DG311</f>
        <v>0</v>
      </c>
      <c r="DH78" s="35">
        <f>DH311</f>
        <v>0</v>
      </c>
      <c r="DI78" s="35">
        <f>DI311</f>
        <v>0</v>
      </c>
    </row>
    <row r="79" spans="1:113" ht="12" hidden="1" outlineLevel="2">
      <c r="A79" s="1" t="s">
        <v>833</v>
      </c>
      <c r="B79" s="15" t="s">
        <v>277</v>
      </c>
      <c r="C79" s="345">
        <f>C317</f>
        <v>1.9223318163319947E-2</v>
      </c>
      <c r="D79" s="345">
        <f>D317</f>
        <v>1.7885962904960227E-2</v>
      </c>
      <c r="E79" s="345">
        <f>E317</f>
        <v>2.1370896397589965E-2</v>
      </c>
      <c r="F79" s="345">
        <f t="shared" ref="F79:L79" si="848">F317</f>
        <v>1.581382669591351E-2</v>
      </c>
      <c r="G79" s="345">
        <f t="shared" si="848"/>
        <v>1.3766241669444934E-2</v>
      </c>
      <c r="H79" s="345">
        <f t="shared" si="848"/>
        <v>3.1997836815996273E-3</v>
      </c>
      <c r="I79" s="345">
        <f t="shared" si="848"/>
        <v>-1.2566915322131951E-2</v>
      </c>
      <c r="J79" s="345">
        <f t="shared" si="848"/>
        <v>-8.6155356688359094E-2</v>
      </c>
      <c r="K79" s="345">
        <f t="shared" si="848"/>
        <v>-8.7617430213970782E-2</v>
      </c>
      <c r="L79" s="345">
        <f t="shared" si="848"/>
        <v>-3.8571192747787661E-3</v>
      </c>
      <c r="M79" s="35">
        <f t="shared" ref="M79:T79" si="849">M317</f>
        <v>-2.201141248599078E-4</v>
      </c>
      <c r="N79" s="35">
        <f t="shared" si="849"/>
        <v>-1.9119363294536186E-3</v>
      </c>
      <c r="O79" s="35">
        <f t="shared" si="849"/>
        <v>-2.6212555656373025E-3</v>
      </c>
      <c r="P79" s="35">
        <f t="shared" si="849"/>
        <v>1.1236233722075149E-4</v>
      </c>
      <c r="Q79" s="35">
        <f t="shared" si="849"/>
        <v>1.3456165592472724E-3</v>
      </c>
      <c r="R79" s="35">
        <f t="shared" si="849"/>
        <v>-1.2883159993534142E-2</v>
      </c>
      <c r="S79" s="35">
        <f t="shared" si="849"/>
        <v>-6.2201467790950135E-3</v>
      </c>
      <c r="T79" s="37">
        <f t="shared" si="849"/>
        <v>-7.8357603386835519E-4</v>
      </c>
      <c r="U79" s="35">
        <f t="shared" ref="U79:Z79" si="850">U317</f>
        <v>-1.1258087556469745E-3</v>
      </c>
      <c r="V79" s="35">
        <f t="shared" si="850"/>
        <v>-1.1520616713297611E-3</v>
      </c>
      <c r="W79" s="35">
        <f t="shared" si="850"/>
        <v>-1.5061285536595375E-5</v>
      </c>
      <c r="X79" s="35">
        <f t="shared" si="850"/>
        <v>2.1588780168344186E-4</v>
      </c>
      <c r="Y79" s="37">
        <f t="shared" si="850"/>
        <v>-3.7701136683709986E-3</v>
      </c>
      <c r="Z79" s="37">
        <f t="shared" si="850"/>
        <v>-5.5138410866410201E-3</v>
      </c>
      <c r="AA79" s="37">
        <f t="shared" ref="AA79:AF79" si="851">AA317</f>
        <v>-9.0828478621849534E-3</v>
      </c>
      <c r="AB79" s="37">
        <f t="shared" si="851"/>
        <v>-8.0056588700174423E-3</v>
      </c>
      <c r="AC79" s="37">
        <f t="shared" si="851"/>
        <v>-6.1700901165742568E-3</v>
      </c>
      <c r="AD79" s="37">
        <f t="shared" si="851"/>
        <v>-3.3555256015450198E-3</v>
      </c>
      <c r="AE79" s="37">
        <f t="shared" si="851"/>
        <v>-6.2432914221046531E-3</v>
      </c>
      <c r="AF79" s="37">
        <f t="shared" si="851"/>
        <v>-3.8032681495332463E-3</v>
      </c>
      <c r="AG79" s="37">
        <f t="shared" ref="AG79:AH79" si="852">AG317</f>
        <v>-8.4732631664184918E-3</v>
      </c>
      <c r="AH79" s="37">
        <f t="shared" si="852"/>
        <v>-8.2598662849082006E-3</v>
      </c>
      <c r="AI79" s="37">
        <f t="shared" ref="AI79:AJ79" si="853">AI317</f>
        <v>-9.7423839265302539E-3</v>
      </c>
      <c r="AJ79" s="37">
        <f t="shared" si="853"/>
        <v>-1.0010627414332543E-2</v>
      </c>
      <c r="AK79" s="37">
        <f t="shared" ref="AK79:AL79" si="854">AK317</f>
        <v>-1.001719291992457E-2</v>
      </c>
      <c r="AL79" s="37">
        <f t="shared" si="854"/>
        <v>-9.754614817180679E-3</v>
      </c>
      <c r="AM79" s="37">
        <f t="shared" ref="AM79:AN79" si="855">AM317</f>
        <v>-1.3764811480938735E-2</v>
      </c>
      <c r="AN79" s="37">
        <f t="shared" si="855"/>
        <v>-1.280569574365145E-2</v>
      </c>
      <c r="AO79" s="37">
        <f t="shared" ref="AO79" si="856">AO317</f>
        <v>-1.0556420505124503E-2</v>
      </c>
      <c r="AP79" s="37">
        <f t="shared" ref="AP79:AQ79" si="857">AP317</f>
        <v>-1.1388232112330343E-2</v>
      </c>
      <c r="AQ79" s="37">
        <f t="shared" si="857"/>
        <v>-1.004962667254064E-2</v>
      </c>
      <c r="AR79" s="37">
        <f t="shared" ref="AR79:AS79" si="858">AR317</f>
        <v>-9.8053287018080738E-3</v>
      </c>
      <c r="AS79" s="37">
        <f t="shared" si="858"/>
        <v>-2.8217545970976284E-3</v>
      </c>
      <c r="AT79" s="37">
        <f t="shared" ref="AT79:AV79" si="859">AT317</f>
        <v>-6.46465817334796E-3</v>
      </c>
      <c r="AU79" s="37">
        <f t="shared" si="859"/>
        <v>-7.8209599823090715E-3</v>
      </c>
      <c r="AV79" s="37">
        <f t="shared" si="859"/>
        <v>-7.5704324816215649E-3</v>
      </c>
      <c r="AW79" s="37">
        <f t="shared" ref="AW79:AX79" si="860">AW317</f>
        <v>-8.4257327012329363E-3</v>
      </c>
      <c r="AX79" s="37">
        <f t="shared" si="860"/>
        <v>4.5004382417552694E-5</v>
      </c>
      <c r="AY79" s="36">
        <f>AX79-0%</f>
        <v>4.5004382417552694E-5</v>
      </c>
      <c r="AZ79" s="34">
        <f>AY79-0.025%</f>
        <v>-2.0499561758244731E-4</v>
      </c>
      <c r="BA79" s="34">
        <f>AZ79</f>
        <v>-2.0499561758244731E-4</v>
      </c>
      <c r="BB79" s="34">
        <f t="shared" ref="BB79" si="861">BA79-0.01%</f>
        <v>-3.0499561758244733E-4</v>
      </c>
      <c r="BC79" s="34">
        <f t="shared" ref="BC79" si="862">BB79-0.01%</f>
        <v>-4.0499561758244732E-4</v>
      </c>
      <c r="BD79" s="34">
        <f t="shared" ref="BD79" si="863">BC79</f>
        <v>-4.0499561758244732E-4</v>
      </c>
      <c r="BE79" s="34">
        <f t="shared" si="767"/>
        <v>-4.0499561758244732E-4</v>
      </c>
      <c r="BF79" s="34">
        <f t="shared" si="768"/>
        <v>-4.0499561758244732E-4</v>
      </c>
      <c r="BG79" s="34">
        <f t="shared" si="769"/>
        <v>-4.0499561758244732E-4</v>
      </c>
      <c r="BH79" s="34">
        <f t="shared" si="770"/>
        <v>-4.0499561758244732E-4</v>
      </c>
      <c r="BI79" s="34">
        <f t="shared" si="771"/>
        <v>-4.0499561758244732E-4</v>
      </c>
      <c r="BJ79" s="34">
        <f t="shared" si="772"/>
        <v>-4.0499561758244732E-4</v>
      </c>
      <c r="BK79" s="34">
        <f t="shared" si="773"/>
        <v>-4.0499561758244732E-4</v>
      </c>
      <c r="BL79" s="34">
        <f t="shared" si="774"/>
        <v>-4.0499561758244732E-4</v>
      </c>
      <c r="BM79" s="34">
        <f t="shared" si="775"/>
        <v>-4.0499561758244732E-4</v>
      </c>
      <c r="BN79" s="34">
        <f t="shared" si="776"/>
        <v>-4.0499561758244732E-4</v>
      </c>
      <c r="BO79" s="34">
        <f t="shared" si="777"/>
        <v>-4.0499561758244732E-4</v>
      </c>
      <c r="BP79" s="34">
        <f t="shared" si="778"/>
        <v>-4.0499561758244732E-4</v>
      </c>
      <c r="BQ79" s="34">
        <f t="shared" si="779"/>
        <v>-4.0499561758244732E-4</v>
      </c>
      <c r="BR79" s="35"/>
      <c r="BS79" s="345">
        <f t="shared" ref="BS79:CB79" si="864">BS317</f>
        <v>2.9839111002260509E-2</v>
      </c>
      <c r="BT79" s="345">
        <f t="shared" si="864"/>
        <v>-9.389141178819822E-3</v>
      </c>
      <c r="BU79" s="345">
        <f t="shared" si="864"/>
        <v>2.7300970898657606E-3</v>
      </c>
      <c r="BV79" s="345">
        <f t="shared" si="864"/>
        <v>2.5927088010776959E-3</v>
      </c>
      <c r="BW79" s="345">
        <f t="shared" si="864"/>
        <v>-1.0758684152778139E-3</v>
      </c>
      <c r="BX79" s="345">
        <f t="shared" si="864"/>
        <v>-1.565674130730086E-2</v>
      </c>
      <c r="BY79" s="345">
        <f t="shared" si="864"/>
        <v>-4.5961462967809381E-3</v>
      </c>
      <c r="BZ79" s="345">
        <f t="shared" si="864"/>
        <v>-9.2860375941101938E-3</v>
      </c>
      <c r="CA79" s="345">
        <f t="shared" si="864"/>
        <v>-6.0233838784962664E-3</v>
      </c>
      <c r="CB79" s="345">
        <f t="shared" si="864"/>
        <v>-9.3788123701204051E-3</v>
      </c>
      <c r="CC79" s="35">
        <f t="shared" ref="CC79:CR80" si="865">CC317</f>
        <v>1.961264916370363E-2</v>
      </c>
      <c r="CD79" s="35">
        <f t="shared" si="865"/>
        <v>1.479073206700844E-2</v>
      </c>
      <c r="CE79" s="35">
        <f t="shared" si="865"/>
        <v>-4.3214490528480755E-3</v>
      </c>
      <c r="CF79" s="35">
        <f t="shared" si="865"/>
        <v>-8.6952399800126479E-2</v>
      </c>
      <c r="CG79" s="35">
        <f t="shared" si="865"/>
        <v>-2.003116664156993E-3</v>
      </c>
      <c r="CH79" s="35">
        <f t="shared" si="865"/>
        <v>-2.2702733283103006E-3</v>
      </c>
      <c r="CI79" s="35">
        <f t="shared" si="865"/>
        <v>7.4192365005681363E-4</v>
      </c>
      <c r="CJ79" s="35">
        <f t="shared" si="865"/>
        <v>-9.7253208006613141E-3</v>
      </c>
      <c r="CK79" s="35">
        <f t="shared" si="865"/>
        <v>-9.7372679907128858E-4</v>
      </c>
      <c r="CL79" s="35">
        <f t="shared" si="865"/>
        <v>-5.7078286634047E-4</v>
      </c>
      <c r="CM79" s="37">
        <f t="shared" si="865"/>
        <v>-1.7894165067017112E-3</v>
      </c>
      <c r="CN79" s="37">
        <f t="shared" si="865"/>
        <v>-7.3927893802231311E-3</v>
      </c>
      <c r="CO79" s="37">
        <f t="shared" si="865"/>
        <v>-7.0370408511603241E-3</v>
      </c>
      <c r="CP79" s="37">
        <f t="shared" si="865"/>
        <v>-4.8165024426639605E-3</v>
      </c>
      <c r="CQ79" s="37">
        <f t="shared" si="865"/>
        <v>-6.1370604933753013E-3</v>
      </c>
      <c r="CR79" s="37">
        <f t="shared" si="865"/>
        <v>-9.0011640730570091E-3</v>
      </c>
      <c r="CS79" s="37">
        <f t="shared" ref="CS79:CX80" si="866">CS317</f>
        <v>-1.0014018013971065E-2</v>
      </c>
      <c r="CT79" s="37">
        <f t="shared" si="866"/>
        <v>-1.1741345833390312E-2</v>
      </c>
      <c r="CU79" s="37">
        <f t="shared" si="866"/>
        <v>-1.2053648890448831E-2</v>
      </c>
      <c r="CV79" s="37">
        <f t="shared" si="866"/>
        <v>-1.0713650546666318E-2</v>
      </c>
      <c r="CW79" s="37">
        <f t="shared" si="866"/>
        <v>-6.2063920198018527E-3</v>
      </c>
      <c r="CX79" s="37">
        <f t="shared" si="866"/>
        <v>-7.1421082385338952E-3</v>
      </c>
      <c r="CY79" s="37">
        <f t="shared" ref="CY79:DA80" si="867">CY317</f>
        <v>-8.0061850535039884E-3</v>
      </c>
      <c r="CZ79" s="36">
        <f t="shared" si="867"/>
        <v>0</v>
      </c>
      <c r="DA79" s="35">
        <f t="shared" si="867"/>
        <v>0</v>
      </c>
      <c r="DB79" s="35">
        <f t="shared" ref="DB79:DC79" si="868">DB317</f>
        <v>0</v>
      </c>
      <c r="DC79" s="35">
        <f t="shared" si="868"/>
        <v>0</v>
      </c>
      <c r="DD79" s="35">
        <f t="shared" ref="DD79" si="869">DD317</f>
        <v>0</v>
      </c>
      <c r="DE79" s="35">
        <f t="shared" ref="DE79:DG80" si="870">DE317</f>
        <v>0</v>
      </c>
      <c r="DF79" s="35">
        <f t="shared" si="870"/>
        <v>0</v>
      </c>
      <c r="DG79" s="35">
        <f t="shared" si="870"/>
        <v>0</v>
      </c>
      <c r="DH79" s="35">
        <f t="shared" ref="DH79" si="871">DH317</f>
        <v>0</v>
      </c>
      <c r="DI79" s="35">
        <f t="shared" ref="DI79" si="872">DI317</f>
        <v>0</v>
      </c>
    </row>
    <row r="80" spans="1:113" ht="12" outlineLevel="1" collapsed="1">
      <c r="A80" s="1" t="s">
        <v>1126</v>
      </c>
      <c r="B80" s="15" t="s">
        <v>1069</v>
      </c>
      <c r="C80" s="376">
        <v>4.8563833333333327E-2</v>
      </c>
      <c r="D80" s="376">
        <v>4.3449999999999996E-2</v>
      </c>
      <c r="E80" s="376">
        <v>4.9258500000000004E-2</v>
      </c>
      <c r="F80" s="376">
        <v>4.8122166666666667E-2</v>
      </c>
      <c r="G80" s="376">
        <v>4.7991666666666676E-2</v>
      </c>
      <c r="H80" s="376">
        <v>5.4583333333333331E-2</v>
      </c>
      <c r="I80" s="376">
        <v>5.4836000000000003E-2</v>
      </c>
      <c r="J80" s="376">
        <v>5.5772166666666657E-2</v>
      </c>
      <c r="K80" s="376">
        <v>5.662233333333333E-2</v>
      </c>
      <c r="L80" s="376">
        <v>5.6355846153846152E-2</v>
      </c>
      <c r="M80" s="38">
        <v>6.0129769230769285E-2</v>
      </c>
      <c r="N80" s="38">
        <v>6.3802999999999985E-2</v>
      </c>
      <c r="O80" s="38">
        <v>6.5715230769230776E-2</v>
      </c>
      <c r="P80" s="38">
        <v>7.3364427480916011E-2</v>
      </c>
      <c r="Q80" s="38">
        <v>7.6400687022900773E-2</v>
      </c>
      <c r="R80" s="38">
        <v>4.2395307692307697E-2</v>
      </c>
      <c r="S80" s="38">
        <v>3.216022900763358E-2</v>
      </c>
      <c r="T80" s="38">
        <v>4.1024615384615402E-2</v>
      </c>
      <c r="U80" s="38">
        <v>4.7748091603053433E-2</v>
      </c>
      <c r="V80" s="38">
        <v>4.9392307692307597E-2</v>
      </c>
      <c r="W80" s="38">
        <v>4.9166412213740462E-2</v>
      </c>
      <c r="X80" s="38">
        <v>4.5109230769230797E-2</v>
      </c>
      <c r="Y80" s="73">
        <v>3.6663076923076902E-2</v>
      </c>
      <c r="Z80" s="330">
        <v>3.0902538461538499E-2</v>
      </c>
      <c r="AA80" s="330">
        <v>2.7602290076335901E-2</v>
      </c>
      <c r="AB80" s="330">
        <v>2.6119230769230804E-2</v>
      </c>
      <c r="AC80" s="407">
        <v>2.6741666666666664E-2</v>
      </c>
      <c r="AD80" s="414">
        <v>2.5995876923076939E-2</v>
      </c>
      <c r="AE80" s="407">
        <v>2.1649618320610679E-2</v>
      </c>
      <c r="AF80" s="407">
        <v>2.26862595419847E-2</v>
      </c>
      <c r="AG80" s="407">
        <f>1.94579923664122%</f>
        <v>1.94579923664122E-2</v>
      </c>
      <c r="AH80" s="407">
        <v>1.7719200000000001E-2</v>
      </c>
      <c r="AI80" s="330">
        <v>1.7227309999999999E-2</v>
      </c>
      <c r="AJ80" s="330">
        <v>1.7827692307692301E-2</v>
      </c>
      <c r="AK80" s="330">
        <v>1.9993076923076926E-2</v>
      </c>
      <c r="AL80" s="330">
        <v>1.9621538461538499E-2</v>
      </c>
      <c r="AM80" s="330">
        <v>1.2658778625954201E-2</v>
      </c>
      <c r="AN80" s="330">
        <v>8.3061068702290197E-3</v>
      </c>
      <c r="AO80" s="330">
        <v>1.1099236641221399E-3</v>
      </c>
      <c r="AP80" s="407">
        <v>3.4490740740740738E-4</v>
      </c>
      <c r="AQ80" s="407">
        <v>3.83571428571428E-4</v>
      </c>
      <c r="AR80" s="407">
        <v>8.6689230769230769E-4</v>
      </c>
      <c r="AS80" s="407">
        <v>1.713309160305344E-2</v>
      </c>
      <c r="AT80" s="407">
        <v>3.2851469230769231E-2</v>
      </c>
      <c r="AU80" s="407">
        <v>4.0793623076923094E-2</v>
      </c>
      <c r="AV80" s="407">
        <v>4.3398653846153844E-2</v>
      </c>
      <c r="AW80" s="407">
        <v>4.4202666666666668E-2</v>
      </c>
      <c r="AX80" s="407">
        <v>4.2922333333333326E-2</v>
      </c>
      <c r="AY80" s="513">
        <f>VLOOKUP($A80,[1]Sheet1!$2:$65479,MATCH(AY$3,[1]Sheet1!$2:$2,0),FALSE)</f>
        <v>3.6722999999999999E-2</v>
      </c>
      <c r="AZ80" s="149">
        <f>VLOOKUP($A80,[1]Sheet1!$2:$65479,MATCH(AZ$3,[1]Sheet1!$2:$2,0),FALSE)</f>
        <v>3.8437499999999999E-2</v>
      </c>
      <c r="BA80" s="149">
        <f>VLOOKUP($A80,[1]Sheet1!$2:$65479,MATCH(BA$3,[1]Sheet1!$2:$2,0),FALSE)</f>
        <v>4.2749999999999996E-2</v>
      </c>
      <c r="BB80" s="149">
        <f>VLOOKUP($A80,[1]Sheet1!$2:$65479,MATCH(BB$3,[1]Sheet1!$2:$2,0),FALSE)</f>
        <v>4.2249999999999996E-2</v>
      </c>
      <c r="BC80" s="149">
        <f>VLOOKUP($A80,[1]Sheet1!$2:$65479,MATCH(BC$3,[1]Sheet1!$2:$2,0),FALSE)</f>
        <v>3.8500000000000006E-2</v>
      </c>
      <c r="BD80" s="149">
        <f>VLOOKUP($A80,[1]Sheet1!$2:$65479,MATCH(BD$3,[1]Sheet1!$2:$2,0),FALSE)</f>
        <v>3.8500000000000006E-2</v>
      </c>
      <c r="BE80" s="149">
        <f>VLOOKUP($A80,[1]Sheet1!$2:$65479,MATCH(BE$3,[1]Sheet1!$2:$2,0),FALSE)</f>
        <v>3.8500000000000006E-2</v>
      </c>
      <c r="BF80" s="149">
        <f>VLOOKUP($A80,[1]Sheet1!$2:$65479,MATCH(BF$3,[1]Sheet1!$2:$2,0),FALSE)</f>
        <v>3.8500000000000006E-2</v>
      </c>
      <c r="BG80" s="149">
        <f>VLOOKUP($A80,[1]Sheet1!$2:$65479,MATCH(BG$3,[1]Sheet1!$2:$2,0),FALSE)</f>
        <v>3.8500000000000006E-2</v>
      </c>
      <c r="BH80" s="149">
        <f>VLOOKUP($A80,[1]Sheet1!$2:$65479,MATCH(BH$3,[1]Sheet1!$2:$2,0),FALSE)</f>
        <v>3.8500000000000006E-2</v>
      </c>
      <c r="BI80" s="149">
        <f>VLOOKUP($A80,[1]Sheet1!$2:$65479,MATCH(BI$3,[1]Sheet1!$2:$2,0),FALSE)</f>
        <v>3.8500000000000006E-2</v>
      </c>
      <c r="BJ80" s="149">
        <f>VLOOKUP($A80,[1]Sheet1!$2:$65479,MATCH(BJ$3,[1]Sheet1!$2:$2,0),FALSE)</f>
        <v>3.8500000000000006E-2</v>
      </c>
      <c r="BK80" s="149">
        <f>VLOOKUP($A80,[1]Sheet1!$2:$65479,MATCH(BK$3,[1]Sheet1!$2:$2,0),FALSE)</f>
        <v>3.8500000000000006E-2</v>
      </c>
      <c r="BL80" s="149">
        <f>VLOOKUP($A80,[1]Sheet1!$2:$65479,MATCH(BL$3,[1]Sheet1!$2:$2,0),FALSE)</f>
        <v>3.8500000000000006E-2</v>
      </c>
      <c r="BM80" s="149">
        <f>VLOOKUP($A80,[1]Sheet1!$2:$65479,MATCH(BM$3,[1]Sheet1!$2:$2,0),FALSE)</f>
        <v>3.8500000000000006E-2</v>
      </c>
      <c r="BN80" s="149">
        <f>VLOOKUP($A80,[1]Sheet1!$2:$65479,MATCH(BN$3,[1]Sheet1!$2:$2,0),FALSE)</f>
        <v>3.8500000000000006E-2</v>
      </c>
      <c r="BO80" s="149">
        <f>VLOOKUP($A80,[1]Sheet1!$2:$65479,MATCH(BO$3,[1]Sheet1!$2:$2,0),FALSE)</f>
        <v>3.8500000000000006E-2</v>
      </c>
      <c r="BP80" s="149">
        <f>VLOOKUP($A80,[1]Sheet1!$2:$65479,MATCH(BP$3,[1]Sheet1!$2:$2,0),FALSE)</f>
        <v>3.8500000000000006E-2</v>
      </c>
      <c r="BQ80" s="149">
        <f>VLOOKUP($A80,[1]Sheet1!$2:$65479,MATCH(BQ$3,[1]Sheet1!$2:$2,0),FALSE)</f>
        <v>3.8500000000000006E-2</v>
      </c>
      <c r="BR80" s="35"/>
      <c r="BS80" s="394">
        <v>6.987500000000002E-2</v>
      </c>
      <c r="BT80" s="394">
        <v>5.3925000000000008E-2</v>
      </c>
      <c r="BU80" s="394">
        <v>5.151583333333333E-2</v>
      </c>
      <c r="BV80" s="394">
        <v>7.6720833333333335E-2</v>
      </c>
      <c r="BW80" s="394">
        <v>7.3661666666666681E-2</v>
      </c>
      <c r="BX80" s="394">
        <v>5.6936166666666663E-2</v>
      </c>
      <c r="BY80" s="394">
        <v>5.062500000000001E-2</v>
      </c>
      <c r="BZ80" s="394">
        <v>4.8845750000000007E-2</v>
      </c>
      <c r="CA80" s="376">
        <v>5.9791153846153834E-2</v>
      </c>
      <c r="CB80" s="376">
        <v>5.4170000000000031E-2</v>
      </c>
      <c r="CC80" s="35">
        <f t="shared" si="865"/>
        <v>4.6315679736157904E-2</v>
      </c>
      <c r="CD80" s="35">
        <f t="shared" si="865"/>
        <v>4.8051677993831685E-2</v>
      </c>
      <c r="CE80" s="35">
        <f t="shared" si="865"/>
        <v>5.468510414930762E-2</v>
      </c>
      <c r="CF80" s="35">
        <f t="shared" si="865"/>
        <v>5.621982491358863E-2</v>
      </c>
      <c r="CG80" s="35">
        <f t="shared" si="865"/>
        <v>5.6270985162033021E-2</v>
      </c>
      <c r="CH80" s="35">
        <f t="shared" si="865"/>
        <v>6.4652604177034084E-2</v>
      </c>
      <c r="CI80" s="35">
        <f t="shared" si="865"/>
        <v>7.5017118804568128E-2</v>
      </c>
      <c r="CJ80" s="35">
        <f t="shared" si="865"/>
        <v>3.7763425196403223E-2</v>
      </c>
      <c r="CK80" s="35">
        <f t="shared" si="865"/>
        <v>4.4383355273174926E-2</v>
      </c>
      <c r="CL80" s="35">
        <f t="shared" si="865"/>
        <v>4.0524456830033147E-2</v>
      </c>
      <c r="CM80" s="37">
        <f t="shared" si="865"/>
        <v>4.0479900777485825E-2</v>
      </c>
      <c r="CN80" s="37">
        <f t="shared" si="865"/>
        <v>2.9636694357953765E-2</v>
      </c>
      <c r="CO80" s="37">
        <f t="shared" si="865"/>
        <v>2.643872694886628E-2</v>
      </c>
      <c r="CP80" s="37">
        <f t="shared" si="865"/>
        <v>2.3574927510184873E-2</v>
      </c>
      <c r="CQ80" s="37">
        <f t="shared" si="865"/>
        <v>2.1272291164600145E-2</v>
      </c>
      <c r="CR80" s="37">
        <f t="shared" si="865"/>
        <v>1.7457349688910474E-2</v>
      </c>
      <c r="CS80" s="37">
        <f t="shared" si="866"/>
        <v>1.8959765799157743E-2</v>
      </c>
      <c r="CT80" s="37">
        <f t="shared" si="866"/>
        <v>1.6800625931827171E-2</v>
      </c>
      <c r="CU80" s="37">
        <f t="shared" si="866"/>
        <v>3.0881798197531962E-3</v>
      </c>
      <c r="CV80" s="37">
        <f t="shared" si="866"/>
        <v>3.6527458742687116E-4</v>
      </c>
      <c r="CW80" s="37">
        <f t="shared" si="866"/>
        <v>8.417825321042214E-3</v>
      </c>
      <c r="CX80" s="37">
        <f t="shared" si="866"/>
        <v>3.670515214418469E-2</v>
      </c>
      <c r="CY80" s="37">
        <f t="shared" si="867"/>
        <v>4.3819132933592457E-2</v>
      </c>
      <c r="CZ80" s="36">
        <f t="shared" si="867"/>
        <v>0</v>
      </c>
      <c r="DA80" s="35">
        <f t="shared" si="867"/>
        <v>0</v>
      </c>
      <c r="DB80" s="35">
        <f t="shared" ref="DB80:DC80" si="873">DB318</f>
        <v>0</v>
      </c>
      <c r="DC80" s="35">
        <f t="shared" si="873"/>
        <v>0</v>
      </c>
      <c r="DD80" s="35">
        <f t="shared" ref="DD80" si="874">DD318</f>
        <v>0</v>
      </c>
      <c r="DE80" s="35">
        <f t="shared" si="870"/>
        <v>0</v>
      </c>
      <c r="DF80" s="35">
        <f t="shared" si="870"/>
        <v>0</v>
      </c>
      <c r="DG80" s="35">
        <f t="shared" si="870"/>
        <v>0</v>
      </c>
      <c r="DH80" s="35">
        <f t="shared" ref="DH80" si="875">DH318</f>
        <v>0</v>
      </c>
      <c r="DI80" s="35">
        <f t="shared" ref="DI80" si="876">DI318</f>
        <v>0</v>
      </c>
    </row>
    <row r="81" spans="1:113" ht="12" outlineLevel="1">
      <c r="A81" s="1" t="s">
        <v>698</v>
      </c>
      <c r="B81" s="15" t="s">
        <v>531</v>
      </c>
      <c r="C81" s="345">
        <f t="shared" ref="C81:L81" si="877">C323</f>
        <v>2.7542525224884339E-2</v>
      </c>
      <c r="D81" s="345">
        <f t="shared" si="877"/>
        <v>2.7376529741967255E-2</v>
      </c>
      <c r="E81" s="345">
        <f t="shared" si="877"/>
        <v>2.7689893297031559E-2</v>
      </c>
      <c r="F81" s="345">
        <f t="shared" si="877"/>
        <v>2.6966410989231943E-2</v>
      </c>
      <c r="G81" s="345">
        <f t="shared" si="877"/>
        <v>2.6220845289915029E-2</v>
      </c>
      <c r="H81" s="345">
        <f t="shared" si="877"/>
        <v>2.5185095888209122E-2</v>
      </c>
      <c r="I81" s="345">
        <f t="shared" si="877"/>
        <v>2.4376165527040229E-2</v>
      </c>
      <c r="J81" s="345">
        <f t="shared" si="877"/>
        <v>2.5712937809823963E-2</v>
      </c>
      <c r="K81" s="345">
        <f t="shared" si="877"/>
        <v>2.4651871216901475E-2</v>
      </c>
      <c r="L81" s="345">
        <f t="shared" si="877"/>
        <v>2.2946099028772184E-2</v>
      </c>
      <c r="M81" s="35">
        <f t="shared" ref="M81:AH81" si="878">M323</f>
        <v>2.3305065599238846E-2</v>
      </c>
      <c r="N81" s="35">
        <f t="shared" si="878"/>
        <v>2.2374355925505712E-2</v>
      </c>
      <c r="O81" s="35">
        <f t="shared" si="878"/>
        <v>2.1462750108869839E-2</v>
      </c>
      <c r="P81" s="35">
        <f t="shared" si="878"/>
        <v>1.9957023763641259E-2</v>
      </c>
      <c r="Q81" s="35">
        <f t="shared" si="878"/>
        <v>2.0211751618926535E-2</v>
      </c>
      <c r="R81" s="35">
        <f t="shared" si="878"/>
        <v>2.2221149959869305E-2</v>
      </c>
      <c r="S81" s="35">
        <f t="shared" si="878"/>
        <v>2.4079769418525597E-2</v>
      </c>
      <c r="T81" s="37">
        <f t="shared" si="878"/>
        <v>2.4516818953123881E-2</v>
      </c>
      <c r="U81" s="35">
        <f t="shared" si="878"/>
        <v>2.4970433186508385E-2</v>
      </c>
      <c r="V81" s="35">
        <f t="shared" si="878"/>
        <v>2.4747461285322424E-2</v>
      </c>
      <c r="W81" s="35">
        <f t="shared" si="878"/>
        <v>2.4462460657294023E-2</v>
      </c>
      <c r="X81" s="35">
        <f t="shared" si="878"/>
        <v>2.3523769463914365E-2</v>
      </c>
      <c r="Y81" s="37">
        <f>Y323</f>
        <v>2.2766421201090382E-2</v>
      </c>
      <c r="Z81" s="37">
        <f t="shared" si="878"/>
        <v>2.2482604907496685E-2</v>
      </c>
      <c r="AA81" s="37">
        <f t="shared" si="878"/>
        <v>2.1873033387705101E-2</v>
      </c>
      <c r="AB81" s="37">
        <f t="shared" si="878"/>
        <v>2.1450292275719221E-2</v>
      </c>
      <c r="AC81" s="37">
        <f t="shared" si="878"/>
        <v>2.12052157638314E-2</v>
      </c>
      <c r="AD81" s="37">
        <f t="shared" si="878"/>
        <v>2.0386155827046854E-2</v>
      </c>
      <c r="AE81" s="37">
        <f t="shared" si="878"/>
        <v>2.0383137446578433E-2</v>
      </c>
      <c r="AF81" s="37">
        <f t="shared" si="878"/>
        <v>2.0694699854387849E-2</v>
      </c>
      <c r="AG81" s="37">
        <f t="shared" si="878"/>
        <v>2.0614152202937247E-2</v>
      </c>
      <c r="AH81" s="37">
        <f t="shared" si="878"/>
        <v>2.0000865346245005E-2</v>
      </c>
      <c r="AI81" s="37">
        <f t="shared" ref="AI81:AJ81" si="879">AI323</f>
        <v>1.9773687967259951E-2</v>
      </c>
      <c r="AJ81" s="37">
        <f t="shared" si="879"/>
        <v>1.9263792875698998E-2</v>
      </c>
      <c r="AK81" s="37">
        <f t="shared" ref="AK81:AL81" si="880">AK323</f>
        <v>1.8213937852235233E-2</v>
      </c>
      <c r="AL81" s="37">
        <f t="shared" si="880"/>
        <v>1.8037707134694544E-2</v>
      </c>
      <c r="AM81" s="37">
        <f t="shared" ref="AM81:AN81" si="881">AM323</f>
        <v>1.7232423437769762E-2</v>
      </c>
      <c r="AN81" s="37">
        <f t="shared" si="881"/>
        <v>1.6861008742183225E-2</v>
      </c>
      <c r="AO81" s="37">
        <f t="shared" ref="AO81" si="882">AO323</f>
        <v>1.5710324354799739E-2</v>
      </c>
      <c r="AP81" s="37">
        <f t="shared" ref="AP81:AQ81" si="883">AP323</f>
        <v>1.6338183672275776E-2</v>
      </c>
      <c r="AQ81" s="37">
        <f t="shared" si="883"/>
        <v>1.6452496019000118E-2</v>
      </c>
      <c r="AR81" s="37">
        <f t="shared" ref="AR81:AS81" si="884">AR323</f>
        <v>1.5826785793373838E-2</v>
      </c>
      <c r="AS81" s="37">
        <f t="shared" si="884"/>
        <v>1.6847598850080477E-2</v>
      </c>
      <c r="AT81" s="37">
        <f t="shared" ref="AT81:AU81" si="885">AT323</f>
        <v>1.7520240352963186E-2</v>
      </c>
      <c r="AU81" s="37">
        <f t="shared" si="885"/>
        <v>1.6480036617208552E-2</v>
      </c>
      <c r="AV81" s="37">
        <f t="shared" ref="AV81:BB81" si="886">AV323</f>
        <v>1.5555015108982585E-2</v>
      </c>
      <c r="AW81" s="37">
        <f t="shared" ref="AW81:AX81" si="887">AW323</f>
        <v>1.5839303768571678E-2</v>
      </c>
      <c r="AX81" s="228">
        <f t="shared" si="887"/>
        <v>1.5573325204557439E-2</v>
      </c>
      <c r="AY81" s="39">
        <f t="shared" si="886"/>
        <v>1.5354854808742975E-2</v>
      </c>
      <c r="AZ81" s="533">
        <f t="shared" ref="AZ81:BA81" si="888">AZ323</f>
        <v>1.5571544536685598E-2</v>
      </c>
      <c r="BA81" s="533">
        <f t="shared" si="888"/>
        <v>1.5652534381261584E-2</v>
      </c>
      <c r="BB81" s="533">
        <f t="shared" si="886"/>
        <v>1.5536107259616641E-2</v>
      </c>
      <c r="BC81" s="533">
        <f t="shared" ref="BC81:BD81" si="889">BC323</f>
        <v>1.5428488662613784E-2</v>
      </c>
      <c r="BD81" s="533">
        <f t="shared" si="889"/>
        <v>1.5364400587753187E-2</v>
      </c>
      <c r="BE81" s="533">
        <f t="shared" ref="BE81:BM81" si="890">BE323</f>
        <v>1.5309726572993133E-2</v>
      </c>
      <c r="BF81" s="533">
        <f t="shared" ref="BF81:BI81" si="891">BF323</f>
        <v>1.5270828803668117E-2</v>
      </c>
      <c r="BG81" s="533">
        <f t="shared" si="891"/>
        <v>1.5224997640886428E-2</v>
      </c>
      <c r="BH81" s="533">
        <f t="shared" si="891"/>
        <v>1.5130764641043843E-2</v>
      </c>
      <c r="BI81" s="533">
        <f t="shared" si="891"/>
        <v>1.505183049125179E-2</v>
      </c>
      <c r="BJ81" s="533">
        <f t="shared" si="890"/>
        <v>1.495183049125179E-2</v>
      </c>
      <c r="BK81" s="533">
        <f t="shared" si="890"/>
        <v>1.4851830491251791E-2</v>
      </c>
      <c r="BL81" s="533">
        <f t="shared" si="890"/>
        <v>1.4751830491251791E-2</v>
      </c>
      <c r="BM81" s="533">
        <f t="shared" si="890"/>
        <v>1.4651830491251792E-2</v>
      </c>
      <c r="BN81" s="533">
        <f t="shared" ref="BN81:BO81" si="892">BN323</f>
        <v>1.4551830491251793E-2</v>
      </c>
      <c r="BO81" s="533">
        <f t="shared" si="892"/>
        <v>1.4451830491251793E-2</v>
      </c>
      <c r="BP81" s="533">
        <f t="shared" ref="BP81:BQ81" si="893">BP323</f>
        <v>1.4351830491251794E-2</v>
      </c>
      <c r="BQ81" s="533">
        <f t="shared" si="893"/>
        <v>1.4251830491251795E-2</v>
      </c>
      <c r="BR81" s="35"/>
      <c r="BS81" s="535">
        <f t="shared" ref="BS81:CB81" si="894">BS323</f>
        <v>2.9870680465324866E-2</v>
      </c>
      <c r="BT81" s="535">
        <f t="shared" si="894"/>
        <v>3.0788788667594887E-2</v>
      </c>
      <c r="BU81" s="535">
        <f t="shared" si="894"/>
        <v>3.3478318175827068E-2</v>
      </c>
      <c r="BV81" s="535">
        <f t="shared" si="894"/>
        <v>3.3922914466737071E-2</v>
      </c>
      <c r="BW81" s="535">
        <f t="shared" si="894"/>
        <v>3.3359737694397922E-2</v>
      </c>
      <c r="BX81" s="535">
        <f t="shared" si="894"/>
        <v>3.0350929867010476E-2</v>
      </c>
      <c r="BY81" s="535">
        <f t="shared" si="894"/>
        <v>2.9625484431377788E-2</v>
      </c>
      <c r="BZ81" s="535">
        <f t="shared" si="894"/>
        <v>3.040993086004775E-2</v>
      </c>
      <c r="CA81" s="535">
        <f t="shared" si="894"/>
        <v>2.8545036723291124E-2</v>
      </c>
      <c r="CB81" s="535">
        <f t="shared" si="894"/>
        <v>2.7515954659334818E-2</v>
      </c>
      <c r="CC81" s="534">
        <f t="shared" ref="CC81:CO81" si="895">CC323</f>
        <v>2.7537784769164186E-2</v>
      </c>
      <c r="CD81" s="534">
        <f t="shared" si="895"/>
        <v>2.6588413158812267E-2</v>
      </c>
      <c r="CE81" s="534">
        <f t="shared" si="895"/>
        <v>2.4755718750147301E-2</v>
      </c>
      <c r="CF81" s="534">
        <f t="shared" si="895"/>
        <v>2.5168151149412107E-2</v>
      </c>
      <c r="CG81" s="534">
        <f t="shared" si="895"/>
        <v>2.3088997226526894E-2</v>
      </c>
      <c r="CH81" s="534">
        <f t="shared" si="895"/>
        <v>2.1904181952897908E-2</v>
      </c>
      <c r="CI81" s="534">
        <f t="shared" si="895"/>
        <v>2.00882860981383E-2</v>
      </c>
      <c r="CJ81" s="534">
        <f t="shared" si="895"/>
        <v>2.313645125671402E-2</v>
      </c>
      <c r="CK81" s="534">
        <f t="shared" si="895"/>
        <v>2.47497592635171E-2</v>
      </c>
      <c r="CL81" s="534">
        <f t="shared" si="895"/>
        <v>2.4246155403097595E-2</v>
      </c>
      <c r="CM81" s="536">
        <f t="shared" si="895"/>
        <v>2.3134483753326419E-2</v>
      </c>
      <c r="CN81" s="536">
        <f t="shared" si="895"/>
        <v>2.2199086104018679E-2</v>
      </c>
      <c r="CO81" s="536">
        <f t="shared" si="895"/>
        <v>2.1324673839291371E-2</v>
      </c>
      <c r="CP81" s="536">
        <f t="shared" ref="CP81:CX81" si="896">CP323</f>
        <v>2.038459607370588E-2</v>
      </c>
      <c r="CQ81" s="536">
        <f t="shared" si="896"/>
        <v>2.0654456888353736E-2</v>
      </c>
      <c r="CR81" s="536">
        <f t="shared" si="896"/>
        <v>1.9886363636363633E-2</v>
      </c>
      <c r="CS81" s="37">
        <f t="shared" si="896"/>
        <v>1.8730545475193702E-2</v>
      </c>
      <c r="CT81" s="37">
        <f t="shared" si="896"/>
        <v>1.7632396685271744E-2</v>
      </c>
      <c r="CU81" s="37">
        <f t="shared" si="896"/>
        <v>1.6281484606238163E-2</v>
      </c>
      <c r="CV81" s="37">
        <f t="shared" si="896"/>
        <v>1.6395910111370846E-2</v>
      </c>
      <c r="CW81" s="37">
        <f t="shared" si="896"/>
        <v>1.6344390392918094E-2</v>
      </c>
      <c r="CX81" s="37">
        <f t="shared" si="896"/>
        <v>1.6997597117771997E-2</v>
      </c>
      <c r="CY81" s="37">
        <f t="shared" ref="CY81:DD81" si="897">CY323</f>
        <v>1.5698269663623858E-2</v>
      </c>
      <c r="CZ81" s="36">
        <f t="shared" si="897"/>
        <v>1.54884207648836E-2</v>
      </c>
      <c r="DA81" s="35">
        <f t="shared" si="897"/>
        <v>1.5612862066963083E-2</v>
      </c>
      <c r="DB81" s="35">
        <f t="shared" si="897"/>
        <v>1.5482062526312431E-2</v>
      </c>
      <c r="DC81" s="35">
        <f t="shared" si="897"/>
        <v>1.5336831657607306E-2</v>
      </c>
      <c r="DD81" s="35">
        <f t="shared" si="897"/>
        <v>1.524799679763973E-2</v>
      </c>
      <c r="DE81" s="35">
        <f t="shared" ref="DE81" si="898">DE323</f>
        <v>1.5091206395024669E-2</v>
      </c>
      <c r="DF81" s="35">
        <f t="shared" ref="DF81" si="899">DF323</f>
        <v>1.4901830491251791E-2</v>
      </c>
      <c r="DG81" s="35">
        <f t="shared" ref="DG81" si="900">DG323</f>
        <v>1.4801830491251791E-2</v>
      </c>
      <c r="DH81" s="35">
        <f>DH323</f>
        <v>1.4701830491251792E-2</v>
      </c>
      <c r="DI81" s="35">
        <f>DI323</f>
        <v>1.4601830491251792E-2</v>
      </c>
    </row>
    <row r="82" spans="1:113" ht="12" outlineLevel="1">
      <c r="C82" s="345"/>
      <c r="D82" s="345"/>
      <c r="E82" s="345"/>
      <c r="F82" s="345"/>
      <c r="G82" s="345"/>
      <c r="H82" s="345"/>
      <c r="I82" s="345"/>
      <c r="J82" s="345"/>
      <c r="K82" s="345"/>
      <c r="L82" s="345"/>
      <c r="M82" s="35"/>
      <c r="N82" s="35"/>
      <c r="O82" s="35"/>
      <c r="P82" s="35"/>
      <c r="Q82" s="35"/>
      <c r="R82" s="35"/>
      <c r="S82" s="35"/>
      <c r="T82" s="37"/>
      <c r="U82" s="37"/>
      <c r="V82" s="37"/>
      <c r="W82" s="37"/>
      <c r="X82" s="37"/>
      <c r="Y82" s="228"/>
      <c r="Z82" s="37"/>
      <c r="AA82" s="228"/>
      <c r="AB82" s="37"/>
      <c r="AC82" s="37"/>
      <c r="AD82" s="37"/>
      <c r="AE82" s="37"/>
      <c r="AF82" s="37"/>
      <c r="AG82" s="433"/>
      <c r="AH82" s="433"/>
      <c r="AI82" s="433"/>
      <c r="AJ82" s="433"/>
      <c r="AK82" s="357"/>
      <c r="AL82" s="37"/>
      <c r="AM82" s="508"/>
      <c r="AN82" s="37"/>
      <c r="AO82" s="37"/>
      <c r="AP82" s="37"/>
      <c r="AQ82" s="37"/>
      <c r="AR82" s="37"/>
      <c r="AS82" s="37"/>
      <c r="AT82" s="37"/>
      <c r="AU82" s="37"/>
      <c r="AV82" s="37"/>
      <c r="AW82" s="37"/>
      <c r="AX82" s="598"/>
      <c r="AY82" s="541"/>
      <c r="AZ82" s="561"/>
      <c r="BA82" s="561"/>
      <c r="BB82" s="561"/>
      <c r="BC82" s="561"/>
      <c r="BD82" s="561"/>
      <c r="BE82" s="561"/>
      <c r="BF82" s="561"/>
      <c r="BG82" s="561"/>
      <c r="BH82" s="561"/>
      <c r="BI82" s="561"/>
      <c r="BJ82" s="557"/>
      <c r="BK82" s="557"/>
      <c r="BL82" s="557"/>
      <c r="BM82" s="557"/>
      <c r="BN82" s="557"/>
      <c r="BO82" s="557"/>
      <c r="BP82" s="557"/>
      <c r="BQ82" s="557"/>
      <c r="BR82" s="35"/>
      <c r="BS82" s="345"/>
      <c r="BT82" s="345"/>
      <c r="BU82" s="345"/>
      <c r="BV82" s="345"/>
      <c r="BW82" s="345"/>
      <c r="BX82" s="345"/>
      <c r="BY82" s="345"/>
      <c r="BZ82" s="345"/>
      <c r="CA82" s="345"/>
      <c r="CB82" s="345"/>
      <c r="CC82" s="35"/>
      <c r="CD82" s="35"/>
      <c r="CE82" s="35"/>
      <c r="CF82" s="35"/>
      <c r="CG82" s="35"/>
      <c r="CH82" s="35"/>
      <c r="CI82" s="35"/>
      <c r="CJ82" s="35"/>
      <c r="CK82" s="35"/>
      <c r="CL82" s="35"/>
      <c r="CM82" s="37"/>
      <c r="CN82" s="37"/>
      <c r="CO82" s="37"/>
      <c r="CP82" s="37"/>
      <c r="CQ82" s="37"/>
      <c r="CR82" s="37"/>
      <c r="CS82" s="37"/>
      <c r="CT82" s="37"/>
      <c r="CU82" s="37"/>
      <c r="CV82" s="37"/>
      <c r="CW82" s="37"/>
      <c r="CX82" s="37"/>
      <c r="CY82" s="37"/>
      <c r="CZ82" s="541"/>
      <c r="DA82" s="557"/>
      <c r="DB82" s="557"/>
      <c r="DC82" s="557"/>
      <c r="DD82" s="15"/>
      <c r="DE82" s="15"/>
      <c r="DF82" s="15"/>
      <c r="DG82" s="15"/>
      <c r="DH82" s="15"/>
      <c r="DI82" s="15"/>
    </row>
    <row r="83" spans="1:113" ht="12" outlineLevel="1">
      <c r="B83" s="17" t="s">
        <v>532</v>
      </c>
      <c r="C83" s="345"/>
      <c r="D83" s="345"/>
      <c r="E83" s="345"/>
      <c r="F83" s="345"/>
      <c r="G83" s="345"/>
      <c r="H83" s="345"/>
      <c r="I83" s="345"/>
      <c r="J83" s="345"/>
      <c r="K83" s="345"/>
      <c r="L83" s="345"/>
      <c r="M83" s="35"/>
      <c r="N83" s="35"/>
      <c r="O83" s="35"/>
      <c r="P83" s="35"/>
      <c r="Q83" s="35"/>
      <c r="R83" s="35"/>
      <c r="S83" s="35"/>
      <c r="T83" s="37"/>
      <c r="U83" s="35"/>
      <c r="V83" s="35"/>
      <c r="W83" s="35"/>
      <c r="X83" s="35"/>
      <c r="Y83" s="228"/>
      <c r="Z83" s="37"/>
      <c r="AA83" s="228"/>
      <c r="AB83" s="32"/>
      <c r="AC83" s="37"/>
      <c r="AD83" s="37"/>
      <c r="AE83" s="37"/>
      <c r="AF83" s="424"/>
      <c r="AG83" s="424"/>
      <c r="AH83" s="424"/>
      <c r="AI83" s="424"/>
      <c r="AJ83" s="424"/>
      <c r="AK83" s="357"/>
      <c r="AL83" s="424"/>
      <c r="AM83" s="424"/>
      <c r="AN83" s="37"/>
      <c r="AO83" s="37"/>
      <c r="AP83" s="37"/>
      <c r="AQ83" s="37"/>
      <c r="AR83" s="37"/>
      <c r="AS83" s="37"/>
      <c r="AT83" s="37"/>
      <c r="AU83" s="37"/>
      <c r="AV83" s="37"/>
      <c r="AW83" s="37"/>
      <c r="AX83" s="598"/>
      <c r="AY83" s="541"/>
      <c r="AZ83" s="556"/>
      <c r="BA83" s="556"/>
      <c r="BB83" s="556"/>
      <c r="BC83" s="553"/>
      <c r="BD83" s="553"/>
      <c r="BE83" s="553"/>
      <c r="BF83" s="553"/>
      <c r="BG83" s="553"/>
      <c r="BH83" s="553"/>
      <c r="BI83" s="553"/>
      <c r="BJ83" s="553"/>
      <c r="BK83" s="553"/>
      <c r="BL83" s="553"/>
      <c r="BM83" s="553"/>
      <c r="BN83" s="553"/>
      <c r="BO83" s="553"/>
      <c r="BP83" s="553"/>
      <c r="BQ83" s="553"/>
      <c r="BR83" s="35"/>
      <c r="BS83" s="345"/>
      <c r="BT83" s="345"/>
      <c r="BU83" s="345"/>
      <c r="BV83" s="345"/>
      <c r="BW83" s="345"/>
      <c r="BX83" s="345"/>
      <c r="BY83" s="345"/>
      <c r="BZ83" s="345"/>
      <c r="CA83" s="345"/>
      <c r="CB83" s="345"/>
      <c r="CC83" s="35"/>
      <c r="CD83" s="35"/>
      <c r="CE83" s="35"/>
      <c r="CF83" s="35"/>
      <c r="CG83" s="35"/>
      <c r="CH83" s="35"/>
      <c r="CI83" s="35"/>
      <c r="CJ83" s="35"/>
      <c r="CK83" s="35"/>
      <c r="CL83" s="35"/>
      <c r="CM83" s="37"/>
      <c r="CN83" s="37"/>
      <c r="CO83" s="37"/>
      <c r="CP83" s="37"/>
      <c r="CQ83" s="37"/>
      <c r="CR83" s="37"/>
      <c r="CS83" s="37"/>
      <c r="CT83" s="37"/>
      <c r="CU83" s="37"/>
      <c r="CV83" s="37"/>
      <c r="CW83" s="37"/>
      <c r="CX83" s="37"/>
      <c r="CY83" s="37"/>
      <c r="CZ83" s="36"/>
      <c r="DA83" s="35"/>
      <c r="DB83" s="15"/>
      <c r="DC83" s="15"/>
      <c r="DD83" s="15"/>
      <c r="DE83" s="15"/>
      <c r="DF83" s="15"/>
      <c r="DG83" s="15"/>
      <c r="DH83" s="15"/>
      <c r="DI83" s="15"/>
    </row>
    <row r="84" spans="1:113" ht="12" outlineLevel="1">
      <c r="A84" s="1" t="s">
        <v>699</v>
      </c>
      <c r="B84" s="15" t="s">
        <v>533</v>
      </c>
      <c r="C84" s="345">
        <f t="shared" ref="C84:K84" si="901">C395/(C233+AVERAGE(B179:C179))*C$5</f>
        <v>1.4380387045867386E-2</v>
      </c>
      <c r="D84" s="345">
        <f t="shared" si="901"/>
        <v>8.3055287078301187E-3</v>
      </c>
      <c r="E84" s="345">
        <f t="shared" si="901"/>
        <v>9.2703716211873181E-3</v>
      </c>
      <c r="F84" s="345">
        <f t="shared" si="901"/>
        <v>9.2357375037328843E-3</v>
      </c>
      <c r="G84" s="345">
        <f t="shared" si="901"/>
        <v>8.9763883751265688E-3</v>
      </c>
      <c r="H84" s="345">
        <f t="shared" si="901"/>
        <v>8.5466875509868992E-3</v>
      </c>
      <c r="I84" s="345">
        <f t="shared" si="901"/>
        <v>8.2588013289311146E-3</v>
      </c>
      <c r="J84" s="345">
        <f t="shared" si="901"/>
        <v>8.064289398885191E-3</v>
      </c>
      <c r="K84" s="345">
        <f t="shared" si="901"/>
        <v>8.0603019230286784E-3</v>
      </c>
      <c r="L84" s="345">
        <f t="shared" ref="L84:AC84" si="902">L395/(L233+L235)*L$5</f>
        <v>3.4552323089303183E-3</v>
      </c>
      <c r="M84" s="35">
        <f t="shared" si="902"/>
        <v>3.334901214214139E-3</v>
      </c>
      <c r="N84" s="35">
        <f t="shared" si="902"/>
        <v>3.4530695126729584E-3</v>
      </c>
      <c r="O84" s="35">
        <f t="shared" si="902"/>
        <v>3.6245004114727137E-3</v>
      </c>
      <c r="P84" s="35">
        <f t="shared" si="902"/>
        <v>3.5441122173460412E-3</v>
      </c>
      <c r="Q84" s="35">
        <f t="shared" si="902"/>
        <v>3.6160662752548166E-3</v>
      </c>
      <c r="R84" s="35">
        <f t="shared" si="902"/>
        <v>3.9967143827949175E-3</v>
      </c>
      <c r="S84" s="35">
        <f t="shared" si="902"/>
        <v>3.8495534622177839E-3</v>
      </c>
      <c r="T84" s="37">
        <f t="shared" si="902"/>
        <v>3.7945615341712126E-3</v>
      </c>
      <c r="U84" s="35">
        <f t="shared" si="902"/>
        <v>3.9550482488533304E-3</v>
      </c>
      <c r="V84" s="35">
        <f t="shared" si="902"/>
        <v>3.5143109096721077E-3</v>
      </c>
      <c r="W84" s="35">
        <f t="shared" si="902"/>
        <v>3.7775420764178968E-3</v>
      </c>
      <c r="X84" s="35">
        <f t="shared" si="902"/>
        <v>3.5913097945242207E-3</v>
      </c>
      <c r="Y84" s="37">
        <f t="shared" si="902"/>
        <v>3.56853712395502E-3</v>
      </c>
      <c r="Z84" s="37">
        <f t="shared" si="902"/>
        <v>3.45736423704775E-3</v>
      </c>
      <c r="AA84" s="228">
        <f t="shared" si="902"/>
        <v>3.2349264641383358E-3</v>
      </c>
      <c r="AB84" s="357">
        <f t="shared" si="902"/>
        <v>3.2549692400195172E-3</v>
      </c>
      <c r="AC84" s="357">
        <f t="shared" si="902"/>
        <v>2.9924369376928641E-3</v>
      </c>
      <c r="AD84" s="357">
        <f t="shared" ref="AD84" si="903">AD395/(AD233+AD235)*AD$5</f>
        <v>3.1818428391566546E-3</v>
      </c>
      <c r="AE84" s="357">
        <f t="shared" ref="AE84:AJ84" si="904">AE395/(AE233+AE235)*AE$5</f>
        <v>2.9975994395588963E-3</v>
      </c>
      <c r="AF84" s="357">
        <f t="shared" si="904"/>
        <v>3.0488361802532083E-3</v>
      </c>
      <c r="AG84" s="357">
        <f t="shared" si="904"/>
        <v>3.1453343310572724E-3</v>
      </c>
      <c r="AH84" s="357">
        <f t="shared" si="904"/>
        <v>3.0323138149991168E-3</v>
      </c>
      <c r="AI84" s="357">
        <f t="shared" si="904"/>
        <v>3.0151466707038005E-3</v>
      </c>
      <c r="AJ84" s="357">
        <f t="shared" si="904"/>
        <v>2.8840045637883336E-3</v>
      </c>
      <c r="AK84" s="357">
        <f t="shared" ref="AK84:AP84" si="905">AK395/(AK233+AK235)*AK$5</f>
        <v>2.508421369773159E-3</v>
      </c>
      <c r="AL84" s="357">
        <f t="shared" si="905"/>
        <v>2.3969973016136036E-3</v>
      </c>
      <c r="AM84" s="357">
        <f t="shared" si="905"/>
        <v>2.2937353428259832E-3</v>
      </c>
      <c r="AN84" s="357">
        <f t="shared" si="905"/>
        <v>2.1931908933602515E-3</v>
      </c>
      <c r="AO84" s="357">
        <f t="shared" si="905"/>
        <v>2.022682401032122E-3</v>
      </c>
      <c r="AP84" s="357">
        <f t="shared" si="905"/>
        <v>2.0121785634595862E-3</v>
      </c>
      <c r="AQ84" s="357">
        <f t="shared" ref="AQ84:AV84" si="906">AQ395/(AQ233+AQ235)*AQ$5</f>
        <v>1.9063822834590087E-3</v>
      </c>
      <c r="AR84" s="357">
        <f t="shared" si="906"/>
        <v>1.4648339780060568E-3</v>
      </c>
      <c r="AS84" s="357">
        <f t="shared" si="906"/>
        <v>1.3656209025442541E-3</v>
      </c>
      <c r="AT84" s="357">
        <f t="shared" si="906"/>
        <v>1.3919789322980028E-3</v>
      </c>
      <c r="AU84" s="357">
        <f t="shared" si="906"/>
        <v>1.3998748581175275E-3</v>
      </c>
      <c r="AV84" s="357">
        <f t="shared" si="906"/>
        <v>1.4667998142160166E-3</v>
      </c>
      <c r="AW84" s="357">
        <f t="shared" ref="AW84:AX84" si="907">AW395/(AW233+AW235)*AW$5</f>
        <v>1.4820138574465431E-3</v>
      </c>
      <c r="AX84" s="357">
        <f t="shared" si="907"/>
        <v>1.401162740409991E-3</v>
      </c>
      <c r="AY84" s="348">
        <f t="shared" ref="AY84" si="908">AY395/(AY233+AY235)*AY$5</f>
        <v>1.4197715038634065E-3</v>
      </c>
      <c r="AZ84" s="570">
        <f>(AY395/SUM(AY$395:AY$396)*[3]ANZ!K$137)/SUM(AZ$233,AZ$235)*AZ$5</f>
        <v>1.4184003541513445E-3</v>
      </c>
      <c r="BA84" s="570">
        <f>(AZ395/SUM(AZ$395:AZ$396)*[3]ANZ!L$137)/SUM(BA$233,BA$235)*BA$5</f>
        <v>1.4039422233172759E-3</v>
      </c>
      <c r="BB84" s="570">
        <f>(BA395/SUM(BA$395:BA$396)*[3]ANZ!M$137)/SUM(BB$233,BB$235)*BB$5</f>
        <v>1.3972619740281013E-3</v>
      </c>
      <c r="BC84" s="570">
        <f>(BB395/SUM(BB$395:BB$396)*[3]ANZ!N$137)/SUM(BC$233,BC$235)*BC$5</f>
        <v>1.3960733348602327E-3</v>
      </c>
      <c r="BD84" s="570">
        <f>(BC395/SUM(BC$395:BC$396)*[3]ANZ!O$137)/SUM(BD$233,BD$235)*BD$5</f>
        <v>1.3983942723611459E-3</v>
      </c>
      <c r="BE84" s="570">
        <f>(BD395/SUM(BD$395:BD$396)*[3]ANZ!P$137)/SUM(BE$233,BE$235)*BE$5</f>
        <v>1.3994471240612264E-3</v>
      </c>
      <c r="BF84" s="570">
        <f>(BE395/SUM(BE$395:BE$396)*[3]ANZ!Q$137)/SUM(BF$233,BF$235)*BF$5</f>
        <v>1.3995385977868295E-3</v>
      </c>
      <c r="BG84" s="570">
        <f>(BF395/SUM(BF$395:BF$396)*[3]ANZ!R$137)/SUM(BG$233,BG$235)*BG$5</f>
        <v>1.3990017524369367E-3</v>
      </c>
      <c r="BH84" s="570">
        <f>(BG395/SUM(BG$395:BG$396)*[3]ANZ!S$137)/SUM(BH$233,BH$235)*BH$5</f>
        <v>1.391480830351074E-3</v>
      </c>
      <c r="BI84" s="570">
        <f>(BH395/SUM(BH$395:BH$396)*[3]ANZ!T$137)/SUM(BI$233,BI$235)*BI$5</f>
        <v>1.3768198507537214E-3</v>
      </c>
      <c r="BJ84" s="248">
        <f>BI84*0.995</f>
        <v>1.3699357514999528E-3</v>
      </c>
      <c r="BK84" s="248">
        <f t="shared" ref="BK84:BQ85" si="909">BJ84*0.995</f>
        <v>1.363086072742453E-3</v>
      </c>
      <c r="BL84" s="248">
        <f t="shared" si="909"/>
        <v>1.3562706423787408E-3</v>
      </c>
      <c r="BM84" s="248">
        <f t="shared" si="909"/>
        <v>1.3494892891668471E-3</v>
      </c>
      <c r="BN84" s="248">
        <f t="shared" si="909"/>
        <v>1.3427418427210129E-3</v>
      </c>
      <c r="BO84" s="248">
        <f t="shared" si="909"/>
        <v>1.3360281335074078E-3</v>
      </c>
      <c r="BP84" s="248">
        <f t="shared" si="909"/>
        <v>1.3293479928398707E-3</v>
      </c>
      <c r="BQ84" s="248">
        <f t="shared" si="909"/>
        <v>1.3227012528756713E-3</v>
      </c>
      <c r="BR84" s="35"/>
      <c r="BS84" s="345">
        <f t="shared" ref="BS84:CF84" si="910">BS395/(BS233+AVERAGE(BR179:BS179))*BS$5</f>
        <v>1.3858433391347061E-2</v>
      </c>
      <c r="BT84" s="345">
        <f t="shared" si="910"/>
        <v>1.0725443992842882E-2</v>
      </c>
      <c r="BU84" s="345">
        <f t="shared" si="910"/>
        <v>1.0192989598059289E-2</v>
      </c>
      <c r="BV84" s="345">
        <f t="shared" si="910"/>
        <v>9.1325692221695502E-3</v>
      </c>
      <c r="BW84" s="345">
        <f t="shared" si="910"/>
        <v>8.5537845356692798E-3</v>
      </c>
      <c r="BX84" s="345">
        <f t="shared" si="910"/>
        <v>7.9801773365416242E-3</v>
      </c>
      <c r="BY84" s="345">
        <f t="shared" si="910"/>
        <v>7.4272367431332401E-3</v>
      </c>
      <c r="BZ84" s="345">
        <f t="shared" si="910"/>
        <v>7.951446063873515E-3</v>
      </c>
      <c r="CA84" s="345">
        <f t="shared" si="910"/>
        <v>7.7059720489616205E-3</v>
      </c>
      <c r="CB84" s="345">
        <f t="shared" si="910"/>
        <v>8.5508772286154184E-3</v>
      </c>
      <c r="CC84" s="35">
        <f t="shared" si="910"/>
        <v>8.8041048952848897E-3</v>
      </c>
      <c r="CD84" s="35">
        <f t="shared" si="910"/>
        <v>9.095624196404313E-3</v>
      </c>
      <c r="CE84" s="35">
        <f t="shared" si="910"/>
        <v>8.4177523474177982E-3</v>
      </c>
      <c r="CF84" s="35">
        <f t="shared" si="910"/>
        <v>8.0621289073387718E-3</v>
      </c>
      <c r="CG84" s="35">
        <f t="shared" ref="CG84:CY84" si="911">CG395/(CG233+CG235)*CG$5</f>
        <v>3.3850725270075819E-3</v>
      </c>
      <c r="CH84" s="35">
        <f t="shared" si="911"/>
        <v>3.5246786546043957E-3</v>
      </c>
      <c r="CI84" s="35">
        <f t="shared" si="911"/>
        <v>3.5956252250456322E-3</v>
      </c>
      <c r="CJ84" s="35">
        <f t="shared" si="911"/>
        <v>3.9353771505977993E-3</v>
      </c>
      <c r="CK84" s="35">
        <f t="shared" si="911"/>
        <v>3.8430100663625569E-3</v>
      </c>
      <c r="CL84" s="35">
        <f t="shared" si="911"/>
        <v>3.6669638781179526E-3</v>
      </c>
      <c r="CM84" s="37">
        <f t="shared" si="911"/>
        <v>3.5742358696626729E-3</v>
      </c>
      <c r="CN84" s="37">
        <f t="shared" si="911"/>
        <v>3.3570112752142841E-3</v>
      </c>
      <c r="CO84" s="37">
        <f t="shared" si="911"/>
        <v>3.1251378284310773E-3</v>
      </c>
      <c r="CP84" s="37">
        <f t="shared" si="911"/>
        <v>3.1027514802040839E-3</v>
      </c>
      <c r="CQ84" s="37">
        <f t="shared" si="911"/>
        <v>3.0672308548922778E-3</v>
      </c>
      <c r="CR84" s="37">
        <f t="shared" si="911"/>
        <v>3.0128006703605691E-3</v>
      </c>
      <c r="CS84" s="37">
        <f t="shared" si="911"/>
        <v>2.680736630398329E-3</v>
      </c>
      <c r="CT84" s="37">
        <f t="shared" si="911"/>
        <v>2.3252401140886076E-3</v>
      </c>
      <c r="CU84" s="37">
        <f t="shared" si="911"/>
        <v>2.1616245751006425E-3</v>
      </c>
      <c r="CV84" s="37">
        <f t="shared" si="911"/>
        <v>1.936982409451208E-3</v>
      </c>
      <c r="CW84" s="37">
        <f t="shared" si="911"/>
        <v>1.4137536317696418E-3</v>
      </c>
      <c r="CX84" s="37">
        <f t="shared" si="911"/>
        <v>1.3959057852315226E-3</v>
      </c>
      <c r="CY84" s="37">
        <f t="shared" si="911"/>
        <v>1.4744762651889664E-3</v>
      </c>
      <c r="CZ84" s="36">
        <f t="shared" ref="CZ84" si="912">CZ395/(CZ233+CZ235)*CZ$5</f>
        <v>1.4105337922327434E-3</v>
      </c>
      <c r="DA84" s="35">
        <f t="shared" ref="DA84:DF84" si="913">DA395/(DA233+DA235)*DA$5</f>
        <v>1.4111297647180915E-3</v>
      </c>
      <c r="DB84" s="35">
        <f t="shared" si="913"/>
        <v>1.3966642825330975E-3</v>
      </c>
      <c r="DC84" s="35">
        <f t="shared" si="913"/>
        <v>1.3989220922515522E-3</v>
      </c>
      <c r="DD84" s="35">
        <f t="shared" si="913"/>
        <v>1.3992688233730691E-3</v>
      </c>
      <c r="DE84" s="35">
        <f t="shared" si="913"/>
        <v>1.3840698850791694E-3</v>
      </c>
      <c r="DF84" s="35">
        <f t="shared" si="913"/>
        <v>1.3664717050928218E-3</v>
      </c>
      <c r="DG84" s="35">
        <f t="shared" ref="DG84" si="914">DG395/(DG233+DG235)*DG$5</f>
        <v>1.352853100112545E-3</v>
      </c>
      <c r="DH84" s="35">
        <f t="shared" ref="DH84:DI84" si="915">DH395/(DH233+DH235)*DH$5</f>
        <v>1.3393439180910535E-3</v>
      </c>
      <c r="DI84" s="35">
        <f t="shared" si="915"/>
        <v>1.325979869399407E-3</v>
      </c>
    </row>
    <row r="85" spans="1:113" ht="12" outlineLevel="1">
      <c r="A85" s="1" t="s">
        <v>700</v>
      </c>
      <c r="B85" s="15" t="s">
        <v>534</v>
      </c>
      <c r="C85" s="345">
        <f t="shared" ref="C85:AC85" si="916">C396/C259*C$5</f>
        <v>1.360620831415134E-2</v>
      </c>
      <c r="D85" s="345">
        <f t="shared" si="916"/>
        <v>1.3517745309189462E-2</v>
      </c>
      <c r="E85" s="345">
        <f t="shared" si="916"/>
        <v>1.2879207191974088E-2</v>
      </c>
      <c r="F85" s="345">
        <f t="shared" si="916"/>
        <v>1.0393850780015691E-2</v>
      </c>
      <c r="G85" s="345">
        <f t="shared" si="916"/>
        <v>1.1632228435269716E-2</v>
      </c>
      <c r="H85" s="345">
        <f t="shared" si="916"/>
        <v>1.0926447754327448E-2</v>
      </c>
      <c r="I85" s="345">
        <f t="shared" si="916"/>
        <v>1.1123486932853381E-2</v>
      </c>
      <c r="J85" s="345">
        <f t="shared" si="916"/>
        <v>6.1185463697478728E-3</v>
      </c>
      <c r="K85" s="345">
        <f t="shared" si="916"/>
        <v>6.4540009037326361E-3</v>
      </c>
      <c r="L85" s="345">
        <f t="shared" si="916"/>
        <v>1.0244121861433935E-2</v>
      </c>
      <c r="M85" s="35">
        <f t="shared" si="916"/>
        <v>1.0770805005377625E-2</v>
      </c>
      <c r="N85" s="35">
        <f t="shared" si="916"/>
        <v>1.0218608743710538E-2</v>
      </c>
      <c r="O85" s="35">
        <f t="shared" si="916"/>
        <v>1.0117194162551569E-2</v>
      </c>
      <c r="P85" s="35">
        <f t="shared" si="916"/>
        <v>9.2624418836043925E-3</v>
      </c>
      <c r="Q85" s="35">
        <f t="shared" si="916"/>
        <v>8.799358503854493E-3</v>
      </c>
      <c r="R85" s="35">
        <f t="shared" si="916"/>
        <v>6.4769258367977055E-3</v>
      </c>
      <c r="S85" s="35">
        <f t="shared" si="916"/>
        <v>6.3053491818470106E-3</v>
      </c>
      <c r="T85" s="37">
        <f t="shared" si="916"/>
        <v>5.9123111643379529E-3</v>
      </c>
      <c r="U85" s="35">
        <f t="shared" si="916"/>
        <v>5.7938674795575251E-3</v>
      </c>
      <c r="V85" s="35">
        <f t="shared" si="916"/>
        <v>5.2431312179657937E-3</v>
      </c>
      <c r="W85" s="35">
        <f t="shared" si="916"/>
        <v>4.9806504649989661E-3</v>
      </c>
      <c r="X85" s="35">
        <f t="shared" si="916"/>
        <v>4.5829385352028724E-3</v>
      </c>
      <c r="Y85" s="37">
        <f t="shared" si="916"/>
        <v>4.1269841269841274E-3</v>
      </c>
      <c r="Z85" s="37">
        <f t="shared" si="916"/>
        <v>3.9729940472452013E-3</v>
      </c>
      <c r="AA85" s="228">
        <f t="shared" si="916"/>
        <v>3.840216915892486E-3</v>
      </c>
      <c r="AB85" s="357">
        <f t="shared" si="916"/>
        <v>3.6465621404725983E-3</v>
      </c>
      <c r="AC85" s="357">
        <f t="shared" si="916"/>
        <v>3.5667659497955707E-3</v>
      </c>
      <c r="AD85" s="357">
        <f t="shared" ref="AD85:AE85" si="917">AD396/AD259*AD$5</f>
        <v>3.3603988801287617E-3</v>
      </c>
      <c r="AE85" s="357">
        <f t="shared" si="917"/>
        <v>3.3337120376743987E-3</v>
      </c>
      <c r="AF85" s="357">
        <f t="shared" ref="AF85:AG85" si="918">AF396/AF259*AF$5</f>
        <v>3.2953734690901065E-3</v>
      </c>
      <c r="AG85" s="357">
        <f t="shared" si="918"/>
        <v>3.1416105339567122E-3</v>
      </c>
      <c r="AH85" s="357">
        <f t="shared" ref="AH85:AI85" si="919">AH396/AH259*AH$5</f>
        <v>3.1100397486532776E-3</v>
      </c>
      <c r="AI85" s="357">
        <f t="shared" si="919"/>
        <v>3.1086244546561304E-3</v>
      </c>
      <c r="AJ85" s="357">
        <f t="shared" ref="AJ85:AK85" si="920">AJ396/AJ259*AJ$5</f>
        <v>3.8381378186325512E-3</v>
      </c>
      <c r="AK85" s="357">
        <f t="shared" si="920"/>
        <v>4.0943580154340657E-3</v>
      </c>
      <c r="AL85" s="357">
        <f t="shared" ref="AL85:AM85" si="921">AL396/AL259*AL$5</f>
        <v>3.337299929585218E-3</v>
      </c>
      <c r="AM85" s="357">
        <f t="shared" si="921"/>
        <v>3.349502646026297E-3</v>
      </c>
      <c r="AN85" s="357">
        <f t="shared" ref="AN85:AO85" si="922">AN396/AN259*AN$5</f>
        <v>2.7711395490889589E-3</v>
      </c>
      <c r="AO85" s="357">
        <f t="shared" si="922"/>
        <v>2.4533422743980627E-3</v>
      </c>
      <c r="AP85" s="357">
        <f t="shared" ref="AP85:AQ85" si="923">AP396/AP259*AP$5</f>
        <v>2.1325303658936757E-3</v>
      </c>
      <c r="AQ85" s="357">
        <f t="shared" si="923"/>
        <v>2.6641665222331854E-3</v>
      </c>
      <c r="AR85" s="357">
        <f t="shared" ref="AR85:AS85" si="924">AR396/AR259*AR$5</f>
        <v>2.3006684859217313E-3</v>
      </c>
      <c r="AS85" s="357">
        <f t="shared" si="924"/>
        <v>2.5081848436370865E-3</v>
      </c>
      <c r="AT85" s="357">
        <f t="shared" ref="AT85:AU85" si="925">AT396/AT259*AT$5</f>
        <v>2.1904846662325977E-3</v>
      </c>
      <c r="AU85" s="357">
        <f t="shared" si="925"/>
        <v>2.4008489655432449E-3</v>
      </c>
      <c r="AV85" s="357">
        <f t="shared" ref="AV85:AW85" si="926">AV396/AV259*AV$5</f>
        <v>2.1478392381538633E-3</v>
      </c>
      <c r="AW85" s="357">
        <f t="shared" si="926"/>
        <v>2.2430629774905474E-3</v>
      </c>
      <c r="AX85" s="357">
        <f t="shared" ref="AX85:AY85" si="927">AX396/AX259*AX$5</f>
        <v>1.9113884879100587E-3</v>
      </c>
      <c r="AY85" s="348">
        <f t="shared" si="927"/>
        <v>2.0928052477969983E-3</v>
      </c>
      <c r="AZ85" s="570">
        <f>(AY396/SUM(AY$395:AY$396)*[3]ANZ!K$137)/AZ$259*AZ$5</f>
        <v>2.0555484590414155E-3</v>
      </c>
      <c r="BA85" s="570">
        <f>(AZ396/SUM(AZ$395:AZ$396)*[3]ANZ!L$137)/BA$259*BA$5</f>
        <v>1.9577635113158091E-3</v>
      </c>
      <c r="BB85" s="570">
        <f>(BA396/SUM(BA$395:BA$396)*[3]ANZ!M$137)/BB$259*BB$5</f>
        <v>1.8969842253074125E-3</v>
      </c>
      <c r="BC85" s="570">
        <f>(BB396/SUM(BB$395:BB$396)*[3]ANZ!N$137)/BC$259*BC$5</f>
        <v>1.85294209729309E-3</v>
      </c>
      <c r="BD85" s="570">
        <f>(BC396/SUM(BC$395:BC$396)*[3]ANZ!O$137)/BD$259*BD$5</f>
        <v>1.812471097435344E-3</v>
      </c>
      <c r="BE85" s="570">
        <f>(BD396/SUM(BD$395:BD$396)*[3]ANZ!P$137)/BE$259*BE$5</f>
        <v>1.7722051657399146E-3</v>
      </c>
      <c r="BF85" s="570">
        <f>(BE396/SUM(BE$395:BE$396)*[3]ANZ!Q$137)/BF$259*BF$5</f>
        <v>1.7315924396881892E-3</v>
      </c>
      <c r="BG85" s="570">
        <f>(BF396/SUM(BF$395:BF$396)*[3]ANZ!R$137)/BG$259*BG$5</f>
        <v>1.6899970492686017E-3</v>
      </c>
      <c r="BH85" s="570">
        <f>(BG396/SUM(BG$395:BG$396)*[3]ANZ!S$137)/BH$259*BH$5</f>
        <v>1.6516384531253354E-3</v>
      </c>
      <c r="BI85" s="570">
        <f>(BH396/SUM(BH$395:BH$396)*[3]ANZ!T$137)/BI$259*BI$5</f>
        <v>1.6205632604418608E-3</v>
      </c>
      <c r="BJ85" s="248">
        <f>BI85*0.995</f>
        <v>1.6124604441396515E-3</v>
      </c>
      <c r="BK85" s="248">
        <f t="shared" si="909"/>
        <v>1.6043981419189533E-3</v>
      </c>
      <c r="BL85" s="248">
        <f t="shared" si="909"/>
        <v>1.5963761512093584E-3</v>
      </c>
      <c r="BM85" s="248">
        <f t="shared" si="909"/>
        <v>1.5883942704533116E-3</v>
      </c>
      <c r="BN85" s="248">
        <f t="shared" si="909"/>
        <v>1.5804522991010449E-3</v>
      </c>
      <c r="BO85" s="248">
        <f t="shared" si="909"/>
        <v>1.5725500376055396E-3</v>
      </c>
      <c r="BP85" s="248">
        <f t="shared" si="909"/>
        <v>1.5646872874175118E-3</v>
      </c>
      <c r="BQ85" s="248">
        <f t="shared" si="909"/>
        <v>1.5568638509804243E-3</v>
      </c>
      <c r="BR85" s="35"/>
      <c r="BS85" s="345">
        <f t="shared" ref="BS85:CY85" si="928">BS396/BS259*BS$5</f>
        <v>1.5063405816970953E-2</v>
      </c>
      <c r="BT85" s="345">
        <f t="shared" si="928"/>
        <v>1.4898386132695753E-2</v>
      </c>
      <c r="BU85" s="345">
        <f t="shared" si="928"/>
        <v>1.6262761898672123E-2</v>
      </c>
      <c r="BV85" s="345">
        <f t="shared" si="928"/>
        <v>1.3582256587648795E-2</v>
      </c>
      <c r="BW85" s="345">
        <f t="shared" si="928"/>
        <v>1.130328414598269E-2</v>
      </c>
      <c r="BX85" s="345">
        <f t="shared" si="928"/>
        <v>1.1962430701329458E-2</v>
      </c>
      <c r="BY85" s="345">
        <f t="shared" si="928"/>
        <v>1.2117771909474568E-2</v>
      </c>
      <c r="BZ85" s="345">
        <f t="shared" si="928"/>
        <v>1.2603746593165365E-2</v>
      </c>
      <c r="CA85" s="345">
        <f t="shared" si="928"/>
        <v>1.1757283780683643E-2</v>
      </c>
      <c r="CB85" s="345">
        <f t="shared" si="928"/>
        <v>1.3527741050878997E-2</v>
      </c>
      <c r="CC85" s="35">
        <f t="shared" si="928"/>
        <v>1.3191890942763889E-2</v>
      </c>
      <c r="CD85" s="35">
        <f t="shared" si="928"/>
        <v>1.1019181783345083E-2</v>
      </c>
      <c r="CE85" s="35">
        <f t="shared" si="928"/>
        <v>1.1030269110582528E-2</v>
      </c>
      <c r="CF85" s="35">
        <f t="shared" si="928"/>
        <v>6.2909328877455905E-3</v>
      </c>
      <c r="CG85" s="35">
        <f t="shared" si="928"/>
        <v>1.0514247878758154E-2</v>
      </c>
      <c r="CH85" s="35">
        <f t="shared" si="928"/>
        <v>1.0195545048764822E-2</v>
      </c>
      <c r="CI85" s="35">
        <f t="shared" si="928"/>
        <v>9.0234056898680411E-3</v>
      </c>
      <c r="CJ85" s="35">
        <f t="shared" si="928"/>
        <v>6.3902650113405752E-3</v>
      </c>
      <c r="CK85" s="35">
        <f t="shared" si="928"/>
        <v>5.8108149925903511E-3</v>
      </c>
      <c r="CL85" s="35">
        <f t="shared" si="928"/>
        <v>5.1076395738804499E-3</v>
      </c>
      <c r="CM85" s="37">
        <f t="shared" si="928"/>
        <v>4.3480157237333504E-3</v>
      </c>
      <c r="CN85" s="37">
        <f t="shared" si="928"/>
        <v>3.9044551024919466E-3</v>
      </c>
      <c r="CO85" s="37">
        <f t="shared" si="928"/>
        <v>3.6061007537767972E-3</v>
      </c>
      <c r="CP85" s="37">
        <f t="shared" si="928"/>
        <v>3.3467965044109327E-3</v>
      </c>
      <c r="CQ85" s="37">
        <f t="shared" si="928"/>
        <v>3.218107689924244E-3</v>
      </c>
      <c r="CR85" s="37">
        <f t="shared" si="928"/>
        <v>3.1093258626651798E-3</v>
      </c>
      <c r="CS85" s="37">
        <f t="shared" si="928"/>
        <v>3.9668368004346427E-3</v>
      </c>
      <c r="CT85" s="37">
        <f t="shared" si="928"/>
        <v>3.3435760263210985E-3</v>
      </c>
      <c r="CU85" s="37">
        <f t="shared" si="928"/>
        <v>2.7099651454252261E-3</v>
      </c>
      <c r="CV85" s="37">
        <f t="shared" si="928"/>
        <v>2.4001927041176433E-3</v>
      </c>
      <c r="CW85" s="37">
        <f t="shared" si="928"/>
        <v>2.4061159528705714E-3</v>
      </c>
      <c r="CX85" s="37">
        <f t="shared" si="928"/>
        <v>2.2968097047305481E-3</v>
      </c>
      <c r="CY85" s="37">
        <f t="shared" si="928"/>
        <v>2.195432970845203E-3</v>
      </c>
      <c r="CZ85" s="36">
        <f t="shared" ref="CZ85" si="929">CZ396/CZ259*CZ$5</f>
        <v>2.003764935986245E-3</v>
      </c>
      <c r="DA85" s="35">
        <f t="shared" ref="DA85:DF85" si="930">DA396/DA259*DA$5</f>
        <v>2.0054343536597052E-3</v>
      </c>
      <c r="DB85" s="35">
        <f t="shared" si="930"/>
        <v>1.8745889837366784E-3</v>
      </c>
      <c r="DC85" s="35">
        <f t="shared" si="930"/>
        <v>1.7920511011559562E-3</v>
      </c>
      <c r="DD85" s="35">
        <f t="shared" si="930"/>
        <v>1.7104411882927733E-3</v>
      </c>
      <c r="DE85" s="35">
        <f t="shared" si="930"/>
        <v>1.635865063353603E-3</v>
      </c>
      <c r="DF85" s="35">
        <f t="shared" si="930"/>
        <v>1.6083709652267232E-3</v>
      </c>
      <c r="DG85" s="35">
        <f t="shared" ref="DG85" si="931">DG396/DG259*DG$5</f>
        <v>1.5923557394184745E-3</v>
      </c>
      <c r="DH85" s="35">
        <f t="shared" ref="DH85:DI85" si="932">DH396/DH259*DH$5</f>
        <v>1.5764515370815415E-3</v>
      </c>
      <c r="DI85" s="35">
        <f t="shared" si="932"/>
        <v>1.5607189944692966E-3</v>
      </c>
    </row>
    <row r="86" spans="1:113" ht="12" outlineLevel="1">
      <c r="A86" s="1" t="s">
        <v>701</v>
      </c>
      <c r="B86" s="15" t="s">
        <v>535</v>
      </c>
      <c r="C86" s="345">
        <f t="shared" ref="C86:K86" si="933">C397/(C233+AVERAGE(B179:C179))*C$5</f>
        <v>7.2429333287253829E-3</v>
      </c>
      <c r="D86" s="345">
        <f t="shared" si="933"/>
        <v>4.3220617016765843E-3</v>
      </c>
      <c r="E86" s="345">
        <f t="shared" si="933"/>
        <v>4.180755829162908E-3</v>
      </c>
      <c r="F86" s="345">
        <f t="shared" si="933"/>
        <v>4.5686377417186131E-3</v>
      </c>
      <c r="G86" s="345">
        <f t="shared" si="933"/>
        <v>4.3721201999538887E-3</v>
      </c>
      <c r="H86" s="345">
        <f t="shared" si="933"/>
        <v>4.7902805225289473E-3</v>
      </c>
      <c r="I86" s="345">
        <f t="shared" si="933"/>
        <v>4.6353746589257632E-3</v>
      </c>
      <c r="J86" s="345">
        <f t="shared" si="933"/>
        <v>4.1273922120278533E-3</v>
      </c>
      <c r="K86" s="345">
        <f t="shared" si="933"/>
        <v>4.9115110783314944E-3</v>
      </c>
      <c r="L86" s="345">
        <f t="shared" ref="L86:AC86" si="934">L397/(L233+L235)*L$5</f>
        <v>5.9622845888983632E-3</v>
      </c>
      <c r="M86" s="35">
        <f t="shared" si="934"/>
        <v>4.4206830048885096E-3</v>
      </c>
      <c r="N86" s="35">
        <f t="shared" si="934"/>
        <v>6.1024073284306592E-3</v>
      </c>
      <c r="O86" s="35">
        <f t="shared" si="934"/>
        <v>6.2414176969761781E-3</v>
      </c>
      <c r="P86" s="35">
        <f t="shared" si="934"/>
        <v>7.2374502122645474E-3</v>
      </c>
      <c r="Q86" s="35">
        <f t="shared" si="934"/>
        <v>7.1504794410683957E-3</v>
      </c>
      <c r="R86" s="35">
        <f t="shared" si="934"/>
        <v>6.9638042847036102E-3</v>
      </c>
      <c r="S86" s="35">
        <f t="shared" si="934"/>
        <v>5.6134355439770162E-3</v>
      </c>
      <c r="T86" s="37">
        <f t="shared" si="934"/>
        <v>7.0523923250221552E-3</v>
      </c>
      <c r="U86" s="35">
        <f t="shared" si="934"/>
        <v>6.052422320214944E-3</v>
      </c>
      <c r="V86" s="35">
        <f t="shared" si="934"/>
        <v>7.4880088663601772E-3</v>
      </c>
      <c r="W86" s="35">
        <f t="shared" si="934"/>
        <v>3.7775420764178968E-3</v>
      </c>
      <c r="X86" s="35">
        <f t="shared" si="934"/>
        <v>7.0983659868308641E-3</v>
      </c>
      <c r="Y86" s="37">
        <f t="shared" si="934"/>
        <v>5.483117434841E-3</v>
      </c>
      <c r="Z86" s="37">
        <f t="shared" si="934"/>
        <v>6.9054094330252913E-3</v>
      </c>
      <c r="AA86" s="228">
        <f t="shared" si="934"/>
        <v>4.9000896842846106E-3</v>
      </c>
      <c r="AB86" s="357">
        <f t="shared" si="934"/>
        <v>5.9181258909445766E-3</v>
      </c>
      <c r="AC86" s="357">
        <f t="shared" si="934"/>
        <v>4.4222436207158253E-3</v>
      </c>
      <c r="AD86" s="357">
        <f t="shared" ref="AD86" si="935">AD397/(AD233+AD235)*AD$5</f>
        <v>5.5569151006124506E-3</v>
      </c>
      <c r="AE86" s="357">
        <f t="shared" ref="AE86:AI86" si="936">AE397/(AE233+AE235)*AE$5</f>
        <v>3.2674563234121302E-3</v>
      </c>
      <c r="AF86" s="357">
        <f t="shared" si="936"/>
        <v>3.1190139951439468E-3</v>
      </c>
      <c r="AG86" s="357">
        <f t="shared" si="936"/>
        <v>2.9588841000925373E-3</v>
      </c>
      <c r="AH86" s="357">
        <f t="shared" si="936"/>
        <v>7.2808402170439499E-3</v>
      </c>
      <c r="AI86" s="357">
        <f t="shared" si="936"/>
        <v>4.5684040465209094E-3</v>
      </c>
      <c r="AJ86" s="357">
        <f t="shared" ref="AJ86:AO86" si="937">AJ397/(AJ233+AJ235)*AJ$5</f>
        <v>4.5992725842338737E-3</v>
      </c>
      <c r="AK86" s="357">
        <f t="shared" si="937"/>
        <v>4.7733066842285355E-3</v>
      </c>
      <c r="AL86" s="357">
        <f t="shared" si="937"/>
        <v>5.2607366520562582E-3</v>
      </c>
      <c r="AM86" s="357">
        <f t="shared" si="937"/>
        <v>4.7408977988844733E-3</v>
      </c>
      <c r="AN86" s="357">
        <f t="shared" si="937"/>
        <v>5.5300258829281586E-3</v>
      </c>
      <c r="AO86" s="357">
        <f t="shared" si="937"/>
        <v>8.339900624545489E-3</v>
      </c>
      <c r="AP86" s="357">
        <f t="shared" ref="AP86" si="938">AP397/(AP233+AP235)*AP$5</f>
        <v>5.0304464086489654E-3</v>
      </c>
      <c r="AQ86" s="357">
        <f t="shared" ref="AQ86:AU86" si="939">AQ397/(AQ233+AQ235)*AQ$5</f>
        <v>4.0697117442537968E-3</v>
      </c>
      <c r="AR86" s="357">
        <f t="shared" si="939"/>
        <v>3.0855013579276515E-3</v>
      </c>
      <c r="AS86" s="357">
        <f t="shared" si="939"/>
        <v>3.4067102084974939E-3</v>
      </c>
      <c r="AT86" s="357">
        <f t="shared" si="939"/>
        <v>6.8899459714247876E-3</v>
      </c>
      <c r="AU86" s="357">
        <f t="shared" si="939"/>
        <v>6.6317303884557621E-3</v>
      </c>
      <c r="AV86" s="357">
        <f>AV397/(AV233+AV235)*AV$5</f>
        <v>9.0417225262784395E-3</v>
      </c>
      <c r="AW86" s="357">
        <f>AW397/(AW233+AW235)*AW$5</f>
        <v>7.2291661872627153E-3</v>
      </c>
      <c r="AX86" s="357">
        <f>AX397/(AX233+AX235)*AX$5</f>
        <v>6.4583826778897725E-3</v>
      </c>
      <c r="AY86" s="348">
        <f>AY397/(AY233+AY235)*AY$5</f>
        <v>5.5891457391907861E-3</v>
      </c>
      <c r="AZ86" s="570">
        <f>[3]ANZ!K$138/SUM(AZ$233,AZ$235)*AZ$5</f>
        <v>6.0987238708002612E-3</v>
      </c>
      <c r="BA86" s="570">
        <f>[3]ANZ!L$138/SUM(BA$233,BA$235)*BA$5</f>
        <v>5.5571107414334438E-3</v>
      </c>
      <c r="BB86" s="570">
        <f>[3]ANZ!M$138/SUM(BB$233,BB$235)*BB$5</f>
        <v>5.8919906223283873E-3</v>
      </c>
      <c r="BC86" s="570">
        <f>[3]ANZ!N$138/SUM(BC$233,BC$235)*BC$5</f>
        <v>5.3694937397046486E-3</v>
      </c>
      <c r="BD86" s="570">
        <f>[3]ANZ!O$138/SUM(BD$233,BD$235)*BD$5</f>
        <v>5.9881029169254422E-3</v>
      </c>
      <c r="BE86" s="570">
        <f>[3]ANZ!P$138/SUM(BE$233,BE$235)*BE$5</f>
        <v>5.4902037593280682E-3</v>
      </c>
      <c r="BF86" s="570">
        <f>[3]ANZ!Q$138/SUM(BF$233,BF$235)*BF$5</f>
        <v>6.0008512777189231E-3</v>
      </c>
      <c r="BG86" s="570">
        <f>[3]ANZ!R$138/SUM(BG$233,BG$235)*BG$5</f>
        <v>5.4756802207703075E-3</v>
      </c>
      <c r="BH86" s="570">
        <f>[3]ANZ!S$138/SUM(BH$233,BH$235)*BH$5</f>
        <v>5.9695790112022787E-3</v>
      </c>
      <c r="BI86" s="570">
        <f>[3]ANZ!T$138/SUM(BI$233,BI$235)*BI$5</f>
        <v>5.3828156204817562E-3</v>
      </c>
      <c r="BJ86" s="248">
        <f t="shared" ref="BJ86" si="940">BH86</f>
        <v>5.9695790112022787E-3</v>
      </c>
      <c r="BK86" s="248">
        <f>BJ86</f>
        <v>5.9695790112022787E-3</v>
      </c>
      <c r="BL86" s="248">
        <f t="shared" ref="BL86" si="941">BJ86</f>
        <v>5.9695790112022787E-3</v>
      </c>
      <c r="BM86" s="248">
        <f t="shared" ref="BM86" si="942">BK86</f>
        <v>5.9695790112022787E-3</v>
      </c>
      <c r="BN86" s="248">
        <f t="shared" ref="BN86" si="943">BL86</f>
        <v>5.9695790112022787E-3</v>
      </c>
      <c r="BO86" s="248">
        <f t="shared" ref="BO86" si="944">BM86</f>
        <v>5.9695790112022787E-3</v>
      </c>
      <c r="BP86" s="248">
        <f t="shared" ref="BP86" si="945">BN86</f>
        <v>5.9695790112022787E-3</v>
      </c>
      <c r="BQ86" s="248">
        <f t="shared" ref="BQ86" si="946">BO86</f>
        <v>5.9695790112022787E-3</v>
      </c>
      <c r="BR86" s="35"/>
      <c r="BS86" s="345">
        <f t="shared" ref="BS86:CF86" si="947">BS397/(BS233+AVERAGE(BR179:BS179))*BS$5</f>
        <v>1.2361929931946436E-2</v>
      </c>
      <c r="BT86" s="345">
        <f t="shared" si="947"/>
        <v>5.5933091727775244E-3</v>
      </c>
      <c r="BU86" s="345">
        <f t="shared" si="947"/>
        <v>6.3455462971818109E-3</v>
      </c>
      <c r="BV86" s="345">
        <f t="shared" si="947"/>
        <v>5.4761402039824863E-3</v>
      </c>
      <c r="BW86" s="345">
        <f t="shared" si="947"/>
        <v>5.1478230569209664E-3</v>
      </c>
      <c r="BX86" s="345">
        <f t="shared" si="947"/>
        <v>5.8661303579139309E-3</v>
      </c>
      <c r="BY86" s="345">
        <f t="shared" si="947"/>
        <v>3.6383423234943239E-3</v>
      </c>
      <c r="BZ86" s="345">
        <f t="shared" si="947"/>
        <v>5.0238149652455646E-3</v>
      </c>
      <c r="CA86" s="345">
        <f t="shared" si="947"/>
        <v>4.039597883216348E-3</v>
      </c>
      <c r="CB86" s="345">
        <f t="shared" si="947"/>
        <v>4.4655788322248242E-3</v>
      </c>
      <c r="CC86" s="35">
        <f t="shared" si="947"/>
        <v>4.2613475748867497E-3</v>
      </c>
      <c r="CD86" s="35">
        <f t="shared" si="947"/>
        <v>4.4649473547193732E-3</v>
      </c>
      <c r="CE86" s="35">
        <f t="shared" si="947"/>
        <v>4.7213341509469084E-3</v>
      </c>
      <c r="CF86" s="35">
        <f t="shared" si="947"/>
        <v>4.5296333074789268E-3</v>
      </c>
      <c r="CG86" s="35">
        <f t="shared" ref="CG86:CY86" si="948">CG397/(CG233+CG235)*CG$5</f>
        <v>5.1642036691092411E-3</v>
      </c>
      <c r="CH86" s="35">
        <f t="shared" si="948"/>
        <v>6.1448572878642829E-3</v>
      </c>
      <c r="CI86" s="35">
        <f t="shared" si="948"/>
        <v>7.2214657881168581E-3</v>
      </c>
      <c r="CJ86" s="35">
        <f t="shared" si="948"/>
        <v>6.3288229030081565E-3</v>
      </c>
      <c r="CK86" s="35">
        <f t="shared" si="948"/>
        <v>6.4858371782459557E-3</v>
      </c>
      <c r="CL86" s="35">
        <f t="shared" si="948"/>
        <v>5.6129293717204244E-3</v>
      </c>
      <c r="CM86" s="37">
        <f t="shared" si="948"/>
        <v>6.261322807543936E-3</v>
      </c>
      <c r="CN86" s="37">
        <f t="shared" si="948"/>
        <v>5.8928181793412027E-3</v>
      </c>
      <c r="CO86" s="37">
        <f t="shared" si="948"/>
        <v>5.1590850415434734E-3</v>
      </c>
      <c r="CP86" s="37">
        <f t="shared" si="948"/>
        <v>4.4138781561126519E-3</v>
      </c>
      <c r="CQ86" s="37">
        <f t="shared" si="948"/>
        <v>3.0121073221984502E-3</v>
      </c>
      <c r="CR86" s="37">
        <f t="shared" si="948"/>
        <v>5.9103575992319355E-3</v>
      </c>
      <c r="CS86" s="37">
        <f t="shared" si="948"/>
        <v>4.6666197477026128E-3</v>
      </c>
      <c r="CT86" s="37">
        <f t="shared" si="948"/>
        <v>4.9556197115875143E-3</v>
      </c>
      <c r="CU86" s="37">
        <f t="shared" si="948"/>
        <v>7.1008807285689495E-3</v>
      </c>
      <c r="CV86" s="37">
        <f t="shared" si="948"/>
        <v>4.499193318155654E-3</v>
      </c>
      <c r="CW86" s="37">
        <f t="shared" si="948"/>
        <v>3.250877335085273E-3</v>
      </c>
      <c r="CX86" s="37">
        <f t="shared" si="948"/>
        <v>6.7615285264489115E-3</v>
      </c>
      <c r="CY86" s="37">
        <f t="shared" si="948"/>
        <v>8.1271727474106128E-3</v>
      </c>
      <c r="CZ86" s="36">
        <f t="shared" ref="CZ86" si="949">CZ397/(CZ233+CZ235)*CZ$5</f>
        <v>6.0206499709750819E-3</v>
      </c>
      <c r="DA86" s="35">
        <f t="shared" ref="DA86:DF86" si="950">DA397/(DA233+DA235)*DA$5</f>
        <v>5.8263617833023001E-3</v>
      </c>
      <c r="DB86" s="35">
        <f t="shared" si="950"/>
        <v>5.6292599708808568E-3</v>
      </c>
      <c r="DC86" s="35">
        <f t="shared" si="950"/>
        <v>5.7384940890380072E-3</v>
      </c>
      <c r="DD86" s="35">
        <f t="shared" si="950"/>
        <v>5.736943405478599E-3</v>
      </c>
      <c r="DE86" s="35">
        <f t="shared" si="950"/>
        <v>5.6729773177538866E-3</v>
      </c>
      <c r="DF86" s="35">
        <f t="shared" si="950"/>
        <v>5.9695790112022787E-3</v>
      </c>
      <c r="DG86" s="35">
        <f t="shared" ref="DG86" si="951">DG397/(DG233+DG235)*DG$5</f>
        <v>5.9695790112022796E-3</v>
      </c>
      <c r="DH86" s="35">
        <f t="shared" ref="DH86:DI86" si="952">DH397/(DH233+DH235)*DH$5</f>
        <v>5.9695790112022796E-3</v>
      </c>
      <c r="DI86" s="35">
        <f t="shared" si="952"/>
        <v>5.9695790112022796E-3</v>
      </c>
    </row>
    <row r="87" spans="1:113" ht="12" hidden="1" outlineLevel="2">
      <c r="A87" s="1" t="s">
        <v>702</v>
      </c>
      <c r="B87" s="15" t="s">
        <v>650</v>
      </c>
      <c r="C87" s="345">
        <f t="shared" ref="C87:AC87" si="953">C398/C267*C$5</f>
        <v>0</v>
      </c>
      <c r="D87" s="345">
        <f t="shared" si="953"/>
        <v>0</v>
      </c>
      <c r="E87" s="345">
        <f t="shared" si="953"/>
        <v>1.3013486075351613E-2</v>
      </c>
      <c r="F87" s="345">
        <f t="shared" si="953"/>
        <v>1.4037224046341662E-2</v>
      </c>
      <c r="G87" s="345">
        <f t="shared" si="953"/>
        <v>1.4311585420564904E-2</v>
      </c>
      <c r="H87" s="345">
        <f t="shared" si="953"/>
        <v>1.4128459243510168E-2</v>
      </c>
      <c r="I87" s="345">
        <f t="shared" si="953"/>
        <v>1.5709409074337984E-2</v>
      </c>
      <c r="J87" s="345">
        <f t="shared" si="953"/>
        <v>1.1475435897376691E-2</v>
      </c>
      <c r="K87" s="345">
        <f t="shared" si="953"/>
        <v>1.2116255747628724E-2</v>
      </c>
      <c r="L87" s="345">
        <f t="shared" si="953"/>
        <v>1.2751397959339637E-2</v>
      </c>
      <c r="M87" s="35">
        <f t="shared" si="953"/>
        <v>1.3025762414791593E-2</v>
      </c>
      <c r="N87" s="35">
        <f t="shared" si="953"/>
        <v>1.1793315219978338E-2</v>
      </c>
      <c r="O87" s="35">
        <f t="shared" si="953"/>
        <v>1.1462081833933093E-2</v>
      </c>
      <c r="P87" s="35">
        <f t="shared" si="953"/>
        <v>1.1341398327699698E-2</v>
      </c>
      <c r="Q87" s="35">
        <f t="shared" si="953"/>
        <v>1.1277713699859028E-2</v>
      </c>
      <c r="R87" s="35">
        <f t="shared" si="953"/>
        <v>1.0091535284184959E-2</v>
      </c>
      <c r="S87" s="35">
        <f t="shared" si="953"/>
        <v>1.1261024150046001E-2</v>
      </c>
      <c r="T87" s="37">
        <f t="shared" si="953"/>
        <v>8.9933017514532369E-3</v>
      </c>
      <c r="U87" s="35">
        <f t="shared" si="953"/>
        <v>1.1833577502508737E-2</v>
      </c>
      <c r="V87" s="35">
        <f t="shared" si="953"/>
        <v>1.1185742987436263E-2</v>
      </c>
      <c r="W87" s="35">
        <f t="shared" si="953"/>
        <v>8.4101623481730309E-3</v>
      </c>
      <c r="X87" s="35">
        <f t="shared" si="953"/>
        <v>9.4688434110785907E-3</v>
      </c>
      <c r="Y87" s="37">
        <f t="shared" si="953"/>
        <v>8.9517917433411861E-3</v>
      </c>
      <c r="Z87" s="37">
        <f t="shared" si="953"/>
        <v>9.1809112833214478E-3</v>
      </c>
      <c r="AA87" s="228">
        <f t="shared" si="953"/>
        <v>9.0758514021459409E-3</v>
      </c>
      <c r="AB87" s="357">
        <f t="shared" si="953"/>
        <v>9.5876200464913523E-3</v>
      </c>
      <c r="AC87" s="357">
        <f t="shared" si="953"/>
        <v>8.6353211329982527E-3</v>
      </c>
      <c r="AD87" s="357">
        <f t="shared" ref="AD87:AE87" si="954">AD398/AD267*AD$5</f>
        <v>9.4050746428796204E-3</v>
      </c>
      <c r="AE87" s="357">
        <f t="shared" si="954"/>
        <v>9.5529409708552393E-3</v>
      </c>
      <c r="AF87" s="357">
        <f t="shared" ref="AF87:AG87" si="955">AF398/AF267*AF$5</f>
        <v>9.9369745524415694E-3</v>
      </c>
      <c r="AG87" s="357">
        <f t="shared" si="955"/>
        <v>1.0948596928283675E-2</v>
      </c>
      <c r="AH87" s="357">
        <f t="shared" ref="AH87:AI87" si="956">AH398/AH267*AH$5</f>
        <v>1.8326175804092345E-2</v>
      </c>
      <c r="AI87" s="357">
        <f t="shared" si="956"/>
        <v>2.2933448647370045E-2</v>
      </c>
      <c r="AJ87" s="357">
        <f t="shared" ref="AJ87" si="957">AJ398/AJ267*AJ$5</f>
        <v>3.6389409887839013E-3</v>
      </c>
      <c r="AK87" s="357">
        <f t="shared" ref="AK87:AP87" si="958">AK398/AK267*AK$5</f>
        <v>4.6180343015791133E-3</v>
      </c>
      <c r="AL87" s="357">
        <f t="shared" si="958"/>
        <v>5.0661317109724742E-3</v>
      </c>
      <c r="AM87" s="357">
        <f t="shared" si="958"/>
        <v>4.6170565921956315E-3</v>
      </c>
      <c r="AN87" s="357">
        <f t="shared" si="958"/>
        <v>5.0328504754083812E-3</v>
      </c>
      <c r="AO87" s="357">
        <f t="shared" si="958"/>
        <v>5.6078287844329453E-3</v>
      </c>
      <c r="AP87" s="357">
        <f t="shared" si="958"/>
        <v>5.259225459533212E-3</v>
      </c>
      <c r="AQ87" s="357">
        <f t="shared" ref="AQ87:AR87" si="959">AQ398/AQ267*AQ$5</f>
        <v>0</v>
      </c>
      <c r="AR87" s="357">
        <f t="shared" si="959"/>
        <v>0</v>
      </c>
      <c r="AS87" s="357">
        <f t="shared" ref="AS87:AT87" si="960">AS398/AS267*AS$5</f>
        <v>0</v>
      </c>
      <c r="AT87" s="357">
        <f t="shared" si="960"/>
        <v>0</v>
      </c>
      <c r="AU87" s="357">
        <f t="shared" ref="AU87:AV87" si="961">AU398/AU267*AU$5</f>
        <v>0</v>
      </c>
      <c r="AV87" s="357">
        <f t="shared" si="961"/>
        <v>0</v>
      </c>
      <c r="AW87" s="357">
        <f t="shared" ref="AW87:AX87" si="962">AW398/AW267*AW$5</f>
        <v>0</v>
      </c>
      <c r="AX87" s="357">
        <f t="shared" si="962"/>
        <v>0</v>
      </c>
      <c r="AY87" s="348">
        <f t="shared" ref="AY87" si="963">AY398/AY267*AY$5</f>
        <v>0</v>
      </c>
      <c r="AZ87" s="570">
        <f t="shared" ref="AZ87:BE87" si="964">AY87</f>
        <v>0</v>
      </c>
      <c r="BA87" s="570">
        <f t="shared" si="964"/>
        <v>0</v>
      </c>
      <c r="BB87" s="570">
        <f t="shared" si="964"/>
        <v>0</v>
      </c>
      <c r="BC87" s="570">
        <f t="shared" si="964"/>
        <v>0</v>
      </c>
      <c r="BD87" s="570">
        <f t="shared" si="964"/>
        <v>0</v>
      </c>
      <c r="BE87" s="570">
        <f t="shared" si="964"/>
        <v>0</v>
      </c>
      <c r="BF87" s="570">
        <f t="shared" ref="BF87:BF88" si="965">BE87</f>
        <v>0</v>
      </c>
      <c r="BG87" s="570">
        <f t="shared" ref="BG87:BK89" si="966">BF87</f>
        <v>0</v>
      </c>
      <c r="BH87" s="570">
        <f t="shared" si="966"/>
        <v>0</v>
      </c>
      <c r="BI87" s="570">
        <f t="shared" si="966"/>
        <v>0</v>
      </c>
      <c r="BJ87" s="248">
        <f t="shared" si="966"/>
        <v>0</v>
      </c>
      <c r="BK87" s="248">
        <f t="shared" si="966"/>
        <v>0</v>
      </c>
      <c r="BL87" s="248">
        <f t="shared" ref="BL87:BL89" si="967">BK87</f>
        <v>0</v>
      </c>
      <c r="BM87" s="248">
        <f t="shared" ref="BM87:BM89" si="968">BL87</f>
        <v>0</v>
      </c>
      <c r="BN87" s="248">
        <f t="shared" ref="BN87:BN89" si="969">BM87</f>
        <v>0</v>
      </c>
      <c r="BO87" s="248">
        <f t="shared" ref="BO87:BO89" si="970">BN87</f>
        <v>0</v>
      </c>
      <c r="BP87" s="248">
        <f t="shared" ref="BP87:BP89" si="971">BO87</f>
        <v>0</v>
      </c>
      <c r="BQ87" s="248">
        <f t="shared" ref="BQ87:BQ89" si="972">BP87</f>
        <v>0</v>
      </c>
      <c r="BR87" s="35"/>
      <c r="BS87" s="345">
        <f t="shared" ref="BS87:CY87" si="973">BS398/BS267*BS$5</f>
        <v>0</v>
      </c>
      <c r="BT87" s="345">
        <f t="shared" si="973"/>
        <v>0</v>
      </c>
      <c r="BU87" s="345">
        <f t="shared" si="973"/>
        <v>0</v>
      </c>
      <c r="BV87" s="345">
        <f t="shared" si="973"/>
        <v>0</v>
      </c>
      <c r="BW87" s="345">
        <f t="shared" si="973"/>
        <v>0</v>
      </c>
      <c r="BX87" s="345">
        <f t="shared" si="973"/>
        <v>0</v>
      </c>
      <c r="BY87" s="345">
        <f t="shared" si="973"/>
        <v>0</v>
      </c>
      <c r="BZ87" s="345">
        <f t="shared" si="973"/>
        <v>0</v>
      </c>
      <c r="CA87" s="345">
        <f t="shared" si="973"/>
        <v>0</v>
      </c>
      <c r="CB87" s="345">
        <f t="shared" si="973"/>
        <v>0</v>
      </c>
      <c r="CC87" s="35">
        <f t="shared" si="973"/>
        <v>6.2123388328956574E-3</v>
      </c>
      <c r="CD87" s="35">
        <f t="shared" si="973"/>
        <v>1.4178691397853429E-2</v>
      </c>
      <c r="CE87" s="35">
        <f t="shared" si="973"/>
        <v>1.4932416489702364E-2</v>
      </c>
      <c r="CF87" s="35">
        <f t="shared" si="973"/>
        <v>1.1799862749288516E-2</v>
      </c>
      <c r="CG87" s="35">
        <f t="shared" si="973"/>
        <v>1.2899728269815062E-2</v>
      </c>
      <c r="CH87" s="35">
        <f t="shared" si="973"/>
        <v>1.1623022412955089E-2</v>
      </c>
      <c r="CI87" s="35">
        <f t="shared" si="973"/>
        <v>1.1310299313303256E-2</v>
      </c>
      <c r="CJ87" s="35">
        <f t="shared" si="973"/>
        <v>1.0672882197908176E-2</v>
      </c>
      <c r="CK87" s="35">
        <f t="shared" si="973"/>
        <v>1.0602856019870427E-2</v>
      </c>
      <c r="CL87" s="35">
        <f t="shared" si="973"/>
        <v>9.7639672370091607E-3</v>
      </c>
      <c r="CM87" s="37">
        <f t="shared" si="973"/>
        <v>9.2064707328412976E-3</v>
      </c>
      <c r="CN87" s="37">
        <f t="shared" si="973"/>
        <v>9.1281584612569015E-3</v>
      </c>
      <c r="CO87" s="37">
        <f t="shared" si="973"/>
        <v>9.1052027545166728E-3</v>
      </c>
      <c r="CP87" s="37">
        <f t="shared" si="973"/>
        <v>9.4811113436619136E-3</v>
      </c>
      <c r="CQ87" s="37">
        <f t="shared" si="973"/>
        <v>1.0400881516778844E-2</v>
      </c>
      <c r="CR87" s="37">
        <f t="shared" si="973"/>
        <v>2.0297927995468892E-2</v>
      </c>
      <c r="CS87" s="37">
        <f t="shared" si="973"/>
        <v>4.1371564618620819E-3</v>
      </c>
      <c r="CT87" s="37">
        <f t="shared" si="973"/>
        <v>4.8325756509843129E-3</v>
      </c>
      <c r="CU87" s="37">
        <f t="shared" si="973"/>
        <v>5.3134705282399533E-3</v>
      </c>
      <c r="CV87" s="37">
        <f t="shared" si="973"/>
        <v>2.5326618969831955E-3</v>
      </c>
      <c r="CW87" s="37">
        <f t="shared" si="973"/>
        <v>0</v>
      </c>
      <c r="CX87" s="37">
        <f t="shared" si="973"/>
        <v>0</v>
      </c>
      <c r="CY87" s="37">
        <f t="shared" si="973"/>
        <v>0</v>
      </c>
      <c r="CZ87" s="36">
        <f t="shared" ref="CZ87" si="974">CZ398/CZ267*CZ$5</f>
        <v>0</v>
      </c>
      <c r="DA87" s="35">
        <f t="shared" ref="DA87:DF87" si="975">DA398/DA267*DA$5</f>
        <v>0</v>
      </c>
      <c r="DB87" s="35">
        <f t="shared" si="975"/>
        <v>0</v>
      </c>
      <c r="DC87" s="35">
        <f t="shared" si="975"/>
        <v>0</v>
      </c>
      <c r="DD87" s="35">
        <f t="shared" si="975"/>
        <v>0</v>
      </c>
      <c r="DE87" s="35">
        <f t="shared" si="975"/>
        <v>0</v>
      </c>
      <c r="DF87" s="35">
        <f t="shared" si="975"/>
        <v>0</v>
      </c>
      <c r="DG87" s="35">
        <f t="shared" ref="DG87" si="976">DG398/DG267*DG$5</f>
        <v>0</v>
      </c>
      <c r="DH87" s="35">
        <f t="shared" ref="DH87:DI87" si="977">DH398/DH267*DH$5</f>
        <v>0</v>
      </c>
      <c r="DI87" s="35">
        <f t="shared" si="977"/>
        <v>0</v>
      </c>
    </row>
    <row r="88" spans="1:113" ht="12" hidden="1" outlineLevel="2">
      <c r="A88" s="1" t="s">
        <v>703</v>
      </c>
      <c r="B88" s="15" t="s">
        <v>385</v>
      </c>
      <c r="C88" s="345">
        <f t="shared" ref="C88:AC88" si="978">C399*C$5/C265</f>
        <v>0</v>
      </c>
      <c r="D88" s="345">
        <f t="shared" si="978"/>
        <v>0</v>
      </c>
      <c r="E88" s="345">
        <f t="shared" si="978"/>
        <v>2.2387322059064733E-2</v>
      </c>
      <c r="F88" s="345" t="e">
        <f t="shared" si="978"/>
        <v>#DIV/0!</v>
      </c>
      <c r="G88" s="345" t="e">
        <f t="shared" si="978"/>
        <v>#DIV/0!</v>
      </c>
      <c r="H88" s="345" t="e">
        <f t="shared" si="978"/>
        <v>#DIV/0!</v>
      </c>
      <c r="I88" s="345" t="e">
        <f t="shared" si="978"/>
        <v>#DIV/0!</v>
      </c>
      <c r="J88" s="345" t="e">
        <f t="shared" si="978"/>
        <v>#DIV/0!</v>
      </c>
      <c r="K88" s="345" t="e">
        <f t="shared" si="978"/>
        <v>#DIV/0!</v>
      </c>
      <c r="L88" s="345" t="e">
        <f t="shared" si="978"/>
        <v>#DIV/0!</v>
      </c>
      <c r="M88" s="35">
        <f t="shared" si="978"/>
        <v>1.1500320633327834E-2</v>
      </c>
      <c r="N88" s="35">
        <f t="shared" si="978"/>
        <v>6.697438273074118E-3</v>
      </c>
      <c r="O88" s="35">
        <f t="shared" si="978"/>
        <v>6.4862943711404318E-3</v>
      </c>
      <c r="P88" s="35">
        <f t="shared" si="978"/>
        <v>7.4719800747198003E-3</v>
      </c>
      <c r="Q88" s="35">
        <f t="shared" si="978"/>
        <v>7.4563396362704332E-3</v>
      </c>
      <c r="R88" s="35">
        <f t="shared" si="978"/>
        <v>1.025004107398891E-2</v>
      </c>
      <c r="S88" s="35">
        <f t="shared" si="978"/>
        <v>8.1655767533508911E-3</v>
      </c>
      <c r="T88" s="37">
        <f t="shared" si="978"/>
        <v>1.1766976943867745E-2</v>
      </c>
      <c r="U88" s="35">
        <f t="shared" si="978"/>
        <v>1.421749716079424E-2</v>
      </c>
      <c r="V88" s="35">
        <f t="shared" si="978"/>
        <v>1.6191416234051938E-2</v>
      </c>
      <c r="W88" s="35">
        <f t="shared" si="978"/>
        <v>1.6401465222821834E-2</v>
      </c>
      <c r="X88" s="35">
        <f t="shared" si="978"/>
        <v>1.7107749192807865E-2</v>
      </c>
      <c r="Y88" s="37">
        <f t="shared" si="978"/>
        <v>1.6080813968111708E-2</v>
      </c>
      <c r="Z88" s="37">
        <f t="shared" si="978"/>
        <v>1.796975203176833E-2</v>
      </c>
      <c r="AA88" s="228">
        <f t="shared" si="978"/>
        <v>1.8439807547886718E-2</v>
      </c>
      <c r="AB88" s="37">
        <f t="shared" si="978"/>
        <v>1.4020396415167374E-2</v>
      </c>
      <c r="AC88" s="37">
        <f t="shared" si="978"/>
        <v>1.7196033042888158E-2</v>
      </c>
      <c r="AD88" s="37">
        <f t="shared" ref="AD88:AE88" si="979">AD399*AD$5/AD265</f>
        <v>1.7938158598049654E-2</v>
      </c>
      <c r="AE88" s="37">
        <f t="shared" si="979"/>
        <v>1.8546427218099317E-2</v>
      </c>
      <c r="AF88" s="37">
        <f t="shared" ref="AF88:AG88" si="980">AF399*AF$5/AF265</f>
        <v>2.0888534632065855E-2</v>
      </c>
      <c r="AG88" s="37">
        <f t="shared" si="980"/>
        <v>2.1573448002311726E-2</v>
      </c>
      <c r="AH88" s="37">
        <f t="shared" ref="AH88:AM88" si="981">IF(ISERROR(AH399*AH$5/AH265),"n.a.",AH399*AH$5/AH265)</f>
        <v>0</v>
      </c>
      <c r="AI88" s="37" t="str">
        <f t="shared" si="981"/>
        <v>n.a.</v>
      </c>
      <c r="AJ88" s="37" t="str">
        <f t="shared" si="981"/>
        <v>n.a.</v>
      </c>
      <c r="AK88" s="37" t="str">
        <f t="shared" si="981"/>
        <v>n.a.</v>
      </c>
      <c r="AL88" s="37" t="str">
        <f t="shared" si="981"/>
        <v>n.a.</v>
      </c>
      <c r="AM88" s="37" t="str">
        <f t="shared" si="981"/>
        <v>n.a.</v>
      </c>
      <c r="AN88" s="37" t="str">
        <f t="shared" ref="AN88:AO88" si="982">IF(ISERROR(AN399*AN$5/AN265),"n.a.",AN399*AN$5/AN265)</f>
        <v>n.a.</v>
      </c>
      <c r="AO88" s="37" t="str">
        <f t="shared" si="982"/>
        <v>n.a.</v>
      </c>
      <c r="AP88" s="37" t="str">
        <f t="shared" ref="AP88:AQ88" si="983">IF(ISERROR(AP399*AP$5/AP265),"n.a.",AP399*AP$5/AP265)</f>
        <v>n.a.</v>
      </c>
      <c r="AQ88" s="37" t="str">
        <f t="shared" si="983"/>
        <v>n.a.</v>
      </c>
      <c r="AR88" s="37" t="str">
        <f t="shared" ref="AR88:AS88" si="984">IF(ISERROR(AR399*AR$5/AR265),"n.a.",AR399*AR$5/AR265)</f>
        <v>n.a.</v>
      </c>
      <c r="AS88" s="37" t="str">
        <f t="shared" si="984"/>
        <v>n.a.</v>
      </c>
      <c r="AT88" s="37" t="str">
        <f t="shared" ref="AT88:AU88" si="985">IF(ISERROR(AT399*AT$5/AT265),"n.a.",AT399*AT$5/AT265)</f>
        <v>n.a.</v>
      </c>
      <c r="AU88" s="37" t="str">
        <f t="shared" si="985"/>
        <v>n.a.</v>
      </c>
      <c r="AV88" s="37" t="str">
        <f t="shared" ref="AV88:AW88" si="986">IF(ISERROR(AV399*AV$5/AV265),"n.a.",AV399*AV$5/AV265)</f>
        <v>n.a.</v>
      </c>
      <c r="AW88" s="37" t="str">
        <f t="shared" si="986"/>
        <v>n.a.</v>
      </c>
      <c r="AX88" s="37" t="str">
        <f t="shared" ref="AX88:AY88" si="987">IF(ISERROR(AX399*AX$5/AX265),"n.a.",AX399*AX$5/AX265)</f>
        <v>n.a.</v>
      </c>
      <c r="AY88" s="36" t="str">
        <f t="shared" si="987"/>
        <v>n.a.</v>
      </c>
      <c r="AZ88" s="570" t="str">
        <f t="shared" ref="AZ88" si="988">AY88</f>
        <v>n.a.</v>
      </c>
      <c r="BA88" s="570" t="str">
        <f t="shared" ref="BA88" si="989">AZ88</f>
        <v>n.a.</v>
      </c>
      <c r="BB88" s="570" t="str">
        <f t="shared" ref="BB88" si="990">BA88</f>
        <v>n.a.</v>
      </c>
      <c r="BC88" s="570" t="str">
        <f t="shared" ref="BC88" si="991">BB88</f>
        <v>n.a.</v>
      </c>
      <c r="BD88" s="570" t="str">
        <f t="shared" ref="BD88" si="992">BC88</f>
        <v>n.a.</v>
      </c>
      <c r="BE88" s="570" t="str">
        <f t="shared" ref="BE88" si="993">BD88</f>
        <v>n.a.</v>
      </c>
      <c r="BF88" s="570" t="str">
        <f t="shared" si="965"/>
        <v>n.a.</v>
      </c>
      <c r="BG88" s="570" t="str">
        <f t="shared" si="966"/>
        <v>n.a.</v>
      </c>
      <c r="BH88" s="570" t="str">
        <f t="shared" si="966"/>
        <v>n.a.</v>
      </c>
      <c r="BI88" s="570" t="str">
        <f t="shared" si="966"/>
        <v>n.a.</v>
      </c>
      <c r="BJ88" s="248" t="str">
        <f t="shared" si="966"/>
        <v>n.a.</v>
      </c>
      <c r="BK88" s="248" t="str">
        <f t="shared" si="966"/>
        <v>n.a.</v>
      </c>
      <c r="BL88" s="248" t="str">
        <f t="shared" si="967"/>
        <v>n.a.</v>
      </c>
      <c r="BM88" s="248" t="str">
        <f t="shared" si="968"/>
        <v>n.a.</v>
      </c>
      <c r="BN88" s="248" t="str">
        <f t="shared" si="969"/>
        <v>n.a.</v>
      </c>
      <c r="BO88" s="248" t="str">
        <f t="shared" si="970"/>
        <v>n.a.</v>
      </c>
      <c r="BP88" s="248" t="str">
        <f t="shared" si="971"/>
        <v>n.a.</v>
      </c>
      <c r="BQ88" s="248" t="str">
        <f t="shared" si="972"/>
        <v>n.a.</v>
      </c>
      <c r="BR88" s="35"/>
      <c r="BS88" s="345" t="e">
        <f t="shared" ref="BS88:CY88" si="994">BS399*BS$5/BS265</f>
        <v>#DIV/0!</v>
      </c>
      <c r="BT88" s="345" t="e">
        <f t="shared" si="994"/>
        <v>#DIV/0!</v>
      </c>
      <c r="BU88" s="345" t="e">
        <f t="shared" si="994"/>
        <v>#DIV/0!</v>
      </c>
      <c r="BV88" s="345" t="e">
        <f t="shared" si="994"/>
        <v>#DIV/0!</v>
      </c>
      <c r="BW88" s="345" t="e">
        <f t="shared" si="994"/>
        <v>#DIV/0!</v>
      </c>
      <c r="BX88" s="345" t="e">
        <f t="shared" si="994"/>
        <v>#DIV/0!</v>
      </c>
      <c r="BY88" s="345" t="e">
        <f t="shared" si="994"/>
        <v>#DIV/0!</v>
      </c>
      <c r="BZ88" s="345">
        <f t="shared" si="994"/>
        <v>8.56509968003938E-2</v>
      </c>
      <c r="CA88" s="345">
        <f t="shared" si="994"/>
        <v>3.9763690070438534E-2</v>
      </c>
      <c r="CB88" s="345">
        <f t="shared" si="994"/>
        <v>3.9945337958582995E-2</v>
      </c>
      <c r="CC88" s="35">
        <f t="shared" si="994"/>
        <v>7.6218165894073545E-3</v>
      </c>
      <c r="CD88" s="35" t="e">
        <f t="shared" si="994"/>
        <v>#DIV/0!</v>
      </c>
      <c r="CE88" s="35" t="e">
        <f t="shared" si="994"/>
        <v>#DIV/0!</v>
      </c>
      <c r="CF88" s="35" t="e">
        <f t="shared" si="994"/>
        <v>#DIV/0!</v>
      </c>
      <c r="CG88" s="35">
        <f t="shared" si="994"/>
        <v>2.4159474595779263E-2</v>
      </c>
      <c r="CH88" s="35">
        <f t="shared" si="994"/>
        <v>6.5886993318947E-3</v>
      </c>
      <c r="CI88" s="35">
        <f t="shared" si="994"/>
        <v>7.46434240395064E-3</v>
      </c>
      <c r="CJ88" s="35">
        <f t="shared" si="994"/>
        <v>9.2126619967018326E-3</v>
      </c>
      <c r="CK88" s="35">
        <f t="shared" si="994"/>
        <v>1.3095850738372834E-2</v>
      </c>
      <c r="CL88" s="35">
        <f t="shared" si="994"/>
        <v>1.6294051411095484E-2</v>
      </c>
      <c r="CM88" s="37">
        <f t="shared" si="994"/>
        <v>1.6590616269590481E-2</v>
      </c>
      <c r="CN88" s="37">
        <f t="shared" si="994"/>
        <v>1.8211234898212962E-2</v>
      </c>
      <c r="CO88" s="37">
        <f t="shared" si="994"/>
        <v>1.5633450429218227E-2</v>
      </c>
      <c r="CP88" s="37">
        <f t="shared" si="994"/>
        <v>1.8245588661984016E-2</v>
      </c>
      <c r="CQ88" s="37">
        <f t="shared" si="994"/>
        <v>2.1232727702347329E-2</v>
      </c>
      <c r="CR88" s="37">
        <f t="shared" si="994"/>
        <v>0</v>
      </c>
      <c r="CS88" s="37" t="e">
        <f t="shared" si="994"/>
        <v>#DIV/0!</v>
      </c>
      <c r="CT88" s="37" t="e">
        <f t="shared" si="994"/>
        <v>#DIV/0!</v>
      </c>
      <c r="CU88" s="37" t="e">
        <f t="shared" si="994"/>
        <v>#DIV/0!</v>
      </c>
      <c r="CV88" s="37" t="e">
        <f t="shared" si="994"/>
        <v>#DIV/0!</v>
      </c>
      <c r="CW88" s="37" t="e">
        <f t="shared" si="994"/>
        <v>#DIV/0!</v>
      </c>
      <c r="CX88" s="37" t="e">
        <f t="shared" si="994"/>
        <v>#DIV/0!</v>
      </c>
      <c r="CY88" s="37" t="e">
        <f t="shared" si="994"/>
        <v>#DIV/0!</v>
      </c>
      <c r="CZ88" s="36" t="e">
        <f t="shared" ref="CZ88" si="995">CZ399*CZ$5/CZ265</f>
        <v>#DIV/0!</v>
      </c>
      <c r="DA88" s="35" t="e">
        <f t="shared" ref="DA88:DF88" si="996">DA399*DA$5/DA265</f>
        <v>#DIV/0!</v>
      </c>
      <c r="DB88" s="35" t="e">
        <f t="shared" si="996"/>
        <v>#DIV/0!</v>
      </c>
      <c r="DC88" s="35" t="e">
        <f t="shared" si="996"/>
        <v>#DIV/0!</v>
      </c>
      <c r="DD88" s="35" t="e">
        <f t="shared" si="996"/>
        <v>#DIV/0!</v>
      </c>
      <c r="DE88" s="35" t="e">
        <f t="shared" si="996"/>
        <v>#DIV/0!</v>
      </c>
      <c r="DF88" s="35" t="e">
        <f t="shared" si="996"/>
        <v>#DIV/0!</v>
      </c>
      <c r="DG88" s="35" t="e">
        <f t="shared" ref="DG88" si="997">DG399*DG$5/DG265</f>
        <v>#DIV/0!</v>
      </c>
      <c r="DH88" s="35" t="e">
        <f t="shared" ref="DH88:DI88" si="998">DH399*DH$5/DH265</f>
        <v>#DIV/0!</v>
      </c>
      <c r="DI88" s="35" t="e">
        <f t="shared" si="998"/>
        <v>#DIV/0!</v>
      </c>
    </row>
    <row r="89" spans="1:113" ht="12" outlineLevel="1" collapsed="1">
      <c r="A89" s="1" t="s">
        <v>704</v>
      </c>
      <c r="B89" s="15" t="s">
        <v>322</v>
      </c>
      <c r="C89" s="345">
        <f t="shared" ref="C89:K89" si="999">C405/SUM(C237,C259,AVERAGE(B179:C179))*C$5</f>
        <v>1.2807954192033248E-3</v>
      </c>
      <c r="D89" s="345">
        <f t="shared" si="999"/>
        <v>1.4605405641144036E-3</v>
      </c>
      <c r="E89" s="345">
        <f t="shared" si="999"/>
        <v>8.0612503725940659E-4</v>
      </c>
      <c r="F89" s="345">
        <f t="shared" si="999"/>
        <v>6.7055745723021366E-4</v>
      </c>
      <c r="G89" s="345">
        <f t="shared" si="999"/>
        <v>8.2271664868429923E-4</v>
      </c>
      <c r="H89" s="345">
        <f t="shared" si="999"/>
        <v>4.4467418662038998E-4</v>
      </c>
      <c r="I89" s="345">
        <f t="shared" si="999"/>
        <v>4.0765545466384741E-4</v>
      </c>
      <c r="J89" s="345">
        <f t="shared" si="999"/>
        <v>6.1379321400234596E-4</v>
      </c>
      <c r="K89" s="345">
        <f t="shared" si="999"/>
        <v>5.0981912501457498E-4</v>
      </c>
      <c r="L89" s="345">
        <f t="shared" ref="L89:AC89" si="1000">L405/SUM(L237,L259)*L$5</f>
        <v>5.150142762535805E-4</v>
      </c>
      <c r="M89" s="35">
        <f t="shared" si="1000"/>
        <v>5.5507010043841947E-4</v>
      </c>
      <c r="N89" s="35">
        <f t="shared" si="1000"/>
        <v>6.2689511571702248E-4</v>
      </c>
      <c r="O89" s="35">
        <f t="shared" si="1000"/>
        <v>7.7220928719223803E-4</v>
      </c>
      <c r="P89" s="35">
        <f t="shared" si="1000"/>
        <v>8.3664869873440048E-4</v>
      </c>
      <c r="Q89" s="35">
        <f t="shared" si="1000"/>
        <v>4.4951660215576271E-4</v>
      </c>
      <c r="R89" s="35">
        <f t="shared" si="1000"/>
        <v>3.03522867084215E-4</v>
      </c>
      <c r="S89" s="35">
        <f t="shared" si="1000"/>
        <v>1.6722451694831503E-3</v>
      </c>
      <c r="T89" s="37">
        <f t="shared" si="1000"/>
        <v>1.0069183162789272E-3</v>
      </c>
      <c r="U89" s="35">
        <f t="shared" si="1000"/>
        <v>1.0979935890265036E-3</v>
      </c>
      <c r="V89" s="35">
        <f t="shared" si="1000"/>
        <v>1.2327537575710745E-3</v>
      </c>
      <c r="W89" s="35">
        <f t="shared" si="1000"/>
        <v>1.3713105350289404E-3</v>
      </c>
      <c r="X89" s="35">
        <f t="shared" si="1000"/>
        <v>1.0498577717619677E-3</v>
      </c>
      <c r="Y89" s="37">
        <f t="shared" si="1000"/>
        <v>1.2585657563372024E-3</v>
      </c>
      <c r="Z89" s="37">
        <f t="shared" si="1000"/>
        <v>8.9748064939774563E-4</v>
      </c>
      <c r="AA89" s="228">
        <f t="shared" si="1000"/>
        <v>9.0768486625634212E-4</v>
      </c>
      <c r="AB89" s="357">
        <f t="shared" si="1000"/>
        <v>8.0234376047763373E-4</v>
      </c>
      <c r="AC89" s="357">
        <f t="shared" si="1000"/>
        <v>6.841454506397905E-4</v>
      </c>
      <c r="AD89" s="357">
        <f t="shared" ref="AD89" si="1001">AD405/SUM(AD237,AD259)*AD$5</f>
        <v>6.800791698530073E-4</v>
      </c>
      <c r="AE89" s="357">
        <f t="shared" ref="AE89:AI89" si="1002">AE405/SUM(AE237,AE259)*AE$5</f>
        <v>7.2942608303429605E-4</v>
      </c>
      <c r="AF89" s="357">
        <f t="shared" si="1002"/>
        <v>9.675803875990967E-4</v>
      </c>
      <c r="AG89" s="357">
        <f t="shared" si="1002"/>
        <v>1.2674640657953009E-3</v>
      </c>
      <c r="AH89" s="357">
        <f t="shared" si="1002"/>
        <v>6.6861239754287401E-4</v>
      </c>
      <c r="AI89" s="357">
        <f t="shared" si="1002"/>
        <v>5.7497815462359851E-4</v>
      </c>
      <c r="AJ89" s="357">
        <f t="shared" ref="AJ89:AO89" si="1003">AJ405/SUM(AJ237,AJ259)*AJ$5</f>
        <v>5.1025652135557812E-4</v>
      </c>
      <c r="AK89" s="357">
        <f t="shared" si="1003"/>
        <v>5.3447043327327966E-4</v>
      </c>
      <c r="AL89" s="357">
        <f t="shared" si="1003"/>
        <v>5.5668022821946832E-4</v>
      </c>
      <c r="AM89" s="357">
        <f t="shared" si="1003"/>
        <v>5.7872298135150347E-4</v>
      </c>
      <c r="AN89" s="357">
        <f t="shared" si="1003"/>
        <v>4.790386891446896E-4</v>
      </c>
      <c r="AO89" s="357">
        <f t="shared" si="1003"/>
        <v>4.3373629056270502E-4</v>
      </c>
      <c r="AP89" s="357">
        <f t="shared" ref="AP89:AQ89" si="1004">AP405/SUM(AP237,AP259)*AP$5</f>
        <v>6.5131028138568677E-4</v>
      </c>
      <c r="AQ89" s="357">
        <f t="shared" si="1004"/>
        <v>5.2211928627412824E-4</v>
      </c>
      <c r="AR89" s="357">
        <f t="shared" ref="AR89:AS89" si="1005">AR405/SUM(AR237,AR259)*AR$5</f>
        <v>5.1944772271890125E-4</v>
      </c>
      <c r="AS89" s="357">
        <f t="shared" si="1005"/>
        <v>6.3758081378734741E-4</v>
      </c>
      <c r="AT89" s="357">
        <f t="shared" ref="AT89:AU89" si="1006">AT405/SUM(AT237,AT259)*AT$5</f>
        <v>3.3636193965082473E-4</v>
      </c>
      <c r="AU89" s="357">
        <f t="shared" si="1006"/>
        <v>5.8763549849217439E-4</v>
      </c>
      <c r="AV89" s="357">
        <f>AV405/SUM(AV237,AV259)*AV$5</f>
        <v>3.8131873060110924E-4</v>
      </c>
      <c r="AW89" s="357">
        <f>AW405/SUM(AW237,AW259)*AW$5</f>
        <v>4.5085233309941281E-4</v>
      </c>
      <c r="AX89" s="357">
        <f>AX405/SUM(AX237,AX259)*AX$5</f>
        <v>3.9157059017358431E-4</v>
      </c>
      <c r="AY89" s="348">
        <f>AY405/SUM(AY237,AY259)*AY$5</f>
        <v>3.7854027998665736E-4</v>
      </c>
      <c r="AZ89" s="570">
        <f>[3]ANZ!K$140/SUM(AZ$237,AZ$259)*AZ$5</f>
        <v>3.7991405370633449E-4</v>
      </c>
      <c r="BA89" s="570">
        <f>[3]ANZ!L$140/SUM(BA$237,BA$259)*BA$5</f>
        <v>3.6548460140229327E-4</v>
      </c>
      <c r="BB89" s="570">
        <f>[3]ANZ!M$140/SUM(BB$237,BB$259)*BB$5</f>
        <v>3.6376329693773072E-4</v>
      </c>
      <c r="BC89" s="570">
        <f>[3]ANZ!N$140/SUM(BC$237,BC$259)*BC$5</f>
        <v>3.5270728087592832E-4</v>
      </c>
      <c r="BD89" s="570">
        <f>[3]ANZ!O$140/SUM(BD$237,BD$259)*BD$5</f>
        <v>3.5043993185001785E-4</v>
      </c>
      <c r="BE89" s="570">
        <f>[3]ANZ!P$140/SUM(BE$237,BE$259)*BE$5</f>
        <v>3.4136546622816604E-4</v>
      </c>
      <c r="BF89" s="570">
        <f>[3]ANZ!Q$140/SUM(BF$237,BF$259)*BF$5</f>
        <v>3.3927031482317287E-4</v>
      </c>
      <c r="BG89" s="570">
        <f>[3]ANZ!R$140/SUM(BG$237,BG$259)*BG$5</f>
        <v>3.2889417240032555E-4</v>
      </c>
      <c r="BH89" s="570">
        <f>[3]ANZ!S$140/SUM(BH$237,BH$259)*BH$5</f>
        <v>3.2772705847784565E-4</v>
      </c>
      <c r="BI89" s="570">
        <f>[3]ANZ!T$140/SUM(BI$237,BI$259)*BI$5</f>
        <v>3.1786683624619337E-4</v>
      </c>
      <c r="BJ89" s="248">
        <f t="shared" si="966"/>
        <v>3.1786683624619337E-4</v>
      </c>
      <c r="BK89" s="248">
        <f t="shared" si="966"/>
        <v>3.1786683624619337E-4</v>
      </c>
      <c r="BL89" s="248">
        <f t="shared" si="967"/>
        <v>3.1786683624619337E-4</v>
      </c>
      <c r="BM89" s="248">
        <f t="shared" si="968"/>
        <v>3.1786683624619337E-4</v>
      </c>
      <c r="BN89" s="248">
        <f t="shared" si="969"/>
        <v>3.1786683624619337E-4</v>
      </c>
      <c r="BO89" s="248">
        <f t="shared" si="970"/>
        <v>3.1786683624619337E-4</v>
      </c>
      <c r="BP89" s="248">
        <f t="shared" si="971"/>
        <v>3.1786683624619337E-4</v>
      </c>
      <c r="BQ89" s="248">
        <f t="shared" si="972"/>
        <v>3.1786683624619337E-4</v>
      </c>
      <c r="BR89" s="35"/>
      <c r="BS89" s="345">
        <f t="shared" ref="BS89:CF89" si="1007">BS405/SUM(BS237,BS259,AVERAGE(BR179:BS179))*BS$5</f>
        <v>1.9811132186384876E-3</v>
      </c>
      <c r="BT89" s="345">
        <f t="shared" si="1007"/>
        <v>2.0992790688813914E-3</v>
      </c>
      <c r="BU89" s="345">
        <f t="shared" si="1007"/>
        <v>6.7963539658613269E-4</v>
      </c>
      <c r="BV89" s="345">
        <f t="shared" si="1007"/>
        <v>3.0512501044326675E-4</v>
      </c>
      <c r="BW89" s="345">
        <f t="shared" si="1007"/>
        <v>1.1475154301027126E-3</v>
      </c>
      <c r="BX89" s="345">
        <f t="shared" si="1007"/>
        <v>8.120680371785932E-4</v>
      </c>
      <c r="BY89" s="345">
        <f t="shared" si="1007"/>
        <v>1.2815173165027392E-3</v>
      </c>
      <c r="BZ89" s="345">
        <f t="shared" si="1007"/>
        <v>3.6906525377027966E-4</v>
      </c>
      <c r="CA89" s="345">
        <f t="shared" si="1007"/>
        <v>1.4393054546457838E-3</v>
      </c>
      <c r="CB89" s="345">
        <f t="shared" si="1007"/>
        <v>3.6536353671903543E-4</v>
      </c>
      <c r="CC89" s="35">
        <f t="shared" si="1007"/>
        <v>1.1292425152112291E-3</v>
      </c>
      <c r="CD89" s="35">
        <f t="shared" si="1007"/>
        <v>7.4762285081482775E-4</v>
      </c>
      <c r="CE89" s="35">
        <f t="shared" si="1007"/>
        <v>4.2552881044824665E-4</v>
      </c>
      <c r="CF89" s="35">
        <f t="shared" si="1007"/>
        <v>5.6044494120004943E-4</v>
      </c>
      <c r="CG89" s="35">
        <f t="shared" ref="CG89:CY89" si="1008">CG405/SUM(CG237,CG259)*CG$5</f>
        <v>5.3483290762278244E-4</v>
      </c>
      <c r="CH89" s="35">
        <f t="shared" si="1008"/>
        <v>7.0283605720014304E-4</v>
      </c>
      <c r="CI89" s="35">
        <f t="shared" si="1008"/>
        <v>6.3751372682064472E-4</v>
      </c>
      <c r="CJ89" s="35">
        <f t="shared" si="1008"/>
        <v>9.8577890623246806E-4</v>
      </c>
      <c r="CK89" s="35">
        <f t="shared" si="1008"/>
        <v>1.0470494761673061E-3</v>
      </c>
      <c r="CL89" s="35">
        <f t="shared" si="1008"/>
        <v>1.3037278468119779E-3</v>
      </c>
      <c r="CM89" s="37">
        <f t="shared" si="1008"/>
        <v>1.1569885677297036E-3</v>
      </c>
      <c r="CN89" s="37">
        <f t="shared" si="1008"/>
        <v>9.0362560974480968E-4</v>
      </c>
      <c r="CO89" s="37">
        <f t="shared" si="1008"/>
        <v>7.4200514635967558E-4</v>
      </c>
      <c r="CP89" s="37">
        <f t="shared" si="1008"/>
        <v>7.0604054772564447E-4</v>
      </c>
      <c r="CQ89" s="37">
        <f t="shared" si="1008"/>
        <v>1.1178818683519726E-3</v>
      </c>
      <c r="CR89" s="37">
        <f t="shared" si="1008"/>
        <v>6.2147335264148772E-4</v>
      </c>
      <c r="CS89" s="37">
        <f t="shared" si="1008"/>
        <v>5.2245828296325998E-4</v>
      </c>
      <c r="CT89" s="37">
        <f t="shared" si="1008"/>
        <v>5.6788772913667041E-4</v>
      </c>
      <c r="CU89" s="37">
        <f t="shared" si="1008"/>
        <v>4.6455833268466991E-4</v>
      </c>
      <c r="CV89" s="37">
        <f t="shared" si="1008"/>
        <v>5.8637968128946207E-4</v>
      </c>
      <c r="CW89" s="37">
        <f t="shared" si="1008"/>
        <v>5.7937368016225507E-4</v>
      </c>
      <c r="CX89" s="37">
        <f t="shared" si="1008"/>
        <v>4.6289338062825849E-4</v>
      </c>
      <c r="CY89" s="37">
        <f t="shared" si="1008"/>
        <v>4.1653667500505105E-4</v>
      </c>
      <c r="CZ89" s="36">
        <f t="shared" ref="CZ89" si="1009">CZ405/SUM(CZ237,CZ259)*CZ$5</f>
        <v>3.8495685040012097E-4</v>
      </c>
      <c r="DA89" s="35">
        <f t="shared" ref="DA89:DF89" si="1010">DA405/SUM(DA237,DA259)*DA$5</f>
        <v>3.7257256673930663E-4</v>
      </c>
      <c r="DB89" s="35">
        <f t="shared" si="1010"/>
        <v>3.5815987201153355E-4</v>
      </c>
      <c r="DC89" s="35">
        <f t="shared" si="1010"/>
        <v>3.4585129929017711E-4</v>
      </c>
      <c r="DD89" s="35">
        <f t="shared" si="1010"/>
        <v>3.3401095538159901E-4</v>
      </c>
      <c r="DE89" s="35">
        <f t="shared" si="1010"/>
        <v>3.22730466968362E-4</v>
      </c>
      <c r="DF89" s="35">
        <f t="shared" si="1010"/>
        <v>3.1786683624619337E-4</v>
      </c>
      <c r="DG89" s="35">
        <f t="shared" ref="DG89" si="1011">DG405/SUM(DG237,DG259)*DG$5</f>
        <v>3.1786683624619331E-4</v>
      </c>
      <c r="DH89" s="35">
        <f t="shared" ref="DH89:DI89" si="1012">DH405/SUM(DH237,DH259)*DH$5</f>
        <v>3.1786683624619337E-4</v>
      </c>
      <c r="DI89" s="35">
        <f t="shared" si="1012"/>
        <v>3.1786683624619337E-4</v>
      </c>
    </row>
    <row r="90" spans="1:113" ht="12" outlineLevel="1">
      <c r="AA90" s="228"/>
      <c r="AB90" s="32"/>
      <c r="AC90" s="408"/>
      <c r="AD90" s="357"/>
      <c r="AE90" s="32"/>
      <c r="AG90" s="32"/>
      <c r="AH90" s="41"/>
      <c r="AI90" s="41"/>
      <c r="AJ90" s="32"/>
      <c r="AK90" s="41"/>
      <c r="AL90" s="41"/>
      <c r="AM90" s="32"/>
      <c r="AN90" s="32"/>
      <c r="AO90" s="32"/>
      <c r="AP90" s="32"/>
      <c r="AQ90" s="41"/>
      <c r="AR90" s="41"/>
      <c r="AS90" s="41"/>
      <c r="AT90" s="41"/>
      <c r="AU90" s="41"/>
      <c r="AV90" s="41"/>
      <c r="AW90" s="41"/>
      <c r="AX90" s="41"/>
      <c r="AY90" s="211"/>
      <c r="CZ90" s="200"/>
      <c r="DB90" s="15"/>
      <c r="DC90" s="15"/>
      <c r="DD90" s="15"/>
      <c r="DE90" s="15"/>
      <c r="DF90" s="15"/>
      <c r="DG90" s="15"/>
      <c r="DH90" s="15"/>
      <c r="DI90" s="15"/>
    </row>
    <row r="91" spans="1:113" ht="12" outlineLevel="1">
      <c r="B91" s="17" t="s">
        <v>323</v>
      </c>
      <c r="AA91" s="139"/>
      <c r="AB91" s="32"/>
      <c r="AC91" s="408"/>
      <c r="AD91" s="32"/>
      <c r="AE91" s="32"/>
      <c r="AG91" s="32"/>
      <c r="AH91" s="41"/>
      <c r="AI91" s="41"/>
      <c r="AJ91" s="41"/>
      <c r="AK91" s="41"/>
      <c r="AL91" s="41"/>
      <c r="AM91" s="41"/>
      <c r="AN91" s="41"/>
      <c r="AO91" s="41"/>
      <c r="AP91" s="41"/>
      <c r="AQ91" s="41"/>
      <c r="AR91" s="41"/>
      <c r="AS91" s="41"/>
      <c r="AT91" s="41"/>
      <c r="AU91" s="41"/>
      <c r="AV91" s="41"/>
      <c r="AW91" s="41"/>
      <c r="AX91" s="41"/>
      <c r="AY91" s="211"/>
      <c r="BA91" s="30"/>
      <c r="BB91" s="30"/>
      <c r="CZ91" s="200"/>
      <c r="DB91" s="15"/>
      <c r="DC91" s="15"/>
      <c r="DD91" s="15"/>
      <c r="DE91" s="15"/>
      <c r="DF91" s="15"/>
      <c r="DG91" s="15"/>
      <c r="DH91" s="15"/>
      <c r="DI91" s="15"/>
    </row>
    <row r="92" spans="1:113" ht="12" outlineLevel="1">
      <c r="A92" s="1" t="s">
        <v>843</v>
      </c>
      <c r="B92" s="15" t="s">
        <v>461</v>
      </c>
      <c r="C92" s="40">
        <v>22501</v>
      </c>
      <c r="D92" s="40">
        <v>22737</v>
      </c>
      <c r="E92" s="40">
        <v>22482</v>
      </c>
      <c r="F92" s="40">
        <v>22483</v>
      </c>
      <c r="G92" s="40">
        <v>23137</v>
      </c>
      <c r="H92" s="40">
        <v>27971</v>
      </c>
      <c r="I92" s="40">
        <v>28755</v>
      </c>
      <c r="J92" s="40">
        <v>29832</v>
      </c>
      <c r="K92" s="40">
        <v>30976</v>
      </c>
      <c r="L92" s="40">
        <v>31063</v>
      </c>
      <c r="M92" s="40">
        <v>32256</v>
      </c>
      <c r="N92" s="40">
        <v>33183</v>
      </c>
      <c r="O92" s="40">
        <v>34353</v>
      </c>
      <c r="P92" s="40">
        <v>35482</v>
      </c>
      <c r="Q92" s="40">
        <v>36925</v>
      </c>
      <c r="R92" s="40">
        <v>37046</v>
      </c>
      <c r="S92" s="40">
        <v>37687</v>
      </c>
      <c r="T92" s="40">
        <v>42144</v>
      </c>
      <c r="U92" s="40">
        <v>47099</v>
      </c>
      <c r="V92" s="40">
        <v>48620</v>
      </c>
      <c r="W92" s="40">
        <v>50297</v>
      </c>
      <c r="X92" s="40">
        <v>49509</v>
      </c>
      <c r="Y92" s="40">
        <v>48239</v>
      </c>
      <c r="Z92" s="141">
        <v>48871</v>
      </c>
      <c r="AA92" s="141">
        <v>48865</v>
      </c>
      <c r="AB92" s="141">
        <v>49850</v>
      </c>
      <c r="AC92" s="141">
        <v>50328</v>
      </c>
      <c r="AD92" s="141">
        <v>51243</v>
      </c>
      <c r="AE92" s="141">
        <v>50152</v>
      </c>
      <c r="AF92" s="141">
        <v>48896</v>
      </c>
      <c r="AG92" s="141">
        <v>46554</v>
      </c>
      <c r="AH92" s="141">
        <v>44015</v>
      </c>
      <c r="AI92" s="141">
        <v>42873</v>
      </c>
      <c r="AJ92" s="141">
        <v>39655</v>
      </c>
      <c r="AK92" s="141">
        <v>37860</v>
      </c>
      <c r="AL92" s="141">
        <v>37364</v>
      </c>
      <c r="AM92" s="141">
        <v>37588</v>
      </c>
      <c r="AN92" s="141">
        <v>37834</v>
      </c>
      <c r="AO92" s="141">
        <v>37506</v>
      </c>
      <c r="AP92" s="141">
        <v>37844</v>
      </c>
      <c r="AQ92" s="141">
        <v>39684</v>
      </c>
      <c r="AR92" s="141">
        <v>39529</v>
      </c>
      <c r="AS92" s="141">
        <v>39381</v>
      </c>
      <c r="AT92" s="141">
        <v>39802</v>
      </c>
      <c r="AU92" s="141">
        <v>40342</v>
      </c>
      <c r="AV92" s="141">
        <v>40262</v>
      </c>
      <c r="AW92" s="141">
        <v>42370</v>
      </c>
      <c r="AX92" s="141">
        <v>43094</v>
      </c>
      <c r="AY92" s="226">
        <v>42698</v>
      </c>
      <c r="AZ92" s="555">
        <f>AY92*(1+[3]ANZ!K$206)</f>
        <v>43039.584000000003</v>
      </c>
      <c r="BA92" s="555">
        <f>AZ92*(1+[3]ANZ!L$206)</f>
        <v>43383.900672000003</v>
      </c>
      <c r="BB92" s="555">
        <f>BA92*(1+[3]ANZ!M$206)</f>
        <v>44034.659182080002</v>
      </c>
      <c r="BC92" s="555">
        <f>BB92*(1+[3]ANZ!N$206)</f>
        <v>44695.179069811194</v>
      </c>
      <c r="BD92" s="555">
        <f>BC92*(1+[3]ANZ!O$206)</f>
        <v>45253.868808183834</v>
      </c>
      <c r="BE92" s="555">
        <f>BD92*(1+[3]ANZ!P$206)</f>
        <v>45819.542168286127</v>
      </c>
      <c r="BF92" s="555">
        <f>BE92*(1+[3]ANZ!Q$206)</f>
        <v>46163.188734548276</v>
      </c>
      <c r="BG92" s="555">
        <f>BF92*(1+[3]ANZ!R$206)</f>
        <v>46509.412650057391</v>
      </c>
      <c r="BH92" s="555">
        <f>BG92*(1+[3]ANZ!S$206)</f>
        <v>46858.233244932824</v>
      </c>
      <c r="BI92" s="555">
        <f>BH92*(1+[3]ANZ!T$206)</f>
        <v>47209.669994269825</v>
      </c>
      <c r="BJ92" s="210">
        <f>BI92+100</f>
        <v>47309.669994269825</v>
      </c>
      <c r="BK92" s="210">
        <f>BJ92+100</f>
        <v>47409.669994269825</v>
      </c>
      <c r="BL92" s="210">
        <f t="shared" ref="BL92:BQ92" si="1013">BK92+200</f>
        <v>47609.669994269825</v>
      </c>
      <c r="BM92" s="210">
        <f t="shared" si="1013"/>
        <v>47809.669994269825</v>
      </c>
      <c r="BN92" s="210">
        <f t="shared" si="1013"/>
        <v>48009.669994269825</v>
      </c>
      <c r="BO92" s="210">
        <f t="shared" si="1013"/>
        <v>48209.669994269825</v>
      </c>
      <c r="BP92" s="210">
        <f t="shared" si="1013"/>
        <v>48409.669994269825</v>
      </c>
      <c r="BQ92" s="210">
        <f t="shared" si="1013"/>
        <v>48609.669994269825</v>
      </c>
      <c r="BR92" s="41"/>
      <c r="BS92" s="40">
        <v>43977</v>
      </c>
      <c r="BT92" s="40">
        <v>40277</v>
      </c>
      <c r="BU92" s="40">
        <v>39642</v>
      </c>
      <c r="BV92" s="40">
        <v>39240</v>
      </c>
      <c r="BW92" s="40">
        <v>39721</v>
      </c>
      <c r="BX92" s="40">
        <v>36904</v>
      </c>
      <c r="BY92" s="40">
        <v>32072</v>
      </c>
      <c r="BZ92" s="40">
        <v>30171</v>
      </c>
      <c r="CA92" s="40">
        <v>23134</v>
      </c>
      <c r="CB92" s="40">
        <v>22501</v>
      </c>
      <c r="CC92" s="41">
        <f>E92</f>
        <v>22482</v>
      </c>
      <c r="CD92" s="41">
        <f>G92</f>
        <v>23137</v>
      </c>
      <c r="CE92" s="41">
        <f>I92</f>
        <v>28755</v>
      </c>
      <c r="CF92" s="41">
        <f>K92</f>
        <v>30976</v>
      </c>
      <c r="CG92" s="41">
        <f>M92</f>
        <v>32256</v>
      </c>
      <c r="CH92" s="41">
        <f>O92</f>
        <v>34353</v>
      </c>
      <c r="CI92" s="41">
        <f>Q92</f>
        <v>36925</v>
      </c>
      <c r="CJ92" s="41">
        <f>S92</f>
        <v>37687</v>
      </c>
      <c r="CK92" s="41">
        <f>U92</f>
        <v>47099</v>
      </c>
      <c r="CL92" s="41">
        <f>W92</f>
        <v>50297</v>
      </c>
      <c r="CM92" s="41">
        <f>Y92</f>
        <v>48239</v>
      </c>
      <c r="CN92" s="41">
        <f>AA92</f>
        <v>48865</v>
      </c>
      <c r="CO92" s="41">
        <f>AC92</f>
        <v>50328</v>
      </c>
      <c r="CP92" s="41">
        <f>AE92</f>
        <v>50152</v>
      </c>
      <c r="CQ92" s="41">
        <f>AG92</f>
        <v>46554</v>
      </c>
      <c r="CR92" s="41">
        <f>AI92</f>
        <v>42873</v>
      </c>
      <c r="CS92" s="41">
        <f>AK92</f>
        <v>37860</v>
      </c>
      <c r="CT92" s="41">
        <f>AM92</f>
        <v>37588</v>
      </c>
      <c r="CU92" s="41">
        <f>AO92</f>
        <v>37506</v>
      </c>
      <c r="CV92" s="41">
        <f>AQ92</f>
        <v>39684</v>
      </c>
      <c r="CW92" s="41">
        <f>AS92</f>
        <v>39381</v>
      </c>
      <c r="CX92" s="41">
        <f>AU92</f>
        <v>40342</v>
      </c>
      <c r="CY92" s="41">
        <f>AW92</f>
        <v>42370</v>
      </c>
      <c r="CZ92" s="211">
        <f>AY92</f>
        <v>42698</v>
      </c>
      <c r="DA92" s="41">
        <f>BA92</f>
        <v>43383.900672000003</v>
      </c>
      <c r="DB92" s="41">
        <f>BC92</f>
        <v>44695.179069811194</v>
      </c>
      <c r="DC92" s="41">
        <f>BE92</f>
        <v>45819.542168286127</v>
      </c>
      <c r="DD92" s="41">
        <f>BG92</f>
        <v>46509.412650057391</v>
      </c>
      <c r="DE92" s="41">
        <f>BI92</f>
        <v>47209.669994269825</v>
      </c>
      <c r="DF92" s="41">
        <f>BK92</f>
        <v>47409.669994269825</v>
      </c>
      <c r="DG92" s="41">
        <f>BM92</f>
        <v>47809.669994269825</v>
      </c>
      <c r="DH92" s="41">
        <f>BO92</f>
        <v>48209.669994269825</v>
      </c>
      <c r="DI92" s="41">
        <f>BQ92</f>
        <v>48609.669994269825</v>
      </c>
    </row>
    <row r="93" spans="1:113" ht="12" outlineLevel="1">
      <c r="A93" s="1" t="s">
        <v>844</v>
      </c>
      <c r="B93" s="15" t="s">
        <v>979</v>
      </c>
      <c r="C93" s="41">
        <f t="shared" ref="C93:AY93" si="1014">-C432/AVERAGE(B92:C92)*1000000*C$5</f>
        <v>74370.707992820229</v>
      </c>
      <c r="D93" s="41">
        <f t="shared" si="1014"/>
        <v>75630.523594624581</v>
      </c>
      <c r="E93" s="41">
        <f t="shared" si="1014"/>
        <v>75954.580241368138</v>
      </c>
      <c r="F93" s="41">
        <f t="shared" si="1014"/>
        <v>77873.755289523091</v>
      </c>
      <c r="G93" s="41">
        <f t="shared" si="1014"/>
        <v>110001.12595616438</v>
      </c>
      <c r="H93" s="41">
        <f t="shared" si="1014"/>
        <v>79204.821163027314</v>
      </c>
      <c r="I93" s="41">
        <f t="shared" si="1014"/>
        <v>78905.616472164445</v>
      </c>
      <c r="J93" s="41">
        <f t="shared" si="1014"/>
        <v>83455.29903213348</v>
      </c>
      <c r="K93" s="41">
        <f t="shared" si="1014"/>
        <v>85937.426985088969</v>
      </c>
      <c r="L93" s="41">
        <f t="shared" si="1014"/>
        <v>88250.938925514594</v>
      </c>
      <c r="M93" s="41">
        <f t="shared" si="1014"/>
        <v>87569.430078955746</v>
      </c>
      <c r="N93" s="41">
        <f t="shared" si="1014"/>
        <v>88936.949753893787</v>
      </c>
      <c r="O93" s="41">
        <f t="shared" si="1014"/>
        <v>90961.404271900974</v>
      </c>
      <c r="P93" s="41">
        <f t="shared" si="1014"/>
        <v>92561.036729433661</v>
      </c>
      <c r="Q93" s="41">
        <f t="shared" si="1014"/>
        <v>89936.055906196911</v>
      </c>
      <c r="R93" s="41">
        <f t="shared" si="1014"/>
        <v>95921.909402868157</v>
      </c>
      <c r="S93" s="41">
        <f t="shared" si="1014"/>
        <v>97360.812141496965</v>
      </c>
      <c r="T93" s="41">
        <f t="shared" si="1014"/>
        <v>96065.575891708591</v>
      </c>
      <c r="U93" s="41">
        <f t="shared" si="1014"/>
        <v>102897.05108585149</v>
      </c>
      <c r="V93" s="41">
        <f t="shared" si="1014"/>
        <v>99605.312206781091</v>
      </c>
      <c r="W93" s="41">
        <f t="shared" si="1014"/>
        <v>93680.682004690025</v>
      </c>
      <c r="X93" s="41">
        <f t="shared" si="1014"/>
        <v>97228.623529647521</v>
      </c>
      <c r="Y93" s="41">
        <f t="shared" si="1014"/>
        <v>95674.591807505014</v>
      </c>
      <c r="Z93" s="41">
        <f t="shared" si="1014"/>
        <v>96939.462555773964</v>
      </c>
      <c r="AA93" s="41">
        <f t="shared" si="1014"/>
        <v>98649.266385503332</v>
      </c>
      <c r="AB93" s="41">
        <f t="shared" si="1014"/>
        <v>102798.98898649849</v>
      </c>
      <c r="AC93" s="41">
        <f t="shared" si="1014"/>
        <v>101859.12791078874</v>
      </c>
      <c r="AD93" s="41">
        <f t="shared" si="1014"/>
        <v>107214.01940352231</v>
      </c>
      <c r="AE93" s="41">
        <f t="shared" si="1014"/>
        <v>108740.98673235145</v>
      </c>
      <c r="AF93" s="41">
        <f t="shared" si="1014"/>
        <v>113116.87262741297</v>
      </c>
      <c r="AG93" s="41">
        <f t="shared" si="1014"/>
        <v>114824.51545311681</v>
      </c>
      <c r="AH93" s="41">
        <f t="shared" si="1014"/>
        <v>111557.83235633957</v>
      </c>
      <c r="AI93" s="41">
        <f t="shared" si="1014"/>
        <v>110414.73905481235</v>
      </c>
      <c r="AJ93" s="41">
        <f t="shared" si="1014"/>
        <v>114456.65859925262</v>
      </c>
      <c r="AK93" s="41">
        <f t="shared" si="1014"/>
        <v>116303.94822225488</v>
      </c>
      <c r="AL93" s="41">
        <f t="shared" si="1014"/>
        <v>126369.82819371417</v>
      </c>
      <c r="AM93" s="41">
        <f t="shared" si="1014"/>
        <v>127465.91333936417</v>
      </c>
      <c r="AN93" s="41">
        <f t="shared" si="1014"/>
        <v>130731.08642040784</v>
      </c>
      <c r="AO93" s="41">
        <f t="shared" si="1014"/>
        <v>128112.55641093708</v>
      </c>
      <c r="AP93" s="41">
        <f t="shared" si="1014"/>
        <v>130363.79678715444</v>
      </c>
      <c r="AQ93" s="41">
        <f t="shared" si="1014"/>
        <v>128478.87708329457</v>
      </c>
      <c r="AR93" s="41">
        <f t="shared" si="1014"/>
        <v>134386.5885039682</v>
      </c>
      <c r="AS93" s="41">
        <f t="shared" si="1014"/>
        <v>133558.80982207719</v>
      </c>
      <c r="AT93" s="41">
        <f t="shared" si="1014"/>
        <v>146543.97040767854</v>
      </c>
      <c r="AU93" s="41">
        <f t="shared" si="1014"/>
        <v>142801.0182763921</v>
      </c>
      <c r="AV93" s="41">
        <f t="shared" si="1014"/>
        <v>151952.75668701305</v>
      </c>
      <c r="AW93" s="41">
        <f t="shared" si="1014"/>
        <v>150837.44796204858</v>
      </c>
      <c r="AX93" s="41">
        <f t="shared" si="1014"/>
        <v>155438.49579232896</v>
      </c>
      <c r="AY93" s="211">
        <f t="shared" si="1014"/>
        <v>160089.1876247139</v>
      </c>
      <c r="AZ93" s="555">
        <f>[3]ANZ!K$175*1000000/AVERAGE(AY92:AZ92)*AZ$5</f>
        <v>154339.58711757394</v>
      </c>
      <c r="BA93" s="555">
        <f>[3]ANZ!L$175*1000000/AVERAGE(AZ92:BA92)*BA$5</f>
        <v>155341.6752448398</v>
      </c>
      <c r="BB93" s="555">
        <f>[3]ANZ!M$175*1000000/AVERAGE(BA92:BB92)*BB$5</f>
        <v>149331.82557661142</v>
      </c>
      <c r="BC93" s="555">
        <f>[3]ANZ!N$175*1000000/AVERAGE(BB92:BC92)*BC$5</f>
        <v>155333.00064760522</v>
      </c>
      <c r="BD93" s="555">
        <f>[3]ANZ!O$175*1000000/AVERAGE(BC92:BD92)*BD$5</f>
        <v>147456.86787807351</v>
      </c>
      <c r="BE93" s="555">
        <f>[3]ANZ!P$175*1000000/AVERAGE(BD92:BE92)*BE$5</f>
        <v>155941.58868626636</v>
      </c>
      <c r="BF93" s="555">
        <f>[3]ANZ!Q$175*1000000/AVERAGE(BE92:BF92)*BF$5</f>
        <v>149398.89256216772</v>
      </c>
      <c r="BG93" s="555">
        <f>[3]ANZ!R$175*1000000/AVERAGE(BF92:BG92)*BG$5</f>
        <v>156589.19247770507</v>
      </c>
      <c r="BH93" s="555">
        <f>[3]ANZ!S$175*1000000/AVERAGE(BG92:BH92)*BH$5</f>
        <v>150740.66641431645</v>
      </c>
      <c r="BI93" s="555">
        <f>[3]ANZ!T$175*1000000/AVERAGE(BH92:BI92)*BI$5</f>
        <v>158664.56858464755</v>
      </c>
      <c r="BJ93" s="41">
        <f t="shared" ref="BJ93:BK93" si="1015">BI93*(1+BJ95)</f>
        <v>159457.89142757078</v>
      </c>
      <c r="BK93" s="41">
        <f t="shared" si="1015"/>
        <v>160255.18088470862</v>
      </c>
      <c r="BL93" s="41">
        <f t="shared" ref="BL93" si="1016">BK93*(1+BL95)</f>
        <v>161857.73269355571</v>
      </c>
      <c r="BM93" s="41">
        <f t="shared" ref="BM93" si="1017">BL93*(1+BM95)</f>
        <v>163476.31002049128</v>
      </c>
      <c r="BN93" s="41">
        <f t="shared" ref="BN93" si="1018">BM93*(1+BN95)</f>
        <v>165111.07312069618</v>
      </c>
      <c r="BO93" s="41">
        <f t="shared" ref="BO93" si="1019">BN93*(1+BO95)</f>
        <v>166762.18385190313</v>
      </c>
      <c r="BP93" s="41">
        <f t="shared" ref="BP93" si="1020">BO93*(1+BP95)</f>
        <v>168429.80569042216</v>
      </c>
      <c r="BQ93" s="41">
        <f t="shared" ref="BQ93" si="1021">BP93*(1+BQ95)</f>
        <v>170114.10374732639</v>
      </c>
      <c r="BR93" s="41"/>
      <c r="BS93" s="41">
        <f t="shared" ref="BS93:CS93" si="1022">-BS432/AVERAGE(BR92:BS92)*1000000*BS$5</f>
        <v>33665.32505627942</v>
      </c>
      <c r="BT93" s="41">
        <f t="shared" si="1022"/>
        <v>33698.103354143423</v>
      </c>
      <c r="BU93" s="41">
        <f t="shared" si="1022"/>
        <v>36737.196411366509</v>
      </c>
      <c r="BV93" s="41">
        <f t="shared" si="1022"/>
        <v>40820.466012525038</v>
      </c>
      <c r="BW93" s="41">
        <f t="shared" si="1022"/>
        <v>45718.772558604884</v>
      </c>
      <c r="BX93" s="41">
        <f t="shared" si="1022"/>
        <v>50871.125611745512</v>
      </c>
      <c r="BY93" s="41">
        <f t="shared" si="1022"/>
        <v>53757.828810020874</v>
      </c>
      <c r="BZ93" s="41">
        <f t="shared" si="1022"/>
        <v>55652.844496569895</v>
      </c>
      <c r="CA93" s="41">
        <f t="shared" si="1022"/>
        <v>65960.041271925715</v>
      </c>
      <c r="CB93" s="41">
        <f t="shared" si="1022"/>
        <v>73408.567985099158</v>
      </c>
      <c r="CC93" s="41">
        <f t="shared" si="1022"/>
        <v>76206.566925282881</v>
      </c>
      <c r="CD93" s="41">
        <f t="shared" si="1022"/>
        <v>93425.984787040492</v>
      </c>
      <c r="CE93" s="41">
        <f t="shared" si="1022"/>
        <v>82132.12055808217</v>
      </c>
      <c r="CF93" s="41">
        <f t="shared" si="1022"/>
        <v>84679.647084428521</v>
      </c>
      <c r="CG93" s="41">
        <f t="shared" si="1022"/>
        <v>87139.423076923078</v>
      </c>
      <c r="CH93" s="41">
        <f t="shared" si="1022"/>
        <v>89807.683646354097</v>
      </c>
      <c r="CI93" s="41">
        <f t="shared" si="1022"/>
        <v>91023.878335531306</v>
      </c>
      <c r="CJ93" s="41">
        <f t="shared" si="1022"/>
        <v>96311.58526778534</v>
      </c>
      <c r="CK93" s="41">
        <f t="shared" si="1022"/>
        <v>99403.203359045117</v>
      </c>
      <c r="CL93" s="41">
        <f t="shared" si="1022"/>
        <v>96513.203827672594</v>
      </c>
      <c r="CM93" s="41">
        <f t="shared" si="1022"/>
        <v>96695.623934399613</v>
      </c>
      <c r="CN93" s="41">
        <f t="shared" si="1022"/>
        <v>98121.601581809198</v>
      </c>
      <c r="CO93" s="41">
        <f t="shared" si="1022"/>
        <v>102587.8842257014</v>
      </c>
      <c r="CP93" s="41">
        <f t="shared" si="1022"/>
        <v>109056.52866242039</v>
      </c>
      <c r="CQ93" s="41">
        <f t="shared" si="1022"/>
        <v>114594.75110127604</v>
      </c>
      <c r="CR93" s="41">
        <f t="shared" si="1022"/>
        <v>110123.34082547778</v>
      </c>
      <c r="CS93" s="41">
        <f t="shared" si="1022"/>
        <v>114327.47451475852</v>
      </c>
      <c r="CT93" s="41">
        <f t="shared" ref="CT93:CY93" si="1023">-CT432/AVERAGE(CT92:CT92)*1000000*CT$5</f>
        <v>126769.18165371928</v>
      </c>
      <c r="CU93" s="41">
        <f t="shared" si="1023"/>
        <v>130059.19052951528</v>
      </c>
      <c r="CV93" s="41">
        <f t="shared" si="1023"/>
        <v>124634.61344622518</v>
      </c>
      <c r="CW93" s="41">
        <f t="shared" si="1023"/>
        <v>134481.09494426247</v>
      </c>
      <c r="CX93" s="41">
        <f t="shared" si="1023"/>
        <v>142828.81364334936</v>
      </c>
      <c r="CY93" s="41">
        <f t="shared" si="1023"/>
        <v>145810.71512862874</v>
      </c>
      <c r="CZ93" s="211">
        <f t="shared" ref="CZ93" si="1024">-CZ432/AVERAGE(CZ92:CZ92)*1000000*CZ$5</f>
        <v>158204.13134104642</v>
      </c>
      <c r="DA93" s="41">
        <f t="shared" ref="DA93:DI93" si="1025">-DA432/AVERAGE(DA92:DA92)*1000000*DA$5</f>
        <v>153619.19453114388</v>
      </c>
      <c r="DB93" s="41">
        <f t="shared" si="1025"/>
        <v>150122.68130996646</v>
      </c>
      <c r="DC93" s="41">
        <f t="shared" si="1025"/>
        <v>149858.20440204185</v>
      </c>
      <c r="DD93" s="41">
        <f t="shared" si="1025"/>
        <v>151881.91115037029</v>
      </c>
      <c r="DE93" s="41">
        <f t="shared" si="1025"/>
        <v>153580.16588897505</v>
      </c>
      <c r="DF93" s="41">
        <f t="shared" si="1025"/>
        <v>159521.32705900812</v>
      </c>
      <c r="DG93" s="41">
        <f t="shared" si="1025"/>
        <v>161988.2365963475</v>
      </c>
      <c r="DH93" s="41">
        <f t="shared" si="1025"/>
        <v>165253.14071262261</v>
      </c>
      <c r="DI93" s="41">
        <f t="shared" si="1025"/>
        <v>168580.48516996996</v>
      </c>
    </row>
    <row r="94" spans="1:113" ht="12" outlineLevel="1">
      <c r="A94" s="1" t="s">
        <v>980</v>
      </c>
      <c r="B94" s="15" t="s">
        <v>562</v>
      </c>
      <c r="C94" s="212"/>
      <c r="D94" s="212"/>
      <c r="E94" s="212"/>
      <c r="F94" s="212"/>
      <c r="G94" s="212"/>
      <c r="H94" s="212"/>
      <c r="I94" s="212"/>
      <c r="J94" s="212"/>
      <c r="K94" s="212"/>
      <c r="L94" s="212"/>
      <c r="M94" s="42"/>
      <c r="N94" s="42"/>
      <c r="O94" s="42"/>
      <c r="P94" s="42"/>
      <c r="Q94" s="42"/>
      <c r="R94" s="42"/>
      <c r="S94" s="42"/>
      <c r="T94" s="43"/>
      <c r="U94" s="42"/>
      <c r="V94" s="42"/>
      <c r="W94" s="42"/>
      <c r="X94" s="42"/>
      <c r="Y94" s="43"/>
      <c r="Z94" s="51"/>
      <c r="AA94" s="355"/>
      <c r="AB94" s="399"/>
      <c r="AC94" s="399"/>
      <c r="AD94" s="399"/>
      <c r="AE94" s="399"/>
      <c r="AF94" s="399"/>
      <c r="AG94" s="399"/>
      <c r="AH94" s="399"/>
      <c r="AI94" s="399"/>
      <c r="AJ94" s="399"/>
      <c r="AK94" s="399"/>
      <c r="AL94" s="399"/>
      <c r="AM94" s="399"/>
      <c r="AN94" s="399"/>
      <c r="AO94" s="399"/>
      <c r="AP94" s="399"/>
      <c r="AQ94" s="399"/>
      <c r="AR94" s="399"/>
      <c r="AS94" s="399"/>
      <c r="AT94" s="399"/>
      <c r="AU94" s="399"/>
      <c r="AV94" s="399"/>
      <c r="AW94" s="399"/>
      <c r="AX94" s="399"/>
      <c r="AY94" s="350"/>
      <c r="AZ94" s="346"/>
      <c r="BA94" s="346"/>
      <c r="BB94" s="346"/>
      <c r="BC94" s="346"/>
      <c r="BD94" s="346"/>
      <c r="BE94" s="346"/>
      <c r="BF94" s="346"/>
      <c r="BG94" s="346"/>
      <c r="BH94" s="346"/>
      <c r="BI94" s="346"/>
      <c r="BJ94" s="346">
        <v>0.6</v>
      </c>
      <c r="BK94" s="346">
        <f>BJ94</f>
        <v>0.6</v>
      </c>
      <c r="BL94" s="346">
        <f t="shared" ref="BL94:BQ94" si="1026">BK94</f>
        <v>0.6</v>
      </c>
      <c r="BM94" s="346">
        <f t="shared" si="1026"/>
        <v>0.6</v>
      </c>
      <c r="BN94" s="346">
        <f t="shared" si="1026"/>
        <v>0.6</v>
      </c>
      <c r="BO94" s="346">
        <f t="shared" si="1026"/>
        <v>0.6</v>
      </c>
      <c r="BP94" s="346">
        <f t="shared" si="1026"/>
        <v>0.6</v>
      </c>
      <c r="BQ94" s="346">
        <f t="shared" si="1026"/>
        <v>0.6</v>
      </c>
      <c r="BR94" s="42"/>
      <c r="BS94" s="212"/>
      <c r="BT94" s="212"/>
      <c r="BU94" s="212"/>
      <c r="BV94" s="212"/>
      <c r="BW94" s="212"/>
      <c r="BX94" s="212"/>
      <c r="BY94" s="212"/>
      <c r="BZ94" s="212"/>
      <c r="CA94" s="212"/>
      <c r="CB94" s="212"/>
      <c r="CC94" s="42"/>
      <c r="CD94" s="42"/>
      <c r="CE94" s="42"/>
      <c r="CF94" s="42"/>
      <c r="CG94" s="42"/>
      <c r="CH94" s="42"/>
      <c r="CI94" s="42"/>
      <c r="CJ94" s="42"/>
      <c r="CK94" s="42"/>
      <c r="CL94" s="42"/>
      <c r="CM94" s="43"/>
      <c r="CN94" s="43"/>
      <c r="CO94" s="43"/>
      <c r="CP94" s="43"/>
      <c r="CQ94" s="43"/>
      <c r="CR94" s="43"/>
      <c r="CS94" s="43"/>
      <c r="CT94" s="43"/>
      <c r="CU94" s="43"/>
      <c r="CV94" s="43"/>
      <c r="CW94" s="43"/>
      <c r="CX94" s="43"/>
      <c r="CY94" s="43"/>
      <c r="CZ94" s="44"/>
      <c r="DA94" s="42"/>
      <c r="DB94" s="15"/>
      <c r="DC94" s="15"/>
      <c r="DD94" s="15"/>
      <c r="DE94" s="15"/>
      <c r="DF94" s="15"/>
      <c r="DG94" s="15"/>
      <c r="DH94" s="15"/>
      <c r="DI94" s="15"/>
    </row>
    <row r="95" spans="1:113" ht="12" outlineLevel="1">
      <c r="A95" s="1" t="s">
        <v>981</v>
      </c>
      <c r="B95" s="15" t="s">
        <v>563</v>
      </c>
      <c r="C95" s="207"/>
      <c r="D95" s="207"/>
      <c r="E95" s="207"/>
      <c r="F95" s="207"/>
      <c r="G95" s="207"/>
      <c r="H95" s="207"/>
      <c r="I95" s="207"/>
      <c r="J95" s="207"/>
      <c r="K95" s="207"/>
      <c r="L95" s="207"/>
      <c r="M95" s="30"/>
      <c r="N95" s="30"/>
      <c r="O95" s="30"/>
      <c r="P95" s="30"/>
      <c r="Q95" s="30"/>
      <c r="R95" s="30"/>
      <c r="S95" s="30"/>
      <c r="T95" s="32"/>
      <c r="U95" s="30"/>
      <c r="V95" s="30"/>
      <c r="W95" s="30"/>
      <c r="X95" s="30"/>
      <c r="Y95" s="32"/>
      <c r="Z95" s="331"/>
      <c r="AA95" s="356"/>
      <c r="AB95" s="400"/>
      <c r="AC95" s="400"/>
      <c r="AD95" s="400"/>
      <c r="AE95" s="400"/>
      <c r="AF95" s="400"/>
      <c r="AG95" s="400"/>
      <c r="AH95" s="400"/>
      <c r="AI95" s="400"/>
      <c r="AJ95" s="400"/>
      <c r="AK95" s="400"/>
      <c r="AL95" s="400"/>
      <c r="AM95" s="400"/>
      <c r="AN95" s="400"/>
      <c r="AO95" s="400"/>
      <c r="AP95" s="400"/>
      <c r="AQ95" s="400"/>
      <c r="AR95" s="400"/>
      <c r="AS95" s="400"/>
      <c r="AT95" s="400"/>
      <c r="AU95" s="400"/>
      <c r="AV95" s="400"/>
      <c r="AW95" s="400"/>
      <c r="AX95" s="400"/>
      <c r="AY95" s="362"/>
      <c r="AZ95" s="347"/>
      <c r="BA95" s="347"/>
      <c r="BB95" s="347"/>
      <c r="BC95" s="347"/>
      <c r="BD95" s="347"/>
      <c r="BE95" s="347"/>
      <c r="BF95" s="347"/>
      <c r="BG95" s="347"/>
      <c r="BH95" s="347"/>
      <c r="BI95" s="347"/>
      <c r="BJ95" s="347">
        <v>5.0000000000000001E-3</v>
      </c>
      <c r="BK95" s="347">
        <v>5.0000000000000001E-3</v>
      </c>
      <c r="BL95" s="347">
        <v>0.01</v>
      </c>
      <c r="BM95" s="347">
        <f t="shared" ref="BM95:BQ95" si="1027">BL95</f>
        <v>0.01</v>
      </c>
      <c r="BN95" s="347">
        <f t="shared" si="1027"/>
        <v>0.01</v>
      </c>
      <c r="BO95" s="347">
        <f t="shared" si="1027"/>
        <v>0.01</v>
      </c>
      <c r="BP95" s="347">
        <f>BO95</f>
        <v>0.01</v>
      </c>
      <c r="BQ95" s="347">
        <f t="shared" si="1027"/>
        <v>0.01</v>
      </c>
      <c r="BR95" s="30"/>
      <c r="BS95" s="207"/>
      <c r="BT95" s="207"/>
      <c r="BU95" s="207"/>
      <c r="BV95" s="207"/>
      <c r="BW95" s="207"/>
      <c r="BX95" s="207"/>
      <c r="BY95" s="207"/>
      <c r="BZ95" s="207"/>
      <c r="CA95" s="207"/>
      <c r="CB95" s="207"/>
      <c r="CC95" s="30"/>
      <c r="CD95" s="30"/>
      <c r="CE95" s="30"/>
      <c r="CF95" s="30"/>
      <c r="CG95" s="30"/>
      <c r="CH95" s="30"/>
      <c r="CI95" s="30"/>
      <c r="CJ95" s="30"/>
      <c r="CK95" s="30"/>
      <c r="CL95" s="30"/>
      <c r="CM95" s="32"/>
      <c r="CN95" s="32"/>
      <c r="CO95" s="32"/>
      <c r="CP95" s="32"/>
      <c r="CQ95" s="32"/>
      <c r="CR95" s="32"/>
      <c r="CS95" s="32"/>
      <c r="CT95" s="32"/>
      <c r="CU95" s="32"/>
      <c r="CV95" s="32"/>
      <c r="CW95" s="32"/>
      <c r="CX95" s="32"/>
      <c r="CY95" s="32"/>
      <c r="CZ95" s="31"/>
      <c r="DA95" s="30"/>
      <c r="DB95" s="15"/>
      <c r="DC95" s="15"/>
      <c r="DD95" s="15"/>
      <c r="DE95" s="15"/>
      <c r="DF95" s="15"/>
      <c r="DG95" s="15"/>
      <c r="DH95" s="15"/>
      <c r="DI95" s="15"/>
    </row>
    <row r="96" spans="1:113" ht="12" outlineLevel="1">
      <c r="A96" s="1" t="s">
        <v>986</v>
      </c>
      <c r="B96" s="15" t="s">
        <v>565</v>
      </c>
      <c r="C96" s="209" t="e">
        <f t="shared" ref="C96:BI96" si="1028">-C102/SUM(B432:B435,B440,B442)</f>
        <v>#DIV/0!</v>
      </c>
      <c r="D96" s="209">
        <f t="shared" si="1028"/>
        <v>6.8898905344494527E-2</v>
      </c>
      <c r="E96" s="209">
        <f t="shared" si="1028"/>
        <v>4.6894803548795945E-2</v>
      </c>
      <c r="F96" s="209">
        <f t="shared" si="1028"/>
        <v>3.7189884351456405E-2</v>
      </c>
      <c r="G96" s="209">
        <f t="shared" si="1028"/>
        <v>3.1700744967506737E-2</v>
      </c>
      <c r="H96" s="209">
        <f t="shared" si="1028"/>
        <v>3.4261689623934402E-2</v>
      </c>
      <c r="I96" s="209">
        <f t="shared" si="1028"/>
        <v>2.7513481605986934E-2</v>
      </c>
      <c r="J96" s="209">
        <f t="shared" si="1028"/>
        <v>2.0215724239551841E-2</v>
      </c>
      <c r="K96" s="209">
        <f t="shared" si="1028"/>
        <v>2.2982082987851041E-2</v>
      </c>
      <c r="L96" s="209">
        <f t="shared" si="1028"/>
        <v>2.6902366106489977E-2</v>
      </c>
      <c r="M96" s="32">
        <f t="shared" si="1028"/>
        <v>3.1662135463280366E-2</v>
      </c>
      <c r="N96" s="32">
        <f t="shared" si="1028"/>
        <v>3.6699791626738656E-2</v>
      </c>
      <c r="O96" s="32">
        <f t="shared" si="1028"/>
        <v>4.4994106966521195E-2</v>
      </c>
      <c r="P96" s="32">
        <f t="shared" si="1028"/>
        <v>4.1513639661607732E-2</v>
      </c>
      <c r="Q96" s="32">
        <f t="shared" si="1028"/>
        <v>6.288991748842826E-2</v>
      </c>
      <c r="R96" s="32">
        <f t="shared" si="1028"/>
        <v>6.5036600384684576E-2</v>
      </c>
      <c r="S96" s="32">
        <f t="shared" si="1028"/>
        <v>6.9981861203688017E-2</v>
      </c>
      <c r="T96" s="32">
        <f t="shared" si="1028"/>
        <v>8.6922481790973005E-2</v>
      </c>
      <c r="U96" s="32">
        <f t="shared" si="1028"/>
        <v>9.5208845208845205E-2</v>
      </c>
      <c r="V96" s="32">
        <f t="shared" si="1028"/>
        <v>7.4282649503888437E-2</v>
      </c>
      <c r="W96" s="32">
        <f t="shared" si="1028"/>
        <v>9.1405861897665183E-2</v>
      </c>
      <c r="X96" s="32">
        <f t="shared" si="1028"/>
        <v>8.106079559669753E-2</v>
      </c>
      <c r="Y96" s="32">
        <f t="shared" si="1028"/>
        <v>0.11178320832325188</v>
      </c>
      <c r="Z96" s="32">
        <f t="shared" si="1028"/>
        <v>6.9049355701434473E-2</v>
      </c>
      <c r="AA96" s="139">
        <f t="shared" si="1028"/>
        <v>0.12265084075173097</v>
      </c>
      <c r="AB96" s="209">
        <f t="shared" si="1028"/>
        <v>8.5924519344884875E-2</v>
      </c>
      <c r="AC96" s="209">
        <f t="shared" si="1028"/>
        <v>9.6826878208119457E-2</v>
      </c>
      <c r="AD96" s="209">
        <f t="shared" si="1028"/>
        <v>7.8229772016092977E-2</v>
      </c>
      <c r="AE96" s="209">
        <f t="shared" si="1028"/>
        <v>9.9283076254616548E-2</v>
      </c>
      <c r="AF96" s="209">
        <f t="shared" si="1028"/>
        <v>4.37696335078534E-2</v>
      </c>
      <c r="AG96" s="209">
        <f t="shared" si="1028"/>
        <v>4.0451895043731777E-2</v>
      </c>
      <c r="AH96" s="209">
        <f t="shared" si="1028"/>
        <v>3.4740456473439707E-2</v>
      </c>
      <c r="AI96" s="209">
        <f t="shared" si="1028"/>
        <v>5.1704925339870735E-2</v>
      </c>
      <c r="AJ96" s="209">
        <f t="shared" si="1028"/>
        <v>4.4196428571428574E-2</v>
      </c>
      <c r="AK96" s="209">
        <f t="shared" si="1028"/>
        <v>4.3594902749832326E-2</v>
      </c>
      <c r="AL96" s="209">
        <f t="shared" si="1028"/>
        <v>4.0381493506493504E-2</v>
      </c>
      <c r="AM96" s="209">
        <f t="shared" si="1028"/>
        <v>5.0859106529209622E-2</v>
      </c>
      <c r="AN96" s="209">
        <f t="shared" si="1028"/>
        <v>3.8461538461538464E-2</v>
      </c>
      <c r="AO96" s="209">
        <f t="shared" si="1028"/>
        <v>4.2128121606948968E-2</v>
      </c>
      <c r="AP96" s="209">
        <f t="shared" si="1028"/>
        <v>3.2649644202595231E-2</v>
      </c>
      <c r="AQ96" s="209">
        <f t="shared" si="1028"/>
        <v>4.4622936189201247E-2</v>
      </c>
      <c r="AR96" s="209">
        <f t="shared" si="1028"/>
        <v>3.3924272269643251E-2</v>
      </c>
      <c r="AS96" s="209">
        <f t="shared" si="1028"/>
        <v>3.3395950740972659E-2</v>
      </c>
      <c r="AT96" s="209">
        <f t="shared" si="1028"/>
        <v>2.9866332497911444E-2</v>
      </c>
      <c r="AU96" s="209">
        <f t="shared" si="1028"/>
        <v>3.982389433660196E-2</v>
      </c>
      <c r="AV96" s="209">
        <f t="shared" si="1028"/>
        <v>2.8393621159082068E-2</v>
      </c>
      <c r="AW96" s="209">
        <f t="shared" si="1028"/>
        <v>5.5225311601150524E-2</v>
      </c>
      <c r="AX96" s="209">
        <f t="shared" si="1028"/>
        <v>2.8773072747014114E-2</v>
      </c>
      <c r="AY96" s="208">
        <f t="shared" si="1028"/>
        <v>4.1448972483455242E-2</v>
      </c>
      <c r="AZ96" s="209">
        <f t="shared" si="1028"/>
        <v>2.6789987006582493E-2</v>
      </c>
      <c r="BA96" s="209">
        <f t="shared" si="1028"/>
        <v>3.5230050176681377E-2</v>
      </c>
      <c r="BB96" s="209">
        <f t="shared" si="1028"/>
        <v>3.3710120757498303E-2</v>
      </c>
      <c r="BC96" s="209">
        <f t="shared" si="1028"/>
        <v>3.6753862224791045E-2</v>
      </c>
      <c r="BD96" s="209">
        <f t="shared" si="1028"/>
        <v>3.3634554809628014E-2</v>
      </c>
      <c r="BE96" s="209">
        <f t="shared" si="1028"/>
        <v>3.7578924472287827E-2</v>
      </c>
      <c r="BF96" s="209">
        <f t="shared" si="1028"/>
        <v>3.4083434765826016E-2</v>
      </c>
      <c r="BG96" s="209">
        <f t="shared" si="1028"/>
        <v>3.7761848337676693E-2</v>
      </c>
      <c r="BH96" s="209">
        <f t="shared" si="1028"/>
        <v>3.4503613592677007E-2</v>
      </c>
      <c r="BI96" s="209">
        <f t="shared" si="1028"/>
        <v>3.824845035207123E-2</v>
      </c>
      <c r="BJ96" s="347">
        <f t="shared" ref="BJ96:BQ96" si="1029">BH96</f>
        <v>3.4503613592677007E-2</v>
      </c>
      <c r="BK96" s="347">
        <f t="shared" si="1029"/>
        <v>3.824845035207123E-2</v>
      </c>
      <c r="BL96" s="347">
        <f t="shared" si="1029"/>
        <v>3.4503613592677007E-2</v>
      </c>
      <c r="BM96" s="347">
        <f t="shared" si="1029"/>
        <v>3.824845035207123E-2</v>
      </c>
      <c r="BN96" s="347">
        <f t="shared" si="1029"/>
        <v>3.4503613592677007E-2</v>
      </c>
      <c r="BO96" s="347">
        <f t="shared" si="1029"/>
        <v>3.824845035207123E-2</v>
      </c>
      <c r="BP96" s="347">
        <f t="shared" si="1029"/>
        <v>3.4503613592677007E-2</v>
      </c>
      <c r="BQ96" s="347">
        <f t="shared" si="1029"/>
        <v>3.824845035207123E-2</v>
      </c>
      <c r="BR96" s="30"/>
      <c r="BS96" s="209" t="e">
        <f t="shared" ref="BS96:DI96" si="1030">-BS102/SUM(BR432:BR435,BR440,BR442)</f>
        <v>#DIV/0!</v>
      </c>
      <c r="BT96" s="209">
        <f t="shared" si="1030"/>
        <v>0</v>
      </c>
      <c r="BU96" s="209">
        <f t="shared" si="1030"/>
        <v>0</v>
      </c>
      <c r="BV96" s="209">
        <f t="shared" si="1030"/>
        <v>0</v>
      </c>
      <c r="BW96" s="209">
        <f t="shared" si="1030"/>
        <v>0</v>
      </c>
      <c r="BX96" s="209">
        <f t="shared" si="1030"/>
        <v>0</v>
      </c>
      <c r="BY96" s="209">
        <f t="shared" si="1030"/>
        <v>0</v>
      </c>
      <c r="BZ96" s="209">
        <f t="shared" si="1030"/>
        <v>0</v>
      </c>
      <c r="CA96" s="209">
        <f t="shared" si="1030"/>
        <v>0</v>
      </c>
      <c r="CB96" s="209">
        <f t="shared" si="1030"/>
        <v>5.6026650514839488E-2</v>
      </c>
      <c r="CC96" s="32">
        <f t="shared" si="1030"/>
        <v>5.8861788617886178E-2</v>
      </c>
      <c r="CD96" s="32">
        <f t="shared" si="1030"/>
        <v>3.5745981658613549E-2</v>
      </c>
      <c r="CE96" s="32">
        <f t="shared" si="1030"/>
        <v>3.3280104627978056E-2</v>
      </c>
      <c r="CF96" s="32">
        <f t="shared" si="1030"/>
        <v>2.2721839711621984E-2</v>
      </c>
      <c r="CG96" s="32">
        <f t="shared" si="1030"/>
        <v>3.0284609008013264E-2</v>
      </c>
      <c r="CH96" s="32">
        <f t="shared" si="1030"/>
        <v>4.2106660526976265E-2</v>
      </c>
      <c r="CI96" s="32">
        <f t="shared" si="1030"/>
        <v>5.5156347029849999E-2</v>
      </c>
      <c r="CJ96" s="32">
        <f t="shared" si="1030"/>
        <v>7.2444353570748701E-2</v>
      </c>
      <c r="CK96" s="32">
        <f t="shared" si="1030"/>
        <v>9.205683265405136E-2</v>
      </c>
      <c r="CL96" s="32">
        <f t="shared" si="1030"/>
        <v>9.234073013600573E-2</v>
      </c>
      <c r="CM96" s="32">
        <f t="shared" si="1030"/>
        <v>9.7968341019568736E-2</v>
      </c>
      <c r="CN96" s="32">
        <f t="shared" si="1030"/>
        <v>9.4591317002182873E-2</v>
      </c>
      <c r="CO96" s="32">
        <f t="shared" si="1030"/>
        <v>9.4101974082596587E-2</v>
      </c>
      <c r="CP96" s="32">
        <f t="shared" si="1030"/>
        <v>9.2123287671232873E-2</v>
      </c>
      <c r="CQ96" s="32">
        <f t="shared" si="1030"/>
        <v>4.5958626572830029E-2</v>
      </c>
      <c r="CR96" s="32">
        <f t="shared" si="1030"/>
        <v>3.8701025002394862E-2</v>
      </c>
      <c r="CS96" s="32">
        <f t="shared" si="1030"/>
        <v>4.3827367012378722E-2</v>
      </c>
      <c r="CT96" s="32">
        <f t="shared" si="1030"/>
        <v>4.4782469950005316E-2</v>
      </c>
      <c r="CU96" s="32">
        <f t="shared" si="1030"/>
        <v>4.1340535773343623E-2</v>
      </c>
      <c r="CV96" s="32">
        <f t="shared" si="1030"/>
        <v>3.7940957049984014E-2</v>
      </c>
      <c r="CW96" s="32">
        <f t="shared" si="1030"/>
        <v>3.4802784222737818E-2</v>
      </c>
      <c r="CX96" s="32">
        <f t="shared" si="1030"/>
        <v>3.5703100532414656E-2</v>
      </c>
      <c r="CY96" s="32">
        <f t="shared" si="1030"/>
        <v>4.2805010356050895E-2</v>
      </c>
      <c r="CZ96" s="31">
        <f t="shared" si="1030"/>
        <v>3.6961176799180706E-2</v>
      </c>
      <c r="DA96" s="32">
        <f t="shared" si="1030"/>
        <v>3.0315583250719907E-2</v>
      </c>
      <c r="DB96" s="32">
        <f t="shared" si="1030"/>
        <v>3.4977522790159643E-2</v>
      </c>
      <c r="DC96" s="32">
        <f t="shared" si="1030"/>
        <v>3.5664063264198381E-2</v>
      </c>
      <c r="DD96" s="32">
        <f t="shared" si="1030"/>
        <v>3.6295357336262143E-2</v>
      </c>
      <c r="DE96" s="32">
        <f t="shared" si="1030"/>
        <v>3.6612747345539855E-2</v>
      </c>
      <c r="DF96" s="32">
        <f t="shared" si="1030"/>
        <v>3.713991118118503E-2</v>
      </c>
      <c r="DG96" s="32">
        <f t="shared" si="1030"/>
        <v>3.6671981891583369E-2</v>
      </c>
      <c r="DH96" s="32">
        <f t="shared" si="1030"/>
        <v>3.6698813913308814E-2</v>
      </c>
      <c r="DI96" s="32">
        <f t="shared" si="1030"/>
        <v>3.6724189810384084E-2</v>
      </c>
    </row>
    <row r="97" spans="1:113" ht="12" outlineLevel="1">
      <c r="A97" s="1" t="s">
        <v>987</v>
      </c>
      <c r="B97" s="15" t="s">
        <v>566</v>
      </c>
      <c r="C97" s="46">
        <f t="shared" ref="C97:L97" si="1031">-AVERAGE(C101,C106)/(C103*C$5)</f>
        <v>9.9502634351949411</v>
      </c>
      <c r="D97" s="46">
        <f t="shared" si="1031"/>
        <v>7.1054794520547944</v>
      </c>
      <c r="E97" s="46">
        <f t="shared" si="1031"/>
        <v>7.7133825079030558</v>
      </c>
      <c r="F97" s="46">
        <f t="shared" si="1031"/>
        <v>5.8622732321362463</v>
      </c>
      <c r="G97" s="46">
        <f t="shared" si="1031"/>
        <v>4.9918999404407387</v>
      </c>
      <c r="H97" s="46">
        <f t="shared" si="1031"/>
        <v>3.6190476190476191</v>
      </c>
      <c r="I97" s="46">
        <f t="shared" si="1031"/>
        <v>3.3219696969696968</v>
      </c>
      <c r="J97" s="46">
        <f t="shared" si="1031"/>
        <v>3.6347512617159334</v>
      </c>
      <c r="K97" s="46">
        <f t="shared" si="1031"/>
        <v>3.0826412671232877</v>
      </c>
      <c r="L97" s="46">
        <f t="shared" si="1031"/>
        <v>3.3941840903628933</v>
      </c>
      <c r="M97" s="46">
        <f>-AVERAGE(M101,M106)/(M103*M$5)</f>
        <v>3.461211247296323</v>
      </c>
      <c r="N97" s="46">
        <f>-AVERAGE(N101,N106)/(N103*N$5)</f>
        <v>3.5333963155408599</v>
      </c>
      <c r="O97" s="46">
        <f>-AVERAGE(O101,O106)/(O103*O$5)</f>
        <v>3.4743364726027397</v>
      </c>
      <c r="P97" s="46">
        <f t="shared" ref="P97:X97" si="1032">-AVERAGE(P101,P106)/(P103*P$5)</f>
        <v>3.9153225806451615</v>
      </c>
      <c r="Q97" s="46">
        <f t="shared" si="1032"/>
        <v>4.8050847457627119</v>
      </c>
      <c r="R97" s="46">
        <f t="shared" si="1032"/>
        <v>4.0491170160092427</v>
      </c>
      <c r="S97" s="46">
        <f t="shared" si="1032"/>
        <v>5.1178793808930791</v>
      </c>
      <c r="T97" s="46">
        <f t="shared" si="1032"/>
        <v>5.458840395030264</v>
      </c>
      <c r="U97" s="46">
        <f t="shared" si="1032"/>
        <v>4.6635684365447752</v>
      </c>
      <c r="V97" s="46">
        <f t="shared" si="1032"/>
        <v>5.2437907028969235</v>
      </c>
      <c r="W97" s="46">
        <f t="shared" si="1032"/>
        <v>5.7657534246575342</v>
      </c>
      <c r="X97" s="46">
        <f t="shared" si="1032"/>
        <v>5.5250000000000004</v>
      </c>
      <c r="Y97" s="46">
        <f t="shared" ref="Y97:AD97" si="1033">-AVERAGE(Y101,Y106)/(Y103*Y$5)</f>
        <v>5.1544117647058822</v>
      </c>
      <c r="Z97" s="46">
        <f t="shared" si="1033"/>
        <v>4.9849239385453714</v>
      </c>
      <c r="AA97" s="46">
        <f t="shared" si="1033"/>
        <v>4.997565441475655</v>
      </c>
      <c r="AB97" s="46">
        <f t="shared" si="1033"/>
        <v>5.4752021383227536</v>
      </c>
      <c r="AC97" s="46">
        <f t="shared" si="1033"/>
        <v>5.5184714560218184</v>
      </c>
      <c r="AD97" s="46">
        <f t="shared" si="1033"/>
        <v>4.8761171822892617</v>
      </c>
      <c r="AE97" s="46">
        <f t="shared" ref="AE97:AH97" si="1034">-AVERAGE(AE101,AE106)/(AE103*AE$5)</f>
        <v>5.0884483188044829</v>
      </c>
      <c r="AF97" s="46">
        <f t="shared" si="1034"/>
        <v>5.2469387755102037</v>
      </c>
      <c r="AG97" s="46">
        <f t="shared" si="1034"/>
        <v>4.363725490196078</v>
      </c>
      <c r="AH97" s="46">
        <f t="shared" si="1034"/>
        <v>3.4929549902152641</v>
      </c>
      <c r="AI97" s="46">
        <f t="shared" ref="AI97:AJ97" si="1035">-AVERAGE(AI101,AI106)/(AI103*AI$5)</f>
        <v>3.4901632714957285</v>
      </c>
      <c r="AJ97" s="46">
        <f t="shared" si="1035"/>
        <v>3.2215765612050893</v>
      </c>
      <c r="AK97" s="46">
        <f t="shared" ref="AK97:AL97" si="1036">-AVERAGE(AK101,AK106)/(AK103*AK$5)</f>
        <v>2.7819063926940641</v>
      </c>
      <c r="AL97" s="46">
        <f t="shared" si="1036"/>
        <v>2.7592846270928466</v>
      </c>
      <c r="AM97" s="46">
        <f t="shared" ref="AM97:AN97" si="1037">-AVERAGE(AM101,AM106)/(AM103*AM$5)</f>
        <v>2.545634530886534</v>
      </c>
      <c r="AN97" s="46">
        <f t="shared" si="1037"/>
        <v>2.6825726141078836</v>
      </c>
      <c r="AO97" s="46">
        <f t="shared" ref="AO97" si="1038">-AVERAGE(AO101,AO106)/(AO103*AO$5)</f>
        <v>2.627853881278539</v>
      </c>
      <c r="AP97" s="46">
        <f t="shared" ref="AP97:AQ97" si="1039">-AVERAGE(AP101,AP106)/(AP103*AP$5)</f>
        <v>2.1400435063789756</v>
      </c>
      <c r="AQ97" s="46">
        <f t="shared" si="1039"/>
        <v>2.3958495195256591</v>
      </c>
      <c r="AR97" s="46">
        <f t="shared" ref="AR97:AS97" si="1040">-AVERAGE(AR101,AR106)/(AR103*AR$5)</f>
        <v>2.4852359208523591</v>
      </c>
      <c r="AS97" s="46">
        <f t="shared" si="1040"/>
        <v>2.4529385771100309</v>
      </c>
      <c r="AT97" s="46">
        <f t="shared" ref="AT97:AU97" si="1041">-AVERAGE(AT101,AT106)/(AT103*AT$5)</f>
        <v>2.7118749474745778</v>
      </c>
      <c r="AU97" s="46">
        <f t="shared" si="1041"/>
        <v>2.867707878893639</v>
      </c>
      <c r="AV97" s="46">
        <f t="shared" ref="AV97:AW97" si="1042">-AVERAGE(AV101,AV106)/(AV103*AV$5)</f>
        <v>3.0198675496688741</v>
      </c>
      <c r="AW97" s="46">
        <f t="shared" si="1042"/>
        <v>2.7817919075144508</v>
      </c>
      <c r="AX97" s="46">
        <f t="shared" ref="AX97:BI97" si="1043">-AVERAGE(AX101,AX106)/(AX103*AX$5)</f>
        <v>3.4044983339503889</v>
      </c>
      <c r="AY97" s="213">
        <f t="shared" ref="AY97" si="1044">-AVERAGE(AY101,AY106)/(AY103*AY$5)</f>
        <v>2.5055958904109588</v>
      </c>
      <c r="AZ97" s="46">
        <f t="shared" si="1043"/>
        <v>2.0201780247860208</v>
      </c>
      <c r="BA97" s="46">
        <f t="shared" si="1043"/>
        <v>2.0503803198028012</v>
      </c>
      <c r="BB97" s="46">
        <f t="shared" si="1043"/>
        <v>2.0435256008183242</v>
      </c>
      <c r="BC97" s="46">
        <f t="shared" si="1043"/>
        <v>2.0704444866426948</v>
      </c>
      <c r="BD97" s="46">
        <f t="shared" si="1043"/>
        <v>2.0648163186949637</v>
      </c>
      <c r="BE97" s="46">
        <f t="shared" si="1043"/>
        <v>2.0776756884614929</v>
      </c>
      <c r="BF97" s="46">
        <f t="shared" si="1043"/>
        <v>2.0689103046470825</v>
      </c>
      <c r="BG97" s="46">
        <f t="shared" si="1043"/>
        <v>2.0912305441331469</v>
      </c>
      <c r="BH97" s="46">
        <f t="shared" si="1043"/>
        <v>2.0747253511671588</v>
      </c>
      <c r="BI97" s="46">
        <f t="shared" si="1043"/>
        <v>2.0958491889939839</v>
      </c>
      <c r="BJ97" s="214">
        <f t="shared" ref="BJ97:BO97" si="1045">BI97</f>
        <v>2.0958491889939839</v>
      </c>
      <c r="BK97" s="214">
        <f t="shared" si="1045"/>
        <v>2.0958491889939839</v>
      </c>
      <c r="BL97" s="214">
        <f t="shared" si="1045"/>
        <v>2.0958491889939839</v>
      </c>
      <c r="BM97" s="214">
        <f t="shared" si="1045"/>
        <v>2.0958491889939839</v>
      </c>
      <c r="BN97" s="214">
        <f t="shared" si="1045"/>
        <v>2.0958491889939839</v>
      </c>
      <c r="BO97" s="214">
        <f t="shared" si="1045"/>
        <v>2.0958491889939839</v>
      </c>
      <c r="BP97" s="214">
        <f t="shared" ref="BP97" si="1046">BO97</f>
        <v>2.0958491889939839</v>
      </c>
      <c r="BQ97" s="214">
        <f t="shared" ref="BQ97" si="1047">BP97</f>
        <v>2.0958491889939839</v>
      </c>
      <c r="BR97" s="30"/>
      <c r="BS97" s="46" t="e">
        <f t="shared" ref="BS97:CB97" si="1048">-AVERAGE(BS101,BS106)/(BS103*BS$5)</f>
        <v>#DIV/0!</v>
      </c>
      <c r="BT97" s="46" t="e">
        <f t="shared" si="1048"/>
        <v>#DIV/0!</v>
      </c>
      <c r="BU97" s="46" t="e">
        <f t="shared" si="1048"/>
        <v>#DIV/0!</v>
      </c>
      <c r="BV97" s="46" t="e">
        <f t="shared" si="1048"/>
        <v>#DIV/0!</v>
      </c>
      <c r="BW97" s="46" t="e">
        <f t="shared" si="1048"/>
        <v>#DIV/0!</v>
      </c>
      <c r="BX97" s="46" t="e">
        <f t="shared" si="1048"/>
        <v>#DIV/0!</v>
      </c>
      <c r="BY97" s="46" t="e">
        <f t="shared" si="1048"/>
        <v>#DIV/0!</v>
      </c>
      <c r="BZ97" s="46" t="e">
        <f t="shared" si="1048"/>
        <v>#DIV/0!</v>
      </c>
      <c r="CA97" s="46" t="e">
        <f t="shared" si="1048"/>
        <v>#DIV/0!</v>
      </c>
      <c r="CB97" s="46">
        <f t="shared" si="1048"/>
        <v>12.431818181818182</v>
      </c>
      <c r="CC97" s="46">
        <f t="shared" ref="CC97:CK97" si="1049">-AVERAGE(CC101,CC106)/(CC103*CC$5)</f>
        <v>8</v>
      </c>
      <c r="CD97" s="46">
        <f t="shared" si="1049"/>
        <v>5.5180722891566267</v>
      </c>
      <c r="CE97" s="46">
        <f t="shared" si="1049"/>
        <v>3.3992248062015502</v>
      </c>
      <c r="CF97" s="46">
        <f t="shared" si="1049"/>
        <v>3.2520661157024793</v>
      </c>
      <c r="CG97" s="46">
        <f t="shared" si="1049"/>
        <v>3.4517543859649122</v>
      </c>
      <c r="CH97" s="46">
        <f t="shared" si="1049"/>
        <v>3.6352459016393444</v>
      </c>
      <c r="CI97" s="46">
        <f t="shared" si="1049"/>
        <v>4.4917355371900829</v>
      </c>
      <c r="CJ97" s="46">
        <f t="shared" si="1049"/>
        <v>4.6062500000000002</v>
      </c>
      <c r="CK97" s="46">
        <f t="shared" si="1049"/>
        <v>4.9903381642512077</v>
      </c>
      <c r="CL97" s="46">
        <f t="shared" ref="CL97:CR97" si="1050">-AVERAGE(CL101,CL106)/(CL103*CL$5)</f>
        <v>5.6004016064257032</v>
      </c>
      <c r="CM97" s="46">
        <f t="shared" si="1050"/>
        <v>5.2093749999999996</v>
      </c>
      <c r="CN97" s="46">
        <f t="shared" si="1050"/>
        <v>5.1331592689295036</v>
      </c>
      <c r="CO97" s="46">
        <f t="shared" si="1050"/>
        <v>5.5199530516431921</v>
      </c>
      <c r="CP97" s="46">
        <f t="shared" si="1050"/>
        <v>5.0055350553505535</v>
      </c>
      <c r="CQ97" s="46">
        <f t="shared" si="1050"/>
        <v>5.0949999999999998</v>
      </c>
      <c r="CR97" s="46">
        <f t="shared" si="1050"/>
        <v>3.591150442477876</v>
      </c>
      <c r="CS97" s="46">
        <f>-AVERAGE(CS101,CS106)/(CS103*CS$5)</f>
        <v>2.8796133567662565</v>
      </c>
      <c r="CT97" s="46">
        <f t="shared" ref="CT97:CX97" si="1051">-AVERAGE(CT101,CT106)/(CT103*CT$5)</f>
        <v>2.653771760154739</v>
      </c>
      <c r="CU97" s="46">
        <f t="shared" si="1051"/>
        <v>2.5673913043478263</v>
      </c>
      <c r="CV97" s="46">
        <f t="shared" si="1051"/>
        <v>2.302995391705069</v>
      </c>
      <c r="CW97" s="46">
        <f t="shared" si="1051"/>
        <v>2.4746666666666668</v>
      </c>
      <c r="CX97" s="46">
        <f t="shared" si="1051"/>
        <v>2.8359375</v>
      </c>
      <c r="CY97" s="46">
        <f t="shared" ref="CY97" si="1052">-AVERAGE(CY101,CY106)/(CY103*CY$5)</f>
        <v>2.992283950617284</v>
      </c>
      <c r="CZ97" s="213">
        <f t="shared" ref="CZ97:DA97" si="1053">-AVERAGE(CZ101,CZ106)/(CZ103*CZ$5)</f>
        <v>2.8994252873563218</v>
      </c>
      <c r="DA97" s="46">
        <f t="shared" si="1053"/>
        <v>2.0455840148041222</v>
      </c>
      <c r="DB97" s="46">
        <f t="shared" ref="DB97" si="1054">-AVERAGE(DB101,DB106)/(DB103*DB$5)</f>
        <v>2.0649489784972617</v>
      </c>
      <c r="DC97" s="46">
        <f t="shared" ref="DC97:DF97" si="1055">-AVERAGE(DC101,DC106)/(DC103*DC$5)</f>
        <v>2.077670410393369</v>
      </c>
      <c r="DD97" s="46">
        <f t="shared" si="1055"/>
        <v>2.0855076463128093</v>
      </c>
      <c r="DE97" s="46">
        <f t="shared" si="1055"/>
        <v>2.0901463382488195</v>
      </c>
      <c r="DF97" s="46">
        <f t="shared" si="1055"/>
        <v>2.1018940107638624</v>
      </c>
      <c r="DG97" s="46">
        <f t="shared" ref="DG97:DI97" si="1056">-AVERAGE(DG101,DG106)/(DG103*DG$5)</f>
        <v>2.1032676615122274</v>
      </c>
      <c r="DH97" s="46">
        <f t="shared" si="1056"/>
        <v>2.1027012968886361</v>
      </c>
      <c r="DI97" s="46">
        <f t="shared" si="1056"/>
        <v>2.1023131488239195</v>
      </c>
    </row>
    <row r="98" spans="1:113" ht="12" outlineLevel="1">
      <c r="A98" s="1" t="s">
        <v>567</v>
      </c>
      <c r="B98" s="15" t="s">
        <v>645</v>
      </c>
      <c r="C98" s="207" t="s">
        <v>215</v>
      </c>
      <c r="D98" s="207" t="s">
        <v>215</v>
      </c>
      <c r="E98" s="207" t="s">
        <v>215</v>
      </c>
      <c r="F98" s="207">
        <f t="shared" ref="F98:L98" si="1057">F443/D443-1</f>
        <v>7.9486692015209082E-2</v>
      </c>
      <c r="G98" s="207">
        <f t="shared" si="1057"/>
        <v>3.2943039493257942E-2</v>
      </c>
      <c r="H98" s="207">
        <f t="shared" si="1057"/>
        <v>0.17352635564713537</v>
      </c>
      <c r="I98" s="207">
        <f t="shared" si="1057"/>
        <v>0.29264709298274139</v>
      </c>
      <c r="J98" s="207">
        <f t="shared" si="1057"/>
        <v>0.11010395093595848</v>
      </c>
      <c r="K98" s="207">
        <f t="shared" si="1057"/>
        <v>3.5328101204407991E-2</v>
      </c>
      <c r="L98" s="207">
        <f t="shared" si="1057"/>
        <v>6.7432135260824255E-2</v>
      </c>
      <c r="M98" s="30">
        <f t="shared" ref="M98:AY98" si="1058">M443/K443-1</f>
        <v>6.4088378611750985E-2</v>
      </c>
      <c r="N98" s="30">
        <f t="shared" si="1058"/>
        <v>6.0234046505344585E-2</v>
      </c>
      <c r="O98" s="30">
        <f t="shared" si="1058"/>
        <v>9.0318187193404009E-2</v>
      </c>
      <c r="P98" s="30">
        <f t="shared" si="1058"/>
        <v>0.10798585671965077</v>
      </c>
      <c r="Q98" s="30">
        <f t="shared" si="1058"/>
        <v>8.1104936009155359E-2</v>
      </c>
      <c r="R98" s="30">
        <f t="shared" si="1058"/>
        <v>0.14514992956329253</v>
      </c>
      <c r="S98" s="30">
        <f t="shared" si="1058"/>
        <v>0.12232069962776926</v>
      </c>
      <c r="T98" s="32">
        <f t="shared" si="1058"/>
        <v>2.1797937574924431E-2</v>
      </c>
      <c r="U98" s="30">
        <f t="shared" si="1058"/>
        <v>0.14941111559765363</v>
      </c>
      <c r="V98" s="30">
        <f t="shared" si="1058"/>
        <v>0.2364864864864864</v>
      </c>
      <c r="W98" s="30">
        <f t="shared" si="1058"/>
        <v>7.1869133816036435E-2</v>
      </c>
      <c r="X98" s="30">
        <f t="shared" si="1058"/>
        <v>2.6577247888723399E-2</v>
      </c>
      <c r="Y98" s="32">
        <f t="shared" si="1058"/>
        <v>2.9021766324743625E-2</v>
      </c>
      <c r="Z98" s="32">
        <f t="shared" si="1058"/>
        <v>-2.1533994676990131E-2</v>
      </c>
      <c r="AA98" s="139">
        <f t="shared" si="1058"/>
        <v>2.4313153415998157E-2</v>
      </c>
      <c r="AB98" s="209">
        <f t="shared" si="1058"/>
        <v>5.9841740850642866E-2</v>
      </c>
      <c r="AC98" s="209">
        <f t="shared" si="1058"/>
        <v>6.1951103726560541E-2</v>
      </c>
      <c r="AD98" s="209">
        <f t="shared" si="1058"/>
        <v>7.3961735884274349E-2</v>
      </c>
      <c r="AE98" s="209">
        <f t="shared" si="1058"/>
        <v>6.7277603933839858E-2</v>
      </c>
      <c r="AF98" s="209">
        <f t="shared" si="1058"/>
        <v>0.19226591353465139</v>
      </c>
      <c r="AG98" s="209">
        <f t="shared" si="1058"/>
        <v>3.6858638743455518E-2</v>
      </c>
      <c r="AH98" s="209">
        <f t="shared" si="1058"/>
        <v>-0.18239795918367352</v>
      </c>
      <c r="AI98" s="209">
        <f t="shared" si="1058"/>
        <v>-9.5132296505756386E-2</v>
      </c>
      <c r="AJ98" s="209">
        <f t="shared" si="1058"/>
        <v>-3.1201248049922414E-3</v>
      </c>
      <c r="AK98" s="209">
        <f t="shared" si="1058"/>
        <v>0.10000000000000009</v>
      </c>
      <c r="AL98" s="209">
        <f t="shared" si="1058"/>
        <v>-2.4144869215291798E-2</v>
      </c>
      <c r="AM98" s="209">
        <f t="shared" si="1058"/>
        <v>-4.504870129870131E-2</v>
      </c>
      <c r="AN98" s="209">
        <f t="shared" si="1058"/>
        <v>5.4982817869415834E-2</v>
      </c>
      <c r="AO98" s="209">
        <f t="shared" si="1058"/>
        <v>1.5299617509562324E-2</v>
      </c>
      <c r="AP98" s="209">
        <f t="shared" si="1058"/>
        <v>-2.6710097719869652E-2</v>
      </c>
      <c r="AQ98" s="209">
        <f t="shared" si="1058"/>
        <v>-4.3742151527835893E-2</v>
      </c>
      <c r="AR98" s="209">
        <f t="shared" si="1058"/>
        <v>6.8942436412315899E-2</v>
      </c>
      <c r="AS98" s="209">
        <f t="shared" si="1058"/>
        <v>4.7931713722915381E-2</v>
      </c>
      <c r="AT98" s="209">
        <f t="shared" si="1058"/>
        <v>4.2997286579002258E-2</v>
      </c>
      <c r="AU98" s="209">
        <f t="shared" si="1058"/>
        <v>7.3934837092731742E-2</v>
      </c>
      <c r="AV98" s="209">
        <f t="shared" si="1058"/>
        <v>4.3626175705423265E-2</v>
      </c>
      <c r="AW98" s="209">
        <f t="shared" si="1058"/>
        <v>7.4679113185530888E-2</v>
      </c>
      <c r="AX98" s="209">
        <f t="shared" si="1058"/>
        <v>0.10105465004793857</v>
      </c>
      <c r="AY98" s="208">
        <f t="shared" si="1058"/>
        <v>0.29171190734708641</v>
      </c>
      <c r="AZ98" s="207">
        <f t="shared" ref="AZ98" si="1059">AZ443/AX443-1</f>
        <v>-1.5092929894666818E-2</v>
      </c>
      <c r="BA98" s="207">
        <f t="shared" ref="BA98" si="1060">BA443/AY443-1</f>
        <v>-0.18144207149889313</v>
      </c>
      <c r="BB98" s="207">
        <f t="shared" ref="BB98" si="1061">BB443/AZ443-1</f>
        <v>-1.2703713692823415E-2</v>
      </c>
      <c r="BC98" s="207">
        <f t="shared" ref="BC98" si="1062">BC443/BA443-1</f>
        <v>3.2314076304768458E-2</v>
      </c>
      <c r="BD98" s="207">
        <f t="shared" ref="BD98" si="1063">BD443/BB443-1</f>
        <v>7.3858851242969425E-3</v>
      </c>
      <c r="BE98" s="207">
        <f t="shared" ref="BE98" si="1064">BE443/BC443-1</f>
        <v>1.6434866143610671E-2</v>
      </c>
      <c r="BF98" s="207">
        <f t="shared" ref="BF98" si="1065">BF443/BD443-1</f>
        <v>2.5010530743471593E-2</v>
      </c>
      <c r="BG98" s="207">
        <f t="shared" ref="BG98:BK98" si="1066">BG443/BE443-1</f>
        <v>1.7456844469520671E-2</v>
      </c>
      <c r="BH98" s="207">
        <f t="shared" si="1066"/>
        <v>1.6896199186819727E-2</v>
      </c>
      <c r="BI98" s="207">
        <f t="shared" si="1066"/>
        <v>2.2751747004134515E-2</v>
      </c>
      <c r="BJ98" s="207">
        <f t="shared" si="1066"/>
        <v>4.6020200222520957E-2</v>
      </c>
      <c r="BK98" s="207">
        <f t="shared" si="1066"/>
        <v>1.4731042909649217E-2</v>
      </c>
      <c r="BL98" s="207">
        <f t="shared" ref="BL98" si="1067">BL443/BJ443-1</f>
        <v>1.8628336634662235E-2</v>
      </c>
      <c r="BM98" s="207">
        <f t="shared" ref="BM98" si="1068">BM443/BK443-1</f>
        <v>1.9357191823105691E-2</v>
      </c>
      <c r="BN98" s="207">
        <f t="shared" ref="BN98" si="1069">BN443/BL443-1</f>
        <v>2.0113744113108067E-2</v>
      </c>
      <c r="BO98" s="207">
        <f t="shared" ref="BO98" si="1070">BO443/BM443-1</f>
        <v>2.4555688106504103E-2</v>
      </c>
      <c r="BP98" s="207">
        <f t="shared" ref="BP98" si="1071">BP443/BN443-1</f>
        <v>2.1745095758499255E-2</v>
      </c>
      <c r="BQ98" s="207">
        <f t="shared" ref="BQ98" si="1072">BQ443/BO443-1</f>
        <v>2.2997913471811682E-2</v>
      </c>
      <c r="BR98" s="30"/>
      <c r="BS98" s="207" t="e">
        <f t="shared" ref="BS98:CB98" si="1073">BS443/BR443-1</f>
        <v>#DIV/0!</v>
      </c>
      <c r="BT98" s="207">
        <f t="shared" si="1073"/>
        <v>-6.1580054070291323E-2</v>
      </c>
      <c r="BU98" s="207">
        <f t="shared" si="1073"/>
        <v>-3.937259923175418E-2</v>
      </c>
      <c r="BV98" s="207">
        <f t="shared" si="1073"/>
        <v>3.8320559813395549E-2</v>
      </c>
      <c r="BW98" s="207">
        <f t="shared" si="1073"/>
        <v>9.0179717586649444E-2</v>
      </c>
      <c r="BX98" s="207">
        <f t="shared" si="1073"/>
        <v>3.0909626140712465E-2</v>
      </c>
      <c r="BY98" s="207">
        <f t="shared" si="1073"/>
        <v>-1.7133066818960541E-2</v>
      </c>
      <c r="BZ98" s="207">
        <f t="shared" si="1073"/>
        <v>-4.1255084253341123E-2</v>
      </c>
      <c r="CA98" s="207">
        <f t="shared" si="1073"/>
        <v>6.0606060606049894E-4</v>
      </c>
      <c r="CB98" s="207">
        <f t="shared" si="1073"/>
        <v>-6.8746214415505769E-2</v>
      </c>
      <c r="CC98" s="30">
        <f t="shared" ref="CC98:CS98" si="1074">CC443/CB443-1</f>
        <v>5.5323577235772303E-2</v>
      </c>
      <c r="CD98" s="30">
        <f t="shared" si="1074"/>
        <v>5.5575756828715184E-2</v>
      </c>
      <c r="CE98" s="30">
        <f t="shared" si="1074"/>
        <v>0.2334103057390664</v>
      </c>
      <c r="CF98" s="30">
        <f t="shared" si="1074"/>
        <v>7.0707524952603684E-2</v>
      </c>
      <c r="CG98" s="30">
        <f t="shared" si="1074"/>
        <v>6.5728654324399116E-2</v>
      </c>
      <c r="CH98" s="30">
        <f t="shared" si="1074"/>
        <v>7.5536859921718991E-2</v>
      </c>
      <c r="CI98" s="30">
        <f t="shared" si="1074"/>
        <v>9.4124499060799227E-2</v>
      </c>
      <c r="CJ98" s="30">
        <f t="shared" si="1074"/>
        <v>0.1335179401126676</v>
      </c>
      <c r="CK98" s="30">
        <f t="shared" si="1074"/>
        <v>8.6177324473899919E-2</v>
      </c>
      <c r="CL98" s="30">
        <f t="shared" si="1074"/>
        <v>0.14860415175375796</v>
      </c>
      <c r="CM98" s="32">
        <f t="shared" si="1074"/>
        <v>2.7795089118783478E-2</v>
      </c>
      <c r="CN98" s="32">
        <f t="shared" si="1074"/>
        <v>1.3339801115692662E-3</v>
      </c>
      <c r="CO98" s="32">
        <f t="shared" si="1074"/>
        <v>6.0918008962092873E-2</v>
      </c>
      <c r="CP98" s="32">
        <f t="shared" si="1074"/>
        <v>7.0547945205479357E-2</v>
      </c>
      <c r="CQ98" s="32">
        <f t="shared" si="1074"/>
        <v>0.11313712945190879</v>
      </c>
      <c r="CR98" s="32">
        <f t="shared" si="1074"/>
        <v>-0.14100967525625063</v>
      </c>
      <c r="CS98" s="32">
        <f t="shared" si="1074"/>
        <v>4.8399687743950093E-2</v>
      </c>
      <c r="CT98" s="32">
        <f t="shared" ref="CT98" si="1075">CT443/CS443-1</f>
        <v>-3.5102648654398494E-2</v>
      </c>
      <c r="CU98" s="32">
        <f t="shared" ref="CU98" si="1076">CU443/CT443-1</f>
        <v>3.4395325763421969E-2</v>
      </c>
      <c r="CV98" s="32">
        <f t="shared" ref="CV98" si="1077">CV443/CU443-1</f>
        <v>-3.5383139720771561E-2</v>
      </c>
      <c r="CW98" s="32">
        <f t="shared" ref="CW98" si="1078">CW443/CV443-1</f>
        <v>5.8336095459065263E-2</v>
      </c>
      <c r="CX98" s="32">
        <f t="shared" ref="CX98:DE98" si="1079">CX443/CW443-1</f>
        <v>5.8461217246059016E-2</v>
      </c>
      <c r="CY98" s="32">
        <f t="shared" si="1079"/>
        <v>5.9374691784199518E-2</v>
      </c>
      <c r="CZ98" s="31">
        <f t="shared" si="1079"/>
        <v>0.19914346895074941</v>
      </c>
      <c r="DA98" s="30">
        <f t="shared" si="1079"/>
        <v>-0.10728238430235071</v>
      </c>
      <c r="DB98" s="30">
        <f t="shared" si="1079"/>
        <v>1.0172290436413434E-2</v>
      </c>
      <c r="DC98" s="30">
        <f t="shared" si="1079"/>
        <v>1.2084956811376335E-2</v>
      </c>
      <c r="DD98" s="30">
        <f t="shared" si="1079"/>
        <v>2.1071095909008575E-2</v>
      </c>
      <c r="DE98" s="30">
        <f t="shared" si="1079"/>
        <v>1.9939203195151078E-2</v>
      </c>
      <c r="DF98" s="30">
        <f>DF443/DE443-1</f>
        <v>2.9715050000980847E-2</v>
      </c>
      <c r="DG98" s="30">
        <f>DG443/DF443-1</f>
        <v>1.9002624781297994E-2</v>
      </c>
      <c r="DH98" s="30">
        <f>DH443/DG443-1</f>
        <v>2.2395604089667343E-2</v>
      </c>
      <c r="DI98" s="30">
        <f>DI443/DH443-1</f>
        <v>2.2390037361876391E-2</v>
      </c>
    </row>
    <row r="99" spans="1:113" ht="12" outlineLevel="1">
      <c r="A99" s="1" t="s">
        <v>568</v>
      </c>
      <c r="B99" s="15" t="s">
        <v>474</v>
      </c>
      <c r="C99" s="207">
        <f t="shared" ref="C99:L99" si="1080">-C443/SUM(C408,C381)</f>
        <v>0.4724672954061454</v>
      </c>
      <c r="D99" s="207">
        <f t="shared" si="1080"/>
        <v>0.46769413159454654</v>
      </c>
      <c r="E99" s="207">
        <f t="shared" si="1080"/>
        <v>0.47166133362756996</v>
      </c>
      <c r="F99" s="207">
        <f t="shared" si="1080"/>
        <v>0.47404012322488537</v>
      </c>
      <c r="G99" s="207">
        <f t="shared" si="1080"/>
        <v>0.46077730951903134</v>
      </c>
      <c r="H99" s="207">
        <f t="shared" si="1080"/>
        <v>0.47706461428315733</v>
      </c>
      <c r="I99" s="207">
        <f t="shared" si="1080"/>
        <v>0.48637552466957551</v>
      </c>
      <c r="J99" s="207">
        <f t="shared" si="1080"/>
        <v>0.47759266712149218</v>
      </c>
      <c r="K99" s="207">
        <f t="shared" si="1080"/>
        <v>0.47358881781062045</v>
      </c>
      <c r="L99" s="207">
        <f t="shared" si="1080"/>
        <v>0.4691004004293427</v>
      </c>
      <c r="M99" s="30">
        <f t="shared" ref="M99:Y99" si="1081">-M443/SUM(M408,M381)</f>
        <v>0.46436937013703872</v>
      </c>
      <c r="N99" s="30">
        <f t="shared" si="1081"/>
        <v>0.45544295900824772</v>
      </c>
      <c r="O99" s="30">
        <f t="shared" si="1081"/>
        <v>0.46309616387156444</v>
      </c>
      <c r="P99" s="30">
        <f t="shared" si="1081"/>
        <v>0.4460295350466203</v>
      </c>
      <c r="Q99" s="30">
        <f t="shared" si="1081"/>
        <v>0.47884547531212879</v>
      </c>
      <c r="R99" s="30">
        <f t="shared" si="1081"/>
        <v>0.52092161016949157</v>
      </c>
      <c r="S99" s="30">
        <f t="shared" si="1081"/>
        <v>0.3968351240801628</v>
      </c>
      <c r="T99" s="32">
        <f t="shared" si="1081"/>
        <v>0.42467718794835008</v>
      </c>
      <c r="U99" s="30">
        <f t="shared" si="1081"/>
        <v>0.45107052134994557</v>
      </c>
      <c r="V99" s="30">
        <f t="shared" si="1081"/>
        <v>0.47320169252468264</v>
      </c>
      <c r="W99" s="30">
        <f t="shared" si="1081"/>
        <v>0.47713978751342961</v>
      </c>
      <c r="X99" s="30">
        <f t="shared" si="1081"/>
        <v>0.47396788990825689</v>
      </c>
      <c r="Y99" s="32">
        <f t="shared" si="1081"/>
        <v>0.45059158632778262</v>
      </c>
      <c r="Z99" s="32">
        <f>-Z443/SUM(Z408,Z381)</f>
        <v>0.44478662560492743</v>
      </c>
      <c r="AA99" s="139">
        <f>-AA443/SUM(AA408,AA381)</f>
        <v>0.45305946876008174</v>
      </c>
      <c r="AB99" s="209">
        <f>-AB443/SUM(AB408,AB381)</f>
        <v>0.44331816301199833</v>
      </c>
      <c r="AC99" s="209">
        <f t="shared" ref="AC99:AD99" si="1082">-AC443/SUM(AC408,AC381)</f>
        <v>0.45146316851664986</v>
      </c>
      <c r="AD99" s="209">
        <f t="shared" si="1082"/>
        <v>0.45149583128984794</v>
      </c>
      <c r="AE99" s="209">
        <f t="shared" ref="AE99:AF99" si="1083">-AE443/SUM(AE408,AE381)</f>
        <v>0.46170953393927672</v>
      </c>
      <c r="AF99" s="209">
        <f t="shared" si="1083"/>
        <v>0.53152542372881351</v>
      </c>
      <c r="AG99" s="209">
        <f t="shared" ref="AG99:AH99" si="1084">-AG443/SUM(AG408,AG381)</f>
        <v>0.48213068458467234</v>
      </c>
      <c r="AH99" s="209">
        <f t="shared" si="1084"/>
        <v>0.44977947072975138</v>
      </c>
      <c r="AI99" s="209">
        <f t="shared" ref="AI99:AJ99" si="1085">-AI443/SUM(AI408,AI381)</f>
        <v>0.45528455284552843</v>
      </c>
      <c r="AJ99" s="209">
        <f t="shared" si="1085"/>
        <v>0.45319148936170212</v>
      </c>
      <c r="AK99" s="209">
        <f t="shared" ref="AK99:AL99" si="1086">-AK443/SUM(AK408,AK381)</f>
        <v>0.51890070548594291</v>
      </c>
      <c r="AL99" s="209">
        <f t="shared" si="1086"/>
        <v>0.44787605171352352</v>
      </c>
      <c r="AM99" s="209">
        <f t="shared" ref="AM99:AN99" si="1087">-AM443/SUM(AM408,AM381)</f>
        <v>0.50694818485403426</v>
      </c>
      <c r="AN99" s="209">
        <f t="shared" si="1087"/>
        <v>0.53677584800093248</v>
      </c>
      <c r="AO99" s="209">
        <f t="shared" ref="AO99" si="1088">-AO443/SUM(AO408,AO381)</f>
        <v>0.52087648533740327</v>
      </c>
      <c r="AP99" s="209">
        <f t="shared" ref="AP99:AQ99" si="1089">-AP443/SUM(AP408,AP381)</f>
        <v>0.53211444853377654</v>
      </c>
      <c r="AQ99" s="209">
        <f t="shared" si="1089"/>
        <v>0.50631648936170215</v>
      </c>
      <c r="AR99" s="209">
        <f t="shared" ref="AR99:AS99" si="1090">-AR443/SUM(AR408,AR381)</f>
        <v>0.53542691104157358</v>
      </c>
      <c r="AS99" s="209">
        <f t="shared" si="1090"/>
        <v>0.49880195853734766</v>
      </c>
      <c r="AT99" s="209">
        <f t="shared" ref="AT99:AU99" si="1091">-AT443/SUM(AT408,AT381)</f>
        <v>0.47409867172675524</v>
      </c>
      <c r="AU99" s="209">
        <f t="shared" si="1091"/>
        <v>0.49609261939218524</v>
      </c>
      <c r="AV99" s="209">
        <f t="shared" ref="AV99:AW99" si="1092">-AV443/SUM(AV408,AV381)</f>
        <v>0.50401082439354405</v>
      </c>
      <c r="AW99" s="209">
        <f t="shared" si="1092"/>
        <v>0.52819728541387878</v>
      </c>
      <c r="AX99" s="209">
        <f t="shared" ref="AX99:AY99" si="1093">-AX443/SUM(AX408,AX381)</f>
        <v>0.52223738062755798</v>
      </c>
      <c r="AY99" s="208">
        <f t="shared" si="1093"/>
        <v>0.65462215700660309</v>
      </c>
      <c r="AZ99" s="207">
        <f t="shared" ref="AZ99:BA99" si="1094">-AZ443/SUM(AZ408,AZ381)</f>
        <v>0.49437372072527541</v>
      </c>
      <c r="BA99" s="207">
        <f t="shared" si="1094"/>
        <v>0.50290309867871474</v>
      </c>
      <c r="BB99" s="207">
        <f t="shared" ref="BB99:BC99" si="1095">-BB443/SUM(BB408,BB381)</f>
        <v>0.47812818226175269</v>
      </c>
      <c r="BC99" s="207">
        <f t="shared" si="1095"/>
        <v>0.51339384679170552</v>
      </c>
      <c r="BD99" s="207">
        <f t="shared" ref="BD99:BE99" si="1096">-BD443/SUM(BD408,BD381)</f>
        <v>0.47045884508626812</v>
      </c>
      <c r="BE99" s="207">
        <f t="shared" si="1096"/>
        <v>0.5101390852692187</v>
      </c>
      <c r="BF99" s="207">
        <f t="shared" ref="BF99:BG99" si="1097">-BF443/SUM(BF408,BF381)</f>
        <v>0.47181828756736094</v>
      </c>
      <c r="BG99" s="207">
        <f t="shared" si="1097"/>
        <v>0.50572808826162308</v>
      </c>
      <c r="BH99" s="207">
        <f t="shared" ref="BH99:BI99" si="1098">-BH443/SUM(BH408,BH381)</f>
        <v>0.46990158529638798</v>
      </c>
      <c r="BI99" s="207">
        <f t="shared" si="1098"/>
        <v>0.50633305632783321</v>
      </c>
      <c r="BJ99" s="207">
        <f t="shared" ref="BJ99:BK99" si="1099">-BJ443/SUM(BJ408,BJ381)</f>
        <v>0.4794512742176037</v>
      </c>
      <c r="BK99" s="207">
        <f t="shared" si="1099"/>
        <v>0.49682719590307844</v>
      </c>
      <c r="BL99" s="207">
        <f t="shared" ref="BL99:BM99" si="1100">-BL443/SUM(BL408,BL381)</f>
        <v>0.47490640138969809</v>
      </c>
      <c r="BM99" s="207">
        <f t="shared" si="1100"/>
        <v>0.49571124071385742</v>
      </c>
      <c r="BN99" s="207">
        <f t="shared" ref="BN99:BO99" si="1101">-BN443/SUM(BN408,BN381)</f>
        <v>0.47392905595370927</v>
      </c>
      <c r="BO99" s="207">
        <f t="shared" si="1101"/>
        <v>0.49337335189994064</v>
      </c>
      <c r="BP99" s="207">
        <f t="shared" ref="BP99:BQ99" si="1102">-BP443/SUM(BP408,BP381)</f>
        <v>0.47105516253820739</v>
      </c>
      <c r="BQ99" s="207">
        <f t="shared" si="1102"/>
        <v>0.49040037222196392</v>
      </c>
      <c r="BR99" s="30"/>
      <c r="BS99" s="207">
        <f t="shared" ref="BS99:CB99" si="1103">-BS443/SUM(BS408,BS381)</f>
        <v>0.73221159133399316</v>
      </c>
      <c r="BT99" s="207">
        <f t="shared" si="1103"/>
        <v>0.70710728836577641</v>
      </c>
      <c r="BU99" s="207">
        <f t="shared" si="1103"/>
        <v>0.65424024416830173</v>
      </c>
      <c r="BV99" s="207">
        <f t="shared" si="1103"/>
        <v>0.64406779661016944</v>
      </c>
      <c r="BW99" s="207">
        <f t="shared" si="1103"/>
        <v>0.6575687185443283</v>
      </c>
      <c r="BX99" s="207">
        <f t="shared" si="1103"/>
        <v>0.63133225166756801</v>
      </c>
      <c r="BY99" s="207">
        <f t="shared" si="1103"/>
        <v>0.60502724556161014</v>
      </c>
      <c r="BZ99" s="207">
        <f t="shared" si="1103"/>
        <v>0.54708222811671092</v>
      </c>
      <c r="CA99" s="207">
        <f t="shared" si="1103"/>
        <v>0.51723057644110271</v>
      </c>
      <c r="CB99" s="207">
        <f t="shared" si="1103"/>
        <v>0.48001873243833904</v>
      </c>
      <c r="CC99" s="30">
        <f t="shared" ref="CC99:CR99" si="1104">-CC443/SUM(CC408,CC381)</f>
        <v>0.469723835757617</v>
      </c>
      <c r="CD99" s="30">
        <f t="shared" si="1104"/>
        <v>0.46727861535355519</v>
      </c>
      <c r="CE99" s="30">
        <f t="shared" si="1104"/>
        <v>0.48192527837535104</v>
      </c>
      <c r="CF99" s="30">
        <f t="shared" si="1104"/>
        <v>0.47554447806004141</v>
      </c>
      <c r="CG99" s="30">
        <f t="shared" si="1104"/>
        <v>0.46668189654588277</v>
      </c>
      <c r="CH99" s="30">
        <f t="shared" si="1104"/>
        <v>0.45935753410459013</v>
      </c>
      <c r="CI99" s="30">
        <f t="shared" si="1104"/>
        <v>0.46216760919753719</v>
      </c>
      <c r="CJ99" s="30">
        <f t="shared" si="1104"/>
        <v>0.44994360670786315</v>
      </c>
      <c r="CK99" s="30">
        <f t="shared" si="1104"/>
        <v>0.43837077946529435</v>
      </c>
      <c r="CL99" s="30">
        <f t="shared" si="1104"/>
        <v>0.47515546342907905</v>
      </c>
      <c r="CM99" s="32">
        <f t="shared" si="1104"/>
        <v>0.46201255042581801</v>
      </c>
      <c r="CN99" s="32">
        <f t="shared" si="1104"/>
        <v>0.44896960469795011</v>
      </c>
      <c r="CO99" s="32">
        <f t="shared" si="1104"/>
        <v>0.44744100520992952</v>
      </c>
      <c r="CP99" s="32">
        <f t="shared" si="1104"/>
        <v>0.45663923649997568</v>
      </c>
      <c r="CQ99" s="32">
        <f t="shared" si="1104"/>
        <v>0.50689521219772748</v>
      </c>
      <c r="CR99" s="32">
        <f t="shared" si="1104"/>
        <v>0.45251312071053695</v>
      </c>
      <c r="CS99" s="32">
        <f t="shared" ref="CS99:CX99" si="1105">-CS443/SUM(CS408,CS381)</f>
        <v>0.48541333195642072</v>
      </c>
      <c r="CT99" s="32">
        <f t="shared" si="1105"/>
        <v>0.47669346786483791</v>
      </c>
      <c r="CU99" s="32">
        <f t="shared" si="1105"/>
        <v>0.52856016223524105</v>
      </c>
      <c r="CV99" s="32">
        <f t="shared" si="1105"/>
        <v>0.51877113543875741</v>
      </c>
      <c r="CW99" s="32">
        <f t="shared" si="1105"/>
        <v>0.51647166657680488</v>
      </c>
      <c r="CX99" s="32">
        <f t="shared" si="1105"/>
        <v>0.48500358765845492</v>
      </c>
      <c r="CY99" s="32">
        <f t="shared" ref="CY99:DD99" si="1106">-CY443/SUM(CY408,CY381)</f>
        <v>0.51617088759671292</v>
      </c>
      <c r="CZ99" s="31">
        <f t="shared" si="1106"/>
        <v>0.58815471026074251</v>
      </c>
      <c r="DA99" s="30">
        <f t="shared" si="1106"/>
        <v>0.49867149484944939</v>
      </c>
      <c r="DB99" s="30">
        <f t="shared" si="1106"/>
        <v>0.49581431445968566</v>
      </c>
      <c r="DC99" s="30">
        <f t="shared" si="1106"/>
        <v>0.49035032703057418</v>
      </c>
      <c r="DD99" s="30">
        <f t="shared" si="1106"/>
        <v>0.48885245676755962</v>
      </c>
      <c r="DE99" s="30">
        <f t="shared" ref="DE99" si="1107">-DE443/SUM(DE408,DE381)</f>
        <v>0.48820681579451064</v>
      </c>
      <c r="DF99" s="30">
        <f t="shared" ref="DF99:DG99" si="1108">-DF443/SUM(DF408,DF381)</f>
        <v>0.48821972020636345</v>
      </c>
      <c r="DG99" s="30">
        <f t="shared" si="1108"/>
        <v>0.48537106800143415</v>
      </c>
      <c r="DH99" s="30">
        <f t="shared" ref="DH99" si="1109">-DH443/SUM(DH408,DH381)</f>
        <v>0.48374346495700321</v>
      </c>
      <c r="DI99" s="30">
        <f t="shared" ref="DI99" si="1110">-DI443/SUM(DI408,DI381)</f>
        <v>0.48082529849069544</v>
      </c>
    </row>
    <row r="100" spans="1:113" ht="12" outlineLevel="1">
      <c r="AA100" s="32"/>
      <c r="AC100" s="15"/>
      <c r="AD100" s="361"/>
      <c r="AE100" s="361"/>
      <c r="AF100" s="361"/>
      <c r="AG100" s="361"/>
      <c r="AH100" s="361"/>
      <c r="AI100" s="361"/>
      <c r="AJ100" s="361"/>
      <c r="AK100" s="361"/>
      <c r="AL100" s="361"/>
      <c r="AM100" s="361"/>
      <c r="AN100" s="361"/>
      <c r="AO100" s="361"/>
      <c r="AP100" s="361"/>
      <c r="AQ100" s="361"/>
      <c r="AR100" s="361"/>
      <c r="AS100" s="361"/>
      <c r="AT100" s="361"/>
      <c r="AU100" s="361"/>
      <c r="AV100" s="361"/>
      <c r="AW100" s="361"/>
      <c r="AX100" s="361"/>
      <c r="AY100" s="406"/>
      <c r="AZ100" s="41"/>
      <c r="BA100" s="361"/>
      <c r="BB100" s="361"/>
      <c r="BC100" s="361"/>
      <c r="BD100" s="361"/>
      <c r="BE100" s="361"/>
      <c r="BF100" s="361"/>
      <c r="BG100" s="361"/>
      <c r="BH100" s="361"/>
      <c r="BI100" s="361"/>
      <c r="BJ100" s="361"/>
      <c r="BK100" s="361"/>
      <c r="BL100" s="361"/>
      <c r="BM100" s="361"/>
      <c r="BN100" s="361"/>
      <c r="BO100" s="361"/>
      <c r="BP100" s="361"/>
      <c r="BQ100" s="361"/>
      <c r="CZ100" s="200"/>
      <c r="DB100" s="15"/>
      <c r="DC100" s="15"/>
      <c r="DD100" s="15"/>
      <c r="DE100" s="15"/>
      <c r="DF100" s="15"/>
      <c r="DG100" s="15"/>
      <c r="DH100" s="15"/>
      <c r="DI100" s="15"/>
    </row>
    <row r="101" spans="1:113" ht="12" outlineLevel="1">
      <c r="A101" s="1" t="s">
        <v>988</v>
      </c>
      <c r="B101" s="15" t="s">
        <v>569</v>
      </c>
      <c r="C101" s="41">
        <f>C106-SUM(C102:C105)</f>
        <v>213</v>
      </c>
      <c r="D101" s="41">
        <f t="shared" ref="D101:L101" si="1111">C106</f>
        <v>303</v>
      </c>
      <c r="E101" s="41">
        <f t="shared" si="1111"/>
        <v>381</v>
      </c>
      <c r="F101" s="41">
        <f t="shared" si="1111"/>
        <v>419</v>
      </c>
      <c r="G101" s="41">
        <f t="shared" si="1111"/>
        <v>451</v>
      </c>
      <c r="H101" s="41">
        <f t="shared" si="1111"/>
        <v>465</v>
      </c>
      <c r="I101" s="41">
        <f t="shared" si="1111"/>
        <v>447</v>
      </c>
      <c r="J101" s="41">
        <f t="shared" si="1111"/>
        <v>430</v>
      </c>
      <c r="K101" s="41">
        <f t="shared" si="1111"/>
        <v>401</v>
      </c>
      <c r="L101" s="41">
        <f t="shared" si="1111"/>
        <v>386</v>
      </c>
      <c r="M101" s="41">
        <f t="shared" ref="M101:Q101" si="1112">L106</f>
        <v>390</v>
      </c>
      <c r="N101" s="41">
        <f t="shared" si="1112"/>
        <v>397</v>
      </c>
      <c r="O101" s="41">
        <f t="shared" si="1112"/>
        <v>425</v>
      </c>
      <c r="P101" s="41">
        <f t="shared" si="1112"/>
        <v>462</v>
      </c>
      <c r="Q101" s="41">
        <f t="shared" si="1112"/>
        <v>509</v>
      </c>
      <c r="R101" s="41">
        <f t="shared" ref="R101:Y101" si="1113">Q106</f>
        <v>625</v>
      </c>
      <c r="S101" s="41">
        <f t="shared" si="1113"/>
        <v>723</v>
      </c>
      <c r="T101" s="41">
        <f t="shared" si="1113"/>
        <v>849</v>
      </c>
      <c r="U101" s="41">
        <f t="shared" si="1113"/>
        <v>1034</v>
      </c>
      <c r="V101" s="41">
        <f t="shared" si="1113"/>
        <v>1217</v>
      </c>
      <c r="W101" s="41">
        <f t="shared" si="1113"/>
        <v>1349</v>
      </c>
      <c r="X101" s="41">
        <f t="shared" si="1113"/>
        <v>1572</v>
      </c>
      <c r="Y101" s="41">
        <f t="shared" si="1113"/>
        <v>1743</v>
      </c>
      <c r="Z101" s="41">
        <f>Y106</f>
        <v>1762</v>
      </c>
      <c r="AA101" s="41">
        <f t="shared" ref="AA101:AY101" si="1114">Z106</f>
        <v>1857</v>
      </c>
      <c r="AB101" s="41">
        <f t="shared" si="1114"/>
        <v>2170</v>
      </c>
      <c r="AC101" s="41">
        <f t="shared" si="1114"/>
        <v>2332</v>
      </c>
      <c r="AD101" s="41">
        <f t="shared" si="1114"/>
        <v>2533</v>
      </c>
      <c r="AE101" s="41">
        <f t="shared" si="1114"/>
        <v>2689</v>
      </c>
      <c r="AF101" s="41">
        <f t="shared" si="1114"/>
        <v>2893</v>
      </c>
      <c r="AG101" s="41">
        <f t="shared" si="1114"/>
        <v>2249</v>
      </c>
      <c r="AH101" s="41">
        <f t="shared" si="1114"/>
        <v>2202</v>
      </c>
      <c r="AI101" s="41">
        <f t="shared" si="1114"/>
        <v>1917</v>
      </c>
      <c r="AJ101" s="41">
        <f t="shared" si="1114"/>
        <v>1856</v>
      </c>
      <c r="AK101" s="41">
        <f t="shared" si="1114"/>
        <v>1775</v>
      </c>
      <c r="AL101" s="41">
        <f t="shared" si="1114"/>
        <v>1421</v>
      </c>
      <c r="AM101" s="41">
        <f t="shared" si="1114"/>
        <v>1368</v>
      </c>
      <c r="AN101" s="41">
        <f t="shared" si="1114"/>
        <v>1323</v>
      </c>
      <c r="AO101" s="41">
        <f t="shared" si="1114"/>
        <v>1263</v>
      </c>
      <c r="AP101" s="41">
        <f t="shared" si="1114"/>
        <v>1039</v>
      </c>
      <c r="AQ101" s="41">
        <f t="shared" si="1114"/>
        <v>961</v>
      </c>
      <c r="AR101" s="41">
        <f t="shared" si="1114"/>
        <v>960</v>
      </c>
      <c r="AS101" s="41">
        <f t="shared" si="1114"/>
        <v>924</v>
      </c>
      <c r="AT101" s="41">
        <f t="shared" si="1114"/>
        <v>896</v>
      </c>
      <c r="AU101" s="41">
        <f t="shared" si="1114"/>
        <v>877</v>
      </c>
      <c r="AV101" s="41">
        <f t="shared" si="1114"/>
        <v>919</v>
      </c>
      <c r="AW101" s="41">
        <f t="shared" si="1114"/>
        <v>905</v>
      </c>
      <c r="AX101" s="41">
        <f t="shared" si="1114"/>
        <v>1020</v>
      </c>
      <c r="AY101" s="211">
        <f t="shared" si="1114"/>
        <v>1001</v>
      </c>
      <c r="AZ101" s="41">
        <f t="shared" ref="AZ101" si="1115">AY106</f>
        <v>998</v>
      </c>
      <c r="BA101" s="41">
        <f t="shared" ref="BA101" si="1116">AZ106</f>
        <v>948.94920497526357</v>
      </c>
      <c r="BB101" s="41">
        <f t="shared" ref="BB101" si="1117">BA106</f>
        <v>919.7186998826204</v>
      </c>
      <c r="BC101" s="41">
        <f t="shared" ref="BC101" si="1118">BB106</f>
        <v>895.25165905738004</v>
      </c>
      <c r="BD101" s="41">
        <f t="shared" ref="BD101" si="1119">BC106</f>
        <v>884.9264679010497</v>
      </c>
      <c r="BE101" s="41">
        <f t="shared" ref="BE101" si="1120">BD106</f>
        <v>874.74489048412897</v>
      </c>
      <c r="BF101" s="41">
        <f t="shared" ref="BF101" si="1121">BE106</f>
        <v>875.51334091692331</v>
      </c>
      <c r="BG101" s="41">
        <f t="shared" ref="BG101:BK101" si="1122">BF106</f>
        <v>873.68424021955207</v>
      </c>
      <c r="BH101" s="41">
        <f t="shared" si="1122"/>
        <v>881.04919298847039</v>
      </c>
      <c r="BI101" s="41">
        <f t="shared" si="1122"/>
        <v>884.15604954548917</v>
      </c>
      <c r="BJ101" s="41">
        <f t="shared" si="1122"/>
        <v>895.53119266494423</v>
      </c>
      <c r="BK101" s="41">
        <f t="shared" si="1122"/>
        <v>901.8457582645575</v>
      </c>
      <c r="BL101" s="41">
        <f t="shared" ref="BL101" si="1123">BK106</f>
        <v>918.65851649843398</v>
      </c>
      <c r="BM101" s="41">
        <f t="shared" ref="BM101" si="1124">BL106</f>
        <v>922.41596473663571</v>
      </c>
      <c r="BN101" s="41">
        <f t="shared" ref="BN101" si="1125">BM106</f>
        <v>939.27974670341928</v>
      </c>
      <c r="BO101" s="41">
        <f t="shared" ref="BO101" si="1126">BN106</f>
        <v>943.05450281406343</v>
      </c>
      <c r="BP101" s="41">
        <f t="shared" ref="BP101" si="1127">BO106</f>
        <v>959.25758344508995</v>
      </c>
      <c r="BQ101" s="41">
        <f t="shared" ref="BQ101" si="1128">BP106</f>
        <v>963.7813534856399</v>
      </c>
      <c r="BS101" s="41"/>
      <c r="BT101" s="41"/>
      <c r="BU101" s="41"/>
      <c r="BV101" s="41"/>
      <c r="BW101" s="41"/>
      <c r="BX101" s="41"/>
      <c r="BY101" s="41"/>
      <c r="BZ101" s="41"/>
      <c r="CA101" s="41"/>
      <c r="CB101" s="41">
        <f>CA106</f>
        <v>150</v>
      </c>
      <c r="CC101" s="41">
        <f>E101</f>
        <v>381</v>
      </c>
      <c r="CD101" s="41">
        <f>G101</f>
        <v>451</v>
      </c>
      <c r="CE101" s="41">
        <f>I101</f>
        <v>447</v>
      </c>
      <c r="CF101" s="41">
        <f>K101</f>
        <v>401</v>
      </c>
      <c r="CG101" s="41">
        <f>M101</f>
        <v>390</v>
      </c>
      <c r="CH101" s="41">
        <f>O101</f>
        <v>425</v>
      </c>
      <c r="CI101" s="47">
        <f>P101</f>
        <v>462</v>
      </c>
      <c r="CJ101" s="41">
        <f>CI106</f>
        <v>625</v>
      </c>
      <c r="CK101" s="41">
        <f t="shared" ref="CK101:CS101" si="1129">CJ106</f>
        <v>849</v>
      </c>
      <c r="CL101" s="41">
        <f t="shared" si="1129"/>
        <v>1217</v>
      </c>
      <c r="CM101" s="41">
        <f t="shared" si="1129"/>
        <v>1572</v>
      </c>
      <c r="CN101" s="41">
        <f t="shared" si="1129"/>
        <v>1762</v>
      </c>
      <c r="CO101" s="41">
        <f t="shared" si="1129"/>
        <v>2170</v>
      </c>
      <c r="CP101" s="41">
        <f t="shared" si="1129"/>
        <v>2533</v>
      </c>
      <c r="CQ101" s="41">
        <f t="shared" si="1129"/>
        <v>2893</v>
      </c>
      <c r="CR101" s="41">
        <f t="shared" si="1129"/>
        <v>2202</v>
      </c>
      <c r="CS101" s="41">
        <f t="shared" si="1129"/>
        <v>1856</v>
      </c>
      <c r="CT101" s="41">
        <f t="shared" ref="CT101" si="1130">CS106</f>
        <v>1421</v>
      </c>
      <c r="CU101" s="41">
        <f t="shared" ref="CU101" si="1131">CT106</f>
        <v>1323</v>
      </c>
      <c r="CV101" s="41">
        <f t="shared" ref="CV101" si="1132">CU106</f>
        <v>1039</v>
      </c>
      <c r="CW101" s="41">
        <f t="shared" ref="CW101" si="1133">CV106</f>
        <v>960</v>
      </c>
      <c r="CX101" s="41">
        <f t="shared" ref="CX101:DI101" si="1134">CW106</f>
        <v>896</v>
      </c>
      <c r="CY101" s="41">
        <f t="shared" si="1134"/>
        <v>919</v>
      </c>
      <c r="CZ101" s="211">
        <f t="shared" si="1134"/>
        <v>1020</v>
      </c>
      <c r="DA101" s="41">
        <f t="shared" si="1134"/>
        <v>998</v>
      </c>
      <c r="DB101" s="41">
        <f t="shared" si="1134"/>
        <v>919.7186998826204</v>
      </c>
      <c r="DC101" s="41">
        <f t="shared" si="1134"/>
        <v>884.9264679010497</v>
      </c>
      <c r="DD101" s="41">
        <f t="shared" si="1134"/>
        <v>875.51334091692331</v>
      </c>
      <c r="DE101" s="41">
        <f t="shared" si="1134"/>
        <v>881.04919298847039</v>
      </c>
      <c r="DF101" s="41">
        <f t="shared" si="1134"/>
        <v>895.53119266494423</v>
      </c>
      <c r="DG101" s="41">
        <f t="shared" si="1134"/>
        <v>918.65851649843398</v>
      </c>
      <c r="DH101" s="41">
        <f t="shared" si="1134"/>
        <v>939.27974670341928</v>
      </c>
      <c r="DI101" s="41">
        <f t="shared" si="1134"/>
        <v>959.25758344508995</v>
      </c>
    </row>
    <row r="102" spans="1:113" ht="12" outlineLevel="1">
      <c r="A102" s="1" t="s">
        <v>777</v>
      </c>
      <c r="B102" s="15" t="s">
        <v>696</v>
      </c>
      <c r="C102" s="40">
        <v>110</v>
      </c>
      <c r="D102" s="40">
        <v>107</v>
      </c>
      <c r="E102" s="40">
        <v>74</v>
      </c>
      <c r="F102" s="40">
        <v>62</v>
      </c>
      <c r="G102" s="40">
        <v>54</v>
      </c>
      <c r="H102" s="40">
        <v>59</v>
      </c>
      <c r="I102" s="40">
        <v>55</v>
      </c>
      <c r="J102" s="40">
        <v>45</v>
      </c>
      <c r="K102" s="40">
        <v>51</v>
      </c>
      <c r="L102" s="40">
        <v>62</v>
      </c>
      <c r="M102" s="40">
        <v>75</v>
      </c>
      <c r="N102" s="40">
        <v>90</v>
      </c>
      <c r="O102" s="40">
        <v>113</v>
      </c>
      <c r="P102" s="40">
        <v>111</v>
      </c>
      <c r="Q102" s="40">
        <v>175</v>
      </c>
      <c r="R102" s="40">
        <v>188</v>
      </c>
      <c r="S102" s="40">
        <v>223</v>
      </c>
      <c r="T102" s="40">
        <v>282</v>
      </c>
      <c r="U102" s="40">
        <v>310</v>
      </c>
      <c r="V102" s="40">
        <v>277</v>
      </c>
      <c r="W102" s="40">
        <v>368</v>
      </c>
      <c r="X102" s="40">
        <v>324</v>
      </c>
      <c r="Y102" s="40">
        <v>462</v>
      </c>
      <c r="Z102" s="141">
        <v>284</v>
      </c>
      <c r="AA102" s="141">
        <v>496</v>
      </c>
      <c r="AB102" s="141">
        <v>362</v>
      </c>
      <c r="AC102" s="141">
        <v>415</v>
      </c>
      <c r="AD102" s="141">
        <v>350</v>
      </c>
      <c r="AE102" s="141">
        <v>457</v>
      </c>
      <c r="AF102" s="141">
        <v>209</v>
      </c>
      <c r="AG102" s="141">
        <v>222</v>
      </c>
      <c r="AH102" s="141">
        <v>172</v>
      </c>
      <c r="AI102" s="141">
        <v>232</v>
      </c>
      <c r="AJ102" s="141">
        <v>198</v>
      </c>
      <c r="AK102" s="141">
        <v>195</v>
      </c>
      <c r="AL102" s="141">
        <v>199</v>
      </c>
      <c r="AM102" s="141">
        <v>222</v>
      </c>
      <c r="AN102" s="141">
        <v>181</v>
      </c>
      <c r="AO102" s="141">
        <v>194</v>
      </c>
      <c r="AP102" s="141">
        <v>156</v>
      </c>
      <c r="AQ102" s="141">
        <v>200</v>
      </c>
      <c r="AR102" s="141">
        <v>155</v>
      </c>
      <c r="AS102" s="141">
        <v>160</v>
      </c>
      <c r="AT102" s="141">
        <v>143</v>
      </c>
      <c r="AU102" s="141">
        <v>199</v>
      </c>
      <c r="AV102" s="141">
        <v>146</v>
      </c>
      <c r="AW102" s="141">
        <v>288</v>
      </c>
      <c r="AX102" s="141">
        <v>159</v>
      </c>
      <c r="AY102" s="226">
        <v>238</v>
      </c>
      <c r="AZ102" s="555">
        <f>[3]ANZ!K$232</f>
        <v>191.22692725298583</v>
      </c>
      <c r="BA102" s="555">
        <f>[3]ANZ!L$232</f>
        <v>199.23778501628658</v>
      </c>
      <c r="BB102" s="555">
        <f>[3]ANZ!M$232</f>
        <v>196.96373507057544</v>
      </c>
      <c r="BC102" s="555">
        <f>[3]ANZ!N$232</f>
        <v>205.2149185667752</v>
      </c>
      <c r="BD102" s="555">
        <f>[3]ANZ!O$232</f>
        <v>202.87264712269268</v>
      </c>
      <c r="BE102" s="555">
        <f>[3]ANZ!P$232</f>
        <v>211.37136612377844</v>
      </c>
      <c r="BF102" s="555">
        <f>[3]ANZ!Q$232</f>
        <v>208.95882653637349</v>
      </c>
      <c r="BG102" s="555">
        <f>[3]ANZ!R$232</f>
        <v>217.71250710749183</v>
      </c>
      <c r="BH102" s="555">
        <f>[3]ANZ!S$232</f>
        <v>215.22759133246475</v>
      </c>
      <c r="BI102" s="555">
        <f>[3]ANZ!T$232</f>
        <v>224.24388232071664</v>
      </c>
      <c r="BJ102" s="41">
        <f t="shared" ref="BJ102:BK102" si="1135">-BJ96*SUM(BI432:BI435,BI440,BI442)</f>
        <v>220.12439503877027</v>
      </c>
      <c r="BK102" s="41">
        <f t="shared" si="1135"/>
        <v>234.56363068379147</v>
      </c>
      <c r="BL102" s="41">
        <f t="shared" ref="BL102" si="1136">-BL96*SUM(BK432:BK435,BK440,BK442)</f>
        <v>223.36705694754698</v>
      </c>
      <c r="BM102" s="41">
        <f t="shared" ref="BM102" si="1137">-BM96*SUM(BL432:BL435,BL440,BL442)</f>
        <v>238.93316095841772</v>
      </c>
      <c r="BN102" s="41">
        <f t="shared" ref="BN102" si="1138">-BN96*SUM(BM432:BM435,BM440,BM442)</f>
        <v>227.69081591584322</v>
      </c>
      <c r="BO102" s="41">
        <f t="shared" ref="BO102" si="1139">-BO96*SUM(BN432:BN435,BN440,BN442)</f>
        <v>243.73900141807141</v>
      </c>
      <c r="BP102" s="41">
        <f t="shared" ref="BP102" si="1140">-BP96*SUM(BO432:BO435,BO440,BO442)</f>
        <v>233.2819205761881</v>
      </c>
      <c r="BQ102" s="41">
        <f t="shared" ref="BQ102" si="1141">-BQ96*SUM(BP432:BP435,BP440,BP442)</f>
        <v>249.03912934398835</v>
      </c>
      <c r="BS102" s="40"/>
      <c r="BT102" s="40"/>
      <c r="BU102" s="40"/>
      <c r="BV102" s="40"/>
      <c r="BW102" s="40"/>
      <c r="BX102" s="40"/>
      <c r="BY102" s="40"/>
      <c r="BZ102" s="40"/>
      <c r="CA102" s="40"/>
      <c r="CB102" s="40">
        <v>185</v>
      </c>
      <c r="CC102" s="41">
        <f>SUM(D102:E102)</f>
        <v>181</v>
      </c>
      <c r="CD102" s="41">
        <f>SUM(F102:G102)</f>
        <v>116</v>
      </c>
      <c r="CE102" s="41">
        <f>SUM(H102:I102)</f>
        <v>114</v>
      </c>
      <c r="CF102" s="41">
        <f>SUM(J102:K102)</f>
        <v>96</v>
      </c>
      <c r="CG102" s="41">
        <f>SUM(L102:M102)</f>
        <v>137</v>
      </c>
      <c r="CH102" s="41">
        <f>SUM(N102:O102)</f>
        <v>203</v>
      </c>
      <c r="CI102" s="41">
        <f>SUM(P102:Q102)</f>
        <v>286</v>
      </c>
      <c r="CJ102" s="41">
        <f>SUM(R102:S102)</f>
        <v>411</v>
      </c>
      <c r="CK102" s="41">
        <f>SUM(T102:U102)</f>
        <v>592</v>
      </c>
      <c r="CL102" s="41">
        <f>SUM(V102:W102)</f>
        <v>645</v>
      </c>
      <c r="CM102" s="41">
        <f>SUM(X102:Y102)</f>
        <v>786</v>
      </c>
      <c r="CN102" s="41">
        <f>SUM(Z102:AA102)</f>
        <v>780</v>
      </c>
      <c r="CO102" s="41">
        <f>SUM(AB102:AC102)</f>
        <v>777</v>
      </c>
      <c r="CP102" s="41">
        <f>SUM(AD102:AE102)</f>
        <v>807</v>
      </c>
      <c r="CQ102" s="41">
        <f>SUM(AF102:AG102)</f>
        <v>431</v>
      </c>
      <c r="CR102" s="41">
        <f>SUM(AH102:AI102)</f>
        <v>404</v>
      </c>
      <c r="CS102" s="41">
        <f>SUM(AJ102:AK102)</f>
        <v>393</v>
      </c>
      <c r="CT102" s="41">
        <f>SUM(AL102:AM102)</f>
        <v>421</v>
      </c>
      <c r="CU102" s="41">
        <f>SUM(AN102:AO102)</f>
        <v>375</v>
      </c>
      <c r="CV102" s="41">
        <f>SUM(AP102:AQ102)</f>
        <v>356</v>
      </c>
      <c r="CW102" s="41">
        <f>SUM(AR102:AS102)</f>
        <v>315</v>
      </c>
      <c r="CX102" s="41">
        <f>SUM(AT102:AU102)</f>
        <v>342</v>
      </c>
      <c r="CY102" s="41">
        <f>SUM(AV102:AW102)</f>
        <v>434</v>
      </c>
      <c r="CZ102" s="211">
        <f>SUM(AX102:AY102)</f>
        <v>397</v>
      </c>
      <c r="DA102" s="41">
        <f>SUM(AZ102:BA102)</f>
        <v>390.46471226927241</v>
      </c>
      <c r="DB102" s="41">
        <f>SUM(BB102:BC102)</f>
        <v>402.17865363735064</v>
      </c>
      <c r="DC102" s="41">
        <f>SUM(BD102:BE102)</f>
        <v>414.24401324647113</v>
      </c>
      <c r="DD102" s="41">
        <f>SUM(BF102:BG102)</f>
        <v>426.6713336438653</v>
      </c>
      <c r="DE102" s="41">
        <f>SUM(BH102:BI102)</f>
        <v>439.47147365318142</v>
      </c>
      <c r="DF102" s="41">
        <f>SUM(BJ102:BK102)</f>
        <v>454.68802572256175</v>
      </c>
      <c r="DG102" s="41">
        <f>SUM(BL102:BM102)</f>
        <v>462.3002179059647</v>
      </c>
      <c r="DH102" s="41">
        <f>SUM(BN102:BO102)</f>
        <v>471.42981733391463</v>
      </c>
      <c r="DI102" s="41">
        <f>SUM(BP102:BQ102)</f>
        <v>482.32104992017645</v>
      </c>
    </row>
    <row r="103" spans="1:113" ht="12" outlineLevel="1">
      <c r="A103" s="1" t="s">
        <v>778</v>
      </c>
      <c r="B103" s="15" t="s">
        <v>697</v>
      </c>
      <c r="C103" s="225">
        <v>-13</v>
      </c>
      <c r="D103" s="225">
        <f>-50-E103</f>
        <v>-24</v>
      </c>
      <c r="E103" s="225">
        <v>-26</v>
      </c>
      <c r="F103" s="40">
        <v>-37</v>
      </c>
      <c r="G103" s="40">
        <v>-46</v>
      </c>
      <c r="H103" s="40">
        <v>-63</v>
      </c>
      <c r="I103" s="40">
        <v>-66</v>
      </c>
      <c r="J103" s="40">
        <v>-57</v>
      </c>
      <c r="K103" s="40">
        <v>-64</v>
      </c>
      <c r="L103" s="40">
        <v>-57</v>
      </c>
      <c r="M103" s="40">
        <v>-57</v>
      </c>
      <c r="N103" s="40">
        <v>-58</v>
      </c>
      <c r="O103" s="40">
        <v>-64</v>
      </c>
      <c r="P103" s="40">
        <v>-62</v>
      </c>
      <c r="Q103" s="40">
        <v>-59</v>
      </c>
      <c r="R103" s="40">
        <v>-83</v>
      </c>
      <c r="S103" s="40">
        <v>-77</v>
      </c>
      <c r="T103" s="40">
        <v>-86</v>
      </c>
      <c r="U103" s="40">
        <v>-121</v>
      </c>
      <c r="V103" s="40">
        <v>-122</v>
      </c>
      <c r="W103" s="40">
        <v>-127</v>
      </c>
      <c r="X103" s="40">
        <v>-150</v>
      </c>
      <c r="Y103" s="40">
        <v>-170</v>
      </c>
      <c r="Z103" s="141">
        <v>-181</v>
      </c>
      <c r="AA103" s="141">
        <v>-202</v>
      </c>
      <c r="AB103" s="141">
        <v>-205</v>
      </c>
      <c r="AC103" s="141">
        <v>-221</v>
      </c>
      <c r="AD103" s="141">
        <v>-267</v>
      </c>
      <c r="AE103" s="141">
        <v>-275</v>
      </c>
      <c r="AF103" s="141">
        <v>-245</v>
      </c>
      <c r="AG103" s="141">
        <v>-255</v>
      </c>
      <c r="AH103" s="141">
        <v>-294</v>
      </c>
      <c r="AI103" s="141">
        <v>-271</v>
      </c>
      <c r="AJ103" s="141">
        <v>-281</v>
      </c>
      <c r="AK103" s="141">
        <v>-288</v>
      </c>
      <c r="AL103" s="141">
        <v>-252</v>
      </c>
      <c r="AM103" s="141">
        <v>-265</v>
      </c>
      <c r="AN103" s="141">
        <v>-241</v>
      </c>
      <c r="AO103" s="141">
        <v>-219</v>
      </c>
      <c r="AP103" s="141">
        <v>-233</v>
      </c>
      <c r="AQ103" s="141">
        <v>-201</v>
      </c>
      <c r="AR103" s="141">
        <v>-189</v>
      </c>
      <c r="AS103" s="141">
        <v>-186</v>
      </c>
      <c r="AT103" s="141">
        <v>-163</v>
      </c>
      <c r="AU103" s="141">
        <v>-157</v>
      </c>
      <c r="AV103" s="141">
        <v>-151</v>
      </c>
      <c r="AW103" s="141">
        <v>-173</v>
      </c>
      <c r="AX103" s="141">
        <v>-148</v>
      </c>
      <c r="AY103" s="226">
        <v>-200</v>
      </c>
      <c r="AZ103" s="555">
        <f>[3]ANZ!K$233</f>
        <v>-240.27772227772229</v>
      </c>
      <c r="BA103" s="555">
        <f>[3]ANZ!L$233</f>
        <v>-228.46829010892961</v>
      </c>
      <c r="BB103" s="555">
        <f>[3]ANZ!M$233</f>
        <v>-221.43077589581571</v>
      </c>
      <c r="BC103" s="555">
        <f>[3]ANZ!N$233</f>
        <v>-215.5401097231055</v>
      </c>
      <c r="BD103" s="555">
        <f>[3]ANZ!O$233</f>
        <v>-213.05422453961336</v>
      </c>
      <c r="BE103" s="555">
        <f>[3]ANZ!P$233</f>
        <v>-210.6029156909841</v>
      </c>
      <c r="BF103" s="555">
        <f>[3]ANZ!Q$233</f>
        <v>-210.78792723374477</v>
      </c>
      <c r="BG103" s="555">
        <f>[3]ANZ!R$233</f>
        <v>-210.34755433857347</v>
      </c>
      <c r="BH103" s="555">
        <f>[3]ANZ!S$233</f>
        <v>-212.12073477544592</v>
      </c>
      <c r="BI103" s="555">
        <f>[3]ANZ!T$233</f>
        <v>-212.86873920126163</v>
      </c>
      <c r="BJ103" s="41">
        <f t="shared" ref="BJ103:BK103" si="1142">AVERAGE((BJ101*(2+1/-BJ97/BJ$5)+2*(BJ102+BJ104+BJ105))/(2-(1/-BJ97/BJ$5)),BJ101)*(1/-BJ97/BJ$5)</f>
        <v>-213.80982943915694</v>
      </c>
      <c r="BK103" s="41">
        <f t="shared" si="1142"/>
        <v>-217.75087244991508</v>
      </c>
      <c r="BL103" s="41">
        <f t="shared" ref="BL103:BM103" si="1143">AVERAGE((BL101*(2+1/-BL97/BL$5)+2*(BL102+BL104+BL105))/(2-(1/-BL97/BL$5)),BL101)*(1/-BL97/BL$5)</f>
        <v>-219.60960870934531</v>
      </c>
      <c r="BM103" s="41">
        <f t="shared" si="1143"/>
        <v>-222.06937899163404</v>
      </c>
      <c r="BN103" s="41">
        <f t="shared" ref="BN103:BO103" si="1144">AVERAGE((BN101*(2+1/-BN97/BN$5)+2*(BN102+BN104+BN105))/(2-(1/-BN97/BN$5)),BN101)*(1/-BN97/BN$5)</f>
        <v>-223.91605980519896</v>
      </c>
      <c r="BO103" s="41">
        <f t="shared" si="1144"/>
        <v>-227.53592078704494</v>
      </c>
      <c r="BP103" s="41">
        <f t="shared" ref="BP103:BQ103" si="1145">AVERAGE((BP101*(2+1/-BP97/BP$5)+2*(BP102+BP104+BP105))/(2-(1/-BP97/BP$5)),BP101)*(1/-BP97/BP$5)</f>
        <v>-228.75815053563804</v>
      </c>
      <c r="BQ103" s="41">
        <f t="shared" si="1145"/>
        <v>-232.53072584255301</v>
      </c>
      <c r="BS103" s="40"/>
      <c r="BT103" s="40"/>
      <c r="BU103" s="40"/>
      <c r="BV103" s="40"/>
      <c r="BW103" s="40"/>
      <c r="BX103" s="40"/>
      <c r="BY103" s="40"/>
      <c r="BZ103" s="40"/>
      <c r="CA103" s="40"/>
      <c r="CB103" s="40">
        <v>-22</v>
      </c>
      <c r="CC103" s="41">
        <f>SUM(D103:E103)</f>
        <v>-50</v>
      </c>
      <c r="CD103" s="41">
        <f>SUM(F103:G103)</f>
        <v>-83</v>
      </c>
      <c r="CE103" s="41">
        <f>SUM(H103:I103)</f>
        <v>-129</v>
      </c>
      <c r="CF103" s="41">
        <f>SUM(J103:K103)</f>
        <v>-121</v>
      </c>
      <c r="CG103" s="41">
        <f>SUM(L103:M103)</f>
        <v>-114</v>
      </c>
      <c r="CH103" s="41">
        <f>SUM(N103:O103)</f>
        <v>-122</v>
      </c>
      <c r="CI103" s="41">
        <f>SUM(P103:Q103)</f>
        <v>-121</v>
      </c>
      <c r="CJ103" s="41">
        <f>SUM(R103:S103)</f>
        <v>-160</v>
      </c>
      <c r="CK103" s="41">
        <f>SUM(T103:U103)</f>
        <v>-207</v>
      </c>
      <c r="CL103" s="41">
        <f>SUM(V103:W103)</f>
        <v>-249</v>
      </c>
      <c r="CM103" s="41">
        <f>SUM(X103:Y103)</f>
        <v>-320</v>
      </c>
      <c r="CN103" s="41">
        <f>SUM(Z103:AA103)</f>
        <v>-383</v>
      </c>
      <c r="CO103" s="41">
        <f>SUM(AB103:AC103)</f>
        <v>-426</v>
      </c>
      <c r="CP103" s="41">
        <f>SUM(AD103:AE103)</f>
        <v>-542</v>
      </c>
      <c r="CQ103" s="41">
        <f>SUM(AF103:AG103)</f>
        <v>-500</v>
      </c>
      <c r="CR103" s="41">
        <f>SUM(AH103:AI103)</f>
        <v>-565</v>
      </c>
      <c r="CS103" s="41">
        <f>SUM(AJ103:AK103)</f>
        <v>-569</v>
      </c>
      <c r="CT103" s="41">
        <f>SUM(AL103:AM103)</f>
        <v>-517</v>
      </c>
      <c r="CU103" s="41">
        <f>SUM(AN103:AO103)</f>
        <v>-460</v>
      </c>
      <c r="CV103" s="41">
        <f>SUM(AP103:AQ103)</f>
        <v>-434</v>
      </c>
      <c r="CW103" s="41">
        <f>SUM(AR103:AS103)</f>
        <v>-375</v>
      </c>
      <c r="CX103" s="41">
        <f>SUM(AT103:AU103)</f>
        <v>-320</v>
      </c>
      <c r="CY103" s="41">
        <f>SUM(AV103:AW103)</f>
        <v>-324</v>
      </c>
      <c r="CZ103" s="211">
        <f>SUM(AX103:AY103)</f>
        <v>-348</v>
      </c>
      <c r="DA103" s="41">
        <f>SUM(AZ103:BA103)</f>
        <v>-468.7460123866519</v>
      </c>
      <c r="DB103" s="41">
        <f>SUM(BB103:BC103)</f>
        <v>-436.97088561892122</v>
      </c>
      <c r="DC103" s="41">
        <f>SUM(BD103:BE103)</f>
        <v>-423.65714023059746</v>
      </c>
      <c r="DD103" s="41">
        <f>SUM(BF103:BG103)</f>
        <v>-421.13548157231821</v>
      </c>
      <c r="DE103" s="41">
        <f>SUM(BH103:BI103)</f>
        <v>-424.98947397670759</v>
      </c>
      <c r="DF103" s="41">
        <f>SUM(BJ103:BK103)</f>
        <v>-431.56070188907199</v>
      </c>
      <c r="DG103" s="41">
        <f>SUM(BL103:BM103)</f>
        <v>-441.67898770097935</v>
      </c>
      <c r="DH103" s="41">
        <f>SUM(BN103:BO103)</f>
        <v>-451.4519805922439</v>
      </c>
      <c r="DI103" s="41">
        <f>SUM(BP103:BQ103)</f>
        <v>-461.28887637819105</v>
      </c>
    </row>
    <row r="104" spans="1:113" ht="12" outlineLevel="1">
      <c r="A104" s="1" t="s">
        <v>989</v>
      </c>
      <c r="B104" s="15" t="s">
        <v>564</v>
      </c>
      <c r="C104" s="225">
        <f>-14/2</f>
        <v>-7</v>
      </c>
      <c r="D104" s="225">
        <f>-24/2</f>
        <v>-12</v>
      </c>
      <c r="E104" s="225">
        <f>-24/2</f>
        <v>-12</v>
      </c>
      <c r="F104" s="40">
        <v>0</v>
      </c>
      <c r="G104" s="40">
        <v>0</v>
      </c>
      <c r="H104" s="40">
        <v>-31</v>
      </c>
      <c r="I104" s="40">
        <v>-10</v>
      </c>
      <c r="J104" s="40">
        <v>-16</v>
      </c>
      <c r="K104" s="40">
        <v>-8</v>
      </c>
      <c r="L104" s="40">
        <v>-1</v>
      </c>
      <c r="M104" s="40">
        <v>-9</v>
      </c>
      <c r="N104" s="40">
        <v>-4</v>
      </c>
      <c r="O104" s="40">
        <v>-12</v>
      </c>
      <c r="P104" s="40">
        <v>-2</v>
      </c>
      <c r="Q104" s="40">
        <v>0</v>
      </c>
      <c r="R104" s="40">
        <v>-7</v>
      </c>
      <c r="S104" s="40">
        <v>-20</v>
      </c>
      <c r="T104" s="40">
        <v>-11</v>
      </c>
      <c r="U104" s="40">
        <v>-6</v>
      </c>
      <c r="V104" s="40">
        <v>-23</v>
      </c>
      <c r="W104" s="40">
        <v>-21</v>
      </c>
      <c r="X104" s="40">
        <v>-1</v>
      </c>
      <c r="Y104" s="40">
        <v>-273</v>
      </c>
      <c r="Z104" s="141">
        <v>-8</v>
      </c>
      <c r="AA104" s="141">
        <v>0</v>
      </c>
      <c r="AB104" s="141">
        <v>-1</v>
      </c>
      <c r="AC104" s="141">
        <v>-14</v>
      </c>
      <c r="AD104" s="141">
        <v>-4</v>
      </c>
      <c r="AE104" s="141">
        <v>-13</v>
      </c>
      <c r="AF104" s="141">
        <v>-2</v>
      </c>
      <c r="AG104" s="141">
        <v>-25</v>
      </c>
      <c r="AH104" s="141">
        <f>-154-1</f>
        <v>-155</v>
      </c>
      <c r="AI104" s="141">
        <f>0-16</f>
        <v>-16</v>
      </c>
      <c r="AJ104" s="141">
        <f>0-5</f>
        <v>-5</v>
      </c>
      <c r="AK104" s="141">
        <f>0-12</f>
        <v>-12</v>
      </c>
      <c r="AL104" s="141">
        <v>-3</v>
      </c>
      <c r="AM104" s="141">
        <v>-1</v>
      </c>
      <c r="AN104" s="141">
        <v>-2</v>
      </c>
      <c r="AO104" s="141">
        <v>0</v>
      </c>
      <c r="AP104" s="141">
        <v>-1</v>
      </c>
      <c r="AQ104" s="141">
        <v>0</v>
      </c>
      <c r="AR104" s="141">
        <v>0</v>
      </c>
      <c r="AS104" s="141">
        <v>0</v>
      </c>
      <c r="AT104" s="141">
        <v>0</v>
      </c>
      <c r="AU104" s="141">
        <v>0</v>
      </c>
      <c r="AV104" s="141">
        <v>0</v>
      </c>
      <c r="AW104" s="141">
        <v>0</v>
      </c>
      <c r="AX104" s="141">
        <v>0</v>
      </c>
      <c r="AY104" s="226">
        <v>0</v>
      </c>
      <c r="AZ104" s="210">
        <v>0</v>
      </c>
      <c r="BA104" s="210">
        <v>0</v>
      </c>
      <c r="BB104" s="210">
        <v>0</v>
      </c>
      <c r="BC104" s="210">
        <v>0</v>
      </c>
      <c r="BD104" s="210">
        <v>0</v>
      </c>
      <c r="BE104" s="210">
        <v>0</v>
      </c>
      <c r="BF104" s="210">
        <v>0</v>
      </c>
      <c r="BG104" s="210">
        <v>0</v>
      </c>
      <c r="BH104" s="210">
        <v>0</v>
      </c>
      <c r="BI104" s="210">
        <v>0</v>
      </c>
      <c r="BJ104" s="210">
        <v>0</v>
      </c>
      <c r="BK104" s="210">
        <v>0</v>
      </c>
      <c r="BL104" s="210">
        <v>0</v>
      </c>
      <c r="BM104" s="210">
        <v>0</v>
      </c>
      <c r="BN104" s="210">
        <v>0</v>
      </c>
      <c r="BO104" s="210">
        <v>0</v>
      </c>
      <c r="BP104" s="210">
        <v>0</v>
      </c>
      <c r="BQ104" s="210">
        <v>0</v>
      </c>
      <c r="BS104" s="40"/>
      <c r="BT104" s="40"/>
      <c r="BU104" s="40"/>
      <c r="BV104" s="40"/>
      <c r="BW104" s="40"/>
      <c r="BX104" s="40"/>
      <c r="BY104" s="40"/>
      <c r="BZ104" s="40"/>
      <c r="CA104" s="40"/>
      <c r="CB104" s="40">
        <v>-14</v>
      </c>
      <c r="CC104" s="41">
        <f>SUM(D104:E104)</f>
        <v>-24</v>
      </c>
      <c r="CD104" s="41">
        <f>SUM(F104:G104)</f>
        <v>0</v>
      </c>
      <c r="CE104" s="41">
        <f>SUM(H104:I104)</f>
        <v>-41</v>
      </c>
      <c r="CF104" s="41">
        <f>SUM(J104:K104)</f>
        <v>-24</v>
      </c>
      <c r="CG104" s="41">
        <f>SUM(L104:M104)</f>
        <v>-10</v>
      </c>
      <c r="CH104" s="41">
        <f>SUM(N104:O104)</f>
        <v>-16</v>
      </c>
      <c r="CI104" s="41">
        <f>SUM(P104:Q104)</f>
        <v>-2</v>
      </c>
      <c r="CJ104" s="41">
        <f>SUM(R104:S104)</f>
        <v>-27</v>
      </c>
      <c r="CK104" s="41">
        <f>SUM(T104:U104)</f>
        <v>-17</v>
      </c>
      <c r="CL104" s="41">
        <f>SUM(V104:W104)</f>
        <v>-44</v>
      </c>
      <c r="CM104" s="41">
        <f>SUM(X104:Y104)</f>
        <v>-274</v>
      </c>
      <c r="CN104" s="41">
        <f>SUM(Z104:AA104)</f>
        <v>-8</v>
      </c>
      <c r="CO104" s="41">
        <f>SUM(AB104:AC104)</f>
        <v>-15</v>
      </c>
      <c r="CP104" s="41">
        <f>SUM(AD104:AE104)</f>
        <v>-17</v>
      </c>
      <c r="CQ104" s="41">
        <f>SUM(AF104:AG104)</f>
        <v>-27</v>
      </c>
      <c r="CR104" s="41">
        <f>SUM(AH104:AI104)</f>
        <v>-171</v>
      </c>
      <c r="CS104" s="41">
        <f>SUM(AJ104:AK104)</f>
        <v>-17</v>
      </c>
      <c r="CT104" s="41">
        <f>SUM(AL104:AM104)</f>
        <v>-4</v>
      </c>
      <c r="CU104" s="41">
        <f>SUM(AN104:AO104)</f>
        <v>-2</v>
      </c>
      <c r="CV104" s="41">
        <f>SUM(AP104:AQ104)</f>
        <v>-1</v>
      </c>
      <c r="CW104" s="41">
        <f>SUM(AR104:AS104)</f>
        <v>0</v>
      </c>
      <c r="CX104" s="41">
        <f>SUM(AT104:AU104)</f>
        <v>0</v>
      </c>
      <c r="CY104" s="41">
        <f>SUM(AV104:AW104)</f>
        <v>0</v>
      </c>
      <c r="CZ104" s="211">
        <f>SUM(AX104:AY104)</f>
        <v>0</v>
      </c>
      <c r="DA104" s="41">
        <f>SUM(AZ104:BA104)</f>
        <v>0</v>
      </c>
      <c r="DB104" s="41">
        <f>SUM(BB104:BC104)</f>
        <v>0</v>
      </c>
      <c r="DC104" s="41">
        <f>SUM(BD104:BE104)</f>
        <v>0</v>
      </c>
      <c r="DD104" s="41">
        <f>SUM(BF104:BG104)</f>
        <v>0</v>
      </c>
      <c r="DE104" s="41">
        <f>SUM(BH104:BI104)</f>
        <v>0</v>
      </c>
      <c r="DF104" s="41">
        <f>SUM(BJ104:BK104)</f>
        <v>0</v>
      </c>
      <c r="DG104" s="41">
        <f>SUM(BL104:BM104)</f>
        <v>0</v>
      </c>
      <c r="DH104" s="41">
        <f>SUM(BN104:BO104)</f>
        <v>0</v>
      </c>
      <c r="DI104" s="41">
        <f>SUM(BP104:BQ104)</f>
        <v>0</v>
      </c>
    </row>
    <row r="105" spans="1:113" ht="12" outlineLevel="1">
      <c r="A105" s="1" t="s">
        <v>864</v>
      </c>
      <c r="B105" s="15" t="s">
        <v>271</v>
      </c>
      <c r="C105" s="377">
        <v>0</v>
      </c>
      <c r="D105" s="41">
        <f t="shared" ref="D105:K105" si="1146">D106-SUM(D101:D104)</f>
        <v>7</v>
      </c>
      <c r="E105" s="41">
        <f t="shared" si="1146"/>
        <v>2</v>
      </c>
      <c r="F105" s="41">
        <f t="shared" si="1146"/>
        <v>7</v>
      </c>
      <c r="G105" s="41">
        <f t="shared" si="1146"/>
        <v>6</v>
      </c>
      <c r="H105" s="41">
        <f t="shared" si="1146"/>
        <v>17</v>
      </c>
      <c r="I105" s="41">
        <f t="shared" si="1146"/>
        <v>4</v>
      </c>
      <c r="J105" s="41">
        <f t="shared" si="1146"/>
        <v>-1</v>
      </c>
      <c r="K105" s="41">
        <f t="shared" si="1146"/>
        <v>6</v>
      </c>
      <c r="L105" s="41">
        <f>L106-SUM(L101:L104)</f>
        <v>0</v>
      </c>
      <c r="M105" s="41">
        <f>M106-SUM(M101:M104)</f>
        <v>-2</v>
      </c>
      <c r="N105" s="41">
        <f>N106-SUM(N101:N104)</f>
        <v>0</v>
      </c>
      <c r="O105" s="41">
        <f>O106-SUM(O101:O104)</f>
        <v>0</v>
      </c>
      <c r="P105" s="41">
        <f>P106-SUM(P101:P104)</f>
        <v>0</v>
      </c>
      <c r="Q105" s="41">
        <f t="shared" ref="Q105:X105" si="1147">Q106-SUM(Q101:Q104)</f>
        <v>0</v>
      </c>
      <c r="R105" s="41">
        <f t="shared" si="1147"/>
        <v>0</v>
      </c>
      <c r="S105" s="41">
        <f t="shared" si="1147"/>
        <v>0</v>
      </c>
      <c r="T105" s="41">
        <f t="shared" si="1147"/>
        <v>0</v>
      </c>
      <c r="U105" s="41">
        <f t="shared" si="1147"/>
        <v>0</v>
      </c>
      <c r="V105" s="41">
        <f t="shared" si="1147"/>
        <v>0</v>
      </c>
      <c r="W105" s="41">
        <f t="shared" si="1147"/>
        <v>3</v>
      </c>
      <c r="X105" s="41">
        <f t="shared" si="1147"/>
        <v>-2</v>
      </c>
      <c r="Y105" s="41">
        <f t="shared" ref="Y105:AF105" si="1148">Y106-SUM(Y101:Y104)</f>
        <v>0</v>
      </c>
      <c r="Z105" s="41">
        <f t="shared" si="1148"/>
        <v>0</v>
      </c>
      <c r="AA105" s="41">
        <f t="shared" si="1148"/>
        <v>19</v>
      </c>
      <c r="AB105" s="41">
        <f t="shared" si="1148"/>
        <v>6</v>
      </c>
      <c r="AC105" s="41">
        <f t="shared" si="1148"/>
        <v>21</v>
      </c>
      <c r="AD105" s="41">
        <f t="shared" si="1148"/>
        <v>77</v>
      </c>
      <c r="AE105" s="41">
        <f t="shared" si="1148"/>
        <v>35</v>
      </c>
      <c r="AF105" s="41">
        <f t="shared" si="1148"/>
        <v>-606</v>
      </c>
      <c r="AG105" s="41">
        <f t="shared" ref="AG105:AH105" si="1149">AG106-SUM(AG101:AG104)</f>
        <v>11</v>
      </c>
      <c r="AH105" s="41">
        <f t="shared" si="1149"/>
        <v>-8</v>
      </c>
      <c r="AI105" s="41">
        <f t="shared" ref="AI105:AJ105" si="1150">AI106-SUM(AI101:AI104)</f>
        <v>-6</v>
      </c>
      <c r="AJ105" s="41">
        <f t="shared" si="1150"/>
        <v>7</v>
      </c>
      <c r="AK105" s="41">
        <f t="shared" ref="AK105:AL105" si="1151">AK106-SUM(AK101:AK104)</f>
        <v>-249</v>
      </c>
      <c r="AL105" s="41">
        <f t="shared" si="1151"/>
        <v>3</v>
      </c>
      <c r="AM105" s="41">
        <f t="shared" ref="AM105:AN105" si="1152">AM106-SUM(AM101:AM104)</f>
        <v>-1</v>
      </c>
      <c r="AN105" s="41">
        <f t="shared" si="1152"/>
        <v>2</v>
      </c>
      <c r="AO105" s="41">
        <f t="shared" ref="AO105" si="1153">AO106-SUM(AO101:AO104)</f>
        <v>-199</v>
      </c>
      <c r="AP105" s="41">
        <f t="shared" ref="AP105:AQ105" si="1154">AP106-SUM(AP101:AP104)</f>
        <v>0</v>
      </c>
      <c r="AQ105" s="41">
        <f t="shared" si="1154"/>
        <v>0</v>
      </c>
      <c r="AR105" s="41">
        <f t="shared" ref="AR105:AS105" si="1155">AR106-SUM(AR101:AR104)</f>
        <v>-2</v>
      </c>
      <c r="AS105" s="41">
        <f t="shared" si="1155"/>
        <v>-2</v>
      </c>
      <c r="AT105" s="41">
        <f t="shared" ref="AT105:AU105" si="1156">AT106-SUM(AT101:AT104)</f>
        <v>1</v>
      </c>
      <c r="AU105" s="41">
        <f t="shared" si="1156"/>
        <v>0</v>
      </c>
      <c r="AV105" s="41">
        <f t="shared" ref="AV105:AW105" si="1157">AV106-SUM(AV101:AV104)</f>
        <v>-9</v>
      </c>
      <c r="AW105" s="41">
        <f t="shared" si="1157"/>
        <v>0</v>
      </c>
      <c r="AX105" s="41">
        <f t="shared" ref="AX105:AY105" si="1158">AX106-SUM(AX101:AX104)</f>
        <v>-30</v>
      </c>
      <c r="AY105" s="211">
        <f t="shared" si="1158"/>
        <v>-41</v>
      </c>
      <c r="AZ105" s="210">
        <v>0</v>
      </c>
      <c r="BA105" s="210">
        <v>0</v>
      </c>
      <c r="BB105" s="210">
        <v>0</v>
      </c>
      <c r="BC105" s="210">
        <v>0</v>
      </c>
      <c r="BD105" s="210">
        <v>0</v>
      </c>
      <c r="BE105" s="210">
        <v>0</v>
      </c>
      <c r="BF105" s="210">
        <v>0</v>
      </c>
      <c r="BG105" s="210">
        <v>0</v>
      </c>
      <c r="BH105" s="210">
        <v>0</v>
      </c>
      <c r="BI105" s="210">
        <v>0</v>
      </c>
      <c r="BJ105" s="210">
        <v>0</v>
      </c>
      <c r="BK105" s="210">
        <v>0</v>
      </c>
      <c r="BL105" s="210">
        <v>0</v>
      </c>
      <c r="BM105" s="210">
        <v>0</v>
      </c>
      <c r="BN105" s="210">
        <v>0</v>
      </c>
      <c r="BO105" s="210">
        <v>0</v>
      </c>
      <c r="BP105" s="210">
        <v>0</v>
      </c>
      <c r="BQ105" s="210">
        <v>0</v>
      </c>
      <c r="BS105" s="41"/>
      <c r="BT105" s="41"/>
      <c r="BU105" s="41"/>
      <c r="BV105" s="41"/>
      <c r="BW105" s="41"/>
      <c r="BX105" s="41"/>
      <c r="BY105" s="41"/>
      <c r="BZ105" s="41"/>
      <c r="CA105" s="41"/>
      <c r="CB105" s="41">
        <f>CB106-CB101-SUM(CB102:CB104)</f>
        <v>98</v>
      </c>
      <c r="CC105" s="41">
        <f>SUM(D105:E105)</f>
        <v>9</v>
      </c>
      <c r="CD105" s="41">
        <f>SUM(F105:G105)</f>
        <v>13</v>
      </c>
      <c r="CE105" s="41">
        <f>SUM(H105:I105)</f>
        <v>21</v>
      </c>
      <c r="CF105" s="41">
        <f>SUM(J105:K105)</f>
        <v>5</v>
      </c>
      <c r="CG105" s="41">
        <f>SUM(L105:M105)</f>
        <v>-2</v>
      </c>
      <c r="CH105" s="41">
        <f>SUM(N105:O105)</f>
        <v>0</v>
      </c>
      <c r="CI105" s="41">
        <f>SUM(P105:Q105)</f>
        <v>0</v>
      </c>
      <c r="CJ105" s="41">
        <f>SUM(R105:S105)</f>
        <v>0</v>
      </c>
      <c r="CK105" s="41">
        <f>SUM(T105:U105)</f>
        <v>0</v>
      </c>
      <c r="CL105" s="41">
        <f>SUM(V105:W105)</f>
        <v>3</v>
      </c>
      <c r="CM105" s="41">
        <f>SUM(X105:Y105)</f>
        <v>-2</v>
      </c>
      <c r="CN105" s="41">
        <f>SUM(Z105:AA105)</f>
        <v>19</v>
      </c>
      <c r="CO105" s="41">
        <f>SUM(AB105:AC105)</f>
        <v>27</v>
      </c>
      <c r="CP105" s="41">
        <f>SUM(AD105:AE105)</f>
        <v>112</v>
      </c>
      <c r="CQ105" s="41">
        <f>SUM(AF105:AG105)</f>
        <v>-595</v>
      </c>
      <c r="CR105" s="41">
        <f>SUM(AH105:AI105)</f>
        <v>-14</v>
      </c>
      <c r="CS105" s="41">
        <f>SUM(AJ105:AK105)</f>
        <v>-242</v>
      </c>
      <c r="CT105" s="41">
        <f>SUM(AL105:AM105)</f>
        <v>2</v>
      </c>
      <c r="CU105" s="41">
        <f>SUM(AN105:AO105)</f>
        <v>-197</v>
      </c>
      <c r="CV105" s="41">
        <f>SUM(AP105:AQ105)</f>
        <v>0</v>
      </c>
      <c r="CW105" s="41">
        <f>SUM(AR105:AS105)</f>
        <v>-4</v>
      </c>
      <c r="CX105" s="41">
        <f>SUM(AT105:AU105)</f>
        <v>1</v>
      </c>
      <c r="CY105" s="41">
        <f>SUM(AV105:AW105)</f>
        <v>-9</v>
      </c>
      <c r="CZ105" s="211">
        <f>SUM(AX105:AY105)</f>
        <v>-71</v>
      </c>
      <c r="DA105" s="41">
        <f>SUM(AZ105:BA105)</f>
        <v>0</v>
      </c>
      <c r="DB105" s="41">
        <f>SUM(BB105:BC105)</f>
        <v>0</v>
      </c>
      <c r="DC105" s="41">
        <f>SUM(BD105:BE105)</f>
        <v>0</v>
      </c>
      <c r="DD105" s="41">
        <f>SUM(BF105:BG105)</f>
        <v>0</v>
      </c>
      <c r="DE105" s="41">
        <f>SUM(BH105:BI105)</f>
        <v>0</v>
      </c>
      <c r="DF105" s="41">
        <f>SUM(BJ105:BK105)</f>
        <v>0</v>
      </c>
      <c r="DG105" s="41">
        <f>SUM(BL105:BM105)</f>
        <v>0</v>
      </c>
      <c r="DH105" s="41">
        <f>SUM(BN105:BO105)</f>
        <v>0</v>
      </c>
      <c r="DI105" s="41">
        <f>SUM(BP105:BQ105)</f>
        <v>0</v>
      </c>
    </row>
    <row r="106" spans="1:113" ht="12" outlineLevel="1">
      <c r="A106" s="1" t="s">
        <v>865</v>
      </c>
      <c r="B106" s="15" t="s">
        <v>462</v>
      </c>
      <c r="C106" s="40">
        <v>303</v>
      </c>
      <c r="D106" s="40">
        <v>381</v>
      </c>
      <c r="E106" s="40">
        <v>419</v>
      </c>
      <c r="F106" s="40">
        <v>451</v>
      </c>
      <c r="G106" s="40">
        <v>465</v>
      </c>
      <c r="H106" s="40">
        <v>447</v>
      </c>
      <c r="I106" s="40">
        <v>430</v>
      </c>
      <c r="J106" s="40">
        <v>401</v>
      </c>
      <c r="K106" s="40">
        <v>386</v>
      </c>
      <c r="L106" s="40">
        <v>390</v>
      </c>
      <c r="M106" s="40">
        <v>397</v>
      </c>
      <c r="N106" s="40">
        <v>425</v>
      </c>
      <c r="O106" s="40">
        <v>462</v>
      </c>
      <c r="P106" s="40">
        <v>509</v>
      </c>
      <c r="Q106" s="40">
        <v>625</v>
      </c>
      <c r="R106" s="40">
        <v>723</v>
      </c>
      <c r="S106" s="40">
        <v>849</v>
      </c>
      <c r="T106" s="40">
        <v>1034</v>
      </c>
      <c r="U106" s="40">
        <v>1217</v>
      </c>
      <c r="V106" s="40">
        <v>1349</v>
      </c>
      <c r="W106" s="40">
        <v>1572</v>
      </c>
      <c r="X106" s="40">
        <v>1743</v>
      </c>
      <c r="Y106" s="40">
        <v>1762</v>
      </c>
      <c r="Z106" s="141">
        <v>1857</v>
      </c>
      <c r="AA106" s="141">
        <v>2170</v>
      </c>
      <c r="AB106" s="141">
        <v>2332</v>
      </c>
      <c r="AC106" s="141">
        <v>2533</v>
      </c>
      <c r="AD106" s="141">
        <v>2689</v>
      </c>
      <c r="AE106" s="141">
        <v>2893</v>
      </c>
      <c r="AF106" s="141">
        <v>2249</v>
      </c>
      <c r="AG106" s="141">
        <v>2202</v>
      </c>
      <c r="AH106" s="141">
        <v>1917</v>
      </c>
      <c r="AI106" s="141">
        <v>1856</v>
      </c>
      <c r="AJ106" s="141">
        <v>1775</v>
      </c>
      <c r="AK106" s="141">
        <v>1421</v>
      </c>
      <c r="AL106" s="141">
        <v>1368</v>
      </c>
      <c r="AM106" s="141">
        <v>1323</v>
      </c>
      <c r="AN106" s="141">
        <v>1263</v>
      </c>
      <c r="AO106" s="141">
        <v>1039</v>
      </c>
      <c r="AP106" s="141">
        <v>961</v>
      </c>
      <c r="AQ106" s="141">
        <v>960</v>
      </c>
      <c r="AR106" s="141">
        <v>924</v>
      </c>
      <c r="AS106" s="141">
        <v>896</v>
      </c>
      <c r="AT106" s="141">
        <v>877</v>
      </c>
      <c r="AU106" s="141">
        <v>919</v>
      </c>
      <c r="AV106" s="141">
        <v>905</v>
      </c>
      <c r="AW106" s="141">
        <v>1020</v>
      </c>
      <c r="AX106" s="141">
        <v>1001</v>
      </c>
      <c r="AY106" s="226">
        <v>998</v>
      </c>
      <c r="AZ106" s="41">
        <f t="shared" ref="AZ106:BA106" si="1159">SUM(AZ101:AZ105)</f>
        <v>948.94920497526357</v>
      </c>
      <c r="BA106" s="41">
        <f t="shared" si="1159"/>
        <v>919.7186998826204</v>
      </c>
      <c r="BB106" s="41">
        <f t="shared" ref="BB106:BC106" si="1160">SUM(BB101:BB105)</f>
        <v>895.25165905738004</v>
      </c>
      <c r="BC106" s="41">
        <f t="shared" si="1160"/>
        <v>884.9264679010497</v>
      </c>
      <c r="BD106" s="41">
        <f t="shared" ref="BD106:BE106" si="1161">SUM(BD101:BD105)</f>
        <v>874.74489048412897</v>
      </c>
      <c r="BE106" s="41">
        <f t="shared" si="1161"/>
        <v>875.51334091692331</v>
      </c>
      <c r="BF106" s="41">
        <f t="shared" ref="BF106:BG106" si="1162">SUM(BF101:BF105)</f>
        <v>873.68424021955207</v>
      </c>
      <c r="BG106" s="41">
        <f t="shared" si="1162"/>
        <v>881.04919298847039</v>
      </c>
      <c r="BH106" s="41">
        <f t="shared" ref="BH106:BI106" si="1163">SUM(BH101:BH105)</f>
        <v>884.15604954548917</v>
      </c>
      <c r="BI106" s="41">
        <f t="shared" si="1163"/>
        <v>895.53119266494423</v>
      </c>
      <c r="BJ106" s="41">
        <f t="shared" ref="BJ106:BK106" si="1164">SUM(BJ101:BJ105)</f>
        <v>901.8457582645575</v>
      </c>
      <c r="BK106" s="41">
        <f t="shared" si="1164"/>
        <v>918.65851649843398</v>
      </c>
      <c r="BL106" s="41">
        <f t="shared" ref="BL106:BM106" si="1165">SUM(BL101:BL105)</f>
        <v>922.41596473663571</v>
      </c>
      <c r="BM106" s="41">
        <f t="shared" si="1165"/>
        <v>939.27974670341928</v>
      </c>
      <c r="BN106" s="41">
        <f t="shared" ref="BN106:BO106" si="1166">SUM(BN101:BN105)</f>
        <v>943.05450281406343</v>
      </c>
      <c r="BO106" s="41">
        <f t="shared" si="1166"/>
        <v>959.25758344508995</v>
      </c>
      <c r="BP106" s="41">
        <f t="shared" ref="BP106:BQ106" si="1167">SUM(BP101:BP105)</f>
        <v>963.7813534856399</v>
      </c>
      <c r="BQ106" s="41">
        <f t="shared" si="1167"/>
        <v>980.28975698707518</v>
      </c>
      <c r="BS106" s="40"/>
      <c r="BT106" s="40"/>
      <c r="BU106" s="40"/>
      <c r="BV106" s="40"/>
      <c r="BW106" s="40"/>
      <c r="BX106" s="40"/>
      <c r="BY106" s="40"/>
      <c r="BZ106" s="40"/>
      <c r="CA106" s="225">
        <v>150</v>
      </c>
      <c r="CB106" s="41">
        <f>M106</f>
        <v>397</v>
      </c>
      <c r="CC106" s="41">
        <f>E106</f>
        <v>419</v>
      </c>
      <c r="CD106" s="41">
        <f>G106</f>
        <v>465</v>
      </c>
      <c r="CE106" s="41">
        <f>I106</f>
        <v>430</v>
      </c>
      <c r="CF106" s="41">
        <f>K106</f>
        <v>386</v>
      </c>
      <c r="CG106" s="41">
        <f>M106</f>
        <v>397</v>
      </c>
      <c r="CH106" s="41">
        <f>O106</f>
        <v>462</v>
      </c>
      <c r="CI106" s="41">
        <f>Q106</f>
        <v>625</v>
      </c>
      <c r="CJ106" s="41">
        <f>S106</f>
        <v>849</v>
      </c>
      <c r="CK106" s="41">
        <f>U106</f>
        <v>1217</v>
      </c>
      <c r="CL106" s="41">
        <f>W106</f>
        <v>1572</v>
      </c>
      <c r="CM106" s="41">
        <f>Y106</f>
        <v>1762</v>
      </c>
      <c r="CN106" s="41">
        <f>AA106</f>
        <v>2170</v>
      </c>
      <c r="CO106" s="41">
        <f>AC106</f>
        <v>2533</v>
      </c>
      <c r="CP106" s="41">
        <f>AE106</f>
        <v>2893</v>
      </c>
      <c r="CQ106" s="41">
        <f>AG106</f>
        <v>2202</v>
      </c>
      <c r="CR106" s="41">
        <f>AI106</f>
        <v>1856</v>
      </c>
      <c r="CS106" s="41">
        <f>AK106</f>
        <v>1421</v>
      </c>
      <c r="CT106" s="41">
        <f>AM106</f>
        <v>1323</v>
      </c>
      <c r="CU106" s="41">
        <f>AO106</f>
        <v>1039</v>
      </c>
      <c r="CV106" s="41">
        <f>AQ106</f>
        <v>960</v>
      </c>
      <c r="CW106" s="41">
        <f>AS106</f>
        <v>896</v>
      </c>
      <c r="CX106" s="41">
        <f>AU106</f>
        <v>919</v>
      </c>
      <c r="CY106" s="41">
        <f>AW106</f>
        <v>1020</v>
      </c>
      <c r="CZ106" s="211">
        <f>AY106</f>
        <v>998</v>
      </c>
      <c r="DA106" s="41">
        <f>BA106</f>
        <v>919.7186998826204</v>
      </c>
      <c r="DB106" s="41">
        <f>BC106</f>
        <v>884.9264679010497</v>
      </c>
      <c r="DC106" s="41">
        <f>BE106</f>
        <v>875.51334091692331</v>
      </c>
      <c r="DD106" s="41">
        <f>BG106</f>
        <v>881.04919298847039</v>
      </c>
      <c r="DE106" s="41">
        <f>BI106</f>
        <v>895.53119266494423</v>
      </c>
      <c r="DF106" s="41">
        <f>BK106</f>
        <v>918.65851649843398</v>
      </c>
      <c r="DG106" s="41">
        <f>BM106</f>
        <v>939.27974670341928</v>
      </c>
      <c r="DH106" s="41">
        <f>BO106</f>
        <v>959.25758344508995</v>
      </c>
      <c r="DI106" s="41">
        <f>BQ106</f>
        <v>980.28975698707518</v>
      </c>
    </row>
    <row r="107" spans="1:113" ht="12" outlineLevel="1">
      <c r="AA107" s="37"/>
      <c r="AC107" s="189"/>
      <c r="AD107" s="37"/>
      <c r="AE107" s="37"/>
      <c r="AY107" s="200"/>
      <c r="AZ107" s="248"/>
      <c r="BA107" s="248"/>
      <c r="CZ107" s="200"/>
      <c r="DB107" s="15"/>
      <c r="DC107" s="15"/>
      <c r="DD107" s="15"/>
      <c r="DE107" s="15"/>
      <c r="DF107" s="15"/>
      <c r="DG107" s="15"/>
      <c r="DH107" s="15"/>
      <c r="DI107" s="15"/>
    </row>
    <row r="108" spans="1:113" ht="12" outlineLevel="1">
      <c r="B108" s="17" t="s">
        <v>573</v>
      </c>
      <c r="Z108" s="189"/>
      <c r="AA108" s="189"/>
      <c r="AB108" s="189"/>
      <c r="AC108" s="41"/>
      <c r="AD108" s="41"/>
      <c r="AE108" s="189"/>
      <c r="AF108" s="189"/>
      <c r="AJ108" s="189"/>
      <c r="AK108" s="189"/>
      <c r="AL108" s="189"/>
      <c r="AM108" s="189"/>
      <c r="AN108" s="189"/>
      <c r="AO108" s="189"/>
      <c r="AP108" s="189"/>
      <c r="AQ108" s="189"/>
      <c r="AR108" s="189"/>
      <c r="AS108" s="189"/>
      <c r="AT108" s="189"/>
      <c r="AU108" s="189"/>
      <c r="AV108" s="189"/>
      <c r="AW108" s="189"/>
      <c r="AX108" s="189"/>
      <c r="AY108" s="235"/>
      <c r="AZ108" s="248"/>
      <c r="BA108" s="248"/>
      <c r="BF108" s="189"/>
      <c r="BG108" s="189"/>
      <c r="BH108" s="189"/>
      <c r="BI108" s="189"/>
      <c r="BJ108" s="189"/>
      <c r="BK108" s="189"/>
      <c r="BL108" s="189"/>
      <c r="BM108" s="189"/>
      <c r="BN108" s="189"/>
      <c r="BO108" s="189"/>
      <c r="BP108" s="189"/>
      <c r="BQ108" s="189"/>
      <c r="CZ108" s="200"/>
      <c r="DB108" s="15"/>
      <c r="DC108" s="15"/>
      <c r="DD108" s="15"/>
      <c r="DE108" s="15"/>
      <c r="DF108" s="15"/>
      <c r="DG108" s="15"/>
      <c r="DH108" s="15"/>
      <c r="DI108" s="15"/>
    </row>
    <row r="109" spans="1:113" ht="12" outlineLevel="1">
      <c r="A109" s="1" t="s">
        <v>463</v>
      </c>
      <c r="B109" s="15" t="s">
        <v>489</v>
      </c>
      <c r="C109" s="248">
        <f>AVERAGE(AU109:BR109)</f>
        <v>2.0271672607638156E-4</v>
      </c>
      <c r="D109" s="248">
        <f>AVERAGE(BR109:BS109)</f>
        <v>9.4055390513575112E-3</v>
      </c>
      <c r="E109" s="345">
        <f>-E467*E$5/E232</f>
        <v>3.5087079491314066E-4</v>
      </c>
      <c r="F109" s="248">
        <f>AVERAGE(BS109:BT109)</f>
        <v>1.5095909894823088E-2</v>
      </c>
      <c r="G109" s="345">
        <f>-G467*G$5/G232</f>
        <v>-3.9469063139124455E-3</v>
      </c>
      <c r="H109" s="248">
        <f>AVERAGE(BT109:BU109)</f>
        <v>1.6966342630906638E-2</v>
      </c>
      <c r="I109" s="345">
        <f>-I467*I$5/I232</f>
        <v>-9.9383887708416226E-3</v>
      </c>
      <c r="J109" s="248">
        <f>AVERAGE(BU109:BV109)</f>
        <v>8.2792596756552164E-3</v>
      </c>
      <c r="K109" s="345">
        <f>-K467*K$5/K232</f>
        <v>-6.6479056807626615E-3</v>
      </c>
      <c r="L109" s="248">
        <f>AVERAGE(BV109:BW109)</f>
        <v>2.8386504136461415E-3</v>
      </c>
      <c r="M109" s="35">
        <f>-M467*M$5/M232</f>
        <v>-2.6327340403397275E-3</v>
      </c>
      <c r="N109" s="34">
        <f>AVERAGE(CG109:CH109)</f>
        <v>5.4725596020843386E-5</v>
      </c>
      <c r="O109" s="35">
        <f t="shared" ref="O109:AB109" si="1168">-O467*O$5/O232</f>
        <v>8.9541099741174469E-5</v>
      </c>
      <c r="P109" s="35">
        <f t="shared" si="1168"/>
        <v>2.569193731369644E-4</v>
      </c>
      <c r="Q109" s="35">
        <f t="shared" si="1168"/>
        <v>2.8632005077663692E-4</v>
      </c>
      <c r="R109" s="35">
        <f t="shared" si="1168"/>
        <v>1.5565315661572981E-4</v>
      </c>
      <c r="S109" s="35">
        <f t="shared" si="1168"/>
        <v>3.4925058837605464E-4</v>
      </c>
      <c r="T109" s="37">
        <f t="shared" si="1168"/>
        <v>5.5515568569900061E-4</v>
      </c>
      <c r="U109" s="35">
        <f t="shared" si="1168"/>
        <v>6.5459452850986336E-4</v>
      </c>
      <c r="V109" s="35">
        <f t="shared" si="1168"/>
        <v>3.8778341434116576E-4</v>
      </c>
      <c r="W109" s="35">
        <f t="shared" si="1168"/>
        <v>4.9255131288322305E-4</v>
      </c>
      <c r="X109" s="35">
        <f t="shared" si="1168"/>
        <v>4.3051501350122213E-4</v>
      </c>
      <c r="Y109" s="37">
        <f t="shared" si="1168"/>
        <v>3.7693265704056937E-4</v>
      </c>
      <c r="Z109" s="37">
        <f t="shared" si="1168"/>
        <v>2.7390678603765248E-4</v>
      </c>
      <c r="AA109" s="357">
        <f t="shared" si="1168"/>
        <v>4.5496894149418555E-4</v>
      </c>
      <c r="AB109" s="357">
        <f t="shared" si="1168"/>
        <v>2.2488750012874761E-4</v>
      </c>
      <c r="AC109" s="357">
        <f t="shared" ref="AC109:AD109" si="1169">-AC467*AC$5/AC232</f>
        <v>2.1254739929965776E-4</v>
      </c>
      <c r="AD109" s="357">
        <f t="shared" si="1169"/>
        <v>1.7913738150028235E-4</v>
      </c>
      <c r="AE109" s="357">
        <f t="shared" ref="AE109:AF109" si="1170">-AE467*AE$5/AE232</f>
        <v>1.4239959147354002E-4</v>
      </c>
      <c r="AF109" s="357">
        <f t="shared" si="1170"/>
        <v>1.3585079097105826E-4</v>
      </c>
      <c r="AG109" s="357">
        <f t="shared" ref="AG109:AH109" si="1171">-AG467*AG$5/AG232</f>
        <v>1.3142747347121014E-4</v>
      </c>
      <c r="AH109" s="357">
        <f t="shared" si="1171"/>
        <v>1.4796715248114746E-4</v>
      </c>
      <c r="AI109" s="357">
        <f t="shared" ref="AI109:AJ109" si="1172">-AI467*AI$5/AI232</f>
        <v>1.3161958945270908E-4</v>
      </c>
      <c r="AJ109" s="357">
        <f t="shared" si="1172"/>
        <v>1.5525872483128096E-4</v>
      </c>
      <c r="AK109" s="357">
        <f t="shared" ref="AK109:AL109" si="1173">-AK467*AK$5/AK232</f>
        <v>2.6853549771573335E-4</v>
      </c>
      <c r="AL109" s="357">
        <f t="shared" si="1173"/>
        <v>3.0770209126881036E-4</v>
      </c>
      <c r="AM109" s="357">
        <f t="shared" ref="AM109:AN109" si="1174">-AM467*AM$5/AM232</f>
        <v>4.1108088969020982E-4</v>
      </c>
      <c r="AN109" s="357">
        <f t="shared" si="1174"/>
        <v>2.9238941197257936E-4</v>
      </c>
      <c r="AO109" s="357">
        <f t="shared" ref="AO109" si="1175">-AO467*AO$5/AO232</f>
        <v>2.0329513336230661E-4</v>
      </c>
      <c r="AP109" s="357">
        <f t="shared" ref="AP109:AQ109" si="1176">-AP467*AP$5/AP232</f>
        <v>4.2649644966548904E-4</v>
      </c>
      <c r="AQ109" s="357">
        <f t="shared" si="1176"/>
        <v>1.2657086059028654E-4</v>
      </c>
      <c r="AR109" s="357">
        <f t="shared" ref="AR109:AS109" si="1177">-AR467*AR$5/AR232</f>
        <v>1.2043377875134873E-4</v>
      </c>
      <c r="AS109" s="357">
        <f t="shared" si="1177"/>
        <v>8.6013201358586561E-5</v>
      </c>
      <c r="AT109" s="357">
        <f t="shared" ref="AT109:AU109" si="1178">-AT467*AT$5/AT232</f>
        <v>6.6380794637203977E-5</v>
      </c>
      <c r="AU109" s="357">
        <f t="shared" si="1178"/>
        <v>6.5028692168214185E-5</v>
      </c>
      <c r="AV109" s="357">
        <f t="shared" ref="AV109:AW109" si="1179">-AV467*AV$5/AV232</f>
        <v>5.2392380733122725E-5</v>
      </c>
      <c r="AW109" s="357">
        <f t="shared" si="1179"/>
        <v>5.3406964374610682E-5</v>
      </c>
      <c r="AX109" s="357">
        <f t="shared" ref="AX109:AY109" si="1180">-AX467*AX$5/AX232</f>
        <v>4.8503039137275702E-5</v>
      </c>
      <c r="AY109" s="348">
        <f t="shared" si="1180"/>
        <v>4.7008085439134271E-5</v>
      </c>
      <c r="AZ109" s="248">
        <f t="shared" ref="AZ109:BH109" si="1181">AY109+0.0025%</f>
        <v>7.2008085439134275E-5</v>
      </c>
      <c r="BA109" s="248">
        <f t="shared" si="1181"/>
        <v>9.7008085439134273E-5</v>
      </c>
      <c r="BB109" s="248">
        <f t="shared" si="1181"/>
        <v>1.2200808543913427E-4</v>
      </c>
      <c r="BC109" s="248">
        <f t="shared" si="1181"/>
        <v>1.4700808543913427E-4</v>
      </c>
      <c r="BD109" s="248">
        <f t="shared" si="1181"/>
        <v>1.7200808543913428E-4</v>
      </c>
      <c r="BE109" s="248">
        <f>BD109+0.0025%</f>
        <v>1.9700808543913429E-4</v>
      </c>
      <c r="BF109" s="248">
        <f t="shared" si="1181"/>
        <v>2.220080854391343E-4</v>
      </c>
      <c r="BG109" s="248">
        <f t="shared" si="1181"/>
        <v>2.4700808543913429E-4</v>
      </c>
      <c r="BH109" s="248">
        <f t="shared" si="1181"/>
        <v>2.720080854391343E-4</v>
      </c>
      <c r="BI109" s="248">
        <f t="shared" ref="BI109" si="1182">BH109</f>
        <v>2.720080854391343E-4</v>
      </c>
      <c r="BJ109" s="248">
        <f>BI109+0.005%</f>
        <v>3.2200808543913432E-4</v>
      </c>
      <c r="BK109" s="248">
        <f>BJ109</f>
        <v>3.2200808543913432E-4</v>
      </c>
      <c r="BL109" s="248">
        <f t="shared" ref="BL109:BQ109" si="1183">BK109</f>
        <v>3.2200808543913432E-4</v>
      </c>
      <c r="BM109" s="248">
        <f t="shared" si="1183"/>
        <v>3.2200808543913432E-4</v>
      </c>
      <c r="BN109" s="248">
        <f t="shared" si="1183"/>
        <v>3.2200808543913432E-4</v>
      </c>
      <c r="BO109" s="248">
        <f t="shared" si="1183"/>
        <v>3.2200808543913432E-4</v>
      </c>
      <c r="BP109" s="248">
        <f t="shared" si="1183"/>
        <v>3.2200808543913432E-4</v>
      </c>
      <c r="BQ109" s="248">
        <f t="shared" si="1183"/>
        <v>3.2200808543913432E-4</v>
      </c>
      <c r="BR109" s="35"/>
      <c r="BS109" s="394">
        <f>(206-6)*BS$5/((SUM(AVERAGE(10667.3,18774.6),AVERAGE(9412,8825)*15996/18774.6)/AVERAGE(BR178:BS178))*BS234)</f>
        <v>9.4055390513575112E-3</v>
      </c>
      <c r="BT109" s="394">
        <f>(576-7)*BT$5/((SUM(AVERAGE(18774.6,19675.6),AVERAGE(9412,8825)*18774.6/18350.7)/AVERAGE(BS178:BT178))*BT234)</f>
        <v>2.0786280738288664E-2</v>
      </c>
      <c r="BU109" s="394">
        <f>(382-5)*BU$5/((SUM(AVERAGE(19675.6,21674),AVERAGE(9412,8825)*18350.7/18297)/AVERAGE(BT178:BU178))*BU234)</f>
        <v>1.3146404523524611E-2</v>
      </c>
      <c r="BV109" s="394">
        <f>(102-3)*BV$5/((SUM(AVERAGE(21674,22734),AVERAGE(9412,8825)*18297/23022)/AVERAGE(BU178:BV178))*BV234)</f>
        <v>3.4121148277858229E-3</v>
      </c>
      <c r="BW109" s="394">
        <f>(77-9)*BW$5/((SUM(AVERAGE(22734,23518),AVERAGE(9412,8825)*23022/26830)/AVERAGE(BV178:BW178))*BW234)</f>
        <v>2.2651859995064601E-3</v>
      </c>
      <c r="BX109" s="376">
        <f>(26-7)*BX$5/((SUM(AVERAGE(23518,26095),AVERAGE(9412,8825)*26830/(2439+346+55+3189+656+73+5172+2852+900+9412+1851+2782))/AVERAGE(BW178:BX178))*BX234)</f>
        <v>5.8483316478584815E-4</v>
      </c>
      <c r="BY109" s="376">
        <f>(40-2)*BY$5/((SUM(AVERAGE(26095,28924),AVERAGE(9412,8825))/AVERAGE(BX178:BY178))*BY234)</f>
        <v>1.0496205333950699E-3</v>
      </c>
      <c r="BZ109" s="376">
        <f>(16-1)*BZ$5/((SUM(AVERAGE(28924,35862),AVERAGE(8825,10628))/AVERAGE(BY178:BZ178))*BZ234)</f>
        <v>3.6060151849053376E-4</v>
      </c>
      <c r="CA109" s="376">
        <f>(51-4)*CA$5/((SUM(AVERAGE(35862,43912),AVERAGE(10628,9645))/AVERAGE(BZ178:CA178))*CA234)</f>
        <v>9.2711568201674847E-4</v>
      </c>
      <c r="CB109" s="376">
        <f>(13-3)*CB$5/((SUM(AVERAGE(49127,43912),AVERAGE(10628,11638))/AVERAGE(CA178:CB178))*CB234)</f>
        <v>1.7456993693889056E-4</v>
      </c>
      <c r="CC109" s="38">
        <f>(19-4)*CC$5/((SUM(AVERAGE(49127,57049),AVERAGE(11956,11638))/AVERAGE(CB178:CC178))*CC234)</f>
        <v>2.1222804307550802E-4</v>
      </c>
      <c r="CD109" s="38">
        <f>(11-1)*CD$5/((SUM(AVERAGE(69660,57049),AVERAGE(11956,35400))/AVERAGE(CC178:CD178))*CD234)</f>
        <v>1.059588177703244E-4</v>
      </c>
      <c r="CE109" s="38">
        <f>(8-1)*CE$5/((SUM(AVERAGE(69660,81770),AVERAGE(12759,35400))/AVERAGE(CD178:CE178))*CE234)</f>
        <v>6.3028687270540968E-5</v>
      </c>
      <c r="CF109" s="38">
        <f>(4-0)*CF$5/((SUM(AVERAGE(89909,81770),AVERAGE(35336,35400))/AVERAGE(CE178:CF178))*CF234)</f>
        <v>3.1256745209534394E-5</v>
      </c>
      <c r="CG109" s="38">
        <f>(5-0)*CG$5/((SUM(AVERAGE(89909,100362),AVERAGE(35336,36647))/AVERAGE(CF178:CG178))*CG234)</f>
        <v>3.6483873185522839E-5</v>
      </c>
      <c r="CH109" s="38">
        <f>(11-0)*CH$5/((SUM(AVERAGE(112279,100362),AVERAGE(41431,36647))/AVERAGE(CG178:CH178))*CH234)</f>
        <v>7.2967318856163933E-5</v>
      </c>
      <c r="CI109" s="35">
        <f t="shared" ref="CI109:CY109" si="1184">-CI467*CI$5/CI232</f>
        <v>2.7083939122684659E-4</v>
      </c>
      <c r="CJ109" s="35">
        <f t="shared" si="1184"/>
        <v>2.5276112950229843E-4</v>
      </c>
      <c r="CK109" s="35">
        <f t="shared" si="1184"/>
        <v>6.042384931745266E-4</v>
      </c>
      <c r="CL109" s="35">
        <f t="shared" si="1184"/>
        <v>4.3896222917329361E-4</v>
      </c>
      <c r="CM109" s="37">
        <f t="shared" si="1184"/>
        <v>4.0366838803307029E-4</v>
      </c>
      <c r="CN109" s="37">
        <f t="shared" si="1184"/>
        <v>3.6658526612015142E-4</v>
      </c>
      <c r="CO109" s="37">
        <f t="shared" si="1184"/>
        <v>2.1823135270319073E-4</v>
      </c>
      <c r="CP109" s="37">
        <f t="shared" si="1184"/>
        <v>1.6018854282030576E-4</v>
      </c>
      <c r="CQ109" s="37">
        <f t="shared" si="1184"/>
        <v>1.3466517833202676E-4</v>
      </c>
      <c r="CR109" s="37">
        <f t="shared" si="1184"/>
        <v>1.4007889727412013E-4</v>
      </c>
      <c r="CS109" s="37">
        <f t="shared" si="1184"/>
        <v>2.1309695821900625E-4</v>
      </c>
      <c r="CT109" s="37">
        <f t="shared" si="1184"/>
        <v>3.6167353843753622E-4</v>
      </c>
      <c r="CU109" s="37">
        <f t="shared" si="1184"/>
        <v>2.4248668150092146E-4</v>
      </c>
      <c r="CV109" s="37">
        <f t="shared" si="1184"/>
        <v>2.7763614609871141E-4</v>
      </c>
      <c r="CW109" s="37">
        <f t="shared" si="1184"/>
        <v>1.0322239700650567E-4</v>
      </c>
      <c r="CX109" s="37">
        <f t="shared" si="1184"/>
        <v>6.569778735588518E-5</v>
      </c>
      <c r="CY109" s="37">
        <f t="shared" si="1184"/>
        <v>5.2918973346233979E-5</v>
      </c>
      <c r="CZ109" s="36">
        <f t="shared" ref="CZ109" si="1185">-CZ467*CZ$5/CZ232</f>
        <v>4.7743862674314464E-5</v>
      </c>
      <c r="DA109" s="35">
        <f t="shared" ref="DA109:DF109" si="1186">-DA467*DA$5/DA232</f>
        <v>8.4684723487775336E-5</v>
      </c>
      <c r="DB109" s="35">
        <f t="shared" si="1186"/>
        <v>1.3467673973266344E-4</v>
      </c>
      <c r="DC109" s="35">
        <f t="shared" si="1186"/>
        <v>1.846584735965059E-4</v>
      </c>
      <c r="DD109" s="35">
        <f t="shared" si="1186"/>
        <v>2.3467936784100541E-4</v>
      </c>
      <c r="DE109" s="35">
        <f t="shared" si="1186"/>
        <v>2.7200808543913435E-4</v>
      </c>
      <c r="DF109" s="35">
        <f t="shared" si="1186"/>
        <v>3.2200808543913427E-4</v>
      </c>
      <c r="DG109" s="35">
        <f t="shared" ref="DG109:DH109" si="1187">-DG467*DG$5/DG232</f>
        <v>3.2200808543913432E-4</v>
      </c>
      <c r="DH109" s="35">
        <f t="shared" si="1187"/>
        <v>3.2200808543913427E-4</v>
      </c>
      <c r="DI109" s="35">
        <f t="shared" ref="DI109" si="1188">-DI467*DI$5/DI232</f>
        <v>3.2200808543913432E-4</v>
      </c>
    </row>
    <row r="110" spans="1:113" ht="12" outlineLevel="1">
      <c r="A110" s="1" t="s">
        <v>464</v>
      </c>
      <c r="B110" s="15" t="s">
        <v>491</v>
      </c>
      <c r="C110" s="345">
        <f t="shared" ref="C110:K110" si="1189">-C468*C$5/(C237+AVERAGE(B179:C179)-C232-((SUM(AVERAGE(B160:C160),AVERAGE(B166:C166),AVERAGE(B172:C172))/AVERAGE(B178:C178))*C234))</f>
        <v>1.4982805651590641E-2</v>
      </c>
      <c r="D110" s="345">
        <f t="shared" si="1189"/>
        <v>3.9665721063796391E-4</v>
      </c>
      <c r="E110" s="345">
        <f t="shared" si="1189"/>
        <v>8.5840699600359185E-3</v>
      </c>
      <c r="F110" s="345">
        <f t="shared" si="1189"/>
        <v>-4.8931915229477986E-3</v>
      </c>
      <c r="G110" s="345">
        <f t="shared" si="1189"/>
        <v>1.0304902951080152E-2</v>
      </c>
      <c r="H110" s="345">
        <f t="shared" si="1189"/>
        <v>-7.911734590050375E-3</v>
      </c>
      <c r="I110" s="345">
        <f t="shared" si="1189"/>
        <v>1.5181158456926656E-2</v>
      </c>
      <c r="J110" s="345">
        <f t="shared" si="1189"/>
        <v>-3.928335785912891E-3</v>
      </c>
      <c r="K110" s="345">
        <f t="shared" si="1189"/>
        <v>1.1676786243153749E-2</v>
      </c>
      <c r="L110" s="345">
        <f t="shared" ref="L110:AE110" si="1190">-L468*L$5/(L237-L232-((SUM(AVERAGE(K160:L160),AVERAGE(K166:L166),AVERAGE(K172:L172))/AVERAGE(K178:L178))*L234))</f>
        <v>-1.3135289586190088E-3</v>
      </c>
      <c r="M110" s="35">
        <f t="shared" si="1190"/>
        <v>4.2602873108650999E-3</v>
      </c>
      <c r="N110" s="35">
        <f t="shared" si="1190"/>
        <v>1.389721671199545E-3</v>
      </c>
      <c r="O110" s="35">
        <f t="shared" si="1190"/>
        <v>2.9225293944736786E-3</v>
      </c>
      <c r="P110" s="35">
        <f t="shared" si="1190"/>
        <v>7.9417836015630982E-4</v>
      </c>
      <c r="Q110" s="35">
        <f t="shared" si="1190"/>
        <v>8.5785684071230776E-4</v>
      </c>
      <c r="R110" s="35">
        <f t="shared" si="1190"/>
        <v>6.3628065675408723E-3</v>
      </c>
      <c r="S110" s="35">
        <f t="shared" si="1190"/>
        <v>8.33182249747416E-3</v>
      </c>
      <c r="T110" s="37">
        <f t="shared" si="1190"/>
        <v>7.5882651692067054E-3</v>
      </c>
      <c r="U110" s="35">
        <f t="shared" si="1190"/>
        <v>4.659687606192355E-3</v>
      </c>
      <c r="V110" s="35">
        <f t="shared" si="1190"/>
        <v>3.1794209209253903E-3</v>
      </c>
      <c r="W110" s="35">
        <f t="shared" si="1190"/>
        <v>2.2699348119760389E-3</v>
      </c>
      <c r="X110" s="35">
        <f t="shared" si="1190"/>
        <v>2.1578310722187993E-3</v>
      </c>
      <c r="Y110" s="37">
        <f t="shared" si="1190"/>
        <v>3.7874191645817122E-3</v>
      </c>
      <c r="Z110" s="37">
        <f t="shared" si="1190"/>
        <v>4.3156064371074809E-3</v>
      </c>
      <c r="AA110" s="357">
        <f t="shared" si="1190"/>
        <v>2.499695012324157E-3</v>
      </c>
      <c r="AB110" s="357">
        <f t="shared" si="1190"/>
        <v>1.7323510353038803E-3</v>
      </c>
      <c r="AC110" s="357">
        <f t="shared" si="1190"/>
        <v>3.2410910548038825E-3</v>
      </c>
      <c r="AD110" s="357">
        <f t="shared" si="1190"/>
        <v>8.5657673148180672E-4</v>
      </c>
      <c r="AE110" s="357">
        <f t="shared" si="1190"/>
        <v>1.5692849985167638E-3</v>
      </c>
      <c r="AF110" s="357">
        <f t="shared" ref="AF110:AY110" si="1191">-AF468*AF$5/(AF237-AF232-((SUM(AVERAGE(AE160:AF160),AVERAGE(AE166:AF166),AVERAGE(AE172:AF172))/AVERAGE(AE178:AF178))*AF234))</f>
        <v>7.0849625729281528E-4</v>
      </c>
      <c r="AG110" s="357">
        <f t="shared" si="1191"/>
        <v>3.9215528481729061E-3</v>
      </c>
      <c r="AH110" s="357">
        <f t="shared" si="1191"/>
        <v>2.5216805600124137E-3</v>
      </c>
      <c r="AI110" s="357">
        <f t="shared" si="1191"/>
        <v>1.6852505664678675E-3</v>
      </c>
      <c r="AJ110" s="357">
        <f t="shared" si="1191"/>
        <v>8.0268488974422167E-4</v>
      </c>
      <c r="AK110" s="357">
        <f t="shared" si="1191"/>
        <v>1.3900548671651487E-4</v>
      </c>
      <c r="AL110" s="357">
        <f t="shared" si="1191"/>
        <v>2.2323985504333008E-4</v>
      </c>
      <c r="AM110" s="357">
        <f t="shared" si="1191"/>
        <v>2.929782297395464E-4</v>
      </c>
      <c r="AN110" s="357">
        <f t="shared" si="1191"/>
        <v>3.1245274664643024E-4</v>
      </c>
      <c r="AO110" s="357">
        <f t="shared" si="1191"/>
        <v>2.1425657346540879E-3</v>
      </c>
      <c r="AP110" s="357">
        <f t="shared" si="1191"/>
        <v>1.8153542952025368E-4</v>
      </c>
      <c r="AQ110" s="357">
        <f t="shared" si="1191"/>
        <v>1.5654912118276499E-4</v>
      </c>
      <c r="AR110" s="357">
        <f t="shared" si="1191"/>
        <v>-2.4804778497306067E-4</v>
      </c>
      <c r="AS110" s="357">
        <f t="shared" si="1191"/>
        <v>-2.4586026091275525E-4</v>
      </c>
      <c r="AT110" s="357">
        <f t="shared" si="1191"/>
        <v>2.9129592250658491E-4</v>
      </c>
      <c r="AU110" s="357">
        <f t="shared" si="1191"/>
        <v>6.5865056797017674E-4</v>
      </c>
      <c r="AV110" s="357">
        <f t="shared" si="1191"/>
        <v>1.1606176787024894E-4</v>
      </c>
      <c r="AW110" s="357">
        <f t="shared" si="1191"/>
        <v>3.1785732916371972E-4</v>
      </c>
      <c r="AX110" s="357">
        <f t="shared" si="1191"/>
        <v>2.9718739129244368E-4</v>
      </c>
      <c r="AY110" s="348">
        <f t="shared" si="1191"/>
        <v>2.6648529539548082E-4</v>
      </c>
      <c r="AZ110" s="248">
        <f>AY110+0.02%</f>
        <v>4.6648529539548085E-4</v>
      </c>
      <c r="BA110" s="248">
        <f>AZ110+0.02%</f>
        <v>6.6648529539548083E-4</v>
      </c>
      <c r="BB110" s="248">
        <f t="shared" ref="BB110:BC110" si="1192">BA110+0.04%</f>
        <v>1.0664852953954809E-3</v>
      </c>
      <c r="BC110" s="248">
        <f t="shared" si="1192"/>
        <v>1.4664852953954809E-3</v>
      </c>
      <c r="BD110" s="248">
        <f>BC110-0.02%</f>
        <v>1.2664852953954808E-3</v>
      </c>
      <c r="BE110" s="248">
        <f t="shared" ref="BE110" si="1193">BD110-0.02%</f>
        <v>1.0664852953954807E-3</v>
      </c>
      <c r="BF110" s="248">
        <f>BE110-0.03%</f>
        <v>7.6648529539548077E-4</v>
      </c>
      <c r="BG110" s="248">
        <f t="shared" ref="BG110" si="1194">BF110-0.03%</f>
        <v>4.664852953954808E-4</v>
      </c>
      <c r="BH110" s="248">
        <f>BG110</f>
        <v>4.664852953954808E-4</v>
      </c>
      <c r="BI110" s="248">
        <f>BH110</f>
        <v>4.664852953954808E-4</v>
      </c>
      <c r="BJ110" s="248">
        <f>MIN(BI110+0.01%,0.21%)</f>
        <v>5.6648529539548079E-4</v>
      </c>
      <c r="BK110" s="248">
        <f>MIN(BJ110+0.02%,0.21%)</f>
        <v>7.6648529539548077E-4</v>
      </c>
      <c r="BL110" s="248">
        <f>MIN(BK110+0.02%,0.21%)</f>
        <v>9.6648529539548075E-4</v>
      </c>
      <c r="BM110" s="248">
        <f t="shared" ref="BM110:BQ110" si="1195">MIN(BL110+0.03%,0.21%)</f>
        <v>1.2664852953954808E-3</v>
      </c>
      <c r="BN110" s="248">
        <f t="shared" si="1195"/>
        <v>1.5664852953954807E-3</v>
      </c>
      <c r="BO110" s="248">
        <f t="shared" si="1195"/>
        <v>1.8664852953954806E-3</v>
      </c>
      <c r="BP110" s="248">
        <f t="shared" si="1195"/>
        <v>2.0999999999999999E-3</v>
      </c>
      <c r="BQ110" s="248">
        <f t="shared" si="1195"/>
        <v>2.0999999999999999E-3</v>
      </c>
      <c r="BR110" s="35"/>
      <c r="BS110" s="395">
        <f t="shared" ref="BS110:CF110" si="1196">-BS468*BS$5/(BS237+AVERAGE(BR179:BS179)-BS232-((SUM(AVERAGE(BR160:BS160),AVERAGE(BR166:BS166),AVERAGE(BR172:BS172))/AVERAGE(BR178:BS178))*BS234))</f>
        <v>1.072231671251269E-2</v>
      </c>
      <c r="BT110" s="345">
        <f t="shared" si="1196"/>
        <v>1.8635472649953345E-2</v>
      </c>
      <c r="BU110" s="345">
        <f t="shared" si="1196"/>
        <v>2.1022561977737934E-2</v>
      </c>
      <c r="BV110" s="345">
        <f t="shared" si="1196"/>
        <v>6.5197626378071163E-3</v>
      </c>
      <c r="BW110" s="345">
        <f t="shared" si="1196"/>
        <v>3.8883281102880946E-3</v>
      </c>
      <c r="BX110" s="345">
        <f t="shared" si="1196"/>
        <v>1.7673974293778399E-3</v>
      </c>
      <c r="BY110" s="345">
        <f t="shared" si="1196"/>
        <v>1.7598559604574098E-3</v>
      </c>
      <c r="BZ110" s="345">
        <f t="shared" si="1196"/>
        <v>3.8948058805823396E-3</v>
      </c>
      <c r="CA110" s="345">
        <f t="shared" si="1196"/>
        <v>4.7849746456400111E-3</v>
      </c>
      <c r="CB110" s="345">
        <f t="shared" si="1196"/>
        <v>7.5831174993525726E-3</v>
      </c>
      <c r="CC110" s="35">
        <f t="shared" si="1196"/>
        <v>6.5304656184036842E-3</v>
      </c>
      <c r="CD110" s="35">
        <f t="shared" si="1196"/>
        <v>6.0170851543345887E-3</v>
      </c>
      <c r="CE110" s="35">
        <f t="shared" si="1196"/>
        <v>5.554289473033441E-3</v>
      </c>
      <c r="CF110" s="35">
        <f t="shared" si="1196"/>
        <v>4.1390982555749353E-3</v>
      </c>
      <c r="CG110" s="35">
        <f t="shared" ref="CG110:CS110" si="1197">-CG468*CG$5/(CG237-CG232-((SUM(AVERAGE(CF160:CG160),AVERAGE(CF166:CG166),AVERAGE(CF172:CG172))/AVERAGE(CF178:CG178))*CG234))</f>
        <v>1.5145077307842873E-3</v>
      </c>
      <c r="CH110" s="35">
        <f t="shared" si="1197"/>
        <v>2.1662329697630998E-3</v>
      </c>
      <c r="CI110" s="35">
        <f t="shared" si="1197"/>
        <v>8.3398351384474665E-4</v>
      </c>
      <c r="CJ110" s="35">
        <f t="shared" si="1197"/>
        <v>7.3347989784871915E-3</v>
      </c>
      <c r="CK110" s="35">
        <f t="shared" si="1197"/>
        <v>6.0391852462567935E-3</v>
      </c>
      <c r="CL110" s="35">
        <f t="shared" si="1197"/>
        <v>2.7270533683208188E-3</v>
      </c>
      <c r="CM110" s="37">
        <f t="shared" si="1197"/>
        <v>2.988236420876993E-3</v>
      </c>
      <c r="CN110" s="37">
        <f t="shared" si="1197"/>
        <v>3.3901585795823616E-3</v>
      </c>
      <c r="CO110" s="37">
        <f t="shared" si="1197"/>
        <v>2.5127481780924631E-3</v>
      </c>
      <c r="CP110" s="37">
        <f t="shared" si="1197"/>
        <v>1.2245043734302227E-3</v>
      </c>
      <c r="CQ110" s="37">
        <f t="shared" si="1197"/>
        <v>2.2580181372003874E-3</v>
      </c>
      <c r="CR110" s="37">
        <f t="shared" si="1197"/>
        <v>2.0958388095871968E-3</v>
      </c>
      <c r="CS110" s="37">
        <f t="shared" si="1197"/>
        <v>4.6222860693837794E-4</v>
      </c>
      <c r="CT110" s="37">
        <f t="shared" ref="CT110:CY110" si="1198">-CT468*CT$5/(CT237-CT232-((SUM(AVERAGE(CT160:CT160),AVERAGE(CT166:CT166),AVERAGE(CT172:CT172))/AVERAGE(CT178:CT178))*CT234))</f>
        <v>2.5576531075969714E-4</v>
      </c>
      <c r="CU110" s="37">
        <f t="shared" si="1198"/>
        <v>1.2495461821816919E-3</v>
      </c>
      <c r="CV110" s="37">
        <f t="shared" si="1198"/>
        <v>1.6658608786286464E-4</v>
      </c>
      <c r="CW110" s="37">
        <f t="shared" si="1198"/>
        <v>-2.4665636533731004E-4</v>
      </c>
      <c r="CX110" s="37">
        <f t="shared" si="1198"/>
        <v>4.736368265105804E-4</v>
      </c>
      <c r="CY110" s="37">
        <f t="shared" si="1198"/>
        <v>2.1743573472134857E-4</v>
      </c>
      <c r="CZ110" s="36">
        <f t="shared" ref="CZ110" si="1199">-CZ468*CZ$5/(CZ237-CZ232-((SUM(AVERAGE(CZ160:CZ160),AVERAGE(CZ166:CZ166),AVERAGE(CZ172:CZ172))/AVERAGE(CZ178:CZ178))*CZ234))</f>
        <v>2.8145995887038225E-4</v>
      </c>
      <c r="DA110" s="35">
        <f t="shared" ref="DA110:DF110" si="1200">-DA468*DA$5/(DA237-DA232-((SUM(AVERAGE(DA160:DA160),AVERAGE(DA166:DA166),AVERAGE(DA172:DA172))/AVERAGE(DA178:DA178))*DA234))</f>
        <v>5.66985158062703E-4</v>
      </c>
      <c r="DB110" s="35">
        <f t="shared" si="1200"/>
        <v>1.2672645042694517E-3</v>
      </c>
      <c r="DC110" s="35">
        <f t="shared" si="1200"/>
        <v>1.165965758766056E-3</v>
      </c>
      <c r="DD110" s="35">
        <f t="shared" si="1200"/>
        <v>6.1562740817238824E-4</v>
      </c>
      <c r="DE110" s="35">
        <f t="shared" si="1200"/>
        <v>4.6640358547099715E-4</v>
      </c>
      <c r="DF110" s="35">
        <f t="shared" si="1200"/>
        <v>6.6752762225474578E-4</v>
      </c>
      <c r="DG110" s="35">
        <f t="shared" ref="DG110:DH110" si="1201">-DG468*DG$5/(DG237-DG232-((SUM(AVERAGE(DG160:DG160),AVERAGE(DG166:DG166),AVERAGE(DG172:DG172))/AVERAGE(DG178:DG178))*DG234))</f>
        <v>1.1175053024985553E-3</v>
      </c>
      <c r="DH110" s="35">
        <f t="shared" si="1201"/>
        <v>1.718033884402689E-3</v>
      </c>
      <c r="DI110" s="35">
        <f t="shared" ref="DI110" si="1202">-DI468*DI$5/(DI237-DI232-((SUM(AVERAGE(DI160:DI160),AVERAGE(DI166:DI166),AVERAGE(DI172:DI172))/AVERAGE(DI178:DI178))*DI234))</f>
        <v>2.0996121266724944E-3</v>
      </c>
    </row>
    <row r="111" spans="1:113" ht="12" outlineLevel="1">
      <c r="A111" s="1" t="s">
        <v>465</v>
      </c>
      <c r="B111" s="15" t="s">
        <v>490</v>
      </c>
      <c r="C111" s="248">
        <f>AVERAGE(AU111:BR111)</f>
        <v>2.1987090897330058E-2</v>
      </c>
      <c r="D111" s="248">
        <f>AVERAGE(BR111:BS111)</f>
        <v>5.0959211656205761E-3</v>
      </c>
      <c r="E111" s="345">
        <f>-E469*E$5/((SUM(AVERAGE(D160:E160),AVERAGE(D166:E166),AVERAGE(D172:E172))/AVERAGE(D178:E178))*E234)</f>
        <v>-1.1497356924348473E-3</v>
      </c>
      <c r="F111" s="248">
        <f>AVERAGE(BS111:BT111)</f>
        <v>7.7821238805508893E-3</v>
      </c>
      <c r="G111" s="345">
        <f>-G469*G$5/((SUM(AVERAGE(F160:G160),AVERAGE(F166:G166),AVERAGE(F172:G172))/AVERAGE(F178:G178))*G234)</f>
        <v>-4.2341824782531605E-4</v>
      </c>
      <c r="H111" s="248">
        <f>AVERAGE(BT111:BU111)</f>
        <v>7.1502729231531208E-3</v>
      </c>
      <c r="I111" s="345">
        <f>-I469*I$5/((SUM(AVERAGE(H160:I160),AVERAGE(H166:I166),AVERAGE(H172:I172))/AVERAGE(H178:I178))*I234)</f>
        <v>-4.5651791173510698E-3</v>
      </c>
      <c r="J111" s="248">
        <f>AVERAGE(BU111:BV111)</f>
        <v>4.0517533613524757E-3</v>
      </c>
      <c r="K111" s="345">
        <f>-K469*K$5/((SUM(AVERAGE(J160:K160),AVERAGE(J166:K166),AVERAGE(J172:K172))/AVERAGE(J178:K178))*K234)</f>
        <v>-1.1398523325123785E-3</v>
      </c>
      <c r="L111" s="248">
        <f>AVERAGE(BV111:BW111)</f>
        <v>4.1521734920861291E-3</v>
      </c>
      <c r="M111" s="35">
        <f>-M469*M$5/((SUM(AVERAGE(L160:M160),AVERAGE(L166:M166),AVERAGE(L172:M172))/AVERAGE(L178:M178))*M234)</f>
        <v>1.763334307794567E-2</v>
      </c>
      <c r="N111" s="34">
        <f>AVERAGE(CG111:CH111)</f>
        <v>1.2022246897677689E-2</v>
      </c>
      <c r="O111" s="35">
        <f t="shared" ref="O111:AX111" si="1203">-O469*O$5/((SUM(AVERAGE(N160:O160),AVERAGE(N166:O166),AVERAGE(N172:O172))/AVERAGE(N178:O178))*O234)</f>
        <v>1.3346103763438142E-2</v>
      </c>
      <c r="P111" s="35">
        <f t="shared" si="1203"/>
        <v>3.46032297698586E-2</v>
      </c>
      <c r="Q111" s="35">
        <f t="shared" si="1203"/>
        <v>4.308920607964023E-2</v>
      </c>
      <c r="R111" s="35">
        <f t="shared" si="1203"/>
        <v>4.988289408069687E-2</v>
      </c>
      <c r="S111" s="35">
        <f t="shared" si="1203"/>
        <v>6.5290689171122254E-2</v>
      </c>
      <c r="T111" s="37">
        <f t="shared" si="1203"/>
        <v>5.2178826524169795E-2</v>
      </c>
      <c r="U111" s="35">
        <f t="shared" si="1203"/>
        <v>3.7591564792868515E-2</v>
      </c>
      <c r="V111" s="35">
        <f t="shared" si="1203"/>
        <v>4.801109066875496E-2</v>
      </c>
      <c r="W111" s="35">
        <f t="shared" si="1203"/>
        <v>5.3352973948923015E-2</v>
      </c>
      <c r="X111" s="35">
        <f t="shared" si="1203"/>
        <v>4.769581621795993E-2</v>
      </c>
      <c r="Y111" s="37">
        <f t="shared" si="1203"/>
        <v>5.3739782718173895E-2</v>
      </c>
      <c r="Z111" s="37">
        <f t="shared" si="1203"/>
        <v>4.3930925047909415E-2</v>
      </c>
      <c r="AA111" s="357">
        <f t="shared" si="1203"/>
        <v>4.878575822377746E-2</v>
      </c>
      <c r="AB111" s="357">
        <f t="shared" si="1203"/>
        <v>5.1861229099855841E-2</v>
      </c>
      <c r="AC111" s="357">
        <f t="shared" si="1203"/>
        <v>5.4607143522384535E-2</v>
      </c>
      <c r="AD111" s="357">
        <f t="shared" si="1203"/>
        <v>5.3268610424322058E-2</v>
      </c>
      <c r="AE111" s="357">
        <f t="shared" si="1203"/>
        <v>6.4378233616190952E-2</v>
      </c>
      <c r="AF111" s="357">
        <f t="shared" si="1203"/>
        <v>6.5726077922881099E-2</v>
      </c>
      <c r="AG111" s="357">
        <f t="shared" si="1203"/>
        <v>6.8309948216608796E-2</v>
      </c>
      <c r="AH111" s="357">
        <f t="shared" si="1203"/>
        <v>7.1037800154727979E-2</v>
      </c>
      <c r="AI111" s="357">
        <f t="shared" si="1203"/>
        <v>7.1798756071070266E-2</v>
      </c>
      <c r="AJ111" s="357">
        <f t="shared" si="1203"/>
        <v>7.1656353161823394E-2</v>
      </c>
      <c r="AK111" s="357">
        <f t="shared" si="1203"/>
        <v>6.5743695849894854E-2</v>
      </c>
      <c r="AL111" s="357">
        <f t="shared" si="1203"/>
        <v>5.9868105977351413E-2</v>
      </c>
      <c r="AM111" s="357">
        <f t="shared" si="1203"/>
        <v>6.8094532212625555E-2</v>
      </c>
      <c r="AN111" s="357">
        <f t="shared" si="1203"/>
        <v>5.7344732864234985E-2</v>
      </c>
      <c r="AO111" s="357">
        <f t="shared" si="1203"/>
        <v>4.9300538547160176E-2</v>
      </c>
      <c r="AP111" s="357">
        <f t="shared" si="1203"/>
        <v>4.2094768377974039E-2</v>
      </c>
      <c r="AQ111" s="357">
        <f t="shared" si="1203"/>
        <v>4.286520879286377E-2</v>
      </c>
      <c r="AR111" s="357">
        <f t="shared" si="1203"/>
        <v>3.9509605188731707E-2</v>
      </c>
      <c r="AS111" s="357">
        <f t="shared" si="1203"/>
        <v>3.4383020814684022E-2</v>
      </c>
      <c r="AT111" s="357">
        <f t="shared" si="1203"/>
        <v>9.3367732862174001E-3</v>
      </c>
      <c r="AU111" s="357">
        <f t="shared" si="1203"/>
        <v>1.6768584808190792E-2</v>
      </c>
      <c r="AV111" s="357">
        <f t="shared" si="1203"/>
        <v>1.2860065483702872E-2</v>
      </c>
      <c r="AW111" s="357">
        <f t="shared" si="1203"/>
        <v>1.7296583938694061E-2</v>
      </c>
      <c r="AX111" s="357">
        <f t="shared" si="1203"/>
        <v>1.7588461338101272E-2</v>
      </c>
      <c r="AY111" s="348">
        <f>-AY469*AY$5/((SUM(AVERAGE(AX160:AY160),AVERAGE(AX166:AY166),AVERAGE(AX172:AY172))/AVERAGE(AX178:AY178))*AY234)</f>
        <v>2.1712626337993497E-2</v>
      </c>
      <c r="AZ111" s="248">
        <f t="shared" ref="AZ111:BC111" si="1204">AY111+0.35%</f>
        <v>2.5212626337993496E-2</v>
      </c>
      <c r="BA111" s="248">
        <f t="shared" si="1204"/>
        <v>2.8712626337993496E-2</v>
      </c>
      <c r="BB111" s="248">
        <f t="shared" si="1204"/>
        <v>3.2212626337993495E-2</v>
      </c>
      <c r="BC111" s="248">
        <f t="shared" si="1204"/>
        <v>3.5712626337993492E-2</v>
      </c>
      <c r="BD111" s="248">
        <f>BC111-0.35%</f>
        <v>3.2212626337993489E-2</v>
      </c>
      <c r="BE111" s="248">
        <f t="shared" ref="BE111:BG111" si="1205">BD111-0.35%</f>
        <v>2.8712626337993489E-2</v>
      </c>
      <c r="BF111" s="248">
        <f t="shared" si="1205"/>
        <v>2.5212626337993489E-2</v>
      </c>
      <c r="BG111" s="248">
        <f t="shared" si="1205"/>
        <v>2.171262633799349E-2</v>
      </c>
      <c r="BH111" s="248">
        <f>BG111-0.25%</f>
        <v>1.9212626337993491E-2</v>
      </c>
      <c r="BI111" s="248">
        <f>BH111-0.25%</f>
        <v>1.6712626337993492E-2</v>
      </c>
      <c r="BJ111" s="248">
        <f>MIN(BI111+0.07%, 2%)</f>
        <v>1.7412626337993491E-2</v>
      </c>
      <c r="BK111" s="248">
        <f t="shared" ref="BK111:BQ111" si="1206">MIN(BJ111+0.07%, 2%)</f>
        <v>1.8112626337993491E-2</v>
      </c>
      <c r="BL111" s="248">
        <f t="shared" si="1206"/>
        <v>1.881262633799349E-2</v>
      </c>
      <c r="BM111" s="248">
        <f t="shared" si="1206"/>
        <v>1.9512626337993489E-2</v>
      </c>
      <c r="BN111" s="248">
        <f t="shared" si="1206"/>
        <v>0.02</v>
      </c>
      <c r="BO111" s="248">
        <f t="shared" si="1206"/>
        <v>0.02</v>
      </c>
      <c r="BP111" s="248">
        <f t="shared" si="1206"/>
        <v>0.02</v>
      </c>
      <c r="BQ111" s="248">
        <f t="shared" si="1206"/>
        <v>0.02</v>
      </c>
      <c r="BR111" s="35"/>
      <c r="BS111" s="394">
        <f>(48-10)*BS$5/((SUM(AVERAGE(6199.9,6012.4),AVERAGE(2304,1876)*15996/18774.6)/AVERAGE(BR178:BS178))*BS234)</f>
        <v>5.0959211656205761E-3</v>
      </c>
      <c r="BT111" s="394">
        <f>(91-8)*BT$5/((SUM(AVERAGE(6012.4,6252.2),AVERAGE(2304,1876)*18774.6/18350.7)/AVERAGE(BS178:BT178))*BT234)</f>
        <v>1.0468326595481203E-2</v>
      </c>
      <c r="BU111" s="394">
        <f>(42-11)*BU$5/((SUM(AVERAGE(6252.2,6379),AVERAGE(2304,1876)*18350.7/18297)/AVERAGE(BT178:BU178))*BU234)</f>
        <v>3.8322192508250382E-3</v>
      </c>
      <c r="BV111" s="394">
        <f>(47-10)*BV$5/((SUM(AVERAGE(6379,7109),AVERAGE(2304,2852)*18297/23022)/AVERAGE(BU178:BV178))*BV234)</f>
        <v>4.2712874718799122E-3</v>
      </c>
      <c r="BW111" s="394">
        <f>(46-9)*BW$5/((SUM(AVERAGE(7109,7384),AVERAGE(2304,2852)*23022/26830)/AVERAGE(BV178:BW178))*BW234)</f>
        <v>4.0330595122923469E-3</v>
      </c>
      <c r="BX111" s="376">
        <f>(55-9)*BX$5/((SUM(AVERAGE(7384,6229),AVERAGE(2304,2852)*26830/(2439+346+55+3189+656+73+5172+2852+900+9412+1851+2782))/AVERAGE(BW178:BX178))*BX234)</f>
        <v>5.1215627169953985E-3</v>
      </c>
      <c r="BY111" s="376">
        <f>(81-10)*BY$5/((SUM(AVERAGE(6229,7112),AVERAGE(2852,3509))/AVERAGE(BX178:BY178))*BY234)</f>
        <v>7.2918874485112884E-3</v>
      </c>
      <c r="BZ111" s="376">
        <f>(67-8)*BZ$5/((SUM(AVERAGE(7112,9280),AVERAGE(3509,2304))/AVERAGE(BY178:BZ178))*BZ234)</f>
        <v>5.3808480602006159E-3</v>
      </c>
      <c r="CA111" s="376">
        <f>(133-9)*CA$5/((SUM(AVERAGE(9280,12728),AVERAGE(2304,1876))/AVERAGE(BZ178:CA178))*CA234)</f>
        <v>9.344573677729992E-3</v>
      </c>
      <c r="CB111" s="376">
        <f>(292-30)*CB$5/((SUM(AVERAGE(13435,12728),AVERAGE(1804,1876))/AVERAGE(CA178:CB178))*CB234)</f>
        <v>1.7671621766007301E-2</v>
      </c>
      <c r="CC111" s="38">
        <f>(237-27)*CC$5/((SUM(AVERAGE(13435,14893),AVERAGE(1804,1848))/AVERAGE(CB178:CC178))*CC234)</f>
        <v>1.2056649909278343E-2</v>
      </c>
      <c r="CD111" s="38">
        <f>(177-24)*CD$5/((SUM(AVERAGE(15648,14893),AVERAGE(1771,1848))/AVERAGE(CC178:CD178))*CD234)</f>
        <v>8.2608003721437416E-3</v>
      </c>
      <c r="CE111" s="38">
        <f>(203-46)*CE$5/((SUM(AVERAGE(15648,19491),AVERAGE(1771,2497))/AVERAGE(CD178:CE178))*CE234)</f>
        <v>7.1598364619465003E-3</v>
      </c>
      <c r="CF111" s="38">
        <f>(209-50)*CF$5/((SUM(AVERAGE(13702,19491),AVERAGE(3101,2497))/AVERAGE(CE178:CF178))*CF234)</f>
        <v>7.7644267903967121E-3</v>
      </c>
      <c r="CG111" s="38">
        <f>(264-53)*CG$5/((SUM(AVERAGE(13702,15579),AVERAGE(3101,3692))/AVERAGE(CF178:CG178))*CG234)</f>
        <v>1.1192863525761369E-2</v>
      </c>
      <c r="CH111" s="38">
        <f>(337-65)*CH$5/((SUM(AVERAGE(18377,15579),AVERAGE(3167,3692))/AVERAGE(CG178:CH178))*CH234)</f>
        <v>1.2851630269594008E-2</v>
      </c>
      <c r="CI111" s="35">
        <f t="shared" ref="CI111:CS111" si="1207">-CI469*CI$5/((SUM(AVERAGE(CH160:CI160),AVERAGE(CH166:CI166),AVERAGE(CH172:CI172))/AVERAGE(CH178:CI178))*CI234)</f>
        <v>3.6698787721279179E-2</v>
      </c>
      <c r="CJ111" s="35">
        <f t="shared" si="1207"/>
        <v>5.6773678411398056E-2</v>
      </c>
      <c r="CK111" s="35">
        <f t="shared" si="1207"/>
        <v>4.4636304040305178E-2</v>
      </c>
      <c r="CL111" s="35">
        <f t="shared" si="1207"/>
        <v>5.0518625596804888E-2</v>
      </c>
      <c r="CM111" s="37">
        <f t="shared" si="1207"/>
        <v>5.0954783658767495E-2</v>
      </c>
      <c r="CN111" s="37">
        <f t="shared" si="1207"/>
        <v>4.6369036039786767E-2</v>
      </c>
      <c r="CO111" s="37">
        <f t="shared" si="1207"/>
        <v>5.2548794871804791E-2</v>
      </c>
      <c r="CP111" s="37">
        <f t="shared" si="1207"/>
        <v>5.9321330940659903E-2</v>
      </c>
      <c r="CQ111" s="37">
        <f t="shared" si="1207"/>
        <v>6.7932737058772133E-2</v>
      </c>
      <c r="CR111" s="37">
        <f t="shared" si="1207"/>
        <v>7.2320981752004201E-2</v>
      </c>
      <c r="CS111" s="37">
        <f t="shared" si="1207"/>
        <v>6.8374354720870542E-2</v>
      </c>
      <c r="CT111" s="37">
        <f t="shared" ref="CT111:CY111" si="1208">-CT469*CT$5/((SUM(AVERAGE(CT160:CT160),AVERAGE(CT166:CT166),AVERAGE(CT172:CT172))/AVERAGE(CT178:CT178))*CT234)</f>
        <v>6.8325515034928619E-2</v>
      </c>
      <c r="CU111" s="37">
        <f t="shared" si="1208"/>
        <v>6.224492106135384E-2</v>
      </c>
      <c r="CV111" s="37">
        <f t="shared" si="1208"/>
        <v>4.6901290863629812E-2</v>
      </c>
      <c r="CW111" s="37">
        <f t="shared" si="1208"/>
        <v>3.854684039569687E-2</v>
      </c>
      <c r="CX111" s="37">
        <f t="shared" si="1208"/>
        <v>1.3463545946140021E-2</v>
      </c>
      <c r="CY111" s="37">
        <f t="shared" si="1208"/>
        <v>1.6674484787780521E-2</v>
      </c>
      <c r="CZ111" s="36">
        <f t="shared" ref="CZ111" si="1209">-CZ469*CZ$5/((SUM(AVERAGE(CZ160:CZ160),AVERAGE(CZ166:CZ166),AVERAGE(CZ172:CZ172))/AVERAGE(CZ178:CZ178))*CZ234)</f>
        <v>2.0545684313051444E-2</v>
      </c>
      <c r="DA111" s="35">
        <f t="shared" ref="DA111:DF111" si="1210">-DA469*DA$5/((SUM(AVERAGE(DA160:DA160),AVERAGE(DA166:DA166),AVERAGE(DA172:DA172))/AVERAGE(DA178:DA178))*DA234)</f>
        <v>2.7144362583879117E-2</v>
      </c>
      <c r="DB111" s="35">
        <f t="shared" si="1210"/>
        <v>3.4469370965459545E-2</v>
      </c>
      <c r="DC111" s="35">
        <f t="shared" si="1210"/>
        <v>3.0798673257046976E-2</v>
      </c>
      <c r="DD111" s="35">
        <f t="shared" si="1210"/>
        <v>2.365670920456793E-2</v>
      </c>
      <c r="DE111" s="35">
        <f t="shared" si="1210"/>
        <v>1.8114957081815188E-2</v>
      </c>
      <c r="DF111" s="35">
        <f t="shared" si="1210"/>
        <v>1.7917528585884079E-2</v>
      </c>
      <c r="DG111" s="35">
        <f t="shared" ref="DG111:DH111" si="1211">-DG469*DG$5/((SUM(AVERAGE(DG160:DG160),AVERAGE(DG166:DG166),AVERAGE(DG172:DG172))/AVERAGE(DG178:DG178))*DG234)</f>
        <v>1.9324276404241413E-2</v>
      </c>
      <c r="DH111" s="35">
        <f t="shared" si="1211"/>
        <v>2.0186517071423812E-2</v>
      </c>
      <c r="DI111" s="35">
        <f t="shared" ref="DI111" si="1212">-DI469*DI$5/((SUM(AVERAGE(DI160:DI160),AVERAGE(DI166:DI166),AVERAGE(DI172:DI172))/AVERAGE(DI178:DI178))*DI234)</f>
        <v>2.0202197855595707E-2</v>
      </c>
    </row>
    <row r="112" spans="1:113" ht="12" outlineLevel="1">
      <c r="A112" s="1" t="s">
        <v>466</v>
      </c>
      <c r="B112" s="15" t="s">
        <v>862</v>
      </c>
      <c r="C112" s="345">
        <f t="shared" ref="C112:K112" si="1213">-C470/(C237+AVERAGE(B179:C179))*C$5</f>
        <v>5.9290900662211168E-3</v>
      </c>
      <c r="D112" s="345">
        <f t="shared" si="1213"/>
        <v>3.7705005653723605E-3</v>
      </c>
      <c r="E112" s="345">
        <f t="shared" si="1213"/>
        <v>5.0944057717344157E-3</v>
      </c>
      <c r="F112" s="345">
        <f t="shared" si="1213"/>
        <v>3.4058746102673134E-3</v>
      </c>
      <c r="G112" s="345">
        <f t="shared" si="1213"/>
        <v>4.1258361503037312E-3</v>
      </c>
      <c r="H112" s="345">
        <f t="shared" si="1213"/>
        <v>3.3353174700780702E-3</v>
      </c>
      <c r="I112" s="345">
        <f t="shared" si="1213"/>
        <v>3.0267525873852764E-3</v>
      </c>
      <c r="J112" s="345">
        <f t="shared" si="1213"/>
        <v>2.1678238102762655E-3</v>
      </c>
      <c r="K112" s="345">
        <f t="shared" si="1213"/>
        <v>2.4282480336368256E-3</v>
      </c>
      <c r="L112" s="345">
        <f t="shared" ref="L112:AC112" si="1214">-L470/L237*L$5</f>
        <v>1.0104996799795963E-3</v>
      </c>
      <c r="M112" s="35">
        <f t="shared" si="1214"/>
        <v>1.2564098624213574E-3</v>
      </c>
      <c r="N112" s="35">
        <f t="shared" si="1214"/>
        <v>1.1225185420585659E-3</v>
      </c>
      <c r="O112" s="35">
        <f t="shared" si="1214"/>
        <v>1.8771110420952618E-3</v>
      </c>
      <c r="P112" s="35">
        <f t="shared" si="1214"/>
        <v>1.7161053701087899E-3</v>
      </c>
      <c r="Q112" s="35">
        <f t="shared" si="1214"/>
        <v>1.8917196142536961E-3</v>
      </c>
      <c r="R112" s="35">
        <f t="shared" si="1214"/>
        <v>4.6209039545618384E-3</v>
      </c>
      <c r="S112" s="35">
        <f t="shared" si="1214"/>
        <v>5.9989543094279502E-3</v>
      </c>
      <c r="T112" s="37">
        <f t="shared" si="1214"/>
        <v>5.3054953505144165E-3</v>
      </c>
      <c r="U112" s="35">
        <f t="shared" si="1214"/>
        <v>3.6227169465535233E-3</v>
      </c>
      <c r="V112" s="35">
        <f t="shared" si="1214"/>
        <v>3.1857361519135974E-3</v>
      </c>
      <c r="W112" s="35">
        <f t="shared" si="1214"/>
        <v>2.9822479129266981E-3</v>
      </c>
      <c r="X112" s="35">
        <f t="shared" si="1214"/>
        <v>2.6699587993513716E-3</v>
      </c>
      <c r="Y112" s="37">
        <f t="shared" si="1214"/>
        <v>3.4792449477294889E-3</v>
      </c>
      <c r="Z112" s="228">
        <f t="shared" si="1214"/>
        <v>3.3595787396660361E-3</v>
      </c>
      <c r="AA112" s="228">
        <f t="shared" si="1214"/>
        <v>2.7559957517636511E-3</v>
      </c>
      <c r="AB112" s="357">
        <f t="shared" si="1214"/>
        <v>2.314320644457293E-3</v>
      </c>
      <c r="AC112" s="357">
        <f t="shared" si="1214"/>
        <v>3.0064725959206961E-3</v>
      </c>
      <c r="AD112" s="357">
        <f t="shared" ref="AD112:AE112" si="1215">-AD470/AD237*AD$5</f>
        <v>1.8443322019657605E-3</v>
      </c>
      <c r="AE112" s="357">
        <f t="shared" si="1215"/>
        <v>2.4000108517709222E-3</v>
      </c>
      <c r="AF112" s="357">
        <f t="shared" ref="AF112:AG112" si="1216">-AF470/AF237*AF$5</f>
        <v>2.0220281268831723E-3</v>
      </c>
      <c r="AG112" s="357">
        <f t="shared" si="1216"/>
        <v>3.422463774690826E-3</v>
      </c>
      <c r="AH112" s="357">
        <f t="shared" ref="AH112" si="1217">-AH470/AH237*AH$5</f>
        <v>2.84343953882855E-3</v>
      </c>
      <c r="AI112" s="357">
        <f t="shared" ref="AI112:AJ112" si="1218">-AI470/AI237*AI$5</f>
        <v>2.4183505620931581E-3</v>
      </c>
      <c r="AJ112" s="357">
        <f t="shared" si="1218"/>
        <v>1.9431805626357185E-3</v>
      </c>
      <c r="AK112" s="357">
        <f t="shared" ref="AK112:AL112" si="1219">-AK470/AK237*AK$5</f>
        <v>1.5120014939617058E-3</v>
      </c>
      <c r="AL112" s="357">
        <f t="shared" si="1219"/>
        <v>1.3862604981392647E-3</v>
      </c>
      <c r="AM112" s="357">
        <f t="shared" ref="AM112:AN112" si="1220">-AM470/AM237*AM$5</f>
        <v>1.5518677726958472E-3</v>
      </c>
      <c r="AN112" s="357">
        <f t="shared" si="1220"/>
        <v>1.2073319782547934E-3</v>
      </c>
      <c r="AO112" s="357">
        <f t="shared" ref="AO112" si="1221">-AO470/AO237*AO$5</f>
        <v>1.7286966944026448E-3</v>
      </c>
      <c r="AP112" s="357">
        <f t="shared" ref="AP112:AQ112" si="1222">-AP470/AP237*AP$5</f>
        <v>8.6176343819739556E-4</v>
      </c>
      <c r="AQ112" s="357">
        <f t="shared" si="1222"/>
        <v>6.5203428416363079E-4</v>
      </c>
      <c r="AR112" s="357">
        <f t="shared" ref="AR112:AS112" si="1223">-AR470/AR237*AR$5</f>
        <v>4.0632697484186645E-4</v>
      </c>
      <c r="AS112" s="357">
        <f t="shared" si="1223"/>
        <v>3.1230519516891518E-4</v>
      </c>
      <c r="AT112" s="357">
        <f t="shared" ref="AT112:AU112" si="1224">-AT470/AT237*AT$5</f>
        <v>2.5946978829753344E-4</v>
      </c>
      <c r="AU112" s="357">
        <f t="shared" si="1224"/>
        <v>4.8469953507758429E-4</v>
      </c>
      <c r="AV112" s="357">
        <f t="shared" ref="AV112:AW112" si="1225">-AV470/AV237*AV$5</f>
        <v>2.0482482958875391E-4</v>
      </c>
      <c r="AW112" s="357">
        <f t="shared" si="1225"/>
        <v>3.1742491185024409E-4</v>
      </c>
      <c r="AX112" s="357">
        <f t="shared" ref="AX112:AY112" si="1226">-AX470/AX237*AX$5</f>
        <v>2.9192557423233953E-4</v>
      </c>
      <c r="AY112" s="348">
        <f t="shared" si="1226"/>
        <v>3.0282721442013836E-4</v>
      </c>
      <c r="AZ112" s="345">
        <f t="shared" ref="AZ112:BA112" si="1227">-AZ470/AZ237*AZ$5</f>
        <v>4.1728584224991634E-4</v>
      </c>
      <c r="BA112" s="345">
        <f t="shared" si="1227"/>
        <v>5.3307865154469654E-4</v>
      </c>
      <c r="BB112" s="345">
        <f t="shared" ref="BB112:BC112" si="1228">-BB470/BB237*BB$5</f>
        <v>7.2357331152824648E-4</v>
      </c>
      <c r="BC112" s="345">
        <f t="shared" si="1228"/>
        <v>9.0879213370050256E-4</v>
      </c>
      <c r="BD112" s="345">
        <f t="shared" ref="BD112:BO112" si="1229">-BD470/BD237*BD$5</f>
        <v>8.1456969460512105E-4</v>
      </c>
      <c r="BE112" s="345">
        <f t="shared" si="1229"/>
        <v>7.2384112162536074E-4</v>
      </c>
      <c r="BF112" s="345">
        <f t="shared" si="1229"/>
        <v>5.9967012176873188E-4</v>
      </c>
      <c r="BG112" s="345">
        <f t="shared" si="1229"/>
        <v>4.7891662323731274E-4</v>
      </c>
      <c r="BH112" s="345">
        <f t="shared" si="1229"/>
        <v>4.7524967700886446E-4</v>
      </c>
      <c r="BI112" s="345">
        <f t="shared" si="1229"/>
        <v>4.5641928933540476E-4</v>
      </c>
      <c r="BJ112" s="345">
        <f t="shared" si="1229"/>
        <v>5.2770156021722883E-4</v>
      </c>
      <c r="BK112" s="345">
        <f t="shared" si="1229"/>
        <v>6.0262024395694102E-4</v>
      </c>
      <c r="BL112" s="345">
        <f t="shared" si="1229"/>
        <v>6.7705389920133996E-4</v>
      </c>
      <c r="BM112" s="345">
        <f t="shared" si="1229"/>
        <v>7.8651834513715361E-4</v>
      </c>
      <c r="BN112" s="345">
        <f t="shared" si="1229"/>
        <v>8.943543313250377E-4</v>
      </c>
      <c r="BO112" s="345">
        <f t="shared" si="1229"/>
        <v>9.9909055528336378E-4</v>
      </c>
      <c r="BP112" s="345">
        <f t="shared" ref="BP112:BQ112" si="1230">-BP470/BP237*BP$5</f>
        <v>1.0806895502819011E-3</v>
      </c>
      <c r="BQ112" s="345">
        <f t="shared" si="1230"/>
        <v>1.0801303923811314E-3</v>
      </c>
      <c r="BR112" s="35"/>
      <c r="BS112" s="345">
        <f t="shared" ref="BS112:CF112" si="1231">-BS470/(BS237+AVERAGE(BR179:BS179))*BS$5</f>
        <v>1.0025704827465254E-2</v>
      </c>
      <c r="BT112" s="345">
        <f t="shared" si="1231"/>
        <v>1.8862478204468437E-2</v>
      </c>
      <c r="BU112" s="345">
        <f t="shared" si="1231"/>
        <v>1.8529140498349465E-2</v>
      </c>
      <c r="BV112" s="345">
        <f t="shared" si="1231"/>
        <v>5.6562164360752214E-3</v>
      </c>
      <c r="BW112" s="345">
        <f t="shared" si="1231"/>
        <v>3.4811870847959153E-3</v>
      </c>
      <c r="BX112" s="345">
        <f t="shared" si="1231"/>
        <v>1.5687012722167318E-3</v>
      </c>
      <c r="BY112" s="345">
        <f t="shared" si="1231"/>
        <v>1.7319277108433734E-3</v>
      </c>
      <c r="BZ112" s="345">
        <f t="shared" si="1231"/>
        <v>2.990317881929569E-3</v>
      </c>
      <c r="CA112" s="345">
        <f t="shared" si="1231"/>
        <v>3.783982929861996E-3</v>
      </c>
      <c r="CB112" s="345">
        <f t="shared" si="1231"/>
        <v>5.5290072554561613E-3</v>
      </c>
      <c r="CC112" s="35">
        <f t="shared" si="1231"/>
        <v>4.4457640896758696E-3</v>
      </c>
      <c r="CD112" s="35">
        <f t="shared" si="1231"/>
        <v>3.771107101152877E-3</v>
      </c>
      <c r="CE112" s="35">
        <f t="shared" si="1231"/>
        <v>3.1770727479576797E-3</v>
      </c>
      <c r="CF112" s="35">
        <f t="shared" si="1231"/>
        <v>2.302014404260205E-3</v>
      </c>
      <c r="CG112" s="35">
        <f t="shared" ref="CG112:CY112" si="1232">-CG470/CG237*CG$5</f>
        <v>1.1337387541984969E-3</v>
      </c>
      <c r="CH112" s="35">
        <f t="shared" si="1232"/>
        <v>1.5111328261324772E-3</v>
      </c>
      <c r="CI112" s="35">
        <f t="shared" si="1232"/>
        <v>1.8062352809917106E-3</v>
      </c>
      <c r="CJ112" s="35">
        <f t="shared" si="1232"/>
        <v>5.3007605439041256E-3</v>
      </c>
      <c r="CK112" s="35">
        <f t="shared" si="1232"/>
        <v>4.41709169090397E-3</v>
      </c>
      <c r="CL112" s="35">
        <f t="shared" si="1232"/>
        <v>3.0821732160696354E-3</v>
      </c>
      <c r="CM112" s="37">
        <f t="shared" si="1232"/>
        <v>3.0840124221819211E-3</v>
      </c>
      <c r="CN112" s="37">
        <f t="shared" si="1232"/>
        <v>3.0540700356741371E-3</v>
      </c>
      <c r="CO112" s="37">
        <f t="shared" si="1232"/>
        <v>2.6696851907223101E-3</v>
      </c>
      <c r="CP112" s="37">
        <f t="shared" si="1232"/>
        <v>2.1327027012434468E-3</v>
      </c>
      <c r="CQ112" s="37">
        <f t="shared" si="1232"/>
        <v>2.7222835240141704E-3</v>
      </c>
      <c r="CR112" s="37">
        <f t="shared" si="1232"/>
        <v>2.6298216388545826E-3</v>
      </c>
      <c r="CS112" s="37">
        <f t="shared" si="1232"/>
        <v>1.7248281785426436E-3</v>
      </c>
      <c r="CT112" s="37">
        <f t="shared" si="1232"/>
        <v>1.4695777005191146E-3</v>
      </c>
      <c r="CU112" s="37">
        <f t="shared" si="1232"/>
        <v>1.4686056661776816E-3</v>
      </c>
      <c r="CV112" s="37">
        <f t="shared" si="1232"/>
        <v>7.5653662983378347E-4</v>
      </c>
      <c r="CW112" s="37">
        <f t="shared" si="1232"/>
        <v>3.5871193628575563E-4</v>
      </c>
      <c r="CX112" s="37">
        <f t="shared" si="1232"/>
        <v>3.7247258030639343E-4</v>
      </c>
      <c r="CY112" s="37">
        <f t="shared" si="1232"/>
        <v>2.6258655087431051E-4</v>
      </c>
      <c r="CZ112" s="36">
        <f t="shared" ref="CZ112" si="1233">-CZ470/CZ237*CZ$5</f>
        <v>2.9744313878070545E-4</v>
      </c>
      <c r="DA112" s="35">
        <f t="shared" ref="DA112:DF112" si="1234">-DA470/DA237*DA$5</f>
        <v>4.7581020383286515E-4</v>
      </c>
      <c r="DB112" s="35">
        <f t="shared" si="1234"/>
        <v>8.1715282267049382E-4</v>
      </c>
      <c r="DC112" s="35">
        <f t="shared" si="1234"/>
        <v>7.6882014023628258E-4</v>
      </c>
      <c r="DD112" s="35">
        <f t="shared" si="1234"/>
        <v>5.3865898570466656E-4</v>
      </c>
      <c r="DE112" s="35">
        <f t="shared" si="1234"/>
        <v>4.6572365798272974E-4</v>
      </c>
      <c r="DF112" s="35">
        <f t="shared" si="1234"/>
        <v>5.6561430088308503E-4</v>
      </c>
      <c r="DG112" s="35">
        <f t="shared" ref="DG112:DH112" si="1235">-DG470/DG237*DG$5</f>
        <v>7.3229093401876416E-4</v>
      </c>
      <c r="DH112" s="35">
        <f t="shared" si="1235"/>
        <v>9.4737872443494088E-4</v>
      </c>
      <c r="DI112" s="35">
        <f t="shared" ref="DI112" si="1236">-DI470/DI237*DI$5</f>
        <v>1.0804063433607007E-3</v>
      </c>
    </row>
    <row r="113" spans="1:113" ht="12" outlineLevel="1">
      <c r="A113" s="1" t="s">
        <v>467</v>
      </c>
      <c r="B113" s="15" t="s">
        <v>424</v>
      </c>
      <c r="C113" s="345">
        <f t="shared" ref="C113:K113" si="1237">-C470/(C233+AVERAGE(B179:C179))*C$5</f>
        <v>1.6068060831201457E-2</v>
      </c>
      <c r="D113" s="345">
        <f t="shared" si="1237"/>
        <v>5.8357791640149276E-3</v>
      </c>
      <c r="E113" s="345">
        <f t="shared" si="1237"/>
        <v>8.1595427776899269E-3</v>
      </c>
      <c r="F113" s="345">
        <f t="shared" si="1237"/>
        <v>5.5729503487343419E-3</v>
      </c>
      <c r="G113" s="345">
        <f t="shared" si="1237"/>
        <v>6.9064022627590193E-3</v>
      </c>
      <c r="H113" s="345">
        <f t="shared" si="1237"/>
        <v>5.8413852415011265E-3</v>
      </c>
      <c r="I113" s="345">
        <f t="shared" si="1237"/>
        <v>5.5657139390622723E-3</v>
      </c>
      <c r="J113" s="345">
        <f t="shared" si="1237"/>
        <v>4.1432667974587306E-3</v>
      </c>
      <c r="K113" s="345">
        <f t="shared" si="1237"/>
        <v>4.6704553198857772E-3</v>
      </c>
      <c r="L113" s="345">
        <f t="shared" ref="L113:AC113" si="1238">-L470/(L233+L235)*L$5</f>
        <v>2.057068537409678E-3</v>
      </c>
      <c r="M113" s="35">
        <f t="shared" si="1238"/>
        <v>2.5748539607420794E-3</v>
      </c>
      <c r="N113" s="35">
        <f t="shared" si="1238"/>
        <v>2.3218915688662995E-3</v>
      </c>
      <c r="O113" s="35">
        <f t="shared" si="1238"/>
        <v>3.8763961929650253E-3</v>
      </c>
      <c r="P113" s="35">
        <f t="shared" si="1238"/>
        <v>3.4446283656310648E-3</v>
      </c>
      <c r="Q113" s="35">
        <f t="shared" si="1238"/>
        <v>3.7560430342969387E-3</v>
      </c>
      <c r="R113" s="35">
        <f t="shared" si="1238"/>
        <v>9.222335404066943E-3</v>
      </c>
      <c r="S113" s="35">
        <f t="shared" si="1238"/>
        <v>1.2549782649273457E-2</v>
      </c>
      <c r="T113" s="37">
        <f t="shared" si="1238"/>
        <v>1.1508505705611374E-2</v>
      </c>
      <c r="U113" s="35">
        <f t="shared" si="1238"/>
        <v>7.9340664870936502E-3</v>
      </c>
      <c r="V113" s="35">
        <f t="shared" si="1238"/>
        <v>6.9597137622918201E-3</v>
      </c>
      <c r="W113" s="35">
        <f t="shared" si="1238"/>
        <v>6.419637979577235E-3</v>
      </c>
      <c r="X113" s="35">
        <f t="shared" si="1238"/>
        <v>5.7397766510724349E-3</v>
      </c>
      <c r="Y113" s="37">
        <f t="shared" si="1238"/>
        <v>7.4578416298385812E-3</v>
      </c>
      <c r="Z113" s="228">
        <f t="shared" si="1238"/>
        <v>7.0172379258678051E-3</v>
      </c>
      <c r="AA113" s="228">
        <f t="shared" si="1238"/>
        <v>5.6979803939380342E-3</v>
      </c>
      <c r="AB113" s="357">
        <f t="shared" si="1238"/>
        <v>4.7673791899275749E-3</v>
      </c>
      <c r="AC113" s="357">
        <f t="shared" si="1238"/>
        <v>6.2114552623128644E-3</v>
      </c>
      <c r="AD113" s="357">
        <f t="shared" ref="AD113:AE113" si="1239">-AD470/(AD233+AD235)*AD$5</f>
        <v>3.7850357944470155E-3</v>
      </c>
      <c r="AE113" s="357">
        <f t="shared" si="1239"/>
        <v>4.9814122073448324E-3</v>
      </c>
      <c r="AF113" s="357">
        <f t="shared" ref="AF113:AG113" si="1240">-AF470/(AF233+AF235)*AF$5</f>
        <v>4.3432269882379458E-3</v>
      </c>
      <c r="AG113" s="357">
        <f t="shared" si="1240"/>
        <v>7.644459469554144E-3</v>
      </c>
      <c r="AH113" s="357">
        <f t="shared" ref="AH113" si="1241">-AH470/(AH233+AH235)*AH$5</f>
        <v>6.4755102607569216E-3</v>
      </c>
      <c r="AI113" s="357">
        <f t="shared" ref="AI113:AJ113" si="1242">-AI470/(AI233+AI235)*AI$5</f>
        <v>5.623290071808465E-3</v>
      </c>
      <c r="AJ113" s="357">
        <f t="shared" si="1242"/>
        <v>4.5740480545214393E-3</v>
      </c>
      <c r="AK113" s="357">
        <f t="shared" ref="AK113:AL113" si="1243">-AK470/(AK233+AK235)*AK$5</f>
        <v>3.523154933597253E-3</v>
      </c>
      <c r="AL113" s="357">
        <f t="shared" si="1243"/>
        <v>3.2039072843350145E-3</v>
      </c>
      <c r="AM113" s="357">
        <f t="shared" ref="AM113:AN113" si="1244">-AM470/(AM233+AM235)*AM$5</f>
        <v>3.521152248686041E-3</v>
      </c>
      <c r="AN113" s="357">
        <f t="shared" si="1244"/>
        <v>2.6419626273151546E-3</v>
      </c>
      <c r="AO113" s="357">
        <f t="shared" ref="AO113" si="1245">-AO470/(AO233+AO235)*AO$5</f>
        <v>3.8474936976154498E-3</v>
      </c>
      <c r="AP113" s="357">
        <f t="shared" ref="AP113:AQ113" si="1246">-AP470/(AP233+AP235)*AP$5</f>
        <v>2.078151631113999E-3</v>
      </c>
      <c r="AQ113" s="357">
        <f t="shared" si="1246"/>
        <v>1.5914147757570855E-3</v>
      </c>
      <c r="AR113" s="357">
        <f t="shared" ref="AR113:AS113" si="1247">-AR470/(AR233+AR235)*AR$5</f>
        <v>9.5837542178055842E-4</v>
      </c>
      <c r="AS113" s="357">
        <f t="shared" si="1247"/>
        <v>7.1217864272469166E-4</v>
      </c>
      <c r="AT113" s="357">
        <f t="shared" ref="AT113:AU113" si="1248">-AT470/(AT233+AT235)*AT$5</f>
        <v>5.8756899654790052E-4</v>
      </c>
      <c r="AU113" s="357">
        <f t="shared" si="1248"/>
        <v>1.1170718564776228E-3</v>
      </c>
      <c r="AV113" s="357">
        <f t="shared" ref="AV113:AW113" si="1249">-AV470/(AV233+AV235)*AV$5</f>
        <v>4.8184728196468178E-4</v>
      </c>
      <c r="AW113" s="357">
        <f t="shared" si="1249"/>
        <v>7.7231708064115631E-4</v>
      </c>
      <c r="AX113" s="357">
        <f t="shared" ref="AX113:AY113" si="1250">-AX470/(AX233+AX235)*AX$5</f>
        <v>7.2339099621166977E-4</v>
      </c>
      <c r="AY113" s="348">
        <f t="shared" si="1250"/>
        <v>7.5806804278679622E-4</v>
      </c>
      <c r="AZ113" s="345">
        <f t="shared" ref="AZ113:BA113" si="1251">-AZ470/(AZ233+AZ235)*AZ$5</f>
        <v>1.0599703603376184E-3</v>
      </c>
      <c r="BA113" s="345">
        <f t="shared" si="1251"/>
        <v>1.3679914196547329E-3</v>
      </c>
      <c r="BB113" s="345">
        <f t="shared" ref="BB113:BC113" si="1252">-BB470/(BB233+BB235)*BB$5</f>
        <v>1.8660358582318188E-3</v>
      </c>
      <c r="BC113" s="345">
        <f t="shared" si="1252"/>
        <v>2.3663169352188831E-3</v>
      </c>
      <c r="BD113" s="345">
        <f t="shared" ref="BD113:BO113" si="1253">-BD470/(BD233+BD235)*BD$5</f>
        <v>2.1474354898345983E-3</v>
      </c>
      <c r="BE113" s="345">
        <f t="shared" si="1253"/>
        <v>1.9306870634257455E-3</v>
      </c>
      <c r="BF113" s="345">
        <f t="shared" si="1253"/>
        <v>1.617485452351937E-3</v>
      </c>
      <c r="BG113" s="345">
        <f t="shared" si="1253"/>
        <v>1.3059918742244052E-3</v>
      </c>
      <c r="BH113" s="345">
        <f t="shared" si="1253"/>
        <v>1.3042702490892216E-3</v>
      </c>
      <c r="BI113" s="345">
        <f t="shared" si="1253"/>
        <v>1.2545868756727154E-3</v>
      </c>
      <c r="BJ113" s="345">
        <f t="shared" si="1253"/>
        <v>1.4511558835772441E-3</v>
      </c>
      <c r="BK113" s="345">
        <f t="shared" si="1253"/>
        <v>1.6593546004333207E-3</v>
      </c>
      <c r="BL113" s="345">
        <f t="shared" si="1253"/>
        <v>1.8692418401777512E-3</v>
      </c>
      <c r="BM113" s="345">
        <f t="shared" si="1253"/>
        <v>2.1771095240776571E-3</v>
      </c>
      <c r="BN113" s="345">
        <f t="shared" si="1253"/>
        <v>2.4795182713293331E-3</v>
      </c>
      <c r="BO113" s="345">
        <f t="shared" si="1253"/>
        <v>2.7715384669512854E-3</v>
      </c>
      <c r="BP113" s="345">
        <f t="shared" ref="BP113:BQ113" si="1254">-BP470/(BP233+BP235)*BP$5</f>
        <v>2.9973204773779977E-3</v>
      </c>
      <c r="BQ113" s="345">
        <f t="shared" si="1254"/>
        <v>2.9928362886405845E-3</v>
      </c>
      <c r="BR113" s="35"/>
      <c r="BS113" s="345">
        <f t="shared" ref="BS113:CF113" si="1255">-BS470/(BS233+AVERAGE(BR179:BS179))*BS$5</f>
        <v>1.6490837066919246E-2</v>
      </c>
      <c r="BT113" s="345">
        <f t="shared" si="1255"/>
        <v>2.4566057932410748E-2</v>
      </c>
      <c r="BU113" s="345">
        <f t="shared" si="1255"/>
        <v>2.4415765781397831E-2</v>
      </c>
      <c r="BV113" s="345">
        <f t="shared" si="1255"/>
        <v>7.5679577353174113E-3</v>
      </c>
      <c r="BW113" s="345">
        <f t="shared" si="1255"/>
        <v>4.665700655819607E-3</v>
      </c>
      <c r="BX113" s="345">
        <f t="shared" si="1255"/>
        <v>2.1000466675109536E-3</v>
      </c>
      <c r="BY113" s="345">
        <f t="shared" si="1255"/>
        <v>2.3084654742170883E-3</v>
      </c>
      <c r="BZ113" s="345">
        <f t="shared" si="1255"/>
        <v>4.0869730136846201E-3</v>
      </c>
      <c r="CA113" s="345">
        <f t="shared" si="1255"/>
        <v>5.4117439033305971E-3</v>
      </c>
      <c r="CB113" s="345">
        <f t="shared" si="1255"/>
        <v>8.246652879948033E-3</v>
      </c>
      <c r="CC113" s="35">
        <f t="shared" si="1255"/>
        <v>7.0050925936227942E-3</v>
      </c>
      <c r="CD113" s="35">
        <f t="shared" si="1255"/>
        <v>6.2392277445860239E-3</v>
      </c>
      <c r="CE113" s="35">
        <f t="shared" si="1255"/>
        <v>5.7126463036368293E-3</v>
      </c>
      <c r="CF113" s="35">
        <f t="shared" si="1255"/>
        <v>4.4136870624069402E-3</v>
      </c>
      <c r="CG113" s="35">
        <f t="shared" ref="CG113:CY113" si="1256">-CG470/(CG233+CG235)*CG$5</f>
        <v>2.3144449370703E-3</v>
      </c>
      <c r="CH113" s="35">
        <f t="shared" si="1256"/>
        <v>3.1083215019220029E-3</v>
      </c>
      <c r="CI113" s="35">
        <f t="shared" si="1256"/>
        <v>3.6197974954661071E-3</v>
      </c>
      <c r="CJ113" s="35">
        <f t="shared" si="1256"/>
        <v>1.0851054540975803E-2</v>
      </c>
      <c r="CK113" s="35">
        <f t="shared" si="1256"/>
        <v>9.6014636358332656E-3</v>
      </c>
      <c r="CL113" s="35">
        <f t="shared" si="1256"/>
        <v>6.7152682062466794E-3</v>
      </c>
      <c r="CM113" s="37">
        <f t="shared" si="1256"/>
        <v>6.6100287460476113E-3</v>
      </c>
      <c r="CN113" s="37">
        <f t="shared" si="1256"/>
        <v>6.3620778199625543E-3</v>
      </c>
      <c r="CO113" s="37">
        <f t="shared" si="1256"/>
        <v>5.5161290296440709E-3</v>
      </c>
      <c r="CP113" s="37">
        <f t="shared" si="1256"/>
        <v>4.4138781561126519E-3</v>
      </c>
      <c r="CQ113" s="37">
        <f t="shared" si="1256"/>
        <v>5.9060927886244122E-3</v>
      </c>
      <c r="CR113" s="37">
        <f t="shared" si="1256"/>
        <v>6.0297171886314668E-3</v>
      </c>
      <c r="CS113" s="37">
        <f t="shared" si="1256"/>
        <v>4.0211049455974937E-3</v>
      </c>
      <c r="CT113" s="37">
        <f t="shared" si="1256"/>
        <v>3.3372216919809916E-3</v>
      </c>
      <c r="CU113" s="37">
        <f t="shared" si="1256"/>
        <v>3.3227044418645451E-3</v>
      </c>
      <c r="CV113" s="37">
        <f t="shared" si="1256"/>
        <v>1.8143885860682201E-3</v>
      </c>
      <c r="CW113" s="37">
        <f t="shared" si="1256"/>
        <v>8.3161978339390695E-4</v>
      </c>
      <c r="CX113" s="37">
        <f t="shared" si="1256"/>
        <v>8.5090478595976936E-4</v>
      </c>
      <c r="CY113" s="37">
        <f t="shared" si="1256"/>
        <v>6.2840774159244044E-4</v>
      </c>
      <c r="CZ113" s="36">
        <f t="shared" ref="CZ113" si="1257">-CZ470/(CZ233+CZ235)*CZ$5</f>
        <v>7.4085375784701429E-4</v>
      </c>
      <c r="DA113" s="35">
        <f t="shared" ref="DA113:DF113" si="1258">-DA470/(DA233+DA235)*DA$5</f>
        <v>1.2148655321127554E-3</v>
      </c>
      <c r="DB113" s="35">
        <f t="shared" si="1258"/>
        <v>2.1175955854471403E-3</v>
      </c>
      <c r="DC113" s="35">
        <f t="shared" si="1258"/>
        <v>2.0387742883908521E-3</v>
      </c>
      <c r="DD113" s="35">
        <f t="shared" si="1258"/>
        <v>1.460954344377711E-3</v>
      </c>
      <c r="DE113" s="35">
        <f t="shared" si="1258"/>
        <v>1.2791559135246439E-3</v>
      </c>
      <c r="DF113" s="35">
        <f t="shared" si="1258"/>
        <v>1.5564469552650883E-3</v>
      </c>
      <c r="DG113" s="35">
        <f t="shared" ref="DG113:DH113" si="1259">-DG470/(DG233+DG235)*DG$5</f>
        <v>2.024395360315645E-3</v>
      </c>
      <c r="DH113" s="35">
        <f t="shared" si="1259"/>
        <v>2.6273147551476449E-3</v>
      </c>
      <c r="DI113" s="35">
        <f t="shared" ref="DI113" si="1260">-DI470/(DI233+DI235)*DI$5</f>
        <v>2.9950481903200875E-3</v>
      </c>
    </row>
    <row r="114" spans="1:113" ht="12" outlineLevel="1">
      <c r="A114" s="1" t="s">
        <v>468</v>
      </c>
      <c r="B114" s="15" t="s">
        <v>625</v>
      </c>
      <c r="C114" s="345">
        <f t="shared" ref="C114:L114" si="1261">C124/(C177+C179)</f>
        <v>1.4908795273156153E-2</v>
      </c>
      <c r="D114" s="345">
        <f t="shared" si="1261"/>
        <v>1.7561910997825222E-2</v>
      </c>
      <c r="E114" s="345">
        <f t="shared" si="1261"/>
        <v>1.451901436897686E-2</v>
      </c>
      <c r="F114" s="345">
        <f t="shared" si="1261"/>
        <v>1.3319073398238089E-2</v>
      </c>
      <c r="G114" s="345">
        <f t="shared" si="1261"/>
        <v>1.1299435028248588E-2</v>
      </c>
      <c r="H114" s="345">
        <f t="shared" si="1261"/>
        <v>8.9077703165684526E-3</v>
      </c>
      <c r="I114" s="345">
        <f t="shared" si="1261"/>
        <v>8.0443251353525501E-3</v>
      </c>
      <c r="J114" s="345">
        <f t="shared" si="1261"/>
        <v>6.3763860317026747E-3</v>
      </c>
      <c r="K114" s="345">
        <f t="shared" si="1261"/>
        <v>5.7823625776523445E-3</v>
      </c>
      <c r="L114" s="345">
        <f t="shared" si="1261"/>
        <v>6.3181943514397133E-3</v>
      </c>
      <c r="M114" s="35">
        <f t="shared" ref="M114:Y114" si="1262">M124/(M177+M179)</f>
        <v>5.2635547847070356E-3</v>
      </c>
      <c r="N114" s="35">
        <f t="shared" si="1262"/>
        <v>5.4619703930576828E-3</v>
      </c>
      <c r="O114" s="35">
        <f t="shared" si="1262"/>
        <v>4.6800000000000001E-3</v>
      </c>
      <c r="P114" s="35">
        <f t="shared" si="1262"/>
        <v>6.5422042647654728E-3</v>
      </c>
      <c r="Q114" s="35">
        <f t="shared" si="1262"/>
        <v>1.488962294104868E-2</v>
      </c>
      <c r="R114" s="35">
        <f t="shared" si="1262"/>
        <v>2.3368346512451316E-2</v>
      </c>
      <c r="S114" s="35">
        <f t="shared" si="1262"/>
        <v>3.4112317625611982E-2</v>
      </c>
      <c r="T114" s="37">
        <f t="shared" si="1262"/>
        <v>4.0633186555933336E-2</v>
      </c>
      <c r="U114" s="35">
        <f t="shared" si="1262"/>
        <v>3.9187930045871559E-2</v>
      </c>
      <c r="V114" s="35">
        <f t="shared" si="1262"/>
        <v>3.4935307066804436E-2</v>
      </c>
      <c r="W114" s="35">
        <f t="shared" si="1262"/>
        <v>2.9625500968760782E-2</v>
      </c>
      <c r="X114" s="35">
        <f t="shared" si="1262"/>
        <v>2.7487254412725523E-2</v>
      </c>
      <c r="Y114" s="37">
        <f t="shared" si="1262"/>
        <v>2.5710171747509884E-2</v>
      </c>
      <c r="Z114" s="228">
        <f t="shared" ref="Z114:AE114" si="1263">Z124/(Z177+Z179)</f>
        <v>2.124100034457119E-2</v>
      </c>
      <c r="AA114" s="228">
        <f t="shared" si="1263"/>
        <v>1.8194852188161397E-2</v>
      </c>
      <c r="AB114" s="228">
        <f t="shared" si="1263"/>
        <v>1.4551476854308363E-2</v>
      </c>
      <c r="AC114" s="228">
        <f t="shared" si="1263"/>
        <v>1.1367481683756581E-2</v>
      </c>
      <c r="AD114" s="228">
        <f t="shared" si="1263"/>
        <v>9.9045389707764896E-3</v>
      </c>
      <c r="AE114" s="228">
        <f t="shared" si="1263"/>
        <v>9.949757202504456E-3</v>
      </c>
      <c r="AF114" s="228">
        <f t="shared" ref="AF114:AG114" si="1264">AF124/(AF177+AF179)</f>
        <v>1.1433670434265318E-2</v>
      </c>
      <c r="AG114" s="228">
        <f t="shared" si="1264"/>
        <v>1.2376594856672557E-2</v>
      </c>
      <c r="AH114" s="228">
        <f t="shared" ref="AH114" si="1265">AH124/(AH177+AH179)</f>
        <v>1.1809031097115223E-2</v>
      </c>
      <c r="AI114" s="228">
        <f t="shared" ref="AI114:AJ114" si="1266">AI124/(AI177+AI179)</f>
        <v>9.6857415645885386E-3</v>
      </c>
      <c r="AJ114" s="228">
        <f t="shared" si="1266"/>
        <v>8.1416014217781836E-3</v>
      </c>
      <c r="AK114" s="228">
        <f t="shared" ref="AK114:AL114" si="1267">AK124/(AK177+AK179)</f>
        <v>8.1747618083077601E-3</v>
      </c>
      <c r="AL114" s="228">
        <f t="shared" si="1267"/>
        <v>8.0507560825202502E-3</v>
      </c>
      <c r="AM114" s="228">
        <f t="shared" ref="AM114:AN114" si="1268">AM124/(AM177+AM179)</f>
        <v>7.3919712044650566E-3</v>
      </c>
      <c r="AN114" s="228">
        <f t="shared" si="1268"/>
        <v>8.3474384380429929E-3</v>
      </c>
      <c r="AO114" s="228">
        <f t="shared" ref="AO114" si="1269">AO124/(AO177+AO179)</f>
        <v>9.3525836559892293E-3</v>
      </c>
      <c r="AP114" s="228">
        <f t="shared" ref="AP114:AQ114" si="1270">AP124/(AP177+AP179)</f>
        <v>9.928138423862861E-3</v>
      </c>
      <c r="AQ114" s="228">
        <f t="shared" si="1270"/>
        <v>7.5521153609642106E-3</v>
      </c>
      <c r="AR114" s="228">
        <f t="shared" ref="AR114:AS114" si="1271">AR124/(AR177+AR179)</f>
        <v>6.1074758506330833E-3</v>
      </c>
      <c r="AS114" s="228">
        <f t="shared" si="1271"/>
        <v>4.8327759197324413E-3</v>
      </c>
      <c r="AT114" s="228">
        <f t="shared" ref="AT114" si="1272">AT124/(AT177+AT179)</f>
        <v>4.0320565154367783E-3</v>
      </c>
      <c r="AU114" s="228">
        <f>AU124/(AU177+AU179)</f>
        <v>5.0175002226701283E-3</v>
      </c>
      <c r="AV114" s="228">
        <f>AV124/(AV177+AV179)</f>
        <v>5.0503874292596425E-3</v>
      </c>
      <c r="AW114" s="228">
        <f>AW124/(AW177+AW179)</f>
        <v>5.310856042235892E-3</v>
      </c>
      <c r="AX114" s="228">
        <f>AX124/(AX177+AX179)</f>
        <v>6.9303182961018501E-3</v>
      </c>
      <c r="AY114" s="39">
        <f>AY124/(AY177+AY179)</f>
        <v>7.797857893410841E-3</v>
      </c>
      <c r="AZ114" s="228">
        <f t="shared" ref="AZ114:BI114" si="1273">AZ124/(AZ177+AZ179)</f>
        <v>8.5031145843521283E-3</v>
      </c>
      <c r="BA114" s="228">
        <f t="shared" si="1273"/>
        <v>9.1144144383388873E-3</v>
      </c>
      <c r="BB114" s="228">
        <f t="shared" si="1273"/>
        <v>9.7556097906923503E-3</v>
      </c>
      <c r="BC114" s="228">
        <f t="shared" si="1273"/>
        <v>1.0463231059527702E-2</v>
      </c>
      <c r="BD114" s="228">
        <f t="shared" si="1273"/>
        <v>1.0665827565613245E-2</v>
      </c>
      <c r="BE114" s="228">
        <f t="shared" si="1273"/>
        <v>1.0857871968295367E-2</v>
      </c>
      <c r="BF114" s="228">
        <f t="shared" si="1273"/>
        <v>1.0359365838465188E-2</v>
      </c>
      <c r="BG114" s="228">
        <f t="shared" si="1273"/>
        <v>9.8398727998431686E-3</v>
      </c>
      <c r="BH114" s="228">
        <f t="shared" si="1273"/>
        <v>9.6538726872401164E-3</v>
      </c>
      <c r="BI114" s="228">
        <f t="shared" si="1273"/>
        <v>9.4543449804631429E-3</v>
      </c>
      <c r="BJ114" s="248">
        <f>BI114-0.02%</f>
        <v>9.2543449804631424E-3</v>
      </c>
      <c r="BK114" s="248">
        <f t="shared" ref="BK114:BQ114" si="1274">BJ114-0.02%</f>
        <v>9.0543449804631419E-3</v>
      </c>
      <c r="BL114" s="248">
        <f t="shared" si="1274"/>
        <v>8.8543449804631413E-3</v>
      </c>
      <c r="BM114" s="248">
        <f t="shared" si="1274"/>
        <v>8.6543449804631408E-3</v>
      </c>
      <c r="BN114" s="248">
        <f t="shared" si="1274"/>
        <v>8.4543449804631403E-3</v>
      </c>
      <c r="BO114" s="248">
        <f t="shared" si="1274"/>
        <v>8.2543449804631398E-3</v>
      </c>
      <c r="BP114" s="248">
        <f t="shared" si="1274"/>
        <v>8.0543449804631392E-3</v>
      </c>
      <c r="BQ114" s="248">
        <f t="shared" si="1274"/>
        <v>7.8543449804631387E-3</v>
      </c>
      <c r="BR114" s="35"/>
      <c r="BS114" s="345">
        <f t="shared" ref="BS114:CB114" si="1275">BS124/(BS177+BS179)</f>
        <v>8.3287551167524621E-2</v>
      </c>
      <c r="BT114" s="345">
        <f t="shared" si="1275"/>
        <v>8.1401809341905496E-2</v>
      </c>
      <c r="BU114" s="345">
        <f t="shared" si="1275"/>
        <v>5.2650867334473495E-2</v>
      </c>
      <c r="BV114" s="345">
        <f t="shared" si="1275"/>
        <v>3.2000594367161371E-2</v>
      </c>
      <c r="BW114" s="345">
        <f t="shared" si="1275"/>
        <v>2.0490046528850676E-2</v>
      </c>
      <c r="BX114" s="345">
        <f t="shared" si="1275"/>
        <v>1.3556179734357439E-2</v>
      </c>
      <c r="BY114" s="345">
        <f t="shared" si="1275"/>
        <v>2.2182373228890585E-2</v>
      </c>
      <c r="BZ114" s="345">
        <f t="shared" si="1275"/>
        <v>1.9945062958821529E-2</v>
      </c>
      <c r="CA114" s="345">
        <f t="shared" si="1275"/>
        <v>1.7097308778563594E-2</v>
      </c>
      <c r="CB114" s="345">
        <f t="shared" si="1275"/>
        <v>1.4908795273156153E-2</v>
      </c>
      <c r="CC114" s="35">
        <f t="shared" ref="CC114:CR114" si="1276">CC124/(CC177+CC179)</f>
        <v>1.451901436897686E-2</v>
      </c>
      <c r="CD114" s="35">
        <f t="shared" si="1276"/>
        <v>1.1299435028248588E-2</v>
      </c>
      <c r="CE114" s="35">
        <f t="shared" si="1276"/>
        <v>8.0443251353525501E-3</v>
      </c>
      <c r="CF114" s="35">
        <f t="shared" si="1276"/>
        <v>5.7823625776523445E-3</v>
      </c>
      <c r="CG114" s="35">
        <f t="shared" si="1276"/>
        <v>5.2635547847070356E-3</v>
      </c>
      <c r="CH114" s="35">
        <f t="shared" si="1276"/>
        <v>4.6800000000000001E-3</v>
      </c>
      <c r="CI114" s="35">
        <f t="shared" si="1276"/>
        <v>1.488962294104868E-2</v>
      </c>
      <c r="CJ114" s="35">
        <f t="shared" si="1276"/>
        <v>3.4112317625611982E-2</v>
      </c>
      <c r="CK114" s="35">
        <f t="shared" si="1276"/>
        <v>3.9187930045871559E-2</v>
      </c>
      <c r="CL114" s="35">
        <f t="shared" si="1276"/>
        <v>2.9625500968760782E-2</v>
      </c>
      <c r="CM114" s="37">
        <f t="shared" si="1276"/>
        <v>2.5710171747509884E-2</v>
      </c>
      <c r="CN114" s="37">
        <f t="shared" si="1276"/>
        <v>1.8194852188161397E-2</v>
      </c>
      <c r="CO114" s="37">
        <f t="shared" si="1276"/>
        <v>1.1367481683756581E-2</v>
      </c>
      <c r="CP114" s="37">
        <f t="shared" si="1276"/>
        <v>9.949757202504456E-3</v>
      </c>
      <c r="CQ114" s="37">
        <f t="shared" si="1276"/>
        <v>1.2376594856672557E-2</v>
      </c>
      <c r="CR114" s="37">
        <f t="shared" si="1276"/>
        <v>9.6857415645885386E-3</v>
      </c>
      <c r="CS114" s="37">
        <f t="shared" ref="CS114:CX114" si="1277">CS124/(CS177+CS179)</f>
        <v>8.1747618083077601E-3</v>
      </c>
      <c r="CT114" s="37">
        <f t="shared" si="1277"/>
        <v>7.3919712044650566E-3</v>
      </c>
      <c r="CU114" s="37">
        <f t="shared" si="1277"/>
        <v>9.3525836559892293E-3</v>
      </c>
      <c r="CV114" s="37">
        <f t="shared" si="1277"/>
        <v>7.5521153609642106E-3</v>
      </c>
      <c r="CW114" s="37">
        <f t="shared" si="1277"/>
        <v>4.8327759197324413E-3</v>
      </c>
      <c r="CX114" s="37">
        <f t="shared" si="1277"/>
        <v>5.0175002226701283E-3</v>
      </c>
      <c r="CY114" s="37">
        <f t="shared" ref="CY114:DD114" si="1278">CY124/(CY177+CY179)</f>
        <v>5.310856042235892E-3</v>
      </c>
      <c r="CZ114" s="36">
        <f t="shared" si="1278"/>
        <v>7.797857893410841E-3</v>
      </c>
      <c r="DA114" s="35">
        <f t="shared" si="1278"/>
        <v>9.1144144383388873E-3</v>
      </c>
      <c r="DB114" s="35">
        <f t="shared" si="1278"/>
        <v>1.0463231059527702E-2</v>
      </c>
      <c r="DC114" s="35">
        <f t="shared" si="1278"/>
        <v>1.0857871968295367E-2</v>
      </c>
      <c r="DD114" s="35">
        <f t="shared" si="1278"/>
        <v>9.8398727998431686E-3</v>
      </c>
      <c r="DE114" s="35">
        <f t="shared" ref="DE114" si="1279">DE124/(DE177+DE179)</f>
        <v>9.4543449804631429E-3</v>
      </c>
      <c r="DF114" s="35">
        <f t="shared" ref="DF114" si="1280">DF124/(DF177+DF179)</f>
        <v>9.0543449804631419E-3</v>
      </c>
      <c r="DG114" s="35">
        <f>DG124/(DG177+DG179)</f>
        <v>8.6543449804631408E-3</v>
      </c>
      <c r="DH114" s="35">
        <f>DH124/(DH177+DH179)</f>
        <v>8.2543449804631398E-3</v>
      </c>
      <c r="DI114" s="35">
        <f>DI124/(DI177+DI179)</f>
        <v>7.8543449804631387E-3</v>
      </c>
    </row>
    <row r="115" spans="1:113" ht="12" outlineLevel="1">
      <c r="A115" s="1" t="s">
        <v>469</v>
      </c>
      <c r="B115" s="15" t="s">
        <v>515</v>
      </c>
      <c r="C115" s="207">
        <f t="shared" ref="C115:L115" si="1281">C120/C124</f>
        <v>0.38402457757296465</v>
      </c>
      <c r="D115" s="207">
        <f t="shared" si="1281"/>
        <v>0.39214380825565914</v>
      </c>
      <c r="E115" s="207">
        <f t="shared" si="1281"/>
        <v>0.46502384737678853</v>
      </c>
      <c r="F115" s="207">
        <f t="shared" si="1281"/>
        <v>0.46192052980132453</v>
      </c>
      <c r="G115" s="207">
        <f t="shared" si="1281"/>
        <v>0.4627151051625239</v>
      </c>
      <c r="H115" s="207">
        <f t="shared" si="1281"/>
        <v>0.42974358974358973</v>
      </c>
      <c r="I115" s="207">
        <f t="shared" si="1281"/>
        <v>0.43146067415730338</v>
      </c>
      <c r="J115" s="207">
        <f t="shared" si="1281"/>
        <v>0.42971887550200805</v>
      </c>
      <c r="K115" s="207">
        <f t="shared" si="1281"/>
        <v>0.38288920056100983</v>
      </c>
      <c r="L115" s="207">
        <f t="shared" si="1281"/>
        <v>0.3940149625935162</v>
      </c>
      <c r="M115" s="30">
        <f t="shared" ref="M115:Y115" si="1282">M120/M124</f>
        <v>0.40974212034383956</v>
      </c>
      <c r="N115" s="30">
        <f t="shared" si="1282"/>
        <v>0.40320427236315087</v>
      </c>
      <c r="O115" s="30">
        <f t="shared" si="1282"/>
        <v>0.38461538461538464</v>
      </c>
      <c r="P115" s="30">
        <f t="shared" si="1282"/>
        <v>0.28366247755834828</v>
      </c>
      <c r="Q115" s="30">
        <f t="shared" si="1282"/>
        <v>0.25252525252525254</v>
      </c>
      <c r="R115" s="30">
        <f t="shared" si="1282"/>
        <v>0.32251082251082253</v>
      </c>
      <c r="S115" s="30">
        <f t="shared" si="1282"/>
        <v>0.27274352100089366</v>
      </c>
      <c r="T115" s="32">
        <f t="shared" si="1282"/>
        <v>0.24279835390946503</v>
      </c>
      <c r="U115" s="30">
        <f t="shared" si="1282"/>
        <v>0.28577960676726111</v>
      </c>
      <c r="V115" s="30">
        <f t="shared" si="1282"/>
        <v>0.27600064298344318</v>
      </c>
      <c r="W115" s="30">
        <f t="shared" si="1282"/>
        <v>0.30406737143881024</v>
      </c>
      <c r="X115" s="30">
        <f t="shared" si="1282"/>
        <v>0.32079356166947409</v>
      </c>
      <c r="Y115" s="32">
        <f t="shared" si="1282"/>
        <v>0.34122401847575057</v>
      </c>
      <c r="Z115" s="139">
        <f t="shared" ref="Z115:AE115" si="1283">Z120/Z124</f>
        <v>0.32934898612593383</v>
      </c>
      <c r="AA115" s="139">
        <f t="shared" si="1283"/>
        <v>0.34404315196998125</v>
      </c>
      <c r="AB115" s="139">
        <f t="shared" si="1283"/>
        <v>0.40607734806629836</v>
      </c>
      <c r="AC115" s="139">
        <f t="shared" si="1283"/>
        <v>0.40706126687435101</v>
      </c>
      <c r="AD115" s="139">
        <f t="shared" si="1283"/>
        <v>0.41137370753323488</v>
      </c>
      <c r="AE115" s="139">
        <f t="shared" si="1283"/>
        <v>0.3902169915410077</v>
      </c>
      <c r="AF115" s="139">
        <f t="shared" ref="AF115:AG115" si="1284">AF120/AF124</f>
        <v>0.42941380506416926</v>
      </c>
      <c r="AG115" s="139">
        <f t="shared" si="1284"/>
        <v>0.41191301607311692</v>
      </c>
      <c r="AH115" s="139">
        <f t="shared" ref="AH115" si="1285">AH120/AH124</f>
        <v>0.4316326530612245</v>
      </c>
      <c r="AI115" s="139">
        <f t="shared" ref="AI115:AJ115" si="1286">AI120/AI124</f>
        <v>0.47651006711409394</v>
      </c>
      <c r="AJ115" s="139">
        <f t="shared" si="1286"/>
        <v>0.49950835791543757</v>
      </c>
      <c r="AK115" s="139">
        <f t="shared" ref="AK115:AL115" si="1287">AK120/AK124</f>
        <v>0.43010752688172044</v>
      </c>
      <c r="AL115" s="139">
        <f t="shared" si="1287"/>
        <v>0.41870300751879697</v>
      </c>
      <c r="AM115" s="139">
        <f t="shared" ref="AM115:AN115" si="1288">AM120/AM124</f>
        <v>0.40118284869393789</v>
      </c>
      <c r="AN115" s="139">
        <f t="shared" si="1288"/>
        <v>0.42054636398614853</v>
      </c>
      <c r="AO115" s="139">
        <f t="shared" ref="AO115" si="1289">AO120/AO124</f>
        <v>0.36234241561610409</v>
      </c>
      <c r="AP115" s="139">
        <f t="shared" ref="AP115:AQ115" si="1290">AP120/AP124</f>
        <v>0.32713303679741207</v>
      </c>
      <c r="AQ115" s="139">
        <f t="shared" si="1290"/>
        <v>0.34961832061068704</v>
      </c>
      <c r="AR115" s="139">
        <f t="shared" ref="AR115:AS115" si="1291">AR120/AR124</f>
        <v>0.37214745465184318</v>
      </c>
      <c r="AS115" s="139">
        <f t="shared" si="1291"/>
        <v>0.37508650519031139</v>
      </c>
      <c r="AT115" s="139">
        <f t="shared" ref="AT115:AU115" si="1292">AT120/AT124</f>
        <v>0.34793388429752065</v>
      </c>
      <c r="AU115" s="139">
        <f t="shared" si="1292"/>
        <v>0.24720578566732412</v>
      </c>
      <c r="AV115" s="139">
        <f t="shared" ref="AV115:AW115" si="1293">AV120/AV124</f>
        <v>0.21409749670619235</v>
      </c>
      <c r="AW115" s="139">
        <f t="shared" si="1293"/>
        <v>0.18192557590076786</v>
      </c>
      <c r="AX115" s="139">
        <f t="shared" ref="AX115:BI115" si="1294">AX120/AX124</f>
        <v>0.16163410301953818</v>
      </c>
      <c r="AY115" s="140">
        <f t="shared" ref="AY115" si="1295">AY120/AY124</f>
        <v>0.15721040189125296</v>
      </c>
      <c r="AZ115" s="139">
        <f t="shared" si="1294"/>
        <v>0.17141510788429806</v>
      </c>
      <c r="BA115" s="139">
        <f t="shared" si="1294"/>
        <v>0.17931610828082717</v>
      </c>
      <c r="BB115" s="139">
        <f t="shared" si="1294"/>
        <v>0.18600043545045966</v>
      </c>
      <c r="BC115" s="139">
        <f t="shared" si="1294"/>
        <v>0.19529881679376551</v>
      </c>
      <c r="BD115" s="139">
        <f t="shared" si="1294"/>
        <v>0.22559568846964637</v>
      </c>
      <c r="BE115" s="139">
        <f t="shared" si="1294"/>
        <v>0.25635893652208175</v>
      </c>
      <c r="BF115" s="139">
        <f t="shared" si="1294"/>
        <v>0.31395183880247113</v>
      </c>
      <c r="BG115" s="139">
        <f t="shared" si="1294"/>
        <v>0.38601764043014702</v>
      </c>
      <c r="BH115" s="139">
        <f t="shared" si="1294"/>
        <v>0.44410699338656695</v>
      </c>
      <c r="BI115" s="139">
        <f t="shared" si="1294"/>
        <v>0.50385312328757281</v>
      </c>
      <c r="BJ115" s="347">
        <f t="shared" ref="BJ115" si="1296">BI115</f>
        <v>0.50385312328757281</v>
      </c>
      <c r="BK115" s="347">
        <f t="shared" ref="BK115:BK116" si="1297">BJ115</f>
        <v>0.50385312328757281</v>
      </c>
      <c r="BL115" s="347">
        <f t="shared" ref="BL115:BL116" si="1298">BK115</f>
        <v>0.50385312328757281</v>
      </c>
      <c r="BM115" s="347">
        <f t="shared" ref="BM115:BM116" si="1299">BL115</f>
        <v>0.50385312328757281</v>
      </c>
      <c r="BN115" s="347">
        <f t="shared" ref="BN115:BN116" si="1300">BM115</f>
        <v>0.50385312328757281</v>
      </c>
      <c r="BO115" s="347">
        <f t="shared" ref="BO115:BO116" si="1301">BN115</f>
        <v>0.50385312328757281</v>
      </c>
      <c r="BP115" s="347">
        <f t="shared" ref="BP115:BP116" si="1302">BO115</f>
        <v>0.50385312328757281</v>
      </c>
      <c r="BQ115" s="347">
        <f t="shared" ref="BQ115:BQ116" si="1303">BP115</f>
        <v>0.50385312328757281</v>
      </c>
      <c r="BR115" s="30"/>
      <c r="BS115" s="207">
        <f t="shared" ref="BS115:CB115" si="1304">BS120/BS124</f>
        <v>0.45845884012658716</v>
      </c>
      <c r="BT115" s="207">
        <f t="shared" si="1304"/>
        <v>0.44087382266296005</v>
      </c>
      <c r="BU115" s="207">
        <f t="shared" si="1304"/>
        <v>0.35962877030162416</v>
      </c>
      <c r="BV115" s="207">
        <f t="shared" si="1304"/>
        <v>0.3724137931034483</v>
      </c>
      <c r="BW115" s="207">
        <f t="shared" si="1304"/>
        <v>0.37985074626865672</v>
      </c>
      <c r="BX115" s="207">
        <f t="shared" si="1304"/>
        <v>0.47187499999999999</v>
      </c>
      <c r="BY115" s="207">
        <f t="shared" si="1304"/>
        <v>0.46271186440677964</v>
      </c>
      <c r="BZ115" s="207">
        <f t="shared" si="1304"/>
        <v>0.55271176112126752</v>
      </c>
      <c r="CA115" s="207">
        <f t="shared" si="1304"/>
        <v>0.48395904436860065</v>
      </c>
      <c r="CB115" s="207">
        <f t="shared" si="1304"/>
        <v>0.38402457757296465</v>
      </c>
      <c r="CC115" s="30">
        <f t="shared" ref="CC115:CR115" si="1305">CC120/CC124</f>
        <v>0.46502384737678853</v>
      </c>
      <c r="CD115" s="30">
        <f t="shared" si="1305"/>
        <v>0.4627151051625239</v>
      </c>
      <c r="CE115" s="30">
        <f t="shared" si="1305"/>
        <v>0.43146067415730338</v>
      </c>
      <c r="CF115" s="30">
        <f t="shared" si="1305"/>
        <v>0.38288920056100983</v>
      </c>
      <c r="CG115" s="30">
        <f t="shared" si="1305"/>
        <v>0.40974212034383956</v>
      </c>
      <c r="CH115" s="30">
        <f t="shared" si="1305"/>
        <v>0.38461538461538464</v>
      </c>
      <c r="CI115" s="30">
        <f t="shared" si="1305"/>
        <v>0.25252525252525254</v>
      </c>
      <c r="CJ115" s="30">
        <f t="shared" si="1305"/>
        <v>0.27274352100089366</v>
      </c>
      <c r="CK115" s="30">
        <f t="shared" si="1305"/>
        <v>0.28577960676726111</v>
      </c>
      <c r="CL115" s="30">
        <f t="shared" si="1305"/>
        <v>0.30406737143881024</v>
      </c>
      <c r="CM115" s="32">
        <f t="shared" si="1305"/>
        <v>0.34122401847575057</v>
      </c>
      <c r="CN115" s="32">
        <f t="shared" si="1305"/>
        <v>0.34404315196998125</v>
      </c>
      <c r="CO115" s="32">
        <f t="shared" si="1305"/>
        <v>0.40706126687435101</v>
      </c>
      <c r="CP115" s="32">
        <f t="shared" si="1305"/>
        <v>0.3902169915410077</v>
      </c>
      <c r="CQ115" s="32">
        <f t="shared" si="1305"/>
        <v>0.41191301607311692</v>
      </c>
      <c r="CR115" s="32">
        <f t="shared" si="1305"/>
        <v>0.47651006711409394</v>
      </c>
      <c r="CS115" s="32">
        <f t="shared" ref="CS115:CX115" si="1306">CS120/CS124</f>
        <v>0.43010752688172044</v>
      </c>
      <c r="CT115" s="32">
        <f t="shared" si="1306"/>
        <v>0.40118284869393789</v>
      </c>
      <c r="CU115" s="32">
        <f t="shared" si="1306"/>
        <v>0.36234241561610409</v>
      </c>
      <c r="CV115" s="32">
        <f t="shared" si="1306"/>
        <v>0.34961832061068704</v>
      </c>
      <c r="CW115" s="32">
        <f t="shared" si="1306"/>
        <v>0.37508650519031139</v>
      </c>
      <c r="CX115" s="32">
        <f t="shared" si="1306"/>
        <v>0.24720578566732412</v>
      </c>
      <c r="CY115" s="32">
        <f t="shared" ref="CY115:DD115" si="1307">CY120/CY124</f>
        <v>0.18192557590076786</v>
      </c>
      <c r="CZ115" s="31">
        <f t="shared" si="1307"/>
        <v>0.15721040189125296</v>
      </c>
      <c r="DA115" s="30">
        <f t="shared" si="1307"/>
        <v>0.17931610828082717</v>
      </c>
      <c r="DB115" s="30">
        <f t="shared" si="1307"/>
        <v>0.19529881679376551</v>
      </c>
      <c r="DC115" s="30">
        <f t="shared" si="1307"/>
        <v>0.25635893652208175</v>
      </c>
      <c r="DD115" s="30">
        <f t="shared" si="1307"/>
        <v>0.38601764043014702</v>
      </c>
      <c r="DE115" s="30">
        <f t="shared" ref="DE115" si="1308">DE120/DE124</f>
        <v>0.50385312328757281</v>
      </c>
      <c r="DF115" s="30">
        <f t="shared" ref="DF115" si="1309">DF120/DF124</f>
        <v>0.50385312328757281</v>
      </c>
      <c r="DG115" s="30">
        <f>DG120/DG124</f>
        <v>0.50385312328757281</v>
      </c>
      <c r="DH115" s="30">
        <f>DH120/DH124</f>
        <v>0.50385312328757281</v>
      </c>
      <c r="DI115" s="30">
        <f>DI120/DI124</f>
        <v>0.50385312328757281</v>
      </c>
    </row>
    <row r="116" spans="1:113" ht="12" outlineLevel="1">
      <c r="A116" s="1" t="s">
        <v>470</v>
      </c>
      <c r="B116" s="15" t="s">
        <v>297</v>
      </c>
      <c r="C116" s="345">
        <f t="shared" ref="C116:AC116" si="1310">C121/(C613-C612)</f>
        <v>9.9619777328953697E-3</v>
      </c>
      <c r="D116" s="345">
        <f t="shared" si="1310"/>
        <v>1.1416502975970699E-2</v>
      </c>
      <c r="E116" s="345">
        <f t="shared" si="1310"/>
        <v>1.0580663413254119E-2</v>
      </c>
      <c r="F116" s="345">
        <f t="shared" si="1310"/>
        <v>1.0295889046654509E-2</v>
      </c>
      <c r="G116" s="345">
        <f t="shared" si="1310"/>
        <v>1.0125880403715024E-2</v>
      </c>
      <c r="H116" s="345">
        <f t="shared" si="1310"/>
        <v>9.8657225508397735E-3</v>
      </c>
      <c r="I116" s="345">
        <f t="shared" si="1310"/>
        <v>1.0180197675725953E-2</v>
      </c>
      <c r="J116" s="345">
        <f t="shared" si="1310"/>
        <v>9.9824826626352791E-3</v>
      </c>
      <c r="K116" s="345">
        <f t="shared" si="1310"/>
        <v>9.9365837777359994E-3</v>
      </c>
      <c r="L116" s="345">
        <f t="shared" si="1310"/>
        <v>8.3100436681222706E-3</v>
      </c>
      <c r="M116" s="35">
        <f t="shared" si="1310"/>
        <v>8.132705633785103E-3</v>
      </c>
      <c r="N116" s="35">
        <f t="shared" si="1310"/>
        <v>8.119374131577357E-3</v>
      </c>
      <c r="O116" s="35">
        <f t="shared" si="1310"/>
        <v>7.2948061126959654E-3</v>
      </c>
      <c r="P116" s="35">
        <f t="shared" si="1310"/>
        <v>9.3905757145264987E-3</v>
      </c>
      <c r="Q116" s="35">
        <f t="shared" si="1310"/>
        <v>1.125024925224327E-2</v>
      </c>
      <c r="R116" s="35">
        <f t="shared" si="1310"/>
        <v>1.0637389921247624E-2</v>
      </c>
      <c r="S116" s="35">
        <f t="shared" si="1310"/>
        <v>1.3054205412273564E-2</v>
      </c>
      <c r="T116" s="35">
        <f t="shared" si="1310"/>
        <v>1.3781055019852525E-2</v>
      </c>
      <c r="U116" s="35">
        <f t="shared" si="1310"/>
        <v>1.3502228959775948E-2</v>
      </c>
      <c r="V116" s="35">
        <f t="shared" si="1310"/>
        <v>1.3620812361198048E-2</v>
      </c>
      <c r="W116" s="35">
        <f t="shared" si="1310"/>
        <v>1.2763836867233591E-2</v>
      </c>
      <c r="X116" s="35">
        <f t="shared" si="1310"/>
        <v>1.1968101053304819E-2</v>
      </c>
      <c r="Y116" s="37">
        <f t="shared" si="1310"/>
        <v>1.0848455125061305E-2</v>
      </c>
      <c r="Z116" s="228">
        <f t="shared" si="1310"/>
        <v>1.0069896500810974E-2</v>
      </c>
      <c r="AA116" s="228">
        <f t="shared" si="1310"/>
        <v>1.0036467802997382E-2</v>
      </c>
      <c r="AB116" s="228">
        <f t="shared" si="1310"/>
        <v>9.3112980139391077E-3</v>
      </c>
      <c r="AC116" s="228">
        <f t="shared" si="1310"/>
        <v>8.9256519416611359E-3</v>
      </c>
      <c r="AD116" s="228">
        <f t="shared" ref="AD116:AE116" si="1311">AD121/(AD613-AD612)</f>
        <v>8.5782329546625381E-3</v>
      </c>
      <c r="AE116" s="228">
        <f t="shared" si="1311"/>
        <v>8.4517270858410695E-3</v>
      </c>
      <c r="AF116" s="228">
        <f t="shared" ref="AF116:AG116" si="1312">AF121/(AF613-AF612)</f>
        <v>8.5609677303564377E-3</v>
      </c>
      <c r="AG116" s="228">
        <f t="shared" si="1312"/>
        <v>8.1696886371448139E-3</v>
      </c>
      <c r="AH116" s="228">
        <f t="shared" ref="AH116" si="1313">AH121/(AH613-AH612)</f>
        <v>8.1478252474335086E-3</v>
      </c>
      <c r="AI116" s="228">
        <f t="shared" ref="AI116:AJ116" si="1314">AI121/(AI613-AI612)</f>
        <v>7.9030026660016506E-3</v>
      </c>
      <c r="AJ116" s="228">
        <f t="shared" si="1314"/>
        <v>7.5228544259119895E-3</v>
      </c>
      <c r="AK116" s="228">
        <f t="shared" ref="AK116:AL116" si="1315">AK121/(AK613-AK612)</f>
        <v>7.4737839919426508E-3</v>
      </c>
      <c r="AL116" s="228">
        <f t="shared" si="1315"/>
        <v>9.7764837651907396E-3</v>
      </c>
      <c r="AM116" s="228">
        <f t="shared" ref="AM116:AN116" si="1316">AM121/(AM613-AM612)</f>
        <v>9.4273762517243492E-3</v>
      </c>
      <c r="AN116" s="228">
        <f t="shared" si="1316"/>
        <v>1.1660712388956392E-2</v>
      </c>
      <c r="AO116" s="228">
        <f t="shared" ref="AO116" si="1317">AO121/(AO613-AO612)</f>
        <v>1.3909681504956434E-2</v>
      </c>
      <c r="AP116" s="228">
        <f t="shared" ref="AP116:AQ116" si="1318">AP121/(AP613-AP612)</f>
        <v>1.2534297465059E-2</v>
      </c>
      <c r="AQ116" s="228">
        <f t="shared" si="1318"/>
        <v>1.2248246705090249E-2</v>
      </c>
      <c r="AR116" s="228">
        <f t="shared" ref="AR116:AS116" si="1319">AR121/(AR613-AR612)</f>
        <v>1.0770690648678246E-2</v>
      </c>
      <c r="AS116" s="228">
        <f t="shared" si="1319"/>
        <v>1.0719392836674623E-2</v>
      </c>
      <c r="AT116" s="228">
        <f t="shared" ref="AT116:AU116" si="1320">AT121/(AT613-AT612)</f>
        <v>1.1700174344182059E-2</v>
      </c>
      <c r="AU116" s="228">
        <f t="shared" si="1320"/>
        <v>1.155165152517899E-2</v>
      </c>
      <c r="AV116" s="228">
        <f t="shared" ref="AV116:AW116" si="1321">AV121/(AV613-AV612)</f>
        <v>1.16115219818222E-2</v>
      </c>
      <c r="AW116" s="228">
        <f t="shared" si="1321"/>
        <v>1.1758517103423453E-2</v>
      </c>
      <c r="AX116" s="228">
        <f t="shared" ref="AX116:AY116" si="1322">AX121/(AX613-AX612)</f>
        <v>1.1320325538707314E-2</v>
      </c>
      <c r="AY116" s="39">
        <f t="shared" si="1322"/>
        <v>1.1848488702131862E-2</v>
      </c>
      <c r="AZ116" s="557">
        <f>[3]ANZ!K$284</f>
        <v>1.1580907575544299E-2</v>
      </c>
      <c r="BA116" s="557">
        <f>[3]ANZ!L$284</f>
        <v>1.1627562159803116E-2</v>
      </c>
      <c r="BB116" s="557">
        <f>[3]ANZ!M$284</f>
        <v>1.1667286278605818E-2</v>
      </c>
      <c r="BC116" s="557">
        <f>[3]ANZ!N$284</f>
        <v>1.1710190359235935E-2</v>
      </c>
      <c r="BD116" s="557">
        <f>[3]ANZ!O$284</f>
        <v>1.1719758618025322E-2</v>
      </c>
      <c r="BE116" s="557">
        <f>[3]ANZ!P$284</f>
        <v>1.172987308944845E-2</v>
      </c>
      <c r="BF116" s="557">
        <f>[3]ANZ!Q$284</f>
        <v>1.1738723249840337E-2</v>
      </c>
      <c r="BG116" s="557">
        <f>[3]ANZ!R$284</f>
        <v>1.1747347591905939E-2</v>
      </c>
      <c r="BH116" s="557">
        <f>[3]ANZ!S$284</f>
        <v>1.1760652894993921E-2</v>
      </c>
      <c r="BI116" s="557">
        <f>[3]ANZ!T$284</f>
        <v>1.1773349856813086E-2</v>
      </c>
      <c r="BJ116" s="34">
        <f>BI116</f>
        <v>1.1773349856813086E-2</v>
      </c>
      <c r="BK116" s="34">
        <f t="shared" si="1297"/>
        <v>1.1773349856813086E-2</v>
      </c>
      <c r="BL116" s="34">
        <f t="shared" si="1298"/>
        <v>1.1773349856813086E-2</v>
      </c>
      <c r="BM116" s="34">
        <f t="shared" si="1299"/>
        <v>1.1773349856813086E-2</v>
      </c>
      <c r="BN116" s="34">
        <f t="shared" si="1300"/>
        <v>1.1773349856813086E-2</v>
      </c>
      <c r="BO116" s="34">
        <f t="shared" si="1301"/>
        <v>1.1773349856813086E-2</v>
      </c>
      <c r="BP116" s="34">
        <f t="shared" si="1302"/>
        <v>1.1773349856813086E-2</v>
      </c>
      <c r="BQ116" s="34">
        <f t="shared" si="1303"/>
        <v>1.1773349856813086E-2</v>
      </c>
      <c r="BR116" s="35"/>
      <c r="BS116" s="345">
        <f t="shared" ref="BS116:CY116" si="1323">BS121/(BS613-BS612)</f>
        <v>1.155591013941918E-2</v>
      </c>
      <c r="BT116" s="345">
        <f t="shared" si="1323"/>
        <v>7.34712464220661E-3</v>
      </c>
      <c r="BU116" s="345">
        <f t="shared" si="1323"/>
        <v>7.4578768069238563E-3</v>
      </c>
      <c r="BV116" s="345">
        <f t="shared" si="1323"/>
        <v>8.161201791131013E-3</v>
      </c>
      <c r="BW116" s="345">
        <f t="shared" si="1323"/>
        <v>7.5815092443085215E-3</v>
      </c>
      <c r="BX116" s="345">
        <f t="shared" si="1323"/>
        <v>1.3471883331606168E-2</v>
      </c>
      <c r="BY116" s="345">
        <f t="shared" si="1323"/>
        <v>1.2067599228224918E-2</v>
      </c>
      <c r="BZ116" s="345">
        <f t="shared" si="1323"/>
        <v>1.1818328151342376E-2</v>
      </c>
      <c r="CA116" s="345">
        <f t="shared" si="1323"/>
        <v>1.0586947134661649E-2</v>
      </c>
      <c r="CB116" s="345">
        <f t="shared" si="1323"/>
        <v>9.9619777328953697E-3</v>
      </c>
      <c r="CC116" s="35">
        <f t="shared" si="1323"/>
        <v>1.0580663413254119E-2</v>
      </c>
      <c r="CD116" s="35">
        <f t="shared" si="1323"/>
        <v>1.0125880403715024E-2</v>
      </c>
      <c r="CE116" s="35">
        <f t="shared" si="1323"/>
        <v>1.0180197675725953E-2</v>
      </c>
      <c r="CF116" s="35">
        <f t="shared" si="1323"/>
        <v>9.9365837777359994E-3</v>
      </c>
      <c r="CG116" s="35">
        <f t="shared" si="1323"/>
        <v>8.132705633785103E-3</v>
      </c>
      <c r="CH116" s="35">
        <f t="shared" si="1323"/>
        <v>7.2948061126959654E-3</v>
      </c>
      <c r="CI116" s="35">
        <f t="shared" si="1323"/>
        <v>1.125024925224327E-2</v>
      </c>
      <c r="CJ116" s="35">
        <f t="shared" si="1323"/>
        <v>1.3054205412273564E-2</v>
      </c>
      <c r="CK116" s="35">
        <f t="shared" si="1323"/>
        <v>1.3502228959775948E-2</v>
      </c>
      <c r="CL116" s="35">
        <f t="shared" si="1323"/>
        <v>1.2763836867233591E-2</v>
      </c>
      <c r="CM116" s="37">
        <f t="shared" si="1323"/>
        <v>1.0848455125061305E-2</v>
      </c>
      <c r="CN116" s="37">
        <f t="shared" si="1323"/>
        <v>1.0036467802997382E-2</v>
      </c>
      <c r="CO116" s="37">
        <f t="shared" si="1323"/>
        <v>8.9256519416611359E-3</v>
      </c>
      <c r="CP116" s="37">
        <f t="shared" si="1323"/>
        <v>8.4517270858410695E-3</v>
      </c>
      <c r="CQ116" s="37">
        <f t="shared" si="1323"/>
        <v>8.1696886371448139E-3</v>
      </c>
      <c r="CR116" s="37">
        <f t="shared" si="1323"/>
        <v>7.9030026660016506E-3</v>
      </c>
      <c r="CS116" s="37">
        <f t="shared" si="1323"/>
        <v>7.4737839919426508E-3</v>
      </c>
      <c r="CT116" s="37">
        <f t="shared" si="1323"/>
        <v>9.4273762517243492E-3</v>
      </c>
      <c r="CU116" s="37">
        <f t="shared" si="1323"/>
        <v>1.3909681504956434E-2</v>
      </c>
      <c r="CV116" s="37">
        <f t="shared" si="1323"/>
        <v>1.2248246705090249E-2</v>
      </c>
      <c r="CW116" s="37">
        <f t="shared" si="1323"/>
        <v>1.0719392836674623E-2</v>
      </c>
      <c r="CX116" s="37">
        <f t="shared" si="1323"/>
        <v>1.155165152517899E-2</v>
      </c>
      <c r="CY116" s="37">
        <f t="shared" si="1323"/>
        <v>1.1758517103423453E-2</v>
      </c>
      <c r="CZ116" s="36">
        <f t="shared" ref="CZ116" si="1324">CZ121/(CZ613-CZ612)</f>
        <v>1.1848488702131862E-2</v>
      </c>
      <c r="DA116" s="35">
        <f t="shared" ref="DA116:DF116" si="1325">DA121/(DA613-DA612)</f>
        <v>1.1627562159803116E-2</v>
      </c>
      <c r="DB116" s="35">
        <f t="shared" si="1325"/>
        <v>1.1710190359235935E-2</v>
      </c>
      <c r="DC116" s="35">
        <f t="shared" si="1325"/>
        <v>1.172987308944845E-2</v>
      </c>
      <c r="DD116" s="35">
        <f t="shared" si="1325"/>
        <v>1.1747347591905939E-2</v>
      </c>
      <c r="DE116" s="35">
        <f t="shared" si="1325"/>
        <v>1.1773349856813086E-2</v>
      </c>
      <c r="DF116" s="35">
        <f t="shared" si="1325"/>
        <v>1.1773349856813086E-2</v>
      </c>
      <c r="DG116" s="35">
        <f t="shared" ref="DG116" si="1326">DG121/(DG613-DG612)</f>
        <v>1.1773349856813086E-2</v>
      </c>
      <c r="DH116" s="35">
        <f>DH121/(DH613-DH612)</f>
        <v>1.1773349856813086E-2</v>
      </c>
      <c r="DI116" s="35">
        <f>DI121/(DI613-DI612)</f>
        <v>1.1773349856813086E-2</v>
      </c>
    </row>
    <row r="117" spans="1:113" ht="12" outlineLevel="1">
      <c r="A117" s="1" t="s">
        <v>711</v>
      </c>
      <c r="B117" s="15" t="s">
        <v>352</v>
      </c>
      <c r="C117" s="345">
        <f t="shared" ref="C117:K117" si="1327">-C472/(C237+AVERAGE(B179:C179))*C$5</f>
        <v>3.7624422739696364E-3</v>
      </c>
      <c r="D117" s="345">
        <f t="shared" si="1327"/>
        <v>3.873449386269899E-3</v>
      </c>
      <c r="E117" s="345">
        <f t="shared" si="1327"/>
        <v>3.8964638204602334E-3</v>
      </c>
      <c r="F117" s="345">
        <f t="shared" si="1327"/>
        <v>3.6465724625830242E-3</v>
      </c>
      <c r="G117" s="345">
        <f t="shared" si="1327"/>
        <v>3.5942158060068919E-3</v>
      </c>
      <c r="H117" s="345">
        <f t="shared" si="1327"/>
        <v>3.0795114104260647E-3</v>
      </c>
      <c r="I117" s="345">
        <f t="shared" si="1327"/>
        <v>2.831478226908807E-3</v>
      </c>
      <c r="J117" s="345">
        <f t="shared" si="1327"/>
        <v>1.9934012048517381E-3</v>
      </c>
      <c r="K117" s="345">
        <f t="shared" si="1327"/>
        <v>2.5457439062321558E-3</v>
      </c>
      <c r="L117" s="345">
        <f t="shared" ref="L117:AC117" si="1328">-L472/L237*L$5</f>
        <v>1.7683744399642934E-3</v>
      </c>
      <c r="M117" s="35">
        <f t="shared" si="1328"/>
        <v>1.385078342307882E-3</v>
      </c>
      <c r="N117" s="35">
        <f t="shared" si="1328"/>
        <v>1.7269516031670241E-3</v>
      </c>
      <c r="O117" s="35">
        <f t="shared" si="1328"/>
        <v>1.9109939128912051E-3</v>
      </c>
      <c r="P117" s="35">
        <f t="shared" si="1328"/>
        <v>4.4978068545089584E-3</v>
      </c>
      <c r="Q117" s="35">
        <f t="shared" si="1328"/>
        <v>8.095619964104326E-3</v>
      </c>
      <c r="R117" s="35">
        <f t="shared" si="1328"/>
        <v>8.1267998720685377E-3</v>
      </c>
      <c r="S117" s="35">
        <f t="shared" si="1328"/>
        <v>9.240554501322067E-3</v>
      </c>
      <c r="T117" s="37">
        <f t="shared" si="1328"/>
        <v>6.3240123538127382E-3</v>
      </c>
      <c r="U117" s="35">
        <f t="shared" si="1328"/>
        <v>3.9510598722230263E-3</v>
      </c>
      <c r="V117" s="35">
        <f t="shared" si="1328"/>
        <v>3.4696136307969874E-3</v>
      </c>
      <c r="W117" s="35">
        <f t="shared" si="1328"/>
        <v>2.8402361075492363E-3</v>
      </c>
      <c r="X117" s="35">
        <f t="shared" si="1328"/>
        <v>2.7924339736335444E-3</v>
      </c>
      <c r="Y117" s="37">
        <f t="shared" si="1328"/>
        <v>3.2173662957498497E-3</v>
      </c>
      <c r="Z117" s="228">
        <f t="shared" si="1328"/>
        <v>2.6724935790968869E-3</v>
      </c>
      <c r="AA117" s="228">
        <f t="shared" si="1328"/>
        <v>2.5085014605093813E-3</v>
      </c>
      <c r="AB117" s="357">
        <f t="shared" si="1328"/>
        <v>2.1068298280576734E-3</v>
      </c>
      <c r="AC117" s="357">
        <f t="shared" si="1328"/>
        <v>1.7433759329804287E-3</v>
      </c>
      <c r="AD117" s="357">
        <f t="shared" ref="AD117:AE117" si="1329">-AD472/AD237*AD$5</f>
        <v>1.8737239502042585E-3</v>
      </c>
      <c r="AE117" s="357">
        <f t="shared" si="1329"/>
        <v>2.4421779531197526E-3</v>
      </c>
      <c r="AF117" s="357">
        <f t="shared" ref="AF117:AG117" si="1330">-AF472/AF237*AF$5</f>
        <v>3.3325346866763957E-3</v>
      </c>
      <c r="AG117" s="357">
        <f t="shared" si="1330"/>
        <v>3.7672506873054901E-3</v>
      </c>
      <c r="AH117" s="357">
        <f t="shared" ref="AH117" si="1331">-AH472/AH237*AH$5</f>
        <v>2.5980665837012132E-3</v>
      </c>
      <c r="AI117" s="357">
        <f t="shared" ref="AI117:AJ117" si="1332">-AI472/AI237*AI$5</f>
        <v>1.7110633962224857E-3</v>
      </c>
      <c r="AJ117" s="357">
        <f t="shared" si="1332"/>
        <v>1.4573854219767889E-3</v>
      </c>
      <c r="AK117" s="357">
        <f t="shared" ref="AK117:AL117" si="1333">-AK472/AK237*AK$5</f>
        <v>9.7548483481400383E-4</v>
      </c>
      <c r="AL117" s="357">
        <f t="shared" si="1333"/>
        <v>1.3451861130092124E-3</v>
      </c>
      <c r="AM117" s="357">
        <f t="shared" ref="AM117:AN117" si="1334">-AM472/AM237*AM$5</f>
        <v>1.3591521669362324E-3</v>
      </c>
      <c r="AN117" s="357">
        <f t="shared" si="1334"/>
        <v>5.5371883057493809E-3</v>
      </c>
      <c r="AO117" s="357">
        <f t="shared" ref="AO117" si="1335">-AO472/AO237*AO$5</f>
        <v>3.5034919673226934E-3</v>
      </c>
      <c r="AP117" s="357">
        <f t="shared" ref="AP117:AQ117" si="1336">-AP472/AP237*AP$5</f>
        <v>-1.679070826011592E-3</v>
      </c>
      <c r="AQ117" s="357">
        <f t="shared" si="1336"/>
        <v>-2.5809690414810386E-4</v>
      </c>
      <c r="AR117" s="357">
        <f t="shared" ref="AR117:AS117" si="1337">-AR472/AR237*AR$5</f>
        <v>-9.3818586061048838E-4</v>
      </c>
      <c r="AS117" s="357">
        <f t="shared" si="1337"/>
        <v>1.6742134174003699E-4</v>
      </c>
      <c r="AT117" s="357">
        <f t="shared" ref="AT117:AU117" si="1338">-AT472/AT237*AT$5</f>
        <v>4.1082716480442792E-4</v>
      </c>
      <c r="AU117" s="357">
        <f t="shared" si="1338"/>
        <v>3.4358448056132556E-4</v>
      </c>
      <c r="AV117" s="357">
        <f t="shared" ref="AV117:AW117" si="1339">-AV472/AV237*AV$5</f>
        <v>2.1084908928254079E-4</v>
      </c>
      <c r="AW117" s="357">
        <f t="shared" si="1339"/>
        <v>9.6085378722236044E-4</v>
      </c>
      <c r="AX117" s="357">
        <f t="shared" ref="AX117:AY117" si="1340">-AX472/AX237*AX$5</f>
        <v>3.8134421859179482E-4</v>
      </c>
      <c r="AY117" s="348">
        <f t="shared" si="1340"/>
        <v>7.5963436837594035E-4</v>
      </c>
      <c r="AZ117" s="345">
        <f t="shared" ref="AZ117:BA117" si="1341">-AZ472/AZ237*AZ$5</f>
        <v>8.0353408920652277E-4</v>
      </c>
      <c r="BA117" s="345">
        <f t="shared" si="1341"/>
        <v>8.8638638443177045E-4</v>
      </c>
      <c r="BB117" s="345">
        <f t="shared" ref="BB117:BK117" si="1342">-BB472/BB237*BB$5</f>
        <v>1.0565422674672718E-3</v>
      </c>
      <c r="BC117" s="345">
        <f t="shared" si="1342"/>
        <v>1.2921597966057555E-3</v>
      </c>
      <c r="BD117" s="345">
        <f t="shared" si="1342"/>
        <v>1.263647717767188E-3</v>
      </c>
      <c r="BE117" s="345">
        <f t="shared" si="1342"/>
        <v>1.1961032937653844E-3</v>
      </c>
      <c r="BF117" s="345">
        <f t="shared" si="1342"/>
        <v>1.122668789949869E-3</v>
      </c>
      <c r="BG117" s="345">
        <f t="shared" si="1342"/>
        <v>1.0562876990386186E-3</v>
      </c>
      <c r="BH117" s="345">
        <f t="shared" si="1342"/>
        <v>1.1202942929415113E-3</v>
      </c>
      <c r="BI117" s="345">
        <f t="shared" si="1342"/>
        <v>1.0882834435927242E-3</v>
      </c>
      <c r="BJ117" s="345">
        <f t="shared" si="1342"/>
        <v>7.3274775217775179E-4</v>
      </c>
      <c r="BK117" s="345">
        <f t="shared" si="1342"/>
        <v>7.7510531534458486E-4</v>
      </c>
      <c r="BL117" s="345">
        <f t="shared" ref="BL117:BM117" si="1343">-BL472/BL237*BL$5</f>
        <v>8.4934803604852168E-4</v>
      </c>
      <c r="BM117" s="345">
        <f t="shared" si="1343"/>
        <v>9.5813186970980329E-4</v>
      </c>
      <c r="BN117" s="345">
        <f t="shared" ref="BN117:BO117" si="1344">-BN472/BN237*BN$5</f>
        <v>1.0947398484397689E-3</v>
      </c>
      <c r="BO117" s="345">
        <f t="shared" si="1344"/>
        <v>1.1969311389238332E-3</v>
      </c>
      <c r="BP117" s="345">
        <f t="shared" ref="BP117:BQ117" si="1345">-BP472/BP237*BP$5</f>
        <v>1.3010060240639749E-3</v>
      </c>
      <c r="BQ117" s="345">
        <f t="shared" si="1345"/>
        <v>1.2981579881956389E-3</v>
      </c>
      <c r="BR117" s="35"/>
      <c r="BS117" s="345">
        <f t="shared" ref="BS117:CF117" si="1346">-BS472/(BS237+AVERAGE(BR179:BS179))*BS$5</f>
        <v>2.6540645415881092E-2</v>
      </c>
      <c r="BT117" s="345">
        <f t="shared" si="1346"/>
        <v>8.7354354869488594E-3</v>
      </c>
      <c r="BU117" s="345">
        <f t="shared" si="1346"/>
        <v>5.3691609509780381E-3</v>
      </c>
      <c r="BV117" s="345">
        <f t="shared" si="1346"/>
        <v>3.0124118996625337E-3</v>
      </c>
      <c r="BW117" s="345">
        <f t="shared" si="1346"/>
        <v>2.0306924661309509E-3</v>
      </c>
      <c r="BX117" s="345">
        <f t="shared" si="1346"/>
        <v>4.183203392577951E-3</v>
      </c>
      <c r="BY117" s="345">
        <f t="shared" si="1346"/>
        <v>4.5839608433734941E-3</v>
      </c>
      <c r="BZ117" s="345">
        <f t="shared" si="1346"/>
        <v>4.3698055008139832E-3</v>
      </c>
      <c r="CA117" s="345">
        <f t="shared" si="1346"/>
        <v>3.8530617257418296E-3</v>
      </c>
      <c r="CB117" s="345">
        <f t="shared" si="1346"/>
        <v>3.8681197004574726E-3</v>
      </c>
      <c r="CC117" s="35">
        <f t="shared" si="1346"/>
        <v>3.8908408819257967E-3</v>
      </c>
      <c r="CD117" s="35">
        <f t="shared" si="1346"/>
        <v>3.6179058751685412E-3</v>
      </c>
      <c r="CE117" s="35">
        <f t="shared" si="1346"/>
        <v>2.9528087892783141E-3</v>
      </c>
      <c r="CF117" s="35">
        <f t="shared" si="1346"/>
        <v>2.2778251110455619E-3</v>
      </c>
      <c r="CG117" s="35">
        <f t="shared" ref="CG117:CY117" si="1347">-CG472/CG237*CG$5</f>
        <v>1.5694954862543818E-3</v>
      </c>
      <c r="CH117" s="35">
        <f t="shared" si="1347"/>
        <v>1.8217351853144412E-3</v>
      </c>
      <c r="CI117" s="35">
        <f t="shared" si="1347"/>
        <v>6.3444391172062754E-3</v>
      </c>
      <c r="CJ117" s="35">
        <f t="shared" si="1347"/>
        <v>8.6762713674613124E-3</v>
      </c>
      <c r="CK117" s="35">
        <f t="shared" si="1347"/>
        <v>5.0779823037475566E-3</v>
      </c>
      <c r="CL117" s="35">
        <f t="shared" si="1347"/>
        <v>3.1492892157495437E-3</v>
      </c>
      <c r="CM117" s="37">
        <f t="shared" si="1347"/>
        <v>3.0098430000813471E-3</v>
      </c>
      <c r="CN117" s="37">
        <f t="shared" si="1347"/>
        <v>2.5927105196467677E-3</v>
      </c>
      <c r="CO117" s="37">
        <f t="shared" si="1347"/>
        <v>1.9202317480904469E-3</v>
      </c>
      <c r="CP117" s="37">
        <f t="shared" si="1347"/>
        <v>2.1686976835429139E-3</v>
      </c>
      <c r="CQ117" s="37">
        <f t="shared" si="1347"/>
        <v>3.5498577153144782E-3</v>
      </c>
      <c r="CR117" s="37">
        <f t="shared" si="1347"/>
        <v>2.1523250136427606E-3</v>
      </c>
      <c r="CS117" s="37">
        <f t="shared" si="1347"/>
        <v>1.2133760601608782E-3</v>
      </c>
      <c r="CT117" s="37">
        <f t="shared" si="1347"/>
        <v>1.3522155924915464E-3</v>
      </c>
      <c r="CU117" s="37">
        <f t="shared" si="1347"/>
        <v>4.5180250719039231E-3</v>
      </c>
      <c r="CV117" s="37">
        <f t="shared" si="1347"/>
        <v>-9.6611772323368296E-4</v>
      </c>
      <c r="CW117" s="37">
        <f t="shared" si="1347"/>
        <v>-3.7827804190134233E-4</v>
      </c>
      <c r="CX117" s="37">
        <f t="shared" si="1347"/>
        <v>3.7709000898787762E-4</v>
      </c>
      <c r="CY117" s="37">
        <f t="shared" si="1347"/>
        <v>5.9558737237413453E-4</v>
      </c>
      <c r="CZ117" s="36">
        <f t="shared" ref="CZ117" si="1348">-CZ472/CZ237*CZ$5</f>
        <v>5.7280534586153322E-4</v>
      </c>
      <c r="DA117" s="35">
        <f t="shared" ref="DA117:DF117" si="1349">-DA472/DA237*DA$5</f>
        <v>8.4540955378218199E-4</v>
      </c>
      <c r="DB117" s="35">
        <f t="shared" si="1349"/>
        <v>1.1755850998032731E-3</v>
      </c>
      <c r="DC117" s="35">
        <f t="shared" si="1349"/>
        <v>1.229588686563515E-3</v>
      </c>
      <c r="DD117" s="35">
        <f t="shared" si="1349"/>
        <v>1.0891295068738295E-3</v>
      </c>
      <c r="DE117" s="35">
        <f t="shared" si="1349"/>
        <v>1.1041004702105502E-3</v>
      </c>
      <c r="DF117" s="35">
        <f t="shared" si="1349"/>
        <v>7.5418287660093393E-4</v>
      </c>
      <c r="DG117" s="35">
        <f t="shared" ref="DG117:DH117" si="1350">-DG472/DG237*DG$5</f>
        <v>9.0424162598222956E-4</v>
      </c>
      <c r="DH117" s="35">
        <f t="shared" si="1350"/>
        <v>1.1464758281633778E-3</v>
      </c>
      <c r="DI117" s="35">
        <f t="shared" ref="DI117" si="1351">-DI472/DI237*DI$5</f>
        <v>1.2995635272868933E-3</v>
      </c>
    </row>
    <row r="118" spans="1:113" ht="12" outlineLevel="1">
      <c r="A118" s="1" t="s">
        <v>712</v>
      </c>
      <c r="B118" s="15" t="s">
        <v>353</v>
      </c>
      <c r="C118" s="345">
        <f t="shared" ref="C118:K118" si="1352">-C472/(C233+AVERAGE(B179:C179))*C$5</f>
        <v>1.0196362453060005E-2</v>
      </c>
      <c r="D118" s="345">
        <f t="shared" si="1352"/>
        <v>5.9951178442610685E-3</v>
      </c>
      <c r="E118" s="345">
        <f t="shared" si="1352"/>
        <v>6.2408384116489782E-3</v>
      </c>
      <c r="F118" s="345">
        <f t="shared" si="1352"/>
        <v>5.9667984299169811E-3</v>
      </c>
      <c r="G118" s="345">
        <f t="shared" si="1352"/>
        <v>6.0165016910869885E-3</v>
      </c>
      <c r="H118" s="345">
        <f t="shared" si="1352"/>
        <v>5.3933733940703613E-3</v>
      </c>
      <c r="I118" s="345">
        <f t="shared" si="1352"/>
        <v>5.2066356204130936E-3</v>
      </c>
      <c r="J118" s="345">
        <f t="shared" si="1352"/>
        <v>3.8099005034103262E-3</v>
      </c>
      <c r="K118" s="345">
        <f t="shared" si="1352"/>
        <v>4.8964450934286365E-3</v>
      </c>
      <c r="L118" s="345">
        <f t="shared" ref="L118:AB118" si="1353">-L472/(L233+L235)*L$5</f>
        <v>3.599869940466936E-3</v>
      </c>
      <c r="M118" s="35">
        <f t="shared" si="1353"/>
        <v>2.8385438241915694E-3</v>
      </c>
      <c r="N118" s="35">
        <f t="shared" si="1353"/>
        <v>3.5721408751789221E-3</v>
      </c>
      <c r="O118" s="35">
        <f t="shared" si="1353"/>
        <v>3.9463672433795562E-3</v>
      </c>
      <c r="P118" s="35">
        <f t="shared" si="1353"/>
        <v>9.0281595431341271E-3</v>
      </c>
      <c r="Q118" s="35">
        <f t="shared" si="1353"/>
        <v>1.607399783000367E-2</v>
      </c>
      <c r="R118" s="35">
        <f t="shared" si="1353"/>
        <v>1.6219353381702366E-2</v>
      </c>
      <c r="S118" s="35">
        <f t="shared" si="1353"/>
        <v>1.9331194166307263E-2</v>
      </c>
      <c r="T118" s="37">
        <f t="shared" si="1353"/>
        <v>1.3717839230441325E-2</v>
      </c>
      <c r="U118" s="35">
        <f t="shared" si="1353"/>
        <v>8.6531661687033468E-3</v>
      </c>
      <c r="V118" s="35">
        <f t="shared" si="1353"/>
        <v>7.5798862757633688E-3</v>
      </c>
      <c r="W118" s="35">
        <f t="shared" si="1353"/>
        <v>6.1139409329306997E-3</v>
      </c>
      <c r="X118" s="35">
        <f t="shared" si="1353"/>
        <v>6.0030691580023627E-3</v>
      </c>
      <c r="Y118" s="37">
        <f t="shared" si="1353"/>
        <v>6.8964987114636337E-3</v>
      </c>
      <c r="Z118" s="228">
        <f t="shared" si="1353"/>
        <v>5.5821056010555321E-3</v>
      </c>
      <c r="AA118" s="228">
        <f t="shared" si="1353"/>
        <v>5.1862896127472516E-3</v>
      </c>
      <c r="AB118" s="357">
        <f t="shared" si="1353"/>
        <v>4.3399589866926899E-3</v>
      </c>
      <c r="AC118" s="357">
        <f t="shared" ref="AC118:AH118" si="1354">-AC472/(AC233+AC235)*AC$5</f>
        <v>3.6018627370141263E-3</v>
      </c>
      <c r="AD118" s="357">
        <f t="shared" si="1354"/>
        <v>3.8453550899760517E-3</v>
      </c>
      <c r="AE118" s="357">
        <f t="shared" si="1354"/>
        <v>5.0689333588648001E-3</v>
      </c>
      <c r="AF118" s="357">
        <f t="shared" si="1354"/>
        <v>7.158137118855358E-3</v>
      </c>
      <c r="AG118" s="357">
        <f t="shared" si="1354"/>
        <v>8.4145799887563114E-3</v>
      </c>
      <c r="AH118" s="357">
        <f t="shared" si="1354"/>
        <v>5.9167098829251063E-3</v>
      </c>
      <c r="AI118" s="357">
        <f t="shared" ref="AI118:AJ118" si="1355">-AI472/(AI233+AI235)*AI$5</f>
        <v>3.9786646150609378E-3</v>
      </c>
      <c r="AJ118" s="357">
        <f t="shared" si="1355"/>
        <v>3.4305360408910792E-3</v>
      </c>
      <c r="AK118" s="357">
        <f t="shared" ref="AK118:AL118" si="1356">-AK472/(AK233+AK235)*AK$5</f>
        <v>2.2730031829659696E-3</v>
      </c>
      <c r="AL118" s="357">
        <f t="shared" si="1356"/>
        <v>3.1089766981324952E-3</v>
      </c>
      <c r="AM118" s="357">
        <f t="shared" ref="AM118:AN118" si="1357">-AM472/(AM233+AM235)*AM$5</f>
        <v>3.0838849759733953E-3</v>
      </c>
      <c r="AN118" s="357">
        <f t="shared" si="1357"/>
        <v>1.211683681678238E-2</v>
      </c>
      <c r="AO118" s="357">
        <f t="shared" ref="AO118" si="1358">-AO472/(AO233+AO235)*AO$5</f>
        <v>7.7975872271673118E-3</v>
      </c>
      <c r="AP118" s="357">
        <f t="shared" ref="AP118:AQ118" si="1359">-AP472/(AP233+AP235)*AP$5</f>
        <v>-4.0490970272895775E-3</v>
      </c>
      <c r="AQ118" s="357">
        <f t="shared" si="1359"/>
        <v>-6.2993501540384636E-4</v>
      </c>
      <c r="AR118" s="357">
        <f t="shared" ref="AR118:AS118" si="1360">-AR472/(AR233+AR235)*AR$5</f>
        <v>-2.212834307200639E-3</v>
      </c>
      <c r="AS118" s="357">
        <f t="shared" si="1360"/>
        <v>3.8178648888333985E-4</v>
      </c>
      <c r="AT118" s="357">
        <f t="shared" ref="AT118:AU118" si="1361">-AT472/(AT233+AT235)*AT$5</f>
        <v>9.3031757786750933E-4</v>
      </c>
      <c r="AU118" s="357">
        <f t="shared" si="1361"/>
        <v>7.9184840459173278E-4</v>
      </c>
      <c r="AV118" s="357">
        <f t="shared" ref="AV118:AW118" si="1362">-AV472/(AV233+AV235)*AV$5</f>
        <v>4.9601926084599595E-4</v>
      </c>
      <c r="AW118" s="357">
        <f t="shared" si="1362"/>
        <v>2.337824676535392E-3</v>
      </c>
      <c r="AX118" s="357">
        <f t="shared" ref="AX118:AY118" si="1363">-AX472/(AX233+AX235)*AX$5</f>
        <v>9.4497022027650553E-4</v>
      </c>
      <c r="AY118" s="348">
        <f t="shared" si="1363"/>
        <v>1.9015944124143366E-3</v>
      </c>
      <c r="AZ118" s="345">
        <f t="shared" ref="AZ118" si="1364">-AZ472/(AZ233+AZ235)*AZ$5</f>
        <v>2.0411004444519203E-3</v>
      </c>
      <c r="BA118" s="345">
        <f>-BA472/(BA233+BA235)*BA$5</f>
        <v>2.2746530270679479E-3</v>
      </c>
      <c r="BB118" s="345">
        <f t="shared" ref="BB118:BK118" si="1365">-BB472/(BB233+BB235)*BB$5</f>
        <v>2.7247353176520776E-3</v>
      </c>
      <c r="BC118" s="345">
        <f t="shared" si="1365"/>
        <v>3.3645313337679651E-3</v>
      </c>
      <c r="BD118" s="345">
        <f t="shared" si="1365"/>
        <v>3.331331835389759E-3</v>
      </c>
      <c r="BE118" s="345">
        <f t="shared" si="1365"/>
        <v>3.1903425859645751E-3</v>
      </c>
      <c r="BF118" s="345">
        <f t="shared" si="1365"/>
        <v>3.0281656024439781E-3</v>
      </c>
      <c r="BG118" s="345">
        <f t="shared" si="1365"/>
        <v>2.8804662123913341E-3</v>
      </c>
      <c r="BH118" s="345">
        <f t="shared" si="1365"/>
        <v>3.0745239548701556E-3</v>
      </c>
      <c r="BI118" s="345">
        <f t="shared" si="1365"/>
        <v>2.9914294974943533E-3</v>
      </c>
      <c r="BJ118" s="345">
        <f t="shared" si="1365"/>
        <v>2.0150238163272128E-3</v>
      </c>
      <c r="BK118" s="345">
        <f t="shared" si="1365"/>
        <v>2.1343036244385735E-3</v>
      </c>
      <c r="BL118" s="345">
        <f>-BL472/(BL233+BL235)*BL$5</f>
        <v>2.3449194927131962E-3</v>
      </c>
      <c r="BM118" s="345">
        <f t="shared" ref="BM118" si="1366">-BM472/(BM233+BM235)*BM$5</f>
        <v>2.6521415956341039E-3</v>
      </c>
      <c r="BN118" s="345">
        <f t="shared" ref="BN118:BO118" si="1367">-BN472/(BN233+BN235)*BN$5</f>
        <v>3.0350693919457298E-3</v>
      </c>
      <c r="BO118" s="345">
        <f t="shared" si="1367"/>
        <v>3.3203603780223366E-3</v>
      </c>
      <c r="BP118" s="345">
        <f t="shared" ref="BP118:BQ118" si="1368">-BP472/(BP233+BP235)*BP$5</f>
        <v>3.6083739276482128E-3</v>
      </c>
      <c r="BQ118" s="345">
        <f t="shared" si="1368"/>
        <v>3.596949370988214E-3</v>
      </c>
      <c r="BR118" s="35"/>
      <c r="BS118" s="345">
        <f t="shared" ref="BS118:CF118" si="1369">-BS472/(BS233+AVERAGE(BR179:BS179))*BS$5</f>
        <v>4.3655530133418857E-2</v>
      </c>
      <c r="BT118" s="345">
        <f t="shared" si="1369"/>
        <v>1.1376830335389639E-2</v>
      </c>
      <c r="BU118" s="345">
        <f t="shared" si="1369"/>
        <v>7.0749194347889156E-3</v>
      </c>
      <c r="BV118" s="345">
        <f t="shared" si="1369"/>
        <v>4.0305752433038794E-3</v>
      </c>
      <c r="BW118" s="345">
        <f t="shared" si="1369"/>
        <v>2.7216587158947706E-3</v>
      </c>
      <c r="BX118" s="345">
        <f t="shared" si="1369"/>
        <v>5.6001244466958771E-3</v>
      </c>
      <c r="BY118" s="345">
        <f t="shared" si="1369"/>
        <v>6.1099059018680539E-3</v>
      </c>
      <c r="BZ118" s="345">
        <f t="shared" si="1369"/>
        <v>5.9723674412010203E-3</v>
      </c>
      <c r="CA118" s="345">
        <f t="shared" si="1369"/>
        <v>5.510538416778823E-3</v>
      </c>
      <c r="CB118" s="345">
        <f t="shared" si="1369"/>
        <v>5.7693974693707583E-3</v>
      </c>
      <c r="CC118" s="35">
        <f t="shared" si="1369"/>
        <v>6.1307123129266923E-3</v>
      </c>
      <c r="CD118" s="35">
        <f t="shared" si="1369"/>
        <v>5.9857591174622164E-3</v>
      </c>
      <c r="CE118" s="35">
        <f t="shared" si="1369"/>
        <v>5.3094006822036414E-3</v>
      </c>
      <c r="CF118" s="35">
        <f t="shared" si="1369"/>
        <v>4.3673085643781461E-3</v>
      </c>
      <c r="CG118" s="35">
        <f t="shared" ref="CG118:CY118" si="1370">-CG472/(CG233+CG235)*CG$5</f>
        <v>3.2040105081211296E-3</v>
      </c>
      <c r="CH118" s="35">
        <f t="shared" si="1370"/>
        <v>3.7472143741415368E-3</v>
      </c>
      <c r="CI118" s="35">
        <f t="shared" si="1370"/>
        <v>1.2714614241169766E-2</v>
      </c>
      <c r="CJ118" s="35">
        <f t="shared" si="1370"/>
        <v>1.7760978455987435E-2</v>
      </c>
      <c r="CK118" s="35">
        <f t="shared" si="1370"/>
        <v>1.103804626316438E-2</v>
      </c>
      <c r="CL118" s="35">
        <f t="shared" si="1370"/>
        <v>6.8614968271532243E-3</v>
      </c>
      <c r="CM118" s="37">
        <f t="shared" si="1370"/>
        <v>6.4510598623179951E-3</v>
      </c>
      <c r="CN118" s="37">
        <f t="shared" si="1370"/>
        <v>5.4009979790745942E-3</v>
      </c>
      <c r="CO118" s="37">
        <f t="shared" si="1370"/>
        <v>3.9676011711403539E-3</v>
      </c>
      <c r="CP118" s="37">
        <f t="shared" si="1370"/>
        <v>4.4883739899710933E-3</v>
      </c>
      <c r="CQ118" s="37">
        <f t="shared" si="1370"/>
        <v>7.7015449963662337E-3</v>
      </c>
      <c r="CR118" s="37">
        <f t="shared" si="1370"/>
        <v>4.9349016444840462E-3</v>
      </c>
      <c r="CS118" s="37">
        <f t="shared" si="1370"/>
        <v>2.828752763365108E-3</v>
      </c>
      <c r="CT118" s="37">
        <f t="shared" si="1370"/>
        <v>3.0707074596352875E-3</v>
      </c>
      <c r="CU118" s="37">
        <f t="shared" si="1370"/>
        <v>1.0221982878455197E-2</v>
      </c>
      <c r="CV118" s="37">
        <f t="shared" si="1370"/>
        <v>-2.3170232619384701E-3</v>
      </c>
      <c r="CW118" s="37">
        <f t="shared" si="1370"/>
        <v>-8.7698086248812006E-4</v>
      </c>
      <c r="CX118" s="37">
        <f t="shared" si="1370"/>
        <v>8.6145319239728721E-4</v>
      </c>
      <c r="CY118" s="37">
        <f t="shared" si="1370"/>
        <v>1.4253270563493342E-3</v>
      </c>
      <c r="CZ118" s="36">
        <f t="shared" ref="CZ118" si="1371">-CZ472/(CZ233+CZ235)*CZ$5</f>
        <v>1.4267096384739447E-3</v>
      </c>
      <c r="DA118" s="35">
        <f t="shared" ref="DA118:DF118" si="1372">-DA472/(DA233+DA235)*DA$5</f>
        <v>2.1585475030492752E-3</v>
      </c>
      <c r="DB118" s="35">
        <f t="shared" si="1372"/>
        <v>3.0464482880023904E-3</v>
      </c>
      <c r="DC118" s="35">
        <f t="shared" si="1372"/>
        <v>3.2606505322448206E-3</v>
      </c>
      <c r="DD118" s="35">
        <f t="shared" si="1372"/>
        <v>2.9539440107468548E-3</v>
      </c>
      <c r="DE118" s="35">
        <f t="shared" si="1372"/>
        <v>3.0325207263736166E-3</v>
      </c>
      <c r="DF118" s="35">
        <f t="shared" si="1372"/>
        <v>2.0753464687259184E-3</v>
      </c>
      <c r="DG118" s="35">
        <f t="shared" ref="DG118:DH118" si="1373">-DG472/(DG233+DG235)*DG$5</f>
        <v>2.499747664765975E-3</v>
      </c>
      <c r="DH118" s="35">
        <f t="shared" si="1373"/>
        <v>3.1794601061474561E-3</v>
      </c>
      <c r="DI118" s="35">
        <f t="shared" ref="DI118" si="1374">-DI472/(DI233+DI235)*DI$5</f>
        <v>3.602584726131273E-3</v>
      </c>
    </row>
    <row r="119" spans="1:113" ht="12" outlineLevel="1">
      <c r="Z119" s="228"/>
      <c r="AA119" s="37"/>
      <c r="AB119" s="357"/>
      <c r="AC119" s="37"/>
      <c r="AD119" s="37"/>
      <c r="AE119" s="37"/>
      <c r="AF119" s="37"/>
      <c r="AG119" s="37"/>
      <c r="AH119" s="37"/>
      <c r="AI119" s="37"/>
      <c r="AJ119" s="189"/>
      <c r="AK119" s="141"/>
      <c r="AL119" s="141"/>
      <c r="AM119" s="141"/>
      <c r="AN119" s="141"/>
      <c r="AO119" s="141"/>
      <c r="AP119" s="141"/>
      <c r="AQ119" s="141"/>
      <c r="AR119" s="141"/>
      <c r="AS119" s="144"/>
      <c r="AT119" s="144"/>
      <c r="AU119" s="144"/>
      <c r="AV119" s="144"/>
      <c r="AW119" s="144"/>
      <c r="AX119" s="556"/>
      <c r="AY119" s="540"/>
      <c r="AZ119" s="542"/>
      <c r="BA119" s="542"/>
      <c r="BB119" s="542"/>
      <c r="BC119" s="542"/>
      <c r="BD119" s="542"/>
      <c r="BE119" s="542"/>
      <c r="BF119" s="542"/>
      <c r="BG119" s="542"/>
      <c r="BH119" s="542"/>
      <c r="BI119" s="542"/>
      <c r="BJ119" s="542"/>
      <c r="BK119" s="542"/>
      <c r="BL119" s="542"/>
      <c r="BM119" s="542"/>
      <c r="BN119" s="542"/>
      <c r="BO119" s="542"/>
      <c r="BP119" s="542"/>
      <c r="BQ119" s="542"/>
      <c r="BR119" s="542"/>
      <c r="CM119" s="41"/>
      <c r="CZ119" s="200"/>
      <c r="DB119" s="15"/>
      <c r="DC119" s="15"/>
      <c r="DD119" s="15"/>
      <c r="DE119" s="15"/>
      <c r="DF119" s="15"/>
      <c r="DG119" s="15"/>
      <c r="DH119" s="15"/>
      <c r="DI119" s="15"/>
    </row>
    <row r="120" spans="1:113" ht="12" outlineLevel="1">
      <c r="A120" s="1" t="s">
        <v>713</v>
      </c>
      <c r="B120" s="15" t="s">
        <v>354</v>
      </c>
      <c r="C120" s="40">
        <v>500</v>
      </c>
      <c r="D120" s="40">
        <v>589</v>
      </c>
      <c r="E120" s="40">
        <v>585</v>
      </c>
      <c r="F120" s="40">
        <v>558</v>
      </c>
      <c r="G120" s="40">
        <v>484</v>
      </c>
      <c r="H120" s="40">
        <v>419</v>
      </c>
      <c r="I120" s="40">
        <v>384</v>
      </c>
      <c r="J120" s="40">
        <v>321</v>
      </c>
      <c r="K120" s="40">
        <v>273</v>
      </c>
      <c r="L120" s="40">
        <v>316</v>
      </c>
      <c r="M120" s="40">
        <v>286</v>
      </c>
      <c r="N120" s="40">
        <v>302</v>
      </c>
      <c r="O120" s="40">
        <v>270</v>
      </c>
      <c r="P120" s="40">
        <v>316</v>
      </c>
      <c r="Q120" s="40">
        <v>675</v>
      </c>
      <c r="R120" s="40">
        <v>1341</v>
      </c>
      <c r="S120" s="40">
        <v>1526</v>
      </c>
      <c r="T120" s="40">
        <v>1593</v>
      </c>
      <c r="U120" s="40">
        <v>1875</v>
      </c>
      <c r="V120" s="40">
        <v>1717</v>
      </c>
      <c r="W120" s="40">
        <v>1697</v>
      </c>
      <c r="X120" s="40">
        <v>1714</v>
      </c>
      <c r="Y120" s="40">
        <v>1773</v>
      </c>
      <c r="Z120" s="141">
        <v>1543</v>
      </c>
      <c r="AA120" s="141">
        <v>1467</v>
      </c>
      <c r="AB120" s="141">
        <v>1470</v>
      </c>
      <c r="AC120" s="141">
        <v>1176</v>
      </c>
      <c r="AD120" s="141">
        <v>1114</v>
      </c>
      <c r="AE120" s="141">
        <v>1061</v>
      </c>
      <c r="AF120" s="141">
        <v>1238</v>
      </c>
      <c r="AG120" s="141">
        <v>1307</v>
      </c>
      <c r="AH120" s="141">
        <v>1269</v>
      </c>
      <c r="AI120" s="141">
        <v>1136</v>
      </c>
      <c r="AJ120" s="141">
        <v>1016</v>
      </c>
      <c r="AK120" s="141">
        <v>920</v>
      </c>
      <c r="AL120" s="141">
        <v>891</v>
      </c>
      <c r="AM120" s="141">
        <v>814</v>
      </c>
      <c r="AN120" s="141">
        <v>1093</v>
      </c>
      <c r="AO120" s="141">
        <v>891</v>
      </c>
      <c r="AP120" s="141">
        <v>809</v>
      </c>
      <c r="AQ120" s="141">
        <v>687</v>
      </c>
      <c r="AR120" s="141">
        <v>636</v>
      </c>
      <c r="AS120" s="141">
        <v>542</v>
      </c>
      <c r="AT120" s="141">
        <v>421</v>
      </c>
      <c r="AU120" s="141">
        <v>376</v>
      </c>
      <c r="AV120" s="141">
        <v>325</v>
      </c>
      <c r="AW120" s="141">
        <v>308</v>
      </c>
      <c r="AX120" s="141">
        <v>364</v>
      </c>
      <c r="AY120" s="226">
        <v>399</v>
      </c>
      <c r="AZ120" s="555">
        <f>AY120+([3]ANZ!K$255-(AZ121-AY121)+AZ470)</f>
        <v>477.1494062355456</v>
      </c>
      <c r="BA120" s="555">
        <f>AZ120+([3]ANZ!L$255-(BA121-AZ121)+BA470)</f>
        <v>541.57961443012812</v>
      </c>
      <c r="BB120" s="555">
        <f>BA120+([3]ANZ!M$255-(BB121-BA121)+BB470)</f>
        <v>606.65821020374699</v>
      </c>
      <c r="BC120" s="555">
        <f>BB120+([3]ANZ!N$255-(BC121-BB121)+BC470)</f>
        <v>688.01812448580074</v>
      </c>
      <c r="BD120" s="555">
        <f>BC120+([3]ANZ!O$255-(BD121-BC121)+BD470)</f>
        <v>815.13059655382165</v>
      </c>
      <c r="BE120" s="555">
        <f>BD120+([3]ANZ!P$255-(BE121-BD121)+BE470)</f>
        <v>950.19262124897205</v>
      </c>
      <c r="BF120" s="555">
        <f>BE120+([3]ANZ!Q$255-(BF121-BE121)+BF470)</f>
        <v>1116.8411398665733</v>
      </c>
      <c r="BG120" s="555">
        <f>BF120+([3]ANZ!R$255-(BG121-BF121)+BG470)</f>
        <v>1312.4871736376263</v>
      </c>
      <c r="BH120" s="555">
        <f>BG120+([3]ANZ!S$255-(BH121-BG121)+BH470)</f>
        <v>1506.3639661155007</v>
      </c>
      <c r="BI120" s="555">
        <f>BH120+([3]ANZ!T$255-(BI121-BH121)+BI470)</f>
        <v>1702.1714950175483</v>
      </c>
      <c r="BJ120" s="41">
        <f t="shared" ref="BJ120:BK120" si="1375">BJ115*BJ124</f>
        <v>1698.3945673172636</v>
      </c>
      <c r="BK120" s="41">
        <f t="shared" si="1375"/>
        <v>1688.7265039961535</v>
      </c>
      <c r="BL120" s="41">
        <f t="shared" ref="BL120:BM120" si="1376">BL115*BL124</f>
        <v>1678.4030513986777</v>
      </c>
      <c r="BM120" s="41">
        <f t="shared" si="1376"/>
        <v>1667.3979669811874</v>
      </c>
      <c r="BN120" s="41">
        <f t="shared" ref="BN120:BO120" si="1377">BN115*BN124</f>
        <v>1660.1906771043009</v>
      </c>
      <c r="BO120" s="41">
        <f t="shared" si="1377"/>
        <v>1652.099784836859</v>
      </c>
      <c r="BP120" s="41">
        <f t="shared" ref="BP120:BQ120" si="1378">BP115*BP124</f>
        <v>1646.6666571171563</v>
      </c>
      <c r="BQ120" s="41">
        <f t="shared" si="1378"/>
        <v>1640.3167082696143</v>
      </c>
      <c r="BR120" s="41"/>
      <c r="BS120" s="40">
        <v>2404.8000000000002</v>
      </c>
      <c r="BT120" s="40">
        <v>2125.1</v>
      </c>
      <c r="BU120" s="40">
        <v>1085</v>
      </c>
      <c r="BV120" s="40">
        <v>702</v>
      </c>
      <c r="BW120" s="40">
        <v>509</v>
      </c>
      <c r="BX120" s="40">
        <v>453</v>
      </c>
      <c r="BY120" s="40">
        <v>819</v>
      </c>
      <c r="BZ120" s="40">
        <v>907</v>
      </c>
      <c r="CA120" s="40">
        <v>709</v>
      </c>
      <c r="CB120" s="40">
        <v>500</v>
      </c>
      <c r="CC120" s="41">
        <f>E120</f>
        <v>585</v>
      </c>
      <c r="CD120" s="41">
        <f>G120</f>
        <v>484</v>
      </c>
      <c r="CE120" s="41">
        <f>I120</f>
        <v>384</v>
      </c>
      <c r="CF120" s="41">
        <f>K120</f>
        <v>273</v>
      </c>
      <c r="CG120" s="41">
        <f>M120</f>
        <v>286</v>
      </c>
      <c r="CH120" s="41">
        <f>O120</f>
        <v>270</v>
      </c>
      <c r="CI120" s="41">
        <f>Q120</f>
        <v>675</v>
      </c>
      <c r="CJ120" s="41">
        <f>S120</f>
        <v>1526</v>
      </c>
      <c r="CK120" s="41">
        <f>U120</f>
        <v>1875</v>
      </c>
      <c r="CL120" s="41">
        <f>W120</f>
        <v>1697</v>
      </c>
      <c r="CM120" s="41">
        <f>Y120</f>
        <v>1773</v>
      </c>
      <c r="CN120" s="41">
        <f>AA120</f>
        <v>1467</v>
      </c>
      <c r="CO120" s="41">
        <f>AC120</f>
        <v>1176</v>
      </c>
      <c r="CP120" s="41">
        <f>AE120</f>
        <v>1061</v>
      </c>
      <c r="CQ120" s="41">
        <f>AG120</f>
        <v>1307</v>
      </c>
      <c r="CR120" s="41">
        <f>AI120</f>
        <v>1136</v>
      </c>
      <c r="CS120" s="41">
        <f>AK120</f>
        <v>920</v>
      </c>
      <c r="CT120" s="41">
        <f>AM120</f>
        <v>814</v>
      </c>
      <c r="CU120" s="41">
        <f>AO120</f>
        <v>891</v>
      </c>
      <c r="CV120" s="41">
        <f>AQ120</f>
        <v>687</v>
      </c>
      <c r="CW120" s="41">
        <f>AS120</f>
        <v>542</v>
      </c>
      <c r="CX120" s="41">
        <f>AU120</f>
        <v>376</v>
      </c>
      <c r="CY120" s="41">
        <f>AW120</f>
        <v>308</v>
      </c>
      <c r="CZ120" s="211">
        <f>AY120</f>
        <v>399</v>
      </c>
      <c r="DA120" s="41">
        <f>BA120</f>
        <v>541.57961443012812</v>
      </c>
      <c r="DB120" s="41">
        <f>BC120</f>
        <v>688.01812448580074</v>
      </c>
      <c r="DC120" s="41">
        <f>BE120</f>
        <v>950.19262124897205</v>
      </c>
      <c r="DD120" s="41">
        <f>BG120</f>
        <v>1312.4871736376263</v>
      </c>
      <c r="DE120" s="41">
        <f>BI120</f>
        <v>1702.1714950175483</v>
      </c>
      <c r="DF120" s="41">
        <f>BK120</f>
        <v>1688.7265039961535</v>
      </c>
      <c r="DG120" s="41">
        <f>BM120</f>
        <v>1667.3979669811874</v>
      </c>
      <c r="DH120" s="41">
        <f>BO120</f>
        <v>1652.099784836859</v>
      </c>
      <c r="DI120" s="41">
        <f>BQ120</f>
        <v>1640.3167082696143</v>
      </c>
    </row>
    <row r="121" spans="1:113" ht="12" outlineLevel="1">
      <c r="A121" s="1" t="s">
        <v>714</v>
      </c>
      <c r="B121" s="15" t="s">
        <v>421</v>
      </c>
      <c r="C121" s="40">
        <v>1386</v>
      </c>
      <c r="D121" s="40">
        <v>1546</v>
      </c>
      <c r="E121" s="40">
        <v>1496</v>
      </c>
      <c r="F121" s="40">
        <v>1530</v>
      </c>
      <c r="G121" s="40">
        <v>1534</v>
      </c>
      <c r="H121" s="40">
        <v>1828</v>
      </c>
      <c r="I121" s="40">
        <v>1992</v>
      </c>
      <c r="J121" s="40">
        <v>2080</v>
      </c>
      <c r="K121" s="40">
        <v>2167</v>
      </c>
      <c r="L121" s="40">
        <v>1903</v>
      </c>
      <c r="M121" s="40">
        <v>1940</v>
      </c>
      <c r="N121" s="40">
        <v>2016</v>
      </c>
      <c r="O121" s="40">
        <v>1992</v>
      </c>
      <c r="P121" s="40">
        <v>2340</v>
      </c>
      <c r="Q121" s="40">
        <v>2821</v>
      </c>
      <c r="R121" s="40">
        <v>2742</v>
      </c>
      <c r="S121" s="40">
        <v>3000</v>
      </c>
      <c r="T121" s="40">
        <v>3037</v>
      </c>
      <c r="U121" s="40">
        <v>3153</v>
      </c>
      <c r="V121" s="40">
        <v>3177</v>
      </c>
      <c r="W121" s="40">
        <v>3176</v>
      </c>
      <c r="X121" s="40">
        <v>2994</v>
      </c>
      <c r="Y121" s="40">
        <v>2765</v>
      </c>
      <c r="Z121" s="141">
        <v>2769</v>
      </c>
      <c r="AA121" s="141">
        <v>2887</v>
      </c>
      <c r="AB121" s="141">
        <v>2843</v>
      </c>
      <c r="AC121" s="141">
        <v>2757</v>
      </c>
      <c r="AD121" s="141">
        <v>2914</v>
      </c>
      <c r="AE121" s="141">
        <v>2956</v>
      </c>
      <c r="AF121" s="141">
        <v>2862</v>
      </c>
      <c r="AG121" s="141">
        <v>2876</v>
      </c>
      <c r="AH121" s="141">
        <v>2785</v>
      </c>
      <c r="AI121" s="141">
        <v>2662</v>
      </c>
      <c r="AJ121" s="141">
        <v>2579</v>
      </c>
      <c r="AK121" s="141">
        <v>2523</v>
      </c>
      <c r="AL121" s="141">
        <v>3378</v>
      </c>
      <c r="AM121" s="141">
        <v>3376</v>
      </c>
      <c r="AN121" s="141">
        <v>4501</v>
      </c>
      <c r="AO121" s="141">
        <v>5008</v>
      </c>
      <c r="AP121" s="141">
        <v>4285</v>
      </c>
      <c r="AQ121" s="141">
        <v>4195</v>
      </c>
      <c r="AR121" s="141">
        <v>3757</v>
      </c>
      <c r="AS121" s="141">
        <v>3853</v>
      </c>
      <c r="AT121" s="141">
        <v>4040</v>
      </c>
      <c r="AU121" s="141">
        <v>4032</v>
      </c>
      <c r="AV121" s="141">
        <v>4046</v>
      </c>
      <c r="AW121" s="141">
        <v>4247</v>
      </c>
      <c r="AX121" s="141">
        <v>4280</v>
      </c>
      <c r="AY121" s="226">
        <v>4379</v>
      </c>
      <c r="AZ121" s="41">
        <f t="shared" ref="AZ121:BA121" si="1379">AZ116*(AZ613-AZ612)</f>
        <v>4452.684090903188</v>
      </c>
      <c r="BA121" s="41">
        <f t="shared" si="1379"/>
        <v>4530.1843034288977</v>
      </c>
      <c r="BB121" s="41">
        <f t="shared" ref="BB121:BC121" si="1380">BB116*(BB613-BB612)</f>
        <v>4599.904248541442</v>
      </c>
      <c r="BC121" s="41">
        <f t="shared" si="1380"/>
        <v>4677.0321503269251</v>
      </c>
      <c r="BD121" s="41">
        <f t="shared" ref="BD121:BE121" si="1381">BD116*(BD613-BD612)</f>
        <v>4738.2705772779955</v>
      </c>
      <c r="BE121" s="41">
        <f t="shared" si="1381"/>
        <v>4804.6764937116313</v>
      </c>
      <c r="BF121" s="41">
        <f t="shared" ref="BF121:BG121" si="1382">BF116*(BF613-BF612)</f>
        <v>4864.2215887980492</v>
      </c>
      <c r="BG121" s="41">
        <f t="shared" si="1382"/>
        <v>4923.5880727281256</v>
      </c>
      <c r="BH121" s="41">
        <f t="shared" ref="BH121:BI121" si="1383">BH116*(BH613-BH612)</f>
        <v>5017.9005645218967</v>
      </c>
      <c r="BI121" s="41">
        <f t="shared" si="1383"/>
        <v>5111.1186464381335</v>
      </c>
      <c r="BJ121" s="41">
        <f t="shared" ref="BJ121:BK121" si="1384">BJ116*(BJ613-BJ612)</f>
        <v>5209.8971822386129</v>
      </c>
      <c r="BK121" s="41">
        <f t="shared" si="1384"/>
        <v>5301.4389545719141</v>
      </c>
      <c r="BL121" s="41">
        <f t="shared" ref="BL121:BM121" si="1385">BL116*(BL613-BL612)</f>
        <v>5394.8380869486737</v>
      </c>
      <c r="BM121" s="41">
        <f t="shared" si="1385"/>
        <v>5490.1312980677139</v>
      </c>
      <c r="BN121" s="41">
        <f t="shared" ref="BN121:BO121" si="1386">BN116*(BN613-BN612)</f>
        <v>5597.373979805574</v>
      </c>
      <c r="BO121" s="41">
        <f t="shared" si="1386"/>
        <v>5706.7366710861479</v>
      </c>
      <c r="BP121" s="41">
        <f t="shared" ref="BP121:BQ121" si="1387">BP116*(BP613-BP612)</f>
        <v>5826.5997297786307</v>
      </c>
      <c r="BQ121" s="41">
        <f t="shared" si="1387"/>
        <v>5949.1683891458961</v>
      </c>
      <c r="BR121" s="41"/>
      <c r="BS121" s="40">
        <v>932.8</v>
      </c>
      <c r="BT121" s="40">
        <v>564.70000000000005</v>
      </c>
      <c r="BU121" s="40">
        <v>567</v>
      </c>
      <c r="BV121" s="40">
        <v>678</v>
      </c>
      <c r="BW121" s="40">
        <v>709</v>
      </c>
      <c r="BX121" s="40">
        <v>1430</v>
      </c>
      <c r="BY121" s="40">
        <v>1401</v>
      </c>
      <c r="BZ121" s="40">
        <v>1395</v>
      </c>
      <c r="CA121" s="40">
        <v>1373</v>
      </c>
      <c r="CB121" s="40">
        <v>1386</v>
      </c>
      <c r="CC121" s="41">
        <f>E121</f>
        <v>1496</v>
      </c>
      <c r="CD121" s="41">
        <f>G121</f>
        <v>1534</v>
      </c>
      <c r="CE121" s="41">
        <f>I121</f>
        <v>1992</v>
      </c>
      <c r="CF121" s="41">
        <f>K121</f>
        <v>2167</v>
      </c>
      <c r="CG121" s="41">
        <f>M121</f>
        <v>1940</v>
      </c>
      <c r="CH121" s="41">
        <f>O121</f>
        <v>1992</v>
      </c>
      <c r="CI121" s="41">
        <f>Q121</f>
        <v>2821</v>
      </c>
      <c r="CJ121" s="41">
        <f>S121</f>
        <v>3000</v>
      </c>
      <c r="CK121" s="41">
        <f>U121</f>
        <v>3153</v>
      </c>
      <c r="CL121" s="41">
        <f>W121</f>
        <v>3176</v>
      </c>
      <c r="CM121" s="41">
        <f>Y121</f>
        <v>2765</v>
      </c>
      <c r="CN121" s="41">
        <f>AA121</f>
        <v>2887</v>
      </c>
      <c r="CO121" s="41">
        <f>AC121</f>
        <v>2757</v>
      </c>
      <c r="CP121" s="41">
        <f>AE121</f>
        <v>2956</v>
      </c>
      <c r="CQ121" s="41">
        <f>AG121</f>
        <v>2876</v>
      </c>
      <c r="CR121" s="41">
        <f>AI121</f>
        <v>2662</v>
      </c>
      <c r="CS121" s="41">
        <f>AK121</f>
        <v>2523</v>
      </c>
      <c r="CT121" s="41">
        <f>AM121</f>
        <v>3376</v>
      </c>
      <c r="CU121" s="41">
        <f>AO121</f>
        <v>5008</v>
      </c>
      <c r="CV121" s="41">
        <f>AQ121</f>
        <v>4195</v>
      </c>
      <c r="CW121" s="41">
        <f>AS121</f>
        <v>3853</v>
      </c>
      <c r="CX121" s="41">
        <f>AU121</f>
        <v>4032</v>
      </c>
      <c r="CY121" s="41">
        <f>AW121</f>
        <v>4247</v>
      </c>
      <c r="CZ121" s="211">
        <f>AY121</f>
        <v>4379</v>
      </c>
      <c r="DA121" s="41">
        <f>BA121</f>
        <v>4530.1843034288977</v>
      </c>
      <c r="DB121" s="41">
        <f>BC121</f>
        <v>4677.0321503269251</v>
      </c>
      <c r="DC121" s="41">
        <f>BE121</f>
        <v>4804.6764937116313</v>
      </c>
      <c r="DD121" s="41">
        <f>BG121</f>
        <v>4923.5880727281256</v>
      </c>
      <c r="DE121" s="41">
        <f>BI121</f>
        <v>5111.1186464381335</v>
      </c>
      <c r="DF121" s="41">
        <f>BK121</f>
        <v>5301.4389545719141</v>
      </c>
      <c r="DG121" s="41">
        <f>BM121</f>
        <v>5490.1312980677139</v>
      </c>
      <c r="DH121" s="41">
        <f>BO121</f>
        <v>5706.7366710861479</v>
      </c>
      <c r="DI121" s="41">
        <f>BQ121</f>
        <v>5949.1683891458961</v>
      </c>
    </row>
    <row r="122" spans="1:113" ht="12" outlineLevel="1">
      <c r="A122" s="1" t="s">
        <v>878</v>
      </c>
      <c r="B122" s="15" t="s">
        <v>422</v>
      </c>
      <c r="C122" s="41">
        <f t="shared" ref="C122:L122" si="1388">C120+C121</f>
        <v>1886</v>
      </c>
      <c r="D122" s="41">
        <f t="shared" si="1388"/>
        <v>2135</v>
      </c>
      <c r="E122" s="41">
        <f t="shared" si="1388"/>
        <v>2081</v>
      </c>
      <c r="F122" s="41">
        <f t="shared" si="1388"/>
        <v>2088</v>
      </c>
      <c r="G122" s="41">
        <f t="shared" si="1388"/>
        <v>2018</v>
      </c>
      <c r="H122" s="41">
        <f t="shared" si="1388"/>
        <v>2247</v>
      </c>
      <c r="I122" s="41">
        <f t="shared" si="1388"/>
        <v>2376</v>
      </c>
      <c r="J122" s="41">
        <f t="shared" si="1388"/>
        <v>2401</v>
      </c>
      <c r="K122" s="41">
        <f t="shared" si="1388"/>
        <v>2440</v>
      </c>
      <c r="L122" s="41">
        <f t="shared" si="1388"/>
        <v>2219</v>
      </c>
      <c r="M122" s="41">
        <f t="shared" ref="M122:AF122" si="1389">M120+M121</f>
        <v>2226</v>
      </c>
      <c r="N122" s="41">
        <f t="shared" si="1389"/>
        <v>2318</v>
      </c>
      <c r="O122" s="41">
        <f t="shared" si="1389"/>
        <v>2262</v>
      </c>
      <c r="P122" s="41">
        <f t="shared" si="1389"/>
        <v>2656</v>
      </c>
      <c r="Q122" s="41">
        <f t="shared" si="1389"/>
        <v>3496</v>
      </c>
      <c r="R122" s="41">
        <f t="shared" si="1389"/>
        <v>4083</v>
      </c>
      <c r="S122" s="41">
        <f t="shared" si="1389"/>
        <v>4526</v>
      </c>
      <c r="T122" s="41">
        <f t="shared" si="1389"/>
        <v>4630</v>
      </c>
      <c r="U122" s="41">
        <f t="shared" si="1389"/>
        <v>5028</v>
      </c>
      <c r="V122" s="41">
        <f t="shared" si="1389"/>
        <v>4894</v>
      </c>
      <c r="W122" s="41">
        <f t="shared" si="1389"/>
        <v>4873</v>
      </c>
      <c r="X122" s="41">
        <f t="shared" si="1389"/>
        <v>4708</v>
      </c>
      <c r="Y122" s="41">
        <f t="shared" si="1389"/>
        <v>4538</v>
      </c>
      <c r="Z122" s="41">
        <f t="shared" si="1389"/>
        <v>4312</v>
      </c>
      <c r="AA122" s="41">
        <f t="shared" si="1389"/>
        <v>4354</v>
      </c>
      <c r="AB122" s="41">
        <f t="shared" si="1389"/>
        <v>4313</v>
      </c>
      <c r="AC122" s="41">
        <f t="shared" ref="AC122:AD122" si="1390">AC120+AC121</f>
        <v>3933</v>
      </c>
      <c r="AD122" s="41">
        <f t="shared" si="1390"/>
        <v>4028</v>
      </c>
      <c r="AE122" s="41">
        <f t="shared" ref="AE122" si="1391">AE120+AE121</f>
        <v>4017</v>
      </c>
      <c r="AF122" s="41">
        <f t="shared" si="1389"/>
        <v>4100</v>
      </c>
      <c r="AG122" s="41">
        <f t="shared" ref="AG122:AH122" si="1392">AG120+AG121</f>
        <v>4183</v>
      </c>
      <c r="AH122" s="41">
        <f t="shared" si="1392"/>
        <v>4054</v>
      </c>
      <c r="AI122" s="41">
        <f t="shared" ref="AI122:AJ122" si="1393">AI120+AI121</f>
        <v>3798</v>
      </c>
      <c r="AJ122" s="41">
        <f t="shared" si="1393"/>
        <v>3595</v>
      </c>
      <c r="AK122" s="41">
        <f t="shared" ref="AK122:AL122" si="1394">AK120+AK121</f>
        <v>3443</v>
      </c>
      <c r="AL122" s="41">
        <f t="shared" si="1394"/>
        <v>4269</v>
      </c>
      <c r="AM122" s="41">
        <f t="shared" ref="AM122:AN122" si="1395">AM120+AM121</f>
        <v>4190</v>
      </c>
      <c r="AN122" s="41">
        <f t="shared" si="1395"/>
        <v>5594</v>
      </c>
      <c r="AO122" s="41">
        <f t="shared" ref="AO122" si="1396">AO120+AO121</f>
        <v>5899</v>
      </c>
      <c r="AP122" s="41">
        <f t="shared" ref="AP122:AQ122" si="1397">AP120+AP121</f>
        <v>5094</v>
      </c>
      <c r="AQ122" s="41">
        <f t="shared" si="1397"/>
        <v>4882</v>
      </c>
      <c r="AR122" s="41">
        <f t="shared" ref="AR122:AS122" si="1398">AR120+AR121</f>
        <v>4393</v>
      </c>
      <c r="AS122" s="41">
        <f t="shared" si="1398"/>
        <v>4395</v>
      </c>
      <c r="AT122" s="41">
        <f t="shared" ref="AT122:AU122" si="1399">AT120+AT121</f>
        <v>4461</v>
      </c>
      <c r="AU122" s="41">
        <f t="shared" si="1399"/>
        <v>4408</v>
      </c>
      <c r="AV122" s="41">
        <f t="shared" ref="AV122:AW122" si="1400">AV120+AV121</f>
        <v>4371</v>
      </c>
      <c r="AW122" s="41">
        <f t="shared" si="1400"/>
        <v>4555</v>
      </c>
      <c r="AX122" s="41">
        <f t="shared" ref="AX122:AY122" si="1401">AX120+AX121</f>
        <v>4644</v>
      </c>
      <c r="AY122" s="211">
        <f t="shared" si="1401"/>
        <v>4778</v>
      </c>
      <c r="AZ122" s="41">
        <f t="shared" ref="AZ122:BA122" si="1402">AZ120+AZ121</f>
        <v>4929.8334971387339</v>
      </c>
      <c r="BA122" s="41">
        <f t="shared" si="1402"/>
        <v>5071.7639178590262</v>
      </c>
      <c r="BB122" s="41">
        <f t="shared" ref="BB122:BC122" si="1403">BB120+BB121</f>
        <v>5206.5624587451894</v>
      </c>
      <c r="BC122" s="41">
        <f t="shared" si="1403"/>
        <v>5365.0502748127255</v>
      </c>
      <c r="BD122" s="41">
        <f t="shared" ref="BD122:BE122" si="1404">BD120+BD121</f>
        <v>5553.4011738318168</v>
      </c>
      <c r="BE122" s="41">
        <f t="shared" si="1404"/>
        <v>5754.8691149606038</v>
      </c>
      <c r="BF122" s="41">
        <f t="shared" ref="BF122:BG122" si="1405">BF120+BF121</f>
        <v>5981.0627286646222</v>
      </c>
      <c r="BG122" s="41">
        <f t="shared" si="1405"/>
        <v>6236.0752463657518</v>
      </c>
      <c r="BH122" s="41">
        <f t="shared" ref="BH122:BI122" si="1406">BH120+BH121</f>
        <v>6524.2645306373979</v>
      </c>
      <c r="BI122" s="41">
        <f t="shared" si="1406"/>
        <v>6813.2901414556818</v>
      </c>
      <c r="BJ122" s="41">
        <f t="shared" ref="BJ122:BK122" si="1407">BJ120+BJ121</f>
        <v>6908.2917495558768</v>
      </c>
      <c r="BK122" s="41">
        <f t="shared" si="1407"/>
        <v>6990.1654585680681</v>
      </c>
      <c r="BL122" s="41">
        <f t="shared" ref="BL122:BM122" si="1408">BL120+BL121</f>
        <v>7073.2411383473518</v>
      </c>
      <c r="BM122" s="41">
        <f t="shared" si="1408"/>
        <v>7157.5292650489009</v>
      </c>
      <c r="BN122" s="41">
        <f t="shared" ref="BN122:BO122" si="1409">BN120+BN121</f>
        <v>7257.5646569098753</v>
      </c>
      <c r="BO122" s="41">
        <f t="shared" si="1409"/>
        <v>7358.8364559230067</v>
      </c>
      <c r="BP122" s="41">
        <f t="shared" ref="BP122:BQ122" si="1410">BP120+BP121</f>
        <v>7473.266386895787</v>
      </c>
      <c r="BQ122" s="41">
        <f t="shared" si="1410"/>
        <v>7589.4850974155106</v>
      </c>
      <c r="BR122" s="41"/>
      <c r="BS122" s="41">
        <f t="shared" ref="BS122:CB122" si="1411">BS120+BS121</f>
        <v>3337.6000000000004</v>
      </c>
      <c r="BT122" s="41">
        <f t="shared" si="1411"/>
        <v>2689.8</v>
      </c>
      <c r="BU122" s="41">
        <f t="shared" si="1411"/>
        <v>1652</v>
      </c>
      <c r="BV122" s="41">
        <f t="shared" si="1411"/>
        <v>1380</v>
      </c>
      <c r="BW122" s="41">
        <f t="shared" si="1411"/>
        <v>1218</v>
      </c>
      <c r="BX122" s="41">
        <f t="shared" si="1411"/>
        <v>1883</v>
      </c>
      <c r="BY122" s="41">
        <f t="shared" si="1411"/>
        <v>2220</v>
      </c>
      <c r="BZ122" s="41">
        <f t="shared" si="1411"/>
        <v>2302</v>
      </c>
      <c r="CA122" s="41">
        <f t="shared" si="1411"/>
        <v>2082</v>
      </c>
      <c r="CB122" s="41">
        <f t="shared" si="1411"/>
        <v>1886</v>
      </c>
      <c r="CC122" s="41">
        <f t="shared" ref="CC122:CP122" si="1412">CC120+CC121</f>
        <v>2081</v>
      </c>
      <c r="CD122" s="41">
        <f t="shared" si="1412"/>
        <v>2018</v>
      </c>
      <c r="CE122" s="41">
        <f t="shared" si="1412"/>
        <v>2376</v>
      </c>
      <c r="CF122" s="41">
        <f t="shared" si="1412"/>
        <v>2440</v>
      </c>
      <c r="CG122" s="41">
        <f t="shared" si="1412"/>
        <v>2226</v>
      </c>
      <c r="CH122" s="41">
        <f t="shared" si="1412"/>
        <v>2262</v>
      </c>
      <c r="CI122" s="41">
        <f t="shared" si="1412"/>
        <v>3496</v>
      </c>
      <c r="CJ122" s="41">
        <f t="shared" si="1412"/>
        <v>4526</v>
      </c>
      <c r="CK122" s="41">
        <f t="shared" si="1412"/>
        <v>5028</v>
      </c>
      <c r="CL122" s="41">
        <f t="shared" si="1412"/>
        <v>4873</v>
      </c>
      <c r="CM122" s="41">
        <f t="shared" si="1412"/>
        <v>4538</v>
      </c>
      <c r="CN122" s="41">
        <f t="shared" si="1412"/>
        <v>4354</v>
      </c>
      <c r="CO122" s="41">
        <f t="shared" si="1412"/>
        <v>3933</v>
      </c>
      <c r="CP122" s="41">
        <f t="shared" si="1412"/>
        <v>4017</v>
      </c>
      <c r="CQ122" s="41">
        <f t="shared" ref="CQ122:CX122" si="1413">CQ120+CQ121</f>
        <v>4183</v>
      </c>
      <c r="CR122" s="41">
        <f t="shared" si="1413"/>
        <v>3798</v>
      </c>
      <c r="CS122" s="41">
        <f t="shared" si="1413"/>
        <v>3443</v>
      </c>
      <c r="CT122" s="41">
        <f t="shared" si="1413"/>
        <v>4190</v>
      </c>
      <c r="CU122" s="41">
        <f t="shared" si="1413"/>
        <v>5899</v>
      </c>
      <c r="CV122" s="41">
        <f t="shared" si="1413"/>
        <v>4882</v>
      </c>
      <c r="CW122" s="41">
        <f t="shared" si="1413"/>
        <v>4395</v>
      </c>
      <c r="CX122" s="41">
        <f t="shared" si="1413"/>
        <v>4408</v>
      </c>
      <c r="CY122" s="41">
        <f t="shared" ref="CY122:DD122" si="1414">CY120+CY121</f>
        <v>4555</v>
      </c>
      <c r="CZ122" s="211">
        <f t="shared" si="1414"/>
        <v>4778</v>
      </c>
      <c r="DA122" s="41">
        <f t="shared" si="1414"/>
        <v>5071.7639178590262</v>
      </c>
      <c r="DB122" s="41">
        <f t="shared" si="1414"/>
        <v>5365.0502748127255</v>
      </c>
      <c r="DC122" s="41">
        <f t="shared" si="1414"/>
        <v>5754.8691149606038</v>
      </c>
      <c r="DD122" s="41">
        <f t="shared" si="1414"/>
        <v>6236.0752463657518</v>
      </c>
      <c r="DE122" s="41">
        <f t="shared" ref="DE122" si="1415">DE120+DE121</f>
        <v>6813.2901414556818</v>
      </c>
      <c r="DF122" s="41">
        <f t="shared" ref="DF122" si="1416">DF120+DF121</f>
        <v>6990.1654585680681</v>
      </c>
      <c r="DG122" s="41">
        <f>DG120+DG121</f>
        <v>7157.5292650489009</v>
      </c>
      <c r="DH122" s="41">
        <f>DH120+DH121</f>
        <v>7358.8364559230067</v>
      </c>
      <c r="DI122" s="41">
        <f>DI120+DI121</f>
        <v>7589.4850974155106</v>
      </c>
    </row>
    <row r="123" spans="1:113" ht="12" outlineLevel="1">
      <c r="A123" s="1" t="s">
        <v>2196</v>
      </c>
      <c r="B123" s="15" t="s">
        <v>2197</v>
      </c>
      <c r="C123" s="41">
        <v>0</v>
      </c>
      <c r="D123" s="41">
        <v>0</v>
      </c>
      <c r="E123" s="41">
        <v>0</v>
      </c>
      <c r="F123" s="41">
        <v>0</v>
      </c>
      <c r="G123" s="41">
        <v>0</v>
      </c>
      <c r="H123" s="41">
        <v>0</v>
      </c>
      <c r="I123" s="41">
        <v>0</v>
      </c>
      <c r="J123" s="41">
        <v>0</v>
      </c>
      <c r="K123" s="141">
        <v>0</v>
      </c>
      <c r="L123" s="141">
        <v>0</v>
      </c>
      <c r="M123" s="141">
        <v>0</v>
      </c>
      <c r="N123" s="141">
        <v>0</v>
      </c>
      <c r="O123" s="141">
        <v>0</v>
      </c>
      <c r="P123" s="141">
        <v>0</v>
      </c>
      <c r="Q123" s="141">
        <v>0</v>
      </c>
      <c r="R123" s="141">
        <v>0</v>
      </c>
      <c r="S123" s="141">
        <v>0</v>
      </c>
      <c r="T123" s="141">
        <v>0</v>
      </c>
      <c r="U123" s="141">
        <v>0</v>
      </c>
      <c r="V123" s="141">
        <v>0</v>
      </c>
      <c r="W123" s="141">
        <v>0</v>
      </c>
      <c r="X123" s="141">
        <v>0</v>
      </c>
      <c r="Y123" s="141">
        <v>0</v>
      </c>
      <c r="Z123" s="141">
        <v>0</v>
      </c>
      <c r="AA123" s="141">
        <v>0</v>
      </c>
      <c r="AB123" s="141">
        <v>0</v>
      </c>
      <c r="AC123" s="141">
        <v>0</v>
      </c>
      <c r="AD123" s="141">
        <v>0</v>
      </c>
      <c r="AE123" s="141">
        <v>0</v>
      </c>
      <c r="AF123" s="141">
        <v>0</v>
      </c>
      <c r="AG123" s="141">
        <v>0</v>
      </c>
      <c r="AH123" s="141">
        <v>0</v>
      </c>
      <c r="AI123" s="141">
        <v>0</v>
      </c>
      <c r="AJ123" s="141">
        <v>0</v>
      </c>
      <c r="AK123" s="141">
        <v>0</v>
      </c>
      <c r="AL123" s="141">
        <v>0</v>
      </c>
      <c r="AM123" s="141">
        <v>0</v>
      </c>
      <c r="AN123" s="141">
        <v>0</v>
      </c>
      <c r="AO123" s="141">
        <v>0</v>
      </c>
      <c r="AP123" s="141">
        <v>0</v>
      </c>
      <c r="AQ123" s="141">
        <v>0</v>
      </c>
      <c r="AR123" s="141">
        <v>0</v>
      </c>
      <c r="AS123" s="141">
        <v>0</v>
      </c>
      <c r="AT123" s="141">
        <v>0</v>
      </c>
      <c r="AU123" s="141">
        <v>0</v>
      </c>
      <c r="AV123" s="141">
        <v>0</v>
      </c>
      <c r="AW123" s="141">
        <v>0</v>
      </c>
      <c r="AX123" s="141">
        <v>0</v>
      </c>
      <c r="AY123" s="226">
        <v>0</v>
      </c>
      <c r="AZ123" s="210">
        <f t="shared" ref="AZ123" si="1417">AY123</f>
        <v>0</v>
      </c>
      <c r="BA123" s="210">
        <f t="shared" ref="BA123" si="1418">AZ123</f>
        <v>0</v>
      </c>
      <c r="BB123" s="210">
        <f t="shared" ref="BB123" si="1419">BA123</f>
        <v>0</v>
      </c>
      <c r="BC123" s="210">
        <f t="shared" ref="BC123" si="1420">BB123</f>
        <v>0</v>
      </c>
      <c r="BD123" s="210">
        <f t="shared" ref="BD123" si="1421">BC123</f>
        <v>0</v>
      </c>
      <c r="BE123" s="210">
        <f t="shared" ref="BE123" si="1422">BD123</f>
        <v>0</v>
      </c>
      <c r="BF123" s="210">
        <f t="shared" ref="BF123" si="1423">BE123</f>
        <v>0</v>
      </c>
      <c r="BG123" s="210">
        <f t="shared" ref="BG123:BK123" si="1424">BF123</f>
        <v>0</v>
      </c>
      <c r="BH123" s="210">
        <f t="shared" si="1424"/>
        <v>0</v>
      </c>
      <c r="BI123" s="210">
        <f t="shared" si="1424"/>
        <v>0</v>
      </c>
      <c r="BJ123" s="210">
        <f t="shared" si="1424"/>
        <v>0</v>
      </c>
      <c r="BK123" s="210">
        <f t="shared" si="1424"/>
        <v>0</v>
      </c>
      <c r="BL123" s="210">
        <f t="shared" ref="BL123" si="1425">BK123</f>
        <v>0</v>
      </c>
      <c r="BM123" s="210">
        <f t="shared" ref="BM123" si="1426">BL123</f>
        <v>0</v>
      </c>
      <c r="BN123" s="210">
        <f t="shared" ref="BN123" si="1427">BM123</f>
        <v>0</v>
      </c>
      <c r="BO123" s="210">
        <f t="shared" ref="BO123" si="1428">BN123</f>
        <v>0</v>
      </c>
      <c r="BP123" s="210">
        <f t="shared" ref="BP123" si="1429">BO123</f>
        <v>0</v>
      </c>
      <c r="BQ123" s="210">
        <f t="shared" ref="BQ123" si="1430">BP123</f>
        <v>0</v>
      </c>
      <c r="BR123" s="41"/>
      <c r="BS123" s="141">
        <v>0</v>
      </c>
      <c r="BT123" s="141">
        <v>0</v>
      </c>
      <c r="BU123" s="141">
        <v>0</v>
      </c>
      <c r="BV123" s="141">
        <v>0</v>
      </c>
      <c r="BW123" s="141">
        <v>0</v>
      </c>
      <c r="BX123" s="141">
        <v>0</v>
      </c>
      <c r="BY123" s="141">
        <v>0</v>
      </c>
      <c r="BZ123" s="141">
        <v>0</v>
      </c>
      <c r="CA123" s="141">
        <v>0</v>
      </c>
      <c r="CB123" s="141">
        <v>0</v>
      </c>
      <c r="CC123" s="41">
        <f>E123</f>
        <v>0</v>
      </c>
      <c r="CD123" s="41">
        <f>G123</f>
        <v>0</v>
      </c>
      <c r="CE123" s="41">
        <f>I123</f>
        <v>0</v>
      </c>
      <c r="CF123" s="41">
        <f>K123</f>
        <v>0</v>
      </c>
      <c r="CG123" s="41">
        <f>M123</f>
        <v>0</v>
      </c>
      <c r="CH123" s="41">
        <f>O123</f>
        <v>0</v>
      </c>
      <c r="CI123" s="41">
        <f>Q123</f>
        <v>0</v>
      </c>
      <c r="CJ123" s="41">
        <f>S123</f>
        <v>0</v>
      </c>
      <c r="CK123" s="41">
        <f>U123</f>
        <v>0</v>
      </c>
      <c r="CL123" s="41">
        <f>W123</f>
        <v>0</v>
      </c>
      <c r="CM123" s="41">
        <f>Y123</f>
        <v>0</v>
      </c>
      <c r="CN123" s="41">
        <f>AA123</f>
        <v>0</v>
      </c>
      <c r="CO123" s="41">
        <f>AC123</f>
        <v>0</v>
      </c>
      <c r="CP123" s="41">
        <f>AE123</f>
        <v>0</v>
      </c>
      <c r="CQ123" s="41">
        <f>AG123</f>
        <v>0</v>
      </c>
      <c r="CR123" s="41">
        <f>AI123</f>
        <v>0</v>
      </c>
      <c r="CS123" s="41">
        <f>AK123</f>
        <v>0</v>
      </c>
      <c r="CT123" s="41">
        <f>AM123</f>
        <v>0</v>
      </c>
      <c r="CU123" s="41">
        <f>AO123</f>
        <v>0</v>
      </c>
      <c r="CV123" s="41">
        <f>AQ123</f>
        <v>0</v>
      </c>
      <c r="CW123" s="41">
        <f>AS123</f>
        <v>0</v>
      </c>
      <c r="CX123" s="41">
        <f>AU123</f>
        <v>0</v>
      </c>
      <c r="CY123" s="41">
        <f>AW123</f>
        <v>0</v>
      </c>
      <c r="CZ123" s="211">
        <f>AY123</f>
        <v>0</v>
      </c>
      <c r="DA123" s="41">
        <f>BA123</f>
        <v>0</v>
      </c>
      <c r="DB123" s="41">
        <f>BC123</f>
        <v>0</v>
      </c>
      <c r="DC123" s="41">
        <f>BE123</f>
        <v>0</v>
      </c>
      <c r="DD123" s="41">
        <f>BG123</f>
        <v>0</v>
      </c>
      <c r="DE123" s="41">
        <f>BI123</f>
        <v>0</v>
      </c>
      <c r="DF123" s="41">
        <f>BK123</f>
        <v>0</v>
      </c>
      <c r="DG123" s="41">
        <f>BM123</f>
        <v>0</v>
      </c>
      <c r="DH123" s="41">
        <f>BO123</f>
        <v>0</v>
      </c>
      <c r="DI123" s="41">
        <f>BQ123</f>
        <v>0</v>
      </c>
    </row>
    <row r="124" spans="1:113" ht="12" outlineLevel="1">
      <c r="A124" s="1" t="s">
        <v>879</v>
      </c>
      <c r="B124" s="15" t="s">
        <v>423</v>
      </c>
      <c r="C124" s="40">
        <v>1302</v>
      </c>
      <c r="D124" s="40">
        <v>1502</v>
      </c>
      <c r="E124" s="40">
        <v>1258</v>
      </c>
      <c r="F124" s="40">
        <v>1208</v>
      </c>
      <c r="G124" s="40">
        <v>1046</v>
      </c>
      <c r="H124" s="40">
        <v>975</v>
      </c>
      <c r="I124" s="40">
        <v>890</v>
      </c>
      <c r="J124" s="40">
        <v>747</v>
      </c>
      <c r="K124" s="40">
        <v>713</v>
      </c>
      <c r="L124" s="40">
        <v>802</v>
      </c>
      <c r="M124" s="40">
        <v>698</v>
      </c>
      <c r="N124" s="40">
        <v>749</v>
      </c>
      <c r="O124" s="40">
        <v>702</v>
      </c>
      <c r="P124" s="40">
        <v>1114</v>
      </c>
      <c r="Q124" s="40">
        <v>2673</v>
      </c>
      <c r="R124" s="40">
        <v>4158</v>
      </c>
      <c r="S124" s="40">
        <v>5595</v>
      </c>
      <c r="T124" s="40">
        <v>6561</v>
      </c>
      <c r="U124" s="40">
        <v>6561</v>
      </c>
      <c r="V124" s="40">
        <v>6221</v>
      </c>
      <c r="W124" s="40">
        <v>5581</v>
      </c>
      <c r="X124" s="40">
        <v>5343</v>
      </c>
      <c r="Y124" s="40">
        <v>5196</v>
      </c>
      <c r="Z124" s="141">
        <v>4685</v>
      </c>
      <c r="AA124" s="141">
        <v>4264</v>
      </c>
      <c r="AB124" s="141">
        <v>3620</v>
      </c>
      <c r="AC124" s="141">
        <v>2889</v>
      </c>
      <c r="AD124" s="141">
        <v>2708</v>
      </c>
      <c r="AE124" s="141">
        <v>2719</v>
      </c>
      <c r="AF124" s="141">
        <v>2883</v>
      </c>
      <c r="AG124" s="141">
        <v>3173</v>
      </c>
      <c r="AH124" s="141">
        <v>2940</v>
      </c>
      <c r="AI124" s="141">
        <v>2384</v>
      </c>
      <c r="AJ124" s="141">
        <v>2034</v>
      </c>
      <c r="AK124" s="141">
        <v>2139</v>
      </c>
      <c r="AL124" s="141">
        <v>2128</v>
      </c>
      <c r="AM124" s="141">
        <v>2029</v>
      </c>
      <c r="AN124" s="141">
        <v>2599</v>
      </c>
      <c r="AO124" s="141">
        <v>2459</v>
      </c>
      <c r="AP124" s="141">
        <v>2473</v>
      </c>
      <c r="AQ124" s="141">
        <v>1965</v>
      </c>
      <c r="AR124" s="141">
        <v>1709</v>
      </c>
      <c r="AS124" s="141">
        <v>1445</v>
      </c>
      <c r="AT124" s="141">
        <v>1210</v>
      </c>
      <c r="AU124" s="141">
        <v>1521</v>
      </c>
      <c r="AV124" s="141">
        <v>1518</v>
      </c>
      <c r="AW124" s="141">
        <v>1693</v>
      </c>
      <c r="AX124" s="141">
        <v>2252</v>
      </c>
      <c r="AY124" s="226">
        <v>2538</v>
      </c>
      <c r="AZ124" s="555">
        <f>AY124*([3]ANZ!K$266/[3]ANZ!J$266)</f>
        <v>2783.5901521446544</v>
      </c>
      <c r="BA124" s="555">
        <f>AZ124*([3]ANZ!L$266/[3]ANZ!K$266)</f>
        <v>3020.2507717932381</v>
      </c>
      <c r="BB124" s="555">
        <f>BA124*([3]ANZ!M$266/[3]ANZ!L$266)</f>
        <v>3261.5956448409902</v>
      </c>
      <c r="BC124" s="555">
        <f>BB124*([3]ANZ!N$266/[3]ANZ!M$266)</f>
        <v>3522.8996047238943</v>
      </c>
      <c r="BD124" s="555">
        <f>BC124*([3]ANZ!O$266/[3]ANZ!N$266)</f>
        <v>3613.2365919018725</v>
      </c>
      <c r="BE124" s="555">
        <f>BD124*([3]ANZ!P$266/[3]ANZ!O$266)</f>
        <v>3706.4930684291799</v>
      </c>
      <c r="BF124" s="555">
        <f>BE124*([3]ANZ!Q$266/[3]ANZ!P$266)</f>
        <v>3557.3645439587804</v>
      </c>
      <c r="BG124" s="555">
        <f>BF124*([3]ANZ!R$266/[3]ANZ!Q$266)</f>
        <v>3400.0704531924916</v>
      </c>
      <c r="BH124" s="555">
        <f>BG124*([3]ANZ!S$266/[3]ANZ!R$266)</f>
        <v>3391.8942699564886</v>
      </c>
      <c r="BI124" s="555">
        <f>BH124*([3]ANZ!T$266/[3]ANZ!S$266)</f>
        <v>3378.3089085785791</v>
      </c>
      <c r="BJ124" s="41">
        <f t="shared" ref="BJ124:BK124" si="1431">BJ114*(BJ177+BJ179)</f>
        <v>3370.8128198858253</v>
      </c>
      <c r="BK124" s="41">
        <f t="shared" si="1431"/>
        <v>3351.6245626849422</v>
      </c>
      <c r="BL124" s="41">
        <f t="shared" ref="BL124:BM124" si="1432">BL114*(BL177+BL179)</f>
        <v>3331.1355508671395</v>
      </c>
      <c r="BM124" s="41">
        <f t="shared" si="1432"/>
        <v>3309.2937007150881</v>
      </c>
      <c r="BN124" s="41">
        <f t="shared" ref="BN124:BO124" si="1433">BN114*(BN177+BN179)</f>
        <v>3294.9893537858484</v>
      </c>
      <c r="BO124" s="41">
        <f t="shared" si="1433"/>
        <v>3278.9313164462169</v>
      </c>
      <c r="BP124" s="41">
        <f t="shared" ref="BP124:BQ124" si="1434">BP114*(BP177+BP179)</f>
        <v>3268.1481586794207</v>
      </c>
      <c r="BQ124" s="41">
        <f t="shared" si="1434"/>
        <v>3255.545381095927</v>
      </c>
      <c r="BR124" s="41"/>
      <c r="BS124" s="40">
        <v>5245.4</v>
      </c>
      <c r="BT124" s="40">
        <v>4820.2</v>
      </c>
      <c r="BU124" s="40">
        <v>3017</v>
      </c>
      <c r="BV124" s="40">
        <v>1885</v>
      </c>
      <c r="BW124" s="40">
        <v>1340</v>
      </c>
      <c r="BX124" s="40">
        <v>960</v>
      </c>
      <c r="BY124" s="40">
        <v>1770</v>
      </c>
      <c r="BZ124" s="40">
        <v>1641</v>
      </c>
      <c r="CA124" s="40">
        <v>1465</v>
      </c>
      <c r="CB124" s="40">
        <v>1302</v>
      </c>
      <c r="CC124" s="41">
        <f>E124</f>
        <v>1258</v>
      </c>
      <c r="CD124" s="41">
        <f>G124</f>
        <v>1046</v>
      </c>
      <c r="CE124" s="41">
        <f>I124</f>
        <v>890</v>
      </c>
      <c r="CF124" s="41">
        <f>K124</f>
        <v>713</v>
      </c>
      <c r="CG124" s="41">
        <f>M124</f>
        <v>698</v>
      </c>
      <c r="CH124" s="41">
        <f>O124</f>
        <v>702</v>
      </c>
      <c r="CI124" s="41">
        <f>Q124</f>
        <v>2673</v>
      </c>
      <c r="CJ124" s="41">
        <f>S124</f>
        <v>5595</v>
      </c>
      <c r="CK124" s="41">
        <f>U124</f>
        <v>6561</v>
      </c>
      <c r="CL124" s="41">
        <f>W124</f>
        <v>5581</v>
      </c>
      <c r="CM124" s="41">
        <f>Y124</f>
        <v>5196</v>
      </c>
      <c r="CN124" s="41">
        <f>AA124</f>
        <v>4264</v>
      </c>
      <c r="CO124" s="41">
        <f>AC124</f>
        <v>2889</v>
      </c>
      <c r="CP124" s="41">
        <f>AE124</f>
        <v>2719</v>
      </c>
      <c r="CQ124" s="41">
        <f>AG124</f>
        <v>3173</v>
      </c>
      <c r="CR124" s="41">
        <f>AI124</f>
        <v>2384</v>
      </c>
      <c r="CS124" s="41">
        <f>AK124</f>
        <v>2139</v>
      </c>
      <c r="CT124" s="41">
        <f>AM124</f>
        <v>2029</v>
      </c>
      <c r="CU124" s="41">
        <f>AO124</f>
        <v>2459</v>
      </c>
      <c r="CV124" s="41">
        <f>AQ124</f>
        <v>1965</v>
      </c>
      <c r="CW124" s="41">
        <f>AS124</f>
        <v>1445</v>
      </c>
      <c r="CX124" s="41">
        <f>AU124</f>
        <v>1521</v>
      </c>
      <c r="CY124" s="41">
        <f>AW124</f>
        <v>1693</v>
      </c>
      <c r="CZ124" s="211">
        <f>AY124</f>
        <v>2538</v>
      </c>
      <c r="DA124" s="41">
        <f>BA124</f>
        <v>3020.2507717932381</v>
      </c>
      <c r="DB124" s="41">
        <f>BC124</f>
        <v>3522.8996047238943</v>
      </c>
      <c r="DC124" s="41">
        <f>BE124</f>
        <v>3706.4930684291799</v>
      </c>
      <c r="DD124" s="41">
        <f>BG124</f>
        <v>3400.0704531924916</v>
      </c>
      <c r="DE124" s="41">
        <f>BI124</f>
        <v>3378.3089085785791</v>
      </c>
      <c r="DF124" s="41">
        <f>BK124</f>
        <v>3351.6245626849422</v>
      </c>
      <c r="DG124" s="41">
        <f>BM124</f>
        <v>3309.2937007150881</v>
      </c>
      <c r="DH124" s="41">
        <f>BO124</f>
        <v>3278.9313164462169</v>
      </c>
      <c r="DI124" s="41">
        <f>BQ124</f>
        <v>3255.545381095927</v>
      </c>
    </row>
    <row r="125" spans="1:113" ht="12" outlineLevel="1">
      <c r="A125" s="1" t="s">
        <v>880</v>
      </c>
      <c r="B125" s="15" t="s">
        <v>417</v>
      </c>
      <c r="C125" s="40">
        <v>351</v>
      </c>
      <c r="D125" s="40">
        <v>278</v>
      </c>
      <c r="E125" s="40">
        <v>216</v>
      </c>
      <c r="F125" s="40">
        <v>243</v>
      </c>
      <c r="G125" s="40">
        <v>213</v>
      </c>
      <c r="H125" s="40">
        <v>256</v>
      </c>
      <c r="I125" s="40">
        <v>293</v>
      </c>
      <c r="J125" s="40">
        <v>384</v>
      </c>
      <c r="K125" s="40">
        <v>381</v>
      </c>
      <c r="L125" s="40">
        <v>428</v>
      </c>
      <c r="M125" s="40">
        <v>499</v>
      </c>
      <c r="N125" s="40">
        <v>585</v>
      </c>
      <c r="O125" s="40">
        <v>561</v>
      </c>
      <c r="P125" s="40">
        <v>705</v>
      </c>
      <c r="Q125" s="40">
        <v>1060</v>
      </c>
      <c r="R125" s="40">
        <v>1586</v>
      </c>
      <c r="S125" s="40">
        <v>1597</v>
      </c>
      <c r="T125" s="40">
        <v>1523</v>
      </c>
      <c r="U125" s="40">
        <v>1555</v>
      </c>
      <c r="V125" s="40">
        <v>1955</v>
      </c>
      <c r="W125" s="40">
        <v>1834</v>
      </c>
      <c r="X125" s="40">
        <v>1876</v>
      </c>
      <c r="Y125" s="40">
        <v>1713</v>
      </c>
      <c r="Z125" s="141">
        <v>1696</v>
      </c>
      <c r="AA125" s="141">
        <v>1818</v>
      </c>
      <c r="AB125" s="141">
        <v>2061</v>
      </c>
      <c r="AC125" s="141">
        <v>1982</v>
      </c>
      <c r="AD125" s="141">
        <v>2248</v>
      </c>
      <c r="AE125" s="141">
        <v>2378</v>
      </c>
      <c r="AF125" s="141">
        <v>2573</v>
      </c>
      <c r="AG125" s="141">
        <v>2703</v>
      </c>
      <c r="AH125" s="141">
        <v>2771</v>
      </c>
      <c r="AI125" s="141">
        <v>2953</v>
      </c>
      <c r="AJ125" s="141">
        <v>3038</v>
      </c>
      <c r="AK125" s="141">
        <v>2911</v>
      </c>
      <c r="AL125" s="141">
        <v>3328</v>
      </c>
      <c r="AM125" s="141">
        <v>3744</v>
      </c>
      <c r="AN125" s="141">
        <v>3621</v>
      </c>
      <c r="AO125" s="141">
        <v>3844</v>
      </c>
      <c r="AP125" s="141">
        <v>3290</v>
      </c>
      <c r="AQ125" s="141">
        <v>3065</v>
      </c>
      <c r="AR125" s="141">
        <v>2823</v>
      </c>
      <c r="AS125" s="141">
        <v>2402</v>
      </c>
      <c r="AT125" s="141">
        <v>2502</v>
      </c>
      <c r="AU125" s="141">
        <v>2841</v>
      </c>
      <c r="AV125" s="141">
        <v>3490</v>
      </c>
      <c r="AW125" s="141">
        <v>4173</v>
      </c>
      <c r="AX125" s="141">
        <v>4556</v>
      </c>
      <c r="AY125" s="226">
        <v>4449</v>
      </c>
      <c r="AZ125" s="555">
        <f>AY125*([3]ANZ!K$266/[3]ANZ!J$266)</f>
        <v>4879.5085054734309</v>
      </c>
      <c r="BA125" s="555">
        <f>AZ125*([3]ANZ!L$266/[3]ANZ!K$266)</f>
        <v>5294.3639415713624</v>
      </c>
      <c r="BB125" s="555">
        <f>BA125*([3]ANZ!M$266/[3]ANZ!L$266)</f>
        <v>5717.4306634742179</v>
      </c>
      <c r="BC125" s="555">
        <f>BB125*([3]ANZ!N$266/[3]ANZ!M$266)</f>
        <v>6175.4847680916491</v>
      </c>
      <c r="BD125" s="555">
        <f>BC125*([3]ANZ!O$266/[3]ANZ!N$266)</f>
        <v>6333.8414489249135</v>
      </c>
      <c r="BE125" s="555">
        <f>BD125*([3]ANZ!P$266/[3]ANZ!O$266)</f>
        <v>6497.315863452096</v>
      </c>
      <c r="BF125" s="555">
        <f>BE125*([3]ANZ!Q$266/[3]ANZ!P$266)</f>
        <v>6235.900258499847</v>
      </c>
      <c r="BG125" s="555">
        <f>BF125*([3]ANZ!R$266/[3]ANZ!Q$266)</f>
        <v>5960.17078260575</v>
      </c>
      <c r="BH125" s="555">
        <f>BG125*([3]ANZ!S$266/[3]ANZ!R$266)</f>
        <v>5945.8383006447657</v>
      </c>
      <c r="BI125" s="555">
        <f>BH125*([3]ANZ!T$266/[3]ANZ!S$266)</f>
        <v>5922.0237723664686</v>
      </c>
      <c r="BJ125" s="41">
        <f t="shared" ref="BJ125:BK125" si="1435">BI125*BJ124/BI124</f>
        <v>5908.883465591819</v>
      </c>
      <c r="BK125" s="41">
        <f t="shared" si="1435"/>
        <v>5875.2473126025643</v>
      </c>
      <c r="BL125" s="41">
        <f t="shared" ref="BL125" si="1436">BK125*BL124/BK124</f>
        <v>5839.3309951961792</v>
      </c>
      <c r="BM125" s="41">
        <f t="shared" ref="BM125" si="1437">BL125*BM124/BL124</f>
        <v>5801.0432129556448</v>
      </c>
      <c r="BN125" s="41">
        <f t="shared" ref="BN125" si="1438">BM125*BN124/BM124</f>
        <v>5775.9683353007249</v>
      </c>
      <c r="BO125" s="41">
        <f t="shared" ref="BO125" si="1439">BN125*BO124/BN124</f>
        <v>5747.8193171273515</v>
      </c>
      <c r="BP125" s="41">
        <f t="shared" ref="BP125" si="1440">BO125*BP124/BO124</f>
        <v>5728.9169259120335</v>
      </c>
      <c r="BQ125" s="41">
        <f t="shared" ref="BQ125" si="1441">BP125*BQ124/BP124</f>
        <v>5706.8248228903776</v>
      </c>
      <c r="BR125" s="41"/>
      <c r="BS125" s="40">
        <v>474.1</v>
      </c>
      <c r="BT125" s="40">
        <v>339.3</v>
      </c>
      <c r="BU125" s="40">
        <v>155</v>
      </c>
      <c r="BV125" s="40">
        <v>153</v>
      </c>
      <c r="BW125" s="40">
        <v>212</v>
      </c>
      <c r="BX125" s="40">
        <v>243</v>
      </c>
      <c r="BY125" s="40">
        <v>283</v>
      </c>
      <c r="BZ125" s="40">
        <v>354</v>
      </c>
      <c r="CA125" s="40">
        <v>406</v>
      </c>
      <c r="CB125" s="40">
        <v>351</v>
      </c>
      <c r="CC125" s="41">
        <f>E125</f>
        <v>216</v>
      </c>
      <c r="CD125" s="41">
        <f>G125</f>
        <v>213</v>
      </c>
      <c r="CE125" s="41">
        <f>I125</f>
        <v>293</v>
      </c>
      <c r="CF125" s="41">
        <f>K125</f>
        <v>381</v>
      </c>
      <c r="CG125" s="41">
        <f>M125</f>
        <v>499</v>
      </c>
      <c r="CH125" s="41">
        <f>O125</f>
        <v>561</v>
      </c>
      <c r="CI125" s="41">
        <f>Q125</f>
        <v>1060</v>
      </c>
      <c r="CJ125" s="41">
        <f>S125</f>
        <v>1597</v>
      </c>
      <c r="CK125" s="41">
        <f>U125</f>
        <v>1555</v>
      </c>
      <c r="CL125" s="41">
        <f>W125</f>
        <v>1834</v>
      </c>
      <c r="CM125" s="41">
        <f>Y125</f>
        <v>1713</v>
      </c>
      <c r="CN125" s="41">
        <f>AA125</f>
        <v>1818</v>
      </c>
      <c r="CO125" s="41">
        <f>AC125</f>
        <v>1982</v>
      </c>
      <c r="CP125" s="41">
        <f>AE125</f>
        <v>2378</v>
      </c>
      <c r="CQ125" s="41">
        <f>AG125</f>
        <v>2703</v>
      </c>
      <c r="CR125" s="41">
        <f>AI125</f>
        <v>2953</v>
      </c>
      <c r="CS125" s="41">
        <f>AK125</f>
        <v>2911</v>
      </c>
      <c r="CT125" s="41">
        <f>AM125</f>
        <v>3744</v>
      </c>
      <c r="CU125" s="41">
        <f>AO125</f>
        <v>3844</v>
      </c>
      <c r="CV125" s="41">
        <f>AQ125</f>
        <v>3065</v>
      </c>
      <c r="CW125" s="41">
        <f>AS125</f>
        <v>2402</v>
      </c>
      <c r="CX125" s="41">
        <f>AU125</f>
        <v>2841</v>
      </c>
      <c r="CY125" s="41">
        <f>AW125</f>
        <v>4173</v>
      </c>
      <c r="CZ125" s="211">
        <f>AY125</f>
        <v>4449</v>
      </c>
      <c r="DA125" s="41">
        <f>BA125</f>
        <v>5294.3639415713624</v>
      </c>
      <c r="DB125" s="41">
        <f>BC125</f>
        <v>6175.4847680916491</v>
      </c>
      <c r="DC125" s="41">
        <f>BE125</f>
        <v>6497.315863452096</v>
      </c>
      <c r="DD125" s="41">
        <f>BG125</f>
        <v>5960.17078260575</v>
      </c>
      <c r="DE125" s="41">
        <f>BI125</f>
        <v>5922.0237723664686</v>
      </c>
      <c r="DF125" s="41">
        <f>BK125</f>
        <v>5875.2473126025643</v>
      </c>
      <c r="DG125" s="41">
        <f>BM125</f>
        <v>5801.0432129556448</v>
      </c>
      <c r="DH125" s="41">
        <f>BO125</f>
        <v>5747.8193171273515</v>
      </c>
      <c r="DI125" s="41">
        <f>BQ125</f>
        <v>5706.8248228903776</v>
      </c>
    </row>
    <row r="126" spans="1:113" ht="12" outlineLevel="1">
      <c r="AA126" s="41"/>
      <c r="AB126" s="118"/>
      <c r="AC126" s="32"/>
      <c r="AG126" s="141"/>
      <c r="AH126" s="437"/>
      <c r="AI126" s="403"/>
      <c r="AJ126" s="141"/>
      <c r="AK126" s="141"/>
      <c r="AL126" s="141"/>
      <c r="AM126" s="141"/>
      <c r="AN126" s="41"/>
      <c r="AO126" s="41"/>
      <c r="AP126" s="41"/>
      <c r="AQ126" s="41"/>
      <c r="AR126" s="41"/>
      <c r="AS126" s="41"/>
      <c r="AT126" s="41"/>
      <c r="AU126" s="41"/>
      <c r="AV126" s="41"/>
      <c r="AW126" s="41"/>
      <c r="AX126" s="41"/>
      <c r="AY126" s="211"/>
      <c r="CZ126" s="200"/>
      <c r="DB126" s="15"/>
      <c r="DC126" s="15"/>
      <c r="DD126" s="15"/>
      <c r="DE126" s="15"/>
      <c r="DF126" s="15"/>
      <c r="DG126" s="15"/>
      <c r="DH126" s="15"/>
      <c r="DI126" s="15"/>
    </row>
    <row r="127" spans="1:113" ht="12" outlineLevel="1">
      <c r="B127" s="17" t="s">
        <v>418</v>
      </c>
      <c r="AA127" s="15"/>
      <c r="AC127" s="32"/>
      <c r="AE127" s="32"/>
      <c r="AH127" s="108"/>
      <c r="AI127" s="108"/>
      <c r="AJ127" s="32"/>
      <c r="AK127" s="32"/>
      <c r="AL127" s="32"/>
      <c r="AM127" s="32"/>
      <c r="AN127" s="41"/>
      <c r="AO127" s="41"/>
      <c r="AP127" s="37"/>
      <c r="AQ127" s="37"/>
      <c r="AR127" s="37"/>
      <c r="AS127" s="37"/>
      <c r="AT127" s="37"/>
      <c r="AU127" s="37"/>
      <c r="AV127" s="37"/>
      <c r="AW127" s="37"/>
      <c r="AX127" s="37"/>
      <c r="AY127" s="36"/>
      <c r="CZ127" s="200"/>
      <c r="DB127" s="15"/>
      <c r="DC127" s="15"/>
      <c r="DD127" s="15"/>
      <c r="DE127" s="15"/>
      <c r="DF127" s="15"/>
      <c r="DG127" s="15"/>
      <c r="DH127" s="15"/>
      <c r="DI127" s="15"/>
    </row>
    <row r="128" spans="1:113" ht="12" outlineLevel="1">
      <c r="A128" s="1" t="s">
        <v>730</v>
      </c>
      <c r="B128" s="15" t="s">
        <v>509</v>
      </c>
      <c r="C128" s="378">
        <v>0.3</v>
      </c>
      <c r="D128" s="378">
        <v>0.3</v>
      </c>
      <c r="E128" s="378">
        <v>0.3</v>
      </c>
      <c r="F128" s="378">
        <v>0.3</v>
      </c>
      <c r="G128" s="378">
        <v>0.3</v>
      </c>
      <c r="H128" s="378">
        <v>0.3</v>
      </c>
      <c r="I128" s="378">
        <v>0.3</v>
      </c>
      <c r="J128" s="378">
        <v>0.3</v>
      </c>
      <c r="K128" s="378">
        <v>0.3</v>
      </c>
      <c r="L128" s="378">
        <v>0.3</v>
      </c>
      <c r="M128" s="48">
        <v>0.3</v>
      </c>
      <c r="N128" s="48">
        <v>0.3</v>
      </c>
      <c r="O128" s="48">
        <v>0.3</v>
      </c>
      <c r="P128" s="48">
        <v>0.3</v>
      </c>
      <c r="Q128" s="48">
        <v>0.3</v>
      </c>
      <c r="R128" s="48">
        <v>0.3</v>
      </c>
      <c r="S128" s="48">
        <v>0.3</v>
      </c>
      <c r="T128" s="49">
        <v>0.3</v>
      </c>
      <c r="U128" s="48">
        <v>0.3</v>
      </c>
      <c r="V128" s="48">
        <v>0.3</v>
      </c>
      <c r="W128" s="48">
        <v>0.3</v>
      </c>
      <c r="X128" s="48">
        <v>0.3</v>
      </c>
      <c r="Y128" s="49">
        <v>0.3</v>
      </c>
      <c r="Z128" s="332">
        <v>0.3</v>
      </c>
      <c r="AA128" s="332">
        <v>0.3</v>
      </c>
      <c r="AB128" s="332">
        <v>0.3</v>
      </c>
      <c r="AC128" s="332">
        <v>0.3</v>
      </c>
      <c r="AD128" s="332">
        <v>0.3</v>
      </c>
      <c r="AE128" s="332">
        <v>0.3</v>
      </c>
      <c r="AF128" s="332">
        <v>0.3</v>
      </c>
      <c r="AG128" s="332">
        <v>0.3</v>
      </c>
      <c r="AH128" s="332">
        <v>0.3</v>
      </c>
      <c r="AI128" s="332">
        <v>0.3</v>
      </c>
      <c r="AJ128" s="332">
        <v>0.3</v>
      </c>
      <c r="AK128" s="332">
        <v>0.3</v>
      </c>
      <c r="AL128" s="332">
        <v>0.3</v>
      </c>
      <c r="AM128" s="332">
        <v>0.3</v>
      </c>
      <c r="AN128" s="332">
        <v>0.3</v>
      </c>
      <c r="AO128" s="332">
        <v>0.3</v>
      </c>
      <c r="AP128" s="332">
        <v>0.3</v>
      </c>
      <c r="AQ128" s="332">
        <v>0.3</v>
      </c>
      <c r="AR128" s="332">
        <v>0.3</v>
      </c>
      <c r="AS128" s="332">
        <v>0.3</v>
      </c>
      <c r="AT128" s="332">
        <v>0.3</v>
      </c>
      <c r="AU128" s="332">
        <v>0.3</v>
      </c>
      <c r="AV128" s="332">
        <v>0.3</v>
      </c>
      <c r="AW128" s="332">
        <v>0.3</v>
      </c>
      <c r="AX128" s="332">
        <v>0.3</v>
      </c>
      <c r="AY128" s="237">
        <f>VLOOKUP($A128,[1]Sheet1!$2:$65479,MATCH(AY$3,[1]Sheet1!$2:$2,0),FALSE)</f>
        <v>0.3</v>
      </c>
      <c r="AZ128" s="137">
        <f>VLOOKUP($A128,[1]Sheet1!$2:$65479,MATCH(AZ$3,[1]Sheet1!$2:$2,0),FALSE)</f>
        <v>0.3</v>
      </c>
      <c r="BA128" s="137">
        <f>VLOOKUP($A128,[1]Sheet1!$2:$65479,MATCH(BA$3,[1]Sheet1!$2:$2,0),FALSE)</f>
        <v>0.3</v>
      </c>
      <c r="BB128" s="137">
        <f>VLOOKUP($A128,[1]Sheet1!$2:$65479,MATCH(BB$3,[1]Sheet1!$2:$2,0),FALSE)</f>
        <v>0.3</v>
      </c>
      <c r="BC128" s="137">
        <f>VLOOKUP($A128,[1]Sheet1!$2:$65479,MATCH(BC$3,[1]Sheet1!$2:$2,0),FALSE)</f>
        <v>0.3</v>
      </c>
      <c r="BD128" s="137">
        <f>VLOOKUP($A128,[1]Sheet1!$2:$65479,MATCH(BD$3,[1]Sheet1!$2:$2,0),FALSE)</f>
        <v>0.3</v>
      </c>
      <c r="BE128" s="137">
        <f>VLOOKUP($A128,[1]Sheet1!$2:$65479,MATCH(BE$3,[1]Sheet1!$2:$2,0),FALSE)</f>
        <v>0.3</v>
      </c>
      <c r="BF128" s="137">
        <f>VLOOKUP($A128,[1]Sheet1!$2:$65479,MATCH(BF$3,[1]Sheet1!$2:$2,0),FALSE)</f>
        <v>0.3</v>
      </c>
      <c r="BG128" s="137">
        <f>VLOOKUP($A128,[1]Sheet1!$2:$65479,MATCH(BG$3,[1]Sheet1!$2:$2,0),FALSE)</f>
        <v>0.3</v>
      </c>
      <c r="BH128" s="137">
        <f>VLOOKUP($A128,[1]Sheet1!$2:$65479,MATCH(BH$3,[1]Sheet1!$2:$2,0),FALSE)</f>
        <v>0.3</v>
      </c>
      <c r="BI128" s="137">
        <f>VLOOKUP($A128,[1]Sheet1!$2:$65479,MATCH(BI$3,[1]Sheet1!$2:$2,0),FALSE)</f>
        <v>0.3</v>
      </c>
      <c r="BJ128" s="137">
        <f>VLOOKUP($A128,[1]Sheet1!$2:$65479,MATCH(BJ$3,[1]Sheet1!$2:$2,0),FALSE)</f>
        <v>0.3</v>
      </c>
      <c r="BK128" s="137">
        <f>VLOOKUP($A128,[1]Sheet1!$2:$65479,MATCH(BK$3,[1]Sheet1!$2:$2,0),FALSE)</f>
        <v>0.3</v>
      </c>
      <c r="BL128" s="137">
        <f>VLOOKUP($A128,[1]Sheet1!$2:$65479,MATCH(BL$3,[1]Sheet1!$2:$2,0),FALSE)</f>
        <v>0.3</v>
      </c>
      <c r="BM128" s="137">
        <f>VLOOKUP($A128,[1]Sheet1!$2:$65479,MATCH(BM$3,[1]Sheet1!$2:$2,0),FALSE)</f>
        <v>0.3</v>
      </c>
      <c r="BN128" s="137">
        <f>VLOOKUP($A128,[1]Sheet1!$2:$65479,MATCH(BN$3,[1]Sheet1!$2:$2,0),FALSE)</f>
        <v>0.3</v>
      </c>
      <c r="BO128" s="137">
        <f>VLOOKUP($A128,[1]Sheet1!$2:$65479,MATCH(BO$3,[1]Sheet1!$2:$2,0),FALSE)</f>
        <v>0.3</v>
      </c>
      <c r="BP128" s="137">
        <f>VLOOKUP($A128,[1]Sheet1!$2:$65479,MATCH(BP$3,[1]Sheet1!$2:$2,0),FALSE)</f>
        <v>0.3</v>
      </c>
      <c r="BQ128" s="137">
        <f>VLOOKUP($A128,[1]Sheet1!$2:$65479,MATCH(BQ$3,[1]Sheet1!$2:$2,0),FALSE)</f>
        <v>0.3</v>
      </c>
      <c r="BR128" s="30"/>
      <c r="BS128" s="378">
        <v>0.33</v>
      </c>
      <c r="BT128" s="378">
        <v>0.33</v>
      </c>
      <c r="BU128" s="378">
        <v>0.33</v>
      </c>
      <c r="BV128" s="378">
        <v>0.33</v>
      </c>
      <c r="BW128" s="378">
        <v>0.36</v>
      </c>
      <c r="BX128" s="378">
        <v>0.36</v>
      </c>
      <c r="BY128" s="378">
        <v>0.36</v>
      </c>
      <c r="BZ128" s="378">
        <v>0.36</v>
      </c>
      <c r="CA128" s="378">
        <v>0.36</v>
      </c>
      <c r="CB128" s="378">
        <v>0.34</v>
      </c>
      <c r="CC128" s="48">
        <v>0.3</v>
      </c>
      <c r="CD128" s="30">
        <f>SUMPRODUCT(F128:G128,F$5:G$5)/SUM(F$5:G$5)</f>
        <v>0.3</v>
      </c>
      <c r="CE128" s="30">
        <f>SUMPRODUCT(H128:I128,H$5:I$5)/SUM(H$5:I$5)</f>
        <v>0.3</v>
      </c>
      <c r="CF128" s="30">
        <f>SUMPRODUCT(J128:K128,J$5:K$5)/SUM(J$5:K$5)</f>
        <v>0.3</v>
      </c>
      <c r="CG128" s="30">
        <f>SUMPRODUCT(L128:M128,L$5:M$5)/SUM(L$5:M$5)</f>
        <v>0.3</v>
      </c>
      <c r="CH128" s="30">
        <f>SUMPRODUCT(N128:O128,N$5:O$5)/SUM(N$5:O$5)</f>
        <v>0.3</v>
      </c>
      <c r="CI128" s="30">
        <f>SUMPRODUCT(P128:Q128,P$5:Q$5)/SUM(P$5:Q$5)</f>
        <v>0.3</v>
      </c>
      <c r="CJ128" s="30">
        <f>SUMPRODUCT(R128:S128,R$5:S$5)/SUM(R$5:S$5)</f>
        <v>0.3</v>
      </c>
      <c r="CK128" s="30">
        <f>SUMPRODUCT(T128:U128,T$5:U$5)/SUM(T$5:U$5)</f>
        <v>0.3</v>
      </c>
      <c r="CL128" s="30">
        <f>SUMPRODUCT(V128:W128,V$5:W$5)/SUM(V$5:W$5)</f>
        <v>0.3</v>
      </c>
      <c r="CM128" s="32">
        <f>SUMPRODUCT(X128:Y128,X$5:Y$5)/SUM(X$5:Y$5)</f>
        <v>0.3</v>
      </c>
      <c r="CN128" s="32">
        <f>SUMPRODUCT(Z128:AA128,Z$5:AA$5)/SUM(Z$5:AA$5)</f>
        <v>0.3</v>
      </c>
      <c r="CO128" s="32">
        <f>SUMPRODUCT(AB128:AC128,AB$5:AC$5)/SUM(AB$5:AC$5)</f>
        <v>0.3</v>
      </c>
      <c r="CP128" s="32">
        <f>SUMPRODUCT(AD128:AE128,AD$5:AE$5)/SUM(AD$5:AE$5)</f>
        <v>0.3</v>
      </c>
      <c r="CQ128" s="32">
        <f>SUMPRODUCT(AF128:AG128,AF$5:AG$5)/SUM(AF$5:AG$5)</f>
        <v>0.3</v>
      </c>
      <c r="CR128" s="32">
        <f>SUMPRODUCT(AH128:AI128,AH$5:AI$5)/SUM(AH$5:AI$5)</f>
        <v>0.3</v>
      </c>
      <c r="CS128" s="32">
        <f>SUMPRODUCT(AJ128:AK128,AJ$5:AK$5)/SUM(AJ$5:AK$5)</f>
        <v>0.3</v>
      </c>
      <c r="CT128" s="32">
        <f>SUMPRODUCT(AL128:AM128,AL$5:AM$5)/SUM(AL$5:AM$5)</f>
        <v>0.3</v>
      </c>
      <c r="CU128" s="32">
        <f>SUMPRODUCT(AN128:AO128,AN$5:AO$5)/SUM(AN$5:AO$5)</f>
        <v>0.3</v>
      </c>
      <c r="CV128" s="32">
        <f>SUMPRODUCT(AP128:AQ128,AP$5:AQ$5)/SUM(AP$5:AQ$5)</f>
        <v>0.3</v>
      </c>
      <c r="CW128" s="32">
        <f>SUMPRODUCT(AR128:AS128,AR$5:AS$5)/SUM(AR$5:AS$5)</f>
        <v>0.3</v>
      </c>
      <c r="CX128" s="32">
        <f>SUMPRODUCT(AT128:AU128,AT$5:AU$5)/SUM(AT$5:AU$5)</f>
        <v>0.3</v>
      </c>
      <c r="CY128" s="32">
        <f>SUMPRODUCT(AV128:AW128,AV$5:AW$5)/SUM(AV$5:AW$5)</f>
        <v>0.3</v>
      </c>
      <c r="CZ128" s="31">
        <f>SUMPRODUCT(AX128:AY128,AX$5:AY$5)/SUM(AX$5:AY$5)</f>
        <v>0.3</v>
      </c>
      <c r="DA128" s="30">
        <f>SUMPRODUCT(AZ128:BA128,AZ$5:BA$5)/SUM(AZ$5:BA$5)</f>
        <v>0.3</v>
      </c>
      <c r="DB128" s="30">
        <f>SUMPRODUCT(BB128:BC128,BB$5:BC$5)/SUM(BB$5:BC$5)</f>
        <v>0.3</v>
      </c>
      <c r="DC128" s="30">
        <f>SUMPRODUCT(BD128:BE128,BD$5:BE$5)/SUM(BD$5:BE$5)</f>
        <v>0.3</v>
      </c>
      <c r="DD128" s="30">
        <f>SUMPRODUCT(BF128:BG128,BF$5:BG$5)/SUM(BF$5:BG$5)</f>
        <v>0.3</v>
      </c>
      <c r="DE128" s="30">
        <f>SUMPRODUCT(BH128:BI128,BH$5:BI$5)/SUM(BH$5:BI$5)</f>
        <v>0.3</v>
      </c>
      <c r="DF128" s="30">
        <f>SUMPRODUCT(BJ128:BK128,BJ$5:BK$5)/SUM(BJ$5:BK$5)</f>
        <v>0.3</v>
      </c>
      <c r="DG128" s="30">
        <f>SUMPRODUCT(BL128:BM128,BL$5:BM$5)/SUM(BL$5:BM$5)</f>
        <v>0.3</v>
      </c>
      <c r="DH128" s="30">
        <f>SUMPRODUCT(BN128:BO128,BN$5:BO$5)/SUM(BN$5:BO$5)</f>
        <v>0.3</v>
      </c>
      <c r="DI128" s="30">
        <f>SUMPRODUCT(BP128:BQ128,BP$5:BQ$5)/SUM(BP$5:BQ$5)</f>
        <v>0.3</v>
      </c>
    </row>
    <row r="129" spans="1:113" ht="12" outlineLevel="1">
      <c r="A129" s="1" t="s">
        <v>506</v>
      </c>
      <c r="B129" s="15" t="s">
        <v>900</v>
      </c>
      <c r="C129" s="207">
        <f t="shared" ref="C129:L129" si="1442">-C497/C483</f>
        <v>0.32409972299168976</v>
      </c>
      <c r="D129" s="207">
        <f t="shared" si="1442"/>
        <v>0.29498327759197324</v>
      </c>
      <c r="E129" s="207">
        <f t="shared" si="1442"/>
        <v>0.29067342551894515</v>
      </c>
      <c r="F129" s="207">
        <f t="shared" si="1442"/>
        <v>0.27977315689981092</v>
      </c>
      <c r="G129" s="207">
        <f t="shared" si="1442"/>
        <v>0.28282899407936812</v>
      </c>
      <c r="H129" s="207">
        <f t="shared" si="1442"/>
        <v>0.29282888677105573</v>
      </c>
      <c r="I129" s="207">
        <f t="shared" si="1442"/>
        <v>0.29384259487128994</v>
      </c>
      <c r="J129" s="207">
        <f t="shared" si="1442"/>
        <v>0.27933344000731475</v>
      </c>
      <c r="K129" s="207">
        <f t="shared" si="1442"/>
        <v>0.2843500187778315</v>
      </c>
      <c r="L129" s="207">
        <f t="shared" si="1442"/>
        <v>0.29143364186224474</v>
      </c>
      <c r="M129" s="30">
        <f t="shared" ref="M129:T129" si="1443">-M497/M483</f>
        <v>0.29104268878087131</v>
      </c>
      <c r="N129" s="30">
        <f t="shared" si="1443"/>
        <v>0.29571021123192082</v>
      </c>
      <c r="O129" s="30">
        <f t="shared" si="1443"/>
        <v>0.28353744007210868</v>
      </c>
      <c r="P129" s="30">
        <f t="shared" si="1443"/>
        <v>0.28680793392062409</v>
      </c>
      <c r="Q129" s="30">
        <f t="shared" si="1443"/>
        <v>0.2194458426890033</v>
      </c>
      <c r="R129" s="30">
        <f t="shared" si="1443"/>
        <v>0.33229165245158915</v>
      </c>
      <c r="S129" s="30">
        <f t="shared" si="1443"/>
        <v>0.26049457705894974</v>
      </c>
      <c r="T129" s="32">
        <f t="shared" si="1443"/>
        <v>0.28200483091787437</v>
      </c>
      <c r="U129" s="30">
        <f t="shared" ref="U129:AD129" si="1444">-U497/U483</f>
        <v>0.27646750524109015</v>
      </c>
      <c r="V129" s="30">
        <f t="shared" si="1444"/>
        <v>0.28623757195185767</v>
      </c>
      <c r="W129" s="30">
        <f t="shared" si="1444"/>
        <v>0.28089005235602094</v>
      </c>
      <c r="X129" s="30">
        <f t="shared" si="1444"/>
        <v>0.27806821010704508</v>
      </c>
      <c r="Y129" s="32">
        <f t="shared" si="1444"/>
        <v>0.27062629997688931</v>
      </c>
      <c r="Z129" s="32">
        <f t="shared" si="1444"/>
        <v>0.28433355810294447</v>
      </c>
      <c r="AA129" s="139">
        <f>-AA497/AA483</f>
        <v>0.26069518716577539</v>
      </c>
      <c r="AB129" s="32">
        <f t="shared" si="1444"/>
        <v>0.27461887103419858</v>
      </c>
      <c r="AC129" s="32">
        <f t="shared" si="1444"/>
        <v>0.27477386934673365</v>
      </c>
      <c r="AD129" s="32">
        <f t="shared" si="1444"/>
        <v>0.27508854781582054</v>
      </c>
      <c r="AE129" s="32">
        <f t="shared" ref="AE129:AJ129" si="1445">-AE497/AE483</f>
        <v>0.27216748768472904</v>
      </c>
      <c r="AF129" s="32">
        <f t="shared" si="1445"/>
        <v>0.28910436335799949</v>
      </c>
      <c r="AG129" s="32">
        <f t="shared" si="1445"/>
        <v>0.27242990654205607</v>
      </c>
      <c r="AH129" s="32">
        <f t="shared" si="1445"/>
        <v>0.29482071713147412</v>
      </c>
      <c r="AI129" s="32">
        <f t="shared" si="1445"/>
        <v>0.2909239909854538</v>
      </c>
      <c r="AJ129" s="32">
        <f t="shared" si="1445"/>
        <v>0.29845660452996592</v>
      </c>
      <c r="AK129" s="32">
        <f t="shared" ref="AK129:AL129" si="1446">-AK497/AK483</f>
        <v>0.29983679179295875</v>
      </c>
      <c r="AL129" s="32">
        <f t="shared" si="1446"/>
        <v>0.28368083400160388</v>
      </c>
      <c r="AM129" s="32">
        <f t="shared" ref="AM129:AN129" si="1447">-AM497/AM483</f>
        <v>0.30251497005988026</v>
      </c>
      <c r="AN129" s="32">
        <f t="shared" si="1447"/>
        <v>0.38521739130434784</v>
      </c>
      <c r="AO129" s="32">
        <f t="shared" ref="AO129" si="1448">-AO497/AO483</f>
        <v>0.29600720504353045</v>
      </c>
      <c r="AP129" s="32">
        <f t="shared" ref="AP129:AQ129" si="1449">-AP497/AP483</f>
        <v>0.32536101083032493</v>
      </c>
      <c r="AQ129" s="32">
        <f t="shared" si="1449"/>
        <v>0.29176782167291987</v>
      </c>
      <c r="AR129" s="32">
        <f t="shared" ref="AR129:AS129" si="1450">-AR497/AR483</f>
        <v>0.29903174960594459</v>
      </c>
      <c r="AS129" s="32">
        <f t="shared" si="1450"/>
        <v>0.28493380962387055</v>
      </c>
      <c r="AT129" s="32">
        <f t="shared" ref="AT129:AU129" si="1451">-AT497/AT483</f>
        <v>0.28964879852125691</v>
      </c>
      <c r="AU129" s="32">
        <f t="shared" si="1451"/>
        <v>0.29602817452553315</v>
      </c>
      <c r="AV129" s="32">
        <f t="shared" ref="AV129:AW129" si="1452">-AV497/AV483</f>
        <v>0.2955353615171869</v>
      </c>
      <c r="AW129" s="32">
        <f t="shared" si="1452"/>
        <v>0.3056521739130435</v>
      </c>
      <c r="AX129" s="32">
        <f t="shared" ref="AX129:AY129" si="1453">-AX497/AX483</f>
        <v>0.29737666405638213</v>
      </c>
      <c r="AY129" s="31">
        <f t="shared" si="1453"/>
        <v>0.35475504322766571</v>
      </c>
      <c r="AZ129" s="33">
        <f>AX129</f>
        <v>0.29737666405638213</v>
      </c>
      <c r="BA129" s="33">
        <f t="shared" ref="BA129:BO129" si="1454">AZ129</f>
        <v>0.29737666405638213</v>
      </c>
      <c r="BB129" s="33">
        <f t="shared" si="1454"/>
        <v>0.29737666405638213</v>
      </c>
      <c r="BC129" s="33">
        <f t="shared" si="1454"/>
        <v>0.29737666405638213</v>
      </c>
      <c r="BD129" s="33">
        <f t="shared" si="1454"/>
        <v>0.29737666405638213</v>
      </c>
      <c r="BE129" s="33">
        <f t="shared" si="1454"/>
        <v>0.29737666405638213</v>
      </c>
      <c r="BF129" s="33">
        <f t="shared" si="1454"/>
        <v>0.29737666405638213</v>
      </c>
      <c r="BG129" s="33">
        <f t="shared" si="1454"/>
        <v>0.29737666405638213</v>
      </c>
      <c r="BH129" s="33">
        <f t="shared" si="1454"/>
        <v>0.29737666405638213</v>
      </c>
      <c r="BI129" s="33">
        <f t="shared" si="1454"/>
        <v>0.29737666405638213</v>
      </c>
      <c r="BJ129" s="33">
        <f t="shared" si="1454"/>
        <v>0.29737666405638213</v>
      </c>
      <c r="BK129" s="33">
        <f t="shared" si="1454"/>
        <v>0.29737666405638213</v>
      </c>
      <c r="BL129" s="33">
        <f t="shared" si="1454"/>
        <v>0.29737666405638213</v>
      </c>
      <c r="BM129" s="33">
        <f t="shared" si="1454"/>
        <v>0.29737666405638213</v>
      </c>
      <c r="BN129" s="33">
        <f t="shared" si="1454"/>
        <v>0.29737666405638213</v>
      </c>
      <c r="BO129" s="33">
        <f t="shared" si="1454"/>
        <v>0.29737666405638213</v>
      </c>
      <c r="BP129" s="33">
        <f t="shared" ref="BP129" si="1455">BO129</f>
        <v>0.29737666405638213</v>
      </c>
      <c r="BQ129" s="33">
        <f t="shared" ref="BQ129" si="1456">BP129</f>
        <v>0.29737666405638213</v>
      </c>
      <c r="BR129" s="30"/>
      <c r="BS129" s="207">
        <f t="shared" ref="BS129:CB129" si="1457">-BS497/BS483</f>
        <v>0.18471160528144545</v>
      </c>
      <c r="BT129" s="207">
        <f t="shared" si="1457"/>
        <v>0.35439393939393943</v>
      </c>
      <c r="BU129" s="207">
        <f t="shared" si="1457"/>
        <v>0.3297161936560935</v>
      </c>
      <c r="BV129" s="207">
        <f t="shared" si="1457"/>
        <v>0.34006734006734007</v>
      </c>
      <c r="BW129" s="207">
        <f t="shared" si="1457"/>
        <v>0.29422835633626099</v>
      </c>
      <c r="BX129" s="207">
        <f t="shared" si="1457"/>
        <v>0.28328267477203645</v>
      </c>
      <c r="BY129" s="207">
        <f t="shared" si="1457"/>
        <v>0.32727272727272727</v>
      </c>
      <c r="BZ129" s="207">
        <f t="shared" si="1457"/>
        <v>0.33123312331233123</v>
      </c>
      <c r="CA129" s="207">
        <f t="shared" si="1457"/>
        <v>0.33449612403100776</v>
      </c>
      <c r="CB129" s="207">
        <f t="shared" si="1457"/>
        <v>0.32535714285714284</v>
      </c>
      <c r="CC129" s="30">
        <f t="shared" ref="CC129:CR129" si="1458">-CC497/SUM(CC381,CC408,CC443,CC472)</f>
        <v>0.2927835726800832</v>
      </c>
      <c r="CD129" s="30">
        <f t="shared" si="1458"/>
        <v>0.28135548931851811</v>
      </c>
      <c r="CE129" s="30">
        <f t="shared" si="1458"/>
        <v>0.29335563552288657</v>
      </c>
      <c r="CF129" s="30">
        <f t="shared" si="1458"/>
        <v>0.28186969799029399</v>
      </c>
      <c r="CG129" s="30">
        <f t="shared" si="1458"/>
        <v>0.29123093084147317</v>
      </c>
      <c r="CH129" s="30">
        <f t="shared" si="1458"/>
        <v>0.28956370132650999</v>
      </c>
      <c r="CI129" s="30">
        <f t="shared" si="1458"/>
        <v>0.26032982521664516</v>
      </c>
      <c r="CJ129" s="30">
        <f t="shared" si="1458"/>
        <v>0.28253261481945346</v>
      </c>
      <c r="CK129" s="30">
        <f t="shared" si="1458"/>
        <v>0.27904040404040403</v>
      </c>
      <c r="CL129" s="30">
        <f t="shared" si="1458"/>
        <v>0.28356451190787751</v>
      </c>
      <c r="CM129" s="32">
        <f t="shared" si="1458"/>
        <v>0.274209012464046</v>
      </c>
      <c r="CN129" s="32">
        <f t="shared" si="1458"/>
        <v>0.27246279512140537</v>
      </c>
      <c r="CO129" s="32">
        <f t="shared" si="1458"/>
        <v>0.27469732424458237</v>
      </c>
      <c r="CP129" s="32">
        <f t="shared" si="1458"/>
        <v>0.27365883062085594</v>
      </c>
      <c r="CQ129" s="32">
        <f t="shared" si="1458"/>
        <v>0.28040004878643737</v>
      </c>
      <c r="CR129" s="32">
        <f t="shared" si="1458"/>
        <v>0.29284974093264249</v>
      </c>
      <c r="CS129" s="32">
        <f t="shared" ref="CS129:CX129" si="1459">-CS497/SUM(CS381,CS408,CS443,CS472)</f>
        <v>0.29909463246389306</v>
      </c>
      <c r="CT129" s="32">
        <f t="shared" si="1459"/>
        <v>0.29226235948925022</v>
      </c>
      <c r="CU129" s="32">
        <f t="shared" si="1459"/>
        <v>0.33244539158231218</v>
      </c>
      <c r="CV129" s="32">
        <f t="shared" si="1459"/>
        <v>0.30837889099631821</v>
      </c>
      <c r="CW129" s="32">
        <f t="shared" si="1459"/>
        <v>0.29173913043478261</v>
      </c>
      <c r="CX129" s="32">
        <f t="shared" si="1459"/>
        <v>0.29274783765801732</v>
      </c>
      <c r="CY129" s="32">
        <f t="shared" ref="CY129:DD129" si="1460">-CY497/SUM(CY381,CY408,CY443,CY472)</f>
        <v>0.30035189401780171</v>
      </c>
      <c r="CZ129" s="31">
        <f t="shared" si="1460"/>
        <v>0.32058754954534857</v>
      </c>
      <c r="DA129" s="30">
        <f t="shared" si="1460"/>
        <v>0.29737666405638208</v>
      </c>
      <c r="DB129" s="30">
        <f t="shared" si="1460"/>
        <v>0.29737666405638208</v>
      </c>
      <c r="DC129" s="30">
        <f t="shared" si="1460"/>
        <v>0.29737666405638208</v>
      </c>
      <c r="DD129" s="30">
        <f t="shared" si="1460"/>
        <v>0.29737666405638213</v>
      </c>
      <c r="DE129" s="30">
        <f t="shared" ref="DE129" si="1461">-DE497/SUM(DE381,DE408,DE443,DE472)</f>
        <v>0.29737666405638213</v>
      </c>
      <c r="DF129" s="30">
        <f t="shared" ref="DF129" si="1462">-DF497/SUM(DF381,DF408,DF443,DF472)</f>
        <v>0.29737666405638219</v>
      </c>
      <c r="DG129" s="30">
        <f>-DG497/SUM(DG381,DG408,DG443,DG472)</f>
        <v>0.29737666405638219</v>
      </c>
      <c r="DH129" s="30">
        <f>-DH497/SUM(DH381,DH408,DH443,DH472)</f>
        <v>0.29737666405638208</v>
      </c>
      <c r="DI129" s="30">
        <f>-DI497/SUM(DI381,DI408,DI443,DI472)</f>
        <v>0.29737666405638208</v>
      </c>
    </row>
    <row r="130" spans="1:113" ht="12" outlineLevel="1">
      <c r="A130" s="1" t="s">
        <v>901</v>
      </c>
      <c r="B130" s="15" t="s">
        <v>508</v>
      </c>
      <c r="C130" s="207">
        <f t="shared" ref="C130:L130" si="1463">-(C497-C502)/SUM(C387,C414,C449,C478)</f>
        <v>0.32409972299168976</v>
      </c>
      <c r="D130" s="207">
        <f t="shared" si="1463"/>
        <v>0.29498327759197324</v>
      </c>
      <c r="E130" s="207">
        <f t="shared" si="1463"/>
        <v>0.29270565552699229</v>
      </c>
      <c r="F130" s="207">
        <f t="shared" si="1463"/>
        <v>0.27977315689981097</v>
      </c>
      <c r="G130" s="207">
        <f t="shared" si="1463"/>
        <v>0.29361538461538461</v>
      </c>
      <c r="H130" s="207">
        <f t="shared" si="1463"/>
        <v>0.30199999999999999</v>
      </c>
      <c r="I130" s="207">
        <f t="shared" si="1463"/>
        <v>0.30327218641546855</v>
      </c>
      <c r="J130" s="207">
        <f t="shared" si="1463"/>
        <v>0.28364678899082568</v>
      </c>
      <c r="K130" s="207">
        <f t="shared" si="1463"/>
        <v>0.2934173795587573</v>
      </c>
      <c r="L130" s="207">
        <f t="shared" si="1463"/>
        <v>0.29608660130718956</v>
      </c>
      <c r="M130" s="30">
        <f t="shared" ref="M130:AD130" si="1464">-(M497-M502)/SUM(M387,M414,M449,M478)</f>
        <v>0.29922403955876758</v>
      </c>
      <c r="N130" s="30">
        <f t="shared" si="1464"/>
        <v>0.29939745916515426</v>
      </c>
      <c r="O130" s="30">
        <f t="shared" si="1464"/>
        <v>0.29547636103151864</v>
      </c>
      <c r="P130" s="30">
        <f t="shared" si="1464"/>
        <v>0.3097537514428626</v>
      </c>
      <c r="Q130" s="30">
        <f t="shared" si="1464"/>
        <v>0.18549545454545455</v>
      </c>
      <c r="R130" s="30">
        <f t="shared" si="1464"/>
        <v>0.19081954887218044</v>
      </c>
      <c r="S130" s="30">
        <f t="shared" si="1464"/>
        <v>0.34149825783972126</v>
      </c>
      <c r="T130" s="32">
        <f t="shared" si="1464"/>
        <v>0.29006211180124225</v>
      </c>
      <c r="U130" s="30">
        <f t="shared" si="1464"/>
        <v>0.27976664014850172</v>
      </c>
      <c r="V130" s="30">
        <f t="shared" si="1464"/>
        <v>0.28623757195185767</v>
      </c>
      <c r="W130" s="30">
        <f t="shared" si="1464"/>
        <v>0.28089005235602094</v>
      </c>
      <c r="X130" s="30">
        <f t="shared" si="1464"/>
        <v>0.27806821010704508</v>
      </c>
      <c r="Y130" s="32">
        <f t="shared" si="1464"/>
        <v>0.28885051800690675</v>
      </c>
      <c r="Z130" s="32">
        <f t="shared" si="1464"/>
        <v>0.28433355810294447</v>
      </c>
      <c r="AA130" s="139">
        <f t="shared" si="1464"/>
        <v>0.26069518716577539</v>
      </c>
      <c r="AB130" s="32">
        <f t="shared" si="1464"/>
        <v>0.27461887103419858</v>
      </c>
      <c r="AC130" s="32">
        <f t="shared" si="1464"/>
        <v>0.27477386934673365</v>
      </c>
      <c r="AD130" s="32">
        <f t="shared" si="1464"/>
        <v>0.27508854781582054</v>
      </c>
      <c r="AE130" s="32">
        <f t="shared" ref="AE130:AF130" si="1465">-(AE497-AE502)/SUM(AE387,AE414,AE449,AE478)</f>
        <v>0.27216748768472904</v>
      </c>
      <c r="AF130" s="32">
        <f t="shared" si="1465"/>
        <v>0.28910436335799949</v>
      </c>
      <c r="AG130" s="32">
        <f t="shared" ref="AG130:AH130" si="1466">-(AG497-AG502)/SUM(AG387,AG414,AG449,AG478)</f>
        <v>0.27242990654205607</v>
      </c>
      <c r="AH130" s="32">
        <f t="shared" si="1466"/>
        <v>0.29482071713147412</v>
      </c>
      <c r="AI130" s="32">
        <f t="shared" ref="AI130:AJ130" si="1467">-(AI497-AI502)/SUM(AI387,AI414,AI449,AI478)</f>
        <v>0.2909239909854538</v>
      </c>
      <c r="AJ130" s="32">
        <f t="shared" si="1467"/>
        <v>0.29845660452996592</v>
      </c>
      <c r="AK130" s="32">
        <f t="shared" ref="AK130:AL130" si="1468">-(AK497-AK502)/SUM(AK387,AK414,AK449,AK478)</f>
        <v>0.29983679179295875</v>
      </c>
      <c r="AL130" s="32">
        <f t="shared" si="1468"/>
        <v>0.28368083400160388</v>
      </c>
      <c r="AM130" s="32">
        <f t="shared" ref="AM130:AN130" si="1469">-(AM497-AM502)/SUM(AM387,AM414,AM449,AM478)</f>
        <v>0.30251497005988026</v>
      </c>
      <c r="AN130" s="32">
        <f t="shared" si="1469"/>
        <v>0.38521739130434784</v>
      </c>
      <c r="AO130" s="32">
        <f t="shared" ref="AO130" si="1470">-(AO497-AO502)/SUM(AO387,AO414,AO449,AO478)</f>
        <v>0.29600720504353045</v>
      </c>
      <c r="AP130" s="32">
        <f t="shared" ref="AP130:AQ130" si="1471">-(AP497-AP502)/SUM(AP387,AP414,AP449,AP478)</f>
        <v>0.32536101083032493</v>
      </c>
      <c r="AQ130" s="32">
        <f t="shared" si="1471"/>
        <v>0.29176782167291987</v>
      </c>
      <c r="AR130" s="32">
        <f t="shared" ref="AR130:AS130" si="1472">-(AR497-AR502)/SUM(AR387,AR414,AR449,AR478)</f>
        <v>0.29903174960594459</v>
      </c>
      <c r="AS130" s="32">
        <f t="shared" si="1472"/>
        <v>0.28493380962387055</v>
      </c>
      <c r="AT130" s="32">
        <f t="shared" ref="AT130:AU130" si="1473">-(AT497-AT502)/SUM(AT387,AT414,AT449,AT478)</f>
        <v>0.28964879852125691</v>
      </c>
      <c r="AU130" s="32">
        <f t="shared" si="1473"/>
        <v>0.29602817452553315</v>
      </c>
      <c r="AV130" s="32">
        <f t="shared" ref="AV130:AW130" si="1474">-(AV497-AV502)/SUM(AV387,AV414,AV449,AV478)</f>
        <v>0.2955353615171869</v>
      </c>
      <c r="AW130" s="32">
        <f t="shared" si="1474"/>
        <v>0.3056521739130435</v>
      </c>
      <c r="AX130" s="32">
        <f t="shared" ref="AX130:AY130" si="1475">-(AX497-AX502)/SUM(AX387,AX414,AX449,AX478)</f>
        <v>0.29737666405638213</v>
      </c>
      <c r="AY130" s="31">
        <f t="shared" si="1475"/>
        <v>0.35475504322766571</v>
      </c>
      <c r="AZ130" s="30">
        <f t="shared" ref="AZ130:BA130" si="1476">-(AZ497-AZ502)/SUM(AZ387,AZ414,AZ449,AZ478)</f>
        <v>0.29737666405638213</v>
      </c>
      <c r="BA130" s="30">
        <f t="shared" si="1476"/>
        <v>0.29737666405638213</v>
      </c>
      <c r="BB130" s="30">
        <f t="shared" ref="BB130:BC130" si="1477">-(BB497-BB502)/SUM(BB387,BB414,BB449,BB478)</f>
        <v>0.29737666405638213</v>
      </c>
      <c r="BC130" s="30">
        <f t="shared" si="1477"/>
        <v>0.29737666405638213</v>
      </c>
      <c r="BD130" s="30">
        <f t="shared" ref="BD130:BE130" si="1478">-(BD497-BD502)/SUM(BD387,BD414,BD449,BD478)</f>
        <v>0.29737666405638213</v>
      </c>
      <c r="BE130" s="30">
        <f t="shared" si="1478"/>
        <v>0.29737666405638213</v>
      </c>
      <c r="BF130" s="30">
        <f t="shared" ref="BF130:BG130" si="1479">-(BF497-BF502)/SUM(BF387,BF414,BF449,BF478)</f>
        <v>0.29737666405638213</v>
      </c>
      <c r="BG130" s="30">
        <f t="shared" si="1479"/>
        <v>0.29737666405638213</v>
      </c>
      <c r="BH130" s="30">
        <f t="shared" ref="BH130:BI130" si="1480">-(BH497-BH502)/SUM(BH387,BH414,BH449,BH478)</f>
        <v>0.29737666405638213</v>
      </c>
      <c r="BI130" s="30">
        <f t="shared" si="1480"/>
        <v>0.29737666405638213</v>
      </c>
      <c r="BJ130" s="30">
        <f t="shared" ref="BJ130:BK130" si="1481">-(BJ497-BJ502)/SUM(BJ387,BJ414,BJ449,BJ478)</f>
        <v>0.29737666405638213</v>
      </c>
      <c r="BK130" s="30">
        <f t="shared" si="1481"/>
        <v>0.29737666405638213</v>
      </c>
      <c r="BL130" s="30">
        <f t="shared" ref="BL130:BM130" si="1482">-(BL497-BL502)/SUM(BL387,BL414,BL449,BL478)</f>
        <v>0.29737666405638213</v>
      </c>
      <c r="BM130" s="30">
        <f t="shared" si="1482"/>
        <v>0.29737666405638213</v>
      </c>
      <c r="BN130" s="30">
        <f t="shared" ref="BN130:BO130" si="1483">-(BN497-BN502)/SUM(BN387,BN414,BN449,BN478)</f>
        <v>0.29737666405638213</v>
      </c>
      <c r="BO130" s="30">
        <f t="shared" si="1483"/>
        <v>0.29737666405638213</v>
      </c>
      <c r="BP130" s="30">
        <f t="shared" ref="BP130:BQ130" si="1484">-(BP497-BP502)/SUM(BP387,BP414,BP449,BP478)</f>
        <v>0.29737666405638213</v>
      </c>
      <c r="BQ130" s="30">
        <f t="shared" si="1484"/>
        <v>0.29737666405638213</v>
      </c>
      <c r="BR130" s="30"/>
      <c r="BS130" s="207">
        <f t="shared" ref="BS130:CB130" si="1485">-(BS497-BS502)/SUM(BS387,BS414,BS449,BS478)</f>
        <v>0.18471160528144545</v>
      </c>
      <c r="BT130" s="207">
        <f t="shared" si="1485"/>
        <v>0.35439393939393943</v>
      </c>
      <c r="BU130" s="207">
        <f t="shared" si="1485"/>
        <v>0.3297161936560935</v>
      </c>
      <c r="BV130" s="207">
        <f t="shared" si="1485"/>
        <v>0.34006734006734007</v>
      </c>
      <c r="BW130" s="207">
        <f t="shared" si="1485"/>
        <v>0.29422835633626099</v>
      </c>
      <c r="BX130" s="207">
        <f t="shared" si="1485"/>
        <v>0.28328267477203645</v>
      </c>
      <c r="BY130" s="207">
        <f t="shared" si="1485"/>
        <v>0.32727272727272727</v>
      </c>
      <c r="BZ130" s="207">
        <f t="shared" si="1485"/>
        <v>0.33123312331233123</v>
      </c>
      <c r="CA130" s="207">
        <f t="shared" si="1485"/>
        <v>0.33449612403100776</v>
      </c>
      <c r="CB130" s="207">
        <f t="shared" si="1485"/>
        <v>0.32535714285714284</v>
      </c>
      <c r="CC130" s="30">
        <f t="shared" ref="CC130:CR130" si="1486">-(CC497-CC502)/SUM(CC387,CC414,CC449,CC478)</f>
        <v>0.29382169780399869</v>
      </c>
      <c r="CD130" s="30">
        <f t="shared" si="1486"/>
        <v>0.28691180958193468</v>
      </c>
      <c r="CE130" s="30">
        <f t="shared" si="1486"/>
        <v>0.30266099948480168</v>
      </c>
      <c r="CF130" s="30">
        <f t="shared" si="1486"/>
        <v>0.28857759600090888</v>
      </c>
      <c r="CG130" s="30">
        <f t="shared" si="1486"/>
        <v>0.2977112467992909</v>
      </c>
      <c r="CH130" s="30">
        <f t="shared" si="1486"/>
        <v>0.29742383270236161</v>
      </c>
      <c r="CI130" s="30">
        <f t="shared" si="1486"/>
        <v>0.25279016461762871</v>
      </c>
      <c r="CJ130" s="30">
        <f t="shared" si="1486"/>
        <v>0.26505245088689683</v>
      </c>
      <c r="CK130" s="30">
        <f t="shared" si="1486"/>
        <v>0.28450865398369329</v>
      </c>
      <c r="CL130" s="30">
        <f t="shared" si="1486"/>
        <v>0.28356451190787751</v>
      </c>
      <c r="CM130" s="32">
        <f t="shared" si="1486"/>
        <v>0.2834840788006443</v>
      </c>
      <c r="CN130" s="32">
        <f t="shared" si="1486"/>
        <v>0.27246279512140537</v>
      </c>
      <c r="CO130" s="32">
        <f t="shared" si="1486"/>
        <v>0.27469732424458237</v>
      </c>
      <c r="CP130" s="32">
        <f t="shared" si="1486"/>
        <v>0.27365883062085594</v>
      </c>
      <c r="CQ130" s="32">
        <f t="shared" si="1486"/>
        <v>0.28040004878643737</v>
      </c>
      <c r="CR130" s="32">
        <f t="shared" si="1486"/>
        <v>0.29284974093264249</v>
      </c>
      <c r="CS130" s="32">
        <f t="shared" ref="CS130:CX130" si="1487">-(CS497-CS502)/SUM(CS387,CS414,CS449,CS478)</f>
        <v>0.29909463246389306</v>
      </c>
      <c r="CT130" s="32">
        <f t="shared" si="1487"/>
        <v>0.29226235948925022</v>
      </c>
      <c r="CU130" s="32">
        <f t="shared" si="1487"/>
        <v>0.33244539158231218</v>
      </c>
      <c r="CV130" s="32">
        <f t="shared" si="1487"/>
        <v>0.30837889099631821</v>
      </c>
      <c r="CW130" s="32">
        <f t="shared" si="1487"/>
        <v>0.29173913043478261</v>
      </c>
      <c r="CX130" s="32">
        <f t="shared" si="1487"/>
        <v>0.29274783765801732</v>
      </c>
      <c r="CY130" s="32">
        <f t="shared" ref="CY130:DD130" si="1488">-(CY497-CY502)/SUM(CY387,CY414,CY449,CY478)</f>
        <v>0.30035189401780171</v>
      </c>
      <c r="CZ130" s="31">
        <f t="shared" si="1488"/>
        <v>0.32058754954534857</v>
      </c>
      <c r="DA130" s="30">
        <f t="shared" si="1488"/>
        <v>0.29737666405638208</v>
      </c>
      <c r="DB130" s="30">
        <f t="shared" si="1488"/>
        <v>0.29737666405638208</v>
      </c>
      <c r="DC130" s="30">
        <f t="shared" si="1488"/>
        <v>0.29737666405638208</v>
      </c>
      <c r="DD130" s="30">
        <f t="shared" si="1488"/>
        <v>0.29737666405638213</v>
      </c>
      <c r="DE130" s="30">
        <f t="shared" ref="DE130" si="1489">-(DE497-DE502)/SUM(DE387,DE414,DE449,DE478)</f>
        <v>0.29737666405638213</v>
      </c>
      <c r="DF130" s="30">
        <f t="shared" ref="DF130" si="1490">-(DF497-DF502)/SUM(DF387,DF414,DF449,DF478)</f>
        <v>0.29737666405638219</v>
      </c>
      <c r="DG130" s="30">
        <f>-(DG497-DG502)/SUM(DG387,DG414,DG449,DG478)</f>
        <v>0.29737666405638219</v>
      </c>
      <c r="DH130" s="30">
        <f>-(DH497-DH502)/SUM(DH387,DH414,DH449,DH478)</f>
        <v>0.29737666405638208</v>
      </c>
      <c r="DI130" s="30">
        <f>-(DI497-DI502)/SUM(DI387,DI414,DI449,DI478)</f>
        <v>0.29737666405638208</v>
      </c>
    </row>
    <row r="131" spans="1:113" ht="12" outlineLevel="1">
      <c r="A131" s="1" t="s">
        <v>766</v>
      </c>
      <c r="B131" s="15" t="s">
        <v>767</v>
      </c>
      <c r="C131" s="207" t="e">
        <f>(A137-C137+SUM(B553:C553)*C128/(1-C128))/(SUM(B509:C509)-SUM(B498:C498)-SUM(B499:C499))</f>
        <v>#VALUE!</v>
      </c>
      <c r="D131" s="346">
        <f>E131</f>
        <v>0</v>
      </c>
      <c r="E131" s="207">
        <f>(C137-E137+SUM(D553:E553)*E128/(1-E128))/(SUM(D509:E509)-SUM(D498:E498)-SUM(D499:E499))</f>
        <v>0</v>
      </c>
      <c r="F131" s="346">
        <f>G131</f>
        <v>0.76369005721059968</v>
      </c>
      <c r="G131" s="207">
        <f>(E137-G137+SUM(F553:G553)*G128/(1-G128))/(SUM(F509:G509)-SUM(F498:G498)-SUM(F499:G499))</f>
        <v>0.76369005721059968</v>
      </c>
      <c r="H131" s="346">
        <f>I131</f>
        <v>0.85463451301765236</v>
      </c>
      <c r="I131" s="207">
        <f>(G137-I137+SUM(H553:I553)*I128/(1-I128))/(SUM(H509:I509)-SUM(H498:I498)-SUM(H499:I499))</f>
        <v>0.85463451301765236</v>
      </c>
      <c r="J131" s="346">
        <f>K131</f>
        <v>0.70158091990708604</v>
      </c>
      <c r="K131" s="207">
        <f>(I137-K137+SUM(J553:K553)*K128/(1-K128))/(SUM(J509:K509)-SUM(J498:K498)-SUM(J499:K499))</f>
        <v>0.70158091990708604</v>
      </c>
      <c r="L131" s="346">
        <f>M131</f>
        <v>0.84711820380610192</v>
      </c>
      <c r="M131" s="50">
        <f>(K137-M137+SUM(L553:M553)*M128/(1-M128))/(SUM(L509:M509)-SUM(L498:M498)-SUM(L499:M499))</f>
        <v>0.84711820380610192</v>
      </c>
      <c r="N131" s="45">
        <f>O131</f>
        <v>0.82202033184804357</v>
      </c>
      <c r="O131" s="50">
        <f>(M137-O137+SUM(N553:O553)*O128/(1-O128))/(SUM(N509:O509)-SUM(N498:O498)-SUM(N499:O499))</f>
        <v>0.82202033184804357</v>
      </c>
      <c r="P131" s="45">
        <f>Q131</f>
        <v>0.55773332190330727</v>
      </c>
      <c r="Q131" s="50">
        <f>(O137-Q137+SUM(P553:Q553)*Q128/(1-Q128))/(SUM(P509:Q509)-SUM(P498:Q498)-SUM(P499:Q499))</f>
        <v>0.55773332190330727</v>
      </c>
      <c r="R131" s="45">
        <f>S131</f>
        <v>0.76458841196267102</v>
      </c>
      <c r="S131" s="50">
        <f>(Q137-S137+SUM(R553:S553)*S128/(1-S128))/(SUM(R509:S509)-SUM(R498:S498)-SUM(R499:S499))</f>
        <v>0.76458841196267102</v>
      </c>
      <c r="T131" s="45">
        <f>U131</f>
        <v>0.82813250120019199</v>
      </c>
      <c r="U131" s="50">
        <f>(S137-U137+SUM(T553:U553)*U128/(1-U128))/(SUM(T509:U509)-SUM(T498:U498)-SUM(T499:U499))</f>
        <v>0.82813250120019199</v>
      </c>
      <c r="V131" s="45">
        <f>W131</f>
        <v>0.66826295167609928</v>
      </c>
      <c r="W131" s="50">
        <f>(U137-W137+SUM(V553:W553)*W128/(1-W128))/(SUM(V509:W509)-SUM(V498:W498)-SUM(V499:W499))</f>
        <v>0.66826295167609928</v>
      </c>
      <c r="X131" s="45">
        <f>Y131</f>
        <v>0.7349494201825808</v>
      </c>
      <c r="Y131" s="50">
        <f>(W137-Y137+SUM(X553:Y553)*Y128/(1-Y128))/(SUM(X509:Y509)-SUM(X498:Y498)-SUM(X499:Y499))</f>
        <v>0.7349494201825808</v>
      </c>
      <c r="Z131" s="349">
        <v>0.7</v>
      </c>
      <c r="AA131" s="358">
        <f>(Y137-AA137-SUM(Z543*Z135,AA543*AA135)*AA128/(1-AA128)*AVERAGE(Z138:AA138))/(SUM(Z509:AA509)-SUM(Z498:AA498)-SUM(Z499:AA499))</f>
        <v>0.6615772850868018</v>
      </c>
      <c r="AB131" s="399">
        <v>0.7</v>
      </c>
      <c r="AC131" s="358">
        <f>(AA137-AC137-SUM(AB543*AB135,AC543*AC135)*AC128/(1-AC128)*AVERAGE(AB138:AC138))/(SUM(AB509:AC509)-SUM(AB498:AC498)-SUM(AB499:AC499))</f>
        <v>0.60730227606113663</v>
      </c>
      <c r="AD131" s="51">
        <f t="shared" ref="AD131" si="1491">AC131+($AI131-$AB131)/7</f>
        <v>0.59703381008789769</v>
      </c>
      <c r="AE131" s="358">
        <f>(AC137-AE137-SUM(AD543*AD135,AE543*AE135)*AE128/(1-AE128)*AVERAGE(AD138:AE138))/(SUM(AD509:AE509)-SUM(AD498:AE498)-SUM(AD499:AE499))</f>
        <v>0.7276965761511216</v>
      </c>
      <c r="AF131" s="51">
        <f>AE131+($AI131-$AE131)/4</f>
        <v>0.70280261666017307</v>
      </c>
      <c r="AG131" s="358">
        <f>(AE137-AG137-SUM(AF543*AF135,AG543*AG135)*AG128/(1-AG128)*AVERAGE(AF138:AG138))/(SUM(AF509:AG509)-SUM(AF498:AG498)-SUM(AF499:AG499))</f>
        <v>0.81531093804486809</v>
      </c>
      <c r="AH131" s="51">
        <v>0.75</v>
      </c>
      <c r="AI131" s="358">
        <f t="shared" ref="AI131:AY131" si="1492">(AG137-AI137-SUM(AH543*AH135,AI543*AI135)*AI128/(1-AI128)*AVERAGE(AH138:AI138))/(SUM(AH509:AI509)-SUM(AH498:AI498)-SUM(AH499:AI499))</f>
        <v>0.62812073818732739</v>
      </c>
      <c r="AJ131" s="358">
        <f t="shared" si="1492"/>
        <v>0.63867668286899826</v>
      </c>
      <c r="AK131" s="358">
        <f t="shared" si="1492"/>
        <v>0.65620050352406212</v>
      </c>
      <c r="AL131" s="358">
        <f t="shared" si="1492"/>
        <v>0.71461467561306491</v>
      </c>
      <c r="AM131" s="358">
        <f t="shared" si="1492"/>
        <v>0.61793765293570635</v>
      </c>
      <c r="AN131" s="358">
        <f t="shared" si="1492"/>
        <v>0.4860483030956651</v>
      </c>
      <c r="AO131" s="358">
        <f t="shared" si="1492"/>
        <v>0.43268031185959865</v>
      </c>
      <c r="AP131" s="358">
        <f t="shared" si="1492"/>
        <v>0.56251343901098905</v>
      </c>
      <c r="AQ131" s="358">
        <f t="shared" si="1492"/>
        <v>0.62452339238233157</v>
      </c>
      <c r="AR131" s="358">
        <f t="shared" si="1492"/>
        <v>0.60929764017875976</v>
      </c>
      <c r="AS131" s="358">
        <f t="shared" si="1492"/>
        <v>0.61183294274417044</v>
      </c>
      <c r="AT131" s="358">
        <f t="shared" si="1492"/>
        <v>0.68507580412348834</v>
      </c>
      <c r="AU131" s="358">
        <f t="shared" si="1492"/>
        <v>0.59522274815989695</v>
      </c>
      <c r="AV131" s="358">
        <f t="shared" si="1492"/>
        <v>0.46933107605935198</v>
      </c>
      <c r="AW131" s="358">
        <f t="shared" si="1492"/>
        <v>0.50795191575181731</v>
      </c>
      <c r="AX131" s="358">
        <f t="shared" si="1492"/>
        <v>0.50433787903948246</v>
      </c>
      <c r="AY131" s="440">
        <f t="shared" si="1492"/>
        <v>0.53145755007096773</v>
      </c>
      <c r="AZ131" s="346">
        <f t="shared" ref="AZ131:BE131" si="1493">AY131</f>
        <v>0.53145755007096773</v>
      </c>
      <c r="BA131" s="346">
        <f t="shared" si="1493"/>
        <v>0.53145755007096773</v>
      </c>
      <c r="BB131" s="346">
        <f t="shared" si="1493"/>
        <v>0.53145755007096773</v>
      </c>
      <c r="BC131" s="346">
        <f t="shared" si="1493"/>
        <v>0.53145755007096773</v>
      </c>
      <c r="BD131" s="346">
        <f t="shared" si="1493"/>
        <v>0.53145755007096773</v>
      </c>
      <c r="BE131" s="346">
        <f t="shared" si="1493"/>
        <v>0.53145755007096773</v>
      </c>
      <c r="BF131" s="346">
        <f t="shared" ref="BF131:BK131" si="1494">BE131</f>
        <v>0.53145755007096773</v>
      </c>
      <c r="BG131" s="346">
        <f t="shared" si="1494"/>
        <v>0.53145755007096773</v>
      </c>
      <c r="BH131" s="346">
        <f t="shared" si="1494"/>
        <v>0.53145755007096773</v>
      </c>
      <c r="BI131" s="346">
        <f t="shared" si="1494"/>
        <v>0.53145755007096773</v>
      </c>
      <c r="BJ131" s="346">
        <f t="shared" si="1494"/>
        <v>0.53145755007096773</v>
      </c>
      <c r="BK131" s="346">
        <f t="shared" si="1494"/>
        <v>0.53145755007096773</v>
      </c>
      <c r="BL131" s="346">
        <f t="shared" ref="BL131" si="1495">BK131</f>
        <v>0.53145755007096773</v>
      </c>
      <c r="BM131" s="346">
        <f t="shared" ref="BM131" si="1496">BL131</f>
        <v>0.53145755007096773</v>
      </c>
      <c r="BN131" s="346">
        <f t="shared" ref="BN131" si="1497">BM131</f>
        <v>0.53145755007096773</v>
      </c>
      <c r="BO131" s="346">
        <f t="shared" ref="BO131" si="1498">BN131</f>
        <v>0.53145755007096773</v>
      </c>
      <c r="BP131" s="346">
        <f t="shared" ref="BP131" si="1499">BO131</f>
        <v>0.53145755007096773</v>
      </c>
      <c r="BQ131" s="346">
        <f t="shared" ref="BQ131" si="1500">BP131</f>
        <v>0.53145755007096773</v>
      </c>
      <c r="BR131" s="30"/>
      <c r="BS131" s="358">
        <f t="shared" ref="BS131:CB131" si="1501">(BR137-BS137+(BS543*BS135)*BS128/(1-BS128))/(SUM(BS509)-SUM(BS498)-SUM(BS499))</f>
        <v>0.24959917824497946</v>
      </c>
      <c r="BT131" s="358">
        <f t="shared" si="1501"/>
        <v>-0.34846699368424278</v>
      </c>
      <c r="BU131" s="358">
        <f t="shared" si="1501"/>
        <v>-0.50459103200902466</v>
      </c>
      <c r="BV131" s="358">
        <f t="shared" si="1501"/>
        <v>-0.55557821803156537</v>
      </c>
      <c r="BW131" s="358">
        <f t="shared" si="1501"/>
        <v>-0.714554309116192</v>
      </c>
      <c r="BX131" s="358">
        <f t="shared" si="1501"/>
        <v>-0.9069470736371833</v>
      </c>
      <c r="BY131" s="358">
        <f t="shared" si="1501"/>
        <v>-0.79583767252705961</v>
      </c>
      <c r="BZ131" s="358">
        <f t="shared" si="1501"/>
        <v>-0.7127072831856619</v>
      </c>
      <c r="CA131" s="358">
        <f t="shared" si="1501"/>
        <v>-0.55477617313432837</v>
      </c>
      <c r="CB131" s="358">
        <f t="shared" si="1501"/>
        <v>-0.67820132916666664</v>
      </c>
      <c r="CC131" s="50">
        <f>(CB137-CC137+SUM(D553:E553)*CC128/(1-CC128))/(SUM(CC509)-SUM(CC498)-SUM(CC499))</f>
        <v>0</v>
      </c>
      <c r="CD131" s="50">
        <f>(CC137-CD137+SUM(F553:G553)*CD128/(1-CD128))/(SUM(CD509)-SUM(CD498)-SUM(CD499))</f>
        <v>0.76369005721059968</v>
      </c>
      <c r="CE131" s="50">
        <f>(CD137-CE137+SUM(H553:I553)*CE128/(1-CE128))/(SUM(CE509)-SUM(CE498)-SUM(CE499))</f>
        <v>0.85463451301765236</v>
      </c>
      <c r="CF131" s="50">
        <f>(CE137-CF137+SUM(J553:K553)*CF128/(1-CF128))/(SUM(CF509)-SUM(CF498)-SUM(CF499))</f>
        <v>0.70158091990708604</v>
      </c>
      <c r="CG131" s="50">
        <f>(CF137-CG137+SUM(L553:M553)*CG128/(1-CG128))/(SUM(CG509)-SUM(CG498)-SUM(CG499))</f>
        <v>0.84711820380610192</v>
      </c>
      <c r="CH131" s="50">
        <f>(CG137-CH137+SUM(N553:O553)*CH128/(1-CH128))/(SUM(CH509)-SUM(CH498)-SUM(CH499))</f>
        <v>0.82202033184804357</v>
      </c>
      <c r="CI131" s="50">
        <f>(CH137-CI137+SUM(P553:Q553)*CI128/(1-CI128))/(SUM(CI509)-SUM(CI498)-SUM(CI499))</f>
        <v>0.55773332190330727</v>
      </c>
      <c r="CJ131" s="50">
        <f>(CI137-CJ137+SUM(R553:S553)*CJ128/(1-CJ128))/(SUM(CJ509)-SUM(CJ498)-SUM(CJ499))</f>
        <v>0.76458841196267102</v>
      </c>
      <c r="CK131" s="50">
        <f>(CJ137-CK137+SUM(T553:U553)*CK128/(1-CK128))/(SUM(CK509)-SUM(CK498)-SUM(CK499))</f>
        <v>0.82813250120019199</v>
      </c>
      <c r="CL131" s="50">
        <f>(CK137-CL137+SUM(V553:W553)*CL128/(1-CL128))/(SUM(CL509)-SUM(CL498)-SUM(CL499))</f>
        <v>0.66826295167609928</v>
      </c>
      <c r="CM131" s="50">
        <f>(CL137-CM137+SUM(X553:Y553)*CM128/(1-CM128))/(SUM(CM509)-SUM(CM498)-SUM(CM499))</f>
        <v>0.7349494201825808</v>
      </c>
      <c r="CN131" s="43">
        <f>(CM137-CN137+SUM(-Z543*Z135,-AA543*AA135)*CN128/(1-CN128))/(SUM(CN509)-SUM(CN498)-SUM(CN499))</f>
        <v>0.6615772850868018</v>
      </c>
      <c r="CO131" s="50">
        <f>(CN137-CO137+SUM(-AB543*AB135,-AC543*AC135)*CO128/(1-CO128))/(SUM(CO509)-SUM(CO498)-SUM(CO499))</f>
        <v>0.60730227606113663</v>
      </c>
      <c r="CP131" s="50">
        <f>(CO137-CP137+SUM(-AE543*AE135,-AD543*AD135)*CP128/(1-CP128))/(SUM(CP509)-SUM(CP498)-SUM(CP499))</f>
        <v>0.7276965761511216</v>
      </c>
      <c r="CQ131" s="50">
        <f>(CP137-CQ137+SUM(-AF543*AF135,-AG543*AG135)*CQ128/(1-CQ128))/(SUM(CQ509)-SUM(CQ498)-SUM(CQ499))</f>
        <v>0.81531093804486809</v>
      </c>
      <c r="CR131" s="50">
        <f>(CQ137-CR137+SUM(-AI543*AI135,-AH543*AH135)*CR128/(1-CR128))/(SUM(CR509)-SUM(CR498)-SUM(CR499))</f>
        <v>0.62812073818732739</v>
      </c>
      <c r="CS131" s="50">
        <f>(CR137-CS137+SUM(-AJ543*AJ135,-AK543*AK135)*CS128/(1-CS128))/(SUM(CS509)-SUM(CS498)-SUM(CS499))</f>
        <v>0.65620050352406212</v>
      </c>
      <c r="CT131" s="50">
        <f>(CS137-CT137+SUM(-AM543*AM135,-AL543*AL135)*CT128/(1-CT128))/(SUM(CT509)-SUM(CT498)-SUM(CT499))</f>
        <v>0.72698547404200742</v>
      </c>
      <c r="CU131" s="50">
        <f>(CT137-CU137+SUM(-AN543*AN135,-AO543*AO135)*CU128/(1-CU128))/(SUM(CU509)-SUM(CU498)-SUM(CU499))</f>
        <v>0.43268031185959865</v>
      </c>
      <c r="CV131" s="50">
        <f>(CU137-CV137+SUM(-AQ543*AQ135,-AP543*AP135)*CV128/(1-CV128))/(SUM(CV509)-SUM(CV498)-SUM(CV499))</f>
        <v>0.62452339238233157</v>
      </c>
      <c r="CW131" s="50">
        <f>(CV137-CW137+SUM(-AR543*AR135,-AS543*AS135)*CW128/(1-CW128))/(SUM(CW509)-SUM(CW498)-SUM(CW499))</f>
        <v>0.61183294274417044</v>
      </c>
      <c r="CX131" s="50">
        <f>(CW137-CX137+SUM(-AU543*AU135,-AT543*AT135)*CX128/(1-CX128))/(SUM(CX509)-SUM(CX498)-SUM(CX499))</f>
        <v>0.76305405151081229</v>
      </c>
      <c r="CY131" s="50">
        <f>(CX137-CY137+SUM(-AW543*AW135,-AV543*AV135)*CY128/(1-CY128))/(SUM(CY509)-SUM(CY498)-SUM(CY499))</f>
        <v>0.75252135666935893</v>
      </c>
      <c r="CZ131" s="405">
        <f>(CY137-CZ137+SUM(-AY543*AY135,-AX543*AX135)*CZ128/(1-CZ128))/(SUM(CZ509)-SUM(CZ498)-SUM(CZ499))</f>
        <v>0.75922507152995389</v>
      </c>
      <c r="DA131" s="50">
        <f>(CZ137-DA137+SUM(-BC543*BA135,-BB543*AZ135)*DA128/(1-DA128))/(SUM(DA509)-SUM(DA498)-SUM(DA499))</f>
        <v>0.74170183615399066</v>
      </c>
      <c r="DB131" s="50">
        <f>(DA137-DB137+SUM(-BC543*BC135,-BB543*BB135)*DB128/(1-DB128))/(SUM(DB509)-SUM(DB498)-SUM(DB499))</f>
        <v>0.75127772545805038</v>
      </c>
      <c r="DC131" s="50">
        <f>(DB137-DC137+SUM(-BE543*BE135,-BD543*BD135)*DC128/(1-DC128))/(SUM(DC509)-SUM(DC498)-SUM(DC499))</f>
        <v>0.74934136194610124</v>
      </c>
      <c r="DD131" s="50">
        <f>(DC137-DD137+SUM(-BG543*BG135,-BF543*BF135)*DD128/(1-DD128))/(SUM(DD509)-SUM(DD498)-SUM(DD499))</f>
        <v>0.74694229443779436</v>
      </c>
      <c r="DE131" s="50">
        <f>(DD137-DE137+SUM(-BH543*BH135,-BG543*BG135)*DE128/(1-DE128))/(SUM(DE509)-SUM(DE498)-SUM(DE499))</f>
        <v>0.73618299289143097</v>
      </c>
      <c r="DF131" s="50">
        <f>(DE137-DF137+SUM(-BI543*BI135,-BH543*BH135)*DF128/(1-DF128))/(SUM(DF509)-SUM(DF498)-SUM(DF499))</f>
        <v>0.71982734311668939</v>
      </c>
      <c r="DG131" s="50">
        <f>(DF137-DG137+SUM(-BJ543*BJ135,-BI543*BI135)*DG128/(1-DG128))/(SUM(DG509)-SUM(DG498)-SUM(DG499))</f>
        <v>0.71111994135602818</v>
      </c>
      <c r="DH131" s="50">
        <f>(DJ137-DH137+SUM(-BL543*BL135,-BK543*BK135)*DH128/(1-DH128))/(SUM(DH509)-SUM(DH498)-SUM(DH499))</f>
        <v>0.87987904339406942</v>
      </c>
      <c r="DI131" s="50">
        <f>(DL137-DI137+SUM(-BN543*BN135,-BM543*BM135)*DI128/(1-DI128))/(SUM(DI509)-SUM(DI498)-SUM(DI499))</f>
        <v>0.88664540020553761</v>
      </c>
    </row>
    <row r="132" spans="1:113" ht="12" outlineLevel="1">
      <c r="A132" s="1" t="s">
        <v>768</v>
      </c>
      <c r="B132" s="15" t="s">
        <v>622</v>
      </c>
      <c r="C132" s="346">
        <v>0.7</v>
      </c>
      <c r="D132" s="346">
        <v>0.7</v>
      </c>
      <c r="E132" s="346">
        <v>0.7</v>
      </c>
      <c r="F132" s="346">
        <v>0.7</v>
      </c>
      <c r="G132" s="346">
        <v>0.7</v>
      </c>
      <c r="H132" s="346">
        <v>0.7</v>
      </c>
      <c r="I132" s="346">
        <v>0.7</v>
      </c>
      <c r="J132" s="346">
        <v>0.7</v>
      </c>
      <c r="K132" s="346">
        <v>0.7</v>
      </c>
      <c r="L132" s="346">
        <v>0.7</v>
      </c>
      <c r="M132" s="366">
        <f>VLOOKUP($A132,[1]Sheet1!$2:$65479,MATCH(M$3,[1]Sheet1!$2:$2,0),FALSE)</f>
        <v>0.6</v>
      </c>
      <c r="N132" s="366">
        <f>VLOOKUP($A132,[1]Sheet1!$2:$65479,MATCH(N$3,[1]Sheet1!$2:$2,0),FALSE)</f>
        <v>0.6</v>
      </c>
      <c r="O132" s="366">
        <f>VLOOKUP($A132,[1]Sheet1!$2:$65479,MATCH(O$3,[1]Sheet1!$2:$2,0),FALSE)</f>
        <v>0.6</v>
      </c>
      <c r="P132" s="366">
        <f>VLOOKUP($A132,[1]Sheet1!$2:$65479,MATCH(P$3,[1]Sheet1!$2:$2,0),FALSE)</f>
        <v>0.6</v>
      </c>
      <c r="Q132" s="366">
        <f>VLOOKUP($A132,[1]Sheet1!$2:$65479,MATCH(Q$3,[1]Sheet1!$2:$2,0),FALSE)</f>
        <v>0.6</v>
      </c>
      <c r="R132" s="366">
        <f>VLOOKUP($A132,[1]Sheet1!$2:$65479,MATCH(R$3,[1]Sheet1!$2:$2,0),FALSE)</f>
        <v>0.6</v>
      </c>
      <c r="S132" s="366">
        <f>VLOOKUP($A132,[1]Sheet1!$2:$65479,MATCH(S$3,[1]Sheet1!$2:$2,0),FALSE)</f>
        <v>0.6</v>
      </c>
      <c r="T132" s="366">
        <f>VLOOKUP($A132,[1]Sheet1!$2:$65479,MATCH(T$3,[1]Sheet1!$2:$2,0),FALSE)</f>
        <v>0.6</v>
      </c>
      <c r="U132" s="366">
        <f>VLOOKUP($A132,[1]Sheet1!$2:$65479,MATCH(U$3,[1]Sheet1!$2:$2,0),FALSE)</f>
        <v>0.6</v>
      </c>
      <c r="V132" s="366">
        <f>VLOOKUP($A132,[1]Sheet1!$2:$65479,MATCH(V$3,[1]Sheet1!$2:$2,0),FALSE)</f>
        <v>0.6</v>
      </c>
      <c r="W132" s="366">
        <f>VLOOKUP($A132,[1]Sheet1!$2:$65479,MATCH(W$3,[1]Sheet1!$2:$2,0),FALSE)</f>
        <v>0.6</v>
      </c>
      <c r="X132" s="366">
        <f>VLOOKUP($A132,[1]Sheet1!$2:$65479,MATCH(X$3,[1]Sheet1!$2:$2,0),FALSE)</f>
        <v>0.6</v>
      </c>
      <c r="Y132" s="366">
        <f>VLOOKUP($A132,[1]Sheet1!$2:$65479,MATCH(Y$3,[1]Sheet1!$2:$2,0),FALSE)</f>
        <v>0.6</v>
      </c>
      <c r="Z132" s="366">
        <f>VLOOKUP($A132,[1]Sheet1!$2:$65479,MATCH(Z$3,[1]Sheet1!$2:$2,0),FALSE)</f>
        <v>0.6</v>
      </c>
      <c r="AA132" s="366">
        <f>VLOOKUP($A132,[1]Sheet1!$2:$65479,MATCH(AA$3,[1]Sheet1!$2:$2,0),FALSE)</f>
        <v>0.6</v>
      </c>
      <c r="AB132" s="366">
        <f>VLOOKUP($A132,[1]Sheet1!$2:$65479,MATCH(AB$3,[1]Sheet1!$2:$2,0),FALSE)</f>
        <v>0.6</v>
      </c>
      <c r="AC132" s="366">
        <f>VLOOKUP($A132,[1]Sheet1!$2:$65479,MATCH(AC$3,[1]Sheet1!$2:$2,0),FALSE)</f>
        <v>0.6</v>
      </c>
      <c r="AD132" s="366">
        <f>VLOOKUP($A132,[1]Sheet1!$2:$65479,MATCH(AD$3,[1]Sheet1!$2:$2,0),FALSE)</f>
        <v>0.6</v>
      </c>
      <c r="AE132" s="366">
        <f>VLOOKUP($A132,[1]Sheet1!$2:$65479,MATCH(AE$3,[1]Sheet1!$2:$2,0),FALSE)</f>
        <v>0.6</v>
      </c>
      <c r="AF132" s="366">
        <f>VLOOKUP($A132,[1]Sheet1!$2:$65479,MATCH(AF$3,[1]Sheet1!$2:$2,0),FALSE)</f>
        <v>0.6</v>
      </c>
      <c r="AG132" s="366">
        <f>VLOOKUP($A132,[1]Sheet1!$2:$65479,MATCH(AG$3,[1]Sheet1!$2:$2,0),FALSE)</f>
        <v>0.6</v>
      </c>
      <c r="AH132" s="366">
        <f>VLOOKUP($A132,[1]Sheet1!$2:$65479,MATCH(AH$3,[1]Sheet1!$2:$2,0),FALSE)</f>
        <v>0.6</v>
      </c>
      <c r="AI132" s="366">
        <f>VLOOKUP($A132,[1]Sheet1!$2:$65479,MATCH(AI$3,[1]Sheet1!$2:$2,0),FALSE)</f>
        <v>0.6</v>
      </c>
      <c r="AJ132" s="366">
        <f>VLOOKUP($A132,[1]Sheet1!$2:$65479,MATCH(AJ$3,[1]Sheet1!$2:$2,0),FALSE)</f>
        <v>0.6</v>
      </c>
      <c r="AK132" s="366">
        <f>VLOOKUP($A132,[1]Sheet1!$2:$65479,MATCH(AK$3,[1]Sheet1!$2:$2,0),FALSE)</f>
        <v>0.6</v>
      </c>
      <c r="AL132" s="366">
        <f>VLOOKUP($A132,[1]Sheet1!$2:$65479,MATCH(AL$3,[1]Sheet1!$2:$2,0),FALSE)</f>
        <v>0.6</v>
      </c>
      <c r="AM132" s="366">
        <f>VLOOKUP($A132,[1]Sheet1!$2:$65479,MATCH(AM$3,[1]Sheet1!$2:$2,0),FALSE)</f>
        <v>0.6</v>
      </c>
      <c r="AN132" s="366">
        <f>VLOOKUP($A132,[1]Sheet1!$2:$65479,MATCH(AN$3,[1]Sheet1!$2:$2,0),FALSE)</f>
        <v>0.6</v>
      </c>
      <c r="AO132" s="366">
        <f>VLOOKUP($A132,[1]Sheet1!$2:$65479,MATCH(AO$3,[1]Sheet1!$2:$2,0),FALSE)</f>
        <v>0.6</v>
      </c>
      <c r="AP132" s="366">
        <f>VLOOKUP($A132,[1]Sheet1!$2:$65479,MATCH(AP$3,[1]Sheet1!$2:$2,0),FALSE)</f>
        <v>0.6</v>
      </c>
      <c r="AQ132" s="366">
        <f>VLOOKUP($A132,[1]Sheet1!$2:$65479,MATCH(AQ$3,[1]Sheet1!$2:$2,0),FALSE)</f>
        <v>0.6</v>
      </c>
      <c r="AR132" s="366">
        <f>VLOOKUP($A132,[1]Sheet1!$2:$65479,MATCH(AR$3,[1]Sheet1!$2:$2,0),FALSE)</f>
        <v>0.6</v>
      </c>
      <c r="AS132" s="366">
        <f>VLOOKUP($A132,[1]Sheet1!$2:$65479,MATCH(AS$3,[1]Sheet1!$2:$2,0),FALSE)</f>
        <v>0.6</v>
      </c>
      <c r="AT132" s="366">
        <f>VLOOKUP($A132,[1]Sheet1!$2:$65479,MATCH(AT$3,[1]Sheet1!$2:$2,0),FALSE)</f>
        <v>0.6</v>
      </c>
      <c r="AU132" s="366">
        <f>VLOOKUP($A132,[1]Sheet1!$2:$65479,MATCH(AU$3,[1]Sheet1!$2:$2,0),FALSE)</f>
        <v>0.6</v>
      </c>
      <c r="AV132" s="366">
        <f>VLOOKUP($A132,[1]Sheet1!$2:$65479,MATCH(AV$3,[1]Sheet1!$2:$2,0),FALSE)</f>
        <v>0.6</v>
      </c>
      <c r="AW132" s="366">
        <f>VLOOKUP($A132,[1]Sheet1!$2:$65479,MATCH(AW$3,[1]Sheet1!$2:$2,0),FALSE)</f>
        <v>0.6</v>
      </c>
      <c r="AX132" s="366">
        <f>VLOOKUP($A132,[1]Sheet1!$2:$65479,MATCH(AX$3,[1]Sheet1!$2:$2,0),FALSE)</f>
        <v>0.6</v>
      </c>
      <c r="AY132" s="367">
        <f>VLOOKUP($A132,[1]Sheet1!$2:$65479,MATCH(AY$3,[1]Sheet1!$2:$2,0),FALSE)</f>
        <v>0.6</v>
      </c>
      <c r="AZ132" s="366">
        <f>VLOOKUP($A132,[1]Sheet1!$2:$65479,MATCH(AZ$3,[1]Sheet1!$2:$2,0),FALSE)</f>
        <v>0.6</v>
      </c>
      <c r="BA132" s="366">
        <f>VLOOKUP($A132,[1]Sheet1!$2:$65479,MATCH(BA$3,[1]Sheet1!$2:$2,0),FALSE)</f>
        <v>0.6</v>
      </c>
      <c r="BB132" s="366">
        <f>VLOOKUP($A132,[1]Sheet1!$2:$65479,MATCH(BB$3,[1]Sheet1!$2:$2,0),FALSE)</f>
        <v>0.6</v>
      </c>
      <c r="BC132" s="366">
        <f>VLOOKUP($A132,[1]Sheet1!$2:$65479,MATCH(BC$3,[1]Sheet1!$2:$2,0),FALSE)</f>
        <v>0.6</v>
      </c>
      <c r="BD132" s="366">
        <f>VLOOKUP($A132,[1]Sheet1!$2:$65479,MATCH(BD$3,[1]Sheet1!$2:$2,0),FALSE)</f>
        <v>0.6</v>
      </c>
      <c r="BE132" s="366">
        <f>VLOOKUP($A132,[1]Sheet1!$2:$65479,MATCH(BE$3,[1]Sheet1!$2:$2,0),FALSE)</f>
        <v>0.6</v>
      </c>
      <c r="BF132" s="366">
        <f>VLOOKUP($A132,[1]Sheet1!$2:$65479,MATCH(BF$3,[1]Sheet1!$2:$2,0),FALSE)</f>
        <v>0.6</v>
      </c>
      <c r="BG132" s="366">
        <f>VLOOKUP($A132,[1]Sheet1!$2:$65479,MATCH(BG$3,[1]Sheet1!$2:$2,0),FALSE)</f>
        <v>0.6</v>
      </c>
      <c r="BH132" s="366">
        <f>VLOOKUP($A132,[1]Sheet1!$2:$65479,MATCH(BH$3,[1]Sheet1!$2:$2,0),FALSE)</f>
        <v>0.6</v>
      </c>
      <c r="BI132" s="366">
        <f>VLOOKUP($A132,[1]Sheet1!$2:$65479,MATCH(BI$3,[1]Sheet1!$2:$2,0),FALSE)</f>
        <v>0.6</v>
      </c>
      <c r="BJ132" s="366">
        <f>VLOOKUP($A132,[1]Sheet1!$2:$65479,MATCH(BJ$3,[1]Sheet1!$2:$2,0),FALSE)</f>
        <v>0.6</v>
      </c>
      <c r="BK132" s="366">
        <f>VLOOKUP($A132,[1]Sheet1!$2:$65479,MATCH(BK$3,[1]Sheet1!$2:$2,0),FALSE)</f>
        <v>0.6</v>
      </c>
      <c r="BL132" s="366">
        <f>VLOOKUP($A132,[1]Sheet1!$2:$65479,MATCH(BL$3,[1]Sheet1!$2:$2,0),FALSE)</f>
        <v>0.6</v>
      </c>
      <c r="BM132" s="366">
        <f>VLOOKUP($A132,[1]Sheet1!$2:$65479,MATCH(BM$3,[1]Sheet1!$2:$2,0),FALSE)</f>
        <v>0.6</v>
      </c>
      <c r="BN132" s="366">
        <f>VLOOKUP($A132,[1]Sheet1!$2:$65479,MATCH(BN$3,[1]Sheet1!$2:$2,0),FALSE)</f>
        <v>0.6</v>
      </c>
      <c r="BO132" s="366">
        <f>VLOOKUP($A132,[1]Sheet1!$2:$65479,MATCH(BO$3,[1]Sheet1!$2:$2,0),FALSE)</f>
        <v>0.6</v>
      </c>
      <c r="BP132" s="366">
        <f>VLOOKUP($A132,[1]Sheet1!$2:$65479,MATCH(BP$3,[1]Sheet1!$2:$2,0),FALSE)</f>
        <v>0.6</v>
      </c>
      <c r="BQ132" s="366">
        <f>VLOOKUP($A132,[1]Sheet1!$2:$65479,MATCH(BQ$3,[1]Sheet1!$2:$2,0),FALSE)</f>
        <v>0.6</v>
      </c>
      <c r="BR132" s="42"/>
      <c r="BS132" s="346">
        <v>0.7</v>
      </c>
      <c r="BT132" s="346">
        <v>0.7</v>
      </c>
      <c r="BU132" s="346">
        <v>0.7</v>
      </c>
      <c r="BV132" s="346">
        <v>0.7</v>
      </c>
      <c r="BW132" s="346">
        <v>0.7</v>
      </c>
      <c r="BX132" s="346">
        <v>0.7</v>
      </c>
      <c r="BY132" s="346">
        <v>0.7</v>
      </c>
      <c r="BZ132" s="346">
        <v>0.7</v>
      </c>
      <c r="CA132" s="346">
        <v>0.7</v>
      </c>
      <c r="CB132" s="346">
        <v>0.7</v>
      </c>
      <c r="CC132" s="42">
        <f>SUMPRODUCT(D132:E132,D$5:E$5)/SUM(D$5:E$5)</f>
        <v>0.7</v>
      </c>
      <c r="CD132" s="42">
        <f>SUMPRODUCT(F132:G132,F$5:G$5)/SUM(F$5:G$5)</f>
        <v>0.7</v>
      </c>
      <c r="CE132" s="42">
        <f>SUMPRODUCT(H132:I132,H$5:I$5)/SUM(H$5:I$5)</f>
        <v>0.7</v>
      </c>
      <c r="CF132" s="42">
        <f>SUMPRODUCT(J132:K132,J$5:K$5)/SUM(J$5:K$5)</f>
        <v>0.7</v>
      </c>
      <c r="CG132" s="42">
        <f>SUMPRODUCT(L132:M132,L$5:M$5)/SUM(L$5:M$5)</f>
        <v>0.65013698630136985</v>
      </c>
      <c r="CH132" s="42">
        <f>SUMPRODUCT(N132:O132,N$5:O$5)/SUM(N$5:O$5)</f>
        <v>0.6</v>
      </c>
      <c r="CI132" s="42">
        <f>SUMPRODUCT(P132:Q132,P$5:Q$5)/SUM(P$5:Q$5)</f>
        <v>0.6</v>
      </c>
      <c r="CJ132" s="42">
        <f>SUMPRODUCT(R132:S132,R$5:S$5)/SUM(R$5:S$5)</f>
        <v>0.6</v>
      </c>
      <c r="CK132" s="42">
        <f>SUMPRODUCT(T132:U132,T$5:U$5)/SUM(T$5:U$5)</f>
        <v>0.6</v>
      </c>
      <c r="CL132" s="42">
        <f>SUMPRODUCT(V132:W132,V$5:W$5)/SUM(V$5:W$5)</f>
        <v>0.6</v>
      </c>
      <c r="CM132" s="43">
        <f>SUMPRODUCT(X132:Y132,X$5:Y$5)/SUM(X$5:Y$5)</f>
        <v>0.6</v>
      </c>
      <c r="CN132" s="43">
        <f>SUMPRODUCT(Z132:AA132,Z$5:AA$5)/SUM(Z$5:AA$5)</f>
        <v>0.6</v>
      </c>
      <c r="CO132" s="43">
        <f>SUMPRODUCT(AB132:AC132,AB$5:AC$5)/SUM(AB$5:AC$5)</f>
        <v>0.6</v>
      </c>
      <c r="CP132" s="43">
        <f>SUMPRODUCT(AD132:AE132,AD$5:AE$5)/SUM(AD$5:AE$5)</f>
        <v>0.6</v>
      </c>
      <c r="CQ132" s="43">
        <f>SUMPRODUCT(AF132:AG132,AF$5:AG$5)/SUM(AF$5:AG$5)</f>
        <v>0.6</v>
      </c>
      <c r="CR132" s="43">
        <f>SUMPRODUCT(AH132:AI132,AH$5:AI$5)/SUM(AH$5:AI$5)</f>
        <v>0.6</v>
      </c>
      <c r="CS132" s="43">
        <f>SUMPRODUCT(AJ132:AK132,AJ$5:AK$5)/SUM(AJ$5:AK$5)</f>
        <v>0.6</v>
      </c>
      <c r="CT132" s="43">
        <f>SUMPRODUCT(AL132:AM132,AL$5:AM$5)/SUM(AL$5:AM$5)</f>
        <v>0.6</v>
      </c>
      <c r="CU132" s="43">
        <f>SUMPRODUCT(AN132:AO132,AN$5:AO$5)/SUM(AN$5:AO$5)</f>
        <v>0.6</v>
      </c>
      <c r="CV132" s="43">
        <f>SUMPRODUCT(AP132:AQ132,AP$5:AQ$5)/SUM(AP$5:AQ$5)</f>
        <v>0.6</v>
      </c>
      <c r="CW132" s="43">
        <f>SUMPRODUCT(AR132:AS132,AR$5:AS$5)/SUM(AR$5:AS$5)</f>
        <v>0.6</v>
      </c>
      <c r="CX132" s="43">
        <f>SUMPRODUCT(AT132:AU132,AT$5:AU$5)/SUM(AT$5:AU$5)</f>
        <v>0.6</v>
      </c>
      <c r="CY132" s="43">
        <f>SUMPRODUCT(AV132:AW132,AV$5:AW$5)/SUM(AV$5:AW$5)</f>
        <v>0.6</v>
      </c>
      <c r="CZ132" s="44">
        <f>SUMPRODUCT(AX132:AY132,AX$5:AY$5)/SUM(AX$5:AY$5)</f>
        <v>0.6</v>
      </c>
      <c r="DA132" s="42">
        <f>SUMPRODUCT(AZ132:BA132,AZ$5:BA$5)/SUM(AZ$5:BA$5)</f>
        <v>0.6</v>
      </c>
      <c r="DB132" s="42">
        <f>SUMPRODUCT(BB132:BC132,BB$5:BC$5)/SUM(BB$5:BC$5)</f>
        <v>0.6</v>
      </c>
      <c r="DC132" s="42">
        <f>SUMPRODUCT(BD132:BE132,BD$5:BE$5)/SUM(BD$5:BE$5)</f>
        <v>0.6</v>
      </c>
      <c r="DD132" s="42">
        <f>SUMPRODUCT(BF132:BG132,BF$5:BG$5)/SUM(BF$5:BG$5)</f>
        <v>0.6</v>
      </c>
      <c r="DE132" s="42">
        <f>SUMPRODUCT(BH132:BI132,BH$5:BI$5)/SUM(BH$5:BI$5)</f>
        <v>0.6</v>
      </c>
      <c r="DF132" s="42">
        <f>SUMPRODUCT(BJ132:BK132,BJ$5:BK$5)/SUM(BJ$5:BK$5)</f>
        <v>0.6</v>
      </c>
      <c r="DG132" s="42">
        <f>SUMPRODUCT(BL132:BM132,BL$5:BM$5)/SUM(BL$5:BM$5)</f>
        <v>0.6</v>
      </c>
      <c r="DH132" s="42">
        <f>SUMPRODUCT(BN132:BO132,BN$5:BO$5)/SUM(BN$5:BO$5)</f>
        <v>0.6</v>
      </c>
      <c r="DI132" s="42">
        <f>SUMPRODUCT(BP132:BQ132,BP$5:BQ$5)/SUM(BP$5:BQ$5)</f>
        <v>0.6</v>
      </c>
    </row>
    <row r="133" spans="1:113" ht="12" outlineLevel="1">
      <c r="C133" s="28"/>
      <c r="D133" s="28"/>
      <c r="E133" s="28"/>
      <c r="F133" s="28"/>
      <c r="X133" s="42"/>
      <c r="Y133" s="41"/>
      <c r="AD133" s="361"/>
      <c r="AJ133" s="41"/>
      <c r="AL133" s="41"/>
      <c r="AM133" s="41"/>
      <c r="AN133" s="41"/>
      <c r="AO133" s="41"/>
      <c r="AP133" s="41"/>
      <c r="AQ133" s="41"/>
      <c r="AR133" s="41"/>
      <c r="AS133" s="41"/>
      <c r="AT133" s="41"/>
      <c r="AU133" s="41"/>
      <c r="AV133" s="41"/>
      <c r="AW133" s="41"/>
      <c r="AX133" s="41"/>
      <c r="AY133" s="211"/>
      <c r="AZ133" s="42"/>
      <c r="BA133" s="42"/>
      <c r="BB133" s="42"/>
      <c r="BC133" s="42"/>
      <c r="BD133" s="42"/>
      <c r="BE133" s="42"/>
      <c r="BF133" s="42"/>
      <c r="BG133" s="42"/>
      <c r="BH133" s="42"/>
      <c r="BI133" s="42"/>
      <c r="BJ133" s="42"/>
      <c r="BK133" s="42"/>
      <c r="BL133" s="42"/>
      <c r="BM133" s="42"/>
      <c r="BN133" s="42"/>
      <c r="BO133" s="42"/>
      <c r="BP133" s="42"/>
      <c r="BQ133" s="42"/>
      <c r="CZ133" s="200"/>
      <c r="DB133" s="15"/>
      <c r="DC133" s="15"/>
      <c r="DD133" s="15"/>
      <c r="DE133" s="15"/>
      <c r="DF133" s="15"/>
      <c r="DG133" s="15"/>
      <c r="DH133" s="15"/>
      <c r="DI133" s="15"/>
    </row>
    <row r="134" spans="1:113" ht="12" outlineLevel="1">
      <c r="B134" s="17" t="s">
        <v>623</v>
      </c>
      <c r="V134" s="42"/>
      <c r="W134" s="42"/>
      <c r="X134" s="41"/>
      <c r="Y134" s="41"/>
      <c r="Z134" s="43"/>
      <c r="AA134" s="43"/>
      <c r="AB134" s="43"/>
      <c r="AC134" s="32"/>
      <c r="AD134" s="32"/>
      <c r="AE134" s="32"/>
      <c r="AF134" s="32"/>
      <c r="AG134" s="32"/>
      <c r="AH134" s="32"/>
      <c r="AI134" s="32"/>
      <c r="AJ134" s="41"/>
      <c r="AK134" s="32"/>
      <c r="AL134" s="41"/>
      <c r="AM134" s="17"/>
      <c r="AN134" s="17"/>
      <c r="AO134" s="17"/>
      <c r="AP134" s="17"/>
      <c r="AQ134" s="17"/>
      <c r="AR134" s="17"/>
      <c r="AS134" s="543"/>
      <c r="AT134" s="543"/>
      <c r="AU134" s="543"/>
      <c r="AV134" s="543"/>
      <c r="AW134" s="543"/>
      <c r="AX134" s="543"/>
      <c r="AY134" s="531"/>
      <c r="AZ134" s="84"/>
      <c r="BA134" s="84"/>
      <c r="BB134" s="84"/>
      <c r="BC134" s="84"/>
      <c r="BD134" s="84"/>
      <c r="BE134" s="84"/>
      <c r="BF134" s="84"/>
      <c r="BG134" s="84"/>
      <c r="BH134" s="84"/>
      <c r="BI134" s="84"/>
      <c r="BJ134" s="84"/>
      <c r="BK134" s="84"/>
      <c r="BL134" s="84"/>
      <c r="BM134" s="84"/>
      <c r="BN134" s="84"/>
      <c r="BO134" s="84"/>
      <c r="BP134" s="84"/>
      <c r="BQ134" s="84"/>
      <c r="BR134" s="84"/>
      <c r="CN134" s="32"/>
      <c r="CO134" s="32"/>
      <c r="CP134" s="32"/>
      <c r="CQ134" s="32"/>
      <c r="CR134" s="32"/>
      <c r="CS134" s="32"/>
      <c r="CT134" s="32"/>
      <c r="CU134" s="32"/>
      <c r="CV134" s="32"/>
      <c r="CW134" s="32"/>
      <c r="CX134" s="32"/>
      <c r="CY134" s="32"/>
      <c r="CZ134" s="363"/>
      <c r="DA134" s="84"/>
      <c r="DB134" s="84"/>
      <c r="DC134" s="84"/>
      <c r="DD134" s="15"/>
      <c r="DE134" s="15"/>
      <c r="DF134" s="15"/>
      <c r="DG134" s="15"/>
      <c r="DH134" s="15"/>
      <c r="DI134" s="15"/>
    </row>
    <row r="135" spans="1:113" ht="12" outlineLevel="1">
      <c r="A135" s="1" t="s">
        <v>769</v>
      </c>
      <c r="B135" s="15" t="s">
        <v>624</v>
      </c>
      <c r="C135" s="52">
        <f>C857*0.4</f>
        <v>0.39683440000000003</v>
      </c>
      <c r="D135" s="52">
        <f>D857*0.39</f>
        <v>0.38691354</v>
      </c>
      <c r="E135" s="52">
        <f>E857*0.46</f>
        <v>0.45635956000000005</v>
      </c>
      <c r="F135" s="52">
        <f>F857*0.44</f>
        <v>0.43651783999999999</v>
      </c>
      <c r="G135" s="52">
        <f>G857*0.51</f>
        <v>0.50596386000000004</v>
      </c>
      <c r="H135" s="52">
        <f>H857*0.47</f>
        <v>0.46628041999999997</v>
      </c>
      <c r="I135" s="52">
        <f>I857*0.54</f>
        <v>0.53572644000000003</v>
      </c>
      <c r="J135" s="52">
        <f>J857*0.51</f>
        <v>0.50596386000000004</v>
      </c>
      <c r="K135" s="52">
        <f>K857*0.59</f>
        <v>0.58533073999999996</v>
      </c>
      <c r="L135" s="52">
        <f>L857*0.56</f>
        <v>0.55556816000000009</v>
      </c>
      <c r="M135" s="52">
        <f>M857*0.69</f>
        <v>0.68453933999999994</v>
      </c>
      <c r="N135" s="52">
        <f>N857*0.62</f>
        <v>0.61509332000000005</v>
      </c>
      <c r="O135" s="52">
        <f>O857*0.74</f>
        <v>0.73414363999999999</v>
      </c>
      <c r="P135" s="52">
        <f>P857*0.62</f>
        <v>0.61509332000000005</v>
      </c>
      <c r="Q135" s="52">
        <f>Q857*0.74</f>
        <v>0.73414363999999999</v>
      </c>
      <c r="R135" s="52">
        <f>R857*0.46</f>
        <v>0.45635956000000005</v>
      </c>
      <c r="S135" s="52">
        <f>S857*0.56</f>
        <v>0.55556816000000009</v>
      </c>
      <c r="T135" s="52">
        <f>T857*0.52</f>
        <v>0.51588472000000007</v>
      </c>
      <c r="U135" s="52">
        <f>U857*0.74</f>
        <v>0.73414363999999999</v>
      </c>
      <c r="V135" s="52">
        <f>V857*0.64</f>
        <v>0.63493504000000001</v>
      </c>
      <c r="W135" s="52">
        <f>W857*0.76</f>
        <v>0.75398536000000005</v>
      </c>
      <c r="X135" s="52">
        <f>X857*0.66</f>
        <v>0.65477676000000007</v>
      </c>
      <c r="Y135" s="52">
        <f>Y857*0.79</f>
        <v>0.78374794000000003</v>
      </c>
      <c r="Z135" s="333">
        <f>Z857*0.73</f>
        <v>0.72422277999999995</v>
      </c>
      <c r="AA135" s="333">
        <f>AA857*0.91</f>
        <v>0.90279826000000007</v>
      </c>
      <c r="AB135" s="333">
        <f>AB857*0.83</f>
        <v>0.82343137999999994</v>
      </c>
      <c r="AC135" s="333">
        <f>AC857*0.95</f>
        <v>0.94248169999999998</v>
      </c>
      <c r="AD135" s="333">
        <f>AD857*0.86</f>
        <v>0.85319396000000003</v>
      </c>
      <c r="AE135" s="333">
        <f>AE857*0.95</f>
        <v>0.94248169999999998</v>
      </c>
      <c r="AF135" s="333">
        <f t="shared" ref="AF135:AM135" si="1502">AF857*0.8</f>
        <v>0.79366880000000006</v>
      </c>
      <c r="AG135" s="333">
        <f t="shared" si="1502"/>
        <v>0.79366880000000006</v>
      </c>
      <c r="AH135" s="333">
        <f t="shared" si="1502"/>
        <v>0.79366880000000006</v>
      </c>
      <c r="AI135" s="333">
        <f t="shared" si="1502"/>
        <v>0.79366880000000006</v>
      </c>
      <c r="AJ135" s="333">
        <f t="shared" si="1502"/>
        <v>0.79366880000000006</v>
      </c>
      <c r="AK135" s="333">
        <f t="shared" si="1502"/>
        <v>0.79366880000000006</v>
      </c>
      <c r="AL135" s="333">
        <f t="shared" si="1502"/>
        <v>0.79366880000000006</v>
      </c>
      <c r="AM135" s="333">
        <f t="shared" si="1502"/>
        <v>0.79366880000000006</v>
      </c>
      <c r="AN135" s="333">
        <f>AN857*0.25</f>
        <v>0.24802150000000001</v>
      </c>
      <c r="AO135" s="333">
        <f>AO857*0.35</f>
        <v>0.34723009999999999</v>
      </c>
      <c r="AP135" s="333">
        <f>AP857*0.7</f>
        <v>0.69446019999999997</v>
      </c>
      <c r="AQ135" s="333">
        <f>AQ857*0.72</f>
        <v>0.71430192000000003</v>
      </c>
      <c r="AR135" s="333">
        <f>AR857*0.72</f>
        <v>0.71430192000000003</v>
      </c>
      <c r="AS135" s="333">
        <v>0.74</v>
      </c>
      <c r="AT135" s="333">
        <v>0.81</v>
      </c>
      <c r="AU135" s="333">
        <f>0.81+0.13</f>
        <v>0.94000000000000006</v>
      </c>
      <c r="AV135" s="333">
        <v>0.83</v>
      </c>
      <c r="AW135" s="333">
        <v>0.83</v>
      </c>
      <c r="AX135" s="333">
        <v>0.83</v>
      </c>
      <c r="AY135" s="238">
        <v>0.83</v>
      </c>
      <c r="AZ135" s="215">
        <v>0.86</v>
      </c>
      <c r="BA135" s="215">
        <f>+AZ135+0.04</f>
        <v>0.9</v>
      </c>
      <c r="BB135" s="215">
        <f>BA135+0.01</f>
        <v>0.91</v>
      </c>
      <c r="BC135" s="215">
        <f>BB135+0.01</f>
        <v>0.92</v>
      </c>
      <c r="BD135" s="215">
        <f t="shared" ref="BD135:BE135" si="1503">BC135+0.02</f>
        <v>0.94000000000000006</v>
      </c>
      <c r="BE135" s="215">
        <f t="shared" si="1503"/>
        <v>0.96000000000000008</v>
      </c>
      <c r="BF135" s="215">
        <f>BE135+0.02</f>
        <v>0.98000000000000009</v>
      </c>
      <c r="BG135" s="215">
        <f t="shared" ref="BG135:BQ135" si="1504">BF135+0.02</f>
        <v>1</v>
      </c>
      <c r="BH135" s="215">
        <f t="shared" si="1504"/>
        <v>1.02</v>
      </c>
      <c r="BI135" s="215">
        <f t="shared" si="1504"/>
        <v>1.04</v>
      </c>
      <c r="BJ135" s="215">
        <f t="shared" si="1504"/>
        <v>1.06</v>
      </c>
      <c r="BK135" s="215">
        <f t="shared" si="1504"/>
        <v>1.08</v>
      </c>
      <c r="BL135" s="215">
        <f>BK135+0.02</f>
        <v>1.1000000000000001</v>
      </c>
      <c r="BM135" s="215">
        <f t="shared" si="1504"/>
        <v>1.1200000000000001</v>
      </c>
      <c r="BN135" s="215">
        <f t="shared" si="1504"/>
        <v>1.1400000000000001</v>
      </c>
      <c r="BO135" s="215">
        <f t="shared" si="1504"/>
        <v>1.1600000000000001</v>
      </c>
      <c r="BP135" s="215">
        <f t="shared" si="1504"/>
        <v>1.1800000000000002</v>
      </c>
      <c r="BQ135" s="215">
        <f t="shared" si="1504"/>
        <v>1.2000000000000002</v>
      </c>
      <c r="BR135" s="215"/>
      <c r="BS135" s="52">
        <f>BS857*(0.1)*0.9597</f>
        <v>9.5210493420000014E-2</v>
      </c>
      <c r="BT135" s="52">
        <f>BT857*(0.11)*0.9597</f>
        <v>0.104731542762</v>
      </c>
      <c r="BU135" s="52">
        <f>BU857*(0.14+0.11)*0.9597</f>
        <v>0.23802623354999999</v>
      </c>
      <c r="BV135" s="52">
        <f>BV857*(0.18+0.15)*0.9597</f>
        <v>0.31419462828599998</v>
      </c>
      <c r="BW135" s="52">
        <f>BW857*(0.24+0.18)*0.9597</f>
        <v>0.39988407236399998</v>
      </c>
      <c r="BX135" s="52">
        <f>BX857*(0.26+0.22)*0.9597</f>
        <v>0.45701036841600001</v>
      </c>
      <c r="BY135" s="52">
        <f>BY857*(0.28+0.24)*0.9597</f>
        <v>0.49509456578400007</v>
      </c>
      <c r="BZ135" s="52">
        <f>BZ857*(0.3+0.26)*0.9597</f>
        <v>0.53317876315200008</v>
      </c>
      <c r="CA135" s="52">
        <f>CA857*0.64*0.9597</f>
        <v>0.60934715788799998</v>
      </c>
      <c r="CB135" s="52">
        <f>CB857*0.73*0.9597</f>
        <v>0.69503660196599992</v>
      </c>
      <c r="CC135" s="53">
        <f>SUM(D135:E135)</f>
        <v>0.8432731</v>
      </c>
      <c r="CD135" s="53">
        <f>SUM(F135:G135)</f>
        <v>0.94248170000000009</v>
      </c>
      <c r="CE135" s="53">
        <f>SUM(H135:I135)</f>
        <v>1.0020068600000001</v>
      </c>
      <c r="CF135" s="53">
        <f>SUM(J135:K135)</f>
        <v>1.0912945999999999</v>
      </c>
      <c r="CG135" s="53">
        <f>SUM(L135:M135)</f>
        <v>1.2401075000000001</v>
      </c>
      <c r="CH135" s="53">
        <f>SUM(N135:O135)</f>
        <v>1.34923696</v>
      </c>
      <c r="CI135" s="53">
        <f>SUM(P135:Q135)</f>
        <v>1.34923696</v>
      </c>
      <c r="CJ135" s="53">
        <f>SUM(R135:S135)</f>
        <v>1.0119277200000001</v>
      </c>
      <c r="CK135" s="53">
        <f>SUM(T135:U135)</f>
        <v>1.2500283599999999</v>
      </c>
      <c r="CL135" s="53">
        <f>SUM(V135:W135)</f>
        <v>1.3889203999999999</v>
      </c>
      <c r="CM135" s="53">
        <f>SUM(X135:Y135)</f>
        <v>1.4385247000000001</v>
      </c>
      <c r="CN135" s="53">
        <f>SUM(Z135:AA135)</f>
        <v>1.62702104</v>
      </c>
      <c r="CO135" s="53">
        <f>SUM(AB135:AC135)</f>
        <v>1.7659130799999998</v>
      </c>
      <c r="CP135" s="53">
        <f>SUM(AD135:AE135)</f>
        <v>1.7956756600000001</v>
      </c>
      <c r="CQ135" s="53">
        <f>SUM(AF135:AG135)</f>
        <v>1.5873376000000001</v>
      </c>
      <c r="CR135" s="53">
        <f>SUM(AH135:AI135)</f>
        <v>1.5873376000000001</v>
      </c>
      <c r="CS135" s="53">
        <f>SUM(AJ135:AK135)</f>
        <v>1.5873376000000001</v>
      </c>
      <c r="CT135" s="53">
        <f>SUM(AL135:AM135)</f>
        <v>1.5873376000000001</v>
      </c>
      <c r="CU135" s="53">
        <f>SUM(AN135:AO135)</f>
        <v>0.59525159999999999</v>
      </c>
      <c r="CV135" s="53">
        <f>SUM(AP135:AQ135)</f>
        <v>1.40876212</v>
      </c>
      <c r="CW135" s="53">
        <f>SUM(AR135:AS135)</f>
        <v>1.45430192</v>
      </c>
      <c r="CX135" s="53">
        <f>SUM(AT135:AU135)</f>
        <v>1.75</v>
      </c>
      <c r="CY135" s="53">
        <f>SUM(AV135:AW135)</f>
        <v>1.66</v>
      </c>
      <c r="CZ135" s="216">
        <f>SUM(AX135:AY135)</f>
        <v>1.66</v>
      </c>
      <c r="DA135" s="53">
        <f>SUM(AZ135:BA135)</f>
        <v>1.76</v>
      </c>
      <c r="DB135" s="53">
        <f>SUM(BB135:BC135)</f>
        <v>1.83</v>
      </c>
      <c r="DC135" s="53">
        <f>SUM(BD135:BE135)</f>
        <v>1.9000000000000001</v>
      </c>
      <c r="DD135" s="53">
        <f>SUM(BF135:BG135)</f>
        <v>1.98</v>
      </c>
      <c r="DE135" s="53">
        <f>SUM(BH135:BI135)</f>
        <v>2.06</v>
      </c>
      <c r="DF135" s="53">
        <f>SUM(BJ135:BK135)</f>
        <v>2.14</v>
      </c>
      <c r="DG135" s="53">
        <f>SUM(BL135:BM135)</f>
        <v>2.2200000000000002</v>
      </c>
      <c r="DH135" s="53">
        <f>SUM(BN135:BO135)</f>
        <v>2.3000000000000003</v>
      </c>
      <c r="DI135" s="53">
        <f>SUM(BP135:BQ135)</f>
        <v>2.3800000000000003</v>
      </c>
    </row>
    <row r="136" spans="1:113" ht="12" outlineLevel="1">
      <c r="A136" s="1" t="s">
        <v>770</v>
      </c>
      <c r="B136" s="15" t="s">
        <v>764</v>
      </c>
      <c r="C136" s="207">
        <f t="shared" ref="C136:X136" si="1505">(C135*C543)/C515</f>
        <v>0.65062295081967214</v>
      </c>
      <c r="D136" s="207">
        <f t="shared" si="1505"/>
        <v>0.57984393638170972</v>
      </c>
      <c r="E136" s="207">
        <f t="shared" si="1505"/>
        <v>0.66200382775119637</v>
      </c>
      <c r="F136" s="207">
        <f t="shared" si="1505"/>
        <v>0.61259981600735969</v>
      </c>
      <c r="G136" s="207">
        <f t="shared" si="1505"/>
        <v>0.66960051768766193</v>
      </c>
      <c r="H136" s="207">
        <f t="shared" si="1505"/>
        <v>0.68097275641025645</v>
      </c>
      <c r="I136" s="207">
        <f t="shared" si="1505"/>
        <v>0.70897906137184086</v>
      </c>
      <c r="J136" s="207">
        <f t="shared" si="1505"/>
        <v>0.5951197183098591</v>
      </c>
      <c r="K136" s="207">
        <f t="shared" si="1505"/>
        <v>0.68591725015913452</v>
      </c>
      <c r="L136" s="207">
        <f t="shared" si="1505"/>
        <v>0.59573705642815611</v>
      </c>
      <c r="M136" s="30">
        <f t="shared" si="1505"/>
        <v>0.68835089625203694</v>
      </c>
      <c r="N136" s="30">
        <f t="shared" si="1505"/>
        <v>0.59599478895257973</v>
      </c>
      <c r="O136" s="30">
        <f t="shared" si="1505"/>
        <v>0.70115752032520329</v>
      </c>
      <c r="P136" s="30">
        <f t="shared" si="1505"/>
        <v>0.62731332280147434</v>
      </c>
      <c r="Q136" s="30">
        <f t="shared" si="1505"/>
        <v>1.1337222222222219</v>
      </c>
      <c r="R136" s="30">
        <f t="shared" si="1505"/>
        <v>1.067447311827957</v>
      </c>
      <c r="S136" s="30">
        <f t="shared" si="1505"/>
        <v>0.57955371900826458</v>
      </c>
      <c r="T136" s="32">
        <f t="shared" si="1505"/>
        <v>0.55587341772151899</v>
      </c>
      <c r="U136" s="30">
        <f t="shared" si="1505"/>
        <v>0.68829142441860458</v>
      </c>
      <c r="V136" s="30">
        <f t="shared" si="1505"/>
        <v>0.61159219727640779</v>
      </c>
      <c r="W136" s="30">
        <f t="shared" si="1505"/>
        <v>0.72974433893352819</v>
      </c>
      <c r="X136" s="30">
        <f t="shared" si="1505"/>
        <v>0.61213914849428874</v>
      </c>
      <c r="Y136" s="32">
        <f>(Y135*Y543)/(Y515-220)</f>
        <v>0.73267781569965873</v>
      </c>
      <c r="Z136" s="32">
        <f t="shared" ref="Z136:BK136" si="1506">(Z135*Z543)/Z515</f>
        <v>0.63063633501259431</v>
      </c>
      <c r="AA136" s="32">
        <f t="shared" si="1506"/>
        <v>0.75431027190332323</v>
      </c>
      <c r="AB136" s="32">
        <f t="shared" si="1506"/>
        <v>0.64852021640091106</v>
      </c>
      <c r="AC136" s="32">
        <f t="shared" si="1506"/>
        <v>0.72763823284245621</v>
      </c>
      <c r="AD136" s="32">
        <f t="shared" ref="AD136:AE136" si="1507">(AD135*AD543)/AD515</f>
        <v>0.64728163265306127</v>
      </c>
      <c r="AE136" s="32">
        <f t="shared" si="1507"/>
        <v>0.77897316384180781</v>
      </c>
      <c r="AF136" s="32">
        <f t="shared" si="1506"/>
        <v>0.83899352983465125</v>
      </c>
      <c r="AG136" s="32">
        <f t="shared" ref="AG136:AH136" si="1508">(AG135*AG543)/AG515</f>
        <v>0.75378178307048604</v>
      </c>
      <c r="AH136" s="32">
        <f t="shared" si="1508"/>
        <v>0.70009824357675121</v>
      </c>
      <c r="AI136" s="32">
        <f t="shared" ref="AI136:AJ136" si="1509">(AI135*AI543)/AI515</f>
        <v>0.68035097324840776</v>
      </c>
      <c r="AJ136" s="32">
        <f t="shared" si="1509"/>
        <v>0.66390128325221875</v>
      </c>
      <c r="AK136" s="32">
        <f t="shared" ref="AK136:AL136" si="1510">(AK135*AK543)/AK515</f>
        <v>0.76783383246492987</v>
      </c>
      <c r="AL136" s="32">
        <f t="shared" si="1510"/>
        <v>0.63595411425364767</v>
      </c>
      <c r="AM136" s="32">
        <f t="shared" ref="AM136:AN136" si="1511">(AM135*AM543)/AM515</f>
        <v>0.78033996503785286</v>
      </c>
      <c r="AN136" s="32">
        <f t="shared" si="1511"/>
        <v>0.50180067622080682</v>
      </c>
      <c r="AO136" s="32">
        <f t="shared" ref="AO136" si="1512">(AO135*AO543)/AO515</f>
        <v>0.4239358544776119</v>
      </c>
      <c r="AP136" s="32">
        <f t="shared" ref="AP136:AQ136" si="1513">(AP135*AP543)/AP515</f>
        <v>0.6661803545150502</v>
      </c>
      <c r="AQ136" s="32">
        <f t="shared" si="1513"/>
        <v>0.63371752788029923</v>
      </c>
      <c r="AR136" s="32">
        <f t="shared" ref="AR136:AS136" si="1514">(AR135*AR543)/AR515</f>
        <v>0.64624317548345656</v>
      </c>
      <c r="AS136" s="32">
        <f t="shared" si="1514"/>
        <v>0.65036554254556145</v>
      </c>
      <c r="AT136" s="32">
        <f t="shared" ref="AT136:AU136" si="1515">(AT135*AT543)/AT515</f>
        <v>0.63534267260903632</v>
      </c>
      <c r="AU136" s="32">
        <f t="shared" si="1515"/>
        <v>0.78821698460937495</v>
      </c>
      <c r="AV136" s="32">
        <f t="shared" ref="AV136:AW136" si="1516">(AV135*AV543)/AV515</f>
        <v>0.70276854243806308</v>
      </c>
      <c r="AW136" s="32">
        <f t="shared" si="1516"/>
        <v>0.77936195896627791</v>
      </c>
      <c r="AX136" s="32">
        <f t="shared" ref="AX136" si="1517">(AX135*AX543)/AX515</f>
        <v>0.69120893112668147</v>
      </c>
      <c r="AY136" s="31">
        <f t="shared" si="1506"/>
        <v>1.1159629334835512</v>
      </c>
      <c r="AZ136" s="30">
        <f t="shared" si="1506"/>
        <v>0.67623989344120761</v>
      </c>
      <c r="BA136" s="30">
        <f t="shared" si="1506"/>
        <v>0.71929926329966465</v>
      </c>
      <c r="BB136" s="30">
        <f t="shared" si="1506"/>
        <v>0.6953956374335114</v>
      </c>
      <c r="BC136" s="30">
        <f t="shared" si="1506"/>
        <v>0.76247508335320069</v>
      </c>
      <c r="BD136" s="30">
        <f t="shared" si="1506"/>
        <v>0.68987729255584129</v>
      </c>
      <c r="BE136" s="30">
        <f t="shared" si="1506"/>
        <v>0.75440887549891289</v>
      </c>
      <c r="BF136" s="30">
        <f t="shared" si="1506"/>
        <v>0.68809562986529049</v>
      </c>
      <c r="BG136" s="30">
        <f t="shared" si="1506"/>
        <v>0.73908429554173194</v>
      </c>
      <c r="BH136" s="30">
        <f t="shared" si="1506"/>
        <v>0.69397953706336957</v>
      </c>
      <c r="BI136" s="30">
        <f t="shared" si="1506"/>
        <v>0.75617759704655618</v>
      </c>
      <c r="BJ136" s="30">
        <f t="shared" si="1506"/>
        <v>0.69763954692523811</v>
      </c>
      <c r="BK136" s="30">
        <f t="shared" si="1506"/>
        <v>0.72583979844410773</v>
      </c>
      <c r="BL136" s="30">
        <f t="shared" ref="BL136:BQ136" si="1518">(BL135*BL543)/BL515</f>
        <v>0.70396844310994078</v>
      </c>
      <c r="BM136" s="30">
        <f t="shared" si="1518"/>
        <v>0.74616378037013764</v>
      </c>
      <c r="BN136" s="30">
        <f t="shared" si="1518"/>
        <v>0.726241909233861</v>
      </c>
      <c r="BO136" s="30">
        <f t="shared" si="1518"/>
        <v>0.76209715267814815</v>
      </c>
      <c r="BP136" s="30">
        <f t="shared" si="1518"/>
        <v>0.73938883616695161</v>
      </c>
      <c r="BQ136" s="30">
        <f t="shared" si="1518"/>
        <v>0.76821626123031483</v>
      </c>
      <c r="BR136" s="30"/>
      <c r="BS136" s="207">
        <f t="shared" ref="BS136:CB136" si="1519">(BS135*BS543)/BS515</f>
        <v>-0.15382332421340633</v>
      </c>
      <c r="BT136" s="207">
        <f t="shared" si="1519"/>
        <v>0.36333267403314912</v>
      </c>
      <c r="BU136" s="207">
        <f t="shared" si="1519"/>
        <v>0.44918097694118253</v>
      </c>
      <c r="BV136" s="207">
        <f t="shared" si="1519"/>
        <v>0.4805506911791993</v>
      </c>
      <c r="BW136" s="207">
        <f t="shared" si="1519"/>
        <v>0.53385260211149999</v>
      </c>
      <c r="BX136" s="207">
        <f t="shared" si="1519"/>
        <v>0.5934440667807207</v>
      </c>
      <c r="BY136" s="207">
        <f t="shared" si="1519"/>
        <v>0.65382862401088349</v>
      </c>
      <c r="BZ136" s="207">
        <f t="shared" si="1519"/>
        <v>0.59752226772131245</v>
      </c>
      <c r="CA136" s="207">
        <f t="shared" si="1519"/>
        <v>0.57354004314941109</v>
      </c>
      <c r="CB136" s="207">
        <f t="shared" si="1519"/>
        <v>0.58974813478506771</v>
      </c>
      <c r="CC136" s="32">
        <f>(D135*D543+E135*E543)/(D515+E515)</f>
        <v>0.62170502194051691</v>
      </c>
      <c r="CD136" s="32">
        <f>(F135*F543+G135*G543)/(F515+G515)</f>
        <v>0.6420138023152272</v>
      </c>
      <c r="CE136" s="32">
        <f>(H135*H543+I135*I543)/(H515+I515)</f>
        <v>0.69570451955943768</v>
      </c>
      <c r="CF136" s="32">
        <f>(J135*J543+K135*K543)/(J515+K515)</f>
        <v>0.64064889881902343</v>
      </c>
      <c r="CG136" s="32">
        <f>(L135*L543+M135*M543)/(L515+M515)</f>
        <v>0.64363089887640457</v>
      </c>
      <c r="CH136" s="32">
        <f>(N135*N543+O135*O543)/(N515+O515)</f>
        <v>0.6492390018008749</v>
      </c>
      <c r="CI136" s="32">
        <f>(P135*P543+Q135*Q543)/(P515+Q515)</f>
        <v>0.83608356545960993</v>
      </c>
      <c r="CJ136" s="32">
        <f>(R135*R543+S135*S543)/(R515+S515)</f>
        <v>0.71499880597014931</v>
      </c>
      <c r="CK136" s="32">
        <f>(T135*T543+U135*U543)/(T515+U515)</f>
        <v>0.62702030456852786</v>
      </c>
      <c r="CL136" s="32">
        <f>(V135*V543+W135*W543)/(V515+W515)</f>
        <v>0.67089569202566446</v>
      </c>
      <c r="CM136" s="32">
        <f>(X135*X543+Y135*Y543)/(X515+Y515-220)</f>
        <v>0.67283313284069435</v>
      </c>
      <c r="CN136" s="32">
        <f>(Z135*Z543+AA135*AA543)/(Z515+AA515)</f>
        <v>0.6937508479802651</v>
      </c>
      <c r="CO136" s="32">
        <f>(AB135*AB543+AC135*AC543)/(AB515+AC515)</f>
        <v>0.68856321192518632</v>
      </c>
      <c r="CP136" s="32">
        <f>(AD135*AD543+AE135*AE543)/(AD515+AE515)</f>
        <v>0.71189535689535688</v>
      </c>
      <c r="CQ136" s="32">
        <f>(AF135*AF543+AG135*AG543)/(AF515+AG515)</f>
        <v>0.79403633893700121</v>
      </c>
      <c r="CR136" s="32">
        <f>(AH135*AH543+AI135*AI543)/(AH515+AI515)</f>
        <v>0.69008104990453811</v>
      </c>
      <c r="CS136" s="32">
        <f>(AJ135*AJ543+AK135*AK543)/(AJ515+AK515)</f>
        <v>0.7118701521196239</v>
      </c>
      <c r="CT136" s="32">
        <f>(AL135*AL543+AM135*AM543)/(AL515+AM515)</f>
        <v>0.70080500797527057</v>
      </c>
      <c r="CU136" s="32">
        <f>(AN135*AN543+AO135*AO543)/(AN515+AO515)</f>
        <v>0.45321286169505054</v>
      </c>
      <c r="CV136" s="32">
        <f>(AP135*AP543+AQ135*AQ543)/(AP515+AQ515)</f>
        <v>0.64937803959987095</v>
      </c>
      <c r="CW136" s="32">
        <f>(AR135*AR543+AS135*AS543)/(AR515+AS515)</f>
        <v>0.64839579140752124</v>
      </c>
      <c r="CX136" s="32">
        <f>(AT135*AT543+AU135*AU543)/(AT515+AU515)</f>
        <v>0.70925357699446923</v>
      </c>
      <c r="CY136" s="32">
        <f>(AV135*AV543+AW135*AW543)/(AV515+AW515)</f>
        <v>0.73890696781263943</v>
      </c>
      <c r="CZ136" s="31">
        <f>(AX135*AX543+AY135*AY543)/(AX515+AY515)</f>
        <v>0.85407900737169518</v>
      </c>
      <c r="DA136" s="32">
        <f>(AZ135*AZ543+BA135*BA543)/(AZ515+BA515)</f>
        <v>0.69767245005218914</v>
      </c>
      <c r="DB136" s="32">
        <f>(BB135*BB543+BC135*BC543)/(BB515+BC515)</f>
        <v>0.72743175619283651</v>
      </c>
      <c r="DC136" s="32">
        <f>(BD135*BD543+BE135*BE543)/(BD515+BE515)</f>
        <v>0.72091212655667436</v>
      </c>
      <c r="DD136" s="32">
        <f>(BF135*BF543+BG135*BG543)/(BF515+BG515)</f>
        <v>0.71284199729284503</v>
      </c>
      <c r="DE136" s="32">
        <f>(BH135*BH543+BI135*BI543)/(BH515+BI515)</f>
        <v>0.72404621450746831</v>
      </c>
      <c r="DF136" s="32">
        <f>(BJ135*BJ543+BK135*BK543)/(BJ515+BK515)</f>
        <v>0.7115920875942372</v>
      </c>
      <c r="DG136" s="32">
        <f>(BL135*BL543+BM135*BM543)/(BL515+BM515)</f>
        <v>0.72464217861237878</v>
      </c>
      <c r="DH136" s="32">
        <f>(BN135*BN543+BO135*BO543)/(BN515+BO515)</f>
        <v>0.74389347516421145</v>
      </c>
      <c r="DI136" s="32">
        <f>(BP135*BP543+BQ135*BQ543)/(BP515+BQ515)</f>
        <v>0.75364803805194114</v>
      </c>
    </row>
    <row r="137" spans="1:113" ht="12" outlineLevel="1">
      <c r="A137" s="1" t="s">
        <v>771</v>
      </c>
      <c r="B137" s="15" t="s">
        <v>772</v>
      </c>
      <c r="C137" s="40">
        <v>0</v>
      </c>
      <c r="D137" s="41">
        <f>C137-(D509-D498-D499)*D131+D553*D128/(1-D128)</f>
        <v>0</v>
      </c>
      <c r="E137" s="40">
        <v>0</v>
      </c>
      <c r="F137" s="41">
        <f>E137-(F509-F498-F499)*F131+F553*F128/(1-F128)</f>
        <v>12.410550883562451</v>
      </c>
      <c r="G137" s="40">
        <v>0</v>
      </c>
      <c r="H137" s="41">
        <f>G137-(H509-H498-H499)*H131+H553*H128/(1-H128)</f>
        <v>63.689610798135448</v>
      </c>
      <c r="I137" s="40">
        <v>111</v>
      </c>
      <c r="J137" s="41">
        <f>I137-(J509-J498-J499)*J131+J553*J128/(1-J128)</f>
        <v>116.99520889299248</v>
      </c>
      <c r="K137" s="40">
        <v>78</v>
      </c>
      <c r="L137" s="41">
        <f>K137-(L509-L498-L499)*L131+L553*L128/(1-L128)</f>
        <v>250.06756336374167</v>
      </c>
      <c r="M137" s="40">
        <v>341</v>
      </c>
      <c r="N137" s="41">
        <f>M137-(N509-N498-N499)*N131+N553*N128/(1-N128)</f>
        <v>556.13925369300296</v>
      </c>
      <c r="O137" s="40">
        <v>580</v>
      </c>
      <c r="P137" s="41">
        <f>O137-(P509-P498-P499)*P131+P553*P128/(1-P128)</f>
        <v>484.62629529472594</v>
      </c>
      <c r="Q137" s="40">
        <v>35</v>
      </c>
      <c r="R137" s="41">
        <f>Q137-(R509-R498-R499)*R131+R553*R128/(1-R128)</f>
        <v>97.557105393779921</v>
      </c>
      <c r="S137" s="40">
        <v>49</v>
      </c>
      <c r="T137" s="41">
        <f>S137-(T509-T498-T499)*T131+T553*T128/(1-T128)</f>
        <v>163.21150812701455</v>
      </c>
      <c r="U137" s="40">
        <v>397</v>
      </c>
      <c r="V137" s="41">
        <f>U137-(V509-V498-V499)*V131+V553*V128/(1-V128)</f>
        <v>506.00945332421168</v>
      </c>
      <c r="W137" s="40">
        <v>363</v>
      </c>
      <c r="X137" s="41">
        <f>W137-(X509-X498-X499)*X131+X553*X128/(1-X128)</f>
        <v>498.5556377991611</v>
      </c>
      <c r="Y137" s="40">
        <v>386</v>
      </c>
      <c r="Z137" s="41">
        <f>Y137-(Z509-Z498-Z499)*Z131-(Z135*Z543)*Z128/(1-Z128)*Z138</f>
        <v>478.9138571428573</v>
      </c>
      <c r="AA137" s="40">
        <v>265</v>
      </c>
      <c r="AB137" s="41">
        <f t="shared" ref="AB137" si="1520">AA137-(AB509-AB498-AB499)*AB131-(AB135*AB543)*AB128/(1-AB128)*AB138</f>
        <v>212.88442857142866</v>
      </c>
      <c r="AC137" s="40">
        <v>0</v>
      </c>
      <c r="AD137" s="40">
        <v>0</v>
      </c>
      <c r="AE137" s="40">
        <v>0</v>
      </c>
      <c r="AF137" s="40">
        <v>0</v>
      </c>
      <c r="AG137" s="40">
        <v>0</v>
      </c>
      <c r="AH137" s="40">
        <v>0</v>
      </c>
      <c r="AI137" s="40">
        <v>0</v>
      </c>
      <c r="AJ137" s="40">
        <v>0</v>
      </c>
      <c r="AK137" s="40">
        <v>0</v>
      </c>
      <c r="AL137" s="40">
        <v>0</v>
      </c>
      <c r="AM137" s="40">
        <v>0</v>
      </c>
      <c r="AN137" s="40">
        <v>0</v>
      </c>
      <c r="AO137" s="40">
        <v>0</v>
      </c>
      <c r="AP137" s="40">
        <v>0</v>
      </c>
      <c r="AQ137" s="40">
        <v>0</v>
      </c>
      <c r="AR137" s="40">
        <v>0</v>
      </c>
      <c r="AS137" s="40">
        <v>0</v>
      </c>
      <c r="AT137" s="40">
        <v>0</v>
      </c>
      <c r="AU137" s="40">
        <v>0</v>
      </c>
      <c r="AV137" s="40">
        <v>0</v>
      </c>
      <c r="AW137" s="40">
        <v>0</v>
      </c>
      <c r="AX137" s="40">
        <v>0</v>
      </c>
      <c r="AY137" s="429">
        <v>0</v>
      </c>
      <c r="AZ137" s="41">
        <f t="shared" ref="AZ137" si="1521">AY137-(AZ509-AZ498-AZ499)*AZ131-(AZ135*AZ543)*AZ128/(1-AZ128)*AZ138</f>
        <v>88.817103900414281</v>
      </c>
      <c r="BA137" s="41">
        <f t="shared" ref="BA137" si="1522">AZ137-(BA509-BA498-BA499)*BA131-(BA135*BA543)*BA128/(1-BA128)*BA138</f>
        <v>127.94743012710944</v>
      </c>
      <c r="BB137" s="41">
        <f t="shared" ref="BB137" si="1523">BA137-(BB509-BB498-BB499)*BB131-(BB135*BB543)*BB128/(1-BB128)*BB138</f>
        <v>197.07434314555132</v>
      </c>
      <c r="BC137" s="41">
        <f t="shared" ref="BC137" si="1524">BB137-(BC509-BC498-BC499)*BC131-(BC135*BC543)*BC128/(1-BC128)*BC138</f>
        <v>187.77616553131986</v>
      </c>
      <c r="BD137" s="41">
        <f t="shared" ref="BD137" si="1525">BC137-(BD509-BD498-BD499)*BD131-(BD135*BD543)*BD128/(1-BD128)*BD138</f>
        <v>265.15977630357941</v>
      </c>
      <c r="BE137" s="41">
        <f t="shared" ref="BE137" si="1526">BD137-(BE509-BE498-BE499)*BE131-(BE135*BE543)*BE128/(1-BE128)*BE138</f>
        <v>264.43568471765093</v>
      </c>
      <c r="BF137" s="41">
        <f t="shared" ref="BF137" si="1527">BE137-(BF509-BF498-BF499)*BF131-(BF135*BF543)*BF128/(1-BF128)*BF138</f>
        <v>346.16474176633949</v>
      </c>
      <c r="BG137" s="41">
        <f t="shared" ref="BG137:BK137" si="1528">BF137-(BG509-BG498-BG499)*BG131-(BG135*BG543)*BG128/(1-BG128)*BG138</f>
        <v>363.28760466037158</v>
      </c>
      <c r="BH137" s="41">
        <f t="shared" si="1528"/>
        <v>439.35200568878702</v>
      </c>
      <c r="BI137" s="41">
        <f t="shared" si="1528"/>
        <v>436.16769738759433</v>
      </c>
      <c r="BJ137" s="41">
        <f t="shared" si="1528"/>
        <v>509.79552909841937</v>
      </c>
      <c r="BK137" s="41">
        <f t="shared" si="1528"/>
        <v>545.37448204573013</v>
      </c>
      <c r="BL137" s="41">
        <f t="shared" ref="BL137:BQ137" si="1529">BK137-(BL509-BL498-BL499)*BL131-(BL135*BL543)*BL128/(1-BL128)*BL138</f>
        <v>612.33601159303259</v>
      </c>
      <c r="BM137" s="41">
        <f t="shared" si="1529"/>
        <v>621.5664410385366</v>
      </c>
      <c r="BN137" s="41">
        <f t="shared" si="1529"/>
        <v>658.30308829989781</v>
      </c>
      <c r="BO137" s="41">
        <f t="shared" si="1529"/>
        <v>646.43599076113151</v>
      </c>
      <c r="BP137" s="41">
        <f t="shared" si="1529"/>
        <v>665.40094611774998</v>
      </c>
      <c r="BQ137" s="41">
        <f t="shared" si="1529"/>
        <v>644.76314807390645</v>
      </c>
      <c r="BR137" s="41"/>
      <c r="BS137" s="40">
        <v>0</v>
      </c>
      <c r="BT137" s="40">
        <v>0</v>
      </c>
      <c r="BU137" s="40">
        <v>0</v>
      </c>
      <c r="BV137" s="40">
        <v>0</v>
      </c>
      <c r="BW137" s="40">
        <v>0</v>
      </c>
      <c r="BX137" s="40">
        <v>0</v>
      </c>
      <c r="BY137" s="40">
        <v>0</v>
      </c>
      <c r="BZ137" s="40">
        <v>0</v>
      </c>
      <c r="CA137" s="40">
        <v>0</v>
      </c>
      <c r="CB137" s="40">
        <v>0</v>
      </c>
      <c r="CC137" s="41">
        <f>E137</f>
        <v>0</v>
      </c>
      <c r="CD137" s="41">
        <f>G137</f>
        <v>0</v>
      </c>
      <c r="CE137" s="41">
        <f>I137</f>
        <v>111</v>
      </c>
      <c r="CF137" s="41">
        <f>K137</f>
        <v>78</v>
      </c>
      <c r="CG137" s="41">
        <f>M137</f>
        <v>341</v>
      </c>
      <c r="CH137" s="41">
        <f>O137</f>
        <v>580</v>
      </c>
      <c r="CI137" s="41">
        <f>Q137</f>
        <v>35</v>
      </c>
      <c r="CJ137" s="41">
        <f>S137</f>
        <v>49</v>
      </c>
      <c r="CK137" s="41">
        <f>U137</f>
        <v>397</v>
      </c>
      <c r="CL137" s="41">
        <f>W137</f>
        <v>363</v>
      </c>
      <c r="CM137" s="41">
        <f>Y137</f>
        <v>386</v>
      </c>
      <c r="CN137" s="41">
        <f>AA137</f>
        <v>265</v>
      </c>
      <c r="CO137" s="41">
        <f>AC137</f>
        <v>0</v>
      </c>
      <c r="CP137" s="41">
        <f>AE137</f>
        <v>0</v>
      </c>
      <c r="CQ137" s="41">
        <f>AG137</f>
        <v>0</v>
      </c>
      <c r="CR137" s="41">
        <f>AI137</f>
        <v>0</v>
      </c>
      <c r="CS137" s="41">
        <f>AK137</f>
        <v>0</v>
      </c>
      <c r="CT137" s="41">
        <f>AM137</f>
        <v>0</v>
      </c>
      <c r="CU137" s="41">
        <f>AO137</f>
        <v>0</v>
      </c>
      <c r="CV137" s="41">
        <f>AQ137</f>
        <v>0</v>
      </c>
      <c r="CW137" s="41">
        <f>AS137</f>
        <v>0</v>
      </c>
      <c r="CX137" s="41">
        <f>AU137</f>
        <v>0</v>
      </c>
      <c r="CY137" s="41">
        <f>AW137</f>
        <v>0</v>
      </c>
      <c r="CZ137" s="211">
        <f>AY137</f>
        <v>0</v>
      </c>
      <c r="DA137" s="41">
        <f>BA137</f>
        <v>127.94743012710944</v>
      </c>
      <c r="DB137" s="41">
        <f>BC137</f>
        <v>187.77616553131986</v>
      </c>
      <c r="DC137" s="41">
        <f>BE137</f>
        <v>264.43568471765093</v>
      </c>
      <c r="DD137" s="41">
        <f>BG137</f>
        <v>363.28760466037158</v>
      </c>
      <c r="DE137" s="41">
        <f>BI137</f>
        <v>436.16769738759433</v>
      </c>
      <c r="DF137" s="41">
        <f>BK137</f>
        <v>545.37448204573013</v>
      </c>
      <c r="DG137" s="41">
        <f>BM137</f>
        <v>621.5664410385366</v>
      </c>
      <c r="DH137" s="41">
        <f>BO137</f>
        <v>646.43599076113151</v>
      </c>
      <c r="DI137" s="41">
        <f>BQ137</f>
        <v>644.76314807390645</v>
      </c>
    </row>
    <row r="138" spans="1:113" ht="12" outlineLevel="1">
      <c r="A138" s="1" t="s">
        <v>907</v>
      </c>
      <c r="B138" s="15" t="s">
        <v>908</v>
      </c>
      <c r="C138" s="379">
        <v>1</v>
      </c>
      <c r="D138" s="379">
        <v>1</v>
      </c>
      <c r="E138" s="379">
        <v>1</v>
      </c>
      <c r="F138" s="379">
        <v>1</v>
      </c>
      <c r="G138" s="379">
        <v>1</v>
      </c>
      <c r="H138" s="379">
        <v>1</v>
      </c>
      <c r="I138" s="379">
        <v>1</v>
      </c>
      <c r="J138" s="379">
        <v>1</v>
      </c>
      <c r="K138" s="379">
        <v>1</v>
      </c>
      <c r="L138" s="379">
        <v>1</v>
      </c>
      <c r="M138" s="54">
        <v>1</v>
      </c>
      <c r="N138" s="54">
        <v>1</v>
      </c>
      <c r="O138" s="54">
        <v>1</v>
      </c>
      <c r="P138" s="54">
        <v>1</v>
      </c>
      <c r="Q138" s="54">
        <v>1</v>
      </c>
      <c r="R138" s="54">
        <v>1</v>
      </c>
      <c r="S138" s="54">
        <v>1</v>
      </c>
      <c r="T138" s="54">
        <v>1</v>
      </c>
      <c r="U138" s="54">
        <v>1</v>
      </c>
      <c r="V138" s="54">
        <v>1</v>
      </c>
      <c r="W138" s="54">
        <v>1</v>
      </c>
      <c r="X138" s="54">
        <v>1</v>
      </c>
      <c r="Y138" s="229">
        <v>1</v>
      </c>
      <c r="Z138" s="334">
        <v>1</v>
      </c>
      <c r="AA138" s="334">
        <v>1</v>
      </c>
      <c r="AB138" s="334">
        <v>1</v>
      </c>
      <c r="AC138" s="334">
        <v>1</v>
      </c>
      <c r="AD138" s="334">
        <v>1</v>
      </c>
      <c r="AE138" s="334">
        <v>1</v>
      </c>
      <c r="AF138" s="334">
        <v>1</v>
      </c>
      <c r="AG138" s="334">
        <v>1</v>
      </c>
      <c r="AH138" s="334">
        <v>1</v>
      </c>
      <c r="AI138" s="334">
        <v>1</v>
      </c>
      <c r="AJ138" s="334">
        <v>1</v>
      </c>
      <c r="AK138" s="334">
        <v>1</v>
      </c>
      <c r="AL138" s="334">
        <v>1</v>
      </c>
      <c r="AM138" s="334">
        <v>0.7</v>
      </c>
      <c r="AN138" s="334">
        <v>1</v>
      </c>
      <c r="AO138" s="334">
        <v>1</v>
      </c>
      <c r="AP138" s="334">
        <v>1</v>
      </c>
      <c r="AQ138" s="334">
        <v>1</v>
      </c>
      <c r="AR138" s="334">
        <v>1</v>
      </c>
      <c r="AS138" s="334">
        <v>1</v>
      </c>
      <c r="AT138" s="334">
        <v>1</v>
      </c>
      <c r="AU138" s="334">
        <f>(81*65%+13*0%)/94</f>
        <v>0.56010638297872339</v>
      </c>
      <c r="AV138" s="334">
        <v>0.65</v>
      </c>
      <c r="AW138" s="334">
        <v>0.7</v>
      </c>
      <c r="AX138" s="431">
        <v>0.7</v>
      </c>
      <c r="AY138" s="538">
        <f t="shared" ref="AY138:BK138" si="1530">AX138</f>
        <v>0.7</v>
      </c>
      <c r="AZ138" s="45">
        <f t="shared" si="1530"/>
        <v>0.7</v>
      </c>
      <c r="BA138" s="45">
        <f t="shared" si="1530"/>
        <v>0.7</v>
      </c>
      <c r="BB138" s="45">
        <f t="shared" si="1530"/>
        <v>0.7</v>
      </c>
      <c r="BC138" s="45">
        <f t="shared" si="1530"/>
        <v>0.7</v>
      </c>
      <c r="BD138" s="45">
        <f t="shared" si="1530"/>
        <v>0.7</v>
      </c>
      <c r="BE138" s="45">
        <f t="shared" si="1530"/>
        <v>0.7</v>
      </c>
      <c r="BF138" s="45">
        <f t="shared" si="1530"/>
        <v>0.7</v>
      </c>
      <c r="BG138" s="45">
        <f t="shared" si="1530"/>
        <v>0.7</v>
      </c>
      <c r="BH138" s="45">
        <f t="shared" si="1530"/>
        <v>0.7</v>
      </c>
      <c r="BI138" s="45">
        <f t="shared" si="1530"/>
        <v>0.7</v>
      </c>
      <c r="BJ138" s="45">
        <f t="shared" si="1530"/>
        <v>0.7</v>
      </c>
      <c r="BK138" s="45">
        <f t="shared" si="1530"/>
        <v>0.7</v>
      </c>
      <c r="BL138" s="45">
        <f t="shared" ref="BL138" si="1531">BK138</f>
        <v>0.7</v>
      </c>
      <c r="BM138" s="45">
        <f t="shared" ref="BM138" si="1532">BL138</f>
        <v>0.7</v>
      </c>
      <c r="BN138" s="45">
        <f t="shared" ref="BN138" si="1533">BM138</f>
        <v>0.7</v>
      </c>
      <c r="BO138" s="45">
        <f t="shared" ref="BO138" si="1534">BN138</f>
        <v>0.7</v>
      </c>
      <c r="BP138" s="45">
        <f t="shared" ref="BP138" si="1535">BO138</f>
        <v>0.7</v>
      </c>
      <c r="BQ138" s="45">
        <f t="shared" ref="BQ138" si="1536">BP138</f>
        <v>0.7</v>
      </c>
      <c r="BR138" s="42"/>
      <c r="BS138" s="379">
        <v>0.5</v>
      </c>
      <c r="BT138" s="379">
        <v>0</v>
      </c>
      <c r="BU138" s="379">
        <v>0</v>
      </c>
      <c r="BV138" s="379">
        <v>0.18</v>
      </c>
      <c r="BW138" s="379">
        <v>0.79</v>
      </c>
      <c r="BX138" s="379">
        <v>1</v>
      </c>
      <c r="BY138" s="379">
        <f>(60%*0.28+60%*0.24)/BY135</f>
        <v>0.63018263895895676</v>
      </c>
      <c r="BZ138" s="379">
        <f>(80%*0.3+75%*0.26)/BZ135</f>
        <v>0.81586145222364936</v>
      </c>
      <c r="CA138" s="379">
        <v>1</v>
      </c>
      <c r="CB138" s="379">
        <v>1</v>
      </c>
      <c r="CC138" s="42">
        <f>(E138*E135+D138*D135)/(E135+D135)</f>
        <v>1</v>
      </c>
      <c r="CD138" s="42">
        <f>(G138*G135+F138*F135)/(G135+F135)</f>
        <v>1</v>
      </c>
      <c r="CE138" s="42">
        <f>(I138*I135+H138*H135)/(I135+H135)</f>
        <v>1</v>
      </c>
      <c r="CF138" s="42">
        <f>(K138*K135+J138*J135)/(K135+J135)</f>
        <v>1</v>
      </c>
      <c r="CG138" s="42">
        <f>(M138*M135+L138*L135)/(M135+L135)</f>
        <v>1</v>
      </c>
      <c r="CH138" s="42">
        <f>(O138*O135+N138*N135)/(O135+N135)</f>
        <v>1</v>
      </c>
      <c r="CI138" s="42">
        <f>(Q138*Q135+P138*P135)/(Q135+P135)</f>
        <v>1</v>
      </c>
      <c r="CJ138" s="42">
        <f>(S138*S135+R138*R135)/(S135+R135)</f>
        <v>1</v>
      </c>
      <c r="CK138" s="42">
        <f>(U138*U135+T138*T135)/(U135+T135)</f>
        <v>1</v>
      </c>
      <c r="CL138" s="42">
        <f>(W138*W135+V138*V135)/(W135+V135)</f>
        <v>1</v>
      </c>
      <c r="CM138" s="43">
        <f>(Y138*Y135+X138*X135)/(Y135+X135)</f>
        <v>1</v>
      </c>
      <c r="CN138" s="43">
        <f>(AA138*AA135+Z138*Z135)/(AA135+Z135)</f>
        <v>1</v>
      </c>
      <c r="CO138" s="43">
        <f>(AC138*AC135+AB138*AB135)/(AC135+AB135)</f>
        <v>1</v>
      </c>
      <c r="CP138" s="43">
        <f>(AE138*AE135+AD138*AD135)/(AE135+AD135)</f>
        <v>1</v>
      </c>
      <c r="CQ138" s="43">
        <f>(AG138*AG135+AF138*AF135)/(AG135+AF135)</f>
        <v>1</v>
      </c>
      <c r="CR138" s="43">
        <f>(AI138*AI135+AH138*AH135)/(AI135+AH135)</f>
        <v>1</v>
      </c>
      <c r="CS138" s="43">
        <f>(AK138*AK135+AJ138*AJ135)/(AK135+AJ135)</f>
        <v>1</v>
      </c>
      <c r="CT138" s="43">
        <f>(AM138*AM135+AL138*AL135)/(AM135+AL135)</f>
        <v>0.85</v>
      </c>
      <c r="CU138" s="43">
        <f>(AO138*AO135+AN138*AN135)/(AO135+AN135)</f>
        <v>1</v>
      </c>
      <c r="CV138" s="43">
        <f>(AQ138*AQ135+AP138*AP135)/(AQ135+AP135)</f>
        <v>1</v>
      </c>
      <c r="CW138" s="43">
        <f>(AS138*AS135+AR138*AR135)/(AS135+AR135)</f>
        <v>1</v>
      </c>
      <c r="CX138" s="43">
        <f>(AU138*AU135+AT138*AT135)/(AU135+AT135)</f>
        <v>0.76371428571428568</v>
      </c>
      <c r="CY138" s="43">
        <f>(AW138*AW135+AV138*AV135)/(AW135+AV135)</f>
        <v>0.67499999999999993</v>
      </c>
      <c r="CZ138" s="44">
        <f>(AY138*AY135+AX138*AX135)/(AY135+AX135)</f>
        <v>0.7</v>
      </c>
      <c r="DA138" s="42">
        <f>(BA138*BA135+AZ138*AZ135)/(BA135+AZ135)</f>
        <v>0.7</v>
      </c>
      <c r="DB138" s="42">
        <f>(BC138*BC135+BB138*BB135)/(BC135+BB135)</f>
        <v>0.70000000000000007</v>
      </c>
      <c r="DC138" s="42">
        <f>(BE138*BE135+BD138*BD135)/(BE135+BD135)</f>
        <v>0.7</v>
      </c>
      <c r="DD138" s="42">
        <f>(BG138*BG135+BF138*BF135)/(BG135+BF135)</f>
        <v>0.70000000000000007</v>
      </c>
      <c r="DE138" s="42">
        <f>(BI138*BI135+BH138*BH135)/(BI135+BH135)</f>
        <v>0.7</v>
      </c>
      <c r="DF138" s="42">
        <f>(BK138*BK135+BJ138*BJ135)/(BK135+BJ135)</f>
        <v>0.7</v>
      </c>
      <c r="DG138" s="42">
        <f>(BM138*BM135+BL138*BL135)/(BM135+BL135)</f>
        <v>0.7</v>
      </c>
      <c r="DH138" s="42">
        <f>(BO138*BO135+BN138*BN135)/(BO135+BN135)</f>
        <v>0.7</v>
      </c>
      <c r="DI138" s="42">
        <f>(BQ138*BQ135+BP138*BP135)/(BQ135+BP135)</f>
        <v>0.7</v>
      </c>
    </row>
    <row r="139" spans="1:113" ht="12" outlineLevel="1">
      <c r="A139" s="1" t="s">
        <v>1050</v>
      </c>
      <c r="B139" s="15" t="s">
        <v>411</v>
      </c>
      <c r="C139" s="212" t="s">
        <v>215</v>
      </c>
      <c r="D139" s="212" t="s">
        <v>215</v>
      </c>
      <c r="E139" s="212" t="s">
        <v>215</v>
      </c>
      <c r="F139" s="212" t="s">
        <v>215</v>
      </c>
      <c r="G139" s="212" t="s">
        <v>215</v>
      </c>
      <c r="H139" s="212" t="s">
        <v>215</v>
      </c>
      <c r="I139" s="212" t="s">
        <v>215</v>
      </c>
      <c r="J139" s="212" t="s">
        <v>215</v>
      </c>
      <c r="K139" s="212" t="s">
        <v>215</v>
      </c>
      <c r="L139" s="212">
        <f t="shared" ref="L139" si="1537">L554/-L553</f>
        <v>0</v>
      </c>
      <c r="M139" s="42">
        <f t="shared" ref="M139:U139" si="1538">M554/-M553</f>
        <v>0</v>
      </c>
      <c r="N139" s="42">
        <f t="shared" si="1538"/>
        <v>9.5279720279720273E-2</v>
      </c>
      <c r="O139" s="42">
        <f t="shared" si="1538"/>
        <v>0.19985517740767561</v>
      </c>
      <c r="P139" s="42">
        <f t="shared" si="1538"/>
        <v>0.40016778523489932</v>
      </c>
      <c r="Q139" s="42">
        <f t="shared" si="1538"/>
        <v>0.29980145598941099</v>
      </c>
      <c r="R139" s="42">
        <f t="shared" si="1538"/>
        <v>0.30010070493454177</v>
      </c>
      <c r="S139" s="42">
        <f t="shared" si="1538"/>
        <v>0.3000712758374911</v>
      </c>
      <c r="T139" s="43">
        <f t="shared" si="1538"/>
        <v>0.29969650986342944</v>
      </c>
      <c r="U139" s="42">
        <f t="shared" si="1538"/>
        <v>0.30026385224274404</v>
      </c>
      <c r="V139" s="42">
        <f>V554/-V553</f>
        <v>0.30024067388688325</v>
      </c>
      <c r="W139" s="42">
        <f>W554/-W553</f>
        <v>0.30015007503751878</v>
      </c>
      <c r="X139" s="42">
        <f>X554/-X553</f>
        <v>0.30016958733747878</v>
      </c>
      <c r="Y139" s="43">
        <f>Y554/-Y553</f>
        <v>0.20009306654257794</v>
      </c>
      <c r="Z139" s="430">
        <f>21.22%+425/AA535</f>
        <v>-3.8650737163192783E-3</v>
      </c>
      <c r="AA139" s="430">
        <v>0</v>
      </c>
      <c r="AB139" s="334">
        <f>-11.268833*33.3/AC535</f>
        <v>0.16759809687360427</v>
      </c>
      <c r="AC139" s="334">
        <f>(8.031825*AD143)/(AC543*AC135)</f>
        <v>9.8206041958629434E-2</v>
      </c>
      <c r="AD139" s="431">
        <f>27.073309*31.93/-AE535</f>
        <v>0.3713276444888316</v>
      </c>
      <c r="AE139" s="431">
        <f>(1.739034*0+7.937264*27.08+0.627319*27.79)/-AF535</f>
        <v>8.5715346414607152E-2</v>
      </c>
      <c r="AF139" s="431">
        <f>(1.77718*0+7.979719*24.82)/-AG535</f>
        <v>8.6487609423580789E-2</v>
      </c>
      <c r="AG139" s="431">
        <f>(7.058658*28.16+1.501691*0)/-AH535</f>
        <v>8.6422525773913045E-2</v>
      </c>
      <c r="AH139" s="431">
        <v>0</v>
      </c>
      <c r="AI139" s="431">
        <v>0</v>
      </c>
      <c r="AJ139" s="431">
        <v>0</v>
      </c>
      <c r="AK139" s="431">
        <v>0</v>
      </c>
      <c r="AL139" s="431">
        <v>0</v>
      </c>
      <c r="AM139" s="431">
        <v>0</v>
      </c>
      <c r="AN139" s="431">
        <f>-3.373022*18.06/AO535</f>
        <v>8.7776336195965421E-2</v>
      </c>
      <c r="AO139" s="431">
        <f>-5.171575*AP143/AP535</f>
        <v>8.5647712230216874E-2</v>
      </c>
      <c r="AP139" s="431">
        <v>0</v>
      </c>
      <c r="AQ139" s="431">
        <v>0</v>
      </c>
      <c r="AR139" s="431">
        <f>-7.195108*25.52/AS535</f>
        <v>9.3065968656867726E-2</v>
      </c>
      <c r="AS139" s="431">
        <f>-8.406978*24.51/AT535</f>
        <v>9.4304361913043491E-2</v>
      </c>
      <c r="AT139" s="431">
        <v>0</v>
      </c>
      <c r="AU139" s="431">
        <v>0</v>
      </c>
      <c r="AV139" s="431">
        <v>0</v>
      </c>
      <c r="AW139" s="431">
        <v>0</v>
      </c>
      <c r="AX139" s="431">
        <v>0</v>
      </c>
      <c r="AY139" s="538">
        <v>0.3</v>
      </c>
      <c r="AZ139" s="45">
        <f>AY139</f>
        <v>0.3</v>
      </c>
      <c r="BA139" s="45">
        <v>0</v>
      </c>
      <c r="BB139" s="45">
        <v>0</v>
      </c>
      <c r="BC139" s="45">
        <f t="shared" ref="BC139:BI139" si="1539">BB139</f>
        <v>0</v>
      </c>
      <c r="BD139" s="45">
        <f t="shared" si="1539"/>
        <v>0</v>
      </c>
      <c r="BE139" s="45">
        <f t="shared" si="1539"/>
        <v>0</v>
      </c>
      <c r="BF139" s="45">
        <f t="shared" si="1539"/>
        <v>0</v>
      </c>
      <c r="BG139" s="45">
        <f t="shared" si="1539"/>
        <v>0</v>
      </c>
      <c r="BH139" s="45">
        <f>BG139</f>
        <v>0</v>
      </c>
      <c r="BI139" s="45">
        <f t="shared" si="1539"/>
        <v>0</v>
      </c>
      <c r="BJ139" s="45">
        <v>0</v>
      </c>
      <c r="BK139" s="45">
        <v>0</v>
      </c>
      <c r="BL139" s="45">
        <v>0</v>
      </c>
      <c r="BM139" s="45">
        <v>0</v>
      </c>
      <c r="BN139" s="45">
        <v>0</v>
      </c>
      <c r="BO139" s="45">
        <v>0</v>
      </c>
      <c r="BP139" s="45">
        <v>0</v>
      </c>
      <c r="BQ139" s="45">
        <v>0</v>
      </c>
      <c r="BR139" s="42"/>
      <c r="BS139" s="212" t="s">
        <v>215</v>
      </c>
      <c r="BT139" s="212" t="s">
        <v>215</v>
      </c>
      <c r="BU139" s="212" t="s">
        <v>215</v>
      </c>
      <c r="BV139" s="212" t="s">
        <v>215</v>
      </c>
      <c r="BW139" s="212" t="s">
        <v>215</v>
      </c>
      <c r="BX139" s="212" t="s">
        <v>215</v>
      </c>
      <c r="BY139" s="212" t="s">
        <v>215</v>
      </c>
      <c r="BZ139" s="212" t="s">
        <v>215</v>
      </c>
      <c r="CA139" s="212" t="s">
        <v>215</v>
      </c>
      <c r="CB139" s="212" t="s">
        <v>215</v>
      </c>
      <c r="CC139" s="42" t="s">
        <v>215</v>
      </c>
      <c r="CD139" s="42" t="s">
        <v>215</v>
      </c>
      <c r="CE139" s="42" t="s">
        <v>215</v>
      </c>
      <c r="CF139" s="42" t="s">
        <v>215</v>
      </c>
      <c r="CG139" s="42">
        <f t="shared" ref="CG139:CM139" si="1540">CG554/-CG553</f>
        <v>0</v>
      </c>
      <c r="CH139" s="42">
        <f t="shared" si="1540"/>
        <v>0.19985517740767561</v>
      </c>
      <c r="CI139" s="42">
        <f t="shared" si="1540"/>
        <v>0.29980145598941099</v>
      </c>
      <c r="CJ139" s="42">
        <f t="shared" si="1540"/>
        <v>0.3000712758374911</v>
      </c>
      <c r="CK139" s="42">
        <f t="shared" si="1540"/>
        <v>0.30026385224274404</v>
      </c>
      <c r="CL139" s="42">
        <f t="shared" si="1540"/>
        <v>0.30015007503751878</v>
      </c>
      <c r="CM139" s="43">
        <f t="shared" si="1540"/>
        <v>0.20009306654257794</v>
      </c>
      <c r="CN139" s="365">
        <f>((AA139*AA535)+(Z139*Z535))/(Z535+AA535)</f>
        <v>-2.0026043385632714E-3</v>
      </c>
      <c r="CO139" s="365">
        <f>((AB139*AB535)+(AC139*AC535))/(AC535+AB535)</f>
        <v>0.13449864843844692</v>
      </c>
      <c r="CP139" s="365">
        <f>((AE139*AE535)+(AD139*AD535))/(AD535+AE535)</f>
        <v>0.23579861270799291</v>
      </c>
      <c r="CQ139" s="365">
        <f>((AF139*AF535)+(AG139*AG535))/(AG535+AF535)</f>
        <v>8.6457807072503168E-2</v>
      </c>
      <c r="CR139" s="365">
        <f>((AI139*AI535)+(AH139*AH535))/(AH535+AI535)</f>
        <v>0</v>
      </c>
      <c r="CS139" s="365">
        <f>((AJ139*AJ535)+(AK139*AK535))/(AJ535+AK535)</f>
        <v>0</v>
      </c>
      <c r="CT139" s="365">
        <f>((AL139*AL535)+(AM139*AM535))/(AL535+AM535)</f>
        <v>0</v>
      </c>
      <c r="CU139" s="365">
        <f>((AN139*AN535)+(AO139*AO535))/(AN535+AO535)</f>
        <v>8.7270769792053893E-2</v>
      </c>
      <c r="CV139" s="365">
        <f>((AP139*AP535)+(AQ139*AQ535))/(AP535+AQ535)</f>
        <v>0</v>
      </c>
      <c r="CW139" s="365">
        <f>((AR139*AR535)+(AS139*AS535))/(AR535+AS535)</f>
        <v>9.368188746060728E-2</v>
      </c>
      <c r="CX139" s="365">
        <f>((AT139*AT535)+(AU139*AU535))/(AT535+AU535)</f>
        <v>0</v>
      </c>
      <c r="CY139" s="365">
        <f>((AV139*AV535)+(AW139*AW535))/(AV535+AW535)</f>
        <v>0</v>
      </c>
      <c r="CZ139" s="342">
        <f>((AX139*AX535)+(AY139*AY535))/(AX535+AY535)</f>
        <v>0.13953640935928274</v>
      </c>
      <c r="DA139" s="212">
        <f>((AZ139*AZ535)+(BA139*BA535))/(AZ535+BA535)</f>
        <v>0.14678953548259174</v>
      </c>
      <c r="DB139" s="212">
        <f>((BB139*BB535)+(BC139*BC535))/(BB535+BC535)</f>
        <v>0</v>
      </c>
      <c r="DC139" s="212">
        <f>((BD139*BD535)+(BE139*BE535))/(BD535+BE535)</f>
        <v>0</v>
      </c>
      <c r="DD139" s="212">
        <f>((BF139*BF535)+(BG139*BG535))/(BF535+BG535)</f>
        <v>0</v>
      </c>
      <c r="DE139" s="212">
        <f>((BH139*BH535)+(BI139*BI535))/(BH535+BI535)</f>
        <v>0</v>
      </c>
      <c r="DF139" s="212">
        <f>((BJ139*BJ535)+(BK139*BK535))/(BJ535+BK535)</f>
        <v>0</v>
      </c>
      <c r="DG139" s="212">
        <f>((BL139*BL535)+(BM139*BM535))/(BL535+BM535)</f>
        <v>0</v>
      </c>
      <c r="DH139" s="212">
        <f>((BN139*BN535)+(BO139*BO535))/(BN535+BO535)</f>
        <v>0</v>
      </c>
      <c r="DI139" s="212">
        <f>((BP139*BP535)+(BQ139*BQ535))/(BP535+BQ535)</f>
        <v>0</v>
      </c>
    </row>
    <row r="140" spans="1:113" ht="12" outlineLevel="1">
      <c r="AA140" s="119"/>
      <c r="AC140" s="409"/>
      <c r="AD140" s="361"/>
      <c r="AE140" s="420"/>
      <c r="AF140" s="361"/>
      <c r="AG140" s="361"/>
      <c r="AH140" s="438"/>
      <c r="AI140" s="487"/>
      <c r="AJ140" s="487"/>
      <c r="AK140" s="494"/>
      <c r="AL140" s="494"/>
      <c r="AM140" s="494"/>
      <c r="AN140" s="494"/>
      <c r="AO140" s="494"/>
      <c r="AP140" s="494"/>
      <c r="AQ140" s="494"/>
      <c r="AR140" s="494"/>
      <c r="AS140" s="494"/>
      <c r="AT140" s="494"/>
      <c r="AU140" s="494"/>
      <c r="AV140" s="494"/>
      <c r="AW140" s="494"/>
      <c r="AX140" s="494"/>
      <c r="AY140" s="491"/>
      <c r="CZ140" s="200"/>
      <c r="DB140" s="15"/>
      <c r="DC140" s="15"/>
      <c r="DD140" s="15"/>
      <c r="DE140" s="15"/>
      <c r="DF140" s="15"/>
      <c r="DG140" s="15"/>
      <c r="DH140" s="15"/>
      <c r="DI140" s="15"/>
    </row>
    <row r="141" spans="1:113" ht="12" outlineLevel="1">
      <c r="A141" s="1" t="s">
        <v>1051</v>
      </c>
      <c r="B141" s="15" t="s">
        <v>412</v>
      </c>
      <c r="C141" s="55" t="e">
        <f t="shared" ref="C141:L141" si="1541">C543-B543</f>
        <v>#VALUE!</v>
      </c>
      <c r="D141" s="55">
        <f t="shared" si="1541"/>
        <v>7.459030769509809</v>
      </c>
      <c r="E141" s="55">
        <f t="shared" si="1541"/>
        <v>8.2654124743219199</v>
      </c>
      <c r="F141" s="55">
        <f t="shared" si="1541"/>
        <v>9.5757827446411738</v>
      </c>
      <c r="G141" s="55">
        <f t="shared" si="1541"/>
        <v>8.3662101874231212</v>
      </c>
      <c r="H141" s="55">
        <f t="shared" si="1541"/>
        <v>288.78544803575505</v>
      </c>
      <c r="I141" s="55">
        <f t="shared" si="1541"/>
        <v>10.281366736351401</v>
      </c>
      <c r="J141" s="55">
        <f t="shared" si="1541"/>
        <v>4.3343016633639309</v>
      </c>
      <c r="K141" s="55">
        <f t="shared" si="1541"/>
        <v>3.7295153847549045</v>
      </c>
      <c r="L141" s="55">
        <f t="shared" si="1541"/>
        <v>2.318347401334222</v>
      </c>
      <c r="M141" s="55">
        <f t="shared" ref="M141:X141" si="1542">M543-L543</f>
        <v>7.9630193350171794</v>
      </c>
      <c r="N141" s="55">
        <f t="shared" si="1542"/>
        <v>8.1646147612204913</v>
      </c>
      <c r="O141" s="55">
        <f t="shared" si="1542"/>
        <v>20.159542620296861</v>
      </c>
      <c r="P141" s="55">
        <f t="shared" si="1542"/>
        <v>57.152303328542303</v>
      </c>
      <c r="Q141" s="55">
        <f t="shared" si="1542"/>
        <v>120.25167173007185</v>
      </c>
      <c r="R141" s="55">
        <f t="shared" si="1542"/>
        <v>118.33651518114311</v>
      </c>
      <c r="S141" s="55">
        <f t="shared" si="1542"/>
        <v>349.16327818354466</v>
      </c>
      <c r="T141" s="55">
        <f t="shared" si="1542"/>
        <v>29.231336799430665</v>
      </c>
      <c r="U141" s="55">
        <f t="shared" si="1542"/>
        <v>26.409000832588845</v>
      </c>
      <c r="V141" s="55">
        <f t="shared" si="1542"/>
        <v>36.992760708245441</v>
      </c>
      <c r="W141" s="55">
        <f t="shared" si="1542"/>
        <v>32.860054471084368</v>
      </c>
      <c r="X141" s="55">
        <f t="shared" si="1542"/>
        <v>50.902845116249864</v>
      </c>
      <c r="Y141" s="55">
        <f t="shared" ref="Y141:AI141" si="1543">Y543-X543</f>
        <v>38.202333265463039</v>
      </c>
      <c r="Z141" s="55">
        <f t="shared" si="1543"/>
        <v>26.509798545690046</v>
      </c>
      <c r="AA141" s="55">
        <f t="shared" si="1543"/>
        <v>0</v>
      </c>
      <c r="AB141" s="55">
        <f t="shared" si="1543"/>
        <v>0.40319085240616914</v>
      </c>
      <c r="AC141" s="55">
        <f t="shared" si="1543"/>
        <v>12.599714137685623</v>
      </c>
      <c r="AD141" s="55">
        <f t="shared" si="1543"/>
        <v>9.4749850315397453</v>
      </c>
      <c r="AE141" s="55">
        <f t="shared" si="1543"/>
        <v>137.79047380972997</v>
      </c>
      <c r="AF141" s="55">
        <f t="shared" si="1543"/>
        <v>15.018859252121274</v>
      </c>
      <c r="AG141" s="55">
        <f t="shared" si="1543"/>
        <v>9.9789735970471156</v>
      </c>
      <c r="AH141" s="55">
        <f t="shared" si="1543"/>
        <v>8.6051098392681524</v>
      </c>
      <c r="AI141" s="55">
        <f t="shared" si="1543"/>
        <v>1.389313023266368</v>
      </c>
      <c r="AJ141" s="55">
        <f t="shared" ref="AJ141:AX141" si="1544">AJ543-AI543</f>
        <v>-38.964715760529089</v>
      </c>
      <c r="AK141" s="55">
        <f t="shared" si="1544"/>
        <v>-25.341411934046391</v>
      </c>
      <c r="AL141" s="55">
        <f t="shared" si="1544"/>
        <v>-40.765154432175677</v>
      </c>
      <c r="AM141" s="55">
        <f t="shared" si="1544"/>
        <v>1.42058652173273</v>
      </c>
      <c r="AN141" s="55">
        <f t="shared" si="1544"/>
        <v>1.6052025731642061</v>
      </c>
      <c r="AO141" s="55">
        <f t="shared" si="1544"/>
        <v>4.2262495388504249</v>
      </c>
      <c r="AP141" s="55">
        <f t="shared" si="1544"/>
        <v>5.2128293313280665</v>
      </c>
      <c r="AQ141" s="55">
        <f t="shared" si="1544"/>
        <v>-22.15347056606015</v>
      </c>
      <c r="AR141" s="55">
        <f t="shared" si="1544"/>
        <v>-29.694480115634633</v>
      </c>
      <c r="AS141" s="55">
        <f t="shared" si="1544"/>
        <v>173.53064193485807</v>
      </c>
      <c r="AT141" s="55">
        <f t="shared" si="1544"/>
        <v>13.443031000000246</v>
      </c>
      <c r="AU141" s="55">
        <f t="shared" si="1544"/>
        <v>1.9201039999998102</v>
      </c>
      <c r="AV141" s="55">
        <f t="shared" si="1544"/>
        <v>2.2237920000002305</v>
      </c>
      <c r="AW141" s="55">
        <f t="shared" si="1544"/>
        <v>-28.094418000000132</v>
      </c>
      <c r="AX141" s="55">
        <f t="shared" si="1544"/>
        <v>-8.0506380000001627</v>
      </c>
      <c r="AY141" s="217">
        <f t="shared" ref="AY141" si="1545">0+(-AX139*AY535)/AY143</f>
        <v>0</v>
      </c>
      <c r="AZ141" s="218">
        <f t="shared" ref="AZ141" si="1546">0+(-AY139*AZ535)/AZ143</f>
        <v>21.877549483506144</v>
      </c>
      <c r="BA141" s="218">
        <f t="shared" ref="BA141" si="1547">0+(-AZ139*BA535)/BA143</f>
        <v>21.851471534064423</v>
      </c>
      <c r="BB141" s="218">
        <f t="shared" ref="BB141" si="1548">0+(-BA139*BB535)/BB143</f>
        <v>0</v>
      </c>
      <c r="BC141" s="218">
        <f>-(1000/BC143)+(-BB139*BC535)/BC143</f>
        <v>-25.80693277340028</v>
      </c>
      <c r="BD141" s="218">
        <f t="shared" ref="BD141:BG141" si="1549">-(1000/BD143)+(-BC139*BD535)/BD143</f>
        <v>-24.695912134678029</v>
      </c>
      <c r="BE141" s="218">
        <f t="shared" si="1549"/>
        <v>-23.632722319963623</v>
      </c>
      <c r="BF141" s="218">
        <f>-(1000/BF143)+(-BE139*BF535)/BF143</f>
        <v>-22.615304152635552</v>
      </c>
      <c r="BG141" s="218">
        <f t="shared" si="1549"/>
        <v>-21.641687106193789</v>
      </c>
      <c r="BH141" s="218">
        <f>-(0/BH143)+(-BG139*BH535)/BH143</f>
        <v>0</v>
      </c>
      <c r="BI141" s="218">
        <f>-(0/BI143)+(-BH139*BI535)/BI143</f>
        <v>0</v>
      </c>
      <c r="BJ141" s="218">
        <f t="shared" ref="BJ141" si="1550">0+(-BI139*BJ535)/BJ143</f>
        <v>0</v>
      </c>
      <c r="BK141" s="218">
        <f t="shared" ref="BK141" si="1551">0+(-BJ139*BK535)/BK143</f>
        <v>0</v>
      </c>
      <c r="BL141" s="218">
        <f t="shared" ref="BL141" si="1552">0+(-BK139*BL535)/BL143</f>
        <v>0</v>
      </c>
      <c r="BM141" s="218">
        <f t="shared" ref="BM141" si="1553">0+(-BL139*BM535)/BM143</f>
        <v>0</v>
      </c>
      <c r="BN141" s="218">
        <f t="shared" ref="BN141" si="1554">0+(-BM139*BN535)/BN143</f>
        <v>0</v>
      </c>
      <c r="BO141" s="218">
        <f t="shared" ref="BO141" si="1555">0+(-BN139*BO535)/BO143</f>
        <v>0</v>
      </c>
      <c r="BP141" s="218">
        <f t="shared" ref="BP141" si="1556">0+(-BO139*BP535)/BP143</f>
        <v>0</v>
      </c>
      <c r="BQ141" s="218">
        <f t="shared" ref="BQ141" si="1557">0+(-BP139*BQ535)/BQ143</f>
        <v>0</v>
      </c>
      <c r="BR141" s="55"/>
      <c r="BS141" s="55">
        <f t="shared" ref="BS141:CB141" si="1558">BS543-BR543</f>
        <v>1062.911884655161</v>
      </c>
      <c r="BT141" s="55">
        <f t="shared" si="1558"/>
        <v>255.72379813846783</v>
      </c>
      <c r="BU141" s="55">
        <f t="shared" si="1558"/>
        <v>45.74269468574289</v>
      </c>
      <c r="BV141" s="55">
        <f t="shared" si="1558"/>
        <v>93.204812889205186</v>
      </c>
      <c r="BW141" s="55">
        <f t="shared" si="1558"/>
        <v>32.297365349375013</v>
      </c>
      <c r="BX141" s="55">
        <f t="shared" si="1558"/>
        <v>30.704206086972363</v>
      </c>
      <c r="BY141" s="55">
        <f t="shared" si="1558"/>
        <v>31.13623516509665</v>
      </c>
      <c r="BZ141" s="55">
        <f t="shared" si="1558"/>
        <v>26.195100021570397</v>
      </c>
      <c r="CA141" s="55">
        <f t="shared" si="1558"/>
        <v>-59.700942257021779</v>
      </c>
      <c r="CB141" s="55">
        <f t="shared" si="1558"/>
        <v>-18.042790645165951</v>
      </c>
      <c r="CC141" s="55">
        <f t="shared" ref="CC141:CS141" si="1559">CC543-CB543</f>
        <v>15.724443243831729</v>
      </c>
      <c r="CD141" s="55">
        <f t="shared" si="1559"/>
        <v>17.941992932064295</v>
      </c>
      <c r="CE141" s="55">
        <f t="shared" si="1559"/>
        <v>299.06681477210645</v>
      </c>
      <c r="CF141" s="55">
        <f t="shared" si="1559"/>
        <v>8.0638170481188354</v>
      </c>
      <c r="CG141" s="55">
        <f t="shared" si="1559"/>
        <v>10.281366736351401</v>
      </c>
      <c r="CH141" s="55">
        <f t="shared" si="1559"/>
        <v>28.324157381517352</v>
      </c>
      <c r="CI141" s="55">
        <f t="shared" si="1559"/>
        <v>177.40397505861415</v>
      </c>
      <c r="CJ141" s="55">
        <f t="shared" si="1559"/>
        <v>467.49979336468778</v>
      </c>
      <c r="CK141" s="55">
        <f t="shared" si="1559"/>
        <v>55.640337632019509</v>
      </c>
      <c r="CL141" s="55">
        <f t="shared" si="1559"/>
        <v>69.852815179329809</v>
      </c>
      <c r="CM141" s="55">
        <f t="shared" si="1559"/>
        <v>89.105178381712904</v>
      </c>
      <c r="CN141" s="55">
        <f t="shared" si="1559"/>
        <v>26.509798545690046</v>
      </c>
      <c r="CO141" s="55">
        <f t="shared" si="1559"/>
        <v>13.002904990091793</v>
      </c>
      <c r="CP141" s="55">
        <f t="shared" si="1559"/>
        <v>147.26545884126972</v>
      </c>
      <c r="CQ141" s="55">
        <f t="shared" si="1559"/>
        <v>24.99783284916839</v>
      </c>
      <c r="CR141" s="55">
        <f t="shared" si="1559"/>
        <v>9.9944228625345204</v>
      </c>
      <c r="CS141" s="55">
        <f t="shared" si="1559"/>
        <v>-64.30612769457548</v>
      </c>
      <c r="CT141" s="55">
        <f t="shared" ref="CT141" si="1560">CT543-CS543</f>
        <v>-39.344567910442947</v>
      </c>
      <c r="CU141" s="55">
        <f t="shared" ref="CU141" si="1561">CU543-CT543</f>
        <v>5.831452112014631</v>
      </c>
      <c r="CV141" s="55">
        <f t="shared" ref="CV141" si="1562">CV543-CU543</f>
        <v>-16.940641234732084</v>
      </c>
      <c r="CW141" s="55">
        <f t="shared" ref="CW141" si="1563">CW543-CV543</f>
        <v>143.83616181922343</v>
      </c>
      <c r="CX141" s="55">
        <f t="shared" ref="CX141:DI141" si="1564">CX543-CW543</f>
        <v>15.363135000000057</v>
      </c>
      <c r="CY141" s="55">
        <f t="shared" si="1564"/>
        <v>-25.870625999999902</v>
      </c>
      <c r="CZ141" s="217">
        <f t="shared" si="1564"/>
        <v>4.1039200000000164</v>
      </c>
      <c r="DA141" s="55">
        <f t="shared" si="1564"/>
        <v>43.729021017570631</v>
      </c>
      <c r="DB141" s="55">
        <f t="shared" si="1564"/>
        <v>-25.806932773400149</v>
      </c>
      <c r="DC141" s="55">
        <f t="shared" si="1564"/>
        <v>-48.328634454641815</v>
      </c>
      <c r="DD141" s="55">
        <f t="shared" si="1564"/>
        <v>-44.256991258829203</v>
      </c>
      <c r="DE141" s="55">
        <f t="shared" si="1564"/>
        <v>0</v>
      </c>
      <c r="DF141" s="55">
        <f t="shared" si="1564"/>
        <v>0</v>
      </c>
      <c r="DG141" s="55">
        <f t="shared" si="1564"/>
        <v>0</v>
      </c>
      <c r="DH141" s="55">
        <f t="shared" si="1564"/>
        <v>0</v>
      </c>
      <c r="DI141" s="55">
        <f t="shared" si="1564"/>
        <v>0</v>
      </c>
    </row>
    <row r="142" spans="1:113" ht="12" outlineLevel="1">
      <c r="A142" s="1" t="s">
        <v>1052</v>
      </c>
      <c r="B142" s="15" t="s">
        <v>413</v>
      </c>
      <c r="C142" s="380">
        <f>C857*15.351986</f>
        <v>15.230490382796001</v>
      </c>
      <c r="D142" s="380">
        <f>D857*17.0716</f>
        <v>16.936495357600002</v>
      </c>
      <c r="E142" s="380">
        <f>E857*16.956355</f>
        <v>16.822162406529998</v>
      </c>
      <c r="F142" s="380">
        <f>F857*17.10046</f>
        <v>16.965126959560003</v>
      </c>
      <c r="G142" s="381">
        <f>G857*17.17</f>
        <v>17.034116620000002</v>
      </c>
      <c r="H142" s="381">
        <f>H857*18.96</f>
        <v>18.809950560000001</v>
      </c>
      <c r="I142" s="381">
        <f>I857*19.02</f>
        <v>18.869475720000001</v>
      </c>
      <c r="J142" s="381">
        <f>J857*20.62</f>
        <v>20.456813320000002</v>
      </c>
      <c r="K142" s="381">
        <f>K857*24</f>
        <v>23.810064000000001</v>
      </c>
      <c r="L142" s="381">
        <f>L857*26.5</f>
        <v>26.290279000000002</v>
      </c>
      <c r="M142" s="57">
        <f>M857*26.86</f>
        <v>26.64742996</v>
      </c>
      <c r="N142" s="57">
        <f>N857*29.7</f>
        <v>29.464954200000001</v>
      </c>
      <c r="O142" s="57">
        <f>O857*29.7</f>
        <v>29.464954200000001</v>
      </c>
      <c r="P142" s="57">
        <f>P857*22.55</f>
        <v>22.371539300000002</v>
      </c>
      <c r="Q142" s="57">
        <f>Q857*18.75</f>
        <v>18.601612500000002</v>
      </c>
      <c r="R142" s="57">
        <f>R857*15.75</f>
        <v>15.6253545</v>
      </c>
      <c r="S142" s="57">
        <f>S857*24.39</f>
        <v>24.196977540000002</v>
      </c>
      <c r="T142" s="57">
        <f>T857*25.36</f>
        <v>25.159300959999999</v>
      </c>
      <c r="U142" s="57">
        <f>U857*23.68</f>
        <v>23.49259648</v>
      </c>
      <c r="V142" s="57">
        <f>V857*23.81</f>
        <v>23.62156766</v>
      </c>
      <c r="W142" s="57">
        <f>W857*19.52</f>
        <v>19.365518720000001</v>
      </c>
      <c r="X142" s="57">
        <f>X857*23.26</f>
        <v>23.075920360000001</v>
      </c>
      <c r="Y142" s="230">
        <f>Y857*24.75</f>
        <v>24.554128500000001</v>
      </c>
      <c r="Z142" s="335">
        <f>Z857*28.53</f>
        <v>28.304213580000003</v>
      </c>
      <c r="AA142" s="335">
        <f>AA857*30.78</f>
        <v>30.536407080000004</v>
      </c>
      <c r="AB142" s="401">
        <f>AB857*33.06</f>
        <v>32.798363160000001</v>
      </c>
      <c r="AC142" s="401">
        <f>AC857*30.92</f>
        <v>30.675299120000002</v>
      </c>
      <c r="AD142" s="401">
        <f>AD857*36.64</f>
        <v>36.350031040000005</v>
      </c>
      <c r="AE142" s="401">
        <f>AE857*27.08</f>
        <v>26.86568888</v>
      </c>
      <c r="AF142" s="401">
        <f>AF857*23.46</f>
        <v>23.274337560000003</v>
      </c>
      <c r="AG142" s="401">
        <f>AG857*27.63</f>
        <v>27.411336179999999</v>
      </c>
      <c r="AH142" s="401">
        <f>AH857*31.82</f>
        <v>31.568176520000002</v>
      </c>
      <c r="AI142" s="401">
        <f>AI857*29.6</f>
        <v>29.3657456</v>
      </c>
      <c r="AJ142" s="401">
        <f>AJ857*26.86</f>
        <v>26.64742996</v>
      </c>
      <c r="AK142" s="401">
        <f>AK857*28.18</f>
        <v>27.956983480000002</v>
      </c>
      <c r="AL142" s="401">
        <f>AL857*26.03</f>
        <v>25.823998580000001</v>
      </c>
      <c r="AM142" s="401">
        <f>AM857*28.52</f>
        <v>28.294292720000001</v>
      </c>
      <c r="AN142" s="401">
        <f>AN857*16.96</f>
        <v>16.82577856</v>
      </c>
      <c r="AO142" s="401">
        <f>AO857*17.22</f>
        <v>17.083720919999998</v>
      </c>
      <c r="AP142" s="335">
        <f>AP857*28.18</f>
        <v>27.956983480000002</v>
      </c>
      <c r="AQ142" s="335">
        <f>AQ857*28.15</f>
        <v>27.927220899999998</v>
      </c>
      <c r="AR142" s="335">
        <f>AR857*27.6</f>
        <v>27.381573600000003</v>
      </c>
      <c r="AS142" s="335">
        <v>22.8</v>
      </c>
      <c r="AT142" s="335">
        <v>22.93</v>
      </c>
      <c r="AU142" s="335">
        <v>25.66</v>
      </c>
      <c r="AV142" s="335">
        <v>29.4</v>
      </c>
      <c r="AW142" s="335">
        <v>30.48</v>
      </c>
      <c r="AX142" s="335">
        <v>29.09</v>
      </c>
      <c r="AY142" s="511">
        <v>33.21</v>
      </c>
      <c r="AZ142" s="56">
        <f>AY142*(1+Summary!$G$8)^(1/2)</f>
        <v>34.704052748922571</v>
      </c>
      <c r="BA142" s="56">
        <f>AZ142*(1+Summary!$G$8)^(1/2)</f>
        <v>36.26532000000001</v>
      </c>
      <c r="BB142" s="56">
        <f>BA142*(1+Summary!$G$8)^(1/2)</f>
        <v>37.896825601823458</v>
      </c>
      <c r="BC142" s="56">
        <f>BB142*(1+Summary!$G$8)^(1/2)</f>
        <v>39.601729440000021</v>
      </c>
      <c r="BD142" s="56">
        <f>BC142*(1+Summary!$G$8)^(1/2)</f>
        <v>41.383333557191229</v>
      </c>
      <c r="BE142" s="56">
        <f>BD142*(1+Summary!$G$8)^(1/2)</f>
        <v>43.245088548480034</v>
      </c>
      <c r="BF142" s="56">
        <f>BE142*(1+Summary!$G$8)^(1/2)</f>
        <v>45.190600244452831</v>
      </c>
      <c r="BG142" s="56">
        <f>BF142*(1+Summary!$G$8)^(1/2)</f>
        <v>47.223636694940204</v>
      </c>
      <c r="BH142" s="56">
        <f>BG142*(1+Summary!$G$8)^(1/2)</f>
        <v>49.348135466942502</v>
      </c>
      <c r="BI142" s="56">
        <f>BH142*(1+Summary!$G$8)^(1/2)</f>
        <v>51.56821127087472</v>
      </c>
      <c r="BJ142" s="56">
        <f>BI142*(1+Summary!$G$8)^(1/2)</f>
        <v>53.888163929901225</v>
      </c>
      <c r="BK142" s="56">
        <f>BJ142*(1+Summary!$G$8)^(1/2)</f>
        <v>56.312486707795202</v>
      </c>
      <c r="BL142" s="56">
        <f>BK142*(1+Summary!$G$8)^(1/2)</f>
        <v>58.845875011452151</v>
      </c>
      <c r="BM142" s="56">
        <f>BL142*(1+Summary!$G$8)^(1/2)</f>
        <v>61.493235484912375</v>
      </c>
      <c r="BN142" s="56">
        <f>BM142*(1+Summary!$G$8)^(1/2)</f>
        <v>64.259695512505758</v>
      </c>
      <c r="BO142" s="56">
        <f>BN142*(1+Summary!$G$8)^(1/2)</f>
        <v>67.150613149524318</v>
      </c>
      <c r="BP142" s="56">
        <f>BO142*(1+Summary!$G$8)^(1/2)</f>
        <v>70.171587499656297</v>
      </c>
      <c r="BQ142" s="56">
        <f>BP142*(1+Summary!$G$8)^(1/2)</f>
        <v>73.328469559280578</v>
      </c>
      <c r="BR142" s="56"/>
      <c r="BS142" s="380">
        <f>BS857*2.51</f>
        <v>2.4901358599999996</v>
      </c>
      <c r="BT142" s="380">
        <f>BT857*4.44</f>
        <v>4.4048618400000006</v>
      </c>
      <c r="BU142" s="380">
        <f>BU857*3.73</f>
        <v>3.7004807799999999</v>
      </c>
      <c r="BV142" s="380">
        <f>BV857*6.27</f>
        <v>6.2203792199999999</v>
      </c>
      <c r="BW142" s="380">
        <f>BW857*6.945861</f>
        <v>6.890891456046</v>
      </c>
      <c r="BX142" s="380">
        <f>BX857*10.836696</f>
        <v>10.750934387856001</v>
      </c>
      <c r="BY142" s="380">
        <f>BY857*8.662632</f>
        <v>8.594075930352</v>
      </c>
      <c r="BZ142" s="380">
        <f>BZ857*9.847175</f>
        <v>9.7692444570500001</v>
      </c>
      <c r="CA142" s="380">
        <f>CA857*12.758096</f>
        <v>12.657128428256</v>
      </c>
      <c r="CB142" s="381">
        <f>CB857*15.351986</f>
        <v>15.230490382796001</v>
      </c>
      <c r="CC142" s="56">
        <f>E142</f>
        <v>16.822162406529998</v>
      </c>
      <c r="CD142" s="56">
        <f>G142</f>
        <v>17.034116620000002</v>
      </c>
      <c r="CE142" s="56">
        <f>I142</f>
        <v>18.869475720000001</v>
      </c>
      <c r="CF142" s="56">
        <f>K142</f>
        <v>23.810064000000001</v>
      </c>
      <c r="CG142" s="56">
        <f>M142</f>
        <v>26.64742996</v>
      </c>
      <c r="CH142" s="56">
        <f>O142</f>
        <v>29.464954200000001</v>
      </c>
      <c r="CI142" s="56">
        <f>Q142</f>
        <v>18.601612500000002</v>
      </c>
      <c r="CJ142" s="56">
        <f>S142</f>
        <v>24.196977540000002</v>
      </c>
      <c r="CK142" s="56">
        <f>U142</f>
        <v>23.49259648</v>
      </c>
      <c r="CL142" s="56">
        <f>W142</f>
        <v>19.365518720000001</v>
      </c>
      <c r="CM142" s="59">
        <f>Y142</f>
        <v>24.554128500000001</v>
      </c>
      <c r="CN142" s="59">
        <f>AA142</f>
        <v>30.536407080000004</v>
      </c>
      <c r="CO142" s="59">
        <f>AC142</f>
        <v>30.675299120000002</v>
      </c>
      <c r="CP142" s="59">
        <f>AE142</f>
        <v>26.86568888</v>
      </c>
      <c r="CQ142" s="59">
        <f>AG142</f>
        <v>27.411336179999999</v>
      </c>
      <c r="CR142" s="59">
        <f>AI142</f>
        <v>29.3657456</v>
      </c>
      <c r="CS142" s="59">
        <f>AK142</f>
        <v>27.956983480000002</v>
      </c>
      <c r="CT142" s="59">
        <f>AM142</f>
        <v>28.294292720000001</v>
      </c>
      <c r="CU142" s="59">
        <f>AO142</f>
        <v>17.083720919999998</v>
      </c>
      <c r="CV142" s="59">
        <f>AQ142</f>
        <v>27.927220899999998</v>
      </c>
      <c r="CW142" s="59">
        <f>AS142</f>
        <v>22.8</v>
      </c>
      <c r="CX142" s="59">
        <f>AU142</f>
        <v>25.66</v>
      </c>
      <c r="CY142" s="59">
        <f>AW142</f>
        <v>30.48</v>
      </c>
      <c r="CZ142" s="58">
        <f>AY142</f>
        <v>33.21</v>
      </c>
      <c r="DA142" s="56">
        <f>BA142</f>
        <v>36.26532000000001</v>
      </c>
      <c r="DB142" s="56">
        <f>BC142</f>
        <v>39.601729440000021</v>
      </c>
      <c r="DC142" s="56">
        <f>BE142</f>
        <v>43.245088548480034</v>
      </c>
      <c r="DD142" s="56">
        <f>BG142</f>
        <v>47.223636694940204</v>
      </c>
      <c r="DE142" s="56">
        <f>BI142</f>
        <v>51.56821127087472</v>
      </c>
      <c r="DF142" s="56">
        <f>BK142</f>
        <v>56.312486707795202</v>
      </c>
      <c r="DG142" s="56">
        <f>BM142</f>
        <v>61.493235484912375</v>
      </c>
      <c r="DH142" s="56">
        <f>BO142</f>
        <v>67.150613149524318</v>
      </c>
      <c r="DI142" s="56">
        <f>BQ142</f>
        <v>73.328469559280578</v>
      </c>
    </row>
    <row r="143" spans="1:113" ht="12" outlineLevel="1">
      <c r="A143" s="1" t="s">
        <v>635</v>
      </c>
      <c r="B143" s="15" t="s">
        <v>419</v>
      </c>
      <c r="C143" s="382" t="e">
        <f t="shared" ref="C143:S143" si="1565">C537/C141</f>
        <v>#VALUE!</v>
      </c>
      <c r="D143" s="382">
        <f t="shared" si="1565"/>
        <v>12.199976486486637</v>
      </c>
      <c r="E143" s="382">
        <f t="shared" si="1565"/>
        <v>13.913401219511965</v>
      </c>
      <c r="F143" s="382">
        <f t="shared" si="1565"/>
        <v>12.427182526315681</v>
      </c>
      <c r="G143" s="382">
        <f t="shared" si="1565"/>
        <v>13.984826746988197</v>
      </c>
      <c r="H143" s="382">
        <f t="shared" si="1565"/>
        <v>12.774189368237343</v>
      </c>
      <c r="I143" s="382">
        <f t="shared" si="1565"/>
        <v>13.908656666666781</v>
      </c>
      <c r="J143" s="382">
        <f t="shared" si="1565"/>
        <v>3.4607651162790143</v>
      </c>
      <c r="K143" s="382">
        <f t="shared" si="1565"/>
        <v>25.472478378378693</v>
      </c>
      <c r="L143" s="382">
        <f t="shared" si="1565"/>
        <v>6.4701260869563448</v>
      </c>
      <c r="M143" s="56">
        <f t="shared" si="1565"/>
        <v>25.492842784810598</v>
      </c>
      <c r="N143" s="56">
        <f t="shared" si="1565"/>
        <v>17.514604691357608</v>
      </c>
      <c r="O143" s="56">
        <f t="shared" si="1565"/>
        <v>26.389487600000223</v>
      </c>
      <c r="P143" s="56">
        <f t="shared" si="1565"/>
        <v>25.108349382715954</v>
      </c>
      <c r="Q143" s="56">
        <f t="shared" si="1565"/>
        <v>18.361491098072079</v>
      </c>
      <c r="R143" s="56">
        <f t="shared" si="1565"/>
        <v>13.089788875638892</v>
      </c>
      <c r="S143" s="56">
        <f t="shared" si="1565"/>
        <v>14.357179901847571</v>
      </c>
      <c r="T143" s="59">
        <f>(T537+68+366)/T141</f>
        <v>19.739090413793125</v>
      </c>
      <c r="U143" s="56">
        <f t="shared" ref="U143:Z143" si="1566">(U537)/U141</f>
        <v>22.416599694656714</v>
      </c>
      <c r="V143" s="56">
        <f t="shared" si="1566"/>
        <v>19.138879782016147</v>
      </c>
      <c r="W143" s="56">
        <f t="shared" si="1566"/>
        <v>22.793632331288201</v>
      </c>
      <c r="X143" s="56">
        <f t="shared" si="1566"/>
        <v>16.737767762376283</v>
      </c>
      <c r="Y143" s="59">
        <f t="shared" si="1566"/>
        <v>22.904360158311245</v>
      </c>
      <c r="Z143" s="336">
        <f t="shared" si="1566"/>
        <v>21.539205551331246</v>
      </c>
      <c r="AA143" s="359">
        <f>26.04*AVERAGE(Z142:AA142)/AVERAGE(Y142:Z142)</f>
        <v>28.987094594594595</v>
      </c>
      <c r="AB143" s="59">
        <f t="shared" ref="AB143" si="1567">AA143*AVERAGE(AA142:AB142)/AVERAGE(Z142:AA142)</f>
        <v>31.201081081081082</v>
      </c>
      <c r="AC143" s="359">
        <f>(11268833*33.3+1171563+7829*22.8)/(11268833+1171563+7829)</f>
        <v>30.253486187789822</v>
      </c>
      <c r="AD143" s="401">
        <v>32.020000000000003</v>
      </c>
      <c r="AE143" s="59">
        <f t="shared" ref="AE143" si="1568">AD143*AVERAGE(AD142:AE142)/AVERAGE(AC142:AD142)</f>
        <v>30.200035523978688</v>
      </c>
      <c r="AF143" s="425">
        <f>(1.739034*0+(7.937264+4.5)*27.08+0.627319*27.79)/(1.739034+(7.937264+4.5)+0.627319)</f>
        <v>23.928902249362437</v>
      </c>
      <c r="AG143" s="59">
        <f>AF143*AVERAGE(AF142:AG142)/AVERAGE(AE142:AF142)</f>
        <v>24.189307794220955</v>
      </c>
      <c r="AH143" s="425">
        <f>(1.501691*0+(7.058658)*28.16)/(1.501691+7.058658)</f>
        <v>23.220059051330736</v>
      </c>
      <c r="AI143" s="59">
        <f t="shared" ref="AI143:AJ143" si="1569">(AI537)/AI141</f>
        <v>37.428570184813005</v>
      </c>
      <c r="AJ143" s="59">
        <f t="shared" si="1569"/>
        <v>29.642202630155069</v>
      </c>
      <c r="AK143" s="59">
        <f t="shared" ref="AK143:AL143" si="1570">(AK537)/AK141</f>
        <v>32.121335706097121</v>
      </c>
      <c r="AL143" s="59">
        <f t="shared" si="1570"/>
        <v>28.382083083359724</v>
      </c>
      <c r="AM143" s="59">
        <f t="shared" ref="AM143:AO143" si="1571">(AM537)/AM141</f>
        <v>26.045580071300439</v>
      </c>
      <c r="AN143" s="59">
        <f t="shared" si="1571"/>
        <v>-31.14871657689848</v>
      </c>
      <c r="AO143" s="59">
        <f t="shared" si="1571"/>
        <v>21.295477035291377</v>
      </c>
      <c r="AP143" s="59">
        <f t="shared" ref="AP143:AQ143" si="1572">(AP537)/AP141</f>
        <v>16.114089808230766</v>
      </c>
      <c r="AQ143" s="59">
        <f t="shared" si="1572"/>
        <v>28.483121780779253</v>
      </c>
      <c r="AR143" s="59">
        <f t="shared" ref="AR143:AT143" si="1573">(AR537)/AR141</f>
        <v>30.072929262358791</v>
      </c>
      <c r="AS143" s="59">
        <f t="shared" si="1573"/>
        <v>1.2043982415420145</v>
      </c>
      <c r="AT143" s="59">
        <f t="shared" si="1573"/>
        <v>19.266488338827401</v>
      </c>
      <c r="AU143" s="59">
        <f t="shared" ref="AU143" si="1574">(AU537)/AU141</f>
        <v>13.540933199453034</v>
      </c>
      <c r="AV143" s="59">
        <f>AVERAGE(AU142:AV142)</f>
        <v>27.53</v>
      </c>
      <c r="AW143" s="59">
        <f>AVERAGE(AV142:AW142)</f>
        <v>29.939999999999998</v>
      </c>
      <c r="AX143" s="335">
        <f>AVERAGE(AW142:AX142)</f>
        <v>29.785</v>
      </c>
      <c r="AY143" s="511">
        <f>AVERAGE(AX142:AY142)</f>
        <v>31.15</v>
      </c>
      <c r="AZ143" s="56">
        <f t="shared" ref="AZ143" si="1575">AY143*AVERAGE(AY142:AZ142)/AVERAGE(AX142:AY142)</f>
        <v>33.957026374461286</v>
      </c>
      <c r="BA143" s="56">
        <f t="shared" ref="BA143" si="1576">AZ143*AVERAGE(AZ142:BA142)/AVERAGE(AY142:AZ142)</f>
        <v>35.48468637446129</v>
      </c>
      <c r="BB143" s="56">
        <f t="shared" ref="BB143" si="1577">BA143*AVERAGE(BA142:BB142)/AVERAGE(AZ142:BA142)</f>
        <v>37.081072800911734</v>
      </c>
      <c r="BC143" s="56">
        <f t="shared" ref="BC143" si="1578">BB143*AVERAGE(BB142:BC142)/AVERAGE(BA142:BB142)</f>
        <v>38.74927752091174</v>
      </c>
      <c r="BD143" s="56">
        <f t="shared" ref="BD143" si="1579">BC143*AVERAGE(BC142:BD142)/AVERAGE(BB142:BC142)</f>
        <v>40.492531498595625</v>
      </c>
      <c r="BE143" s="56">
        <f t="shared" ref="BE143" si="1580">BD143*AVERAGE(BD142:BE142)/AVERAGE(BC142:BD142)</f>
        <v>42.314211052835631</v>
      </c>
      <c r="BF143" s="56">
        <f t="shared" ref="BF143" si="1581">BE143*AVERAGE(BE142:BF142)/AVERAGE(BD142:BE142)</f>
        <v>44.217844396466432</v>
      </c>
      <c r="BG143" s="56">
        <f t="shared" ref="BG143:BK143" si="1582">BF143*AVERAGE(BF142:BG142)/AVERAGE(BE142:BF142)</f>
        <v>46.207118469696518</v>
      </c>
      <c r="BH143" s="56">
        <f t="shared" si="1582"/>
        <v>48.285886080941353</v>
      </c>
      <c r="BI143" s="56">
        <f t="shared" si="1582"/>
        <v>50.458173368908611</v>
      </c>
      <c r="BJ143" s="56">
        <f t="shared" si="1582"/>
        <v>52.728187600387969</v>
      </c>
      <c r="BK143" s="56">
        <f t="shared" si="1582"/>
        <v>55.100325318848206</v>
      </c>
      <c r="BL143" s="56">
        <f t="shared" ref="BL143" si="1583">BK143*AVERAGE(BK142:BL142)/AVERAGE(BJ142:BK142)</f>
        <v>57.579180859623669</v>
      </c>
      <c r="BM143" s="56">
        <f t="shared" ref="BM143" si="1584">BL143*AVERAGE(BL142:BM142)/AVERAGE(BK142:BL142)</f>
        <v>60.169555248182256</v>
      </c>
      <c r="BN143" s="56">
        <f t="shared" ref="BN143" si="1585">BM143*AVERAGE(BM142:BN142)/AVERAGE(BL142:BM142)</f>
        <v>62.876465498709052</v>
      </c>
      <c r="BO143" s="56">
        <f t="shared" ref="BO143" si="1586">BN143*AVERAGE(BN142:BO142)/AVERAGE(BM142:BN142)</f>
        <v>65.705154331015024</v>
      </c>
      <c r="BP143" s="56">
        <f t="shared" ref="BP143" si="1587">BO143*AVERAGE(BO142:BP142)/AVERAGE(BN142:BO142)</f>
        <v>68.661100324590294</v>
      </c>
      <c r="BQ143" s="56">
        <f t="shared" ref="BQ143" si="1588">BP143*AVERAGE(BP142:BQ142)/AVERAGE(BO142:BP142)</f>
        <v>71.750028529468423</v>
      </c>
      <c r="BR143" s="56"/>
      <c r="BS143" s="382">
        <f t="shared" ref="BS143:CY143" si="1589">BS537/BS141</f>
        <v>0.13067875334281648</v>
      </c>
      <c r="BT143" s="382">
        <f t="shared" si="1589"/>
        <v>0.58696140559716203</v>
      </c>
      <c r="BU143" s="382">
        <f t="shared" si="1589"/>
        <v>0.98376364377207592</v>
      </c>
      <c r="BV143" s="382">
        <f t="shared" si="1589"/>
        <v>0.92269913252473645</v>
      </c>
      <c r="BW143" s="382">
        <f t="shared" si="1589"/>
        <v>4.7372285121380866</v>
      </c>
      <c r="BX143" s="382">
        <f t="shared" si="1589"/>
        <v>7.165142110394604</v>
      </c>
      <c r="BY143" s="382">
        <f t="shared" si="1589"/>
        <v>7.9007625262209951</v>
      </c>
      <c r="BZ143" s="382">
        <f t="shared" si="1589"/>
        <v>7.2150898391060787</v>
      </c>
      <c r="CA143" s="382">
        <f t="shared" si="1589"/>
        <v>12.428614556962524</v>
      </c>
      <c r="CB143" s="382">
        <f t="shared" si="1589"/>
        <v>16.350020670390965</v>
      </c>
      <c r="CC143" s="56">
        <f t="shared" si="1589"/>
        <v>13.100622820512783</v>
      </c>
      <c r="CD143" s="56">
        <f t="shared" si="1589"/>
        <v>13.153499775280945</v>
      </c>
      <c r="CE143" s="56">
        <f t="shared" si="1589"/>
        <v>12.813190266262218</v>
      </c>
      <c r="CF143" s="56">
        <f t="shared" si="1589"/>
        <v>13.64118249999996</v>
      </c>
      <c r="CG143" s="56">
        <f t="shared" si="1589"/>
        <v>21.20340666666684</v>
      </c>
      <c r="CH143" s="56">
        <f t="shared" si="1589"/>
        <v>23.831247330960835</v>
      </c>
      <c r="CI143" s="56">
        <f t="shared" si="1589"/>
        <v>20.535052829545421</v>
      </c>
      <c r="CJ143" s="56">
        <f t="shared" si="1589"/>
        <v>14.036369840448479</v>
      </c>
      <c r="CK143" s="56">
        <f t="shared" si="1589"/>
        <v>13.209840760869636</v>
      </c>
      <c r="CL143" s="56">
        <f t="shared" si="1589"/>
        <v>20.858142886002707</v>
      </c>
      <c r="CM143" s="59">
        <f t="shared" si="1589"/>
        <v>19.381589615384609</v>
      </c>
      <c r="CN143" s="59">
        <f t="shared" si="1589"/>
        <v>23.500744410646874</v>
      </c>
      <c r="CO143" s="59">
        <f t="shared" si="1589"/>
        <v>29.993297674418127</v>
      </c>
      <c r="CP143" s="59">
        <f t="shared" si="1589"/>
        <v>7.6596372895277254</v>
      </c>
      <c r="CQ143" s="59">
        <f t="shared" si="1589"/>
        <v>15.921380161290276</v>
      </c>
      <c r="CR143" s="59">
        <f t="shared" si="1589"/>
        <v>32.318024206361159</v>
      </c>
      <c r="CS143" s="59">
        <f t="shared" si="1589"/>
        <v>30.619166020256174</v>
      </c>
      <c r="CT143" s="59">
        <f t="shared" si="1589"/>
        <v>28.466445547181277</v>
      </c>
      <c r="CU143" s="59">
        <f t="shared" si="1589"/>
        <v>6.8593549653931616</v>
      </c>
      <c r="CV143" s="59">
        <f t="shared" si="1589"/>
        <v>32.289214582888889</v>
      </c>
      <c r="CW143" s="59">
        <f t="shared" si="1589"/>
        <v>-4.7554105403595708</v>
      </c>
      <c r="CX143" s="59">
        <f t="shared" si="1589"/>
        <v>18.550901232072682</v>
      </c>
      <c r="CY143" s="59">
        <f t="shared" si="1589"/>
        <v>23.926749975049013</v>
      </c>
      <c r="CZ143" s="58">
        <f t="shared" ref="CZ143" si="1590">CZ537/CZ141</f>
        <v>-73.344509639563825</v>
      </c>
      <c r="DA143" s="56">
        <f t="shared" ref="DA143:DF143" si="1591">DA537/DA141</f>
        <v>34.720400861859801</v>
      </c>
      <c r="DB143" s="56">
        <f t="shared" si="1591"/>
        <v>38.749277520911939</v>
      </c>
      <c r="DC143" s="56">
        <f t="shared" si="1591"/>
        <v>41.383333557191087</v>
      </c>
      <c r="DD143" s="56">
        <f t="shared" si="1591"/>
        <v>45.190600244452973</v>
      </c>
      <c r="DE143" s="56" t="e">
        <f t="shared" si="1591"/>
        <v>#DIV/0!</v>
      </c>
      <c r="DF143" s="56" t="e">
        <f t="shared" si="1591"/>
        <v>#DIV/0!</v>
      </c>
      <c r="DG143" s="56" t="e">
        <f t="shared" ref="DG143" si="1592">DG537/DG141</f>
        <v>#DIV/0!</v>
      </c>
      <c r="DH143" s="56" t="e">
        <f>DH537/DH141</f>
        <v>#DIV/0!</v>
      </c>
      <c r="DI143" s="56" t="e">
        <f>DI537/DI141</f>
        <v>#DIV/0!</v>
      </c>
    </row>
    <row r="144" spans="1:113" ht="12" outlineLevel="1">
      <c r="AC144" s="41"/>
      <c r="AD144" s="41"/>
      <c r="AE144" s="41"/>
      <c r="AF144" s="37"/>
      <c r="AG144" s="434"/>
      <c r="AH144" s="41"/>
      <c r="AI144" s="109"/>
      <c r="AJ144" s="41"/>
      <c r="AK144" s="41"/>
      <c r="AL144" s="501"/>
      <c r="AM144" s="501"/>
      <c r="AN144" s="501"/>
      <c r="AO144" s="501"/>
      <c r="AP144" s="501"/>
      <c r="AQ144" s="501"/>
      <c r="AR144" s="501"/>
      <c r="AS144" s="501"/>
      <c r="AT144" s="501"/>
      <c r="AU144" s="501"/>
      <c r="AV144" s="501"/>
      <c r="AW144" s="501"/>
      <c r="AX144" s="501"/>
      <c r="AY144" s="496"/>
      <c r="CP144" s="43"/>
      <c r="CQ144" s="43"/>
      <c r="CR144" s="43"/>
      <c r="CS144" s="43"/>
      <c r="CT144" s="43"/>
      <c r="CU144" s="43"/>
      <c r="CV144" s="43"/>
      <c r="CW144" s="43"/>
      <c r="CX144" s="43"/>
      <c r="CY144" s="43"/>
      <c r="CZ144" s="200"/>
      <c r="DB144" s="15"/>
      <c r="DC144" s="15"/>
      <c r="DD144" s="15"/>
      <c r="DE144" s="15"/>
      <c r="DF144" s="15"/>
      <c r="DG144" s="15"/>
      <c r="DH144" s="15"/>
      <c r="DI144" s="15"/>
    </row>
    <row r="145" spans="1:113" ht="12" outlineLevel="1">
      <c r="A145" s="1" t="s">
        <v>866</v>
      </c>
      <c r="B145" s="15" t="s">
        <v>420</v>
      </c>
      <c r="C145" s="207">
        <v>0.5</v>
      </c>
      <c r="D145" s="207">
        <v>0.5</v>
      </c>
      <c r="E145" s="207">
        <v>0.5</v>
      </c>
      <c r="F145" s="207">
        <v>0.5</v>
      </c>
      <c r="G145" s="207">
        <v>0.5</v>
      </c>
      <c r="H145" s="207">
        <v>0.5</v>
      </c>
      <c r="I145" s="207">
        <v>0.5</v>
      </c>
      <c r="J145" s="207">
        <v>0.5</v>
      </c>
      <c r="K145" s="207">
        <v>0.5</v>
      </c>
      <c r="L145" s="207">
        <v>0.5</v>
      </c>
      <c r="M145" s="30">
        <v>0.5</v>
      </c>
      <c r="N145" s="30">
        <v>0.5</v>
      </c>
      <c r="O145" s="30">
        <v>0.5</v>
      </c>
      <c r="P145" s="30">
        <v>0.5</v>
      </c>
      <c r="Q145" s="30">
        <f t="shared" ref="Q145:AC145" si="1593">Q610/Q176</f>
        <v>0.19377680206567857</v>
      </c>
      <c r="R145" s="30">
        <f t="shared" si="1593"/>
        <v>0.19688012159304194</v>
      </c>
      <c r="S145" s="30">
        <f t="shared" si="1593"/>
        <v>0.19743739699080229</v>
      </c>
      <c r="T145" s="32">
        <f t="shared" si="1593"/>
        <v>0.19613557634466594</v>
      </c>
      <c r="U145" s="30">
        <f t="shared" si="1593"/>
        <v>0.19379940589564684</v>
      </c>
      <c r="V145" s="30">
        <f t="shared" si="1593"/>
        <v>0.19507640476476959</v>
      </c>
      <c r="W145" s="30">
        <f t="shared" si="1593"/>
        <v>0.19447307574449119</v>
      </c>
      <c r="X145" s="30">
        <f t="shared" si="1593"/>
        <v>0.19652980970067827</v>
      </c>
      <c r="Y145" s="32">
        <f t="shared" si="1593"/>
        <v>0.19406083933664492</v>
      </c>
      <c r="Z145" s="32">
        <f t="shared" si="1593"/>
        <v>0.19482797693489226</v>
      </c>
      <c r="AA145" s="32">
        <f t="shared" si="1593"/>
        <v>0.19536317944385001</v>
      </c>
      <c r="AB145" s="32">
        <f t="shared" si="1593"/>
        <v>0.19792001148413566</v>
      </c>
      <c r="AC145" s="32">
        <f t="shared" si="1593"/>
        <v>0.19312570931655049</v>
      </c>
      <c r="AD145" s="32">
        <f t="shared" ref="AD145:AE145" si="1594">AD610/AD176</f>
        <v>0.19446995982627202</v>
      </c>
      <c r="AE145" s="32">
        <f t="shared" si="1594"/>
        <v>0.1926261698417136</v>
      </c>
      <c r="AF145" s="32">
        <f t="shared" ref="AF145" si="1595">AF610/AF176</f>
        <v>0.19097928190462207</v>
      </c>
      <c r="AG145" s="32">
        <f t="shared" ref="AG145:AH145" si="1596">AG610/AG176</f>
        <v>0.26851187086871486</v>
      </c>
      <c r="AH145" s="32">
        <f t="shared" si="1596"/>
        <v>0.2677395757132407</v>
      </c>
      <c r="AI145" s="32">
        <f t="shared" ref="AI145" si="1597">AI610/AI176</f>
        <v>0.28821347784968676</v>
      </c>
      <c r="AJ145" s="32">
        <f t="shared" ref="AJ145:AO145" si="1598">AJ610/AJ176</f>
        <v>0.28941702814456799</v>
      </c>
      <c r="AK145" s="32">
        <f t="shared" si="1598"/>
        <v>0.28337387405605596</v>
      </c>
      <c r="AL145" s="32">
        <f t="shared" si="1598"/>
        <v>0.29173568403134009</v>
      </c>
      <c r="AM145" s="32">
        <f t="shared" si="1598"/>
        <v>0.30745939594192107</v>
      </c>
      <c r="AN145" s="32">
        <f t="shared" si="1598"/>
        <v>0.30787172178531774</v>
      </c>
      <c r="AO145" s="32">
        <f t="shared" si="1598"/>
        <v>0.3085335565787638</v>
      </c>
      <c r="AP145" s="32">
        <f t="shared" ref="AP145:AQ145" si="1599">AP610/AP176</f>
        <v>0.29955396144099755</v>
      </c>
      <c r="AQ145" s="32">
        <f t="shared" si="1599"/>
        <v>0.29745928303790947</v>
      </c>
      <c r="AR145" s="32">
        <f t="shared" ref="AR145:AS145" si="1600">AR610/AR176</f>
        <v>0.29813818982659451</v>
      </c>
      <c r="AS145" s="32">
        <f t="shared" si="1600"/>
        <v>0.30380780780780781</v>
      </c>
      <c r="AT145" s="32">
        <f t="shared" ref="AT145:AU145" si="1601">AT610/AT176</f>
        <v>0.22642585502709642</v>
      </c>
      <c r="AU145" s="32">
        <f t="shared" si="1601"/>
        <v>0.24315744973312137</v>
      </c>
      <c r="AV145" s="32">
        <f t="shared" ref="AV145:AW145" si="1602">AV610/AV176</f>
        <v>0.24868836774384792</v>
      </c>
      <c r="AW145" s="32">
        <f t="shared" si="1602"/>
        <v>0.23302046830693793</v>
      </c>
      <c r="AX145" s="32">
        <f t="shared" ref="AX145" si="1603">AX610/AX176</f>
        <v>0.23566670637620821</v>
      </c>
      <c r="AY145" s="31">
        <f>AX145*0.99</f>
        <v>0.23331003931244612</v>
      </c>
      <c r="AZ145" s="33">
        <f>AY145</f>
        <v>0.23331003931244612</v>
      </c>
      <c r="BA145" s="33">
        <f>AZ145</f>
        <v>0.23331003931244612</v>
      </c>
      <c r="BB145" s="33">
        <f>BA145</f>
        <v>0.23331003931244612</v>
      </c>
      <c r="BC145" s="33">
        <f t="shared" ref="BC145:BQ145" si="1604">BB145</f>
        <v>0.23331003931244612</v>
      </c>
      <c r="BD145" s="33">
        <f t="shared" si="1604"/>
        <v>0.23331003931244612</v>
      </c>
      <c r="BE145" s="33">
        <f t="shared" si="1604"/>
        <v>0.23331003931244612</v>
      </c>
      <c r="BF145" s="33">
        <f t="shared" si="1604"/>
        <v>0.23331003931244612</v>
      </c>
      <c r="BG145" s="33">
        <f t="shared" si="1604"/>
        <v>0.23331003931244612</v>
      </c>
      <c r="BH145" s="33">
        <f t="shared" si="1604"/>
        <v>0.23331003931244612</v>
      </c>
      <c r="BI145" s="33">
        <f t="shared" si="1604"/>
        <v>0.23331003931244612</v>
      </c>
      <c r="BJ145" s="33">
        <f t="shared" si="1604"/>
        <v>0.23331003931244612</v>
      </c>
      <c r="BK145" s="33">
        <f t="shared" si="1604"/>
        <v>0.23331003931244612</v>
      </c>
      <c r="BL145" s="33">
        <f t="shared" si="1604"/>
        <v>0.23331003931244612</v>
      </c>
      <c r="BM145" s="33">
        <f t="shared" si="1604"/>
        <v>0.23331003931244612</v>
      </c>
      <c r="BN145" s="33">
        <f t="shared" si="1604"/>
        <v>0.23331003931244612</v>
      </c>
      <c r="BO145" s="33">
        <f t="shared" si="1604"/>
        <v>0.23331003931244612</v>
      </c>
      <c r="BP145" s="33">
        <f t="shared" si="1604"/>
        <v>0.23331003931244612</v>
      </c>
      <c r="BQ145" s="33">
        <f t="shared" si="1604"/>
        <v>0.23331003931244612</v>
      </c>
      <c r="BR145" s="30"/>
      <c r="BS145" s="207">
        <v>0.5</v>
      </c>
      <c r="BT145" s="207">
        <v>0.5</v>
      </c>
      <c r="BU145" s="207">
        <v>0.5</v>
      </c>
      <c r="BV145" s="207">
        <v>0.5</v>
      </c>
      <c r="BW145" s="207">
        <v>0.5</v>
      </c>
      <c r="BX145" s="207">
        <v>0.5</v>
      </c>
      <c r="BY145" s="207">
        <v>0.5</v>
      </c>
      <c r="BZ145" s="207">
        <v>0.5</v>
      </c>
      <c r="CA145" s="207">
        <v>0.5</v>
      </c>
      <c r="CB145" s="207">
        <v>0.5</v>
      </c>
      <c r="CC145" s="30">
        <f t="shared" ref="CC145:CY145" si="1605">CC610/CC176</f>
        <v>0.5</v>
      </c>
      <c r="CD145" s="30">
        <f t="shared" si="1605"/>
        <v>0.5</v>
      </c>
      <c r="CE145" s="30">
        <f t="shared" si="1605"/>
        <v>0.5</v>
      </c>
      <c r="CF145" s="30">
        <f t="shared" si="1605"/>
        <v>0.5</v>
      </c>
      <c r="CG145" s="30">
        <f t="shared" si="1605"/>
        <v>0.5</v>
      </c>
      <c r="CH145" s="30">
        <f t="shared" si="1605"/>
        <v>0.5</v>
      </c>
      <c r="CI145" s="30">
        <f t="shared" si="1605"/>
        <v>0.19377680206567857</v>
      </c>
      <c r="CJ145" s="30">
        <f t="shared" si="1605"/>
        <v>0.19743739699080229</v>
      </c>
      <c r="CK145" s="30">
        <f t="shared" si="1605"/>
        <v>0.19379940589564684</v>
      </c>
      <c r="CL145" s="30">
        <f t="shared" si="1605"/>
        <v>0.19447307574449119</v>
      </c>
      <c r="CM145" s="32">
        <f t="shared" si="1605"/>
        <v>0.19406083933664492</v>
      </c>
      <c r="CN145" s="32">
        <f t="shared" si="1605"/>
        <v>0.19536317944385001</v>
      </c>
      <c r="CO145" s="32">
        <f t="shared" si="1605"/>
        <v>0.19312570931655049</v>
      </c>
      <c r="CP145" s="32">
        <f t="shared" si="1605"/>
        <v>0.1926261698417136</v>
      </c>
      <c r="CQ145" s="32">
        <f t="shared" si="1605"/>
        <v>0.26851187086871486</v>
      </c>
      <c r="CR145" s="32">
        <f t="shared" si="1605"/>
        <v>0.28821347784968676</v>
      </c>
      <c r="CS145" s="32">
        <f t="shared" si="1605"/>
        <v>0.28337387405605596</v>
      </c>
      <c r="CT145" s="32">
        <f t="shared" si="1605"/>
        <v>0.30745939594192107</v>
      </c>
      <c r="CU145" s="32">
        <f t="shared" si="1605"/>
        <v>0.3085335565787638</v>
      </c>
      <c r="CV145" s="32">
        <f t="shared" si="1605"/>
        <v>0.29745928303790947</v>
      </c>
      <c r="CW145" s="32">
        <f t="shared" si="1605"/>
        <v>0.30380780780780781</v>
      </c>
      <c r="CX145" s="32">
        <f t="shared" si="1605"/>
        <v>0.24315744973312137</v>
      </c>
      <c r="CY145" s="32">
        <f t="shared" si="1605"/>
        <v>0.23302046830693793</v>
      </c>
      <c r="CZ145" s="31">
        <f t="shared" ref="CZ145" si="1606">CZ610/CZ176</f>
        <v>0.23123550338593285</v>
      </c>
      <c r="DA145" s="30">
        <f t="shared" ref="DA145:DF145" si="1607">DA610/DA176</f>
        <v>0.23331003931244612</v>
      </c>
      <c r="DB145" s="30">
        <f t="shared" si="1607"/>
        <v>0.23331003931244612</v>
      </c>
      <c r="DC145" s="30">
        <f t="shared" si="1607"/>
        <v>0.23331003931244615</v>
      </c>
      <c r="DD145" s="30">
        <f t="shared" si="1607"/>
        <v>0.23331003931244612</v>
      </c>
      <c r="DE145" s="30">
        <f t="shared" si="1607"/>
        <v>0.23331003931244612</v>
      </c>
      <c r="DF145" s="30">
        <f t="shared" si="1607"/>
        <v>0.23331003931244612</v>
      </c>
      <c r="DG145" s="30">
        <f t="shared" ref="DG145" si="1608">DG610/DG176</f>
        <v>0.23331003931244615</v>
      </c>
      <c r="DH145" s="30">
        <f>DH610/DH176</f>
        <v>0.23331003931244612</v>
      </c>
      <c r="DI145" s="30">
        <f>DI610/DI176</f>
        <v>0.23331003931244615</v>
      </c>
    </row>
    <row r="146" spans="1:113" ht="12" outlineLevel="1">
      <c r="A146" s="1" t="s">
        <v>881</v>
      </c>
      <c r="B146" s="15" t="s">
        <v>259</v>
      </c>
      <c r="C146" s="207">
        <f t="shared" ref="C146:AC146" si="1609">C611/(C177+C179)</f>
        <v>1.2857690854335804</v>
      </c>
      <c r="D146" s="207">
        <f t="shared" si="1609"/>
        <v>1.2472406051960807</v>
      </c>
      <c r="E146" s="207">
        <f t="shared" si="1609"/>
        <v>1.2711639448323619</v>
      </c>
      <c r="F146" s="207">
        <f t="shared" si="1609"/>
        <v>1.264143246193369</v>
      </c>
      <c r="G146" s="207">
        <f t="shared" si="1609"/>
        <v>1.2400859880524138</v>
      </c>
      <c r="H146" s="207">
        <f t="shared" si="1609"/>
        <v>1.2525832533918049</v>
      </c>
      <c r="I146" s="207">
        <f t="shared" si="1609"/>
        <v>1.2685855545613132</v>
      </c>
      <c r="J146" s="207">
        <f t="shared" si="1609"/>
        <v>1.2661735708615376</v>
      </c>
      <c r="K146" s="207">
        <f t="shared" si="1609"/>
        <v>1.2550849107099411</v>
      </c>
      <c r="L146" s="207">
        <f t="shared" si="1609"/>
        <v>1.2821522826643559</v>
      </c>
      <c r="M146" s="30">
        <f t="shared" si="1609"/>
        <v>1.2688711258577785</v>
      </c>
      <c r="N146" s="30">
        <f t="shared" si="1609"/>
        <v>1.2686830015313935</v>
      </c>
      <c r="O146" s="30">
        <f t="shared" si="1609"/>
        <v>1.29586</v>
      </c>
      <c r="P146" s="30">
        <f t="shared" si="1609"/>
        <v>0.97170526019062831</v>
      </c>
      <c r="Q146" s="30">
        <f t="shared" si="1609"/>
        <v>1.2069841411311211</v>
      </c>
      <c r="R146" s="30">
        <f t="shared" si="1609"/>
        <v>1.2441255978373882</v>
      </c>
      <c r="S146" s="30">
        <f t="shared" si="1609"/>
        <v>1.1747257906192652</v>
      </c>
      <c r="T146" s="32">
        <f t="shared" si="1609"/>
        <v>1.1305761477435297</v>
      </c>
      <c r="U146" s="30">
        <f t="shared" si="1609"/>
        <v>1.160180141437309</v>
      </c>
      <c r="V146" s="30">
        <f t="shared" si="1609"/>
        <v>1.082225167348039</v>
      </c>
      <c r="W146" s="30">
        <f t="shared" si="1609"/>
        <v>1.0985057196698251</v>
      </c>
      <c r="X146" s="30">
        <f t="shared" si="1609"/>
        <v>1.0599595639491515</v>
      </c>
      <c r="Y146" s="32">
        <f t="shared" si="1609"/>
        <v>1.0396093003923819</v>
      </c>
      <c r="Z146" s="32">
        <f t="shared" si="1609"/>
        <v>1.0362253132877532</v>
      </c>
      <c r="AA146" s="32">
        <f t="shared" si="1609"/>
        <v>1.0162917320953095</v>
      </c>
      <c r="AB146" s="32">
        <f t="shared" si="1609"/>
        <v>1.016738218127442</v>
      </c>
      <c r="AC146" s="32">
        <f t="shared" si="1609"/>
        <v>1.0091561543364838</v>
      </c>
      <c r="AD146" s="32">
        <f t="shared" ref="AD146:AE146" si="1610">AD611/(AD177+AD179)</f>
        <v>1.037244431439962</v>
      </c>
      <c r="AE146" s="32">
        <f t="shared" si="1610"/>
        <v>1.0680638043275406</v>
      </c>
      <c r="AF146" s="32">
        <f t="shared" ref="AF146" si="1611">AF611/(AF177+AF179)</f>
        <v>1.0885346024191949</v>
      </c>
      <c r="AG146" s="32">
        <f t="shared" ref="AG146:AH146" si="1612">AG611/(AG177+AG179)</f>
        <v>1.0346919113316249</v>
      </c>
      <c r="AH146" s="32">
        <f t="shared" si="1612"/>
        <v>1.0171712952177441</v>
      </c>
      <c r="AI146" s="32">
        <f t="shared" ref="AI146:AJ146" si="1613">AI611/(AI177+AI179)</f>
        <v>0.97351859751762249</v>
      </c>
      <c r="AJ146" s="32">
        <f t="shared" si="1613"/>
        <v>0.97243303392734204</v>
      </c>
      <c r="AK146" s="32">
        <f t="shared" ref="AK146:AL146" si="1614">AK611/(AK177+AK179)</f>
        <v>0.91527140285638942</v>
      </c>
      <c r="AL146" s="32">
        <f t="shared" si="1614"/>
        <v>0.92206504920116672</v>
      </c>
      <c r="AM146" s="32">
        <f t="shared" ref="AM146:AN146" si="1615">AM611/(AM177+AM179)</f>
        <v>0.91952988666129909</v>
      </c>
      <c r="AN146" s="32">
        <f t="shared" si="1615"/>
        <v>0.89421974414892424</v>
      </c>
      <c r="AO146" s="32">
        <f t="shared" ref="AO146" si="1616">AO611/(AO177+AO179)</f>
        <v>0.94885175070933581</v>
      </c>
      <c r="AP146" s="32">
        <f t="shared" ref="AP146:AQ146" si="1617">AP611/(AP177+AP179)</f>
        <v>0.92919426713236175</v>
      </c>
      <c r="AQ146" s="32">
        <f t="shared" si="1617"/>
        <v>0.8903924793998278</v>
      </c>
      <c r="AR146" s="32">
        <f t="shared" ref="AR146:AS146" si="1618">AR611/(AR177+AR179)</f>
        <v>0.847927782403751</v>
      </c>
      <c r="AS146" s="32">
        <f t="shared" si="1618"/>
        <v>0.82149832775919729</v>
      </c>
      <c r="AT146" s="32">
        <f t="shared" ref="AT146:AU146" si="1619">AT611/(AT177+AT179)</f>
        <v>0.8555923957413486</v>
      </c>
      <c r="AU146" s="32">
        <f t="shared" si="1619"/>
        <v>0.82696716687724114</v>
      </c>
      <c r="AV146" s="32">
        <f>AV611/(AV177+AV179)</f>
        <v>0.8159669429186448</v>
      </c>
      <c r="AW146" s="32">
        <f>AW611/(AW177+AW179)</f>
        <v>0.77882307916720261</v>
      </c>
      <c r="AX146" s="32">
        <f>AX611/(AX177+AX179)</f>
        <v>0.80432313993888271</v>
      </c>
      <c r="AY146" s="31">
        <f>AX146</f>
        <v>0.80432313993888271</v>
      </c>
      <c r="AZ146" s="33">
        <f t="shared" ref="AZ146:BA146" si="1620">AY146</f>
        <v>0.80432313993888271</v>
      </c>
      <c r="BA146" s="33">
        <f t="shared" si="1620"/>
        <v>0.80432313993888271</v>
      </c>
      <c r="BB146" s="33">
        <f t="shared" ref="BB146:BB147" si="1621">BA146</f>
        <v>0.80432313993888271</v>
      </c>
      <c r="BC146" s="33">
        <f t="shared" ref="BC146:BC147" si="1622">BB146</f>
        <v>0.80432313993888271</v>
      </c>
      <c r="BD146" s="33">
        <f t="shared" ref="BD146:BD147" si="1623">BC146</f>
        <v>0.80432313993888271</v>
      </c>
      <c r="BE146" s="33">
        <f t="shared" ref="BE146:BE147" si="1624">BD146</f>
        <v>0.80432313993888271</v>
      </c>
      <c r="BF146" s="33">
        <f t="shared" ref="BF146:BF147" si="1625">BE146</f>
        <v>0.80432313993888271</v>
      </c>
      <c r="BG146" s="33">
        <f t="shared" ref="BG146:BG147" si="1626">BF146</f>
        <v>0.80432313993888271</v>
      </c>
      <c r="BH146" s="33">
        <f>BG146</f>
        <v>0.80432313993888271</v>
      </c>
      <c r="BI146" s="33">
        <f t="shared" ref="BI146:BQ146" si="1627">BH146</f>
        <v>0.80432313993888271</v>
      </c>
      <c r="BJ146" s="33">
        <f t="shared" si="1627"/>
        <v>0.80432313993888271</v>
      </c>
      <c r="BK146" s="33">
        <f t="shared" si="1627"/>
        <v>0.80432313993888271</v>
      </c>
      <c r="BL146" s="33">
        <f t="shared" si="1627"/>
        <v>0.80432313993888271</v>
      </c>
      <c r="BM146" s="33">
        <f t="shared" si="1627"/>
        <v>0.80432313993888271</v>
      </c>
      <c r="BN146" s="33">
        <f t="shared" si="1627"/>
        <v>0.80432313993888271</v>
      </c>
      <c r="BO146" s="33">
        <f t="shared" si="1627"/>
        <v>0.80432313993888271</v>
      </c>
      <c r="BP146" s="33">
        <f t="shared" si="1627"/>
        <v>0.80432313993888271</v>
      </c>
      <c r="BQ146" s="33">
        <f t="shared" si="1627"/>
        <v>0.80432313993888271</v>
      </c>
      <c r="BR146" s="30"/>
      <c r="BS146" s="207">
        <f t="shared" ref="BS146:CY146" si="1628">BS611/(BS177+BS179)</f>
        <v>1.1756606128353082</v>
      </c>
      <c r="BT146" s="207">
        <f t="shared" si="1628"/>
        <v>1.1740946957606953</v>
      </c>
      <c r="BU146" s="207">
        <f t="shared" si="1628"/>
        <v>1.1688335485672403</v>
      </c>
      <c r="BV146" s="207">
        <f t="shared" si="1628"/>
        <v>1.1978336509583742</v>
      </c>
      <c r="BW146" s="207">
        <f t="shared" si="1628"/>
        <v>1.2194605815141439</v>
      </c>
      <c r="BX146" s="207">
        <f t="shared" si="1628"/>
        <v>1.2853405582565511</v>
      </c>
      <c r="BY146" s="207">
        <f t="shared" si="1628"/>
        <v>1.2433789500742873</v>
      </c>
      <c r="BZ146" s="207">
        <f t="shared" si="1628"/>
        <v>1.1907542904370654</v>
      </c>
      <c r="CA146" s="207">
        <f t="shared" si="1628"/>
        <v>1.2251009499801602</v>
      </c>
      <c r="CB146" s="207">
        <f t="shared" si="1628"/>
        <v>1.2857690854335804</v>
      </c>
      <c r="CC146" s="30">
        <f t="shared" si="1628"/>
        <v>1.2711639448323619</v>
      </c>
      <c r="CD146" s="30">
        <f t="shared" si="1628"/>
        <v>1.2400859880524138</v>
      </c>
      <c r="CE146" s="30">
        <f t="shared" si="1628"/>
        <v>1.2685855545613132</v>
      </c>
      <c r="CF146" s="30">
        <f t="shared" si="1628"/>
        <v>1.2550849107099411</v>
      </c>
      <c r="CG146" s="30">
        <f t="shared" si="1628"/>
        <v>1.2688711258577785</v>
      </c>
      <c r="CH146" s="30">
        <f t="shared" si="1628"/>
        <v>1.29586</v>
      </c>
      <c r="CI146" s="30">
        <f t="shared" si="1628"/>
        <v>1.2069841411311211</v>
      </c>
      <c r="CJ146" s="30">
        <f t="shared" si="1628"/>
        <v>1.1747257906192652</v>
      </c>
      <c r="CK146" s="30">
        <f t="shared" si="1628"/>
        <v>1.160180141437309</v>
      </c>
      <c r="CL146" s="30">
        <f t="shared" si="1628"/>
        <v>1.0985057196698251</v>
      </c>
      <c r="CM146" s="32">
        <f t="shared" si="1628"/>
        <v>1.0396093003923819</v>
      </c>
      <c r="CN146" s="32">
        <f t="shared" si="1628"/>
        <v>1.0162917320953095</v>
      </c>
      <c r="CO146" s="32">
        <f t="shared" si="1628"/>
        <v>1.0091561543364838</v>
      </c>
      <c r="CP146" s="32">
        <f t="shared" si="1628"/>
        <v>1.0680638043275406</v>
      </c>
      <c r="CQ146" s="32">
        <f t="shared" si="1628"/>
        <v>1.0346919113316249</v>
      </c>
      <c r="CR146" s="32">
        <f t="shared" si="1628"/>
        <v>0.97351859751762249</v>
      </c>
      <c r="CS146" s="32">
        <f t="shared" si="1628"/>
        <v>0.91527140285638942</v>
      </c>
      <c r="CT146" s="32">
        <f t="shared" si="1628"/>
        <v>0.91952988666129909</v>
      </c>
      <c r="CU146" s="32">
        <f t="shared" si="1628"/>
        <v>0.94885175070933581</v>
      </c>
      <c r="CV146" s="32">
        <f t="shared" si="1628"/>
        <v>0.8903924793998278</v>
      </c>
      <c r="CW146" s="32">
        <f t="shared" si="1628"/>
        <v>0.82149832775919729</v>
      </c>
      <c r="CX146" s="32">
        <f t="shared" si="1628"/>
        <v>0.82696716687724114</v>
      </c>
      <c r="CY146" s="32">
        <f t="shared" si="1628"/>
        <v>0.77882307916720261</v>
      </c>
      <c r="CZ146" s="31">
        <f t="shared" ref="CZ146" si="1629">CZ611/(CZ177+CZ179)</f>
        <v>0.77745380583395296</v>
      </c>
      <c r="DA146" s="30">
        <f t="shared" ref="DA146:DF146" si="1630">DA611/(DA177+DA179)</f>
        <v>0.80432313993888271</v>
      </c>
      <c r="DB146" s="30">
        <f t="shared" si="1630"/>
        <v>0.80432313993888283</v>
      </c>
      <c r="DC146" s="30">
        <f t="shared" si="1630"/>
        <v>0.80432313993888271</v>
      </c>
      <c r="DD146" s="30">
        <f t="shared" si="1630"/>
        <v>0.80432313993888271</v>
      </c>
      <c r="DE146" s="30">
        <f t="shared" si="1630"/>
        <v>0.80432313993888271</v>
      </c>
      <c r="DF146" s="30">
        <f t="shared" si="1630"/>
        <v>0.8043231399388826</v>
      </c>
      <c r="DG146" s="30">
        <f t="shared" ref="DG146" si="1631">DG611/(DG177+DG179)</f>
        <v>0.80432313993888271</v>
      </c>
      <c r="DH146" s="30">
        <f>DH611/(DH177+DH179)</f>
        <v>0.80432313993888271</v>
      </c>
      <c r="DI146" s="30">
        <f>DI611/(DI177+DI179)</f>
        <v>0.80432313993888271</v>
      </c>
    </row>
    <row r="147" spans="1:113" ht="12" outlineLevel="1">
      <c r="A147" s="1" t="s">
        <v>882</v>
      </c>
      <c r="B147" s="15" t="s">
        <v>260</v>
      </c>
      <c r="C147" s="207" t="s">
        <v>215</v>
      </c>
      <c r="D147" s="207" t="s">
        <v>215</v>
      </c>
      <c r="E147" s="207" t="s">
        <v>215</v>
      </c>
      <c r="F147" s="207" t="s">
        <v>215</v>
      </c>
      <c r="G147" s="207" t="s">
        <v>215</v>
      </c>
      <c r="H147" s="207" t="s">
        <v>215</v>
      </c>
      <c r="I147" s="207" t="s">
        <v>215</v>
      </c>
      <c r="J147" s="207" t="s">
        <v>215</v>
      </c>
      <c r="K147" s="207" t="s">
        <v>215</v>
      </c>
      <c r="L147" s="207" t="s">
        <v>215</v>
      </c>
      <c r="M147" s="30" t="s">
        <v>215</v>
      </c>
      <c r="N147" s="30" t="s">
        <v>215</v>
      </c>
      <c r="O147" s="30" t="s">
        <v>215</v>
      </c>
      <c r="P147" s="30" t="s">
        <v>215</v>
      </c>
      <c r="Q147" s="30">
        <f t="shared" ref="Q147:AC147" si="1632">Q612/(Q660-Q181)</f>
        <v>0.21474431472169542</v>
      </c>
      <c r="R147" s="30">
        <f t="shared" si="1632"/>
        <v>0.16510222450816511</v>
      </c>
      <c r="S147" s="30">
        <f t="shared" si="1632"/>
        <v>0.17823510570147341</v>
      </c>
      <c r="T147" s="32">
        <f t="shared" si="1632"/>
        <v>0.18756848618465516</v>
      </c>
      <c r="U147" s="30">
        <f t="shared" si="1632"/>
        <v>0.19010524622419117</v>
      </c>
      <c r="V147" s="30">
        <f t="shared" si="1632"/>
        <v>0.20441952506596306</v>
      </c>
      <c r="W147" s="30">
        <f t="shared" si="1632"/>
        <v>0.15533360605848956</v>
      </c>
      <c r="X147" s="30">
        <f t="shared" si="1632"/>
        <v>0.17937296290547883</v>
      </c>
      <c r="Y147" s="32">
        <f t="shared" si="1632"/>
        <v>0.21614546010452795</v>
      </c>
      <c r="Z147" s="32">
        <f t="shared" si="1632"/>
        <v>0.22267335254275344</v>
      </c>
      <c r="AA147" s="32">
        <f t="shared" si="1632"/>
        <v>0.23965714179582664</v>
      </c>
      <c r="AB147" s="32">
        <f t="shared" si="1632"/>
        <v>0.24701109971916374</v>
      </c>
      <c r="AC147" s="32">
        <f t="shared" si="1632"/>
        <v>0.21351568393643686</v>
      </c>
      <c r="AD147" s="32">
        <f t="shared" ref="AD147:AE147" si="1633">AD612/(AD660-AD181)</f>
        <v>0.158179623046482</v>
      </c>
      <c r="AE147" s="32">
        <f t="shared" si="1633"/>
        <v>0.16506251601251268</v>
      </c>
      <c r="AF147" s="32">
        <f t="shared" ref="AF147" si="1634">AF612/(AF660-AF181)</f>
        <v>0.1638040548529987</v>
      </c>
      <c r="AG147" s="32">
        <f t="shared" ref="AG147:AH147" si="1635">AG612/(AG660-AG181)</f>
        <v>0.16862479648371573</v>
      </c>
      <c r="AH147" s="32">
        <f t="shared" si="1635"/>
        <v>0.17437605569324513</v>
      </c>
      <c r="AI147" s="32">
        <f t="shared" ref="AI147" si="1636">AI612/(AI660-AI181)</f>
        <v>0.17292804302253714</v>
      </c>
      <c r="AJ147" s="32">
        <f t="shared" ref="AJ147:AO147" si="1637">AJ612/(AJ660-AJ181)</f>
        <v>0.15541585590979395</v>
      </c>
      <c r="AK147" s="32">
        <f t="shared" si="1637"/>
        <v>0.15876281896446326</v>
      </c>
      <c r="AL147" s="32">
        <f t="shared" si="1637"/>
        <v>0.13833204814155819</v>
      </c>
      <c r="AM147" s="32">
        <f t="shared" si="1637"/>
        <v>0.16220558810722022</v>
      </c>
      <c r="AN147" s="32">
        <f t="shared" si="1637"/>
        <v>0.12881919317052828</v>
      </c>
      <c r="AO147" s="32">
        <f t="shared" si="1637"/>
        <v>0.16471423753129349</v>
      </c>
      <c r="AP147" s="32">
        <f t="shared" ref="AP147:AQ147" si="1638">AP612/(AP660-AP181)</f>
        <v>0.16548240326851707</v>
      </c>
      <c r="AQ147" s="32">
        <f t="shared" si="1638"/>
        <v>0.21262493029330268</v>
      </c>
      <c r="AR147" s="32">
        <f t="shared" ref="AR147:AS147" si="1639">AR612/(AR660-AR181)</f>
        <v>0.24517320329785244</v>
      </c>
      <c r="AS147" s="32">
        <f t="shared" si="1639"/>
        <v>0.23119406751693747</v>
      </c>
      <c r="AT147" s="32">
        <f t="shared" ref="AT147:AU147" si="1640">AT612/(AT660-AT181)</f>
        <v>0.21474254458728348</v>
      </c>
      <c r="AU147" s="32">
        <f t="shared" si="1640"/>
        <v>0.21176695233572773</v>
      </c>
      <c r="AV147" s="32">
        <f t="shared" ref="AV147:AW147" si="1641">AV612/(AV660-AV181)</f>
        <v>0.22537394404402078</v>
      </c>
      <c r="AW147" s="32">
        <f t="shared" si="1641"/>
        <v>0.20056602001033397</v>
      </c>
      <c r="AX147" s="32">
        <f t="shared" ref="AX147" si="1642">AX612/(AX660-AX181)</f>
        <v>0.18847132133906305</v>
      </c>
      <c r="AY147" s="31">
        <f t="shared" ref="AY147" si="1643">AX147</f>
        <v>0.18847132133906305</v>
      </c>
      <c r="AZ147" s="33">
        <f t="shared" ref="AZ147" si="1644">AY147</f>
        <v>0.18847132133906305</v>
      </c>
      <c r="BA147" s="33">
        <f t="shared" ref="BA147" si="1645">AZ147</f>
        <v>0.18847132133906305</v>
      </c>
      <c r="BB147" s="33">
        <f t="shared" si="1621"/>
        <v>0.18847132133906305</v>
      </c>
      <c r="BC147" s="33">
        <f t="shared" si="1622"/>
        <v>0.18847132133906305</v>
      </c>
      <c r="BD147" s="33">
        <f t="shared" si="1623"/>
        <v>0.18847132133906305</v>
      </c>
      <c r="BE147" s="33">
        <f t="shared" si="1624"/>
        <v>0.18847132133906305</v>
      </c>
      <c r="BF147" s="33">
        <f t="shared" si="1625"/>
        <v>0.18847132133906305</v>
      </c>
      <c r="BG147" s="33">
        <f t="shared" si="1626"/>
        <v>0.18847132133906305</v>
      </c>
      <c r="BH147" s="33">
        <f t="shared" ref="BH147" si="1646">BG147+1%</f>
        <v>0.19847132133906306</v>
      </c>
      <c r="BI147" s="33">
        <f t="shared" ref="BI147" si="1647">BH147+1%</f>
        <v>0.20847132133906307</v>
      </c>
      <c r="BJ147" s="33">
        <f t="shared" ref="BJ147" si="1648">BI147-1%</f>
        <v>0.19847132133906306</v>
      </c>
      <c r="BK147" s="33">
        <f t="shared" ref="BK147" si="1649">BJ147-1%</f>
        <v>0.18847132133906305</v>
      </c>
      <c r="BL147" s="33">
        <f t="shared" ref="BL147" si="1650">BG147</f>
        <v>0.18847132133906305</v>
      </c>
      <c r="BM147" s="33">
        <f t="shared" ref="BM147" si="1651">BL147</f>
        <v>0.18847132133906305</v>
      </c>
      <c r="BN147" s="33">
        <f t="shared" ref="BN147" si="1652">BM147</f>
        <v>0.18847132133906305</v>
      </c>
      <c r="BO147" s="33">
        <f t="shared" ref="BO147" si="1653">BN147</f>
        <v>0.18847132133906305</v>
      </c>
      <c r="BP147" s="33">
        <f t="shared" ref="BP147" si="1654">BO147</f>
        <v>0.18847132133906305</v>
      </c>
      <c r="BQ147" s="33">
        <f t="shared" ref="BQ147" si="1655">BP147</f>
        <v>0.18847132133906305</v>
      </c>
      <c r="BR147" s="30"/>
      <c r="BS147" s="207" t="s">
        <v>215</v>
      </c>
      <c r="BT147" s="207" t="s">
        <v>215</v>
      </c>
      <c r="BU147" s="207" t="s">
        <v>215</v>
      </c>
      <c r="BV147" s="207" t="s">
        <v>215</v>
      </c>
      <c r="BW147" s="207" t="s">
        <v>215</v>
      </c>
      <c r="BX147" s="207" t="s">
        <v>215</v>
      </c>
      <c r="BY147" s="207" t="s">
        <v>215</v>
      </c>
      <c r="BZ147" s="207" t="s">
        <v>215</v>
      </c>
      <c r="CA147" s="207" t="s">
        <v>215</v>
      </c>
      <c r="CB147" s="207" t="s">
        <v>215</v>
      </c>
      <c r="CC147" s="30">
        <f t="shared" ref="CC147:CY147" si="1656">CC612/(CC660-CC181)</f>
        <v>0</v>
      </c>
      <c r="CD147" s="30">
        <f t="shared" si="1656"/>
        <v>0</v>
      </c>
      <c r="CE147" s="30">
        <f t="shared" si="1656"/>
        <v>0</v>
      </c>
      <c r="CF147" s="30">
        <f t="shared" si="1656"/>
        <v>0</v>
      </c>
      <c r="CG147" s="30">
        <f t="shared" si="1656"/>
        <v>0</v>
      </c>
      <c r="CH147" s="30">
        <f t="shared" si="1656"/>
        <v>0</v>
      </c>
      <c r="CI147" s="30">
        <f t="shared" si="1656"/>
        <v>0</v>
      </c>
      <c r="CJ147" s="30">
        <f t="shared" si="1656"/>
        <v>0</v>
      </c>
      <c r="CK147" s="30">
        <f t="shared" si="1656"/>
        <v>0</v>
      </c>
      <c r="CL147" s="30">
        <f t="shared" si="1656"/>
        <v>0</v>
      </c>
      <c r="CM147" s="32">
        <f t="shared" si="1656"/>
        <v>0</v>
      </c>
      <c r="CN147" s="32">
        <f t="shared" si="1656"/>
        <v>0</v>
      </c>
      <c r="CO147" s="32">
        <f t="shared" si="1656"/>
        <v>0</v>
      </c>
      <c r="CP147" s="32">
        <f t="shared" si="1656"/>
        <v>0</v>
      </c>
      <c r="CQ147" s="32">
        <f t="shared" si="1656"/>
        <v>0</v>
      </c>
      <c r="CR147" s="32">
        <f t="shared" si="1656"/>
        <v>0</v>
      </c>
      <c r="CS147" s="32">
        <f t="shared" si="1656"/>
        <v>0</v>
      </c>
      <c r="CT147" s="32">
        <f t="shared" si="1656"/>
        <v>0.16220558810722022</v>
      </c>
      <c r="CU147" s="32">
        <f t="shared" si="1656"/>
        <v>0.16471423753129349</v>
      </c>
      <c r="CV147" s="32">
        <f t="shared" si="1656"/>
        <v>0.21262493029330268</v>
      </c>
      <c r="CW147" s="32">
        <f t="shared" si="1656"/>
        <v>0.23119406751693747</v>
      </c>
      <c r="CX147" s="32">
        <f t="shared" si="1656"/>
        <v>0.21176695233572773</v>
      </c>
      <c r="CY147" s="32">
        <f t="shared" si="1656"/>
        <v>0.20056602001033397</v>
      </c>
      <c r="CZ147" s="31">
        <f t="shared" ref="CZ147" si="1657">CZ612/(CZ660-CZ181)</f>
        <v>0.19024157626535113</v>
      </c>
      <c r="DA147" s="30">
        <f t="shared" ref="DA147:DF147" si="1658">DA612/(DA660-DA181)</f>
        <v>0.18189026419036566</v>
      </c>
      <c r="DB147" s="30">
        <f t="shared" si="1658"/>
        <v>0.17420628177119618</v>
      </c>
      <c r="DC147" s="30">
        <f t="shared" si="1658"/>
        <v>0.16682587407825497</v>
      </c>
      <c r="DD147" s="30">
        <f t="shared" si="1658"/>
        <v>0.16065799920343338</v>
      </c>
      <c r="DE147" s="30">
        <f t="shared" si="1658"/>
        <v>0.15410914210433713</v>
      </c>
      <c r="DF147" s="30">
        <f t="shared" si="1658"/>
        <v>0.14766975866800577</v>
      </c>
      <c r="DG147" s="30">
        <f t="shared" ref="DG147" si="1659">DG612/(DG660-DG181)</f>
        <v>0.1415695116721549</v>
      </c>
      <c r="DH147" s="30">
        <f>DH612/(DH660-DH181)</f>
        <v>0.13544553791222408</v>
      </c>
      <c r="DI147" s="30">
        <f>DI612/(DI660-DI181)</f>
        <v>0.1293809618619991</v>
      </c>
    </row>
    <row r="148" spans="1:113" ht="12" outlineLevel="1">
      <c r="A148" s="1" t="s">
        <v>883</v>
      </c>
      <c r="B148" s="15" t="s">
        <v>261</v>
      </c>
      <c r="C148" s="207">
        <v>0.04</v>
      </c>
      <c r="D148" s="207">
        <v>0.04</v>
      </c>
      <c r="E148" s="207">
        <v>0.04</v>
      </c>
      <c r="F148" s="207">
        <v>0.04</v>
      </c>
      <c r="G148" s="207">
        <v>0.04</v>
      </c>
      <c r="H148" s="207">
        <v>0.04</v>
      </c>
      <c r="I148" s="207">
        <v>0.04</v>
      </c>
      <c r="J148" s="207">
        <v>0.04</v>
      </c>
      <c r="K148" s="207">
        <v>0.04</v>
      </c>
      <c r="L148" s="207">
        <v>0.04</v>
      </c>
      <c r="M148" s="30">
        <v>0.04</v>
      </c>
      <c r="N148" s="30">
        <v>0.04</v>
      </c>
      <c r="O148" s="30">
        <v>0.04</v>
      </c>
      <c r="P148" s="30">
        <v>0.04</v>
      </c>
      <c r="Q148" s="30">
        <v>0.04</v>
      </c>
      <c r="R148" s="30">
        <v>0.04</v>
      </c>
      <c r="S148" s="30">
        <v>0.04</v>
      </c>
      <c r="T148" s="32">
        <v>0.04</v>
      </c>
      <c r="U148" s="30">
        <v>0.04</v>
      </c>
      <c r="V148" s="30">
        <v>0.04</v>
      </c>
      <c r="W148" s="30">
        <v>0.04</v>
      </c>
      <c r="X148" s="30">
        <v>0.04</v>
      </c>
      <c r="Y148" s="32">
        <v>0.04</v>
      </c>
      <c r="Z148" s="32">
        <v>0.04</v>
      </c>
      <c r="AA148" s="32">
        <v>0.04</v>
      </c>
      <c r="AB148" s="32">
        <v>0.04</v>
      </c>
      <c r="AC148" s="32">
        <v>0.04</v>
      </c>
      <c r="AD148" s="32">
        <v>0.04</v>
      </c>
      <c r="AE148" s="32">
        <v>0.04</v>
      </c>
      <c r="AF148" s="32">
        <v>0.04</v>
      </c>
      <c r="AG148" s="32">
        <v>0.04</v>
      </c>
      <c r="AH148" s="32">
        <v>0.04</v>
      </c>
      <c r="AI148" s="32">
        <v>0.04</v>
      </c>
      <c r="AJ148" s="32">
        <v>0.04</v>
      </c>
      <c r="AK148" s="32">
        <v>0.04</v>
      </c>
      <c r="AL148" s="32">
        <v>0.04</v>
      </c>
      <c r="AM148" s="32">
        <v>0.04</v>
      </c>
      <c r="AN148" s="32">
        <v>0.04</v>
      </c>
      <c r="AO148" s="32">
        <v>0.04</v>
      </c>
      <c r="AP148" s="32">
        <v>0.04</v>
      </c>
      <c r="AQ148" s="32">
        <v>0.04</v>
      </c>
      <c r="AR148" s="32">
        <v>0.04</v>
      </c>
      <c r="AS148" s="32">
        <v>0.04</v>
      </c>
      <c r="AT148" s="32">
        <v>0.04</v>
      </c>
      <c r="AU148" s="32">
        <v>0.04</v>
      </c>
      <c r="AV148" s="32">
        <v>0.04</v>
      </c>
      <c r="AW148" s="32">
        <v>0.04</v>
      </c>
      <c r="AX148" s="32">
        <v>0.04</v>
      </c>
      <c r="AY148" s="31">
        <v>0.04</v>
      </c>
      <c r="AZ148" s="33">
        <v>0.04</v>
      </c>
      <c r="BA148" s="33">
        <v>0.04</v>
      </c>
      <c r="BB148" s="33">
        <v>0.04</v>
      </c>
      <c r="BC148" s="33">
        <v>0.04</v>
      </c>
      <c r="BD148" s="33">
        <v>0.04</v>
      </c>
      <c r="BE148" s="33">
        <v>0.04</v>
      </c>
      <c r="BF148" s="33">
        <v>0.04</v>
      </c>
      <c r="BG148" s="33">
        <v>0.04</v>
      </c>
      <c r="BH148" s="33">
        <v>0.04</v>
      </c>
      <c r="BI148" s="33">
        <v>0.04</v>
      </c>
      <c r="BJ148" s="33">
        <v>0.04</v>
      </c>
      <c r="BK148" s="33">
        <v>0.04</v>
      </c>
      <c r="BL148" s="33">
        <v>0.04</v>
      </c>
      <c r="BM148" s="33">
        <v>0.04</v>
      </c>
      <c r="BN148" s="33">
        <v>0.04</v>
      </c>
      <c r="BO148" s="33">
        <v>0.04</v>
      </c>
      <c r="BP148" s="33">
        <v>0.04</v>
      </c>
      <c r="BQ148" s="33">
        <v>0.04</v>
      </c>
      <c r="BR148" s="30"/>
      <c r="BS148" s="207">
        <v>0.04</v>
      </c>
      <c r="BT148" s="207">
        <v>0.04</v>
      </c>
      <c r="BU148" s="207">
        <v>0.04</v>
      </c>
      <c r="BV148" s="207">
        <v>0.04</v>
      </c>
      <c r="BW148" s="207">
        <v>0.04</v>
      </c>
      <c r="BX148" s="207">
        <v>0.04</v>
      </c>
      <c r="BY148" s="207">
        <v>0.04</v>
      </c>
      <c r="BZ148" s="207">
        <v>0.04</v>
      </c>
      <c r="CA148" s="207">
        <v>0.04</v>
      </c>
      <c r="CB148" s="207">
        <v>0.04</v>
      </c>
      <c r="CC148" s="30">
        <v>0.04</v>
      </c>
      <c r="CD148" s="30">
        <v>0.04</v>
      </c>
      <c r="CE148" s="30">
        <v>0.04</v>
      </c>
      <c r="CF148" s="30">
        <v>0.04</v>
      </c>
      <c r="CG148" s="30">
        <v>0.04</v>
      </c>
      <c r="CH148" s="30">
        <v>0.04</v>
      </c>
      <c r="CI148" s="30">
        <v>0.04</v>
      </c>
      <c r="CJ148" s="30">
        <v>0.04</v>
      </c>
      <c r="CK148" s="30">
        <v>0.04</v>
      </c>
      <c r="CL148" s="30">
        <v>0.04</v>
      </c>
      <c r="CM148" s="32">
        <v>0.04</v>
      </c>
      <c r="CN148" s="32">
        <v>0.04</v>
      </c>
      <c r="CO148" s="32">
        <v>0.04</v>
      </c>
      <c r="CP148" s="32">
        <v>0.04</v>
      </c>
      <c r="CQ148" s="32">
        <v>0.04</v>
      </c>
      <c r="CR148" s="32">
        <v>0.04</v>
      </c>
      <c r="CS148" s="32">
        <v>0.04</v>
      </c>
      <c r="CT148" s="32">
        <v>0.04</v>
      </c>
      <c r="CU148" s="32">
        <v>0.04</v>
      </c>
      <c r="CV148" s="32">
        <v>0.04</v>
      </c>
      <c r="CW148" s="32">
        <v>0.04</v>
      </c>
      <c r="CX148" s="32">
        <v>0.04</v>
      </c>
      <c r="CY148" s="32">
        <v>0.04</v>
      </c>
      <c r="CZ148" s="31">
        <v>0.04</v>
      </c>
      <c r="DA148" s="30">
        <v>0.04</v>
      </c>
      <c r="DB148" s="30">
        <v>0.04</v>
      </c>
      <c r="DC148" s="30">
        <v>0.04</v>
      </c>
      <c r="DD148" s="30">
        <v>0.04</v>
      </c>
      <c r="DE148" s="30">
        <v>0.04</v>
      </c>
      <c r="DF148" s="30">
        <v>0.04</v>
      </c>
      <c r="DG148" s="30">
        <v>0.04</v>
      </c>
      <c r="DH148" s="30">
        <v>0.04</v>
      </c>
      <c r="DI148" s="30">
        <v>0.04</v>
      </c>
    </row>
    <row r="149" spans="1:113" ht="12" outlineLevel="1">
      <c r="A149" s="1" t="s">
        <v>884</v>
      </c>
      <c r="B149" s="15" t="s">
        <v>272</v>
      </c>
      <c r="C149" s="16" t="s">
        <v>178</v>
      </c>
      <c r="D149" s="16" t="s">
        <v>178</v>
      </c>
      <c r="E149" s="16" t="s">
        <v>178</v>
      </c>
      <c r="F149" s="16" t="s">
        <v>178</v>
      </c>
      <c r="G149" s="16" t="s">
        <v>178</v>
      </c>
      <c r="H149" s="16" t="s">
        <v>178</v>
      </c>
      <c r="I149" s="16" t="s">
        <v>178</v>
      </c>
      <c r="J149" s="16" t="s">
        <v>178</v>
      </c>
      <c r="K149" s="16" t="s">
        <v>178</v>
      </c>
      <c r="L149" s="16" t="s">
        <v>178</v>
      </c>
      <c r="M149" s="16" t="s">
        <v>178</v>
      </c>
      <c r="N149" s="16" t="s">
        <v>178</v>
      </c>
      <c r="O149" s="16" t="s">
        <v>178</v>
      </c>
      <c r="P149" s="16" t="s">
        <v>178</v>
      </c>
      <c r="Q149" s="16" t="s">
        <v>178</v>
      </c>
      <c r="R149" s="16" t="s">
        <v>178</v>
      </c>
      <c r="S149" s="16" t="s">
        <v>178</v>
      </c>
      <c r="T149" s="16" t="s">
        <v>178</v>
      </c>
      <c r="U149" s="16" t="s">
        <v>178</v>
      </c>
      <c r="V149" s="16" t="s">
        <v>178</v>
      </c>
      <c r="W149" s="16" t="s">
        <v>178</v>
      </c>
      <c r="X149" s="16" t="s">
        <v>178</v>
      </c>
      <c r="Y149" s="16" t="s">
        <v>178</v>
      </c>
      <c r="Z149" s="16" t="s">
        <v>178</v>
      </c>
      <c r="AA149" s="16" t="s">
        <v>178</v>
      </c>
      <c r="AB149" s="16" t="s">
        <v>178</v>
      </c>
      <c r="AC149" s="16" t="s">
        <v>178</v>
      </c>
      <c r="AD149" s="16" t="s">
        <v>178</v>
      </c>
      <c r="AE149" s="16" t="s">
        <v>178</v>
      </c>
      <c r="AF149" s="16" t="s">
        <v>2386</v>
      </c>
      <c r="AG149" s="16" t="s">
        <v>178</v>
      </c>
      <c r="AH149" s="16" t="s">
        <v>178</v>
      </c>
      <c r="AI149" s="16" t="s">
        <v>178</v>
      </c>
      <c r="AJ149" s="16" t="s">
        <v>178</v>
      </c>
      <c r="AK149" s="16" t="s">
        <v>178</v>
      </c>
      <c r="AL149" s="16" t="s">
        <v>178</v>
      </c>
      <c r="AM149" s="16" t="s">
        <v>178</v>
      </c>
      <c r="AN149" s="16" t="s">
        <v>178</v>
      </c>
      <c r="AO149" s="16" t="s">
        <v>178</v>
      </c>
      <c r="AP149" s="16" t="s">
        <v>178</v>
      </c>
      <c r="AQ149" s="16" t="s">
        <v>178</v>
      </c>
      <c r="AR149" s="16" t="s">
        <v>178</v>
      </c>
      <c r="AS149" s="16" t="s">
        <v>178</v>
      </c>
      <c r="AT149" s="16" t="s">
        <v>178</v>
      </c>
      <c r="AU149" s="16" t="s">
        <v>178</v>
      </c>
      <c r="AV149" s="16" t="s">
        <v>178</v>
      </c>
      <c r="AW149" s="16" t="s">
        <v>178</v>
      </c>
      <c r="AX149" s="16" t="s">
        <v>178</v>
      </c>
      <c r="AY149" s="200" t="s">
        <v>178</v>
      </c>
      <c r="AZ149" s="16" t="s">
        <v>178</v>
      </c>
      <c r="BA149" s="16" t="s">
        <v>178</v>
      </c>
      <c r="BB149" s="16" t="s">
        <v>178</v>
      </c>
      <c r="BC149" s="16" t="s">
        <v>178</v>
      </c>
      <c r="BD149" s="16" t="s">
        <v>178</v>
      </c>
      <c r="BE149" s="16" t="s">
        <v>178</v>
      </c>
      <c r="BF149" s="16" t="s">
        <v>178</v>
      </c>
      <c r="BG149" s="16" t="s">
        <v>178</v>
      </c>
      <c r="BH149" s="16" t="s">
        <v>178</v>
      </c>
      <c r="BI149" s="16" t="s">
        <v>178</v>
      </c>
      <c r="BJ149" s="16" t="s">
        <v>178</v>
      </c>
      <c r="BK149" s="16" t="s">
        <v>178</v>
      </c>
      <c r="BL149" s="16" t="s">
        <v>178</v>
      </c>
      <c r="BM149" s="16" t="s">
        <v>178</v>
      </c>
      <c r="BN149" s="16" t="s">
        <v>178</v>
      </c>
      <c r="BO149" s="16" t="s">
        <v>178</v>
      </c>
      <c r="BP149" s="16" t="s">
        <v>178</v>
      </c>
      <c r="BQ149" s="16" t="s">
        <v>178</v>
      </c>
      <c r="BS149" s="16" t="s">
        <v>178</v>
      </c>
      <c r="BT149" s="16" t="s">
        <v>178</v>
      </c>
      <c r="BU149" s="16" t="s">
        <v>178</v>
      </c>
      <c r="BV149" s="16" t="s">
        <v>178</v>
      </c>
      <c r="BW149" s="16" t="s">
        <v>178</v>
      </c>
      <c r="BX149" s="16" t="s">
        <v>178</v>
      </c>
      <c r="BY149" s="16" t="s">
        <v>178</v>
      </c>
      <c r="BZ149" s="16" t="s">
        <v>178</v>
      </c>
      <c r="CA149" s="16" t="s">
        <v>178</v>
      </c>
      <c r="CB149" s="16" t="s">
        <v>178</v>
      </c>
      <c r="CC149" s="16" t="str">
        <f>E149</f>
        <v>Core Tier 1</v>
      </c>
      <c r="CD149" s="16" t="str">
        <f>G149</f>
        <v>Core Tier 1</v>
      </c>
      <c r="CE149" s="16" t="str">
        <f>I149</f>
        <v>Core Tier 1</v>
      </c>
      <c r="CF149" s="16" t="str">
        <f>K149</f>
        <v>Core Tier 1</v>
      </c>
      <c r="CG149" s="16" t="str">
        <f>M149</f>
        <v>Core Tier 1</v>
      </c>
      <c r="CH149" s="16" t="str">
        <f>O149</f>
        <v>Core Tier 1</v>
      </c>
      <c r="CI149" s="16" t="str">
        <f>Q149</f>
        <v>Core Tier 1</v>
      </c>
      <c r="CJ149" s="16" t="str">
        <f>S149</f>
        <v>Core Tier 1</v>
      </c>
      <c r="CK149" s="16" t="str">
        <f>U149</f>
        <v>Core Tier 1</v>
      </c>
      <c r="CL149" s="16" t="str">
        <f>W149</f>
        <v>Core Tier 1</v>
      </c>
      <c r="CM149" s="16" t="str">
        <f>Y149</f>
        <v>Core Tier 1</v>
      </c>
      <c r="CN149" s="16" t="str">
        <f>AA149</f>
        <v>Core Tier 1</v>
      </c>
      <c r="CO149" s="16" t="str">
        <f>AC149</f>
        <v>Core Tier 1</v>
      </c>
      <c r="CP149" s="16" t="str">
        <f>AE149</f>
        <v>Core Tier 1</v>
      </c>
      <c r="CQ149" s="16" t="str">
        <f>AG149</f>
        <v>Core Tier 1</v>
      </c>
      <c r="CR149" s="16" t="str">
        <f>AI149</f>
        <v>Core Tier 1</v>
      </c>
      <c r="CS149" s="16" t="str">
        <f>AK149</f>
        <v>Core Tier 1</v>
      </c>
      <c r="CT149" s="16" t="str">
        <f>AM149</f>
        <v>Core Tier 1</v>
      </c>
      <c r="CU149" s="16" t="str">
        <f>AO149</f>
        <v>Core Tier 1</v>
      </c>
      <c r="CV149" s="16" t="str">
        <f>AQ149</f>
        <v>Core Tier 1</v>
      </c>
      <c r="CW149" s="16" t="str">
        <f>AS149</f>
        <v>Core Tier 1</v>
      </c>
      <c r="CX149" s="16" t="str">
        <f>AU149</f>
        <v>Core Tier 1</v>
      </c>
      <c r="CY149" s="16" t="str">
        <f>AW149</f>
        <v>Core Tier 1</v>
      </c>
      <c r="CZ149" s="200" t="str">
        <f>AY149</f>
        <v>Core Tier 1</v>
      </c>
      <c r="DA149" s="16" t="str">
        <f>BA149</f>
        <v>Core Tier 1</v>
      </c>
      <c r="DB149" s="16" t="str">
        <f>BB149</f>
        <v>Core Tier 1</v>
      </c>
      <c r="DC149" s="16" t="str">
        <f>BD149</f>
        <v>Core Tier 1</v>
      </c>
      <c r="DD149" s="16" t="str">
        <f>BF149</f>
        <v>Core Tier 1</v>
      </c>
      <c r="DE149" s="16" t="str">
        <f>BH149</f>
        <v>Core Tier 1</v>
      </c>
      <c r="DF149" s="16" t="str">
        <f>BJ149</f>
        <v>Core Tier 1</v>
      </c>
      <c r="DG149" s="16" t="str">
        <f>BL149</f>
        <v>Core Tier 1</v>
      </c>
      <c r="DH149" s="16" t="str">
        <f>BN149</f>
        <v>Core Tier 1</v>
      </c>
      <c r="DI149" s="16" t="str">
        <f>BP149</f>
        <v>Core Tier 1</v>
      </c>
    </row>
    <row r="150" spans="1:113" ht="12" outlineLevel="1">
      <c r="A150" s="1" t="s">
        <v>885</v>
      </c>
      <c r="B150" s="15" t="s">
        <v>488</v>
      </c>
      <c r="C150" s="345">
        <f>C590/C613</f>
        <v>6.6463497904822144E-2</v>
      </c>
      <c r="D150" s="345">
        <f>D590/D613</f>
        <v>6.7406105539883909E-2</v>
      </c>
      <c r="E150" s="345">
        <f>E590/E613</f>
        <v>6.9142089256665956E-2</v>
      </c>
      <c r="F150" s="345">
        <f t="shared" ref="F150:L150" si="1660">F590/F613</f>
        <v>6.8820952470676905E-2</v>
      </c>
      <c r="G150" s="345">
        <f t="shared" si="1660"/>
        <v>6.3083252280434265E-2</v>
      </c>
      <c r="H150" s="345">
        <f t="shared" si="1660"/>
        <v>5.6806888808908607E-2</v>
      </c>
      <c r="I150" s="345">
        <f t="shared" si="1660"/>
        <v>5.6090591058861813E-2</v>
      </c>
      <c r="J150" s="345">
        <f t="shared" si="1660"/>
        <v>5.4490177736202058E-2</v>
      </c>
      <c r="K150" s="345">
        <f t="shared" si="1660"/>
        <v>5.3995709855036822E-2</v>
      </c>
      <c r="L150" s="345">
        <f t="shared" si="1660"/>
        <v>5.3777752728124066E-2</v>
      </c>
      <c r="M150" s="35">
        <f t="shared" ref="M150:AC150" si="1661">M590/M613</f>
        <v>5.4179727665172199E-2</v>
      </c>
      <c r="N150" s="35">
        <f t="shared" si="1661"/>
        <v>5.4146954907479491E-2</v>
      </c>
      <c r="O150" s="35">
        <f t="shared" si="1661"/>
        <v>5.1909329571155342E-2</v>
      </c>
      <c r="P150" s="35">
        <f t="shared" si="1661"/>
        <v>5.3292508766813962E-2</v>
      </c>
      <c r="Q150" s="35">
        <f t="shared" si="1661"/>
        <v>5.9132133287829389E-2</v>
      </c>
      <c r="R150" s="35">
        <f t="shared" si="1661"/>
        <v>6.3542697645274523E-2</v>
      </c>
      <c r="S150" s="35">
        <f t="shared" si="1661"/>
        <v>8.9642121799983335E-2</v>
      </c>
      <c r="T150" s="37">
        <f t="shared" si="1661"/>
        <v>8.4941014857748798E-2</v>
      </c>
      <c r="U150" s="35">
        <f t="shared" si="1661"/>
        <v>8.044898237221941E-2</v>
      </c>
      <c r="V150" s="35">
        <f t="shared" si="1661"/>
        <v>8.4855962094491283E-2</v>
      </c>
      <c r="W150" s="35">
        <f t="shared" si="1661"/>
        <v>8.5239530796816732E-2</v>
      </c>
      <c r="X150" s="35">
        <f t="shared" si="1661"/>
        <v>8.9226783131345758E-2</v>
      </c>
      <c r="Y150" s="37">
        <f>Y590/Y613</f>
        <v>8.8378276616941948E-2</v>
      </c>
      <c r="Z150" s="37">
        <f t="shared" si="1661"/>
        <v>8.1762156598942287E-2</v>
      </c>
      <c r="AA150" s="37">
        <f>AA590/AA613</f>
        <v>8.482749473125728E-2</v>
      </c>
      <c r="AB150" s="37">
        <f t="shared" si="1661"/>
        <v>8.3217830016078062E-2</v>
      </c>
      <c r="AC150" s="37">
        <f t="shared" si="1661"/>
        <v>8.7893364017824299E-2</v>
      </c>
      <c r="AD150" s="37">
        <f t="shared" ref="AD150:AE150" si="1662">AD590/AD613</f>
        <v>8.7203997280691101E-2</v>
      </c>
      <c r="AE150" s="37">
        <f t="shared" si="1662"/>
        <v>9.5850842296180738E-2</v>
      </c>
      <c r="AF150" s="37">
        <f t="shared" ref="AF150" si="1663">AF590/AF613</f>
        <v>9.811631709735151E-2</v>
      </c>
      <c r="AG150" s="37">
        <f t="shared" ref="AG150:AH150" si="1664">AG590/AG613</f>
        <v>9.610555531080664E-2</v>
      </c>
      <c r="AH150" s="37">
        <f t="shared" si="1664"/>
        <v>0.10129206125327422</v>
      </c>
      <c r="AI150" s="37">
        <f t="shared" ref="AI150:AJ150" si="1665">AI590/AI613</f>
        <v>0.10568812593802814</v>
      </c>
      <c r="AJ150" s="37">
        <f t="shared" si="1665"/>
        <v>0.11043340062712083</v>
      </c>
      <c r="AK150" s="37">
        <f t="shared" ref="AK150:AL150" si="1666">AK590/AK613</f>
        <v>0.11440816744281254</v>
      </c>
      <c r="AL150" s="37">
        <f t="shared" si="1666"/>
        <v>0.11488527370038684</v>
      </c>
      <c r="AM150" s="37">
        <f t="shared" ref="AM150:AN150" si="1667">AM590/AM613</f>
        <v>0.11357177289962371</v>
      </c>
      <c r="AN150" s="37">
        <f t="shared" si="1667"/>
        <v>0.10698600482837875</v>
      </c>
      <c r="AO150" s="37">
        <f t="shared" ref="AO150" si="1668">AO590/AO613</f>
        <v>0.11250535651072234</v>
      </c>
      <c r="AP150" s="37">
        <f t="shared" ref="AP150:AQ150" si="1669">AP590/AP613</f>
        <v>0.12442486635339543</v>
      </c>
      <c r="AQ150" s="37">
        <f t="shared" si="1669"/>
        <v>0.12343361708877491</v>
      </c>
      <c r="AR150" s="37">
        <f t="shared" ref="AR150:AS150" si="1670">AR590/AR613</f>
        <v>0.11534561896280057</v>
      </c>
      <c r="AS150" s="37">
        <f t="shared" si="1670"/>
        <v>0.12287175788070848</v>
      </c>
      <c r="AT150" s="37">
        <f t="shared" ref="AT150:AU150" si="1671">AT590/AT613</f>
        <v>0.13175466230706706</v>
      </c>
      <c r="AU150" s="37">
        <f t="shared" si="1671"/>
        <v>0.13337271852434765</v>
      </c>
      <c r="AV150" s="37">
        <f t="shared" ref="AV150:AW150" si="1672">AV590/AV613</f>
        <v>0.1349695803169747</v>
      </c>
      <c r="AW150" s="37">
        <f t="shared" si="1672"/>
        <v>0.12196864181718027</v>
      </c>
      <c r="AX150" s="37">
        <f t="shared" ref="AX150" si="1673">AX590/AX613</f>
        <v>0.11775931291964375</v>
      </c>
      <c r="AY150" s="36">
        <f t="shared" ref="AY150" si="1674">AY590/AY613</f>
        <v>0.12034535173057506</v>
      </c>
      <c r="AZ150" s="35">
        <f t="shared" ref="AZ150:BA150" si="1675">AZ590/AZ613</f>
        <v>0.12222691222660555</v>
      </c>
      <c r="BA150" s="35">
        <f t="shared" si="1675"/>
        <v>0.12491240172017685</v>
      </c>
      <c r="BB150" s="35">
        <f t="shared" ref="BB150:BC150" si="1676">BB590/BB613</f>
        <v>0.12596089185690604</v>
      </c>
      <c r="BC150" s="35">
        <f t="shared" si="1676"/>
        <v>0.12409317790658439</v>
      </c>
      <c r="BD150" s="35">
        <f t="shared" ref="BD150:BE150" si="1677">BD590/BD613</f>
        <v>0.12312120437641005</v>
      </c>
      <c r="BE150" s="35">
        <f t="shared" si="1677"/>
        <v>0.12124542651726326</v>
      </c>
      <c r="BF150" s="35">
        <f t="shared" ref="BF150:BG150" si="1678">BF590/BF613</f>
        <v>0.12030922746360177</v>
      </c>
      <c r="BG150" s="35">
        <f t="shared" si="1678"/>
        <v>0.11884835474899448</v>
      </c>
      <c r="BH150" s="35">
        <f t="shared" ref="BH150:BI150" si="1679">BH590/BH613</f>
        <v>0.11936219990587769</v>
      </c>
      <c r="BI150" s="35">
        <f t="shared" si="1679"/>
        <v>0.11923978192458752</v>
      </c>
      <c r="BJ150" s="35">
        <f t="shared" ref="BJ150:BK150" si="1680">BJ590/BJ613</f>
        <v>0.119800858135588</v>
      </c>
      <c r="BK150" s="35">
        <f t="shared" si="1680"/>
        <v>0.12036923255572936</v>
      </c>
      <c r="BL150" s="35">
        <f t="shared" ref="BL150:BM150" si="1681">BL590/BL613</f>
        <v>0.12120248299569437</v>
      </c>
      <c r="BM150" s="35">
        <f t="shared" si="1681"/>
        <v>0.12152176365177289</v>
      </c>
      <c r="BN150" s="35">
        <f t="shared" ref="BN150:BO150" si="1682">BN590/BN613</f>
        <v>0.12188686656296453</v>
      </c>
      <c r="BO150" s="35">
        <f t="shared" si="1682"/>
        <v>0.12183370505084869</v>
      </c>
      <c r="BP150" s="35">
        <f t="shared" ref="BP150:BQ150" si="1683">BP590/BP613</f>
        <v>0.1218842794889623</v>
      </c>
      <c r="BQ150" s="35">
        <f t="shared" si="1683"/>
        <v>0.12159865768367244</v>
      </c>
      <c r="BR150" s="35"/>
      <c r="BS150" s="345">
        <f t="shared" ref="BS150:CB150" si="1684">BS590/BS613</f>
        <v>4.7954301628085012E-2</v>
      </c>
      <c r="BT150" s="345">
        <f t="shared" si="1684"/>
        <v>5.4811345303148587E-2</v>
      </c>
      <c r="BU150" s="345">
        <f t="shared" si="1684"/>
        <v>6.5147907980059719E-2</v>
      </c>
      <c r="BV150" s="345">
        <f t="shared" si="1684"/>
        <v>6.6240550820935051E-2</v>
      </c>
      <c r="BW150" s="345">
        <f t="shared" si="1684"/>
        <v>6.7078712961279763E-2</v>
      </c>
      <c r="BX150" s="345">
        <f t="shared" si="1684"/>
        <v>6.5682496914656094E-2</v>
      </c>
      <c r="BY150" s="345">
        <f t="shared" si="1684"/>
        <v>7.1570079933847855E-2</v>
      </c>
      <c r="BZ150" s="345">
        <f t="shared" si="1684"/>
        <v>7.9034540017113283E-2</v>
      </c>
      <c r="CA150" s="345">
        <f t="shared" si="1684"/>
        <v>7.4332243538338172E-2</v>
      </c>
      <c r="CB150" s="345">
        <f t="shared" si="1684"/>
        <v>7.4657332403740409E-2</v>
      </c>
      <c r="CC150" s="35">
        <f t="shared" ref="CC150:CP150" si="1685">CC590/CC613</f>
        <v>6.9142089256665956E-2</v>
      </c>
      <c r="CD150" s="35">
        <f t="shared" si="1685"/>
        <v>6.3362663621421456E-2</v>
      </c>
      <c r="CE150" s="35">
        <f t="shared" si="1685"/>
        <v>5.6374377791633019E-2</v>
      </c>
      <c r="CF150" s="35">
        <f t="shared" si="1685"/>
        <v>5.4364622643672367E-2</v>
      </c>
      <c r="CG150" s="35">
        <f t="shared" si="1685"/>
        <v>5.1558838448413913E-2</v>
      </c>
      <c r="CH150" s="35">
        <f t="shared" si="1685"/>
        <v>4.965741510449663E-2</v>
      </c>
      <c r="CI150" s="35">
        <f t="shared" si="1685"/>
        <v>6.4953140578265206E-2</v>
      </c>
      <c r="CJ150" s="35">
        <f t="shared" si="1685"/>
        <v>9.8324275165244487E-2</v>
      </c>
      <c r="CK150" s="35">
        <f t="shared" si="1685"/>
        <v>9.1034057477614047E-2</v>
      </c>
      <c r="CL150" s="35">
        <f t="shared" si="1685"/>
        <v>9.5905605478483133E-2</v>
      </c>
      <c r="CM150" s="37">
        <f t="shared" si="1685"/>
        <v>0.10406669936243257</v>
      </c>
      <c r="CN150" s="37">
        <f t="shared" si="1685"/>
        <v>0.10004832244629777</v>
      </c>
      <c r="CO150" s="37">
        <f t="shared" si="1685"/>
        <v>0.10287323761270376</v>
      </c>
      <c r="CP150" s="37">
        <f t="shared" si="1685"/>
        <v>0.11015265145775137</v>
      </c>
      <c r="CQ150" s="37">
        <f t="shared" ref="CQ150:CZ150" si="1686">CQ590/CQ613</f>
        <v>0.11154352006772092</v>
      </c>
      <c r="CR150" s="37">
        <f t="shared" si="1686"/>
        <v>0.12271920293082052</v>
      </c>
      <c r="CS150" s="37">
        <f t="shared" si="1686"/>
        <v>0.13245156703596184</v>
      </c>
      <c r="CT150" s="37">
        <f t="shared" si="1686"/>
        <v>0.11357177289962371</v>
      </c>
      <c r="CU150" s="37">
        <f t="shared" si="1686"/>
        <v>0.11250535651072234</v>
      </c>
      <c r="CV150" s="37">
        <f t="shared" si="1686"/>
        <v>0.12343361708877491</v>
      </c>
      <c r="CW150" s="37">
        <f t="shared" si="1686"/>
        <v>0.12287175788070848</v>
      </c>
      <c r="CX150" s="37">
        <f t="shared" si="1686"/>
        <v>0.13337271852434765</v>
      </c>
      <c r="CY150" s="37">
        <f t="shared" si="1686"/>
        <v>0.12196864181718027</v>
      </c>
      <c r="CZ150" s="36">
        <f t="shared" si="1686"/>
        <v>0.12034535173057506</v>
      </c>
      <c r="DA150" s="35">
        <f t="shared" ref="DA150:DE150" si="1687">DA590/DA613</f>
        <v>0.12491240172017685</v>
      </c>
      <c r="DB150" s="35">
        <f t="shared" si="1687"/>
        <v>0.12409317790658436</v>
      </c>
      <c r="DC150" s="35">
        <f t="shared" si="1687"/>
        <v>0.12124542651726324</v>
      </c>
      <c r="DD150" s="35">
        <f t="shared" si="1687"/>
        <v>0.11884835474899448</v>
      </c>
      <c r="DE150" s="35">
        <f t="shared" si="1687"/>
        <v>0.11923978192458749</v>
      </c>
      <c r="DF150" s="35">
        <f>DF590/DF613</f>
        <v>0.1203692325557293</v>
      </c>
      <c r="DG150" s="35">
        <f>DG590/DG613</f>
        <v>0.12152176365177281</v>
      </c>
      <c r="DH150" s="35">
        <f>DH590/DH613</f>
        <v>0.12183370505084863</v>
      </c>
      <c r="DI150" s="35">
        <f>DI590/DI613</f>
        <v>0.12159865768367237</v>
      </c>
    </row>
    <row r="151" spans="1:113" ht="12" outlineLevel="1">
      <c r="A151" s="1" t="s">
        <v>886</v>
      </c>
      <c r="B151" s="15" t="s">
        <v>161</v>
      </c>
      <c r="C151" s="383">
        <v>0.05</v>
      </c>
      <c r="D151" s="383">
        <v>0.05</v>
      </c>
      <c r="E151" s="383">
        <v>0.05</v>
      </c>
      <c r="F151" s="383">
        <v>0.05</v>
      </c>
      <c r="G151" s="383">
        <v>0.05</v>
      </c>
      <c r="H151" s="383">
        <v>0.05</v>
      </c>
      <c r="I151" s="383">
        <v>0.05</v>
      </c>
      <c r="J151" s="383">
        <v>0.05</v>
      </c>
      <c r="K151" s="383">
        <v>0.05</v>
      </c>
      <c r="L151" s="383">
        <v>0.05</v>
      </c>
      <c r="M151" s="143">
        <v>0.05</v>
      </c>
      <c r="N151" s="143">
        <v>0.05</v>
      </c>
      <c r="O151" s="143">
        <v>0.05</v>
      </c>
      <c r="P151" s="143">
        <v>0.05</v>
      </c>
      <c r="Q151" s="143">
        <v>0.05</v>
      </c>
      <c r="R151" s="143">
        <v>6.5000000000000002E-2</v>
      </c>
      <c r="S151" s="143">
        <v>6.5000000000000002E-2</v>
      </c>
      <c r="T151" s="144">
        <v>6.5000000000000002E-2</v>
      </c>
      <c r="U151" s="143">
        <v>6.5000000000000002E-2</v>
      </c>
      <c r="V151" s="143">
        <f>8.25%-7.3%+V834</f>
        <v>9.4355962094491291E-2</v>
      </c>
      <c r="W151" s="143">
        <f>8.25%-7.47%+W834</f>
        <v>9.3039530796816733E-2</v>
      </c>
      <c r="X151" s="143">
        <f>8.25%-7.8%+X834</f>
        <v>9.3726783131345762E-2</v>
      </c>
      <c r="Y151" s="144">
        <f>8.25%-8.02%+Y834</f>
        <v>9.0678276616941958E-2</v>
      </c>
      <c r="Z151" s="330">
        <f>8.25%</f>
        <v>8.2500000000000004E-2</v>
      </c>
      <c r="AA151" s="330">
        <v>8.2500000000000004E-2</v>
      </c>
      <c r="AB151" s="144">
        <v>8.7499999999999994E-2</v>
      </c>
      <c r="AC151" s="144">
        <v>0.09</v>
      </c>
      <c r="AD151" s="144">
        <v>0.09</v>
      </c>
      <c r="AE151" s="144">
        <v>0.09</v>
      </c>
      <c r="AF151" s="144">
        <v>0.1</v>
      </c>
      <c r="AG151" s="144">
        <v>0.1</v>
      </c>
      <c r="AH151" s="144">
        <v>0.1</v>
      </c>
      <c r="AI151" s="144">
        <v>0.105</v>
      </c>
      <c r="AJ151" s="144">
        <v>0.105</v>
      </c>
      <c r="AK151" s="144">
        <v>0.105</v>
      </c>
      <c r="AL151" s="144">
        <v>0.105</v>
      </c>
      <c r="AM151" s="144">
        <v>0.105</v>
      </c>
      <c r="AN151" s="144">
        <v>0.105</v>
      </c>
      <c r="AO151" s="144">
        <v>0.105</v>
      </c>
      <c r="AP151" s="144">
        <v>0.105</v>
      </c>
      <c r="AQ151" s="144">
        <v>0.105</v>
      </c>
      <c r="AR151" s="144">
        <v>0.105</v>
      </c>
      <c r="AS151" s="144">
        <v>0.105</v>
      </c>
      <c r="AT151" s="144">
        <v>0.11</v>
      </c>
      <c r="AU151" s="144">
        <v>0.11</v>
      </c>
      <c r="AV151" s="144">
        <v>0.11</v>
      </c>
      <c r="AW151" s="144">
        <v>0.11</v>
      </c>
      <c r="AX151" s="144">
        <v>0.11</v>
      </c>
      <c r="AY151" s="145">
        <f t="shared" ref="AY151:AY152" si="1688">AX151</f>
        <v>0.11</v>
      </c>
      <c r="AZ151" s="34">
        <f t="shared" ref="AZ151:AZ152" si="1689">AY151</f>
        <v>0.11</v>
      </c>
      <c r="BA151" s="34">
        <f t="shared" ref="BA151:BA152" si="1690">AZ151</f>
        <v>0.11</v>
      </c>
      <c r="BB151" s="34">
        <f t="shared" ref="BB151:BB152" si="1691">BA151</f>
        <v>0.11</v>
      </c>
      <c r="BC151" s="34">
        <f t="shared" ref="BC151:BC152" si="1692">BB151</f>
        <v>0.11</v>
      </c>
      <c r="BD151" s="34">
        <f t="shared" ref="BD151:BD152" si="1693">BC151</f>
        <v>0.11</v>
      </c>
      <c r="BE151" s="34">
        <f t="shared" ref="BE151:BE152" si="1694">BD151</f>
        <v>0.11</v>
      </c>
      <c r="BF151" s="34">
        <f t="shared" ref="BF151:BF152" si="1695">BE151</f>
        <v>0.11</v>
      </c>
      <c r="BG151" s="34">
        <f t="shared" ref="BG151:BK152" si="1696">BF151</f>
        <v>0.11</v>
      </c>
      <c r="BH151" s="34">
        <f t="shared" si="1696"/>
        <v>0.11</v>
      </c>
      <c r="BI151" s="34">
        <f t="shared" si="1696"/>
        <v>0.11</v>
      </c>
      <c r="BJ151" s="34">
        <f t="shared" si="1696"/>
        <v>0.11</v>
      </c>
      <c r="BK151" s="34">
        <f t="shared" si="1696"/>
        <v>0.11</v>
      </c>
      <c r="BL151" s="34">
        <f t="shared" ref="BL151:BL152" si="1697">BK151</f>
        <v>0.11</v>
      </c>
      <c r="BM151" s="34">
        <f t="shared" ref="BM151:BM152" si="1698">BL151</f>
        <v>0.11</v>
      </c>
      <c r="BN151" s="34">
        <f t="shared" ref="BN151:BN152" si="1699">BM151</f>
        <v>0.11</v>
      </c>
      <c r="BO151" s="34">
        <f t="shared" ref="BO151:BO152" si="1700">BN151</f>
        <v>0.11</v>
      </c>
      <c r="BP151" s="34">
        <f t="shared" ref="BP151:BP152" si="1701">BO151</f>
        <v>0.11</v>
      </c>
      <c r="BQ151" s="34">
        <f t="shared" ref="BQ151:BQ152" si="1702">BP151</f>
        <v>0.11</v>
      </c>
      <c r="BR151" s="35"/>
      <c r="BS151" s="345">
        <v>0.05</v>
      </c>
      <c r="BT151" s="345">
        <v>0.05</v>
      </c>
      <c r="BU151" s="345">
        <v>0.05</v>
      </c>
      <c r="BV151" s="345">
        <v>0.05</v>
      </c>
      <c r="BW151" s="345">
        <v>0.05</v>
      </c>
      <c r="BX151" s="345">
        <v>0.05</v>
      </c>
      <c r="BY151" s="345">
        <v>0.05</v>
      </c>
      <c r="BZ151" s="345">
        <v>0.05</v>
      </c>
      <c r="CA151" s="345">
        <v>0.05</v>
      </c>
      <c r="CB151" s="345">
        <v>0.05</v>
      </c>
      <c r="CC151" s="35">
        <f>E151</f>
        <v>0.05</v>
      </c>
      <c r="CD151" s="35">
        <f>G151</f>
        <v>0.05</v>
      </c>
      <c r="CE151" s="35">
        <f>I151</f>
        <v>0.05</v>
      </c>
      <c r="CF151" s="35">
        <f>K151</f>
        <v>0.05</v>
      </c>
      <c r="CG151" s="35">
        <f>M151</f>
        <v>0.05</v>
      </c>
      <c r="CH151" s="35">
        <f>O151</f>
        <v>0.05</v>
      </c>
      <c r="CI151" s="35">
        <f>Q151</f>
        <v>0.05</v>
      </c>
      <c r="CJ151" s="35">
        <f>S151</f>
        <v>6.5000000000000002E-2</v>
      </c>
      <c r="CK151" s="35">
        <f>U151</f>
        <v>6.5000000000000002E-2</v>
      </c>
      <c r="CL151" s="35">
        <f>W151</f>
        <v>9.3039530796816733E-2</v>
      </c>
      <c r="CM151" s="37">
        <f>Y151</f>
        <v>9.0678276616941958E-2</v>
      </c>
      <c r="CN151" s="37">
        <f>AA151</f>
        <v>8.2500000000000004E-2</v>
      </c>
      <c r="CO151" s="37">
        <f>AC151</f>
        <v>0.09</v>
      </c>
      <c r="CP151" s="37">
        <f>AE151</f>
        <v>0.09</v>
      </c>
      <c r="CQ151" s="37">
        <f>AG151</f>
        <v>0.1</v>
      </c>
      <c r="CR151" s="37">
        <f>AI151</f>
        <v>0.105</v>
      </c>
      <c r="CS151" s="37">
        <f>AK151</f>
        <v>0.105</v>
      </c>
      <c r="CT151" s="37">
        <f>AM151</f>
        <v>0.105</v>
      </c>
      <c r="CU151" s="37">
        <f>AO151</f>
        <v>0.105</v>
      </c>
      <c r="CV151" s="37">
        <f>AQ151</f>
        <v>0.105</v>
      </c>
      <c r="CW151" s="37">
        <f>AS151</f>
        <v>0.105</v>
      </c>
      <c r="CX151" s="37">
        <f>AU151</f>
        <v>0.11</v>
      </c>
      <c r="CY151" s="37">
        <f>AW151</f>
        <v>0.11</v>
      </c>
      <c r="CZ151" s="36">
        <f>AY151</f>
        <v>0.11</v>
      </c>
      <c r="DA151" s="35">
        <f>BA151</f>
        <v>0.11</v>
      </c>
      <c r="DB151" s="35">
        <f>BC151</f>
        <v>0.11</v>
      </c>
      <c r="DC151" s="35">
        <f>BE151</f>
        <v>0.11</v>
      </c>
      <c r="DD151" s="35">
        <f>BG151</f>
        <v>0.11</v>
      </c>
      <c r="DE151" s="35">
        <f>BI151</f>
        <v>0.11</v>
      </c>
      <c r="DF151" s="35">
        <f>BK151</f>
        <v>0.11</v>
      </c>
      <c r="DG151" s="35">
        <f>BM151</f>
        <v>0.11</v>
      </c>
      <c r="DH151" s="35">
        <f>BO151</f>
        <v>0.11</v>
      </c>
      <c r="DI151" s="35">
        <f>BQ151</f>
        <v>0.11</v>
      </c>
    </row>
    <row r="152" spans="1:113" ht="12" outlineLevel="1">
      <c r="A152" s="1" t="s">
        <v>887</v>
      </c>
      <c r="B152" s="15" t="s">
        <v>162</v>
      </c>
      <c r="C152" s="207">
        <f t="shared" ref="C152:AC152" si="1703">(-(C556+C576))/C208</f>
        <v>0</v>
      </c>
      <c r="D152" s="207">
        <f t="shared" si="1703"/>
        <v>0</v>
      </c>
      <c r="E152" s="207" t="e">
        <f t="shared" si="1703"/>
        <v>#DIV/0!</v>
      </c>
      <c r="F152" s="207" t="e">
        <f t="shared" si="1703"/>
        <v>#DIV/0!</v>
      </c>
      <c r="G152" s="207" t="e">
        <f t="shared" si="1703"/>
        <v>#DIV/0!</v>
      </c>
      <c r="H152" s="207" t="e">
        <f t="shared" si="1703"/>
        <v>#DIV/0!</v>
      </c>
      <c r="I152" s="207" t="e">
        <f t="shared" si="1703"/>
        <v>#DIV/0!</v>
      </c>
      <c r="J152" s="207" t="e">
        <f t="shared" si="1703"/>
        <v>#DIV/0!</v>
      </c>
      <c r="K152" s="207" t="e">
        <f t="shared" si="1703"/>
        <v>#DIV/0!</v>
      </c>
      <c r="L152" s="207" t="e">
        <f t="shared" si="1703"/>
        <v>#DIV/0!</v>
      </c>
      <c r="M152" s="30">
        <f t="shared" si="1703"/>
        <v>1.5181752898848027E-2</v>
      </c>
      <c r="N152" s="30">
        <f t="shared" si="1703"/>
        <v>1.7986508254921943E-2</v>
      </c>
      <c r="O152" s="30">
        <f t="shared" si="1703"/>
        <v>1.7660185201208524E-2</v>
      </c>
      <c r="P152" s="30">
        <f t="shared" si="1703"/>
        <v>3.9801096689728394E-2</v>
      </c>
      <c r="Q152" s="30">
        <f t="shared" si="1703"/>
        <v>5.7146754619728055E-2</v>
      </c>
      <c r="R152" s="30">
        <f t="shared" si="1703"/>
        <v>0.12793714105774565</v>
      </c>
      <c r="S152" s="30">
        <f t="shared" si="1703"/>
        <v>9.101703010829322E-2</v>
      </c>
      <c r="T152" s="32">
        <f t="shared" si="1703"/>
        <v>4.8848034883035768E-2</v>
      </c>
      <c r="U152" s="30">
        <f t="shared" si="1703"/>
        <v>6.4306253449127188E-2</v>
      </c>
      <c r="V152" s="30">
        <f t="shared" si="1703"/>
        <v>6.2579857463301053E-2</v>
      </c>
      <c r="W152" s="30">
        <f t="shared" si="1703"/>
        <v>8.0556921563806241E-2</v>
      </c>
      <c r="X152" s="30">
        <f t="shared" si="1703"/>
        <v>7.1366794906206191E-2</v>
      </c>
      <c r="Y152" s="32">
        <f t="shared" si="1703"/>
        <v>7.1910649226542431E-2</v>
      </c>
      <c r="Z152" s="139">
        <f t="shared" si="1703"/>
        <v>4.6385386449148407E-2</v>
      </c>
      <c r="AA152" s="139">
        <f t="shared" si="1703"/>
        <v>4.5739435638875732E-2</v>
      </c>
      <c r="AB152" s="32">
        <f t="shared" si="1703"/>
        <v>4.6575566202090593E-2</v>
      </c>
      <c r="AC152" s="32">
        <f t="shared" si="1703"/>
        <v>4.6985557175036441E-2</v>
      </c>
      <c r="AD152" s="32">
        <f t="shared" ref="AD152:AF152" si="1704">(-(AD556+AD576))/AD208</f>
        <v>4.8153017936440994E-2</v>
      </c>
      <c r="AE152" s="32">
        <f t="shared" si="1704"/>
        <v>5.5308590923188253E-2</v>
      </c>
      <c r="AF152" s="32">
        <f t="shared" si="1704"/>
        <v>6.9748074120341452E-2</v>
      </c>
      <c r="AG152" s="32">
        <f t="shared" ref="AG152" si="1705">(-(AG556+AG576))/AG208</f>
        <v>6.6543391255889359E-2</v>
      </c>
      <c r="AH152" s="32" t="str">
        <f t="shared" ref="AH152:AM152" si="1706">IF(ISERROR((-(AH556+AH576))/AH208),"n.a.",(-(AH556+AH576))/AH208)</f>
        <v>n.a.</v>
      </c>
      <c r="AI152" s="32" t="str">
        <f t="shared" si="1706"/>
        <v>n.a.</v>
      </c>
      <c r="AJ152" s="32" t="str">
        <f t="shared" si="1706"/>
        <v>n.a.</v>
      </c>
      <c r="AK152" s="32" t="str">
        <f t="shared" si="1706"/>
        <v>n.a.</v>
      </c>
      <c r="AL152" s="32" t="str">
        <f t="shared" si="1706"/>
        <v>n.a.</v>
      </c>
      <c r="AM152" s="32" t="str">
        <f t="shared" si="1706"/>
        <v>n.a.</v>
      </c>
      <c r="AN152" s="32" t="str">
        <f t="shared" ref="AN152:AO152" si="1707">IF(ISERROR((-(AN556+AN576))/AN208),"n.a.",(-(AN556+AN576))/AN208)</f>
        <v>n.a.</v>
      </c>
      <c r="AO152" s="32" t="str">
        <f t="shared" si="1707"/>
        <v>n.a.</v>
      </c>
      <c r="AP152" s="32" t="str">
        <f t="shared" ref="AP152:AQ152" si="1708">IF(ISERROR((-(AP556+AP576))/AP208),"n.a.",(-(AP556+AP576))/AP208)</f>
        <v>n.a.</v>
      </c>
      <c r="AQ152" s="32" t="str">
        <f t="shared" si="1708"/>
        <v>n.a.</v>
      </c>
      <c r="AR152" s="32" t="str">
        <f t="shared" ref="AR152:AS152" si="1709">IF(ISERROR((-(AR556+AR576))/AR208),"n.a.",(-(AR556+AR576))/AR208)</f>
        <v>n.a.</v>
      </c>
      <c r="AS152" s="32" t="str">
        <f t="shared" si="1709"/>
        <v>n.a.</v>
      </c>
      <c r="AT152" s="32" t="str">
        <f t="shared" ref="AT152:AU152" si="1710">IF(ISERROR((-(AT556+AT576))/AT208),"n.a.",(-(AT556+AT576))/AT208)</f>
        <v>n.a.</v>
      </c>
      <c r="AU152" s="32" t="str">
        <f t="shared" si="1710"/>
        <v>n.a.</v>
      </c>
      <c r="AV152" s="32" t="str">
        <f t="shared" ref="AV152:AW152" si="1711">IF(ISERROR((-(AV556+AV576))/AV208),"n.a.",(-(AV556+AV576))/AV208)</f>
        <v>n.a.</v>
      </c>
      <c r="AW152" s="32" t="str">
        <f t="shared" si="1711"/>
        <v>n.a.</v>
      </c>
      <c r="AX152" s="32" t="str">
        <f t="shared" ref="AX152" si="1712">IF(ISERROR((-(AX556+AX576))/AX208),"n.a.",(-(AX556+AX576))/AX208)</f>
        <v>n.a.</v>
      </c>
      <c r="AY152" s="31" t="str">
        <f t="shared" si="1688"/>
        <v>n.a.</v>
      </c>
      <c r="AZ152" s="33" t="str">
        <f t="shared" si="1689"/>
        <v>n.a.</v>
      </c>
      <c r="BA152" s="33" t="str">
        <f t="shared" si="1690"/>
        <v>n.a.</v>
      </c>
      <c r="BB152" s="33" t="str">
        <f t="shared" si="1691"/>
        <v>n.a.</v>
      </c>
      <c r="BC152" s="33" t="str">
        <f t="shared" si="1692"/>
        <v>n.a.</v>
      </c>
      <c r="BD152" s="33" t="str">
        <f t="shared" si="1693"/>
        <v>n.a.</v>
      </c>
      <c r="BE152" s="33" t="str">
        <f t="shared" si="1694"/>
        <v>n.a.</v>
      </c>
      <c r="BF152" s="33" t="str">
        <f t="shared" si="1695"/>
        <v>n.a.</v>
      </c>
      <c r="BG152" s="33" t="str">
        <f t="shared" si="1696"/>
        <v>n.a.</v>
      </c>
      <c r="BH152" s="33" t="str">
        <f t="shared" si="1696"/>
        <v>n.a.</v>
      </c>
      <c r="BI152" s="33" t="str">
        <f t="shared" si="1696"/>
        <v>n.a.</v>
      </c>
      <c r="BJ152" s="33" t="str">
        <f t="shared" si="1696"/>
        <v>n.a.</v>
      </c>
      <c r="BK152" s="33" t="str">
        <f t="shared" si="1696"/>
        <v>n.a.</v>
      </c>
      <c r="BL152" s="33" t="str">
        <f t="shared" si="1697"/>
        <v>n.a.</v>
      </c>
      <c r="BM152" s="33" t="str">
        <f t="shared" si="1698"/>
        <v>n.a.</v>
      </c>
      <c r="BN152" s="33" t="str">
        <f t="shared" si="1699"/>
        <v>n.a.</v>
      </c>
      <c r="BO152" s="33" t="str">
        <f t="shared" si="1700"/>
        <v>n.a.</v>
      </c>
      <c r="BP152" s="33" t="str">
        <f t="shared" si="1701"/>
        <v>n.a.</v>
      </c>
      <c r="BQ152" s="33" t="str">
        <f t="shared" si="1702"/>
        <v>n.a.</v>
      </c>
      <c r="BR152" s="30"/>
      <c r="BS152" s="207" t="e">
        <f>(-(BS556+BS576))/BS208</f>
        <v>#DIV/0!</v>
      </c>
      <c r="BT152" s="207" t="s">
        <v>215</v>
      </c>
      <c r="BU152" s="207" t="s">
        <v>215</v>
      </c>
      <c r="BV152" s="207" t="s">
        <v>215</v>
      </c>
      <c r="BW152" s="207" t="s">
        <v>215</v>
      </c>
      <c r="BX152" s="207" t="s">
        <v>215</v>
      </c>
      <c r="BY152" s="207" t="s">
        <v>215</v>
      </c>
      <c r="BZ152" s="207" t="s">
        <v>215</v>
      </c>
      <c r="CA152" s="207" t="s">
        <v>215</v>
      </c>
      <c r="CB152" s="207" t="s">
        <v>215</v>
      </c>
      <c r="CC152" s="30" t="e">
        <f t="shared" ref="CC152:CP152" si="1713">(-(CC556+CC576))/CC208</f>
        <v>#DIV/0!</v>
      </c>
      <c r="CD152" s="30" t="e">
        <f t="shared" si="1713"/>
        <v>#DIV/0!</v>
      </c>
      <c r="CE152" s="30" t="e">
        <f t="shared" si="1713"/>
        <v>#DIV/0!</v>
      </c>
      <c r="CF152" s="30" t="e">
        <f t="shared" si="1713"/>
        <v>#DIV/0!</v>
      </c>
      <c r="CG152" s="30">
        <f t="shared" si="1713"/>
        <v>1.5181752898848027E-2</v>
      </c>
      <c r="CH152" s="30">
        <f t="shared" si="1713"/>
        <v>1.7660185201208524E-2</v>
      </c>
      <c r="CI152" s="30">
        <f t="shared" si="1713"/>
        <v>5.7146754619728055E-2</v>
      </c>
      <c r="CJ152" s="30">
        <f t="shared" si="1713"/>
        <v>9.101703010829322E-2</v>
      </c>
      <c r="CK152" s="30">
        <f t="shared" si="1713"/>
        <v>6.4306253449127188E-2</v>
      </c>
      <c r="CL152" s="30">
        <f t="shared" si="1713"/>
        <v>8.0556921563806241E-2</v>
      </c>
      <c r="CM152" s="32">
        <f t="shared" si="1713"/>
        <v>7.1910649226542431E-2</v>
      </c>
      <c r="CN152" s="32">
        <f t="shared" si="1713"/>
        <v>4.5739435638875732E-2</v>
      </c>
      <c r="CO152" s="32">
        <f t="shared" si="1713"/>
        <v>4.6985557175036441E-2</v>
      </c>
      <c r="CP152" s="32">
        <f t="shared" si="1713"/>
        <v>5.5308590923188253E-2</v>
      </c>
      <c r="CQ152" s="32">
        <f>IF(ISERROR((-(CQ556+CQ576))/CQ208),"n.a.",(-(CQ556+CQ576))/CQ208)</f>
        <v>6.6543391255889359E-2</v>
      </c>
      <c r="CR152" s="32" t="str">
        <f>IF(ISERROR((-(CR556+CR576))/CR208),"n.a.",(-(CR556+CR576))/CR208)</f>
        <v>n.a.</v>
      </c>
      <c r="CS152" s="32" t="str">
        <f t="shared" ref="CS152:DB152" si="1714">IF(ISERROR((-(CS556+CS576))/CS208),"n.a.",(-(CS556+CS576))/CS208)</f>
        <v>n.a.</v>
      </c>
      <c r="CT152" s="32" t="str">
        <f t="shared" si="1714"/>
        <v>n.a.</v>
      </c>
      <c r="CU152" s="32" t="str">
        <f t="shared" si="1714"/>
        <v>n.a.</v>
      </c>
      <c r="CV152" s="32" t="str">
        <f t="shared" si="1714"/>
        <v>n.a.</v>
      </c>
      <c r="CW152" s="32" t="str">
        <f t="shared" si="1714"/>
        <v>n.a.</v>
      </c>
      <c r="CX152" s="32" t="str">
        <f t="shared" si="1714"/>
        <v>n.a.</v>
      </c>
      <c r="CY152" s="32" t="str">
        <f t="shared" si="1714"/>
        <v>n.a.</v>
      </c>
      <c r="CZ152" s="31" t="str">
        <f t="shared" si="1714"/>
        <v>n.a.</v>
      </c>
      <c r="DA152" s="30" t="str">
        <f t="shared" si="1714"/>
        <v>n.a.</v>
      </c>
      <c r="DB152" s="30" t="str">
        <f t="shared" si="1714"/>
        <v>n.a.</v>
      </c>
      <c r="DC152" s="30" t="str">
        <f t="shared" ref="DC152" si="1715">IF(ISERROR((-(DC556+DC576))/DC208),"n.a.",(-(DC556+DC576))/DC208)</f>
        <v>n.a.</v>
      </c>
      <c r="DD152" s="30" t="str">
        <f t="shared" ref="DD152:DI152" si="1716">IF(ISERROR((-(DD556+DD576))/DD208),"n.a.",(-(DD556+DD576))/DD208)</f>
        <v>n.a.</v>
      </c>
      <c r="DE152" s="30" t="str">
        <f t="shared" si="1716"/>
        <v>n.a.</v>
      </c>
      <c r="DF152" s="30" t="str">
        <f t="shared" si="1716"/>
        <v>n.a.</v>
      </c>
      <c r="DG152" s="30" t="str">
        <f t="shared" si="1716"/>
        <v>n.a.</v>
      </c>
      <c r="DH152" s="30" t="str">
        <f t="shared" si="1716"/>
        <v>n.a.</v>
      </c>
      <c r="DI152" s="30" t="str">
        <f t="shared" si="1716"/>
        <v>n.a.</v>
      </c>
    </row>
    <row r="153" spans="1:113" ht="12">
      <c r="AA153" s="360"/>
      <c r="AE153" s="37"/>
      <c r="AF153" s="37"/>
      <c r="AG153" s="37"/>
      <c r="AH153" s="43"/>
      <c r="AI153" s="43"/>
      <c r="AJ153" s="37"/>
      <c r="AK153" s="37"/>
      <c r="AM153" s="37"/>
      <c r="AT153" s="41"/>
      <c r="AY153" s="200"/>
      <c r="AZ153" s="35"/>
      <c r="BA153" s="35"/>
      <c r="BB153" s="35"/>
      <c r="BC153" s="35"/>
      <c r="BD153" s="35"/>
      <c r="BE153" s="35"/>
      <c r="BF153" s="35"/>
      <c r="BG153" s="35"/>
      <c r="BH153" s="35"/>
      <c r="BI153" s="35"/>
      <c r="BJ153" s="35"/>
      <c r="BK153" s="35"/>
      <c r="BL153" s="35"/>
      <c r="BM153" s="35"/>
      <c r="BN153" s="35"/>
      <c r="BO153" s="35"/>
      <c r="BP153" s="35"/>
      <c r="BQ153" s="35"/>
      <c r="CT153" s="189"/>
      <c r="CU153" s="189"/>
      <c r="CV153" s="189"/>
      <c r="CW153" s="189"/>
      <c r="CX153" s="189"/>
      <c r="CY153" s="189"/>
      <c r="CZ153" s="31"/>
      <c r="DA153" s="30"/>
      <c r="DB153" s="189"/>
      <c r="DC153" s="189"/>
      <c r="DD153" s="189"/>
      <c r="DE153" s="189"/>
      <c r="DF153" s="189"/>
      <c r="DG153" s="189"/>
      <c r="DH153" s="189"/>
      <c r="DI153" s="189"/>
    </row>
    <row r="154" spans="1:113" s="26" customFormat="1" ht="12" collapsed="1">
      <c r="A154" s="1" t="s">
        <v>888</v>
      </c>
      <c r="B154" s="2" t="s">
        <v>163</v>
      </c>
      <c r="C154" s="60">
        <f t="shared" ref="C154:L154" si="1717">C181</f>
        <v>141014</v>
      </c>
      <c r="D154" s="60">
        <f t="shared" si="1717"/>
        <v>143019</v>
      </c>
      <c r="E154" s="60">
        <f t="shared" si="1717"/>
        <v>149145</v>
      </c>
      <c r="F154" s="60">
        <f t="shared" si="1717"/>
        <v>158595</v>
      </c>
      <c r="G154" s="60">
        <f t="shared" si="1717"/>
        <v>165965</v>
      </c>
      <c r="H154" s="60">
        <f t="shared" si="1717"/>
        <v>205828</v>
      </c>
      <c r="I154" s="60">
        <f t="shared" si="1717"/>
        <v>221280</v>
      </c>
      <c r="J154" s="60">
        <f t="shared" si="1717"/>
        <v>237214</v>
      </c>
      <c r="K154" s="60">
        <f t="shared" si="1717"/>
        <v>249953</v>
      </c>
      <c r="L154" s="60">
        <f t="shared" si="1717"/>
        <v>259435</v>
      </c>
      <c r="M154" s="60">
        <f t="shared" ref="M154:AE154" si="1718">M181</f>
        <v>273166</v>
      </c>
      <c r="N154" s="60">
        <f t="shared" si="1718"/>
        <v>285771</v>
      </c>
      <c r="O154" s="60">
        <f t="shared" si="1718"/>
        <v>307384</v>
      </c>
      <c r="P154" s="60">
        <f t="shared" si="1718"/>
        <v>337729</v>
      </c>
      <c r="Q154" s="60">
        <f t="shared" si="1718"/>
        <v>355347</v>
      </c>
      <c r="R154" s="60">
        <f t="shared" si="1718"/>
        <v>362812</v>
      </c>
      <c r="S154" s="60">
        <f t="shared" si="1718"/>
        <v>352107</v>
      </c>
      <c r="T154" s="60">
        <f t="shared" si="1718"/>
        <v>354305</v>
      </c>
      <c r="U154" s="60">
        <f t="shared" si="1718"/>
        <v>370082</v>
      </c>
      <c r="V154" s="60">
        <f t="shared" si="1718"/>
        <v>385847</v>
      </c>
      <c r="W154" s="60">
        <f t="shared" si="1718"/>
        <v>403767</v>
      </c>
      <c r="X154" s="60">
        <f t="shared" si="1718"/>
        <v>418922</v>
      </c>
      <c r="Y154" s="60">
        <f t="shared" si="1718"/>
        <v>432805</v>
      </c>
      <c r="Z154" s="60">
        <f t="shared" si="1718"/>
        <v>458846</v>
      </c>
      <c r="AA154" s="60">
        <f t="shared" si="1718"/>
        <v>487629</v>
      </c>
      <c r="AB154" s="60">
        <f t="shared" si="1718"/>
        <v>513485</v>
      </c>
      <c r="AC154" s="60">
        <f t="shared" si="1718"/>
        <v>525534</v>
      </c>
      <c r="AD154" s="60">
        <f t="shared" si="1718"/>
        <v>561907</v>
      </c>
      <c r="AE154" s="60">
        <f t="shared" si="1718"/>
        <v>573741</v>
      </c>
      <c r="AF154" s="60">
        <f t="shared" ref="AF154" si="1719">AF181</f>
        <v>565451</v>
      </c>
      <c r="AG154" s="60">
        <f t="shared" ref="AG154:AL154" si="1720">AG181</f>
        <v>579515</v>
      </c>
      <c r="AH154" s="60">
        <f t="shared" si="1720"/>
        <v>579776</v>
      </c>
      <c r="AI154" s="60">
        <f t="shared" si="1720"/>
        <v>583444</v>
      </c>
      <c r="AJ154" s="60">
        <f t="shared" si="1720"/>
        <v>594939</v>
      </c>
      <c r="AK154" s="60">
        <f t="shared" si="1720"/>
        <v>607813</v>
      </c>
      <c r="AL154" s="60">
        <f t="shared" si="1720"/>
        <v>613269</v>
      </c>
      <c r="AM154" s="60">
        <f t="shared" ref="AM154:AN154" si="1721">AM181</f>
        <v>618295</v>
      </c>
      <c r="AN154" s="60">
        <f t="shared" si="1721"/>
        <v>660781</v>
      </c>
      <c r="AO154" s="60">
        <f t="shared" ref="AO154" si="1722">AO181</f>
        <v>621272</v>
      </c>
      <c r="AP154" s="60">
        <f t="shared" ref="AP154:AQ154" si="1723">AP181</f>
        <v>617668</v>
      </c>
      <c r="AQ154" s="60">
        <f t="shared" si="1723"/>
        <v>632764</v>
      </c>
      <c r="AR154" s="60">
        <f t="shared" ref="AR154:AS154" si="1724">AR181</f>
        <v>653973</v>
      </c>
      <c r="AS154" s="60">
        <f t="shared" si="1724"/>
        <v>673625</v>
      </c>
      <c r="AT154" s="60">
        <f t="shared" ref="AT154:AU154" si="1725">AT181</f>
        <v>691106</v>
      </c>
      <c r="AU154" s="60">
        <f t="shared" si="1725"/>
        <v>707630</v>
      </c>
      <c r="AV154" s="60">
        <f t="shared" ref="AV154:AW154" si="1726">AV181</f>
        <v>715512</v>
      </c>
      <c r="AW154" s="60">
        <f t="shared" si="1726"/>
        <v>803335</v>
      </c>
      <c r="AX154" s="60">
        <f t="shared" ref="AX154" si="1727">AX181</f>
        <v>820212</v>
      </c>
      <c r="AY154" s="219">
        <f t="shared" ref="AY154" si="1728">AY181</f>
        <v>829471</v>
      </c>
      <c r="AZ154" s="60">
        <f t="shared" ref="AZ154:BA154" si="1729">AZ181</f>
        <v>846758.85651213047</v>
      </c>
      <c r="BA154" s="60">
        <f t="shared" si="1729"/>
        <v>858901.47828137933</v>
      </c>
      <c r="BB154" s="60">
        <f t="shared" ref="BB154:BC154" si="1730">BB181</f>
        <v>871585.31762665056</v>
      </c>
      <c r="BC154" s="60">
        <f t="shared" si="1730"/>
        <v>887840.91310022969</v>
      </c>
      <c r="BD154" s="60">
        <f t="shared" ref="BD154:BE154" si="1731">BD181</f>
        <v>903762.64838823723</v>
      </c>
      <c r="BE154" s="60">
        <f t="shared" si="1731"/>
        <v>920177.35549081059</v>
      </c>
      <c r="BF154" s="60">
        <f t="shared" ref="BF154:BG154" si="1732">BF181</f>
        <v>935623.64240601985</v>
      </c>
      <c r="BG154" s="60">
        <f t="shared" si="1732"/>
        <v>950732.64244299917</v>
      </c>
      <c r="BH154" s="60">
        <f t="shared" ref="BH154:BI154" si="1733">BH181</f>
        <v>968851.24981425237</v>
      </c>
      <c r="BI154" s="60">
        <f t="shared" si="1733"/>
        <v>986184.48366518121</v>
      </c>
      <c r="BJ154" s="60">
        <f t="shared" ref="BJ154:BK154" si="1734">BJ181</f>
        <v>1005227.5780730119</v>
      </c>
      <c r="BK154" s="60">
        <f t="shared" si="1734"/>
        <v>1024049.1739804128</v>
      </c>
      <c r="BL154" s="60">
        <f t="shared" ref="BL154:BM154" si="1735">BL181</f>
        <v>1043251.2401975717</v>
      </c>
      <c r="BM154" s="60">
        <f t="shared" si="1735"/>
        <v>1062841.372189064</v>
      </c>
      <c r="BN154" s="60">
        <f t="shared" ref="BN154:BO154" si="1736">BN181</f>
        <v>1083885.2258747432</v>
      </c>
      <c r="BO154" s="60">
        <f t="shared" si="1736"/>
        <v>1105348.6670387827</v>
      </c>
      <c r="BP154" s="60">
        <f t="shared" ref="BP154:BQ154" si="1737">BP181</f>
        <v>1128120.6209036773</v>
      </c>
      <c r="BQ154" s="60">
        <f t="shared" si="1737"/>
        <v>1151381.9779643191</v>
      </c>
      <c r="BR154" s="60"/>
      <c r="BS154" s="60">
        <f t="shared" ref="BS154:CB154" si="1738">BS181</f>
        <v>76335.8</v>
      </c>
      <c r="BT154" s="60">
        <f t="shared" si="1738"/>
        <v>73887.100000000006</v>
      </c>
      <c r="BU154" s="60">
        <f t="shared" si="1738"/>
        <v>75403</v>
      </c>
      <c r="BV154" s="60">
        <f t="shared" si="1738"/>
        <v>83940</v>
      </c>
      <c r="BW154" s="60">
        <f t="shared" si="1738"/>
        <v>92932</v>
      </c>
      <c r="BX154" s="60">
        <f t="shared" si="1738"/>
        <v>101064</v>
      </c>
      <c r="BY154" s="60">
        <f t="shared" si="1738"/>
        <v>113559</v>
      </c>
      <c r="BZ154" s="60">
        <f t="shared" si="1738"/>
        <v>122409</v>
      </c>
      <c r="CA154" s="60">
        <f t="shared" si="1738"/>
        <v>135114</v>
      </c>
      <c r="CB154" s="60">
        <f t="shared" si="1738"/>
        <v>141014</v>
      </c>
      <c r="CC154" s="60">
        <f t="shared" ref="CC154:CO154" si="1739">CC181</f>
        <v>149145</v>
      </c>
      <c r="CD154" s="60">
        <f t="shared" si="1739"/>
        <v>165965</v>
      </c>
      <c r="CE154" s="60">
        <f t="shared" si="1739"/>
        <v>221280</v>
      </c>
      <c r="CF154" s="60">
        <f t="shared" si="1739"/>
        <v>249953</v>
      </c>
      <c r="CG154" s="60">
        <f t="shared" si="1739"/>
        <v>273166</v>
      </c>
      <c r="CH154" s="60">
        <f t="shared" si="1739"/>
        <v>307384</v>
      </c>
      <c r="CI154" s="60">
        <f t="shared" si="1739"/>
        <v>355347</v>
      </c>
      <c r="CJ154" s="60">
        <f t="shared" si="1739"/>
        <v>352107</v>
      </c>
      <c r="CK154" s="60">
        <f t="shared" si="1739"/>
        <v>370082</v>
      </c>
      <c r="CL154" s="60">
        <f t="shared" si="1739"/>
        <v>403767</v>
      </c>
      <c r="CM154" s="60">
        <f t="shared" si="1739"/>
        <v>432805</v>
      </c>
      <c r="CN154" s="60">
        <f t="shared" si="1739"/>
        <v>487629</v>
      </c>
      <c r="CO154" s="60">
        <f t="shared" si="1739"/>
        <v>525534</v>
      </c>
      <c r="CP154" s="60">
        <f t="shared" ref="CP154:CX154" si="1740">CP181</f>
        <v>573741</v>
      </c>
      <c r="CQ154" s="60">
        <f t="shared" si="1740"/>
        <v>579515</v>
      </c>
      <c r="CR154" s="60">
        <f t="shared" si="1740"/>
        <v>583444</v>
      </c>
      <c r="CS154" s="60">
        <f t="shared" si="1740"/>
        <v>607813</v>
      </c>
      <c r="CT154" s="60">
        <f t="shared" si="1740"/>
        <v>618295</v>
      </c>
      <c r="CU154" s="60">
        <f t="shared" si="1740"/>
        <v>621272</v>
      </c>
      <c r="CV154" s="60">
        <f t="shared" si="1740"/>
        <v>632764</v>
      </c>
      <c r="CW154" s="60">
        <f t="shared" si="1740"/>
        <v>673625</v>
      </c>
      <c r="CX154" s="60">
        <f t="shared" si="1740"/>
        <v>707630</v>
      </c>
      <c r="CY154" s="60">
        <f t="shared" ref="CY154:DD154" si="1741">CY181</f>
        <v>803335</v>
      </c>
      <c r="CZ154" s="219">
        <f t="shared" si="1741"/>
        <v>829471</v>
      </c>
      <c r="DA154" s="60">
        <f t="shared" si="1741"/>
        <v>858901.47828137933</v>
      </c>
      <c r="DB154" s="60">
        <f t="shared" si="1741"/>
        <v>887840.91310022969</v>
      </c>
      <c r="DC154" s="60">
        <f t="shared" si="1741"/>
        <v>920177.35549081059</v>
      </c>
      <c r="DD154" s="60">
        <f t="shared" si="1741"/>
        <v>950732.64244299917</v>
      </c>
      <c r="DE154" s="60">
        <f t="shared" ref="DE154" si="1742">DE181</f>
        <v>986184.48366518121</v>
      </c>
      <c r="DF154" s="60">
        <f t="shared" ref="DF154" si="1743">DF181</f>
        <v>1024049.1739804128</v>
      </c>
      <c r="DG154" s="60">
        <f>DG181</f>
        <v>1062841.372189064</v>
      </c>
      <c r="DH154" s="60">
        <f>DH181</f>
        <v>1105348.6670387827</v>
      </c>
      <c r="DI154" s="60">
        <f>DI181</f>
        <v>1151381.9779643191</v>
      </c>
    </row>
    <row r="155" spans="1:113" ht="12" outlineLevel="1">
      <c r="AT155" s="30"/>
      <c r="AU155" s="30"/>
      <c r="AV155" s="30"/>
      <c r="AW155" s="30"/>
      <c r="AX155" s="32"/>
      <c r="AY155" s="31"/>
      <c r="AZ155" s="30"/>
      <c r="BA155" s="30"/>
      <c r="BB155" s="30"/>
      <c r="BC155" s="30"/>
      <c r="BD155" s="30"/>
      <c r="BE155" s="41"/>
      <c r="BF155" s="41"/>
      <c r="BG155" s="41"/>
      <c r="BH155" s="41"/>
      <c r="BI155" s="41"/>
      <c r="CP155" s="43"/>
      <c r="CQ155" s="32"/>
      <c r="CR155" s="32"/>
      <c r="CS155" s="43"/>
      <c r="CT155" s="43"/>
      <c r="CU155" s="43"/>
      <c r="CV155" s="43"/>
      <c r="CW155" s="43"/>
      <c r="CX155" s="43"/>
      <c r="CY155" s="43"/>
      <c r="CZ155" s="200"/>
      <c r="DB155" s="15"/>
      <c r="DC155" s="15"/>
      <c r="DD155" s="15"/>
      <c r="DE155" s="15"/>
      <c r="DF155" s="15"/>
      <c r="DG155" s="15"/>
      <c r="DH155" s="15"/>
      <c r="DI155" s="15"/>
    </row>
    <row r="156" spans="1:113" ht="12" outlineLevel="1">
      <c r="B156" s="17" t="s">
        <v>442</v>
      </c>
      <c r="AT156" s="30"/>
      <c r="AU156" s="30"/>
      <c r="AV156" s="30"/>
      <c r="AW156" s="30"/>
      <c r="AX156" s="32"/>
      <c r="AY156" s="31"/>
      <c r="AZ156" s="601"/>
      <c r="BA156" s="601"/>
      <c r="BB156" s="601"/>
      <c r="BC156" s="601"/>
      <c r="BD156" s="601"/>
      <c r="BE156" s="562"/>
      <c r="BF156" s="562"/>
      <c r="BG156" s="562"/>
      <c r="BH156" s="562"/>
      <c r="BI156" s="562"/>
      <c r="CZ156" s="200"/>
      <c r="DB156" s="15"/>
      <c r="DC156" s="15"/>
      <c r="DD156" s="15"/>
      <c r="DE156" s="15"/>
      <c r="DF156" s="15"/>
      <c r="DG156" s="15"/>
      <c r="DH156" s="15"/>
      <c r="DI156" s="15"/>
    </row>
    <row r="157" spans="1:113" ht="12" outlineLevel="1">
      <c r="A157" s="1" t="s">
        <v>889</v>
      </c>
      <c r="B157" s="15" t="s">
        <v>164</v>
      </c>
      <c r="C157" s="40">
        <v>43969</v>
      </c>
      <c r="D157" s="40">
        <v>47812</v>
      </c>
      <c r="E157" s="40">
        <v>52381</v>
      </c>
      <c r="F157" s="40">
        <v>56942</v>
      </c>
      <c r="G157" s="40">
        <v>62482</v>
      </c>
      <c r="H157" s="40">
        <v>67745</v>
      </c>
      <c r="I157" s="40">
        <v>78660</v>
      </c>
      <c r="J157" s="40">
        <v>86421</v>
      </c>
      <c r="K157" s="40">
        <v>91196</v>
      </c>
      <c r="L157" s="40">
        <v>96846</v>
      </c>
      <c r="M157" s="40">
        <v>101945</v>
      </c>
      <c r="N157" s="40">
        <v>106953</v>
      </c>
      <c r="O157" s="40">
        <v>113994</v>
      </c>
      <c r="P157" s="40">
        <v>120807</v>
      </c>
      <c r="Q157" s="40">
        <v>128809</v>
      </c>
      <c r="R157" s="40">
        <v>137239</v>
      </c>
      <c r="S157" s="40">
        <v>141652</v>
      </c>
      <c r="T157" s="40">
        <v>149078</v>
      </c>
      <c r="U157" s="40">
        <v>159046</v>
      </c>
      <c r="V157" s="40">
        <v>165205</v>
      </c>
      <c r="W157" s="40">
        <v>169970</v>
      </c>
      <c r="X157" s="40">
        <v>178486</v>
      </c>
      <c r="Y157" s="40">
        <v>181971</v>
      </c>
      <c r="Z157" s="141">
        <v>187708</v>
      </c>
      <c r="AA157" s="141">
        <v>194755</v>
      </c>
      <c r="AB157" s="141">
        <v>201396</v>
      </c>
      <c r="AC157" s="141">
        <v>209122</v>
      </c>
      <c r="AD157" s="141">
        <v>217756</v>
      </c>
      <c r="AE157" s="141">
        <v>230879</v>
      </c>
      <c r="AF157" s="141">
        <v>242426</v>
      </c>
      <c r="AG157" s="141">
        <v>246351</v>
      </c>
      <c r="AH157" s="141">
        <v>255721</v>
      </c>
      <c r="AI157" s="141">
        <v>264105</v>
      </c>
      <c r="AJ157" s="141">
        <v>270631</v>
      </c>
      <c r="AK157" s="141">
        <v>271554</v>
      </c>
      <c r="AL157" s="141">
        <v>268766</v>
      </c>
      <c r="AM157" s="141">
        <v>264786</v>
      </c>
      <c r="AN157" s="141">
        <v>263596</v>
      </c>
      <c r="AO157" s="141">
        <v>274967</v>
      </c>
      <c r="AP157" s="141">
        <v>280545</v>
      </c>
      <c r="AQ157" s="141">
        <v>277720</v>
      </c>
      <c r="AR157" s="141">
        <v>277894</v>
      </c>
      <c r="AS157" s="141">
        <v>282343</v>
      </c>
      <c r="AT157" s="141">
        <v>292597</v>
      </c>
      <c r="AU157" s="141">
        <v>304133</v>
      </c>
      <c r="AV157" s="141">
        <v>314103</v>
      </c>
      <c r="AW157" s="141">
        <v>382030</v>
      </c>
      <c r="AX157" s="141">
        <v>391719</v>
      </c>
      <c r="AY157" s="226">
        <v>401534</v>
      </c>
      <c r="AZ157" s="41">
        <f>AY157*(1+AZ52)</f>
        <v>410872.07470400009</v>
      </c>
      <c r="BA157" s="41">
        <f t="shared" ref="BA157" si="1744">AZ157*(1+BA52)</f>
        <v>419792.2101638426</v>
      </c>
      <c r="BB157" s="41">
        <f t="shared" ref="BB157" si="1745">BA157*(1+BB52)</f>
        <v>429955.48451996181</v>
      </c>
      <c r="BC157" s="41">
        <f t="shared" ref="BC157" si="1746">BB157*(1+BC52)</f>
        <v>442514.59171166102</v>
      </c>
      <c r="BD157" s="41">
        <f t="shared" ref="BD157" si="1747">BC157*(1+BD52)</f>
        <v>455440.55356420658</v>
      </c>
      <c r="BE157" s="41">
        <f t="shared" ref="BE157" si="1748">BD157*(1+BE52)</f>
        <v>468744.08599395544</v>
      </c>
      <c r="BF157" s="41">
        <f t="shared" ref="BF157" si="1749">BE157*(1+BF52)</f>
        <v>481485.13618137862</v>
      </c>
      <c r="BG157" s="41">
        <f t="shared" ref="BG157:BK157" si="1750">BF157*(1+BG52)</f>
        <v>493597.4966384414</v>
      </c>
      <c r="BH157" s="41">
        <f t="shared" si="1750"/>
        <v>504765.1399998861</v>
      </c>
      <c r="BI157" s="41">
        <f t="shared" si="1750"/>
        <v>514910.91931388382</v>
      </c>
      <c r="BJ157" s="41">
        <f t="shared" si="1750"/>
        <v>525260.6287920929</v>
      </c>
      <c r="BK157" s="41">
        <f t="shared" si="1750"/>
        <v>535818.36743081396</v>
      </c>
      <c r="BL157" s="41">
        <f t="shared" ref="BL157" si="1751">BK157*(1+BL52)</f>
        <v>546588.31661617337</v>
      </c>
      <c r="BM157" s="41">
        <f t="shared" ref="BM157" si="1752">BL157*(1+BM52)</f>
        <v>557574.74178015848</v>
      </c>
      <c r="BN157" s="41">
        <f t="shared" ref="BN157" si="1753">BM157*(1+BN52)</f>
        <v>568781.99408993963</v>
      </c>
      <c r="BO157" s="41">
        <f t="shared" ref="BO157" si="1754">BN157*(1+BO52)</f>
        <v>580214.51217114739</v>
      </c>
      <c r="BP157" s="41">
        <f t="shared" ref="BP157" si="1755">BO157*(1+BP52)</f>
        <v>591876.82386578748</v>
      </c>
      <c r="BQ157" s="41">
        <f t="shared" ref="BQ157" si="1756">BP157*(1+BQ52)</f>
        <v>603773.54802548978</v>
      </c>
      <c r="BR157" s="41"/>
      <c r="BS157" s="225">
        <f t="shared" ref="BS157:BV157" si="1757">BS161*BT157/BT161</f>
        <v>17320.826875486106</v>
      </c>
      <c r="BT157" s="225">
        <f t="shared" si="1757"/>
        <v>16817.090062221592</v>
      </c>
      <c r="BU157" s="225">
        <f t="shared" si="1757"/>
        <v>17631.57616842254</v>
      </c>
      <c r="BV157" s="225">
        <f t="shared" si="1757"/>
        <v>19012.027716891749</v>
      </c>
      <c r="BW157" s="225">
        <f>BW161*BX157/BX161</f>
        <v>20515.361115039243</v>
      </c>
      <c r="BX157" s="40">
        <v>22281</v>
      </c>
      <c r="BY157" s="40">
        <v>25071</v>
      </c>
      <c r="BZ157" s="40">
        <v>31684</v>
      </c>
      <c r="CA157" s="40">
        <v>40571</v>
      </c>
      <c r="CB157" s="40">
        <v>43969</v>
      </c>
      <c r="CC157" s="41">
        <f>E157</f>
        <v>52381</v>
      </c>
      <c r="CD157" s="41">
        <f>G157</f>
        <v>62482</v>
      </c>
      <c r="CE157" s="41">
        <f>I157</f>
        <v>78660</v>
      </c>
      <c r="CF157" s="41">
        <f>K157</f>
        <v>91196</v>
      </c>
      <c r="CG157" s="41">
        <f>M157</f>
        <v>101945</v>
      </c>
      <c r="CH157" s="41">
        <f>O157</f>
        <v>113994</v>
      </c>
      <c r="CI157" s="41">
        <f>Q157</f>
        <v>128809</v>
      </c>
      <c r="CJ157" s="41">
        <f>S157</f>
        <v>141652</v>
      </c>
      <c r="CK157" s="41">
        <f>U157</f>
        <v>159046</v>
      </c>
      <c r="CL157" s="41">
        <f>W157</f>
        <v>169970</v>
      </c>
      <c r="CM157" s="41">
        <f>Y157</f>
        <v>181971</v>
      </c>
      <c r="CN157" s="41">
        <f>AA157</f>
        <v>194755</v>
      </c>
      <c r="CO157" s="41">
        <f>AC157</f>
        <v>209122</v>
      </c>
      <c r="CP157" s="41">
        <f>AE157</f>
        <v>230879</v>
      </c>
      <c r="CQ157" s="41">
        <f>AG157</f>
        <v>246351</v>
      </c>
      <c r="CR157" s="41">
        <f>AI157</f>
        <v>264105</v>
      </c>
      <c r="CS157" s="41">
        <f>AK157</f>
        <v>271554</v>
      </c>
      <c r="CT157" s="41">
        <f>AM157</f>
        <v>264786</v>
      </c>
      <c r="CU157" s="41">
        <f>AO157</f>
        <v>274967</v>
      </c>
      <c r="CV157" s="41">
        <f>AQ157</f>
        <v>277720</v>
      </c>
      <c r="CW157" s="41">
        <f>AS157</f>
        <v>282343</v>
      </c>
      <c r="CX157" s="41">
        <f>AU157</f>
        <v>304133</v>
      </c>
      <c r="CY157" s="41">
        <f>AW157</f>
        <v>382030</v>
      </c>
      <c r="CZ157" s="211">
        <f>AY157</f>
        <v>401534</v>
      </c>
      <c r="DA157" s="41">
        <f>BA157</f>
        <v>419792.2101638426</v>
      </c>
      <c r="DB157" s="41">
        <f>BC157</f>
        <v>442514.59171166102</v>
      </c>
      <c r="DC157" s="41">
        <f>BE157</f>
        <v>468744.08599395544</v>
      </c>
      <c r="DD157" s="41">
        <f>BG157</f>
        <v>493597.4966384414</v>
      </c>
      <c r="DE157" s="41">
        <f>BI157</f>
        <v>514910.91931388382</v>
      </c>
      <c r="DF157" s="41">
        <f>BK157</f>
        <v>535818.36743081396</v>
      </c>
      <c r="DG157" s="41">
        <f>BM157</f>
        <v>557574.74178015848</v>
      </c>
      <c r="DH157" s="41">
        <f>BO157</f>
        <v>580214.51217114739</v>
      </c>
      <c r="DI157" s="41">
        <f>BQ157</f>
        <v>603773.54802548978</v>
      </c>
    </row>
    <row r="158" spans="1:113" ht="12" outlineLevel="1">
      <c r="A158" s="1" t="s">
        <v>736</v>
      </c>
      <c r="B158" s="15" t="s">
        <v>165</v>
      </c>
      <c r="C158" s="41">
        <f t="shared" ref="C158:K158" si="1758">D158*(C161-C157-C160)/(D161-D157-D160)</f>
        <v>22474.808451006931</v>
      </c>
      <c r="D158" s="41">
        <f t="shared" si="1758"/>
        <v>22186.300886810961</v>
      </c>
      <c r="E158" s="41">
        <f t="shared" si="1758"/>
        <v>23019.042308841468</v>
      </c>
      <c r="F158" s="41">
        <f t="shared" si="1758"/>
        <v>24957.731850858341</v>
      </c>
      <c r="G158" s="41">
        <f t="shared" si="1758"/>
        <v>27222.147207159578</v>
      </c>
      <c r="H158" s="41">
        <f t="shared" si="1758"/>
        <v>29247.155746407268</v>
      </c>
      <c r="I158" s="41">
        <f t="shared" si="1758"/>
        <v>28564.17185950392</v>
      </c>
      <c r="J158" s="41">
        <f t="shared" si="1758"/>
        <v>31566.028635747753</v>
      </c>
      <c r="K158" s="41">
        <f t="shared" si="1758"/>
        <v>33192.635205320243</v>
      </c>
      <c r="L158" s="41">
        <f>M158*(L161-L157-L160)/(M161-M157-M160)</f>
        <v>34410.034100545869</v>
      </c>
      <c r="M158" s="40">
        <f>6755+330+14002+14933</f>
        <v>36020</v>
      </c>
      <c r="N158" s="40">
        <f>7048+380+14423+15502</f>
        <v>37353</v>
      </c>
      <c r="O158" s="40">
        <f>7841+471+14597+16894</f>
        <v>39803</v>
      </c>
      <c r="P158" s="40">
        <f>14940+8299+15254+2503</f>
        <v>40996</v>
      </c>
      <c r="Q158" s="40">
        <v>43798</v>
      </c>
      <c r="R158" s="40">
        <v>43751</v>
      </c>
      <c r="S158" s="40">
        <v>43043</v>
      </c>
      <c r="T158" s="40">
        <v>44533</v>
      </c>
      <c r="U158" s="40">
        <v>45720</v>
      </c>
      <c r="V158" s="40">
        <v>46196</v>
      </c>
      <c r="W158" s="40">
        <v>47836</v>
      </c>
      <c r="X158" s="40">
        <v>58125</v>
      </c>
      <c r="Y158" s="40">
        <v>61193</v>
      </c>
      <c r="Z158" s="141">
        <v>63182</v>
      </c>
      <c r="AA158" s="141">
        <v>65320</v>
      </c>
      <c r="AB158" s="141">
        <v>65658</v>
      </c>
      <c r="AC158" s="141">
        <v>67586</v>
      </c>
      <c r="AD158" s="141">
        <v>68431</v>
      </c>
      <c r="AE158" s="141">
        <v>71339</v>
      </c>
      <c r="AF158" s="141">
        <v>65920</v>
      </c>
      <c r="AG158" s="141">
        <v>67779</v>
      </c>
      <c r="AH158" s="141">
        <v>58382</v>
      </c>
      <c r="AI158" s="141">
        <v>58331</v>
      </c>
      <c r="AJ158" s="141">
        <v>57101</v>
      </c>
      <c r="AK158" s="141">
        <v>58222</v>
      </c>
      <c r="AL158" s="141">
        <v>57101</v>
      </c>
      <c r="AM158" s="141">
        <v>57074</v>
      </c>
      <c r="AN158" s="141">
        <v>57116</v>
      </c>
      <c r="AO158" s="141">
        <v>57089</v>
      </c>
      <c r="AP158" s="141">
        <v>56794</v>
      </c>
      <c r="AQ158" s="141">
        <v>57245</v>
      </c>
      <c r="AR158" s="141">
        <v>57625</v>
      </c>
      <c r="AS158" s="141">
        <v>59727</v>
      </c>
      <c r="AT158" s="141">
        <v>59911</v>
      </c>
      <c r="AU158" s="141">
        <v>61557</v>
      </c>
      <c r="AV158" s="141">
        <v>63874</v>
      </c>
      <c r="AW158" s="141">
        <v>65025</v>
      </c>
      <c r="AX158" s="141">
        <v>65995</v>
      </c>
      <c r="AY158" s="226">
        <v>67174</v>
      </c>
      <c r="AZ158" s="41">
        <f>AY158*(1+1.5%)</f>
        <v>68181.61</v>
      </c>
      <c r="BA158" s="41">
        <f>AZ158*(1+1.6%)</f>
        <v>69272.515759999995</v>
      </c>
      <c r="BB158" s="41">
        <f>BA158*(1+1.7%)</f>
        <v>70450.148527919984</v>
      </c>
      <c r="BC158" s="41">
        <f>BB158*(1+1.8%)</f>
        <v>71718.25120142255</v>
      </c>
      <c r="BD158" s="41">
        <f>BC158*(1+1.9%)</f>
        <v>73080.897974249572</v>
      </c>
      <c r="BE158" s="41">
        <f>BD158*(1+2%)</f>
        <v>74542.515933734569</v>
      </c>
      <c r="BF158" s="41">
        <f t="shared" ref="BF158:BQ158" si="1759">BE158*(1+2%)</f>
        <v>76033.366252409265</v>
      </c>
      <c r="BG158" s="41">
        <f t="shared" si="1759"/>
        <v>77554.033577457449</v>
      </c>
      <c r="BH158" s="41">
        <f t="shared" si="1759"/>
        <v>79105.114249006598</v>
      </c>
      <c r="BI158" s="41">
        <f t="shared" si="1759"/>
        <v>80687.216533986735</v>
      </c>
      <c r="BJ158" s="41">
        <f t="shared" si="1759"/>
        <v>82300.960864666471</v>
      </c>
      <c r="BK158" s="41">
        <f t="shared" si="1759"/>
        <v>83946.980081959802</v>
      </c>
      <c r="BL158" s="41">
        <f t="shared" si="1759"/>
        <v>85625.919683599001</v>
      </c>
      <c r="BM158" s="41">
        <f t="shared" si="1759"/>
        <v>87338.438077270985</v>
      </c>
      <c r="BN158" s="41">
        <f t="shared" si="1759"/>
        <v>89085.206838816404</v>
      </c>
      <c r="BO158" s="41">
        <f t="shared" si="1759"/>
        <v>90866.910975592735</v>
      </c>
      <c r="BP158" s="41">
        <f t="shared" si="1759"/>
        <v>92684.249195104596</v>
      </c>
      <c r="BQ158" s="41">
        <f t="shared" si="1759"/>
        <v>94537.934179006683</v>
      </c>
      <c r="BR158" s="41"/>
      <c r="BS158" s="41">
        <f t="shared" ref="BS158:CA158" si="1760">BS161*BT158/BT161</f>
        <v>9872.7441793113776</v>
      </c>
      <c r="BT158" s="41">
        <f t="shared" si="1760"/>
        <v>9585.6178933197625</v>
      </c>
      <c r="BU158" s="41">
        <f t="shared" si="1760"/>
        <v>10049.868995298388</v>
      </c>
      <c r="BV158" s="41">
        <f t="shared" si="1760"/>
        <v>10836.716245025214</v>
      </c>
      <c r="BW158" s="41">
        <f t="shared" si="1760"/>
        <v>11693.605247081505</v>
      </c>
      <c r="BX158" s="41">
        <f t="shared" si="1760"/>
        <v>12700.006451225689</v>
      </c>
      <c r="BY158" s="41">
        <f t="shared" si="1760"/>
        <v>14519.071576628392</v>
      </c>
      <c r="BZ158" s="41">
        <f t="shared" si="1760"/>
        <v>16894.205357544175</v>
      </c>
      <c r="CA158" s="41">
        <f t="shared" si="1760"/>
        <v>19984.348693489901</v>
      </c>
      <c r="CB158" s="41">
        <f>CB161*CC158/CC161</f>
        <v>20755.481447501785</v>
      </c>
      <c r="CC158" s="41">
        <f>E158</f>
        <v>23019.042308841468</v>
      </c>
      <c r="CD158" s="41">
        <f>G158</f>
        <v>27222.147207159578</v>
      </c>
      <c r="CE158" s="41">
        <f>I158</f>
        <v>28564.17185950392</v>
      </c>
      <c r="CF158" s="41">
        <f>K158</f>
        <v>33192.635205320243</v>
      </c>
      <c r="CG158" s="41">
        <f>M158</f>
        <v>36020</v>
      </c>
      <c r="CH158" s="41">
        <f>O158</f>
        <v>39803</v>
      </c>
      <c r="CI158" s="41">
        <f>Q158</f>
        <v>43798</v>
      </c>
      <c r="CJ158" s="41">
        <f>S158</f>
        <v>43043</v>
      </c>
      <c r="CK158" s="41">
        <f>U158</f>
        <v>45720</v>
      </c>
      <c r="CL158" s="41">
        <f>W158</f>
        <v>47836</v>
      </c>
      <c r="CM158" s="41">
        <f>Y158</f>
        <v>61193</v>
      </c>
      <c r="CN158" s="41">
        <f>AA158</f>
        <v>65320</v>
      </c>
      <c r="CO158" s="41">
        <f>AC158</f>
        <v>67586</v>
      </c>
      <c r="CP158" s="41">
        <f>AE158</f>
        <v>71339</v>
      </c>
      <c r="CQ158" s="41">
        <f>AG158</f>
        <v>67779</v>
      </c>
      <c r="CR158" s="41">
        <f>AI158</f>
        <v>58331</v>
      </c>
      <c r="CS158" s="41">
        <f>AK158</f>
        <v>58222</v>
      </c>
      <c r="CT158" s="41">
        <f>AM158</f>
        <v>57074</v>
      </c>
      <c r="CU158" s="41">
        <f>AO158</f>
        <v>57089</v>
      </c>
      <c r="CV158" s="41">
        <f>AQ158</f>
        <v>57245</v>
      </c>
      <c r="CW158" s="41">
        <f>AS158</f>
        <v>59727</v>
      </c>
      <c r="CX158" s="41">
        <f>AU158</f>
        <v>61557</v>
      </c>
      <c r="CY158" s="41">
        <f>AW158</f>
        <v>65025</v>
      </c>
      <c r="CZ158" s="211">
        <f>AY158</f>
        <v>67174</v>
      </c>
      <c r="DA158" s="41">
        <f>BA158</f>
        <v>69272.515759999995</v>
      </c>
      <c r="DB158" s="41">
        <f>BC158</f>
        <v>71718.25120142255</v>
      </c>
      <c r="DC158" s="41">
        <f>BE158</f>
        <v>74542.515933734569</v>
      </c>
      <c r="DD158" s="41">
        <f>BG158</f>
        <v>77554.033577457449</v>
      </c>
      <c r="DE158" s="41">
        <f>BI158</f>
        <v>80687.216533986735</v>
      </c>
      <c r="DF158" s="41">
        <f>BK158</f>
        <v>83946.980081959802</v>
      </c>
      <c r="DG158" s="41">
        <f>BM158</f>
        <v>87338.438077270985</v>
      </c>
      <c r="DH158" s="41">
        <f>BO158</f>
        <v>90866.910975592735</v>
      </c>
      <c r="DI158" s="41">
        <f>BQ158</f>
        <v>94537.934179006683</v>
      </c>
    </row>
    <row r="159" spans="1:113" ht="12" outlineLevel="1">
      <c r="A159" s="1" t="s">
        <v>737</v>
      </c>
      <c r="B159" s="15" t="s">
        <v>166</v>
      </c>
      <c r="C159" s="41">
        <f t="shared" ref="C159:L159" si="1761">C161-C157-C158-C160</f>
        <v>21054.066117776962</v>
      </c>
      <c r="D159" s="41">
        <f t="shared" si="1761"/>
        <v>20783.796524810154</v>
      </c>
      <c r="E159" s="41">
        <f t="shared" si="1761"/>
        <v>21563.896297258114</v>
      </c>
      <c r="F159" s="41">
        <f t="shared" si="1761"/>
        <v>23380.031811313514</v>
      </c>
      <c r="G159" s="41">
        <f t="shared" si="1761"/>
        <v>25501.302421187829</v>
      </c>
      <c r="H159" s="41">
        <f t="shared" si="1761"/>
        <v>27398.300287368704</v>
      </c>
      <c r="I159" s="41">
        <f t="shared" si="1761"/>
        <v>26758.491145342607</v>
      </c>
      <c r="J159" s="41">
        <f t="shared" si="1761"/>
        <v>29570.585903832216</v>
      </c>
      <c r="K159" s="41">
        <f t="shared" si="1761"/>
        <v>31094.366733290419</v>
      </c>
      <c r="L159" s="41">
        <f t="shared" si="1761"/>
        <v>32234.807902685148</v>
      </c>
      <c r="M159" s="41">
        <f t="shared" ref="M159:X159" si="1762">M161-M157-M158-M160</f>
        <v>33743</v>
      </c>
      <c r="N159" s="41">
        <f t="shared" si="1762"/>
        <v>35212</v>
      </c>
      <c r="O159" s="41">
        <f t="shared" si="1762"/>
        <v>40826</v>
      </c>
      <c r="P159" s="41">
        <f t="shared" si="1762"/>
        <v>51477</v>
      </c>
      <c r="Q159" s="41">
        <f t="shared" si="1762"/>
        <v>54576</v>
      </c>
      <c r="R159" s="41">
        <f t="shared" si="1762"/>
        <v>52267</v>
      </c>
      <c r="S159" s="41">
        <f t="shared" si="1762"/>
        <v>43925</v>
      </c>
      <c r="T159" s="41">
        <f t="shared" si="1762"/>
        <v>42876</v>
      </c>
      <c r="U159" s="41">
        <f t="shared" si="1762"/>
        <v>41357</v>
      </c>
      <c r="V159" s="41">
        <f t="shared" si="1762"/>
        <v>60426</v>
      </c>
      <c r="W159" s="41">
        <f t="shared" si="1762"/>
        <v>60506</v>
      </c>
      <c r="X159" s="41">
        <f t="shared" si="1762"/>
        <v>54739</v>
      </c>
      <c r="Y159" s="41">
        <f t="shared" ref="Y159:AE159" si="1763">Y161-Y157-Y158-Y160</f>
        <v>54959</v>
      </c>
      <c r="Z159" s="41">
        <f t="shared" si="1763"/>
        <v>55383</v>
      </c>
      <c r="AA159" s="41">
        <f t="shared" si="1763"/>
        <v>55460</v>
      </c>
      <c r="AB159" s="41">
        <f t="shared" si="1763"/>
        <v>61142</v>
      </c>
      <c r="AC159" s="41">
        <f t="shared" si="1763"/>
        <v>63246</v>
      </c>
      <c r="AD159" s="41">
        <f t="shared" si="1763"/>
        <v>67480</v>
      </c>
      <c r="AE159" s="41">
        <f t="shared" si="1763"/>
        <v>69810</v>
      </c>
      <c r="AF159" s="41">
        <f t="shared" ref="AF159:AG159" si="1764">AF161-AF157-AF158-AF160</f>
        <v>69235</v>
      </c>
      <c r="AG159" s="41">
        <f t="shared" si="1764"/>
        <v>71159</v>
      </c>
      <c r="AH159" s="41">
        <f t="shared" ref="AH159:AI159" si="1765">AH161-AH157-AH158-AH160</f>
        <v>80094</v>
      </c>
      <c r="AI159" s="41">
        <f t="shared" si="1765"/>
        <v>80203</v>
      </c>
      <c r="AJ159" s="41">
        <f t="shared" ref="AJ159:AK159" si="1766">AJ161-AJ157-AJ158-AJ160</f>
        <v>82116</v>
      </c>
      <c r="AK159" s="41">
        <f t="shared" si="1766"/>
        <v>88731</v>
      </c>
      <c r="AL159" s="41">
        <f t="shared" ref="AL159:AM159" si="1767">AL161-AL157-AL158-AL160</f>
        <v>87984</v>
      </c>
      <c r="AM159" s="41">
        <f t="shared" si="1767"/>
        <v>100708</v>
      </c>
      <c r="AN159" s="41">
        <f t="shared" ref="AN159:AO159" si="1768">AN161-AN157-AN158-AN160</f>
        <v>119111</v>
      </c>
      <c r="AO159" s="41">
        <f t="shared" si="1768"/>
        <v>104349</v>
      </c>
      <c r="AP159" s="41">
        <f t="shared" ref="AP159:AQ159" si="1769">AP161-AP157-AP158-AP160</f>
        <v>92887</v>
      </c>
      <c r="AQ159" s="41">
        <f t="shared" si="1769"/>
        <v>93608</v>
      </c>
      <c r="AR159" s="41">
        <f t="shared" ref="AR159:AU159" si="1770">AR161-AR157-AR158-AR160</f>
        <v>103931</v>
      </c>
      <c r="AS159" s="41">
        <f t="shared" si="1770"/>
        <v>113576</v>
      </c>
      <c r="AT159" s="41">
        <f t="shared" si="1770"/>
        <v>115558</v>
      </c>
      <c r="AU159" s="41">
        <f t="shared" si="1770"/>
        <v>117143</v>
      </c>
      <c r="AV159" s="41">
        <f t="shared" ref="AV159:AW159" si="1771">AV161-AV157-AV158-AV160</f>
        <v>118515</v>
      </c>
      <c r="AW159" s="41">
        <f t="shared" si="1771"/>
        <v>135430</v>
      </c>
      <c r="AX159" s="41">
        <f t="shared" ref="AX159:AY159" si="1772">AX161-AX157-AX158-AX160</f>
        <v>136532</v>
      </c>
      <c r="AY159" s="211">
        <f t="shared" si="1772"/>
        <v>145984</v>
      </c>
      <c r="AZ159" s="41">
        <f>(SUM(AY158:AY159)*(1+AZ53))-AZ158</f>
        <v>154675.07899999997</v>
      </c>
      <c r="BA159" s="41">
        <f t="shared" ref="BA159:BQ159" si="1773">(SUM(AZ158:AZ159)*(1+BA53))-BA158</f>
        <v>162008.1560841999</v>
      </c>
      <c r="BB159" s="41">
        <f t="shared" si="1773"/>
        <v>168399.18330238125</v>
      </c>
      <c r="BC159" s="41">
        <f t="shared" si="1773"/>
        <v>173735.26465398649</v>
      </c>
      <c r="BD159" s="41">
        <f t="shared" si="1773"/>
        <v>177919.86733949167</v>
      </c>
      <c r="BE159" s="41">
        <f t="shared" si="1773"/>
        <v>182130.86667609721</v>
      </c>
      <c r="BF159" s="41">
        <f t="shared" si="1773"/>
        <v>185799.15134788014</v>
      </c>
      <c r="BG159" s="41">
        <f t="shared" si="1773"/>
        <v>189541.3176265978</v>
      </c>
      <c r="BH159" s="41">
        <f t="shared" si="1773"/>
        <v>193358.85351425014</v>
      </c>
      <c r="BI159" s="41">
        <f t="shared" si="1773"/>
        <v>197253.2769813115</v>
      </c>
      <c r="BJ159" s="41">
        <f t="shared" si="1773"/>
        <v>201226.13657028924</v>
      </c>
      <c r="BK159" s="41">
        <f t="shared" si="1773"/>
        <v>205279.01201143849</v>
      </c>
      <c r="BL159" s="41">
        <f t="shared" si="1773"/>
        <v>209413.51485087661</v>
      </c>
      <c r="BM159" s="41">
        <f t="shared" si="1773"/>
        <v>213631.2890913476</v>
      </c>
      <c r="BN159" s="41">
        <f t="shared" si="1773"/>
        <v>217934.01184589142</v>
      </c>
      <c r="BO159" s="41">
        <f t="shared" si="1773"/>
        <v>222323.39400467771</v>
      </c>
      <c r="BP159" s="41">
        <f t="shared" si="1773"/>
        <v>226801.1809152693</v>
      </c>
      <c r="BQ159" s="41">
        <f t="shared" si="1773"/>
        <v>231369.15307658573</v>
      </c>
      <c r="BR159" s="41"/>
      <c r="BS159" s="41">
        <f t="shared" ref="BS159:CB159" si="1774">BS161-BS157-BS158-BS160</f>
        <v>14534.144467616614</v>
      </c>
      <c r="BT159" s="41">
        <f t="shared" si="1774"/>
        <v>13956.256682413108</v>
      </c>
      <c r="BU159" s="41">
        <f t="shared" si="1774"/>
        <v>14698.061542000502</v>
      </c>
      <c r="BV159" s="41">
        <f t="shared" si="1774"/>
        <v>15762.542786942362</v>
      </c>
      <c r="BW159" s="41">
        <f t="shared" si="1774"/>
        <v>17116.395060523402</v>
      </c>
      <c r="BX159" s="41">
        <f t="shared" si="1774"/>
        <v>19259.641341522201</v>
      </c>
      <c r="BY159" s="41">
        <f t="shared" si="1774"/>
        <v>22423.092350490406</v>
      </c>
      <c r="BZ159" s="41">
        <f t="shared" si="1774"/>
        <v>23203.532725085526</v>
      </c>
      <c r="CA159" s="41">
        <f t="shared" si="1774"/>
        <v>23700.892935358246</v>
      </c>
      <c r="CB159" s="41">
        <f t="shared" si="1774"/>
        <v>22702.148524494984</v>
      </c>
      <c r="CC159" s="41">
        <f>E159</f>
        <v>21563.896297258114</v>
      </c>
      <c r="CD159" s="41">
        <f>G159</f>
        <v>25501.302421187829</v>
      </c>
      <c r="CE159" s="41">
        <f>I159</f>
        <v>26758.491145342607</v>
      </c>
      <c r="CF159" s="41">
        <f>K159</f>
        <v>31094.366733290419</v>
      </c>
      <c r="CG159" s="41">
        <f>M159</f>
        <v>33743</v>
      </c>
      <c r="CH159" s="41">
        <f>O159</f>
        <v>40826</v>
      </c>
      <c r="CI159" s="41">
        <f>Q159</f>
        <v>54576</v>
      </c>
      <c r="CJ159" s="41">
        <f>S159</f>
        <v>43925</v>
      </c>
      <c r="CK159" s="41">
        <f>U159</f>
        <v>41357</v>
      </c>
      <c r="CL159" s="41">
        <f>W159</f>
        <v>60506</v>
      </c>
      <c r="CM159" s="41">
        <f>Y159</f>
        <v>54959</v>
      </c>
      <c r="CN159" s="41">
        <f>AA159</f>
        <v>55460</v>
      </c>
      <c r="CO159" s="41">
        <f>AC159</f>
        <v>63246</v>
      </c>
      <c r="CP159" s="41">
        <f>AE159</f>
        <v>69810</v>
      </c>
      <c r="CQ159" s="41">
        <f>AG159</f>
        <v>71159</v>
      </c>
      <c r="CR159" s="41">
        <f>AI159</f>
        <v>80203</v>
      </c>
      <c r="CS159" s="41">
        <f>AK159</f>
        <v>88731</v>
      </c>
      <c r="CT159" s="41">
        <f>AM159</f>
        <v>100708</v>
      </c>
      <c r="CU159" s="41">
        <f>AO159</f>
        <v>104349</v>
      </c>
      <c r="CV159" s="41">
        <f>AQ159</f>
        <v>93608</v>
      </c>
      <c r="CW159" s="41">
        <f>AS159</f>
        <v>113576</v>
      </c>
      <c r="CX159" s="41">
        <f>AU159</f>
        <v>117143</v>
      </c>
      <c r="CY159" s="41">
        <f>AW159</f>
        <v>135430</v>
      </c>
      <c r="CZ159" s="211">
        <f>AY159</f>
        <v>145984</v>
      </c>
      <c r="DA159" s="41">
        <f>BA159</f>
        <v>162008.1560841999</v>
      </c>
      <c r="DB159" s="41">
        <f>BC159</f>
        <v>173735.26465398649</v>
      </c>
      <c r="DC159" s="41">
        <f>BE159</f>
        <v>182130.86667609721</v>
      </c>
      <c r="DD159" s="41">
        <f>BG159</f>
        <v>189541.3176265978</v>
      </c>
      <c r="DE159" s="41">
        <f>BI159</f>
        <v>197253.2769813115</v>
      </c>
      <c r="DF159" s="41">
        <f>BK159</f>
        <v>205279.01201143849</v>
      </c>
      <c r="DG159" s="41">
        <f>BM159</f>
        <v>213631.2890913476</v>
      </c>
      <c r="DH159" s="41">
        <f>BO159</f>
        <v>222323.39400467771</v>
      </c>
      <c r="DI159" s="41">
        <f>BQ159</f>
        <v>231369.15307658573</v>
      </c>
    </row>
    <row r="160" spans="1:113" ht="12" outlineLevel="1">
      <c r="A160" s="1" t="s">
        <v>738</v>
      </c>
      <c r="B160" s="15" t="s">
        <v>167</v>
      </c>
      <c r="C160" s="40">
        <f t="shared" ref="C160" si="1775">D160*4348/4532</f>
        <v>4957.1254312161072</v>
      </c>
      <c r="D160" s="40">
        <f>E160*3604/3888</f>
        <v>5166.9025883788863</v>
      </c>
      <c r="E160" s="40">
        <f>F160*3888/4119</f>
        <v>5574.0613939004188</v>
      </c>
      <c r="F160" s="40">
        <f>G160*4119/4265</f>
        <v>5905.2363378281443</v>
      </c>
      <c r="G160" s="40">
        <f>H160*4265/4348</f>
        <v>6114.5503716525945</v>
      </c>
      <c r="H160" s="40">
        <f>I160*4348/4532</f>
        <v>6233.5439662240287</v>
      </c>
      <c r="I160" s="40">
        <f>J160*4523/4853</f>
        <v>6497.3369951534733</v>
      </c>
      <c r="J160" s="40">
        <f>K160*4853/5434</f>
        <v>6971.3854604200324</v>
      </c>
      <c r="K160" s="141">
        <f>L160*5434/5904</f>
        <v>7805.9980613893376</v>
      </c>
      <c r="L160" s="141">
        <f>M160*5904/6190</f>
        <v>8481.1579967689831</v>
      </c>
      <c r="M160" s="40">
        <f>7266+64+1562</f>
        <v>8892</v>
      </c>
      <c r="N160" s="40">
        <f>7751+64+1776</f>
        <v>9591</v>
      </c>
      <c r="O160" s="40">
        <f>8009+82+2134</f>
        <v>10225</v>
      </c>
      <c r="P160" s="40">
        <f>8614+45</f>
        <v>8659</v>
      </c>
      <c r="Q160" s="40">
        <f>8658+423</f>
        <v>9081</v>
      </c>
      <c r="R160" s="40">
        <f>8927+440</f>
        <v>9367</v>
      </c>
      <c r="S160" s="40">
        <f>9255+506</f>
        <v>9761</v>
      </c>
      <c r="T160" s="40">
        <f>9778+539</f>
        <v>10317</v>
      </c>
      <c r="U160" s="40">
        <f>9808+541</f>
        <v>10349</v>
      </c>
      <c r="V160" s="40">
        <f>8052+2649</f>
        <v>10701</v>
      </c>
      <c r="W160" s="40">
        <f>8148+2639</f>
        <v>10787</v>
      </c>
      <c r="X160" s="40">
        <f>8153+2749</f>
        <v>10902</v>
      </c>
      <c r="Y160" s="40">
        <f>7702+2923</f>
        <v>10625</v>
      </c>
      <c r="Z160" s="141">
        <f>10894+69</f>
        <v>10963</v>
      </c>
      <c r="AA160" s="141">
        <f>11184+94</f>
        <v>11278</v>
      </c>
      <c r="AB160" s="141">
        <f>10720+96</f>
        <v>10816</v>
      </c>
      <c r="AC160" s="141">
        <f>10680+93</f>
        <v>10773</v>
      </c>
      <c r="AD160" s="141">
        <f>11139+95</f>
        <v>11234</v>
      </c>
      <c r="AE160" s="141">
        <f>11049+78</f>
        <v>11127</v>
      </c>
      <c r="AF160" s="141">
        <f>11163+91</f>
        <v>11254</v>
      </c>
      <c r="AG160" s="141">
        <f>11021+95</f>
        <v>11116</v>
      </c>
      <c r="AH160" s="141">
        <f>10910+82</f>
        <v>10992</v>
      </c>
      <c r="AI160" s="141">
        <f>10543+74</f>
        <v>10617</v>
      </c>
      <c r="AJ160" s="141">
        <f>10536+60</f>
        <v>10596</v>
      </c>
      <c r="AK160" s="141">
        <f>10074+57</f>
        <v>10131</v>
      </c>
      <c r="AL160" s="141">
        <f>9574+42</f>
        <v>9616</v>
      </c>
      <c r="AM160" s="141">
        <f>8958+69</f>
        <v>9027</v>
      </c>
      <c r="AN160" s="141">
        <f>8370+61</f>
        <v>8431</v>
      </c>
      <c r="AO160" s="141">
        <f>6710+35</f>
        <v>6745</v>
      </c>
      <c r="AP160" s="141">
        <f>6682+46</f>
        <v>6728</v>
      </c>
      <c r="AQ160" s="141">
        <f>5974+55</f>
        <v>6029</v>
      </c>
      <c r="AR160" s="141">
        <f>6070+35</f>
        <v>6105</v>
      </c>
      <c r="AS160" s="141">
        <f>5926+34</f>
        <v>5960</v>
      </c>
      <c r="AT160" s="141">
        <f>5865+35</f>
        <v>5900</v>
      </c>
      <c r="AU160" s="141">
        <f>5772+32</f>
        <v>5804</v>
      </c>
      <c r="AV160" s="141">
        <f>5817+30</f>
        <v>5847</v>
      </c>
      <c r="AW160" s="141">
        <f>5698+33</f>
        <v>5731</v>
      </c>
      <c r="AX160" s="141">
        <f>5395+27</f>
        <v>5422</v>
      </c>
      <c r="AY160" s="226">
        <f>5271+23</f>
        <v>5294</v>
      </c>
      <c r="AZ160" s="41">
        <f t="shared" ref="AZ160" si="1776">AY160*(1+AZ54)</f>
        <v>5411.1032799999994</v>
      </c>
      <c r="BA160" s="41">
        <f t="shared" ref="BA160" si="1777">AZ160*(1+BA54)</f>
        <v>5506.2034201460001</v>
      </c>
      <c r="BB160" s="41">
        <f t="shared" ref="BB160" si="1778">BA160*(1+BB54)</f>
        <v>5561.4031094329621</v>
      </c>
      <c r="BC160" s="41">
        <f t="shared" ref="BC160" si="1779">BB160*(1+BC54)</f>
        <v>5617.156175605026</v>
      </c>
      <c r="BD160" s="41">
        <f t="shared" ref="BD160" si="1780">BC160*(1+BD54)</f>
        <v>5673.4681662654648</v>
      </c>
      <c r="BE160" s="41">
        <f t="shared" ref="BE160" si="1781">BD160*(1+BE54)</f>
        <v>5730.3446846322749</v>
      </c>
      <c r="BF160" s="41">
        <f t="shared" ref="BF160" si="1782">BE160*(1+BF54)</f>
        <v>5787.7913900957119</v>
      </c>
      <c r="BG160" s="41">
        <f t="shared" ref="BG160:BK160" si="1783">BF160*(1+BG54)</f>
        <v>5845.8139987814202</v>
      </c>
      <c r="BH160" s="41">
        <f t="shared" si="1783"/>
        <v>5904.4182841192023</v>
      </c>
      <c r="BI160" s="41">
        <f t="shared" si="1783"/>
        <v>5963.6100774174956</v>
      </c>
      <c r="BJ160" s="41">
        <f t="shared" si="1783"/>
        <v>6023.3952684436044</v>
      </c>
      <c r="BK160" s="41">
        <f t="shared" si="1783"/>
        <v>6083.7798060097502</v>
      </c>
      <c r="BL160" s="41">
        <f t="shared" ref="BL160" si="1784">BK160*(1+BL54)</f>
        <v>6144.7696985649964</v>
      </c>
      <c r="BM160" s="41">
        <f t="shared" ref="BM160" si="1785">BL160*(1+BM54)</f>
        <v>6206.3710147931088</v>
      </c>
      <c r="BN160" s="41">
        <f t="shared" ref="BN160" si="1786">BM160*(1+BN54)</f>
        <v>6268.5898842164079</v>
      </c>
      <c r="BO160" s="41">
        <f t="shared" ref="BO160" si="1787">BN160*(1+BO54)</f>
        <v>6331.4324978056757</v>
      </c>
      <c r="BP160" s="41">
        <f t="shared" ref="BP160" si="1788">BO160*(1+BP54)</f>
        <v>6394.9051085961755</v>
      </c>
      <c r="BQ160" s="41">
        <f t="shared" ref="BQ160" si="1789">BP160*(1+BQ54)</f>
        <v>6459.0140323098503</v>
      </c>
      <c r="BR160" s="41"/>
      <c r="BS160" s="40">
        <f>BT160*6012.4/6252.2</f>
        <v>2250.2844775859039</v>
      </c>
      <c r="BT160" s="40">
        <f>BU160*6252.2/6379</f>
        <v>2340.0353620455376</v>
      </c>
      <c r="BU160" s="40">
        <f>BV160*6379/7109</f>
        <v>2387.4932942785717</v>
      </c>
      <c r="BV160" s="40">
        <f>BW160*7109/7384</f>
        <v>2660.7132511406753</v>
      </c>
      <c r="BW160" s="40">
        <f>BX160*7384/6229</f>
        <v>2763.6385773558513</v>
      </c>
      <c r="BX160" s="40">
        <f>BY160*6229/7112</f>
        <v>2331.3522072521123</v>
      </c>
      <c r="BY160" s="40">
        <f>BZ160*7112/9280</f>
        <v>2661.8360728812045</v>
      </c>
      <c r="BZ160" s="40">
        <f>CA160*9280/12728</f>
        <v>3473.2619173703006</v>
      </c>
      <c r="CA160" s="40">
        <f>CB160*12728/13435</f>
        <v>4763.7583711518519</v>
      </c>
      <c r="CB160" s="40">
        <f>CC160*13435/14893</f>
        <v>5028.3700280032317</v>
      </c>
      <c r="CC160" s="41">
        <f>E160</f>
        <v>5574.0613939004188</v>
      </c>
      <c r="CD160" s="41">
        <f>G160</f>
        <v>6114.5503716525945</v>
      </c>
      <c r="CE160" s="41">
        <f>I160</f>
        <v>6497.3369951534733</v>
      </c>
      <c r="CF160" s="41">
        <f>K160</f>
        <v>7805.9980613893376</v>
      </c>
      <c r="CG160" s="41">
        <f>M160</f>
        <v>8892</v>
      </c>
      <c r="CH160" s="41">
        <f>O160</f>
        <v>10225</v>
      </c>
      <c r="CI160" s="41">
        <f>Q160</f>
        <v>9081</v>
      </c>
      <c r="CJ160" s="41">
        <f>S160</f>
        <v>9761</v>
      </c>
      <c r="CK160" s="41">
        <f>U160</f>
        <v>10349</v>
      </c>
      <c r="CL160" s="41">
        <f>W160</f>
        <v>10787</v>
      </c>
      <c r="CM160" s="41">
        <f>Y160</f>
        <v>10625</v>
      </c>
      <c r="CN160" s="41">
        <f>AA160</f>
        <v>11278</v>
      </c>
      <c r="CO160" s="41">
        <f>AC160</f>
        <v>10773</v>
      </c>
      <c r="CP160" s="41">
        <f>AE160</f>
        <v>11127</v>
      </c>
      <c r="CQ160" s="41">
        <f>AG160</f>
        <v>11116</v>
      </c>
      <c r="CR160" s="41">
        <f>AI160</f>
        <v>10617</v>
      </c>
      <c r="CS160" s="41">
        <f>AK160</f>
        <v>10131</v>
      </c>
      <c r="CT160" s="41">
        <f>AM160</f>
        <v>9027</v>
      </c>
      <c r="CU160" s="41">
        <f>AO160</f>
        <v>6745</v>
      </c>
      <c r="CV160" s="41">
        <f>AQ160</f>
        <v>6029</v>
      </c>
      <c r="CW160" s="41">
        <f>AS160</f>
        <v>5960</v>
      </c>
      <c r="CX160" s="41">
        <f>AU160</f>
        <v>5804</v>
      </c>
      <c r="CY160" s="41">
        <f>AW160</f>
        <v>5731</v>
      </c>
      <c r="CZ160" s="211">
        <f>AY160</f>
        <v>5294</v>
      </c>
      <c r="DA160" s="41">
        <f>BA160</f>
        <v>5506.2034201460001</v>
      </c>
      <c r="DB160" s="41">
        <f>BC160</f>
        <v>5617.156175605026</v>
      </c>
      <c r="DC160" s="41">
        <f>BE160</f>
        <v>5730.3446846322749</v>
      </c>
      <c r="DD160" s="41">
        <f>BG160</f>
        <v>5845.8139987814202</v>
      </c>
      <c r="DE160" s="41">
        <f>BI160</f>
        <v>5963.6100774174956</v>
      </c>
      <c r="DF160" s="41">
        <f>BK160</f>
        <v>6083.7798060097502</v>
      </c>
      <c r="DG160" s="41">
        <f>BM160</f>
        <v>6206.3710147931088</v>
      </c>
      <c r="DH160" s="41">
        <f>BO160</f>
        <v>6331.4324978056757</v>
      </c>
      <c r="DI160" s="41">
        <f>BQ160</f>
        <v>6459.0140323098503</v>
      </c>
    </row>
    <row r="161" spans="1:113" s="17" customFormat="1" ht="12" outlineLevel="1">
      <c r="A161" s="1" t="s">
        <v>739</v>
      </c>
      <c r="B161" s="17" t="s">
        <v>168</v>
      </c>
      <c r="C161" s="61">
        <v>92455</v>
      </c>
      <c r="D161" s="61">
        <v>95949</v>
      </c>
      <c r="E161" s="61">
        <v>102538</v>
      </c>
      <c r="F161" s="61">
        <v>111185</v>
      </c>
      <c r="G161" s="61">
        <v>121320</v>
      </c>
      <c r="H161" s="61">
        <v>130624</v>
      </c>
      <c r="I161" s="61">
        <v>140480</v>
      </c>
      <c r="J161" s="61">
        <v>154529</v>
      </c>
      <c r="K161" s="61">
        <v>163289</v>
      </c>
      <c r="L161" s="61">
        <v>171972</v>
      </c>
      <c r="M161" s="61">
        <v>180600</v>
      </c>
      <c r="N161" s="61">
        <v>189109</v>
      </c>
      <c r="O161" s="61">
        <v>204848</v>
      </c>
      <c r="P161" s="61">
        <v>221939</v>
      </c>
      <c r="Q161" s="61">
        <v>236264</v>
      </c>
      <c r="R161" s="61">
        <v>242624</v>
      </c>
      <c r="S161" s="61">
        <v>238381</v>
      </c>
      <c r="T161" s="61">
        <v>246804</v>
      </c>
      <c r="U161" s="61">
        <v>256472</v>
      </c>
      <c r="V161" s="61">
        <v>282528</v>
      </c>
      <c r="W161" s="61">
        <v>289099</v>
      </c>
      <c r="X161" s="61">
        <v>302252</v>
      </c>
      <c r="Y161" s="61">
        <v>308748</v>
      </c>
      <c r="Z161" s="194">
        <v>317236</v>
      </c>
      <c r="AA161" s="194">
        <v>326813</v>
      </c>
      <c r="AB161" s="194">
        <v>339012</v>
      </c>
      <c r="AC161" s="194">
        <v>350727</v>
      </c>
      <c r="AD161" s="194">
        <v>364901</v>
      </c>
      <c r="AE161" s="194">
        <v>383155</v>
      </c>
      <c r="AF161" s="194">
        <v>388835</v>
      </c>
      <c r="AG161" s="194">
        <v>396405</v>
      </c>
      <c r="AH161" s="194">
        <v>405189</v>
      </c>
      <c r="AI161" s="194">
        <v>413256</v>
      </c>
      <c r="AJ161" s="194">
        <v>420444</v>
      </c>
      <c r="AK161" s="194">
        <v>428638</v>
      </c>
      <c r="AL161" s="194">
        <v>423467</v>
      </c>
      <c r="AM161" s="194">
        <v>431595</v>
      </c>
      <c r="AN161" s="194">
        <v>448254</v>
      </c>
      <c r="AO161" s="194">
        <v>443150</v>
      </c>
      <c r="AP161" s="194">
        <v>436954</v>
      </c>
      <c r="AQ161" s="194">
        <v>434602</v>
      </c>
      <c r="AR161" s="194">
        <v>445555</v>
      </c>
      <c r="AS161" s="194">
        <v>461606</v>
      </c>
      <c r="AT161" s="194">
        <v>473966</v>
      </c>
      <c r="AU161" s="194">
        <v>488637</v>
      </c>
      <c r="AV161" s="194">
        <v>502339</v>
      </c>
      <c r="AW161" s="194">
        <v>588216</v>
      </c>
      <c r="AX161" s="194">
        <v>599668</v>
      </c>
      <c r="AY161" s="227">
        <v>619986</v>
      </c>
      <c r="AZ161" s="62">
        <f>SUM(AZ157:AZ160)</f>
        <v>639139.86698400008</v>
      </c>
      <c r="BA161" s="62">
        <f t="shared" ref="BA161" si="1790">SUM(BA157:BA160)</f>
        <v>656579.08542818844</v>
      </c>
      <c r="BB161" s="62">
        <f t="shared" ref="BB161:BC161" si="1791">SUM(BB157:BB160)</f>
        <v>674366.21945969609</v>
      </c>
      <c r="BC161" s="62">
        <f t="shared" si="1791"/>
        <v>693585.26374267507</v>
      </c>
      <c r="BD161" s="62">
        <f t="shared" ref="BD161:BE161" si="1792">SUM(BD157:BD160)</f>
        <v>712114.78704421327</v>
      </c>
      <c r="BE161" s="62">
        <f t="shared" si="1792"/>
        <v>731147.81328841951</v>
      </c>
      <c r="BF161" s="62">
        <f t="shared" ref="BF161:BG161" si="1793">SUM(BF157:BF160)</f>
        <v>749105.44517176377</v>
      </c>
      <c r="BG161" s="62">
        <f t="shared" si="1793"/>
        <v>766538.66184127808</v>
      </c>
      <c r="BH161" s="62">
        <f t="shared" ref="BH161:BI161" si="1794">SUM(BH157:BH160)</f>
        <v>783133.52604726201</v>
      </c>
      <c r="BI161" s="62">
        <f t="shared" si="1794"/>
        <v>798815.02290659945</v>
      </c>
      <c r="BJ161" s="62">
        <f t="shared" ref="BJ161:BK161" si="1795">SUM(BJ157:BJ160)</f>
        <v>814811.12149549229</v>
      </c>
      <c r="BK161" s="62">
        <f t="shared" si="1795"/>
        <v>831128.13933022192</v>
      </c>
      <c r="BL161" s="62">
        <f t="shared" ref="BL161:BM161" si="1796">SUM(BL157:BL160)</f>
        <v>847772.52084921405</v>
      </c>
      <c r="BM161" s="62">
        <f t="shared" si="1796"/>
        <v>864750.83996357012</v>
      </c>
      <c r="BN161" s="62">
        <f t="shared" ref="BN161:BO161" si="1797">SUM(BN157:BN160)</f>
        <v>882069.80265886383</v>
      </c>
      <c r="BO161" s="62">
        <f t="shared" si="1797"/>
        <v>899736.24964922341</v>
      </c>
      <c r="BP161" s="62">
        <f t="shared" ref="BP161:BQ161" si="1798">SUM(BP157:BP160)</f>
        <v>917757.15908475756</v>
      </c>
      <c r="BQ161" s="62">
        <f t="shared" si="1798"/>
        <v>936139.64931339212</v>
      </c>
      <c r="BR161" s="62"/>
      <c r="BS161" s="61">
        <v>43978</v>
      </c>
      <c r="BT161" s="61">
        <v>42699</v>
      </c>
      <c r="BU161" s="61">
        <v>44767</v>
      </c>
      <c r="BV161" s="61">
        <v>48272</v>
      </c>
      <c r="BW161" s="61">
        <v>52089</v>
      </c>
      <c r="BX161" s="61">
        <v>56572</v>
      </c>
      <c r="BY161" s="61">
        <v>64675</v>
      </c>
      <c r="BZ161" s="61">
        <v>75255</v>
      </c>
      <c r="CA161" s="61">
        <v>89020</v>
      </c>
      <c r="CB161" s="61">
        <v>92455</v>
      </c>
      <c r="CC161" s="62">
        <f>E161</f>
        <v>102538</v>
      </c>
      <c r="CD161" s="62">
        <f>G161</f>
        <v>121320</v>
      </c>
      <c r="CE161" s="62">
        <f>I161</f>
        <v>140480</v>
      </c>
      <c r="CF161" s="62">
        <f>K161</f>
        <v>163289</v>
      </c>
      <c r="CG161" s="62">
        <f>M161</f>
        <v>180600</v>
      </c>
      <c r="CH161" s="62">
        <f>O161</f>
        <v>204848</v>
      </c>
      <c r="CI161" s="62">
        <f>Q161</f>
        <v>236264</v>
      </c>
      <c r="CJ161" s="62">
        <f>S161</f>
        <v>238381</v>
      </c>
      <c r="CK161" s="62">
        <f>U161</f>
        <v>256472</v>
      </c>
      <c r="CL161" s="62">
        <f>W161</f>
        <v>289099</v>
      </c>
      <c r="CM161" s="62">
        <f>Y161</f>
        <v>308748</v>
      </c>
      <c r="CN161" s="62">
        <f>AA161</f>
        <v>326813</v>
      </c>
      <c r="CO161" s="62">
        <f>AC161</f>
        <v>350727</v>
      </c>
      <c r="CP161" s="62">
        <f>AE161</f>
        <v>383155</v>
      </c>
      <c r="CQ161" s="62">
        <f>AG161</f>
        <v>396405</v>
      </c>
      <c r="CR161" s="62">
        <f>AI161</f>
        <v>413256</v>
      </c>
      <c r="CS161" s="62">
        <f>AK161</f>
        <v>428638</v>
      </c>
      <c r="CT161" s="62">
        <f>AM161</f>
        <v>431595</v>
      </c>
      <c r="CU161" s="62">
        <f>AO161</f>
        <v>443150</v>
      </c>
      <c r="CV161" s="62">
        <f>AQ161</f>
        <v>434602</v>
      </c>
      <c r="CW161" s="62">
        <f>AS161</f>
        <v>461606</v>
      </c>
      <c r="CX161" s="62">
        <f>AU161</f>
        <v>488637</v>
      </c>
      <c r="CY161" s="62">
        <f>AW161</f>
        <v>588216</v>
      </c>
      <c r="CZ161" s="220">
        <f>AY161</f>
        <v>619986</v>
      </c>
      <c r="DA161" s="62">
        <f>BA161</f>
        <v>656579.08542818844</v>
      </c>
      <c r="DB161" s="62">
        <f>BC161</f>
        <v>693585.26374267507</v>
      </c>
      <c r="DC161" s="62">
        <f>BE161</f>
        <v>731147.81328841951</v>
      </c>
      <c r="DD161" s="62">
        <f>BG161</f>
        <v>766538.66184127808</v>
      </c>
      <c r="DE161" s="62">
        <f>BI161</f>
        <v>798815.02290659945</v>
      </c>
      <c r="DF161" s="62">
        <f>BK161</f>
        <v>831128.13933022192</v>
      </c>
      <c r="DG161" s="62">
        <f>BM161</f>
        <v>864750.83996357012</v>
      </c>
      <c r="DH161" s="62">
        <f>BO161</f>
        <v>899736.24964922341</v>
      </c>
      <c r="DI161" s="62">
        <f>BQ161</f>
        <v>936139.64931339212</v>
      </c>
    </row>
    <row r="162" spans="1:113" ht="12" outlineLevel="1">
      <c r="C162" s="41"/>
      <c r="D162" s="41"/>
      <c r="E162" s="41"/>
      <c r="F162" s="41"/>
      <c r="G162" s="41"/>
      <c r="H162" s="41"/>
      <c r="I162" s="41"/>
      <c r="J162" s="41"/>
      <c r="K162" s="41"/>
      <c r="L162" s="41"/>
      <c r="M162" s="41"/>
      <c r="N162" s="41"/>
      <c r="O162" s="41"/>
      <c r="P162" s="41"/>
      <c r="Q162" s="41"/>
      <c r="R162" s="41"/>
      <c r="S162" s="41"/>
      <c r="T162" s="41"/>
      <c r="U162" s="41"/>
      <c r="V162" s="41"/>
      <c r="W162" s="41"/>
      <c r="X162" s="41"/>
      <c r="Y162" s="41"/>
      <c r="Z162" s="41"/>
      <c r="AA162" s="361"/>
      <c r="AB162" s="41"/>
      <c r="AC162" s="41"/>
      <c r="AD162" s="41"/>
      <c r="AE162" s="41"/>
      <c r="AF162" s="41"/>
      <c r="AG162" s="41"/>
      <c r="AH162" s="41"/>
      <c r="AI162" s="41"/>
      <c r="AJ162" s="41"/>
      <c r="AK162" s="41"/>
      <c r="AL162" s="41"/>
      <c r="AM162" s="41"/>
      <c r="AN162" s="41"/>
      <c r="AO162" s="41"/>
      <c r="AP162" s="41"/>
      <c r="AQ162" s="41"/>
      <c r="AR162" s="41"/>
      <c r="AS162" s="41"/>
      <c r="AT162" s="41"/>
      <c r="AU162" s="41"/>
      <c r="AV162" s="41"/>
      <c r="AW162" s="41"/>
      <c r="AX162" s="41"/>
      <c r="AY162" s="211"/>
      <c r="AZ162" s="41"/>
      <c r="BA162" s="41"/>
      <c r="BB162" s="41"/>
      <c r="BC162" s="41"/>
      <c r="BD162" s="41"/>
      <c r="BE162" s="41"/>
      <c r="BF162" s="41"/>
      <c r="BG162" s="41"/>
      <c r="BH162" s="41"/>
      <c r="BI162" s="41"/>
      <c r="BJ162" s="41"/>
      <c r="BK162" s="41"/>
      <c r="BL162" s="41"/>
      <c r="BM162" s="41"/>
      <c r="BN162" s="41"/>
      <c r="BO162" s="41"/>
      <c r="BP162" s="41"/>
      <c r="BQ162" s="41"/>
      <c r="BR162" s="41"/>
      <c r="BS162" s="41"/>
      <c r="BT162" s="41"/>
      <c r="BU162" s="41"/>
      <c r="BV162" s="41"/>
      <c r="BW162" s="41"/>
      <c r="BX162" s="41"/>
      <c r="BY162" s="41"/>
      <c r="BZ162" s="41"/>
      <c r="CA162" s="41"/>
      <c r="CB162" s="41"/>
      <c r="CC162" s="41"/>
      <c r="CD162" s="41"/>
      <c r="CE162" s="41"/>
      <c r="CF162" s="41"/>
      <c r="CG162" s="41"/>
      <c r="CH162" s="41"/>
      <c r="CI162" s="41"/>
      <c r="CJ162" s="41"/>
      <c r="CK162" s="41"/>
      <c r="CL162" s="41"/>
      <c r="CM162" s="41"/>
      <c r="CN162" s="41"/>
      <c r="CO162" s="41"/>
      <c r="CP162" s="41"/>
      <c r="CQ162" s="41"/>
      <c r="CR162" s="41"/>
      <c r="CS162" s="41"/>
      <c r="CT162" s="41"/>
      <c r="CU162" s="41"/>
      <c r="CV162" s="41"/>
      <c r="CW162" s="41"/>
      <c r="CX162" s="41"/>
      <c r="CY162" s="41"/>
      <c r="CZ162" s="211"/>
      <c r="DA162" s="41"/>
      <c r="DB162" s="41"/>
      <c r="DC162" s="41"/>
      <c r="DD162" s="41"/>
      <c r="DE162" s="41"/>
      <c r="DF162" s="41"/>
      <c r="DG162" s="41"/>
      <c r="DH162" s="41"/>
      <c r="DI162" s="41"/>
    </row>
    <row r="163" spans="1:113" ht="12" outlineLevel="1">
      <c r="B163" s="17" t="s">
        <v>408</v>
      </c>
      <c r="C163" s="41"/>
      <c r="D163" s="41"/>
      <c r="E163" s="41"/>
      <c r="F163" s="41"/>
      <c r="G163" s="41"/>
      <c r="H163" s="41"/>
      <c r="I163" s="41"/>
      <c r="J163" s="41"/>
      <c r="K163" s="41"/>
      <c r="L163" s="41"/>
      <c r="M163" s="41"/>
      <c r="N163" s="41"/>
      <c r="O163" s="41"/>
      <c r="P163" s="41"/>
      <c r="Q163" s="41"/>
      <c r="R163" s="41"/>
      <c r="S163" s="41"/>
      <c r="T163" s="41"/>
      <c r="U163" s="41"/>
      <c r="V163" s="41"/>
      <c r="W163" s="41"/>
      <c r="X163" s="41"/>
      <c r="Y163" s="41"/>
      <c r="Z163" s="41"/>
      <c r="AA163" s="41"/>
      <c r="AB163" s="41"/>
      <c r="AC163" s="32"/>
      <c r="AD163" s="41"/>
      <c r="AE163" s="41"/>
      <c r="AF163" s="41"/>
      <c r="AG163" s="41"/>
      <c r="AH163" s="41"/>
      <c r="AI163" s="41"/>
      <c r="AJ163" s="41"/>
      <c r="AK163" s="41"/>
      <c r="AL163" s="41"/>
      <c r="AM163" s="41"/>
      <c r="AN163" s="41"/>
      <c r="AO163" s="41"/>
      <c r="AP163" s="41"/>
      <c r="AQ163" s="41"/>
      <c r="AR163" s="41"/>
      <c r="AS163" s="41"/>
      <c r="AT163" s="41"/>
      <c r="AU163" s="41"/>
      <c r="AV163" s="41"/>
      <c r="AW163" s="30"/>
      <c r="AX163" s="32"/>
      <c r="AY163" s="31"/>
      <c r="AZ163" s="30"/>
      <c r="BA163" s="30"/>
      <c r="BB163" s="30"/>
      <c r="BC163" s="30"/>
      <c r="BD163" s="41"/>
      <c r="BE163" s="41"/>
      <c r="BF163" s="41"/>
      <c r="BG163" s="41"/>
      <c r="BH163" s="41"/>
      <c r="BI163" s="41"/>
      <c r="BJ163" s="41"/>
      <c r="BK163" s="41"/>
      <c r="BL163" s="41"/>
      <c r="BM163" s="41"/>
      <c r="BN163" s="41"/>
      <c r="BO163" s="41"/>
      <c r="BP163" s="41"/>
      <c r="BQ163" s="41"/>
      <c r="BR163" s="41"/>
      <c r="BS163" s="41"/>
      <c r="BT163" s="41"/>
      <c r="BU163" s="41"/>
      <c r="BV163" s="41"/>
      <c r="BW163" s="41"/>
      <c r="BX163" s="41"/>
      <c r="BY163" s="41"/>
      <c r="BZ163" s="41"/>
      <c r="CA163" s="41"/>
      <c r="CB163" s="41"/>
      <c r="CC163" s="41"/>
      <c r="CD163" s="41"/>
      <c r="CE163" s="41"/>
      <c r="CF163" s="41"/>
      <c r="CG163" s="41"/>
      <c r="CH163" s="41"/>
      <c r="CI163" s="41"/>
      <c r="CJ163" s="41"/>
      <c r="CK163" s="41"/>
      <c r="CL163" s="41"/>
      <c r="CM163" s="41"/>
      <c r="CN163" s="41"/>
      <c r="CO163" s="41"/>
      <c r="CP163" s="41"/>
      <c r="CQ163" s="41"/>
      <c r="CR163" s="41"/>
      <c r="CS163" s="41"/>
      <c r="CT163" s="41"/>
      <c r="CU163" s="41"/>
      <c r="CV163" s="41"/>
      <c r="CW163" s="41"/>
      <c r="CX163" s="41"/>
      <c r="CY163" s="41"/>
      <c r="CZ163" s="211"/>
      <c r="DA163" s="41"/>
      <c r="DB163" s="41"/>
      <c r="DC163" s="41"/>
      <c r="DD163" s="41"/>
      <c r="DE163" s="41"/>
      <c r="DF163" s="41"/>
      <c r="DG163" s="41"/>
      <c r="DH163" s="41"/>
      <c r="DI163" s="41"/>
    </row>
    <row r="164" spans="1:113" ht="12" outlineLevel="1">
      <c r="A164" s="1" t="s">
        <v>602</v>
      </c>
      <c r="B164" s="15" t="s">
        <v>164</v>
      </c>
      <c r="C164" s="40">
        <v>9394</v>
      </c>
      <c r="D164" s="40">
        <v>9384</v>
      </c>
      <c r="E164" s="40">
        <v>9796</v>
      </c>
      <c r="F164" s="40">
        <v>10618</v>
      </c>
      <c r="G164" s="40">
        <v>10551</v>
      </c>
      <c r="H164" s="40">
        <v>28243</v>
      </c>
      <c r="I164" s="40">
        <v>31519</v>
      </c>
      <c r="J164" s="40">
        <v>33123</v>
      </c>
      <c r="K164" s="40">
        <v>34859</v>
      </c>
      <c r="L164" s="40">
        <v>34961</v>
      </c>
      <c r="M164" s="40">
        <v>37845</v>
      </c>
      <c r="N164" s="40">
        <v>40841</v>
      </c>
      <c r="O164" s="40">
        <v>42350</v>
      </c>
      <c r="P164" s="40">
        <v>45401</v>
      </c>
      <c r="Q164" s="40">
        <v>45307</v>
      </c>
      <c r="R164" s="40">
        <v>45573</v>
      </c>
      <c r="S164" s="40">
        <v>44689</v>
      </c>
      <c r="T164" s="40">
        <v>42021</v>
      </c>
      <c r="U164" s="40">
        <v>41554</v>
      </c>
      <c r="V164" s="40">
        <v>40202</v>
      </c>
      <c r="W164" s="40">
        <v>42562</v>
      </c>
      <c r="X164" s="40">
        <v>42681</v>
      </c>
      <c r="Y164" s="40">
        <v>44754</v>
      </c>
      <c r="Z164" s="141">
        <v>46080</v>
      </c>
      <c r="AA164" s="141">
        <v>52785</v>
      </c>
      <c r="AB164" s="141">
        <v>57254</v>
      </c>
      <c r="AC164" s="141">
        <v>55627</v>
      </c>
      <c r="AD164" s="141">
        <v>63311</v>
      </c>
      <c r="AE164" s="141">
        <v>61743</v>
      </c>
      <c r="AF164" s="141">
        <v>63649</v>
      </c>
      <c r="AG164" s="141">
        <v>69927</v>
      </c>
      <c r="AH164" s="141">
        <v>68592</v>
      </c>
      <c r="AI164" s="141">
        <v>70735</v>
      </c>
      <c r="AJ164" s="141">
        <v>73751</v>
      </c>
      <c r="AK164" s="141">
        <v>73833</v>
      </c>
      <c r="AL164" s="141">
        <v>79410</v>
      </c>
      <c r="AM164" s="141">
        <v>78518</v>
      </c>
      <c r="AN164" s="141">
        <v>85301</v>
      </c>
      <c r="AO164" s="141">
        <v>82894</v>
      </c>
      <c r="AP164" s="141">
        <v>87561</v>
      </c>
      <c r="AQ164" s="141">
        <v>94370</v>
      </c>
      <c r="AR164" s="141">
        <v>95794</v>
      </c>
      <c r="AS164" s="141">
        <v>91792</v>
      </c>
      <c r="AT164" s="141">
        <v>97939</v>
      </c>
      <c r="AU164" s="141">
        <v>99928</v>
      </c>
      <c r="AV164" s="141">
        <v>100407</v>
      </c>
      <c r="AW164" s="141">
        <v>102099</v>
      </c>
      <c r="AX164" s="141">
        <v>103090</v>
      </c>
      <c r="AY164" s="226">
        <v>102011</v>
      </c>
      <c r="AZ164" s="41">
        <f>AY164*AY$19/AZ$19*(1+AZ56)</f>
        <v>108066.04520243521</v>
      </c>
      <c r="BA164" s="41">
        <f>AZ164*AZ$19/BA$19*(1+BA56)</f>
        <v>107253.41129325927</v>
      </c>
      <c r="BB164" s="41">
        <f t="shared" ref="BB164:BB165" si="1799">BA164*BA$19/BB$19*(1+BB56)</f>
        <v>106789.34708633003</v>
      </c>
      <c r="BC164" s="41">
        <f t="shared" ref="BC164:BC165" si="1800">BB164*BB$19/BC$19*(1+BC56)</f>
        <v>108114.2492264527</v>
      </c>
      <c r="BD164" s="41">
        <f t="shared" ref="BD164:BD165" si="1801">BC164*BC$19/BD$19*(1+BD56)</f>
        <v>109026.74488775917</v>
      </c>
      <c r="BE164" s="41">
        <f t="shared" ref="BE164:BE165" si="1802">BD164*BD$19/BE$19*(1+BE56)</f>
        <v>109531.5133922338</v>
      </c>
      <c r="BF164" s="41">
        <f t="shared" ref="BF164:BF165" si="1803">BE164*BE$19/BF$19*(1+BF56)</f>
        <v>110198.97082565769</v>
      </c>
      <c r="BG164" s="41">
        <f t="shared" ref="BG164:BK165" si="1804">BF164*BF$19/BG$19*(1+BG56)</f>
        <v>111047.94888552657</v>
      </c>
      <c r="BH164" s="41">
        <f t="shared" si="1804"/>
        <v>112184.21324780352</v>
      </c>
      <c r="BI164" s="41">
        <f t="shared" si="1804"/>
        <v>113388.86727673134</v>
      </c>
      <c r="BJ164" s="41">
        <f t="shared" si="1804"/>
        <v>115156.23030512781</v>
      </c>
      <c r="BK164" s="41">
        <f t="shared" si="1804"/>
        <v>117470.87053426089</v>
      </c>
      <c r="BL164" s="41">
        <f t="shared" ref="BL164:BL165" si="1805">BK164*BK$19/BL$19*(1+BL56)</f>
        <v>119832.03503199953</v>
      </c>
      <c r="BM164" s="41">
        <f t="shared" ref="BM164:BM165" si="1806">BL164*BL$19/BM$19*(1+BM56)</f>
        <v>122240.65893614275</v>
      </c>
      <c r="BN164" s="41">
        <f t="shared" ref="BN164:BN165" si="1807">BM164*BM$19/BN$19*(1+BN56)</f>
        <v>124697.69618075922</v>
      </c>
      <c r="BO164" s="41">
        <f t="shared" ref="BO164:BO165" si="1808">BN164*BN$19/BO$19*(1+BO56)</f>
        <v>127204.11987399247</v>
      </c>
      <c r="BP164" s="41">
        <f t="shared" ref="BP164:BP165" si="1809">BO164*BO$19/BP$19*(1+BP56)</f>
        <v>129760.92268345974</v>
      </c>
      <c r="BQ164" s="41">
        <f t="shared" ref="BQ164:BQ165" si="1810">BP164*BP$19/BQ$19*(1+BQ56)</f>
        <v>132369.11722939726</v>
      </c>
      <c r="BR164" s="41"/>
      <c r="BS164" s="225">
        <f t="shared" ref="BS164:BX164" si="1811">BS167*BT164/BT167</f>
        <v>4345.8013376269491</v>
      </c>
      <c r="BT164" s="225">
        <f t="shared" si="1811"/>
        <v>4545.454545454545</v>
      </c>
      <c r="BU164" s="225">
        <f t="shared" si="1811"/>
        <v>4556.1060193212779</v>
      </c>
      <c r="BV164" s="225">
        <f t="shared" si="1811"/>
        <v>5702.749566509784</v>
      </c>
      <c r="BW164" s="225">
        <f t="shared" si="1811"/>
        <v>6646.0242754520677</v>
      </c>
      <c r="BX164" s="225">
        <f t="shared" si="1811"/>
        <v>7543.2251672033681</v>
      </c>
      <c r="BY164" s="225">
        <f>BY167*BZ164/BZ167</f>
        <v>8232.8461729006685</v>
      </c>
      <c r="BZ164" s="40">
        <v>8000</v>
      </c>
      <c r="CA164" s="40">
        <v>8487</v>
      </c>
      <c r="CB164" s="40">
        <v>9394</v>
      </c>
      <c r="CC164" s="41">
        <f>E164</f>
        <v>9796</v>
      </c>
      <c r="CD164" s="41">
        <f>G164</f>
        <v>10551</v>
      </c>
      <c r="CE164" s="41">
        <f>I164</f>
        <v>31519</v>
      </c>
      <c r="CF164" s="41">
        <f>K164</f>
        <v>34859</v>
      </c>
      <c r="CG164" s="41">
        <f>M164</f>
        <v>37845</v>
      </c>
      <c r="CH164" s="41">
        <f>O164</f>
        <v>42350</v>
      </c>
      <c r="CI164" s="41">
        <f>Q164</f>
        <v>45307</v>
      </c>
      <c r="CJ164" s="41">
        <f>S164</f>
        <v>44689</v>
      </c>
      <c r="CK164" s="41">
        <f>U164</f>
        <v>41554</v>
      </c>
      <c r="CL164" s="41">
        <f>W164</f>
        <v>42562</v>
      </c>
      <c r="CM164" s="41">
        <f>Y164</f>
        <v>44754</v>
      </c>
      <c r="CN164" s="41">
        <f>AA164</f>
        <v>52785</v>
      </c>
      <c r="CO164" s="41">
        <f>AC164</f>
        <v>55627</v>
      </c>
      <c r="CP164" s="41">
        <f>AE164</f>
        <v>61743</v>
      </c>
      <c r="CQ164" s="41">
        <f>AG164</f>
        <v>69927</v>
      </c>
      <c r="CR164" s="41">
        <f>AI164</f>
        <v>70735</v>
      </c>
      <c r="CS164" s="41">
        <f>AK164</f>
        <v>73833</v>
      </c>
      <c r="CT164" s="41">
        <f>AM164</f>
        <v>78518</v>
      </c>
      <c r="CU164" s="41">
        <f>AO164</f>
        <v>82894</v>
      </c>
      <c r="CV164" s="41">
        <f>AQ164</f>
        <v>94370</v>
      </c>
      <c r="CW164" s="41">
        <f>AS164</f>
        <v>91792</v>
      </c>
      <c r="CX164" s="41">
        <f>AU164</f>
        <v>99928</v>
      </c>
      <c r="CY164" s="41">
        <f>AW164</f>
        <v>102099</v>
      </c>
      <c r="CZ164" s="211">
        <f>AY164</f>
        <v>102011</v>
      </c>
      <c r="DA164" s="41">
        <f>BA164</f>
        <v>107253.41129325927</v>
      </c>
      <c r="DB164" s="41">
        <f>BC164</f>
        <v>108114.2492264527</v>
      </c>
      <c r="DC164" s="41">
        <f>BE164</f>
        <v>109531.5133922338</v>
      </c>
      <c r="DD164" s="41">
        <f>BG164</f>
        <v>111047.94888552657</v>
      </c>
      <c r="DE164" s="41">
        <f>BI164</f>
        <v>113388.86727673134</v>
      </c>
      <c r="DF164" s="41">
        <f>BK164</f>
        <v>117470.87053426089</v>
      </c>
      <c r="DG164" s="41">
        <f>BM164</f>
        <v>122240.65893614275</v>
      </c>
      <c r="DH164" s="41">
        <f>BO164</f>
        <v>127204.11987399247</v>
      </c>
      <c r="DI164" s="41">
        <f>BQ164</f>
        <v>132369.11722939726</v>
      </c>
    </row>
    <row r="165" spans="1:113" ht="12" outlineLevel="1">
      <c r="A165" s="1" t="s">
        <v>603</v>
      </c>
      <c r="B165" s="15" t="s">
        <v>409</v>
      </c>
      <c r="C165" s="41">
        <f t="shared" ref="C165:L165" si="1812">C167-C164-C166</f>
        <v>8502</v>
      </c>
      <c r="D165" s="41">
        <f t="shared" si="1812"/>
        <v>8658</v>
      </c>
      <c r="E165" s="41">
        <f t="shared" si="1812"/>
        <v>8839</v>
      </c>
      <c r="F165" s="41">
        <f t="shared" si="1812"/>
        <v>10330</v>
      </c>
      <c r="G165" s="41">
        <f t="shared" si="1812"/>
        <v>9887</v>
      </c>
      <c r="H165" s="41">
        <f t="shared" si="1812"/>
        <v>23382</v>
      </c>
      <c r="I165" s="41">
        <f t="shared" si="1812"/>
        <v>25670</v>
      </c>
      <c r="J165" s="41">
        <f t="shared" si="1812"/>
        <v>26890</v>
      </c>
      <c r="K165" s="41">
        <f t="shared" si="1812"/>
        <v>28505</v>
      </c>
      <c r="L165" s="41">
        <f t="shared" si="1812"/>
        <v>28042</v>
      </c>
      <c r="M165" s="41">
        <f t="shared" ref="M165:X165" si="1813">M167-M164-M166</f>
        <v>30003</v>
      </c>
      <c r="N165" s="41">
        <f t="shared" si="1813"/>
        <v>31107</v>
      </c>
      <c r="O165" s="41">
        <f t="shared" si="1813"/>
        <v>32493</v>
      </c>
      <c r="P165" s="41">
        <f t="shared" si="1813"/>
        <v>34222</v>
      </c>
      <c r="Q165" s="41">
        <f t="shared" si="1813"/>
        <v>36278</v>
      </c>
      <c r="R165" s="41">
        <f t="shared" si="1813"/>
        <v>35801</v>
      </c>
      <c r="S165" s="41">
        <f t="shared" si="1813"/>
        <v>35013</v>
      </c>
      <c r="T165" s="41">
        <f t="shared" si="1813"/>
        <v>32399</v>
      </c>
      <c r="U165" s="41">
        <f t="shared" si="1813"/>
        <v>31796</v>
      </c>
      <c r="V165" s="41">
        <f t="shared" si="1813"/>
        <v>30189</v>
      </c>
      <c r="W165" s="41">
        <f t="shared" si="1813"/>
        <v>31058</v>
      </c>
      <c r="X165" s="41">
        <f t="shared" si="1813"/>
        <v>31212</v>
      </c>
      <c r="Y165" s="41">
        <f t="shared" ref="Y165:AE165" si="1814">Y167-Y164-Y166</f>
        <v>31864</v>
      </c>
      <c r="Z165" s="41">
        <f t="shared" si="1814"/>
        <v>32171</v>
      </c>
      <c r="AA165" s="41">
        <f t="shared" si="1814"/>
        <v>35785</v>
      </c>
      <c r="AB165" s="41">
        <f t="shared" si="1814"/>
        <v>38143</v>
      </c>
      <c r="AC165" s="41">
        <f t="shared" si="1814"/>
        <v>37539</v>
      </c>
      <c r="AD165" s="41">
        <f t="shared" si="1814"/>
        <v>42641</v>
      </c>
      <c r="AE165" s="41">
        <f t="shared" si="1814"/>
        <v>41102</v>
      </c>
      <c r="AF165" s="41">
        <f t="shared" ref="AF165:AG165" si="1815">AF167-AF164-AF166</f>
        <v>41127</v>
      </c>
      <c r="AG165" s="41">
        <f t="shared" si="1815"/>
        <v>43968</v>
      </c>
      <c r="AH165" s="41">
        <f t="shared" ref="AH165:AI165" si="1816">AH167-AH164-AH166</f>
        <v>42718</v>
      </c>
      <c r="AI165" s="41">
        <f t="shared" si="1816"/>
        <v>43106</v>
      </c>
      <c r="AJ165" s="41">
        <f t="shared" ref="AJ165:AK165" si="1817">AJ167-AJ164-AJ166</f>
        <v>43708</v>
      </c>
      <c r="AK165" s="41">
        <f t="shared" si="1817"/>
        <v>42926</v>
      </c>
      <c r="AL165" s="41">
        <f t="shared" ref="AL165:AM165" si="1818">AL167-AL164-AL166</f>
        <v>45724</v>
      </c>
      <c r="AM165" s="41">
        <f t="shared" si="1818"/>
        <v>43893</v>
      </c>
      <c r="AN165" s="41">
        <f t="shared" ref="AN165:AO165" si="1819">AN167-AN164-AN166</f>
        <v>45963</v>
      </c>
      <c r="AO165" s="41">
        <f t="shared" si="1819"/>
        <v>39381</v>
      </c>
      <c r="AP165" s="41">
        <f t="shared" ref="AP165:AQ165" si="1820">AP167-AP164-AP166</f>
        <v>37989</v>
      </c>
      <c r="AQ165" s="41">
        <f t="shared" si="1820"/>
        <v>39462</v>
      </c>
      <c r="AR165" s="41">
        <f t="shared" ref="AR165:AU165" si="1821">AR167-AR164-AR166</f>
        <v>39336</v>
      </c>
      <c r="AS165" s="41">
        <f t="shared" si="1821"/>
        <v>37185</v>
      </c>
      <c r="AT165" s="41">
        <f t="shared" si="1821"/>
        <v>39260</v>
      </c>
      <c r="AU165" s="41">
        <f t="shared" si="1821"/>
        <v>38463</v>
      </c>
      <c r="AV165" s="41">
        <f t="shared" ref="AV165:AW165" si="1822">AV167-AV164-AV166</f>
        <v>37337</v>
      </c>
      <c r="AW165" s="41">
        <f t="shared" si="1822"/>
        <v>36616</v>
      </c>
      <c r="AX165" s="41">
        <f t="shared" ref="AX165:AY165" si="1823">AX167-AX164-AX166</f>
        <v>35863</v>
      </c>
      <c r="AY165" s="211">
        <f t="shared" si="1823"/>
        <v>36611</v>
      </c>
      <c r="AZ165" s="41">
        <f t="shared" ref="AZ165" si="1824">AY165*AY$19/AZ$19*(1+AZ57)</f>
        <v>36350.640832821104</v>
      </c>
      <c r="BA165" s="41">
        <f t="shared" ref="BA165" si="1825">AZ165*AZ$19/BA$19*(1+BA57)</f>
        <v>34717.776737315202</v>
      </c>
      <c r="BB165" s="41">
        <f t="shared" si="1799"/>
        <v>33003.548345684365</v>
      </c>
      <c r="BC165" s="41">
        <f t="shared" si="1800"/>
        <v>31901.239155361105</v>
      </c>
      <c r="BD165" s="41">
        <f t="shared" si="1801"/>
        <v>31346.904236101993</v>
      </c>
      <c r="BE165" s="41">
        <f t="shared" si="1802"/>
        <v>30995.138887142726</v>
      </c>
      <c r="BF165" s="41">
        <f t="shared" si="1803"/>
        <v>30691.981245607338</v>
      </c>
      <c r="BG165" s="41">
        <f t="shared" si="1804"/>
        <v>30440.432182764354</v>
      </c>
      <c r="BH165" s="41">
        <f t="shared" si="1804"/>
        <v>30508.807539548459</v>
      </c>
      <c r="BI165" s="41">
        <f t="shared" si="1804"/>
        <v>30592.651356769064</v>
      </c>
      <c r="BJ165" s="41">
        <f t="shared" si="1804"/>
        <v>30823.883460450965</v>
      </c>
      <c r="BK165" s="41">
        <f t="shared" si="1804"/>
        <v>31194.879721780952</v>
      </c>
      <c r="BL165" s="41">
        <f t="shared" si="1805"/>
        <v>31570.341294112302</v>
      </c>
      <c r="BM165" s="41">
        <f t="shared" si="1806"/>
        <v>31950.321921928236</v>
      </c>
      <c r="BN165" s="41">
        <f t="shared" si="1807"/>
        <v>32334.875996580562</v>
      </c>
      <c r="BO165" s="41">
        <f t="shared" si="1808"/>
        <v>32724.058564075403</v>
      </c>
      <c r="BP165" s="41">
        <f t="shared" si="1809"/>
        <v>33117.925332952611</v>
      </c>
      <c r="BQ165" s="41">
        <f t="shared" si="1810"/>
        <v>33516.532682260025</v>
      </c>
      <c r="BR165" s="41"/>
      <c r="BS165" s="369">
        <f t="shared" ref="BS165:CB165" si="1826">BS167-BS164-BS166</f>
        <v>4037.7926678226386</v>
      </c>
      <c r="BT165" s="369">
        <f t="shared" si="1826"/>
        <v>4223.2954545454522</v>
      </c>
      <c r="BU165" s="369">
        <f t="shared" si="1826"/>
        <v>4233.1920052018813</v>
      </c>
      <c r="BV165" s="369">
        <f t="shared" si="1826"/>
        <v>5298.5671909834009</v>
      </c>
      <c r="BW165" s="369">
        <f t="shared" si="1826"/>
        <v>6174.9873049294019</v>
      </c>
      <c r="BX165" s="369">
        <f t="shared" si="1826"/>
        <v>7008.5990834778295</v>
      </c>
      <c r="BY165" s="369">
        <f t="shared" si="1826"/>
        <v>7649.3432003963335</v>
      </c>
      <c r="BZ165" s="41">
        <f t="shared" si="1826"/>
        <v>7433</v>
      </c>
      <c r="CA165" s="41">
        <f t="shared" si="1826"/>
        <v>7690</v>
      </c>
      <c r="CB165" s="41">
        <f t="shared" si="1826"/>
        <v>8502</v>
      </c>
      <c r="CC165" s="41">
        <f>E165</f>
        <v>8839</v>
      </c>
      <c r="CD165" s="41">
        <f>G165</f>
        <v>9887</v>
      </c>
      <c r="CE165" s="41">
        <f>I165</f>
        <v>25670</v>
      </c>
      <c r="CF165" s="41">
        <f>K165</f>
        <v>28505</v>
      </c>
      <c r="CG165" s="41">
        <f>M165</f>
        <v>30003</v>
      </c>
      <c r="CH165" s="41">
        <f>O165</f>
        <v>32493</v>
      </c>
      <c r="CI165" s="41">
        <f>Q165</f>
        <v>36278</v>
      </c>
      <c r="CJ165" s="41">
        <f>S165</f>
        <v>35013</v>
      </c>
      <c r="CK165" s="41">
        <f>U165</f>
        <v>31796</v>
      </c>
      <c r="CL165" s="41">
        <f>W165</f>
        <v>31058</v>
      </c>
      <c r="CM165" s="41">
        <f>Y165</f>
        <v>31864</v>
      </c>
      <c r="CN165" s="41">
        <f>AA165</f>
        <v>35785</v>
      </c>
      <c r="CO165" s="41">
        <f>AC165</f>
        <v>37539</v>
      </c>
      <c r="CP165" s="41">
        <f>AE165</f>
        <v>41102</v>
      </c>
      <c r="CQ165" s="41">
        <f>AG165</f>
        <v>43968</v>
      </c>
      <c r="CR165" s="41">
        <f>AI165</f>
        <v>43106</v>
      </c>
      <c r="CS165" s="41">
        <f>AK165</f>
        <v>42926</v>
      </c>
      <c r="CT165" s="41">
        <f>AM165</f>
        <v>43893</v>
      </c>
      <c r="CU165" s="41">
        <f>AO165</f>
        <v>39381</v>
      </c>
      <c r="CV165" s="41">
        <f>AQ165</f>
        <v>39462</v>
      </c>
      <c r="CW165" s="41">
        <f>AS165</f>
        <v>37185</v>
      </c>
      <c r="CX165" s="41">
        <f>AU165</f>
        <v>38463</v>
      </c>
      <c r="CY165" s="41">
        <f>AW165</f>
        <v>36616</v>
      </c>
      <c r="CZ165" s="211">
        <f>AY165</f>
        <v>36611</v>
      </c>
      <c r="DA165" s="41">
        <f>BA165</f>
        <v>34717.776737315202</v>
      </c>
      <c r="DB165" s="41">
        <f>BC165</f>
        <v>31901.239155361105</v>
      </c>
      <c r="DC165" s="41">
        <f>BE165</f>
        <v>30995.138887142726</v>
      </c>
      <c r="DD165" s="41">
        <f>BG165</f>
        <v>30440.432182764354</v>
      </c>
      <c r="DE165" s="41">
        <f>BI165</f>
        <v>30592.651356769064</v>
      </c>
      <c r="DF165" s="41">
        <f>BK165</f>
        <v>31194.879721780952</v>
      </c>
      <c r="DG165" s="41">
        <f>BM165</f>
        <v>31950.321921928236</v>
      </c>
      <c r="DH165" s="41">
        <f>BO165</f>
        <v>32724.058564075403</v>
      </c>
      <c r="DI165" s="41">
        <f>BQ165</f>
        <v>33516.532682260025</v>
      </c>
    </row>
    <row r="166" spans="1:113" ht="12" outlineLevel="1">
      <c r="A166" s="1" t="s">
        <v>604</v>
      </c>
      <c r="B166" s="15" t="s">
        <v>167</v>
      </c>
      <c r="C166" s="40">
        <v>409</v>
      </c>
      <c r="D166" s="40">
        <v>425</v>
      </c>
      <c r="E166" s="40">
        <v>462</v>
      </c>
      <c r="F166" s="40">
        <v>515</v>
      </c>
      <c r="G166" s="40">
        <v>491</v>
      </c>
      <c r="H166" s="40">
        <v>983</v>
      </c>
      <c r="I166" s="40">
        <v>1032</v>
      </c>
      <c r="J166" s="40">
        <v>1043</v>
      </c>
      <c r="K166" s="40">
        <v>1026</v>
      </c>
      <c r="L166" s="40">
        <v>1033</v>
      </c>
      <c r="M166" s="40">
        <v>1081</v>
      </c>
      <c r="N166" s="40">
        <v>1152</v>
      </c>
      <c r="O166" s="40">
        <v>1149</v>
      </c>
      <c r="P166" s="40">
        <v>1222</v>
      </c>
      <c r="Q166" s="40">
        <v>1201</v>
      </c>
      <c r="R166" s="40">
        <v>1184</v>
      </c>
      <c r="S166" s="40">
        <v>1151</v>
      </c>
      <c r="T166" s="40">
        <v>1098</v>
      </c>
      <c r="U166" s="40">
        <v>1056</v>
      </c>
      <c r="V166" s="40">
        <v>1020</v>
      </c>
      <c r="W166" s="40">
        <v>1074</v>
      </c>
      <c r="X166" s="40">
        <v>1110</v>
      </c>
      <c r="Y166" s="40">
        <v>1113</v>
      </c>
      <c r="Z166" s="141">
        <v>1135</v>
      </c>
      <c r="AA166" s="141">
        <v>1297</v>
      </c>
      <c r="AB166" s="141">
        <v>1430</v>
      </c>
      <c r="AC166" s="141">
        <v>1408</v>
      </c>
      <c r="AD166" s="141">
        <v>1609</v>
      </c>
      <c r="AE166" s="141">
        <v>1535</v>
      </c>
      <c r="AF166" s="141">
        <v>1517</v>
      </c>
      <c r="AG166" s="141">
        <v>1586</v>
      </c>
      <c r="AH166" s="141">
        <v>1503</v>
      </c>
      <c r="AI166" s="141">
        <v>1508</v>
      </c>
      <c r="AJ166" s="141">
        <v>1558</v>
      </c>
      <c r="AK166" s="141">
        <v>1506</v>
      </c>
      <c r="AL166" s="141">
        <v>1552</v>
      </c>
      <c r="AM166" s="141">
        <v>1453</v>
      </c>
      <c r="AN166" s="141">
        <v>1389</v>
      </c>
      <c r="AO166" s="141">
        <v>1204</v>
      </c>
      <c r="AP166" s="141">
        <v>1181</v>
      </c>
      <c r="AQ166" s="141">
        <v>1077</v>
      </c>
      <c r="AR166" s="141">
        <v>1087</v>
      </c>
      <c r="AS166" s="141">
        <v>1091</v>
      </c>
      <c r="AT166" s="141">
        <v>1184</v>
      </c>
      <c r="AU166" s="141">
        <v>1174</v>
      </c>
      <c r="AV166" s="141">
        <v>1163</v>
      </c>
      <c r="AW166" s="141">
        <v>1142</v>
      </c>
      <c r="AX166" s="141">
        <v>1126</v>
      </c>
      <c r="AY166" s="226">
        <v>1080</v>
      </c>
      <c r="AZ166" s="41">
        <f t="shared" ref="AZ166" si="1827">AY166*AY$19/AZ$19*(1+AZ57)</f>
        <v>1072.3195787999998</v>
      </c>
      <c r="BA166" s="41">
        <f t="shared" ref="BA166" si="1828">AZ166*AZ$19/BA$19*(1+BA57)</f>
        <v>1024.1511806916069</v>
      </c>
      <c r="BB166" s="41">
        <f t="shared" ref="BB166" si="1829">BA166*BA$19/BB$19*(1+BB57)</f>
        <v>973.58259029633518</v>
      </c>
      <c r="BC166" s="41">
        <f t="shared" ref="BC166" si="1830">BB166*BB$19/BC$19*(1+BC57)</f>
        <v>941.06520684466454</v>
      </c>
      <c r="BD166" s="41">
        <f t="shared" ref="BD166" si="1831">BC166*BC$19/BD$19*(1+BD57)</f>
        <v>924.71269768621914</v>
      </c>
      <c r="BE166" s="41">
        <f t="shared" ref="BE166" si="1832">BD166*BD$19/BE$19*(1+BE57)</f>
        <v>914.33585529251206</v>
      </c>
      <c r="BF166" s="41">
        <f t="shared" ref="BF166" si="1833">BE166*BE$19/BF$19*(1+BF57)</f>
        <v>905.39290773963967</v>
      </c>
      <c r="BG166" s="41">
        <f t="shared" ref="BG166:BK166" si="1834">BF166*BF$19/BG$19*(1+BG57)</f>
        <v>897.97237872184667</v>
      </c>
      <c r="BH166" s="41">
        <f t="shared" si="1834"/>
        <v>899.98940599034063</v>
      </c>
      <c r="BI166" s="41">
        <f t="shared" si="1834"/>
        <v>902.46274249025191</v>
      </c>
      <c r="BJ166" s="41">
        <f t="shared" si="1834"/>
        <v>909.283934808857</v>
      </c>
      <c r="BK166" s="41">
        <f t="shared" si="1834"/>
        <v>920.22807624821633</v>
      </c>
      <c r="BL166" s="41">
        <f t="shared" ref="BL166" si="1835">BK166*BK$19/BL$19*(1+BL57)</f>
        <v>931.30394137393967</v>
      </c>
      <c r="BM166" s="41">
        <f t="shared" ref="BM166" si="1836">BL166*BL$19/BM$19*(1+BM57)</f>
        <v>942.51311561231637</v>
      </c>
      <c r="BN166" s="41">
        <f t="shared" ref="BN166" si="1837">BM166*BM$19/BN$19*(1+BN57)</f>
        <v>953.85720347182621</v>
      </c>
      <c r="BO166" s="41">
        <f t="shared" ref="BO166" si="1838">BN166*BN$19/BO$19*(1+BO57)</f>
        <v>965.33782877281305</v>
      </c>
      <c r="BP166" s="41">
        <f t="shared" ref="BP166" si="1839">BO166*BO$19/BP$19*(1+BP57)</f>
        <v>976.95663487992249</v>
      </c>
      <c r="BQ166" s="41">
        <f t="shared" ref="BQ166" si="1840">BP166*BP$19/BQ$19*(1+BQ57)</f>
        <v>988.71528493733717</v>
      </c>
      <c r="BR166" s="41"/>
      <c r="BS166" s="225">
        <f t="shared" ref="BS166:BX166" si="1841">BS167*BT166/BT167</f>
        <v>135.2630666336388</v>
      </c>
      <c r="BT166" s="225">
        <f t="shared" si="1841"/>
        <v>141.47727272727269</v>
      </c>
      <c r="BU166" s="225">
        <f t="shared" si="1841"/>
        <v>141.80879985137474</v>
      </c>
      <c r="BV166" s="225">
        <f t="shared" si="1841"/>
        <v>177.49808025761698</v>
      </c>
      <c r="BW166" s="225">
        <f t="shared" si="1841"/>
        <v>206.85750557344556</v>
      </c>
      <c r="BX166" s="225">
        <f t="shared" si="1841"/>
        <v>234.78288332920482</v>
      </c>
      <c r="BY166" s="225">
        <f>BY167*BZ166/BZ167</f>
        <v>256.2473371315333</v>
      </c>
      <c r="BZ166" s="40">
        <v>249</v>
      </c>
      <c r="CA166" s="40">
        <v>311</v>
      </c>
      <c r="CB166" s="40">
        <v>409</v>
      </c>
      <c r="CC166" s="41">
        <f>E166</f>
        <v>462</v>
      </c>
      <c r="CD166" s="41">
        <f>G166</f>
        <v>491</v>
      </c>
      <c r="CE166" s="41">
        <f>I166</f>
        <v>1032</v>
      </c>
      <c r="CF166" s="41">
        <f>K166</f>
        <v>1026</v>
      </c>
      <c r="CG166" s="41">
        <f>M166</f>
        <v>1081</v>
      </c>
      <c r="CH166" s="41">
        <f>O166</f>
        <v>1149</v>
      </c>
      <c r="CI166" s="41">
        <f>Q166</f>
        <v>1201</v>
      </c>
      <c r="CJ166" s="41">
        <f>S166</f>
        <v>1151</v>
      </c>
      <c r="CK166" s="41">
        <f>U166</f>
        <v>1056</v>
      </c>
      <c r="CL166" s="41">
        <f>W166</f>
        <v>1074</v>
      </c>
      <c r="CM166" s="41">
        <f>Y166</f>
        <v>1113</v>
      </c>
      <c r="CN166" s="41">
        <f>AA166</f>
        <v>1297</v>
      </c>
      <c r="CO166" s="41">
        <f>AC166</f>
        <v>1408</v>
      </c>
      <c r="CP166" s="41">
        <f>AE166</f>
        <v>1535</v>
      </c>
      <c r="CQ166" s="41">
        <f>AG166</f>
        <v>1586</v>
      </c>
      <c r="CR166" s="41">
        <f>AI166</f>
        <v>1508</v>
      </c>
      <c r="CS166" s="41">
        <f>AK166</f>
        <v>1506</v>
      </c>
      <c r="CT166" s="41">
        <f>AM166</f>
        <v>1453</v>
      </c>
      <c r="CU166" s="41">
        <f>AO166</f>
        <v>1204</v>
      </c>
      <c r="CV166" s="41">
        <f>AQ166</f>
        <v>1077</v>
      </c>
      <c r="CW166" s="41">
        <f>AS166</f>
        <v>1091</v>
      </c>
      <c r="CX166" s="41">
        <f>AU166</f>
        <v>1174</v>
      </c>
      <c r="CY166" s="41">
        <f>AW166</f>
        <v>1142</v>
      </c>
      <c r="CZ166" s="211">
        <f>AY166</f>
        <v>1080</v>
      </c>
      <c r="DA166" s="41">
        <f>BA166</f>
        <v>1024.1511806916069</v>
      </c>
      <c r="DB166" s="41">
        <f>BC166</f>
        <v>941.06520684466454</v>
      </c>
      <c r="DC166" s="41">
        <f>BE166</f>
        <v>914.33585529251206</v>
      </c>
      <c r="DD166" s="41">
        <f>BG166</f>
        <v>897.97237872184667</v>
      </c>
      <c r="DE166" s="41">
        <f>BI166</f>
        <v>902.46274249025191</v>
      </c>
      <c r="DF166" s="41">
        <f>BK166</f>
        <v>920.22807624821633</v>
      </c>
      <c r="DG166" s="41">
        <f>BM166</f>
        <v>942.51311561231637</v>
      </c>
      <c r="DH166" s="41">
        <f>BO166</f>
        <v>965.33782877281305</v>
      </c>
      <c r="DI166" s="41">
        <f>BQ166</f>
        <v>988.71528493733717</v>
      </c>
    </row>
    <row r="167" spans="1:113" s="17" customFormat="1" ht="12" outlineLevel="1">
      <c r="A167" s="1" t="s">
        <v>605</v>
      </c>
      <c r="B167" s="17" t="s">
        <v>168</v>
      </c>
      <c r="C167" s="61">
        <v>18305</v>
      </c>
      <c r="D167" s="61">
        <v>18467</v>
      </c>
      <c r="E167" s="61">
        <v>19097</v>
      </c>
      <c r="F167" s="61">
        <v>21463</v>
      </c>
      <c r="G167" s="61">
        <v>20929</v>
      </c>
      <c r="H167" s="61">
        <v>52608</v>
      </c>
      <c r="I167" s="61">
        <v>58221</v>
      </c>
      <c r="J167" s="61">
        <v>61056</v>
      </c>
      <c r="K167" s="61">
        <v>64390</v>
      </c>
      <c r="L167" s="61">
        <v>64036</v>
      </c>
      <c r="M167" s="61">
        <v>68929</v>
      </c>
      <c r="N167" s="61">
        <v>73100</v>
      </c>
      <c r="O167" s="61">
        <v>75992</v>
      </c>
      <c r="P167" s="61">
        <v>80845</v>
      </c>
      <c r="Q167" s="61">
        <v>82786</v>
      </c>
      <c r="R167" s="61">
        <v>82558</v>
      </c>
      <c r="S167" s="61">
        <v>80853</v>
      </c>
      <c r="T167" s="61">
        <v>75518</v>
      </c>
      <c r="U167" s="61">
        <v>74406</v>
      </c>
      <c r="V167" s="61">
        <v>71411</v>
      </c>
      <c r="W167" s="61">
        <v>74694</v>
      </c>
      <c r="X167" s="61">
        <v>75003</v>
      </c>
      <c r="Y167" s="61">
        <v>77731</v>
      </c>
      <c r="Z167" s="194">
        <v>79386</v>
      </c>
      <c r="AA167" s="194">
        <v>89867</v>
      </c>
      <c r="AB167" s="194">
        <v>96827</v>
      </c>
      <c r="AC167" s="194">
        <v>94574</v>
      </c>
      <c r="AD167" s="194">
        <v>107561</v>
      </c>
      <c r="AE167" s="194">
        <v>104380</v>
      </c>
      <c r="AF167" s="194">
        <v>106293</v>
      </c>
      <c r="AG167" s="194">
        <v>115481</v>
      </c>
      <c r="AH167" s="194">
        <v>112813</v>
      </c>
      <c r="AI167" s="194">
        <v>115349</v>
      </c>
      <c r="AJ167" s="194">
        <v>119017</v>
      </c>
      <c r="AK167" s="194">
        <v>118265</v>
      </c>
      <c r="AL167" s="194">
        <v>126686</v>
      </c>
      <c r="AM167" s="194">
        <v>123864</v>
      </c>
      <c r="AN167" s="194">
        <v>132653</v>
      </c>
      <c r="AO167" s="194">
        <v>123479</v>
      </c>
      <c r="AP167" s="194">
        <v>126731</v>
      </c>
      <c r="AQ167" s="194">
        <v>134909</v>
      </c>
      <c r="AR167" s="194">
        <v>136217</v>
      </c>
      <c r="AS167" s="194">
        <v>130068</v>
      </c>
      <c r="AT167" s="194">
        <v>138383</v>
      </c>
      <c r="AU167" s="194">
        <v>139565</v>
      </c>
      <c r="AV167" s="194">
        <v>138907</v>
      </c>
      <c r="AW167" s="194">
        <v>139857</v>
      </c>
      <c r="AX167" s="194">
        <v>140079</v>
      </c>
      <c r="AY167" s="227">
        <v>139702</v>
      </c>
      <c r="AZ167" s="62">
        <f t="shared" ref="AZ167:BA167" si="1842">SUM(AZ164:AZ166)</f>
        <v>145489.00561405631</v>
      </c>
      <c r="BA167" s="62">
        <f t="shared" si="1842"/>
        <v>142995.33921126608</v>
      </c>
      <c r="BB167" s="62">
        <f t="shared" ref="BB167:BC167" si="1843">SUM(BB164:BB166)</f>
        <v>140766.47802231074</v>
      </c>
      <c r="BC167" s="62">
        <f t="shared" si="1843"/>
        <v>140956.55358865845</v>
      </c>
      <c r="BD167" s="62">
        <f t="shared" ref="BD167:BE167" si="1844">SUM(BD164:BD166)</f>
        <v>141298.36182154738</v>
      </c>
      <c r="BE167" s="62">
        <f t="shared" si="1844"/>
        <v>141440.98813466902</v>
      </c>
      <c r="BF167" s="62">
        <f t="shared" ref="BF167:BG167" si="1845">SUM(BF164:BF166)</f>
        <v>141796.34497900467</v>
      </c>
      <c r="BG167" s="62">
        <f t="shared" si="1845"/>
        <v>142386.35344701275</v>
      </c>
      <c r="BH167" s="62">
        <f t="shared" ref="BH167:BI167" si="1846">SUM(BH164:BH166)</f>
        <v>143593.01019334231</v>
      </c>
      <c r="BI167" s="62">
        <f t="shared" si="1846"/>
        <v>144883.98137599067</v>
      </c>
      <c r="BJ167" s="62">
        <f t="shared" ref="BJ167:BK167" si="1847">SUM(BJ164:BJ166)</f>
        <v>146889.39770038764</v>
      </c>
      <c r="BK167" s="62">
        <f t="shared" si="1847"/>
        <v>149585.97833229008</v>
      </c>
      <c r="BL167" s="62">
        <f t="shared" ref="BL167:BM167" si="1848">SUM(BL164:BL166)</f>
        <v>152333.68026748579</v>
      </c>
      <c r="BM167" s="62">
        <f t="shared" si="1848"/>
        <v>155133.4939736833</v>
      </c>
      <c r="BN167" s="62">
        <f t="shared" ref="BN167:BO167" si="1849">SUM(BN164:BN166)</f>
        <v>157986.42938081161</v>
      </c>
      <c r="BO167" s="62">
        <f t="shared" si="1849"/>
        <v>160893.51626684068</v>
      </c>
      <c r="BP167" s="62">
        <f t="shared" ref="BP167:BQ167" si="1850">SUM(BP164:BP166)</f>
        <v>163855.80465129227</v>
      </c>
      <c r="BQ167" s="62">
        <f t="shared" si="1850"/>
        <v>166874.36519659462</v>
      </c>
      <c r="BR167" s="62"/>
      <c r="BS167" s="384">
        <f>17544*BT167/(BT167+BT173)</f>
        <v>8518.8570720832267</v>
      </c>
      <c r="BT167" s="384">
        <f>18350*BU167/(BU167+BU173)</f>
        <v>8910.2272727272702</v>
      </c>
      <c r="BU167" s="384">
        <f>18393*BV167/(BV167+BV173)</f>
        <v>8931.106824374534</v>
      </c>
      <c r="BV167" s="384">
        <f>23022*BW167/(BW167+BW173)</f>
        <v>11178.814837750802</v>
      </c>
      <c r="BW167" s="384">
        <f>26830*BX167/(BX167+BX173)</f>
        <v>13027.869085954915</v>
      </c>
      <c r="BX167" s="384">
        <f>30452*BY167/(BY167+BY173)</f>
        <v>14786.607134010403</v>
      </c>
      <c r="BY167" s="384">
        <f>33236*BZ167/(BZ167+BZ173)</f>
        <v>16138.436710428536</v>
      </c>
      <c r="BZ167" s="61">
        <v>15682</v>
      </c>
      <c r="CA167" s="61">
        <v>16488</v>
      </c>
      <c r="CB167" s="61">
        <v>18305</v>
      </c>
      <c r="CC167" s="62">
        <f>E167</f>
        <v>19097</v>
      </c>
      <c r="CD167" s="62">
        <f>G167</f>
        <v>20929</v>
      </c>
      <c r="CE167" s="62">
        <f>I167</f>
        <v>58221</v>
      </c>
      <c r="CF167" s="62">
        <f>K167</f>
        <v>64390</v>
      </c>
      <c r="CG167" s="62">
        <f>M167</f>
        <v>68929</v>
      </c>
      <c r="CH167" s="62">
        <f>O167</f>
        <v>75992</v>
      </c>
      <c r="CI167" s="62">
        <f>Q167</f>
        <v>82786</v>
      </c>
      <c r="CJ167" s="62">
        <f>S167</f>
        <v>80853</v>
      </c>
      <c r="CK167" s="62">
        <f>U167</f>
        <v>74406</v>
      </c>
      <c r="CL167" s="62">
        <f>W167</f>
        <v>74694</v>
      </c>
      <c r="CM167" s="62">
        <f>Y167</f>
        <v>77731</v>
      </c>
      <c r="CN167" s="62">
        <f>AA167</f>
        <v>89867</v>
      </c>
      <c r="CO167" s="62">
        <f>AC167</f>
        <v>94574</v>
      </c>
      <c r="CP167" s="62">
        <f>AE167</f>
        <v>104380</v>
      </c>
      <c r="CQ167" s="62">
        <f>AG167</f>
        <v>115481</v>
      </c>
      <c r="CR167" s="62">
        <f>AI167</f>
        <v>115349</v>
      </c>
      <c r="CS167" s="62">
        <f>AK167</f>
        <v>118265</v>
      </c>
      <c r="CT167" s="62">
        <f>AM167</f>
        <v>123864</v>
      </c>
      <c r="CU167" s="62">
        <f>AO167</f>
        <v>123479</v>
      </c>
      <c r="CV167" s="62">
        <f>AQ167</f>
        <v>134909</v>
      </c>
      <c r="CW167" s="62">
        <f>AS167</f>
        <v>130068</v>
      </c>
      <c r="CX167" s="62">
        <f>AU167</f>
        <v>139565</v>
      </c>
      <c r="CY167" s="62">
        <f>AW167</f>
        <v>139857</v>
      </c>
      <c r="CZ167" s="220">
        <f>AY167</f>
        <v>139702</v>
      </c>
      <c r="DA167" s="62">
        <f>BA167</f>
        <v>142995.33921126608</v>
      </c>
      <c r="DB167" s="62">
        <f>BC167</f>
        <v>140956.55358865845</v>
      </c>
      <c r="DC167" s="62">
        <f>BE167</f>
        <v>141440.98813466902</v>
      </c>
      <c r="DD167" s="62">
        <f>BG167</f>
        <v>142386.35344701275</v>
      </c>
      <c r="DE167" s="62">
        <f>BI167</f>
        <v>144883.98137599067</v>
      </c>
      <c r="DF167" s="62">
        <f>BK167</f>
        <v>149585.97833229008</v>
      </c>
      <c r="DG167" s="62">
        <f>BM167</f>
        <v>155133.4939736833</v>
      </c>
      <c r="DH167" s="62">
        <f>BO167</f>
        <v>160893.51626684068</v>
      </c>
      <c r="DI167" s="62">
        <f>BQ167</f>
        <v>166874.36519659462</v>
      </c>
    </row>
    <row r="168" spans="1:113" ht="12" outlineLevel="1">
      <c r="C168" s="41"/>
      <c r="D168" s="41"/>
      <c r="E168" s="41"/>
      <c r="F168" s="41"/>
      <c r="G168" s="41"/>
      <c r="H168" s="41"/>
      <c r="I168" s="41"/>
      <c r="J168" s="41"/>
      <c r="K168" s="41"/>
      <c r="L168" s="41"/>
      <c r="M168" s="41"/>
      <c r="N168" s="41"/>
      <c r="O168" s="41"/>
      <c r="P168" s="41"/>
      <c r="Q168" s="41"/>
      <c r="R168" s="41"/>
      <c r="S168" s="41"/>
      <c r="T168" s="41"/>
      <c r="U168" s="41"/>
      <c r="V168" s="41"/>
      <c r="W168" s="41"/>
      <c r="X168" s="41"/>
      <c r="Y168" s="41"/>
      <c r="Z168" s="41"/>
      <c r="AA168" s="41"/>
      <c r="AB168" s="41"/>
      <c r="AC168" s="41"/>
      <c r="AD168" s="41"/>
      <c r="AE168" s="41"/>
      <c r="AF168" s="41"/>
      <c r="AG168" s="41"/>
      <c r="AH168" s="41"/>
      <c r="AI168" s="41"/>
      <c r="AJ168" s="41"/>
      <c r="AK168" s="41"/>
      <c r="AL168" s="41"/>
      <c r="AM168" s="41"/>
      <c r="AN168" s="41"/>
      <c r="AO168" s="41"/>
      <c r="AP168" s="41"/>
      <c r="AQ168" s="41"/>
      <c r="AR168" s="41"/>
      <c r="AS168" s="41"/>
      <c r="AT168" s="41"/>
      <c r="AU168" s="41"/>
      <c r="AV168" s="41"/>
      <c r="AW168" s="41"/>
      <c r="AX168" s="41"/>
      <c r="AY168" s="211"/>
      <c r="AZ168" s="41"/>
      <c r="BA168" s="41"/>
      <c r="BB168" s="41"/>
      <c r="BC168" s="41"/>
      <c r="BD168" s="41"/>
      <c r="BE168" s="41"/>
      <c r="BF168" s="41"/>
      <c r="BG168" s="41"/>
      <c r="BH168" s="41"/>
      <c r="BI168" s="41"/>
      <c r="BJ168" s="41"/>
      <c r="BK168" s="41"/>
      <c r="BL168" s="41"/>
      <c r="BM168" s="41"/>
      <c r="BN168" s="41"/>
      <c r="BO168" s="41"/>
      <c r="BP168" s="41"/>
      <c r="BQ168" s="41"/>
      <c r="BR168" s="41"/>
      <c r="BS168" s="41"/>
      <c r="BT168" s="41"/>
      <c r="BU168" s="41"/>
      <c r="BV168" s="41"/>
      <c r="BW168" s="41"/>
      <c r="BX168" s="41"/>
      <c r="BY168" s="41"/>
      <c r="BZ168" s="41"/>
      <c r="CA168" s="41"/>
      <c r="CB168" s="41"/>
      <c r="CC168" s="41"/>
      <c r="CD168" s="41"/>
      <c r="CE168" s="41"/>
      <c r="CF168" s="41"/>
      <c r="CG168" s="41"/>
      <c r="CH168" s="41"/>
      <c r="CI168" s="41"/>
      <c r="CJ168" s="41"/>
      <c r="CK168" s="41"/>
      <c r="CL168" s="41"/>
      <c r="CM168" s="41"/>
      <c r="CN168" s="41"/>
      <c r="CO168" s="41"/>
      <c r="CP168" s="41"/>
      <c r="CQ168" s="41"/>
      <c r="CR168" s="41"/>
      <c r="CS168" s="41"/>
      <c r="CT168" s="41"/>
      <c r="CU168" s="41"/>
      <c r="CV168" s="41"/>
      <c r="CW168" s="41"/>
      <c r="CX168" s="41"/>
      <c r="CY168" s="41"/>
      <c r="CZ168" s="211"/>
      <c r="DA168" s="41"/>
      <c r="DB168" s="15"/>
      <c r="DC168" s="15"/>
      <c r="DD168" s="15"/>
      <c r="DE168" s="15"/>
      <c r="DF168" s="15"/>
      <c r="DG168" s="15"/>
      <c r="DH168" s="15"/>
      <c r="DI168" s="15"/>
    </row>
    <row r="169" spans="1:113" ht="12" outlineLevel="1">
      <c r="B169" s="17" t="s">
        <v>342</v>
      </c>
      <c r="C169" s="41"/>
      <c r="D169" s="41"/>
      <c r="E169" s="41"/>
      <c r="F169" s="41"/>
      <c r="G169" s="41"/>
      <c r="H169" s="41"/>
      <c r="I169" s="41"/>
      <c r="J169" s="41"/>
      <c r="K169" s="41"/>
      <c r="L169" s="41"/>
      <c r="M169" s="41"/>
      <c r="N169" s="41"/>
      <c r="O169" s="41"/>
      <c r="P169" s="41"/>
      <c r="Q169" s="41"/>
      <c r="R169" s="41"/>
      <c r="S169" s="41"/>
      <c r="T169" s="41"/>
      <c r="U169" s="41"/>
      <c r="V169" s="41"/>
      <c r="W169" s="41"/>
      <c r="X169" s="41"/>
      <c r="Y169" s="41"/>
      <c r="Z169" s="41"/>
      <c r="AA169" s="41"/>
      <c r="AB169" s="41"/>
      <c r="AC169" s="32"/>
      <c r="AD169" s="41"/>
      <c r="AE169" s="41"/>
      <c r="AF169" s="41"/>
      <c r="AG169" s="41"/>
      <c r="AH169" s="41"/>
      <c r="AI169" s="41"/>
      <c r="AJ169" s="41"/>
      <c r="AK169" s="41"/>
      <c r="AL169" s="41"/>
      <c r="AM169" s="41"/>
      <c r="AN169" s="41"/>
      <c r="AO169" s="41"/>
      <c r="AP169" s="41"/>
      <c r="AQ169" s="41"/>
      <c r="AR169" s="41"/>
      <c r="AS169" s="41"/>
      <c r="AT169" s="41"/>
      <c r="AU169" s="41"/>
      <c r="AV169" s="41"/>
      <c r="AW169" s="41"/>
      <c r="AX169" s="41"/>
      <c r="AY169" s="211"/>
      <c r="AZ169" s="41"/>
      <c r="BA169" s="41"/>
      <c r="BB169" s="41"/>
      <c r="BC169" s="41"/>
      <c r="BD169" s="41"/>
      <c r="BE169" s="41"/>
      <c r="BF169" s="41"/>
      <c r="BG169" s="41"/>
      <c r="BH169" s="41"/>
      <c r="BI169" s="41"/>
      <c r="BJ169" s="41"/>
      <c r="BK169" s="41"/>
      <c r="BL169" s="41"/>
      <c r="BM169" s="41"/>
      <c r="BN169" s="41"/>
      <c r="BO169" s="41"/>
      <c r="BP169" s="41"/>
      <c r="BQ169" s="41"/>
      <c r="BR169" s="41"/>
      <c r="BS169" s="41"/>
      <c r="BT169" s="41"/>
      <c r="BU169" s="41"/>
      <c r="BV169" s="41"/>
      <c r="BW169" s="41"/>
      <c r="BX169" s="41"/>
      <c r="BY169" s="41"/>
      <c r="BZ169" s="41"/>
      <c r="CA169" s="41"/>
      <c r="CB169" s="41"/>
      <c r="CC169" s="41"/>
      <c r="CD169" s="41"/>
      <c r="CE169" s="41"/>
      <c r="CF169" s="41"/>
      <c r="CG169" s="41"/>
      <c r="CH169" s="41"/>
      <c r="CI169" s="41"/>
      <c r="CJ169" s="41"/>
      <c r="CK169" s="41"/>
      <c r="CL169" s="41"/>
      <c r="CM169" s="41"/>
      <c r="CN169" s="41"/>
      <c r="CO169" s="41"/>
      <c r="CP169" s="41"/>
      <c r="CQ169" s="41"/>
      <c r="CR169" s="41"/>
      <c r="CS169" s="41"/>
      <c r="CT169" s="41"/>
      <c r="CU169" s="41"/>
      <c r="CV169" s="41"/>
      <c r="CW169" s="41"/>
      <c r="CX169" s="41"/>
      <c r="CY169" s="41"/>
      <c r="CZ169" s="211"/>
      <c r="DA169" s="41"/>
      <c r="DB169" s="15"/>
      <c r="DC169" s="15"/>
      <c r="DD169" s="15"/>
      <c r="DE169" s="15"/>
      <c r="DF169" s="15"/>
      <c r="DG169" s="15"/>
      <c r="DH169" s="15"/>
      <c r="DI169" s="15"/>
    </row>
    <row r="170" spans="1:113" ht="12" outlineLevel="1">
      <c r="A170" s="1" t="s">
        <v>606</v>
      </c>
      <c r="B170" s="15" t="s">
        <v>164</v>
      </c>
      <c r="C170" s="40">
        <v>320</v>
      </c>
      <c r="D170" s="40">
        <v>297</v>
      </c>
      <c r="E170" s="40">
        <v>323</v>
      </c>
      <c r="F170" s="40">
        <v>338</v>
      </c>
      <c r="G170" s="40">
        <v>361</v>
      </c>
      <c r="H170" s="40">
        <v>385</v>
      </c>
      <c r="I170" s="40">
        <v>464</v>
      </c>
      <c r="J170" s="40">
        <v>519</v>
      </c>
      <c r="K170" s="40">
        <v>592</v>
      </c>
      <c r="L170" s="40">
        <v>693</v>
      </c>
      <c r="M170" s="40">
        <v>766</v>
      </c>
      <c r="N170" s="40">
        <v>847</v>
      </c>
      <c r="O170" s="40">
        <v>1040</v>
      </c>
      <c r="P170" s="40">
        <v>1242</v>
      </c>
      <c r="Q170" s="40">
        <v>1710</v>
      </c>
      <c r="R170" s="40">
        <v>2067</v>
      </c>
      <c r="S170" s="40">
        <v>1749</v>
      </c>
      <c r="T170" s="40">
        <v>1737</v>
      </c>
      <c r="U170" s="40">
        <v>2058</v>
      </c>
      <c r="V170" s="40">
        <v>2368</v>
      </c>
      <c r="W170" s="40">
        <v>2850</v>
      </c>
      <c r="X170" s="40">
        <v>3374</v>
      </c>
      <c r="Y170" s="40">
        <v>3981</v>
      </c>
      <c r="Z170" s="141">
        <v>4494</v>
      </c>
      <c r="AA170" s="141">
        <v>5737</v>
      </c>
      <c r="AB170" s="141">
        <v>6063</v>
      </c>
      <c r="AC170" s="141">
        <v>6639</v>
      </c>
      <c r="AD170" s="141">
        <v>7430</v>
      </c>
      <c r="AE170" s="141">
        <v>7846</v>
      </c>
      <c r="AF170" s="141">
        <v>7226</v>
      </c>
      <c r="AG170" s="141">
        <v>6866</v>
      </c>
      <c r="AH170" s="141">
        <v>6501</v>
      </c>
      <c r="AI170" s="141">
        <v>2469</v>
      </c>
      <c r="AJ170" s="141">
        <v>729</v>
      </c>
      <c r="AK170" s="141">
        <v>767</v>
      </c>
      <c r="AL170" s="141">
        <v>770</v>
      </c>
      <c r="AM170" s="141">
        <v>504</v>
      </c>
      <c r="AN170" s="141">
        <v>531</v>
      </c>
      <c r="AO170" s="141">
        <v>489</v>
      </c>
      <c r="AP170" s="141">
        <v>472</v>
      </c>
      <c r="AQ170" s="141">
        <v>482</v>
      </c>
      <c r="AR170" s="141">
        <v>464</v>
      </c>
      <c r="AS170" s="141">
        <v>490</v>
      </c>
      <c r="AT170" s="141">
        <v>475</v>
      </c>
      <c r="AU170" s="141">
        <v>430</v>
      </c>
      <c r="AV170" s="141">
        <v>431</v>
      </c>
      <c r="AW170" s="141">
        <v>425</v>
      </c>
      <c r="AX170" s="141">
        <v>454</v>
      </c>
      <c r="AY170" s="226">
        <v>452</v>
      </c>
      <c r="AZ170" s="41">
        <f t="shared" ref="AZ170" si="1851">AY170*AY$18/AZ$18*(1+AZ59)</f>
        <v>459.49449481481469</v>
      </c>
      <c r="BA170" s="41">
        <f t="shared" ref="BA170:BA171" si="1852">AZ170*AZ$18/BA$18*(1+BA59)</f>
        <v>485.06035392481198</v>
      </c>
      <c r="BB170" s="41">
        <f t="shared" ref="BB170:BB171" si="1853">BA170*BA$18/BB$18*(1+BB59)</f>
        <v>510.21709623482894</v>
      </c>
      <c r="BC170" s="41">
        <f t="shared" ref="BC170:BC171" si="1854">BB170*BB$18/BC$18*(1+BC59)</f>
        <v>518.79026082583823</v>
      </c>
      <c r="BD170" s="41">
        <f t="shared" ref="BD170:BD171" si="1855">BC170*BC$18/BD$18*(1+BD59)</f>
        <v>527.77004861322348</v>
      </c>
      <c r="BE170" s="41">
        <f t="shared" ref="BE170:BE171" si="1856">BD170*BD$18/BE$18*(1+BE59)</f>
        <v>537.16097474513163</v>
      </c>
      <c r="BF170" s="41">
        <f t="shared" ref="BF170:BF171" si="1857">BE170*BE$18/BF$18*(1+BF59)</f>
        <v>543.55929106481005</v>
      </c>
      <c r="BG170" s="41">
        <f t="shared" ref="BG170:BK171" si="1858">BF170*BF$18/BG$18*(1+BG59)</f>
        <v>547.11501404121248</v>
      </c>
      <c r="BH170" s="41">
        <f t="shared" si="1858"/>
        <v>551.26456168017432</v>
      </c>
      <c r="BI170" s="41">
        <f t="shared" si="1858"/>
        <v>555.98571913536978</v>
      </c>
      <c r="BJ170" s="41">
        <f t="shared" si="1858"/>
        <v>569.61633676578526</v>
      </c>
      <c r="BK170" s="41">
        <f t="shared" si="1858"/>
        <v>592.40099023641665</v>
      </c>
      <c r="BL170" s="41">
        <f t="shared" ref="BL170:BL171" si="1859">BK170*BK$18/BL$18*(1+BL59)</f>
        <v>616.09702984587329</v>
      </c>
      <c r="BM170" s="41">
        <f t="shared" ref="BM170:BM171" si="1860">BL170*BL$18/BM$18*(1+BM59)</f>
        <v>640.74091103970829</v>
      </c>
      <c r="BN170" s="41">
        <f t="shared" ref="BN170:BN171" si="1861">BM170*BM$18/BN$18*(1+BN59)</f>
        <v>666.37054748129663</v>
      </c>
      <c r="BO170" s="41">
        <f t="shared" ref="BO170:BO171" si="1862">BN170*BN$18/BO$18*(1+BO59)</f>
        <v>693.02536938054857</v>
      </c>
      <c r="BP170" s="41">
        <f t="shared" ref="BP170:BP171" si="1863">BO170*BO$18/BP$18*(1+BP59)</f>
        <v>720.74638415577044</v>
      </c>
      <c r="BQ170" s="41">
        <f t="shared" ref="BQ170:BQ171" si="1864">BP170*BP$18/BQ$18*(1+BQ59)</f>
        <v>749.57623952200129</v>
      </c>
      <c r="BR170" s="41"/>
      <c r="BS170" s="225">
        <f t="shared" ref="BS170:BX170" si="1865">BS173*BT170/BT173</f>
        <v>243.90810007431267</v>
      </c>
      <c r="BT170" s="225">
        <f t="shared" si="1865"/>
        <v>255.11363636363643</v>
      </c>
      <c r="BU170" s="225">
        <f t="shared" si="1865"/>
        <v>255.71145033440681</v>
      </c>
      <c r="BV170" s="225">
        <f t="shared" si="1865"/>
        <v>320.06681942036175</v>
      </c>
      <c r="BW170" s="225">
        <f t="shared" si="1865"/>
        <v>373.00811245974745</v>
      </c>
      <c r="BX170" s="225">
        <f t="shared" si="1865"/>
        <v>423.36351250928914</v>
      </c>
      <c r="BY170" s="225">
        <f>BY173*BZ170/BZ173</f>
        <v>462.0684914540501</v>
      </c>
      <c r="BZ170" s="40">
        <v>449</v>
      </c>
      <c r="CA170" s="40">
        <v>370</v>
      </c>
      <c r="CB170" s="40">
        <v>320</v>
      </c>
      <c r="CC170" s="41">
        <f>E170</f>
        <v>323</v>
      </c>
      <c r="CD170" s="41">
        <f>G170</f>
        <v>361</v>
      </c>
      <c r="CE170" s="41">
        <f>I170</f>
        <v>464</v>
      </c>
      <c r="CF170" s="41">
        <f>K170</f>
        <v>592</v>
      </c>
      <c r="CG170" s="41">
        <f>M170</f>
        <v>766</v>
      </c>
      <c r="CH170" s="41">
        <f>O170</f>
        <v>1040</v>
      </c>
      <c r="CI170" s="41">
        <f>Q170</f>
        <v>1710</v>
      </c>
      <c r="CJ170" s="41">
        <f>S170</f>
        <v>1749</v>
      </c>
      <c r="CK170" s="41">
        <f>U170</f>
        <v>2058</v>
      </c>
      <c r="CL170" s="41">
        <f>W170</f>
        <v>2850</v>
      </c>
      <c r="CM170" s="41">
        <f>Y170</f>
        <v>3981</v>
      </c>
      <c r="CN170" s="41">
        <f>AA170</f>
        <v>5737</v>
      </c>
      <c r="CO170" s="41">
        <f>AC170</f>
        <v>6639</v>
      </c>
      <c r="CP170" s="41">
        <f>AE170</f>
        <v>7846</v>
      </c>
      <c r="CQ170" s="41">
        <f>AG170</f>
        <v>6866</v>
      </c>
      <c r="CR170" s="41">
        <f>AI170</f>
        <v>2469</v>
      </c>
      <c r="CS170" s="41">
        <f>AK170</f>
        <v>767</v>
      </c>
      <c r="CT170" s="41">
        <f>AM170</f>
        <v>504</v>
      </c>
      <c r="CU170" s="41">
        <f>AO170</f>
        <v>489</v>
      </c>
      <c r="CV170" s="41">
        <f>AQ170</f>
        <v>482</v>
      </c>
      <c r="CW170" s="41">
        <f>AS170</f>
        <v>490</v>
      </c>
      <c r="CX170" s="41">
        <f>AU170</f>
        <v>430</v>
      </c>
      <c r="CY170" s="41">
        <f>AW170</f>
        <v>425</v>
      </c>
      <c r="CZ170" s="211">
        <f>AY170</f>
        <v>452</v>
      </c>
      <c r="DA170" s="41">
        <f>BA170</f>
        <v>485.06035392481198</v>
      </c>
      <c r="DB170" s="41">
        <f>BC170</f>
        <v>518.79026082583823</v>
      </c>
      <c r="DC170" s="41">
        <f>BE170</f>
        <v>537.16097474513163</v>
      </c>
      <c r="DD170" s="41">
        <f>BG170</f>
        <v>547.11501404121248</v>
      </c>
      <c r="DE170" s="41">
        <f>BI170</f>
        <v>555.98571913536978</v>
      </c>
      <c r="DF170" s="41">
        <f>BK170</f>
        <v>592.40099023641665</v>
      </c>
      <c r="DG170" s="41">
        <f>BM170</f>
        <v>640.74091103970829</v>
      </c>
      <c r="DH170" s="41">
        <f>BO170</f>
        <v>693.02536938054857</v>
      </c>
      <c r="DI170" s="41">
        <f>BQ170</f>
        <v>749.57623952200129</v>
      </c>
    </row>
    <row r="171" spans="1:113" ht="12" outlineLevel="1">
      <c r="A171" s="1" t="s">
        <v>735</v>
      </c>
      <c r="B171" s="15" t="s">
        <v>409</v>
      </c>
      <c r="C171" s="41">
        <f t="shared" ref="C171:L171" si="1866">C173-C170-C172</f>
        <v>15540</v>
      </c>
      <c r="D171" s="41">
        <f t="shared" si="1866"/>
        <v>13715</v>
      </c>
      <c r="E171" s="41">
        <f t="shared" si="1866"/>
        <v>13283</v>
      </c>
      <c r="F171" s="41">
        <f t="shared" si="1866"/>
        <v>12222</v>
      </c>
      <c r="G171" s="41">
        <f t="shared" si="1866"/>
        <v>10043</v>
      </c>
      <c r="H171" s="41">
        <f t="shared" si="1866"/>
        <v>8736</v>
      </c>
      <c r="I171" s="41">
        <f t="shared" si="1866"/>
        <v>9521</v>
      </c>
      <c r="J171" s="41">
        <f t="shared" si="1866"/>
        <v>8062</v>
      </c>
      <c r="K171" s="41">
        <f t="shared" si="1866"/>
        <v>8099</v>
      </c>
      <c r="L171" s="41">
        <f t="shared" si="1866"/>
        <v>8858</v>
      </c>
      <c r="M171" s="41">
        <f t="shared" ref="M171:X171" si="1867">M173-M170-M172</f>
        <v>9238</v>
      </c>
      <c r="N171" s="41">
        <f t="shared" si="1867"/>
        <v>8502</v>
      </c>
      <c r="O171" s="41">
        <f t="shared" si="1867"/>
        <v>10767</v>
      </c>
      <c r="P171" s="41">
        <f t="shared" si="1867"/>
        <v>17735</v>
      </c>
      <c r="Q171" s="41">
        <f t="shared" si="1867"/>
        <v>19011</v>
      </c>
      <c r="R171" s="41">
        <f t="shared" si="1867"/>
        <v>20240</v>
      </c>
      <c r="S171" s="41">
        <f t="shared" si="1867"/>
        <v>17039</v>
      </c>
      <c r="T171" s="41">
        <f t="shared" si="1867"/>
        <v>17384</v>
      </c>
      <c r="U171" s="41">
        <f t="shared" si="1867"/>
        <v>24591</v>
      </c>
      <c r="V171" s="41">
        <f t="shared" si="1867"/>
        <v>27927</v>
      </c>
      <c r="W171" s="41">
        <f t="shared" si="1867"/>
        <v>35101</v>
      </c>
      <c r="X171" s="41">
        <f t="shared" si="1867"/>
        <v>36653</v>
      </c>
      <c r="Y171" s="41">
        <f t="shared" ref="Y171:AE171" si="1868">Y173-Y170-Y172</f>
        <v>40110</v>
      </c>
      <c r="Z171" s="41">
        <f t="shared" si="1868"/>
        <v>55467</v>
      </c>
      <c r="AA171" s="41">
        <f t="shared" si="1868"/>
        <v>63297</v>
      </c>
      <c r="AB171" s="41">
        <f t="shared" si="1868"/>
        <v>69263</v>
      </c>
      <c r="AC171" s="41">
        <f t="shared" si="1868"/>
        <v>71202</v>
      </c>
      <c r="AD171" s="41">
        <f t="shared" si="1868"/>
        <v>79223</v>
      </c>
      <c r="AE171" s="41">
        <f t="shared" si="1868"/>
        <v>75544</v>
      </c>
      <c r="AF171" s="41">
        <f t="shared" ref="AF171:AG171" si="1869">AF173-AF170-AF172</f>
        <v>60891</v>
      </c>
      <c r="AG171" s="41">
        <f t="shared" si="1869"/>
        <v>58796</v>
      </c>
      <c r="AH171" s="41">
        <f t="shared" ref="AH171:AI171" si="1870">AH173-AH170-AH172</f>
        <v>53357</v>
      </c>
      <c r="AI171" s="41">
        <f t="shared" si="1870"/>
        <v>51501</v>
      </c>
      <c r="AJ171" s="41">
        <f t="shared" ref="AJ171:AK171" si="1871">AJ173-AJ170-AJ172</f>
        <v>54736</v>
      </c>
      <c r="AK171" s="41">
        <f t="shared" si="1871"/>
        <v>60131</v>
      </c>
      <c r="AL171" s="41">
        <f t="shared" ref="AL171:AM171" si="1872">AL173-AL170-AL172</f>
        <v>62334</v>
      </c>
      <c r="AM171" s="41">
        <f t="shared" si="1872"/>
        <v>62325</v>
      </c>
      <c r="AN171" s="41">
        <f t="shared" ref="AN171:AO171" si="1873">AN173-AN170-AN172</f>
        <v>79336</v>
      </c>
      <c r="AO171" s="41">
        <f t="shared" si="1873"/>
        <v>54148</v>
      </c>
      <c r="AP171" s="41">
        <f t="shared" ref="AP171:AQ171" si="1874">AP173-AP170-AP172</f>
        <v>53506</v>
      </c>
      <c r="AQ171" s="41">
        <f t="shared" si="1874"/>
        <v>62766</v>
      </c>
      <c r="AR171" s="41">
        <f t="shared" ref="AR171:AS171" si="1875">AR173-AR170-AR172</f>
        <v>71731</v>
      </c>
      <c r="AS171" s="41">
        <f t="shared" si="1875"/>
        <v>81455</v>
      </c>
      <c r="AT171" s="41">
        <f t="shared" ref="AT171:AU171" si="1876">AT173-AT170-AT172</f>
        <v>78276</v>
      </c>
      <c r="AU171" s="41">
        <f t="shared" si="1876"/>
        <v>78992</v>
      </c>
      <c r="AV171" s="41">
        <f t="shared" ref="AV171:AW171" si="1877">AV173-AV170-AV172</f>
        <v>73829</v>
      </c>
      <c r="AW171" s="41">
        <f t="shared" si="1877"/>
        <v>74831</v>
      </c>
      <c r="AX171" s="41">
        <f t="shared" ref="AX171:AY171" si="1878">AX173-AX170-AX172</f>
        <v>80005</v>
      </c>
      <c r="AY171" s="211">
        <f t="shared" si="1878"/>
        <v>69325</v>
      </c>
      <c r="AZ171" s="41">
        <f>AY171*AY$18/AZ$18*(1+AZ60)</f>
        <v>61665.152370370357</v>
      </c>
      <c r="BA171" s="41">
        <f t="shared" si="1852"/>
        <v>58836.901021052625</v>
      </c>
      <c r="BB171" s="41">
        <f t="shared" si="1853"/>
        <v>55937.56171598479</v>
      </c>
      <c r="BC171" s="41">
        <f t="shared" si="1854"/>
        <v>52775.73782791214</v>
      </c>
      <c r="BD171" s="41">
        <f t="shared" si="1855"/>
        <v>49817.417832940249</v>
      </c>
      <c r="BE171" s="41">
        <f t="shared" si="1856"/>
        <v>47047.321200770552</v>
      </c>
      <c r="BF171" s="41">
        <f t="shared" si="1857"/>
        <v>44174.46971401295</v>
      </c>
      <c r="BG171" s="41">
        <f t="shared" si="1858"/>
        <v>41256.941399255011</v>
      </c>
      <c r="BH171" s="41">
        <f t="shared" si="1858"/>
        <v>41569.851188568842</v>
      </c>
      <c r="BI171" s="41">
        <f t="shared" si="1858"/>
        <v>41925.865027463391</v>
      </c>
      <c r="BJ171" s="41">
        <f t="shared" si="1858"/>
        <v>42953.724944265719</v>
      </c>
      <c r="BK171" s="41">
        <f t="shared" si="1858"/>
        <v>42738.956319544392</v>
      </c>
      <c r="BL171" s="41">
        <f t="shared" si="1859"/>
        <v>42525.261537946666</v>
      </c>
      <c r="BM171" s="41">
        <f t="shared" si="1860"/>
        <v>42312.635230256943</v>
      </c>
      <c r="BN171" s="41">
        <f t="shared" si="1861"/>
        <v>43158.887934862083</v>
      </c>
      <c r="BO171" s="41">
        <f t="shared" si="1862"/>
        <v>44022.065693559336</v>
      </c>
      <c r="BP171" s="41">
        <f t="shared" si="1863"/>
        <v>45782.948321301708</v>
      </c>
      <c r="BQ171" s="41">
        <f t="shared" si="1864"/>
        <v>47614.266254153779</v>
      </c>
      <c r="BR171" s="41"/>
      <c r="BS171" s="369">
        <f t="shared" ref="BS171:CB171" si="1879">BS173-BS170-BS172</f>
        <v>8692.1459004211065</v>
      </c>
      <c r="BT171" s="369">
        <f t="shared" si="1879"/>
        <v>9091.4772727272757</v>
      </c>
      <c r="BU171" s="369">
        <f t="shared" si="1879"/>
        <v>9112.7815518949719</v>
      </c>
      <c r="BV171" s="369">
        <f t="shared" si="1879"/>
        <v>11406.211976715384</v>
      </c>
      <c r="BW171" s="369">
        <f t="shared" si="1879"/>
        <v>13292.879303938571</v>
      </c>
      <c r="BX171" s="369">
        <f t="shared" si="1879"/>
        <v>15087.393237552638</v>
      </c>
      <c r="BY171" s="369">
        <f t="shared" si="1879"/>
        <v>16466.72145157295</v>
      </c>
      <c r="BZ171" s="41">
        <f t="shared" si="1879"/>
        <v>16001</v>
      </c>
      <c r="CA171" s="41">
        <f t="shared" si="1879"/>
        <v>13727</v>
      </c>
      <c r="CB171" s="41">
        <f t="shared" si="1879"/>
        <v>15540</v>
      </c>
      <c r="CC171" s="41">
        <f>E171</f>
        <v>13283</v>
      </c>
      <c r="CD171" s="41">
        <f>G171</f>
        <v>10043</v>
      </c>
      <c r="CE171" s="41">
        <f>I171</f>
        <v>9521</v>
      </c>
      <c r="CF171" s="41">
        <f>K171</f>
        <v>8099</v>
      </c>
      <c r="CG171" s="41">
        <f>M171</f>
        <v>9238</v>
      </c>
      <c r="CH171" s="41">
        <f>O171</f>
        <v>10767</v>
      </c>
      <c r="CI171" s="41">
        <f>Q171</f>
        <v>19011</v>
      </c>
      <c r="CJ171" s="41">
        <f>S171</f>
        <v>17039</v>
      </c>
      <c r="CK171" s="41">
        <f>U171</f>
        <v>24591</v>
      </c>
      <c r="CL171" s="41">
        <f>W171</f>
        <v>35101</v>
      </c>
      <c r="CM171" s="41">
        <f>Y171</f>
        <v>40110</v>
      </c>
      <c r="CN171" s="41">
        <f>AA171</f>
        <v>63297</v>
      </c>
      <c r="CO171" s="41">
        <f>AC171</f>
        <v>71202</v>
      </c>
      <c r="CP171" s="41">
        <f>AE171</f>
        <v>75544</v>
      </c>
      <c r="CQ171" s="41">
        <f>AG171</f>
        <v>58796</v>
      </c>
      <c r="CR171" s="41">
        <f>AI171</f>
        <v>51501</v>
      </c>
      <c r="CS171" s="41">
        <f>AK171</f>
        <v>60131</v>
      </c>
      <c r="CT171" s="41">
        <f>AM171</f>
        <v>62325</v>
      </c>
      <c r="CU171" s="41">
        <f>AO171</f>
        <v>54148</v>
      </c>
      <c r="CV171" s="41">
        <f>AQ171</f>
        <v>62766</v>
      </c>
      <c r="CW171" s="41">
        <f>AS171</f>
        <v>81455</v>
      </c>
      <c r="CX171" s="41">
        <f>AU171</f>
        <v>78992</v>
      </c>
      <c r="CY171" s="41">
        <f>AW171</f>
        <v>74831</v>
      </c>
      <c r="CZ171" s="211">
        <f>AY171</f>
        <v>69325</v>
      </c>
      <c r="DA171" s="41">
        <f>BA171</f>
        <v>58836.901021052625</v>
      </c>
      <c r="DB171" s="41">
        <f>BC171</f>
        <v>52775.73782791214</v>
      </c>
      <c r="DC171" s="41">
        <f>BE171</f>
        <v>47047.321200770552</v>
      </c>
      <c r="DD171" s="41">
        <f>BG171</f>
        <v>41256.941399255011</v>
      </c>
      <c r="DE171" s="41">
        <f>BI171</f>
        <v>41925.865027463391</v>
      </c>
      <c r="DF171" s="41">
        <f>BK171</f>
        <v>42738.956319544392</v>
      </c>
      <c r="DG171" s="41">
        <f>BM171</f>
        <v>42312.635230256943</v>
      </c>
      <c r="DH171" s="41">
        <f>BO171</f>
        <v>44022.065693559336</v>
      </c>
      <c r="DI171" s="41">
        <f>BQ171</f>
        <v>47614.266254153779</v>
      </c>
    </row>
    <row r="172" spans="1:113" ht="12" outlineLevel="1">
      <c r="A172" s="1" t="s">
        <v>599</v>
      </c>
      <c r="B172" s="15" t="s">
        <v>167</v>
      </c>
      <c r="C172" s="40">
        <v>70</v>
      </c>
      <c r="D172" s="40">
        <v>79</v>
      </c>
      <c r="E172" s="40">
        <v>108</v>
      </c>
      <c r="F172" s="40">
        <v>117</v>
      </c>
      <c r="G172" s="40">
        <v>134</v>
      </c>
      <c r="H172" s="40">
        <v>117</v>
      </c>
      <c r="I172" s="40">
        <v>128</v>
      </c>
      <c r="J172" s="40">
        <v>126</v>
      </c>
      <c r="K172" s="40">
        <v>134</v>
      </c>
      <c r="L172" s="40">
        <v>184</v>
      </c>
      <c r="M172" s="40">
        <v>198</v>
      </c>
      <c r="N172" s="40">
        <v>200</v>
      </c>
      <c r="O172" s="40">
        <v>201</v>
      </c>
      <c r="P172" s="40">
        <v>212</v>
      </c>
      <c r="Q172" s="40">
        <v>279</v>
      </c>
      <c r="R172" s="40">
        <v>306</v>
      </c>
      <c r="S172" s="40">
        <v>323</v>
      </c>
      <c r="T172" s="40">
        <v>352</v>
      </c>
      <c r="U172" s="40">
        <v>1060</v>
      </c>
      <c r="V172" s="40">
        <v>1036</v>
      </c>
      <c r="W172" s="40">
        <v>1053</v>
      </c>
      <c r="X172" s="40">
        <v>964</v>
      </c>
      <c r="Y172" s="40">
        <v>996</v>
      </c>
      <c r="Z172" s="141">
        <v>994</v>
      </c>
      <c r="AA172" s="141">
        <v>1103</v>
      </c>
      <c r="AB172" s="141">
        <v>1135</v>
      </c>
      <c r="AC172" s="141">
        <v>1241</v>
      </c>
      <c r="AD172" s="141">
        <v>1370</v>
      </c>
      <c r="AE172" s="141">
        <v>1445</v>
      </c>
      <c r="AF172" s="141">
        <v>1446</v>
      </c>
      <c r="AG172" s="141">
        <v>1396</v>
      </c>
      <c r="AH172" s="141">
        <v>1351</v>
      </c>
      <c r="AI172" s="141">
        <v>869</v>
      </c>
      <c r="AJ172" s="141">
        <v>13</v>
      </c>
      <c r="AK172" s="141">
        <v>12</v>
      </c>
      <c r="AL172" s="141">
        <v>12</v>
      </c>
      <c r="AM172" s="141">
        <v>7</v>
      </c>
      <c r="AN172" s="141">
        <v>7</v>
      </c>
      <c r="AO172" s="141">
        <v>6</v>
      </c>
      <c r="AP172" s="141">
        <v>5</v>
      </c>
      <c r="AQ172" s="141">
        <v>5</v>
      </c>
      <c r="AR172" s="141">
        <v>6</v>
      </c>
      <c r="AS172" s="141">
        <v>6</v>
      </c>
      <c r="AT172" s="141">
        <v>6</v>
      </c>
      <c r="AU172" s="141">
        <v>6</v>
      </c>
      <c r="AV172" s="141">
        <v>6</v>
      </c>
      <c r="AW172" s="141">
        <v>6</v>
      </c>
      <c r="AX172" s="141">
        <v>6</v>
      </c>
      <c r="AY172" s="226">
        <v>6</v>
      </c>
      <c r="AZ172" s="41">
        <f t="shared" ref="AZ172" si="1880">AY172*AY$18/AZ$18*(1+AZ60)</f>
        <v>5.3370488888888881</v>
      </c>
      <c r="BA172" s="41">
        <f t="shared" ref="BA172" si="1881">AZ172*AZ$18/BA$18*(1+BA60)</f>
        <v>5.0922669473684214</v>
      </c>
      <c r="BB172" s="41">
        <f t="shared" ref="BB172" si="1882">BA172*BA$18/BB$18*(1+BB60)</f>
        <v>4.8413324240304183</v>
      </c>
      <c r="BC172" s="41">
        <f t="shared" ref="BC172" si="1883">BB172*BB$18/BC$18*(1+BC60)</f>
        <v>4.5676801582037196</v>
      </c>
      <c r="BD172" s="41">
        <f t="shared" ref="BD172" si="1884">BC172*BC$18/BD$18*(1+BD60)</f>
        <v>4.3116409231538633</v>
      </c>
      <c r="BE172" s="41">
        <f t="shared" ref="BE172" si="1885">BD172*BD$18/BE$18*(1+BE60)</f>
        <v>4.0718922063414835</v>
      </c>
      <c r="BF172" s="41">
        <f t="shared" ref="BF172" si="1886">BE172*BE$18/BF$18*(1+BF60)</f>
        <v>3.823250173589293</v>
      </c>
      <c r="BG172" s="41">
        <f t="shared" ref="BG172:BK172" si="1887">BF172*BF$18/BG$18*(1+BG60)</f>
        <v>3.5707414121244878</v>
      </c>
      <c r="BH172" s="41">
        <f t="shared" si="1887"/>
        <v>3.5978233989385227</v>
      </c>
      <c r="BI172" s="41">
        <f t="shared" si="1887"/>
        <v>3.6286359922795581</v>
      </c>
      <c r="BJ172" s="41">
        <f t="shared" si="1887"/>
        <v>3.7175961004773797</v>
      </c>
      <c r="BK172" s="41">
        <f t="shared" si="1887"/>
        <v>3.6990081199749927</v>
      </c>
      <c r="BL172" s="41">
        <f t="shared" ref="BL172" si="1888">BK172*BK$18/BL$18*(1+BL60)</f>
        <v>3.6805130793751175</v>
      </c>
      <c r="BM172" s="41">
        <f t="shared" ref="BM172" si="1889">BL172*BL$18/BM$18*(1+BM60)</f>
        <v>3.6621105139782419</v>
      </c>
      <c r="BN172" s="41">
        <f t="shared" ref="BN172" si="1890">BM172*BM$18/BN$18*(1+BN60)</f>
        <v>3.7353527242578068</v>
      </c>
      <c r="BO172" s="41">
        <f t="shared" ref="BO172" si="1891">BN172*BN$18/BO$18*(1+BO60)</f>
        <v>3.8100597787429629</v>
      </c>
      <c r="BP172" s="41">
        <f t="shared" ref="BP172" si="1892">BO172*BO$18/BP$18*(1+BP60)</f>
        <v>3.9624621698926821</v>
      </c>
      <c r="BQ172" s="41">
        <f t="shared" ref="BQ172" si="1893">BP172*BP$18/BQ$18*(1+BQ60)</f>
        <v>4.1209606566883901</v>
      </c>
      <c r="BR172" s="41"/>
      <c r="BS172" s="225">
        <f t="shared" ref="BS172:BX172" si="1894">BS173*BT172/BT173</f>
        <v>89.088927421352523</v>
      </c>
      <c r="BT172" s="225">
        <f t="shared" si="1894"/>
        <v>93.181818181818215</v>
      </c>
      <c r="BU172" s="225">
        <f t="shared" si="1894"/>
        <v>93.400173396086217</v>
      </c>
      <c r="BV172" s="225">
        <f t="shared" si="1894"/>
        <v>116.90636611345062</v>
      </c>
      <c r="BW172" s="225">
        <f t="shared" si="1894"/>
        <v>136.24349764676742</v>
      </c>
      <c r="BX172" s="225">
        <f t="shared" si="1894"/>
        <v>154.63611592766907</v>
      </c>
      <c r="BY172" s="225">
        <f>BY173*BZ172/BZ173</f>
        <v>168.77334654446372</v>
      </c>
      <c r="BZ172" s="40">
        <v>164</v>
      </c>
      <c r="CA172" s="40">
        <v>27</v>
      </c>
      <c r="CB172" s="40">
        <v>70</v>
      </c>
      <c r="CC172" s="41">
        <f>E172</f>
        <v>108</v>
      </c>
      <c r="CD172" s="41">
        <f>G172</f>
        <v>134</v>
      </c>
      <c r="CE172" s="41">
        <f>I172</f>
        <v>128</v>
      </c>
      <c r="CF172" s="41">
        <f>K172</f>
        <v>134</v>
      </c>
      <c r="CG172" s="41">
        <f>M172</f>
        <v>198</v>
      </c>
      <c r="CH172" s="41">
        <f>O172</f>
        <v>201</v>
      </c>
      <c r="CI172" s="41">
        <f>Q172</f>
        <v>279</v>
      </c>
      <c r="CJ172" s="41">
        <f>S172</f>
        <v>323</v>
      </c>
      <c r="CK172" s="41">
        <f>U172</f>
        <v>1060</v>
      </c>
      <c r="CL172" s="41">
        <f>W172</f>
        <v>1053</v>
      </c>
      <c r="CM172" s="41">
        <f>Y172</f>
        <v>996</v>
      </c>
      <c r="CN172" s="41">
        <f>AA172</f>
        <v>1103</v>
      </c>
      <c r="CO172" s="41">
        <f>AC172</f>
        <v>1241</v>
      </c>
      <c r="CP172" s="41">
        <f>AE172</f>
        <v>1445</v>
      </c>
      <c r="CQ172" s="41">
        <f>AG172</f>
        <v>1396</v>
      </c>
      <c r="CR172" s="41">
        <f>AI172</f>
        <v>869</v>
      </c>
      <c r="CS172" s="41">
        <f>AK172</f>
        <v>12</v>
      </c>
      <c r="CT172" s="41">
        <f>AM172</f>
        <v>7</v>
      </c>
      <c r="CU172" s="41">
        <f>AO172</f>
        <v>6</v>
      </c>
      <c r="CV172" s="41">
        <f>AQ172</f>
        <v>5</v>
      </c>
      <c r="CW172" s="41">
        <f>AS172</f>
        <v>6</v>
      </c>
      <c r="CX172" s="41">
        <f>AU172</f>
        <v>6</v>
      </c>
      <c r="CY172" s="41">
        <f>AW172</f>
        <v>6</v>
      </c>
      <c r="CZ172" s="211">
        <f>AY172</f>
        <v>6</v>
      </c>
      <c r="DA172" s="41">
        <f>BA172</f>
        <v>5.0922669473684214</v>
      </c>
      <c r="DB172" s="41">
        <f>BC172</f>
        <v>4.5676801582037196</v>
      </c>
      <c r="DC172" s="41">
        <f>BE172</f>
        <v>4.0718922063414835</v>
      </c>
      <c r="DD172" s="41">
        <f>BG172</f>
        <v>3.5707414121244878</v>
      </c>
      <c r="DE172" s="41">
        <f>BI172</f>
        <v>3.6286359922795581</v>
      </c>
      <c r="DF172" s="41">
        <f>BK172</f>
        <v>3.6990081199749927</v>
      </c>
      <c r="DG172" s="41">
        <f>BM172</f>
        <v>3.6621105139782419</v>
      </c>
      <c r="DH172" s="41">
        <f>BO172</f>
        <v>3.8100597787429629</v>
      </c>
      <c r="DI172" s="41">
        <f>BQ172</f>
        <v>4.1209606566883901</v>
      </c>
    </row>
    <row r="173" spans="1:113" s="17" customFormat="1" ht="12" outlineLevel="1">
      <c r="A173" s="1" t="s">
        <v>600</v>
      </c>
      <c r="B173" s="17" t="s">
        <v>168</v>
      </c>
      <c r="C173" s="61">
        <v>15930</v>
      </c>
      <c r="D173" s="61">
        <v>14091</v>
      </c>
      <c r="E173" s="61">
        <v>13714</v>
      </c>
      <c r="F173" s="61">
        <v>12677</v>
      </c>
      <c r="G173" s="61">
        <v>10538</v>
      </c>
      <c r="H173" s="61">
        <v>9238</v>
      </c>
      <c r="I173" s="61">
        <v>10113</v>
      </c>
      <c r="J173" s="61">
        <v>8707</v>
      </c>
      <c r="K173" s="61">
        <v>8825</v>
      </c>
      <c r="L173" s="61">
        <v>9735</v>
      </c>
      <c r="M173" s="61">
        <v>10202</v>
      </c>
      <c r="N173" s="61">
        <v>9549</v>
      </c>
      <c r="O173" s="61">
        <v>12008</v>
      </c>
      <c r="P173" s="61">
        <v>19189</v>
      </c>
      <c r="Q173" s="61">
        <v>21000</v>
      </c>
      <c r="R173" s="61">
        <v>22613</v>
      </c>
      <c r="S173" s="61">
        <v>19111</v>
      </c>
      <c r="T173" s="61">
        <v>19473</v>
      </c>
      <c r="U173" s="61">
        <v>27709</v>
      </c>
      <c r="V173" s="61">
        <v>31331</v>
      </c>
      <c r="W173" s="61">
        <v>39004</v>
      </c>
      <c r="X173" s="61">
        <v>40991</v>
      </c>
      <c r="Y173" s="61">
        <v>45087</v>
      </c>
      <c r="Z173" s="194">
        <v>60955</v>
      </c>
      <c r="AA173" s="194">
        <v>70137</v>
      </c>
      <c r="AB173" s="194">
        <v>76461</v>
      </c>
      <c r="AC173" s="194">
        <v>79082</v>
      </c>
      <c r="AD173" s="194">
        <v>88023</v>
      </c>
      <c r="AE173" s="194">
        <v>84835</v>
      </c>
      <c r="AF173" s="194">
        <v>69563</v>
      </c>
      <c r="AG173" s="194">
        <v>67058</v>
      </c>
      <c r="AH173" s="194">
        <v>61209</v>
      </c>
      <c r="AI173" s="194">
        <v>54839</v>
      </c>
      <c r="AJ173" s="194">
        <v>55478</v>
      </c>
      <c r="AK173" s="194">
        <v>60910</v>
      </c>
      <c r="AL173" s="194">
        <v>63116</v>
      </c>
      <c r="AM173" s="194">
        <v>62836</v>
      </c>
      <c r="AN173" s="194">
        <v>79874</v>
      </c>
      <c r="AO173" s="194">
        <v>54643</v>
      </c>
      <c r="AP173" s="194">
        <v>53983</v>
      </c>
      <c r="AQ173" s="194">
        <v>63253</v>
      </c>
      <c r="AR173" s="194">
        <v>72201</v>
      </c>
      <c r="AS173" s="194">
        <f>673625-AS161-AS167</f>
        <v>81951</v>
      </c>
      <c r="AT173" s="194">
        <f>691106 - AT161-AT167</f>
        <v>78757</v>
      </c>
      <c r="AU173" s="194">
        <f>707630-AU161-AU167</f>
        <v>79428</v>
      </c>
      <c r="AV173" s="194">
        <f>715512-AV161-AV167</f>
        <v>74266</v>
      </c>
      <c r="AW173" s="194">
        <f>803335-AW161-AW167</f>
        <v>75262</v>
      </c>
      <c r="AX173" s="194">
        <f>820212-AX161-AX167</f>
        <v>80465</v>
      </c>
      <c r="AY173" s="227">
        <f>829471-AY161-AY167</f>
        <v>69783</v>
      </c>
      <c r="AZ173" s="62">
        <f t="shared" ref="AZ173:BA173" si="1895">SUM(AZ170:AZ172)</f>
        <v>62129.983914074059</v>
      </c>
      <c r="BA173" s="62">
        <f t="shared" si="1895"/>
        <v>59327.053641924802</v>
      </c>
      <c r="BB173" s="62">
        <f t="shared" ref="BB173:BC173" si="1896">SUM(BB170:BB172)</f>
        <v>56452.620144643653</v>
      </c>
      <c r="BC173" s="62">
        <f t="shared" si="1896"/>
        <v>53299.095768896179</v>
      </c>
      <c r="BD173" s="62">
        <f t="shared" ref="BD173:BE173" si="1897">SUM(BD170:BD172)</f>
        <v>50349.499522476624</v>
      </c>
      <c r="BE173" s="62">
        <f t="shared" si="1897"/>
        <v>47588.55406772202</v>
      </c>
      <c r="BF173" s="62">
        <f t="shared" ref="BF173:BG173" si="1898">SUM(BF170:BF172)</f>
        <v>44721.852255251353</v>
      </c>
      <c r="BG173" s="62">
        <f t="shared" si="1898"/>
        <v>41807.627154708352</v>
      </c>
      <c r="BH173" s="62">
        <f t="shared" ref="BH173:BI173" si="1899">SUM(BH170:BH172)</f>
        <v>42124.713573647954</v>
      </c>
      <c r="BI173" s="62">
        <f t="shared" si="1899"/>
        <v>42485.479382591046</v>
      </c>
      <c r="BJ173" s="62">
        <f t="shared" ref="BJ173:BK173" si="1900">SUM(BJ170:BJ172)</f>
        <v>43527.058877131982</v>
      </c>
      <c r="BK173" s="62">
        <f t="shared" si="1900"/>
        <v>43335.056317900788</v>
      </c>
      <c r="BL173" s="62">
        <f t="shared" ref="BL173:BM173" si="1901">SUM(BL170:BL172)</f>
        <v>43145.039080871909</v>
      </c>
      <c r="BM173" s="62">
        <f t="shared" si="1901"/>
        <v>42957.038251810627</v>
      </c>
      <c r="BN173" s="62">
        <f t="shared" ref="BN173:BO173" si="1902">SUM(BN170:BN172)</f>
        <v>43828.993835067638</v>
      </c>
      <c r="BO173" s="62">
        <f t="shared" si="1902"/>
        <v>44718.901122718627</v>
      </c>
      <c r="BP173" s="62">
        <f t="shared" ref="BP173:BQ173" si="1903">SUM(BP170:BP172)</f>
        <v>46507.657167627367</v>
      </c>
      <c r="BQ173" s="62">
        <f t="shared" si="1903"/>
        <v>48367.963454332472</v>
      </c>
      <c r="BR173" s="62"/>
      <c r="BS173" s="384">
        <f>17544-BS167</f>
        <v>9025.1429279167733</v>
      </c>
      <c r="BT173" s="384">
        <f>18350-BT167</f>
        <v>9439.7727272727298</v>
      </c>
      <c r="BU173" s="384">
        <f>18393-BU167</f>
        <v>9461.893175625466</v>
      </c>
      <c r="BV173" s="384">
        <f>23022-BV167</f>
        <v>11843.185162249198</v>
      </c>
      <c r="BW173" s="384">
        <f>26830-BW167</f>
        <v>13802.130914045085</v>
      </c>
      <c r="BX173" s="384">
        <f>30452-BX167</f>
        <v>15665.392865989597</v>
      </c>
      <c r="BY173" s="384">
        <f>33236-BY167</f>
        <v>17097.563289571466</v>
      </c>
      <c r="BZ173" s="61">
        <v>16614</v>
      </c>
      <c r="CA173" s="61">
        <v>14124</v>
      </c>
      <c r="CB173" s="61">
        <v>15930</v>
      </c>
      <c r="CC173" s="62">
        <f>E173</f>
        <v>13714</v>
      </c>
      <c r="CD173" s="62">
        <f>G173</f>
        <v>10538</v>
      </c>
      <c r="CE173" s="62">
        <f>I173</f>
        <v>10113</v>
      </c>
      <c r="CF173" s="62">
        <f>K173</f>
        <v>8825</v>
      </c>
      <c r="CG173" s="62">
        <f>M173</f>
        <v>10202</v>
      </c>
      <c r="CH173" s="62">
        <f>O173</f>
        <v>12008</v>
      </c>
      <c r="CI173" s="62">
        <f>Q173</f>
        <v>21000</v>
      </c>
      <c r="CJ173" s="62">
        <f>S173</f>
        <v>19111</v>
      </c>
      <c r="CK173" s="62">
        <f>U173</f>
        <v>27709</v>
      </c>
      <c r="CL173" s="62">
        <f>W173</f>
        <v>39004</v>
      </c>
      <c r="CM173" s="62">
        <f>Y173</f>
        <v>45087</v>
      </c>
      <c r="CN173" s="62">
        <f>AA173</f>
        <v>70137</v>
      </c>
      <c r="CO173" s="62">
        <f>AC173</f>
        <v>79082</v>
      </c>
      <c r="CP173" s="62">
        <f>AE173</f>
        <v>84835</v>
      </c>
      <c r="CQ173" s="62">
        <f>AG173</f>
        <v>67058</v>
      </c>
      <c r="CR173" s="62">
        <f>AI173</f>
        <v>54839</v>
      </c>
      <c r="CS173" s="62">
        <f>AK173</f>
        <v>60910</v>
      </c>
      <c r="CT173" s="62">
        <f>AM173</f>
        <v>62836</v>
      </c>
      <c r="CU173" s="62">
        <f>AO173</f>
        <v>54643</v>
      </c>
      <c r="CV173" s="62">
        <f>AQ173</f>
        <v>63253</v>
      </c>
      <c r="CW173" s="62">
        <f>AS173</f>
        <v>81951</v>
      </c>
      <c r="CX173" s="62">
        <f>AU173</f>
        <v>79428</v>
      </c>
      <c r="CY173" s="62">
        <f>AW173</f>
        <v>75262</v>
      </c>
      <c r="CZ173" s="220">
        <f>AY173</f>
        <v>69783</v>
      </c>
      <c r="DA173" s="62">
        <f>BA173</f>
        <v>59327.053641924802</v>
      </c>
      <c r="DB173" s="62">
        <f>BC173</f>
        <v>53299.095768896179</v>
      </c>
      <c r="DC173" s="62">
        <f>BE173</f>
        <v>47588.55406772202</v>
      </c>
      <c r="DD173" s="62">
        <f>BG173</f>
        <v>41807.627154708352</v>
      </c>
      <c r="DE173" s="62">
        <f>BI173</f>
        <v>42485.479382591046</v>
      </c>
      <c r="DF173" s="62">
        <f>BK173</f>
        <v>43335.056317900788</v>
      </c>
      <c r="DG173" s="62">
        <f>BM173</f>
        <v>42957.038251810627</v>
      </c>
      <c r="DH173" s="62">
        <f>BO173</f>
        <v>44718.901122718627</v>
      </c>
      <c r="DI173" s="62">
        <f>BQ173</f>
        <v>48367.963454332472</v>
      </c>
    </row>
    <row r="174" spans="1:113" ht="12" outlineLevel="1">
      <c r="C174" s="41"/>
      <c r="D174" s="41"/>
      <c r="E174" s="41"/>
      <c r="F174" s="41"/>
      <c r="G174" s="41"/>
      <c r="H174" s="41"/>
      <c r="I174" s="41"/>
      <c r="J174" s="41"/>
      <c r="K174" s="41"/>
      <c r="L174" s="41"/>
      <c r="M174" s="41"/>
      <c r="N174" s="41"/>
      <c r="O174" s="41"/>
      <c r="P174" s="41"/>
      <c r="Q174" s="41"/>
      <c r="R174" s="41"/>
      <c r="S174" s="41"/>
      <c r="T174" s="41"/>
      <c r="U174" s="41"/>
      <c r="V174" s="41"/>
      <c r="W174" s="41"/>
      <c r="X174" s="41"/>
      <c r="Y174" s="41"/>
      <c r="Z174" s="41"/>
      <c r="AA174" s="41"/>
      <c r="AB174" s="118"/>
      <c r="AC174" s="32"/>
      <c r="AD174" s="41"/>
      <c r="AE174" s="41"/>
      <c r="AF174" s="41"/>
      <c r="AG174" s="41"/>
      <c r="AH174" s="41"/>
      <c r="AI174" s="41"/>
      <c r="AJ174" s="41"/>
      <c r="AK174" s="41"/>
      <c r="AL174" s="41"/>
      <c r="AM174" s="41"/>
      <c r="AN174" s="41"/>
      <c r="AO174" s="41"/>
      <c r="AP174" s="41"/>
      <c r="AQ174" s="41"/>
      <c r="AR174" s="41"/>
      <c r="AS174" s="41"/>
      <c r="AT174" s="41"/>
      <c r="AU174" s="41"/>
      <c r="AV174" s="41"/>
      <c r="AW174" s="41"/>
      <c r="AX174" s="41"/>
      <c r="AY174" s="211"/>
      <c r="AZ174" s="41"/>
      <c r="BA174" s="41"/>
      <c r="BB174" s="41"/>
      <c r="BC174" s="41"/>
      <c r="BD174" s="41"/>
      <c r="BE174" s="41"/>
      <c r="BF174" s="41"/>
      <c r="BG174" s="41"/>
      <c r="BH174" s="41"/>
      <c r="BI174" s="41"/>
      <c r="BJ174" s="41"/>
      <c r="BK174" s="41"/>
      <c r="BL174" s="41"/>
      <c r="BM174" s="41"/>
      <c r="BN174" s="41"/>
      <c r="BO174" s="41"/>
      <c r="BP174" s="41"/>
      <c r="BQ174" s="41"/>
      <c r="BR174" s="41"/>
      <c r="BS174" s="41"/>
      <c r="BT174" s="41"/>
      <c r="BU174" s="41"/>
      <c r="BV174" s="41"/>
      <c r="BW174" s="41"/>
      <c r="BX174" s="41"/>
      <c r="BY174" s="41"/>
      <c r="BZ174" s="41"/>
      <c r="CA174" s="41"/>
      <c r="CB174" s="41"/>
      <c r="CC174" s="41"/>
      <c r="CD174" s="41"/>
      <c r="CE174" s="41"/>
      <c r="CF174" s="41"/>
      <c r="CG174" s="41"/>
      <c r="CH174" s="41"/>
      <c r="CI174" s="41"/>
      <c r="CJ174" s="41"/>
      <c r="CK174" s="41"/>
      <c r="CL174" s="41"/>
      <c r="CM174" s="41"/>
      <c r="CN174" s="41"/>
      <c r="CO174" s="41"/>
      <c r="CP174" s="41"/>
      <c r="CQ174" s="41"/>
      <c r="CR174" s="41"/>
      <c r="CS174" s="41"/>
      <c r="CT174" s="41"/>
      <c r="CU174" s="41"/>
      <c r="CV174" s="41"/>
      <c r="CW174" s="41"/>
      <c r="CX174" s="41"/>
      <c r="CY174" s="41"/>
      <c r="CZ174" s="211"/>
      <c r="DA174" s="41"/>
      <c r="DB174" s="41"/>
      <c r="DC174" s="41"/>
      <c r="DD174" s="41"/>
      <c r="DE174" s="41"/>
      <c r="DF174" s="41"/>
      <c r="DG174" s="41"/>
      <c r="DH174" s="41"/>
      <c r="DI174" s="41"/>
    </row>
    <row r="175" spans="1:113" ht="12" outlineLevel="1">
      <c r="B175" s="17" t="s">
        <v>343</v>
      </c>
      <c r="C175" s="41"/>
      <c r="D175" s="41"/>
      <c r="E175" s="41"/>
      <c r="F175" s="41"/>
      <c r="G175" s="41"/>
      <c r="H175" s="41"/>
      <c r="I175" s="41"/>
      <c r="J175" s="41"/>
      <c r="K175" s="41"/>
      <c r="L175" s="41"/>
      <c r="M175" s="41"/>
      <c r="N175" s="41"/>
      <c r="O175" s="41"/>
      <c r="P175" s="41"/>
      <c r="Q175" s="41"/>
      <c r="R175" s="41"/>
      <c r="S175" s="41"/>
      <c r="T175" s="41"/>
      <c r="U175" s="41"/>
      <c r="V175" s="41"/>
      <c r="W175" s="41"/>
      <c r="X175" s="41"/>
      <c r="Y175" s="41"/>
      <c r="Z175" s="41"/>
      <c r="AA175" s="41"/>
      <c r="AB175" s="118"/>
      <c r="AC175" s="32"/>
      <c r="AD175" s="41"/>
      <c r="AE175" s="41"/>
      <c r="AF175" s="41"/>
      <c r="AG175" s="41"/>
      <c r="AH175" s="41"/>
      <c r="AI175" s="41"/>
      <c r="AJ175" s="41"/>
      <c r="AK175" s="41"/>
      <c r="AL175" s="41"/>
      <c r="AM175" s="41"/>
      <c r="AN175" s="41"/>
      <c r="AO175" s="41"/>
      <c r="AP175" s="41"/>
      <c r="AQ175" s="41"/>
      <c r="AR175" s="41"/>
      <c r="AS175" s="41"/>
      <c r="AT175" s="41"/>
      <c r="AU175" s="41"/>
      <c r="AV175" s="41"/>
      <c r="AW175" s="41"/>
      <c r="AX175" s="41"/>
      <c r="AY175" s="211"/>
      <c r="AZ175" s="41"/>
      <c r="BA175" s="41"/>
      <c r="BB175" s="41"/>
      <c r="BC175" s="41"/>
      <c r="BD175" s="41"/>
      <c r="BE175" s="41"/>
      <c r="BF175" s="41"/>
      <c r="BG175" s="41"/>
      <c r="BH175" s="41"/>
      <c r="BI175" s="41"/>
      <c r="BJ175" s="41"/>
      <c r="BK175" s="41"/>
      <c r="BL175" s="41"/>
      <c r="BM175" s="41"/>
      <c r="BN175" s="41"/>
      <c r="BO175" s="41"/>
      <c r="BP175" s="41"/>
      <c r="BQ175" s="41"/>
      <c r="BR175" s="41"/>
      <c r="BS175" s="41"/>
      <c r="BT175" s="41"/>
      <c r="BU175" s="41"/>
      <c r="BV175" s="41"/>
      <c r="BW175" s="41"/>
      <c r="BX175" s="41"/>
      <c r="BY175" s="41"/>
      <c r="BZ175" s="41"/>
      <c r="CA175" s="41"/>
      <c r="CB175" s="41"/>
      <c r="CC175" s="41"/>
      <c r="CD175" s="41"/>
      <c r="CE175" s="41"/>
      <c r="CF175" s="41"/>
      <c r="CG175" s="41"/>
      <c r="CH175" s="41"/>
      <c r="CI175" s="41"/>
      <c r="CJ175" s="41"/>
      <c r="CK175" s="41"/>
      <c r="CL175" s="41"/>
      <c r="CM175" s="41"/>
      <c r="CN175" s="41"/>
      <c r="CO175" s="41"/>
      <c r="CP175" s="41"/>
      <c r="CQ175" s="41"/>
      <c r="CR175" s="41"/>
      <c r="CS175" s="41"/>
      <c r="CT175" s="41"/>
      <c r="CU175" s="41"/>
      <c r="CV175" s="41"/>
      <c r="CW175" s="41"/>
      <c r="CX175" s="41"/>
      <c r="CY175" s="41"/>
      <c r="CZ175" s="211"/>
      <c r="DA175" s="41"/>
      <c r="DB175" s="41"/>
      <c r="DC175" s="41"/>
      <c r="DD175" s="41"/>
      <c r="DE175" s="41"/>
      <c r="DF175" s="41"/>
      <c r="DG175" s="41"/>
      <c r="DH175" s="41"/>
      <c r="DI175" s="41"/>
    </row>
    <row r="176" spans="1:113" ht="12" outlineLevel="1">
      <c r="A176" s="1" t="s">
        <v>601</v>
      </c>
      <c r="B176" s="15" t="s">
        <v>164</v>
      </c>
      <c r="C176" s="41">
        <f t="shared" ref="C176:L176" si="1904">C157+C164+C170</f>
        <v>53683</v>
      </c>
      <c r="D176" s="41">
        <f t="shared" si="1904"/>
        <v>57493</v>
      </c>
      <c r="E176" s="41">
        <f t="shared" si="1904"/>
        <v>62500</v>
      </c>
      <c r="F176" s="41">
        <f t="shared" si="1904"/>
        <v>67898</v>
      </c>
      <c r="G176" s="41">
        <f t="shared" si="1904"/>
        <v>73394</v>
      </c>
      <c r="H176" s="41">
        <f t="shared" si="1904"/>
        <v>96373</v>
      </c>
      <c r="I176" s="41">
        <f t="shared" si="1904"/>
        <v>110643</v>
      </c>
      <c r="J176" s="41">
        <f t="shared" si="1904"/>
        <v>120063</v>
      </c>
      <c r="K176" s="41">
        <f t="shared" si="1904"/>
        <v>126647</v>
      </c>
      <c r="L176" s="41">
        <f t="shared" si="1904"/>
        <v>132500</v>
      </c>
      <c r="M176" s="41">
        <f t="shared" ref="M176:AB176" si="1905">M157+M164+M170</f>
        <v>140556</v>
      </c>
      <c r="N176" s="41">
        <f t="shared" si="1905"/>
        <v>148641</v>
      </c>
      <c r="O176" s="41">
        <f t="shared" si="1905"/>
        <v>157384</v>
      </c>
      <c r="P176" s="41">
        <f t="shared" si="1905"/>
        <v>167450</v>
      </c>
      <c r="Q176" s="41">
        <f t="shared" si="1905"/>
        <v>175826</v>
      </c>
      <c r="R176" s="41">
        <f t="shared" si="1905"/>
        <v>184879</v>
      </c>
      <c r="S176" s="41">
        <f t="shared" si="1905"/>
        <v>188090</v>
      </c>
      <c r="T176" s="41">
        <f t="shared" si="1905"/>
        <v>192836</v>
      </c>
      <c r="U176" s="41">
        <f t="shared" si="1905"/>
        <v>202658</v>
      </c>
      <c r="V176" s="41">
        <f t="shared" si="1905"/>
        <v>207775</v>
      </c>
      <c r="W176" s="41">
        <f t="shared" si="1905"/>
        <v>215382</v>
      </c>
      <c r="X176" s="41">
        <f t="shared" si="1905"/>
        <v>224541</v>
      </c>
      <c r="Y176" s="41">
        <f t="shared" si="1905"/>
        <v>230706</v>
      </c>
      <c r="Z176" s="41">
        <f t="shared" si="1905"/>
        <v>238282</v>
      </c>
      <c r="AA176" s="41">
        <f t="shared" si="1905"/>
        <v>253277</v>
      </c>
      <c r="AB176" s="41">
        <f t="shared" si="1905"/>
        <v>264713</v>
      </c>
      <c r="AC176" s="41">
        <f t="shared" ref="AC176:AD176" si="1906">AC157+AC164+AC170</f>
        <v>271388</v>
      </c>
      <c r="AD176" s="41">
        <f t="shared" si="1906"/>
        <v>288497</v>
      </c>
      <c r="AE176" s="41">
        <f t="shared" ref="AE176:AF176" si="1907">AE157+AE164+AE170</f>
        <v>300468</v>
      </c>
      <c r="AF176" s="41">
        <f t="shared" si="1907"/>
        <v>313301</v>
      </c>
      <c r="AG176" s="41">
        <f t="shared" ref="AG176:AH176" si="1908">AG157+AG164+AG170</f>
        <v>323144</v>
      </c>
      <c r="AH176" s="41">
        <f t="shared" si="1908"/>
        <v>330814</v>
      </c>
      <c r="AI176" s="41">
        <f t="shared" ref="AI176:AJ176" si="1909">AI157+AI164+AI170</f>
        <v>337309</v>
      </c>
      <c r="AJ176" s="41">
        <f t="shared" si="1909"/>
        <v>345111</v>
      </c>
      <c r="AK176" s="41">
        <f t="shared" ref="AK176:AL176" si="1910">AK157+AK164+AK170</f>
        <v>346154</v>
      </c>
      <c r="AL176" s="41">
        <f t="shared" si="1910"/>
        <v>348946</v>
      </c>
      <c r="AM176" s="41">
        <f t="shared" ref="AM176:AN176" si="1911">AM157+AM164+AM170</f>
        <v>343808</v>
      </c>
      <c r="AN176" s="41">
        <f t="shared" si="1911"/>
        <v>349428</v>
      </c>
      <c r="AO176" s="41">
        <f t="shared" ref="AO176" si="1912">AO157+AO164+AO170</f>
        <v>358350</v>
      </c>
      <c r="AP176" s="41">
        <f t="shared" ref="AP176:AQ176" si="1913">AP157+AP164+AP170</f>
        <v>368578</v>
      </c>
      <c r="AQ176" s="41">
        <f t="shared" si="1913"/>
        <v>372572</v>
      </c>
      <c r="AR176" s="41">
        <f t="shared" ref="AR176:AS176" si="1914">AR157+AR164+AR170</f>
        <v>374152</v>
      </c>
      <c r="AS176" s="41">
        <f t="shared" si="1914"/>
        <v>374625</v>
      </c>
      <c r="AT176" s="41">
        <f t="shared" ref="AT176:AU176" si="1915">AT157+AT164+AT170</f>
        <v>391011</v>
      </c>
      <c r="AU176" s="41">
        <f t="shared" si="1915"/>
        <v>404491</v>
      </c>
      <c r="AV176" s="41">
        <f t="shared" ref="AV176:AW176" si="1916">AV157+AV164+AV170</f>
        <v>414941</v>
      </c>
      <c r="AW176" s="41">
        <f t="shared" si="1916"/>
        <v>484554</v>
      </c>
      <c r="AX176" s="41">
        <f t="shared" ref="AX176:AY176" si="1917">AX157+AX164+AX170</f>
        <v>495263</v>
      </c>
      <c r="AY176" s="211">
        <f t="shared" si="1917"/>
        <v>503997</v>
      </c>
      <c r="AZ176" s="41">
        <f t="shared" ref="AZ176:BA176" si="1918">AZ157+AZ164+AZ170</f>
        <v>519397.61440125015</v>
      </c>
      <c r="BA176" s="41">
        <f t="shared" si="1918"/>
        <v>527530.68181102676</v>
      </c>
      <c r="BB176" s="41">
        <f t="shared" ref="BB176:BC176" si="1919">BB157+BB164+BB170</f>
        <v>537255.0487025266</v>
      </c>
      <c r="BC176" s="41">
        <f t="shared" si="1919"/>
        <v>551147.63119893963</v>
      </c>
      <c r="BD176" s="41">
        <f t="shared" ref="BD176:BE176" si="1920">BD157+BD164+BD170</f>
        <v>564995.06850057899</v>
      </c>
      <c r="BE176" s="41">
        <f t="shared" si="1920"/>
        <v>578812.76036093442</v>
      </c>
      <c r="BF176" s="41">
        <f t="shared" ref="BF176:BG176" si="1921">BF157+BF164+BF170</f>
        <v>592227.66629810119</v>
      </c>
      <c r="BG176" s="41">
        <f t="shared" si="1921"/>
        <v>605192.56053800916</v>
      </c>
      <c r="BH176" s="41">
        <f t="shared" ref="BH176:BI176" si="1922">BH157+BH164+BH170</f>
        <v>617500.61780936981</v>
      </c>
      <c r="BI176" s="41">
        <f t="shared" si="1922"/>
        <v>628855.77230975055</v>
      </c>
      <c r="BJ176" s="41">
        <f t="shared" ref="BJ176:BK176" si="1923">BJ157+BJ164+BJ170</f>
        <v>640986.47543398652</v>
      </c>
      <c r="BK176" s="41">
        <f t="shared" si="1923"/>
        <v>653881.63895531127</v>
      </c>
      <c r="BL176" s="41">
        <f t="shared" ref="BL176:BM176" si="1924">BL157+BL164+BL170</f>
        <v>667036.44867801887</v>
      </c>
      <c r="BM176" s="41">
        <f t="shared" si="1924"/>
        <v>680456.14162734104</v>
      </c>
      <c r="BN176" s="41">
        <f t="shared" ref="BN176:BO176" si="1925">BN157+BN164+BN170</f>
        <v>694146.06081818021</v>
      </c>
      <c r="BO176" s="41">
        <f t="shared" si="1925"/>
        <v>708111.65741452051</v>
      </c>
      <c r="BP176" s="41">
        <f t="shared" ref="BP176:BQ176" si="1926">BP157+BP164+BP170</f>
        <v>722358.492933403</v>
      </c>
      <c r="BQ176" s="41">
        <f t="shared" si="1926"/>
        <v>736892.24149440904</v>
      </c>
      <c r="BR176" s="41"/>
      <c r="BS176" s="41">
        <f>9937.6+3418.8</f>
        <v>13356.400000000001</v>
      </c>
      <c r="BT176" s="41">
        <f>10592.1+4080.1</f>
        <v>14672.2</v>
      </c>
      <c r="BU176" s="41">
        <f>13167+4934</f>
        <v>18101</v>
      </c>
      <c r="BV176" s="41">
        <f t="shared" ref="BV176:CB176" si="1927">BV157+BV164+BV170</f>
        <v>25034.844102821895</v>
      </c>
      <c r="BW176" s="41">
        <f t="shared" si="1927"/>
        <v>27534.393502951061</v>
      </c>
      <c r="BX176" s="41">
        <f t="shared" si="1927"/>
        <v>30247.588679712655</v>
      </c>
      <c r="BY176" s="41">
        <f t="shared" si="1927"/>
        <v>33765.914664354714</v>
      </c>
      <c r="BZ176" s="41">
        <f t="shared" si="1927"/>
        <v>40133</v>
      </c>
      <c r="CA176" s="41">
        <f t="shared" si="1927"/>
        <v>49428</v>
      </c>
      <c r="CB176" s="41">
        <f t="shared" si="1927"/>
        <v>53683</v>
      </c>
      <c r="CC176" s="41">
        <f t="shared" ref="CC176:CC181" si="1928">E176</f>
        <v>62500</v>
      </c>
      <c r="CD176" s="41">
        <f t="shared" ref="CD176:CD181" si="1929">G176</f>
        <v>73394</v>
      </c>
      <c r="CE176" s="41">
        <f t="shared" ref="CE176:CE181" si="1930">I176</f>
        <v>110643</v>
      </c>
      <c r="CF176" s="41">
        <f t="shared" ref="CF176:CF181" si="1931">K176</f>
        <v>126647</v>
      </c>
      <c r="CG176" s="41">
        <f t="shared" ref="CG176:CG181" si="1932">M176</f>
        <v>140556</v>
      </c>
      <c r="CH176" s="41">
        <f t="shared" ref="CH176:CH181" si="1933">O176</f>
        <v>157384</v>
      </c>
      <c r="CI176" s="41">
        <f t="shared" ref="CI176:CI181" si="1934">Q176</f>
        <v>175826</v>
      </c>
      <c r="CJ176" s="41">
        <f t="shared" ref="CJ176:CJ181" si="1935">S176</f>
        <v>188090</v>
      </c>
      <c r="CK176" s="41">
        <f t="shared" ref="CK176:CK181" si="1936">U176</f>
        <v>202658</v>
      </c>
      <c r="CL176" s="41">
        <f t="shared" ref="CL176:CL181" si="1937">W176</f>
        <v>215382</v>
      </c>
      <c r="CM176" s="41">
        <f t="shared" ref="CM176:CM181" si="1938">Y176</f>
        <v>230706</v>
      </c>
      <c r="CN176" s="41">
        <f t="shared" ref="CN176:CN181" si="1939">AA176</f>
        <v>253277</v>
      </c>
      <c r="CO176" s="41">
        <f t="shared" ref="CO176:CO181" si="1940">AC176</f>
        <v>271388</v>
      </c>
      <c r="CP176" s="41">
        <f t="shared" ref="CP176:CP181" si="1941">AE176</f>
        <v>300468</v>
      </c>
      <c r="CQ176" s="41">
        <f>AG176</f>
        <v>323144</v>
      </c>
      <c r="CR176" s="41">
        <f t="shared" ref="CR176:CR181" si="1942">AI176</f>
        <v>337309</v>
      </c>
      <c r="CS176" s="41">
        <f t="shared" ref="CS176:CS181" si="1943">AK176</f>
        <v>346154</v>
      </c>
      <c r="CT176" s="41">
        <f t="shared" ref="CT176:CT181" si="1944">AM176</f>
        <v>343808</v>
      </c>
      <c r="CU176" s="41">
        <f t="shared" ref="CU176:CU181" si="1945">AO176</f>
        <v>358350</v>
      </c>
      <c r="CV176" s="41">
        <f t="shared" ref="CV176:CV181" si="1946">AQ176</f>
        <v>372572</v>
      </c>
      <c r="CW176" s="41">
        <f t="shared" ref="CW176:CW181" si="1947">AS176</f>
        <v>374625</v>
      </c>
      <c r="CX176" s="41">
        <f t="shared" ref="CX176:CX181" si="1948">AU176</f>
        <v>404491</v>
      </c>
      <c r="CY176" s="41">
        <f t="shared" ref="CY176:CY181" si="1949">AW176</f>
        <v>484554</v>
      </c>
      <c r="CZ176" s="211">
        <f t="shared" ref="CZ176:CZ181" si="1950">AY176</f>
        <v>503997</v>
      </c>
      <c r="DA176" s="41">
        <f t="shared" ref="DA176:DA181" si="1951">BA176</f>
        <v>527530.68181102676</v>
      </c>
      <c r="DB176" s="41">
        <f t="shared" ref="DB176:DB181" si="1952">BC176</f>
        <v>551147.63119893963</v>
      </c>
      <c r="DC176" s="41">
        <f t="shared" ref="DC176:DC181" si="1953">BE176</f>
        <v>578812.76036093442</v>
      </c>
      <c r="DD176" s="41">
        <f t="shared" ref="DD176:DD181" si="1954">BG176</f>
        <v>605192.56053800916</v>
      </c>
      <c r="DE176" s="41">
        <f t="shared" ref="DE176:DE181" si="1955">BI176</f>
        <v>628855.77230975055</v>
      </c>
      <c r="DF176" s="41">
        <f t="shared" ref="DF176:DF181" si="1956">BK176</f>
        <v>653881.63895531127</v>
      </c>
      <c r="DG176" s="41">
        <f t="shared" ref="DG176:DG181" si="1957">BM176</f>
        <v>680456.14162734104</v>
      </c>
      <c r="DH176" s="41">
        <f t="shared" ref="DH176:DH181" si="1958">BO176</f>
        <v>708111.65741452051</v>
      </c>
      <c r="DI176" s="41">
        <f t="shared" ref="DI176:DI181" si="1959">BQ176</f>
        <v>736892.24149440904</v>
      </c>
    </row>
    <row r="177" spans="1:113" ht="12" outlineLevel="1">
      <c r="A177" s="1" t="s">
        <v>608</v>
      </c>
      <c r="B177" s="15" t="s">
        <v>344</v>
      </c>
      <c r="C177" s="41">
        <f t="shared" ref="C177:L177" si="1960">C178-C176</f>
        <v>73007</v>
      </c>
      <c r="D177" s="41">
        <f t="shared" si="1960"/>
        <v>71014</v>
      </c>
      <c r="E177" s="41">
        <f t="shared" si="1960"/>
        <v>72849</v>
      </c>
      <c r="F177" s="41">
        <f t="shared" si="1960"/>
        <v>77427</v>
      </c>
      <c r="G177" s="41">
        <f t="shared" si="1960"/>
        <v>79393</v>
      </c>
      <c r="H177" s="41">
        <f t="shared" si="1960"/>
        <v>96097</v>
      </c>
      <c r="I177" s="41">
        <f t="shared" si="1960"/>
        <v>98171</v>
      </c>
      <c r="J177" s="41">
        <f t="shared" si="1960"/>
        <v>104229</v>
      </c>
      <c r="K177" s="41">
        <f t="shared" si="1960"/>
        <v>109857</v>
      </c>
      <c r="L177" s="41">
        <f t="shared" si="1960"/>
        <v>113243</v>
      </c>
      <c r="M177" s="41">
        <f t="shared" ref="M177:AB177" si="1961">M178-M176</f>
        <v>119175</v>
      </c>
      <c r="N177" s="41">
        <f t="shared" si="1961"/>
        <v>123117</v>
      </c>
      <c r="O177" s="41">
        <f t="shared" si="1961"/>
        <v>135464</v>
      </c>
      <c r="P177" s="41">
        <f t="shared" si="1961"/>
        <v>154523</v>
      </c>
      <c r="Q177" s="41">
        <f t="shared" si="1961"/>
        <v>164224</v>
      </c>
      <c r="R177" s="41">
        <f t="shared" si="1961"/>
        <v>162916</v>
      </c>
      <c r="S177" s="41">
        <f t="shared" si="1961"/>
        <v>150255</v>
      </c>
      <c r="T177" s="41">
        <f t="shared" si="1961"/>
        <v>148959</v>
      </c>
      <c r="U177" s="41">
        <f t="shared" si="1961"/>
        <v>155929</v>
      </c>
      <c r="V177" s="41">
        <f t="shared" si="1961"/>
        <v>177495</v>
      </c>
      <c r="W177" s="41">
        <f t="shared" si="1961"/>
        <v>187415</v>
      </c>
      <c r="X177" s="41">
        <f t="shared" si="1961"/>
        <v>193705</v>
      </c>
      <c r="Y177" s="41">
        <f t="shared" si="1961"/>
        <v>200860</v>
      </c>
      <c r="Z177" s="41">
        <f t="shared" si="1961"/>
        <v>219295</v>
      </c>
      <c r="AA177" s="41">
        <f t="shared" si="1961"/>
        <v>233540</v>
      </c>
      <c r="AB177" s="41">
        <f t="shared" si="1961"/>
        <v>247587</v>
      </c>
      <c r="AC177" s="41">
        <f t="shared" ref="AC177:AD177" si="1962">AC178-AC176</f>
        <v>252995</v>
      </c>
      <c r="AD177" s="41">
        <f t="shared" si="1962"/>
        <v>271988</v>
      </c>
      <c r="AE177" s="41">
        <f t="shared" ref="AE177:AF177" si="1963">AE178-AE176</f>
        <v>271902</v>
      </c>
      <c r="AF177" s="41">
        <f t="shared" si="1963"/>
        <v>251390</v>
      </c>
      <c r="AG177" s="41">
        <f t="shared" ref="AG177:AH177" si="1964">AG178-AG176</f>
        <v>255800</v>
      </c>
      <c r="AH177" s="41">
        <f t="shared" si="1964"/>
        <v>248397</v>
      </c>
      <c r="AI177" s="41">
        <f t="shared" ref="AI177:AJ177" si="1965">AI178-AI176</f>
        <v>246135</v>
      </c>
      <c r="AJ177" s="41">
        <f t="shared" si="1965"/>
        <v>249828</v>
      </c>
      <c r="AK177" s="41">
        <f t="shared" ref="AK177:AL177" si="1966">AK178-AK176</f>
        <v>261659</v>
      </c>
      <c r="AL177" s="41">
        <f t="shared" si="1966"/>
        <v>264323</v>
      </c>
      <c r="AM177" s="41">
        <f t="shared" ref="AM177:AN177" si="1967">AM178-AM176</f>
        <v>274487</v>
      </c>
      <c r="AN177" s="41">
        <f t="shared" si="1967"/>
        <v>311353</v>
      </c>
      <c r="AO177" s="41">
        <f t="shared" ref="AO177" si="1968">AO178-AO176</f>
        <v>262922</v>
      </c>
      <c r="AP177" s="41">
        <f t="shared" ref="AP177:AQ177" si="1969">AP178-AP176</f>
        <v>249090</v>
      </c>
      <c r="AQ177" s="41">
        <f t="shared" si="1969"/>
        <v>260192</v>
      </c>
      <c r="AR177" s="41">
        <f t="shared" ref="AR177:AS177" si="1970">AR178-AR176</f>
        <v>279821</v>
      </c>
      <c r="AS177" s="41">
        <f t="shared" si="1970"/>
        <v>299000</v>
      </c>
      <c r="AT177" s="41">
        <f t="shared" ref="AT177:AU177" si="1971">AT178-AT176</f>
        <v>300095</v>
      </c>
      <c r="AU177" s="41">
        <f t="shared" si="1971"/>
        <v>303139</v>
      </c>
      <c r="AV177" s="41">
        <f t="shared" ref="AV177:AW177" si="1972">AV178-AV176</f>
        <v>300571</v>
      </c>
      <c r="AW177" s="41">
        <f t="shared" si="1972"/>
        <v>318781</v>
      </c>
      <c r="AX177" s="41">
        <f t="shared" ref="AX177:AY177" si="1973">AX178-AX176</f>
        <v>324949</v>
      </c>
      <c r="AY177" s="211">
        <f t="shared" si="1973"/>
        <v>325474</v>
      </c>
      <c r="AZ177" s="41">
        <f t="shared" ref="AZ177:BA177" si="1974">AZ178-AZ176</f>
        <v>327361.24211088032</v>
      </c>
      <c r="BA177" s="41">
        <f t="shared" si="1974"/>
        <v>331370.79647035256</v>
      </c>
      <c r="BB177" s="41">
        <f t="shared" ref="BB177:BC177" si="1975">BB178-BB176</f>
        <v>334330.26892412396</v>
      </c>
      <c r="BC177" s="41">
        <f t="shared" si="1975"/>
        <v>336693.28190129006</v>
      </c>
      <c r="BD177" s="41">
        <f t="shared" ref="BD177:BE177" si="1976">BD178-BD176</f>
        <v>338767.57988765824</v>
      </c>
      <c r="BE177" s="41">
        <f t="shared" si="1976"/>
        <v>341364.59512987616</v>
      </c>
      <c r="BF177" s="41">
        <f t="shared" ref="BF177:BG177" si="1977">BF178-BF176</f>
        <v>343395.97610791866</v>
      </c>
      <c r="BG177" s="41">
        <f t="shared" si="1977"/>
        <v>345540.08190499002</v>
      </c>
      <c r="BH177" s="41">
        <f t="shared" ref="BH177:BI177" si="1978">BH178-BH176</f>
        <v>351350.63200488256</v>
      </c>
      <c r="BI177" s="41">
        <f t="shared" si="1978"/>
        <v>357328.71135543066</v>
      </c>
      <c r="BJ177" s="41">
        <f t="shared" ref="BJ177:BK177" si="1979">BJ178-BJ176</f>
        <v>364241.10263902543</v>
      </c>
      <c r="BK177" s="41">
        <f t="shared" si="1979"/>
        <v>370167.5350251015</v>
      </c>
      <c r="BL177" s="41">
        <f t="shared" ref="BL177:BM177" si="1980">BL178-BL176</f>
        <v>376214.79151955282</v>
      </c>
      <c r="BM177" s="41">
        <f t="shared" si="1980"/>
        <v>382385.230561723</v>
      </c>
      <c r="BN177" s="41">
        <f t="shared" ref="BN177:BO177" si="1981">BN178-BN176</f>
        <v>389739.16505656298</v>
      </c>
      <c r="BO177" s="41">
        <f t="shared" si="1981"/>
        <v>397237.00962426222</v>
      </c>
      <c r="BP177" s="41">
        <f t="shared" ref="BP177:BQ177" si="1982">BP178-BP176</f>
        <v>405762.1279702743</v>
      </c>
      <c r="BQ177" s="41">
        <f t="shared" si="1982"/>
        <v>414489.73646991001</v>
      </c>
      <c r="BR177" s="41"/>
      <c r="BS177" s="41">
        <f t="shared" ref="BS177:CB177" si="1983">BS178-BS176</f>
        <v>48165.599999999999</v>
      </c>
      <c r="BT177" s="41">
        <f t="shared" si="1983"/>
        <v>46376.800000000003</v>
      </c>
      <c r="BU177" s="41">
        <f t="shared" si="1983"/>
        <v>45059</v>
      </c>
      <c r="BV177" s="41">
        <f t="shared" si="1983"/>
        <v>46259.155897178105</v>
      </c>
      <c r="BW177" s="41">
        <f t="shared" si="1983"/>
        <v>51384.606497048939</v>
      </c>
      <c r="BX177" s="41">
        <f t="shared" si="1983"/>
        <v>56776.411320287341</v>
      </c>
      <c r="BY177" s="41">
        <f t="shared" si="1983"/>
        <v>64145.085335645286</v>
      </c>
      <c r="BZ177" s="41">
        <f t="shared" si="1983"/>
        <v>67418</v>
      </c>
      <c r="CA177" s="41">
        <f t="shared" si="1983"/>
        <v>70204</v>
      </c>
      <c r="CB177" s="41">
        <f t="shared" si="1983"/>
        <v>73007</v>
      </c>
      <c r="CC177" s="41">
        <f t="shared" si="1928"/>
        <v>72849</v>
      </c>
      <c r="CD177" s="41">
        <f t="shared" si="1929"/>
        <v>79393</v>
      </c>
      <c r="CE177" s="41">
        <f t="shared" si="1930"/>
        <v>98171</v>
      </c>
      <c r="CF177" s="41">
        <f t="shared" si="1931"/>
        <v>109857</v>
      </c>
      <c r="CG177" s="41">
        <f t="shared" si="1932"/>
        <v>119175</v>
      </c>
      <c r="CH177" s="41">
        <f t="shared" si="1933"/>
        <v>135464</v>
      </c>
      <c r="CI177" s="41">
        <f t="shared" si="1934"/>
        <v>164224</v>
      </c>
      <c r="CJ177" s="41">
        <f t="shared" si="1935"/>
        <v>150255</v>
      </c>
      <c r="CK177" s="41">
        <f t="shared" si="1936"/>
        <v>155929</v>
      </c>
      <c r="CL177" s="41">
        <f t="shared" si="1937"/>
        <v>187415</v>
      </c>
      <c r="CM177" s="41">
        <f t="shared" si="1938"/>
        <v>200860</v>
      </c>
      <c r="CN177" s="41">
        <f t="shared" si="1939"/>
        <v>233540</v>
      </c>
      <c r="CO177" s="41">
        <f t="shared" si="1940"/>
        <v>252995</v>
      </c>
      <c r="CP177" s="41">
        <f t="shared" si="1941"/>
        <v>271902</v>
      </c>
      <c r="CQ177" s="41">
        <f t="shared" ref="CQ177:CQ181" si="1984">AG177</f>
        <v>255800</v>
      </c>
      <c r="CR177" s="41">
        <f t="shared" si="1942"/>
        <v>246135</v>
      </c>
      <c r="CS177" s="41">
        <f t="shared" si="1943"/>
        <v>261659</v>
      </c>
      <c r="CT177" s="41">
        <f t="shared" si="1944"/>
        <v>274487</v>
      </c>
      <c r="CU177" s="41">
        <f t="shared" si="1945"/>
        <v>262922</v>
      </c>
      <c r="CV177" s="41">
        <f t="shared" si="1946"/>
        <v>260192</v>
      </c>
      <c r="CW177" s="41">
        <f t="shared" si="1947"/>
        <v>299000</v>
      </c>
      <c r="CX177" s="41">
        <f t="shared" si="1948"/>
        <v>303139</v>
      </c>
      <c r="CY177" s="41">
        <f t="shared" si="1949"/>
        <v>318781</v>
      </c>
      <c r="CZ177" s="211">
        <f t="shared" si="1950"/>
        <v>325474</v>
      </c>
      <c r="DA177" s="41">
        <f t="shared" si="1951"/>
        <v>331370.79647035256</v>
      </c>
      <c r="DB177" s="41">
        <f t="shared" si="1952"/>
        <v>336693.28190129006</v>
      </c>
      <c r="DC177" s="41">
        <f t="shared" si="1953"/>
        <v>341364.59512987616</v>
      </c>
      <c r="DD177" s="41">
        <f t="shared" si="1954"/>
        <v>345540.08190499002</v>
      </c>
      <c r="DE177" s="41">
        <f t="shared" si="1955"/>
        <v>357328.71135543066</v>
      </c>
      <c r="DF177" s="41">
        <f t="shared" si="1956"/>
        <v>370167.5350251015</v>
      </c>
      <c r="DG177" s="41">
        <f t="shared" si="1957"/>
        <v>382385.230561723</v>
      </c>
      <c r="DH177" s="41">
        <f t="shared" si="1958"/>
        <v>397237.00962426222</v>
      </c>
      <c r="DI177" s="41">
        <f t="shared" si="1959"/>
        <v>414489.73646991001</v>
      </c>
    </row>
    <row r="178" spans="1:113" s="17" customFormat="1" ht="12" outlineLevel="1">
      <c r="A178" s="1" t="s">
        <v>609</v>
      </c>
      <c r="B178" s="17" t="s">
        <v>168</v>
      </c>
      <c r="C178" s="62">
        <f t="shared" ref="C178:L178" si="1985">C161+C167+C173</f>
        <v>126690</v>
      </c>
      <c r="D178" s="62">
        <f t="shared" si="1985"/>
        <v>128507</v>
      </c>
      <c r="E178" s="62">
        <f t="shared" si="1985"/>
        <v>135349</v>
      </c>
      <c r="F178" s="62">
        <f t="shared" si="1985"/>
        <v>145325</v>
      </c>
      <c r="G178" s="62">
        <f t="shared" si="1985"/>
        <v>152787</v>
      </c>
      <c r="H178" s="62">
        <f t="shared" si="1985"/>
        <v>192470</v>
      </c>
      <c r="I178" s="62">
        <f t="shared" si="1985"/>
        <v>208814</v>
      </c>
      <c r="J178" s="62">
        <f t="shared" si="1985"/>
        <v>224292</v>
      </c>
      <c r="K178" s="62">
        <f t="shared" si="1985"/>
        <v>236504</v>
      </c>
      <c r="L178" s="62">
        <f t="shared" si="1985"/>
        <v>245743</v>
      </c>
      <c r="M178" s="62">
        <f t="shared" ref="M178:AB178" si="1986">M161+M167+M173</f>
        <v>259731</v>
      </c>
      <c r="N178" s="62">
        <f t="shared" si="1986"/>
        <v>271758</v>
      </c>
      <c r="O178" s="62">
        <f t="shared" si="1986"/>
        <v>292848</v>
      </c>
      <c r="P178" s="62">
        <f t="shared" si="1986"/>
        <v>321973</v>
      </c>
      <c r="Q178" s="62">
        <f t="shared" si="1986"/>
        <v>340050</v>
      </c>
      <c r="R178" s="62">
        <f t="shared" si="1986"/>
        <v>347795</v>
      </c>
      <c r="S178" s="62">
        <f t="shared" si="1986"/>
        <v>338345</v>
      </c>
      <c r="T178" s="62">
        <f t="shared" si="1986"/>
        <v>341795</v>
      </c>
      <c r="U178" s="62">
        <f t="shared" si="1986"/>
        <v>358587</v>
      </c>
      <c r="V178" s="62">
        <f t="shared" si="1986"/>
        <v>385270</v>
      </c>
      <c r="W178" s="62">
        <f t="shared" si="1986"/>
        <v>402797</v>
      </c>
      <c r="X178" s="62">
        <f t="shared" si="1986"/>
        <v>418246</v>
      </c>
      <c r="Y178" s="62">
        <f t="shared" si="1986"/>
        <v>431566</v>
      </c>
      <c r="Z178" s="62">
        <f t="shared" si="1986"/>
        <v>457577</v>
      </c>
      <c r="AA178" s="62">
        <f t="shared" si="1986"/>
        <v>486817</v>
      </c>
      <c r="AB178" s="62">
        <f t="shared" si="1986"/>
        <v>512300</v>
      </c>
      <c r="AC178" s="62">
        <f t="shared" ref="AC178:AD178" si="1987">AC161+AC167+AC173</f>
        <v>524383</v>
      </c>
      <c r="AD178" s="62">
        <f t="shared" si="1987"/>
        <v>560485</v>
      </c>
      <c r="AE178" s="62">
        <f t="shared" ref="AE178:AF178" si="1988">AE161+AE167+AE173</f>
        <v>572370</v>
      </c>
      <c r="AF178" s="62">
        <f t="shared" si="1988"/>
        <v>564691</v>
      </c>
      <c r="AG178" s="62">
        <f t="shared" ref="AG178:AH178" si="1989">AG161+AG167+AG173</f>
        <v>578944</v>
      </c>
      <c r="AH178" s="62">
        <f t="shared" si="1989"/>
        <v>579211</v>
      </c>
      <c r="AI178" s="62">
        <f t="shared" ref="AI178:AJ178" si="1990">AI161+AI167+AI173</f>
        <v>583444</v>
      </c>
      <c r="AJ178" s="62">
        <f t="shared" si="1990"/>
        <v>594939</v>
      </c>
      <c r="AK178" s="62">
        <f t="shared" ref="AK178:AL178" si="1991">AK161+AK167+AK173</f>
        <v>607813</v>
      </c>
      <c r="AL178" s="62">
        <f t="shared" si="1991"/>
        <v>613269</v>
      </c>
      <c r="AM178" s="62">
        <f t="shared" ref="AM178:AN178" si="1992">AM161+AM167+AM173</f>
        <v>618295</v>
      </c>
      <c r="AN178" s="62">
        <f t="shared" si="1992"/>
        <v>660781</v>
      </c>
      <c r="AO178" s="62">
        <f t="shared" ref="AO178" si="1993">AO161+AO167+AO173</f>
        <v>621272</v>
      </c>
      <c r="AP178" s="62">
        <f t="shared" ref="AP178:AQ178" si="1994">AP161+AP167+AP173</f>
        <v>617668</v>
      </c>
      <c r="AQ178" s="62">
        <f t="shared" si="1994"/>
        <v>632764</v>
      </c>
      <c r="AR178" s="62">
        <f t="shared" ref="AR178:AS178" si="1995">AR161+AR167+AR173</f>
        <v>653973</v>
      </c>
      <c r="AS178" s="62">
        <f t="shared" si="1995"/>
        <v>673625</v>
      </c>
      <c r="AT178" s="62">
        <f t="shared" ref="AT178:AU178" si="1996">AT161+AT167+AT173</f>
        <v>691106</v>
      </c>
      <c r="AU178" s="62">
        <f t="shared" si="1996"/>
        <v>707630</v>
      </c>
      <c r="AV178" s="62">
        <f t="shared" ref="AV178:AW178" si="1997">AV161+AV167+AV173</f>
        <v>715512</v>
      </c>
      <c r="AW178" s="62">
        <f t="shared" si="1997"/>
        <v>803335</v>
      </c>
      <c r="AX178" s="62">
        <f t="shared" ref="AX178:AY178" si="1998">AX161+AX167+AX173</f>
        <v>820212</v>
      </c>
      <c r="AY178" s="220">
        <f t="shared" si="1998"/>
        <v>829471</v>
      </c>
      <c r="AZ178" s="62">
        <f t="shared" ref="AZ178:BA178" si="1999">AZ161+AZ167+AZ173</f>
        <v>846758.85651213047</v>
      </c>
      <c r="BA178" s="62">
        <f t="shared" si="1999"/>
        <v>858901.47828137933</v>
      </c>
      <c r="BB178" s="62">
        <f t="shared" ref="BB178:BC178" si="2000">BB161+BB167+BB173</f>
        <v>871585.31762665056</v>
      </c>
      <c r="BC178" s="62">
        <f t="shared" si="2000"/>
        <v>887840.91310022969</v>
      </c>
      <c r="BD178" s="62">
        <f t="shared" ref="BD178:BE178" si="2001">BD161+BD167+BD173</f>
        <v>903762.64838823723</v>
      </c>
      <c r="BE178" s="62">
        <f t="shared" si="2001"/>
        <v>920177.35549081059</v>
      </c>
      <c r="BF178" s="62">
        <f t="shared" ref="BF178:BG178" si="2002">BF161+BF167+BF173</f>
        <v>935623.64240601985</v>
      </c>
      <c r="BG178" s="62">
        <f t="shared" si="2002"/>
        <v>950732.64244299917</v>
      </c>
      <c r="BH178" s="62">
        <f t="shared" ref="BH178:BI178" si="2003">BH161+BH167+BH173</f>
        <v>968851.24981425237</v>
      </c>
      <c r="BI178" s="62">
        <f t="shared" si="2003"/>
        <v>986184.48366518121</v>
      </c>
      <c r="BJ178" s="62">
        <f t="shared" ref="BJ178:BK178" si="2004">BJ161+BJ167+BJ173</f>
        <v>1005227.5780730119</v>
      </c>
      <c r="BK178" s="62">
        <f t="shared" si="2004"/>
        <v>1024049.1739804128</v>
      </c>
      <c r="BL178" s="62">
        <f t="shared" ref="BL178:BM178" si="2005">BL161+BL167+BL173</f>
        <v>1043251.2401975717</v>
      </c>
      <c r="BM178" s="62">
        <f t="shared" si="2005"/>
        <v>1062841.372189064</v>
      </c>
      <c r="BN178" s="62">
        <f t="shared" ref="BN178:BO178" si="2006">BN161+BN167+BN173</f>
        <v>1083885.2258747432</v>
      </c>
      <c r="BO178" s="62">
        <f t="shared" si="2006"/>
        <v>1105348.6670387827</v>
      </c>
      <c r="BP178" s="62">
        <f t="shared" ref="BP178:BQ178" si="2007">BP161+BP167+BP173</f>
        <v>1128120.6209036773</v>
      </c>
      <c r="BQ178" s="62">
        <f t="shared" si="2007"/>
        <v>1151381.9779643191</v>
      </c>
      <c r="BR178" s="62"/>
      <c r="BS178" s="62">
        <f t="shared" ref="BS178:CB178" si="2008">BS161+BS167+BS173</f>
        <v>61522</v>
      </c>
      <c r="BT178" s="62">
        <f t="shared" si="2008"/>
        <v>61049</v>
      </c>
      <c r="BU178" s="62">
        <f t="shared" si="2008"/>
        <v>63160</v>
      </c>
      <c r="BV178" s="62">
        <f t="shared" si="2008"/>
        <v>71294</v>
      </c>
      <c r="BW178" s="62">
        <f t="shared" si="2008"/>
        <v>78919</v>
      </c>
      <c r="BX178" s="62">
        <f t="shared" si="2008"/>
        <v>87024</v>
      </c>
      <c r="BY178" s="62">
        <f t="shared" si="2008"/>
        <v>97911</v>
      </c>
      <c r="BZ178" s="62">
        <f t="shared" si="2008"/>
        <v>107551</v>
      </c>
      <c r="CA178" s="62">
        <f t="shared" si="2008"/>
        <v>119632</v>
      </c>
      <c r="CB178" s="62">
        <f t="shared" si="2008"/>
        <v>126690</v>
      </c>
      <c r="CC178" s="62">
        <f t="shared" si="1928"/>
        <v>135349</v>
      </c>
      <c r="CD178" s="62">
        <f t="shared" si="1929"/>
        <v>152787</v>
      </c>
      <c r="CE178" s="62">
        <f t="shared" si="1930"/>
        <v>208814</v>
      </c>
      <c r="CF178" s="62">
        <f t="shared" si="1931"/>
        <v>236504</v>
      </c>
      <c r="CG178" s="62">
        <f t="shared" si="1932"/>
        <v>259731</v>
      </c>
      <c r="CH178" s="62">
        <f t="shared" si="1933"/>
        <v>292848</v>
      </c>
      <c r="CI178" s="62">
        <f t="shared" si="1934"/>
        <v>340050</v>
      </c>
      <c r="CJ178" s="62">
        <f t="shared" si="1935"/>
        <v>338345</v>
      </c>
      <c r="CK178" s="62">
        <f t="shared" si="1936"/>
        <v>358587</v>
      </c>
      <c r="CL178" s="62">
        <f t="shared" si="1937"/>
        <v>402797</v>
      </c>
      <c r="CM178" s="62">
        <f t="shared" si="1938"/>
        <v>431566</v>
      </c>
      <c r="CN178" s="62">
        <f t="shared" si="1939"/>
        <v>486817</v>
      </c>
      <c r="CO178" s="62">
        <f t="shared" si="1940"/>
        <v>524383</v>
      </c>
      <c r="CP178" s="62">
        <f t="shared" si="1941"/>
        <v>572370</v>
      </c>
      <c r="CQ178" s="62">
        <f t="shared" si="1984"/>
        <v>578944</v>
      </c>
      <c r="CR178" s="62">
        <f t="shared" si="1942"/>
        <v>583444</v>
      </c>
      <c r="CS178" s="62">
        <f t="shared" si="1943"/>
        <v>607813</v>
      </c>
      <c r="CT178" s="62">
        <f t="shared" si="1944"/>
        <v>618295</v>
      </c>
      <c r="CU178" s="62">
        <f t="shared" si="1945"/>
        <v>621272</v>
      </c>
      <c r="CV178" s="62">
        <f t="shared" si="1946"/>
        <v>632764</v>
      </c>
      <c r="CW178" s="62">
        <f t="shared" si="1947"/>
        <v>673625</v>
      </c>
      <c r="CX178" s="62">
        <f t="shared" si="1948"/>
        <v>707630</v>
      </c>
      <c r="CY178" s="62">
        <f t="shared" si="1949"/>
        <v>803335</v>
      </c>
      <c r="CZ178" s="220">
        <f t="shared" si="1950"/>
        <v>829471</v>
      </c>
      <c r="DA178" s="62">
        <f t="shared" si="1951"/>
        <v>858901.47828137933</v>
      </c>
      <c r="DB178" s="62">
        <f t="shared" si="1952"/>
        <v>887840.91310022969</v>
      </c>
      <c r="DC178" s="62">
        <f t="shared" si="1953"/>
        <v>920177.35549081059</v>
      </c>
      <c r="DD178" s="62">
        <f t="shared" si="1954"/>
        <v>950732.64244299917</v>
      </c>
      <c r="DE178" s="62">
        <f t="shared" si="1955"/>
        <v>986184.48366518121</v>
      </c>
      <c r="DF178" s="62">
        <f t="shared" si="1956"/>
        <v>1024049.1739804128</v>
      </c>
      <c r="DG178" s="62">
        <f t="shared" si="1957"/>
        <v>1062841.372189064</v>
      </c>
      <c r="DH178" s="62">
        <f t="shared" si="1958"/>
        <v>1105348.6670387827</v>
      </c>
      <c r="DI178" s="62">
        <f t="shared" si="1959"/>
        <v>1151381.9779643191</v>
      </c>
    </row>
    <row r="179" spans="1:113" ht="12" outlineLevel="1">
      <c r="A179" s="1" t="s">
        <v>610</v>
      </c>
      <c r="B179" s="15" t="s">
        <v>345</v>
      </c>
      <c r="C179" s="40">
        <v>14324</v>
      </c>
      <c r="D179" s="40">
        <v>14512</v>
      </c>
      <c r="E179" s="40">
        <v>13796</v>
      </c>
      <c r="F179" s="40">
        <v>13270</v>
      </c>
      <c r="G179" s="40">
        <v>13178</v>
      </c>
      <c r="H179" s="40">
        <v>13358</v>
      </c>
      <c r="I179" s="40">
        <v>12466</v>
      </c>
      <c r="J179" s="40">
        <v>12922</v>
      </c>
      <c r="K179" s="40">
        <v>13449</v>
      </c>
      <c r="L179" s="40">
        <v>13692</v>
      </c>
      <c r="M179" s="40">
        <v>13435</v>
      </c>
      <c r="N179" s="40">
        <v>14013</v>
      </c>
      <c r="O179" s="40">
        <v>14536</v>
      </c>
      <c r="P179" s="40">
        <v>15756</v>
      </c>
      <c r="Q179" s="40">
        <v>15297</v>
      </c>
      <c r="R179" s="40">
        <v>15017</v>
      </c>
      <c r="S179" s="40">
        <v>13762</v>
      </c>
      <c r="T179" s="40">
        <v>12510</v>
      </c>
      <c r="U179" s="40">
        <v>11495</v>
      </c>
      <c r="V179" s="40">
        <v>577</v>
      </c>
      <c r="W179" s="40">
        <v>970</v>
      </c>
      <c r="X179" s="40">
        <v>676</v>
      </c>
      <c r="Y179" s="40">
        <v>1239</v>
      </c>
      <c r="Z179" s="141">
        <v>1269</v>
      </c>
      <c r="AA179" s="141">
        <v>812</v>
      </c>
      <c r="AB179" s="141">
        <v>1185</v>
      </c>
      <c r="AC179" s="141">
        <v>1151</v>
      </c>
      <c r="AD179" s="141">
        <v>1422</v>
      </c>
      <c r="AE179" s="141">
        <v>1371</v>
      </c>
      <c r="AF179" s="141">
        <v>760</v>
      </c>
      <c r="AG179" s="141">
        <v>571</v>
      </c>
      <c r="AH179" s="141">
        <v>565</v>
      </c>
      <c r="AI179" s="141">
        <v>0</v>
      </c>
      <c r="AJ179" s="141">
        <v>0</v>
      </c>
      <c r="AK179" s="141">
        <v>0</v>
      </c>
      <c r="AL179" s="141">
        <v>0</v>
      </c>
      <c r="AM179" s="141">
        <v>0</v>
      </c>
      <c r="AN179" s="141">
        <v>0</v>
      </c>
      <c r="AO179" s="141">
        <v>0</v>
      </c>
      <c r="AP179" s="141">
        <v>0</v>
      </c>
      <c r="AQ179" s="141">
        <v>0</v>
      </c>
      <c r="AR179" s="141">
        <v>0</v>
      </c>
      <c r="AS179" s="141">
        <v>0</v>
      </c>
      <c r="AT179" s="141">
        <v>0</v>
      </c>
      <c r="AU179" s="141">
        <v>0</v>
      </c>
      <c r="AV179" s="141">
        <v>0</v>
      </c>
      <c r="AW179" s="141">
        <v>0</v>
      </c>
      <c r="AX179" s="141">
        <v>0</v>
      </c>
      <c r="AY179" s="226">
        <v>0</v>
      </c>
      <c r="AZ179" s="41">
        <f t="shared" ref="AZ179" si="2009">AY179*(1+AZ53)</f>
        <v>0</v>
      </c>
      <c r="BA179" s="41">
        <f t="shared" ref="BA179" si="2010">AZ179*(1+BA53)</f>
        <v>0</v>
      </c>
      <c r="BB179" s="41">
        <f t="shared" ref="BB179" si="2011">BA179*(1+BB53)</f>
        <v>0</v>
      </c>
      <c r="BC179" s="41">
        <f t="shared" ref="BC179" si="2012">BB179*(1+BC53)</f>
        <v>0</v>
      </c>
      <c r="BD179" s="41">
        <f t="shared" ref="BD179" si="2013">BC179*(1+BD53)</f>
        <v>0</v>
      </c>
      <c r="BE179" s="41">
        <f t="shared" ref="BE179" si="2014">BD179*(1+BE53)</f>
        <v>0</v>
      </c>
      <c r="BF179" s="41">
        <f t="shared" ref="BF179" si="2015">BE179*(1+BF53)</f>
        <v>0</v>
      </c>
      <c r="BG179" s="41">
        <f t="shared" ref="BG179:BK179" si="2016">BF179*(1+BG53)</f>
        <v>0</v>
      </c>
      <c r="BH179" s="41">
        <f t="shared" si="2016"/>
        <v>0</v>
      </c>
      <c r="BI179" s="41">
        <f t="shared" si="2016"/>
        <v>0</v>
      </c>
      <c r="BJ179" s="41">
        <f t="shared" si="2016"/>
        <v>0</v>
      </c>
      <c r="BK179" s="41">
        <f t="shared" si="2016"/>
        <v>0</v>
      </c>
      <c r="BL179" s="41">
        <f t="shared" ref="BL179" si="2017">BK179*(1+BL53)</f>
        <v>0</v>
      </c>
      <c r="BM179" s="41">
        <f t="shared" ref="BM179" si="2018">BL179*(1+BM53)</f>
        <v>0</v>
      </c>
      <c r="BN179" s="41">
        <f t="shared" ref="BN179" si="2019">BM179*(1+BN53)</f>
        <v>0</v>
      </c>
      <c r="BO179" s="41">
        <f t="shared" ref="BO179" si="2020">BN179*(1+BO53)</f>
        <v>0</v>
      </c>
      <c r="BP179" s="41">
        <f t="shared" ref="BP179" si="2021">BO179*(1+BP53)</f>
        <v>0</v>
      </c>
      <c r="BQ179" s="41">
        <f t="shared" ref="BQ179" si="2022">BP179*(1+BQ53)</f>
        <v>0</v>
      </c>
      <c r="BR179" s="41"/>
      <c r="BS179" s="40">
        <v>14813.8</v>
      </c>
      <c r="BT179" s="40">
        <v>12838.1</v>
      </c>
      <c r="BU179" s="40">
        <v>12243</v>
      </c>
      <c r="BV179" s="40">
        <v>12646</v>
      </c>
      <c r="BW179" s="40">
        <v>14013</v>
      </c>
      <c r="BX179" s="40">
        <v>14040</v>
      </c>
      <c r="BY179" s="40">
        <v>15648</v>
      </c>
      <c r="BZ179" s="40">
        <v>14858</v>
      </c>
      <c r="CA179" s="40">
        <v>15482</v>
      </c>
      <c r="CB179" s="40">
        <v>14324</v>
      </c>
      <c r="CC179" s="41">
        <f t="shared" si="1928"/>
        <v>13796</v>
      </c>
      <c r="CD179" s="41">
        <f t="shared" si="1929"/>
        <v>13178</v>
      </c>
      <c r="CE179" s="41">
        <f t="shared" si="1930"/>
        <v>12466</v>
      </c>
      <c r="CF179" s="41">
        <f t="shared" si="1931"/>
        <v>13449</v>
      </c>
      <c r="CG179" s="41">
        <f t="shared" si="1932"/>
        <v>13435</v>
      </c>
      <c r="CH179" s="41">
        <f t="shared" si="1933"/>
        <v>14536</v>
      </c>
      <c r="CI179" s="41">
        <f t="shared" si="1934"/>
        <v>15297</v>
      </c>
      <c r="CJ179" s="41">
        <f t="shared" si="1935"/>
        <v>13762</v>
      </c>
      <c r="CK179" s="41">
        <f t="shared" si="1936"/>
        <v>11495</v>
      </c>
      <c r="CL179" s="41">
        <f t="shared" si="1937"/>
        <v>970</v>
      </c>
      <c r="CM179" s="41">
        <f t="shared" si="1938"/>
        <v>1239</v>
      </c>
      <c r="CN179" s="41">
        <f t="shared" si="1939"/>
        <v>812</v>
      </c>
      <c r="CO179" s="41">
        <f t="shared" si="1940"/>
        <v>1151</v>
      </c>
      <c r="CP179" s="41">
        <f t="shared" si="1941"/>
        <v>1371</v>
      </c>
      <c r="CQ179" s="41">
        <f t="shared" si="1984"/>
        <v>571</v>
      </c>
      <c r="CR179" s="41">
        <f t="shared" si="1942"/>
        <v>0</v>
      </c>
      <c r="CS179" s="41">
        <f t="shared" si="1943"/>
        <v>0</v>
      </c>
      <c r="CT179" s="41">
        <f t="shared" si="1944"/>
        <v>0</v>
      </c>
      <c r="CU179" s="41">
        <f t="shared" si="1945"/>
        <v>0</v>
      </c>
      <c r="CV179" s="41">
        <f t="shared" si="1946"/>
        <v>0</v>
      </c>
      <c r="CW179" s="41">
        <f t="shared" si="1947"/>
        <v>0</v>
      </c>
      <c r="CX179" s="41">
        <f t="shared" si="1948"/>
        <v>0</v>
      </c>
      <c r="CY179" s="41">
        <f t="shared" si="1949"/>
        <v>0</v>
      </c>
      <c r="CZ179" s="211">
        <f t="shared" si="1950"/>
        <v>0</v>
      </c>
      <c r="DA179" s="41">
        <f t="shared" si="1951"/>
        <v>0</v>
      </c>
      <c r="DB179" s="41">
        <f t="shared" si="1952"/>
        <v>0</v>
      </c>
      <c r="DC179" s="41">
        <f t="shared" si="1953"/>
        <v>0</v>
      </c>
      <c r="DD179" s="41">
        <f t="shared" si="1954"/>
        <v>0</v>
      </c>
      <c r="DE179" s="41">
        <f t="shared" si="1955"/>
        <v>0</v>
      </c>
      <c r="DF179" s="41">
        <f t="shared" si="1956"/>
        <v>0</v>
      </c>
      <c r="DG179" s="41">
        <f t="shared" si="1957"/>
        <v>0</v>
      </c>
      <c r="DH179" s="41">
        <f t="shared" si="1958"/>
        <v>0</v>
      </c>
      <c r="DI179" s="41">
        <f t="shared" si="1959"/>
        <v>0</v>
      </c>
    </row>
    <row r="180" spans="1:113" ht="12" outlineLevel="1">
      <c r="A180" s="1" t="s">
        <v>611</v>
      </c>
      <c r="B180" s="15" t="s">
        <v>589</v>
      </c>
      <c r="C180" s="40">
        <v>0</v>
      </c>
      <c r="D180" s="40">
        <v>0</v>
      </c>
      <c r="E180" s="40">
        <v>0</v>
      </c>
      <c r="F180" s="40">
        <v>0</v>
      </c>
      <c r="G180" s="40">
        <v>0</v>
      </c>
      <c r="H180" s="40">
        <v>0</v>
      </c>
      <c r="I180" s="40">
        <v>0</v>
      </c>
      <c r="J180" s="40">
        <v>0</v>
      </c>
      <c r="K180" s="40">
        <v>0</v>
      </c>
      <c r="L180" s="40">
        <v>0</v>
      </c>
      <c r="M180" s="40">
        <v>0</v>
      </c>
      <c r="N180" s="40">
        <v>0</v>
      </c>
      <c r="O180" s="40">
        <v>0</v>
      </c>
      <c r="P180" s="40">
        <v>0</v>
      </c>
      <c r="Q180" s="40">
        <v>0</v>
      </c>
      <c r="R180" s="40">
        <v>0</v>
      </c>
      <c r="S180" s="40">
        <v>0</v>
      </c>
      <c r="T180" s="40">
        <v>0</v>
      </c>
      <c r="U180" s="40">
        <v>0</v>
      </c>
      <c r="V180" s="40">
        <v>0</v>
      </c>
      <c r="W180" s="40">
        <v>0</v>
      </c>
      <c r="X180" s="40">
        <v>0</v>
      </c>
      <c r="Y180" s="40">
        <v>0</v>
      </c>
      <c r="Z180" s="141">
        <v>0</v>
      </c>
      <c r="AA180" s="141">
        <v>0</v>
      </c>
      <c r="AB180" s="141">
        <v>0</v>
      </c>
      <c r="AC180" s="141">
        <v>0</v>
      </c>
      <c r="AD180" s="141">
        <v>0</v>
      </c>
      <c r="AE180" s="141">
        <v>0</v>
      </c>
      <c r="AF180" s="141">
        <v>0</v>
      </c>
      <c r="AG180" s="141">
        <v>0</v>
      </c>
      <c r="AH180" s="141">
        <v>0</v>
      </c>
      <c r="AI180" s="141">
        <v>0</v>
      </c>
      <c r="AJ180" s="141">
        <v>0</v>
      </c>
      <c r="AK180" s="141">
        <v>0</v>
      </c>
      <c r="AL180" s="141">
        <v>0</v>
      </c>
      <c r="AM180" s="141">
        <v>0</v>
      </c>
      <c r="AN180" s="141">
        <v>0</v>
      </c>
      <c r="AO180" s="141">
        <v>0</v>
      </c>
      <c r="AP180" s="141">
        <v>0</v>
      </c>
      <c r="AQ180" s="141">
        <v>0</v>
      </c>
      <c r="AR180" s="141">
        <v>0</v>
      </c>
      <c r="AS180" s="141">
        <v>0</v>
      </c>
      <c r="AT180" s="141">
        <v>0</v>
      </c>
      <c r="AU180" s="141">
        <v>0</v>
      </c>
      <c r="AV180" s="141">
        <v>0</v>
      </c>
      <c r="AW180" s="141">
        <v>0</v>
      </c>
      <c r="AX180" s="141">
        <v>0</v>
      </c>
      <c r="AY180" s="226">
        <v>0</v>
      </c>
      <c r="AZ180" s="41">
        <f t="shared" ref="AZ180" si="2023">AY180*(1+AZ52)</f>
        <v>0</v>
      </c>
      <c r="BA180" s="41">
        <f t="shared" ref="BA180" si="2024">AZ180*(1+BA52)</f>
        <v>0</v>
      </c>
      <c r="BB180" s="41">
        <f t="shared" ref="BB180" si="2025">BA180*(1+BB52)</f>
        <v>0</v>
      </c>
      <c r="BC180" s="41">
        <f t="shared" ref="BC180" si="2026">BB180*(1+BC52)</f>
        <v>0</v>
      </c>
      <c r="BD180" s="41">
        <f t="shared" ref="BD180" si="2027">BC180*(1+BD52)</f>
        <v>0</v>
      </c>
      <c r="BE180" s="41">
        <f t="shared" ref="BE180" si="2028">BD180*(1+BE52)</f>
        <v>0</v>
      </c>
      <c r="BF180" s="41">
        <f t="shared" ref="BF180" si="2029">BE180*(1+BF52)</f>
        <v>0</v>
      </c>
      <c r="BG180" s="41">
        <f t="shared" ref="BG180:BK180" si="2030">BF180*(1+BG52)</f>
        <v>0</v>
      </c>
      <c r="BH180" s="41">
        <f t="shared" si="2030"/>
        <v>0</v>
      </c>
      <c r="BI180" s="41">
        <f t="shared" si="2030"/>
        <v>0</v>
      </c>
      <c r="BJ180" s="41">
        <f t="shared" si="2030"/>
        <v>0</v>
      </c>
      <c r="BK180" s="41">
        <f t="shared" si="2030"/>
        <v>0</v>
      </c>
      <c r="BL180" s="41">
        <f t="shared" ref="BL180" si="2031">BK180*(1+BL52)</f>
        <v>0</v>
      </c>
      <c r="BM180" s="41">
        <f t="shared" ref="BM180" si="2032">BL180*(1+BM52)</f>
        <v>0</v>
      </c>
      <c r="BN180" s="41">
        <f t="shared" ref="BN180" si="2033">BM180*(1+BN52)</f>
        <v>0</v>
      </c>
      <c r="BO180" s="41">
        <f t="shared" ref="BO180" si="2034">BN180*(1+BO52)</f>
        <v>0</v>
      </c>
      <c r="BP180" s="41">
        <f t="shared" ref="BP180" si="2035">BO180*(1+BP52)</f>
        <v>0</v>
      </c>
      <c r="BQ180" s="41">
        <f t="shared" ref="BQ180" si="2036">BP180*(1+BQ52)</f>
        <v>0</v>
      </c>
      <c r="BR180" s="41"/>
      <c r="BS180" s="40">
        <v>0</v>
      </c>
      <c r="BT180" s="40">
        <v>0</v>
      </c>
      <c r="BU180" s="40">
        <v>0</v>
      </c>
      <c r="BV180" s="40">
        <v>0</v>
      </c>
      <c r="BW180" s="40">
        <v>0</v>
      </c>
      <c r="BX180" s="40">
        <v>0</v>
      </c>
      <c r="BY180" s="40">
        <v>0</v>
      </c>
      <c r="BZ180" s="40">
        <v>0</v>
      </c>
      <c r="CA180" s="40">
        <v>0</v>
      </c>
      <c r="CB180" s="40">
        <v>0</v>
      </c>
      <c r="CC180" s="41">
        <f t="shared" si="1928"/>
        <v>0</v>
      </c>
      <c r="CD180" s="41">
        <f t="shared" si="1929"/>
        <v>0</v>
      </c>
      <c r="CE180" s="41">
        <f t="shared" si="1930"/>
        <v>0</v>
      </c>
      <c r="CF180" s="41">
        <f t="shared" si="1931"/>
        <v>0</v>
      </c>
      <c r="CG180" s="41">
        <f t="shared" si="1932"/>
        <v>0</v>
      </c>
      <c r="CH180" s="41">
        <f t="shared" si="1933"/>
        <v>0</v>
      </c>
      <c r="CI180" s="41">
        <f t="shared" si="1934"/>
        <v>0</v>
      </c>
      <c r="CJ180" s="41">
        <f t="shared" si="1935"/>
        <v>0</v>
      </c>
      <c r="CK180" s="41">
        <f t="shared" si="1936"/>
        <v>0</v>
      </c>
      <c r="CL180" s="41">
        <f t="shared" si="1937"/>
        <v>0</v>
      </c>
      <c r="CM180" s="41">
        <f t="shared" si="1938"/>
        <v>0</v>
      </c>
      <c r="CN180" s="41">
        <f t="shared" si="1939"/>
        <v>0</v>
      </c>
      <c r="CO180" s="41">
        <f t="shared" si="1940"/>
        <v>0</v>
      </c>
      <c r="CP180" s="41">
        <f t="shared" si="1941"/>
        <v>0</v>
      </c>
      <c r="CQ180" s="41">
        <f t="shared" si="1984"/>
        <v>0</v>
      </c>
      <c r="CR180" s="41">
        <f t="shared" si="1942"/>
        <v>0</v>
      </c>
      <c r="CS180" s="41">
        <f t="shared" si="1943"/>
        <v>0</v>
      </c>
      <c r="CT180" s="41">
        <f t="shared" si="1944"/>
        <v>0</v>
      </c>
      <c r="CU180" s="41">
        <f t="shared" si="1945"/>
        <v>0</v>
      </c>
      <c r="CV180" s="41">
        <f t="shared" si="1946"/>
        <v>0</v>
      </c>
      <c r="CW180" s="41">
        <f t="shared" si="1947"/>
        <v>0</v>
      </c>
      <c r="CX180" s="41">
        <f t="shared" si="1948"/>
        <v>0</v>
      </c>
      <c r="CY180" s="41">
        <f t="shared" si="1949"/>
        <v>0</v>
      </c>
      <c r="CZ180" s="211">
        <f t="shared" si="1950"/>
        <v>0</v>
      </c>
      <c r="DA180" s="41">
        <f t="shared" si="1951"/>
        <v>0</v>
      </c>
      <c r="DB180" s="41">
        <f t="shared" si="1952"/>
        <v>0</v>
      </c>
      <c r="DC180" s="41">
        <f t="shared" si="1953"/>
        <v>0</v>
      </c>
      <c r="DD180" s="41">
        <f t="shared" si="1954"/>
        <v>0</v>
      </c>
      <c r="DE180" s="41">
        <f t="shared" si="1955"/>
        <v>0</v>
      </c>
      <c r="DF180" s="41">
        <f t="shared" si="1956"/>
        <v>0</v>
      </c>
      <c r="DG180" s="41">
        <f t="shared" si="1957"/>
        <v>0</v>
      </c>
      <c r="DH180" s="41">
        <f t="shared" si="1958"/>
        <v>0</v>
      </c>
      <c r="DI180" s="41">
        <f t="shared" si="1959"/>
        <v>0</v>
      </c>
    </row>
    <row r="181" spans="1:113" s="17" customFormat="1" ht="12" outlineLevel="1">
      <c r="A181" s="1" t="s">
        <v>612</v>
      </c>
      <c r="B181" s="17" t="s">
        <v>590</v>
      </c>
      <c r="C181" s="62">
        <f t="shared" ref="C181:L181" si="2037">C178+C179+C180</f>
        <v>141014</v>
      </c>
      <c r="D181" s="62">
        <f t="shared" si="2037"/>
        <v>143019</v>
      </c>
      <c r="E181" s="62">
        <f t="shared" si="2037"/>
        <v>149145</v>
      </c>
      <c r="F181" s="62">
        <f t="shared" si="2037"/>
        <v>158595</v>
      </c>
      <c r="G181" s="62">
        <f t="shared" si="2037"/>
        <v>165965</v>
      </c>
      <c r="H181" s="62">
        <f t="shared" si="2037"/>
        <v>205828</v>
      </c>
      <c r="I181" s="62">
        <f t="shared" si="2037"/>
        <v>221280</v>
      </c>
      <c r="J181" s="62">
        <f t="shared" si="2037"/>
        <v>237214</v>
      </c>
      <c r="K181" s="62">
        <f t="shared" si="2037"/>
        <v>249953</v>
      </c>
      <c r="L181" s="62">
        <f t="shared" si="2037"/>
        <v>259435</v>
      </c>
      <c r="M181" s="62">
        <f t="shared" ref="M181:AD181" si="2038">M178+M179+M180</f>
        <v>273166</v>
      </c>
      <c r="N181" s="62">
        <f t="shared" si="2038"/>
        <v>285771</v>
      </c>
      <c r="O181" s="62">
        <f t="shared" si="2038"/>
        <v>307384</v>
      </c>
      <c r="P181" s="62">
        <f t="shared" si="2038"/>
        <v>337729</v>
      </c>
      <c r="Q181" s="62">
        <f t="shared" si="2038"/>
        <v>355347</v>
      </c>
      <c r="R181" s="62">
        <f t="shared" si="2038"/>
        <v>362812</v>
      </c>
      <c r="S181" s="62">
        <f t="shared" si="2038"/>
        <v>352107</v>
      </c>
      <c r="T181" s="62">
        <f t="shared" si="2038"/>
        <v>354305</v>
      </c>
      <c r="U181" s="62">
        <f t="shared" si="2038"/>
        <v>370082</v>
      </c>
      <c r="V181" s="62">
        <f t="shared" si="2038"/>
        <v>385847</v>
      </c>
      <c r="W181" s="62">
        <f t="shared" si="2038"/>
        <v>403767</v>
      </c>
      <c r="X181" s="62">
        <f t="shared" si="2038"/>
        <v>418922</v>
      </c>
      <c r="Y181" s="62">
        <f t="shared" si="2038"/>
        <v>432805</v>
      </c>
      <c r="Z181" s="62">
        <f t="shared" si="2038"/>
        <v>458846</v>
      </c>
      <c r="AA181" s="62">
        <f t="shared" si="2038"/>
        <v>487629</v>
      </c>
      <c r="AB181" s="62">
        <f t="shared" si="2038"/>
        <v>513485</v>
      </c>
      <c r="AC181" s="62">
        <f t="shared" si="2038"/>
        <v>525534</v>
      </c>
      <c r="AD181" s="62">
        <f t="shared" si="2038"/>
        <v>561907</v>
      </c>
      <c r="AE181" s="62">
        <f t="shared" ref="AE181:AF181" si="2039">AE178+AE179+AE180</f>
        <v>573741</v>
      </c>
      <c r="AF181" s="62">
        <f t="shared" si="2039"/>
        <v>565451</v>
      </c>
      <c r="AG181" s="62">
        <f t="shared" ref="AG181:AH181" si="2040">AG178+AG179+AG180</f>
        <v>579515</v>
      </c>
      <c r="AH181" s="62">
        <f t="shared" si="2040"/>
        <v>579776</v>
      </c>
      <c r="AI181" s="62">
        <f t="shared" ref="AI181:AJ181" si="2041">AI178+AI179+AI180</f>
        <v>583444</v>
      </c>
      <c r="AJ181" s="62">
        <f t="shared" si="2041"/>
        <v>594939</v>
      </c>
      <c r="AK181" s="62">
        <f t="shared" ref="AK181:AL181" si="2042">AK178+AK179+AK180</f>
        <v>607813</v>
      </c>
      <c r="AL181" s="62">
        <f t="shared" si="2042"/>
        <v>613269</v>
      </c>
      <c r="AM181" s="62">
        <f t="shared" ref="AM181:AN181" si="2043">AM178+AM179+AM180</f>
        <v>618295</v>
      </c>
      <c r="AN181" s="62">
        <f t="shared" si="2043"/>
        <v>660781</v>
      </c>
      <c r="AO181" s="62">
        <f t="shared" ref="AO181" si="2044">AO178+AO179+AO180</f>
        <v>621272</v>
      </c>
      <c r="AP181" s="62">
        <f t="shared" ref="AP181:AQ181" si="2045">AP178+AP179+AP180</f>
        <v>617668</v>
      </c>
      <c r="AQ181" s="62">
        <f t="shared" si="2045"/>
        <v>632764</v>
      </c>
      <c r="AR181" s="62">
        <f t="shared" ref="AR181:AS181" si="2046">AR178+AR179+AR180</f>
        <v>653973</v>
      </c>
      <c r="AS181" s="62">
        <f t="shared" si="2046"/>
        <v>673625</v>
      </c>
      <c r="AT181" s="62">
        <f t="shared" ref="AT181:AU181" si="2047">AT178+AT179+AT180</f>
        <v>691106</v>
      </c>
      <c r="AU181" s="62">
        <f t="shared" si="2047"/>
        <v>707630</v>
      </c>
      <c r="AV181" s="62">
        <f t="shared" ref="AV181:AW181" si="2048">AV178+AV179+AV180</f>
        <v>715512</v>
      </c>
      <c r="AW181" s="62">
        <f t="shared" si="2048"/>
        <v>803335</v>
      </c>
      <c r="AX181" s="62">
        <f t="shared" ref="AX181:AY181" si="2049">AX178+AX179+AX180</f>
        <v>820212</v>
      </c>
      <c r="AY181" s="220">
        <f t="shared" si="2049"/>
        <v>829471</v>
      </c>
      <c r="AZ181" s="62">
        <f t="shared" ref="AZ181:BA181" si="2050">AZ178+AZ179+AZ180</f>
        <v>846758.85651213047</v>
      </c>
      <c r="BA181" s="62">
        <f t="shared" si="2050"/>
        <v>858901.47828137933</v>
      </c>
      <c r="BB181" s="62">
        <f t="shared" ref="BB181:BC181" si="2051">BB178+BB179+BB180</f>
        <v>871585.31762665056</v>
      </c>
      <c r="BC181" s="62">
        <f t="shared" si="2051"/>
        <v>887840.91310022969</v>
      </c>
      <c r="BD181" s="62">
        <f t="shared" ref="BD181:BE181" si="2052">BD178+BD179+BD180</f>
        <v>903762.64838823723</v>
      </c>
      <c r="BE181" s="62">
        <f t="shared" si="2052"/>
        <v>920177.35549081059</v>
      </c>
      <c r="BF181" s="62">
        <f t="shared" ref="BF181:BG181" si="2053">BF178+BF179+BF180</f>
        <v>935623.64240601985</v>
      </c>
      <c r="BG181" s="62">
        <f t="shared" si="2053"/>
        <v>950732.64244299917</v>
      </c>
      <c r="BH181" s="62">
        <f t="shared" ref="BH181:BI181" si="2054">BH178+BH179+BH180</f>
        <v>968851.24981425237</v>
      </c>
      <c r="BI181" s="62">
        <f t="shared" si="2054"/>
        <v>986184.48366518121</v>
      </c>
      <c r="BJ181" s="62">
        <f t="shared" ref="BJ181:BK181" si="2055">BJ178+BJ179+BJ180</f>
        <v>1005227.5780730119</v>
      </c>
      <c r="BK181" s="62">
        <f t="shared" si="2055"/>
        <v>1024049.1739804128</v>
      </c>
      <c r="BL181" s="62">
        <f t="shared" ref="BL181:BM181" si="2056">BL178+BL179+BL180</f>
        <v>1043251.2401975717</v>
      </c>
      <c r="BM181" s="62">
        <f t="shared" si="2056"/>
        <v>1062841.372189064</v>
      </c>
      <c r="BN181" s="62">
        <f t="shared" ref="BN181:BO181" si="2057">BN178+BN179+BN180</f>
        <v>1083885.2258747432</v>
      </c>
      <c r="BO181" s="62">
        <f t="shared" si="2057"/>
        <v>1105348.6670387827</v>
      </c>
      <c r="BP181" s="62">
        <f t="shared" ref="BP181:BQ181" si="2058">BP178+BP179+BP180</f>
        <v>1128120.6209036773</v>
      </c>
      <c r="BQ181" s="62">
        <f t="shared" si="2058"/>
        <v>1151381.9779643191</v>
      </c>
      <c r="BR181" s="62"/>
      <c r="BS181" s="62">
        <f t="shared" ref="BS181:CB181" si="2059">BS178+BS179+BS180</f>
        <v>76335.8</v>
      </c>
      <c r="BT181" s="62">
        <f t="shared" si="2059"/>
        <v>73887.100000000006</v>
      </c>
      <c r="BU181" s="62">
        <f t="shared" si="2059"/>
        <v>75403</v>
      </c>
      <c r="BV181" s="62">
        <f t="shared" si="2059"/>
        <v>83940</v>
      </c>
      <c r="BW181" s="62">
        <f t="shared" si="2059"/>
        <v>92932</v>
      </c>
      <c r="BX181" s="62">
        <f t="shared" si="2059"/>
        <v>101064</v>
      </c>
      <c r="BY181" s="62">
        <f t="shared" si="2059"/>
        <v>113559</v>
      </c>
      <c r="BZ181" s="62">
        <f t="shared" si="2059"/>
        <v>122409</v>
      </c>
      <c r="CA181" s="62">
        <f t="shared" si="2059"/>
        <v>135114</v>
      </c>
      <c r="CB181" s="62">
        <f t="shared" si="2059"/>
        <v>141014</v>
      </c>
      <c r="CC181" s="62">
        <f t="shared" si="1928"/>
        <v>149145</v>
      </c>
      <c r="CD181" s="62">
        <f t="shared" si="1929"/>
        <v>165965</v>
      </c>
      <c r="CE181" s="62">
        <f t="shared" si="1930"/>
        <v>221280</v>
      </c>
      <c r="CF181" s="62">
        <f t="shared" si="1931"/>
        <v>249953</v>
      </c>
      <c r="CG181" s="62">
        <f t="shared" si="1932"/>
        <v>273166</v>
      </c>
      <c r="CH181" s="62">
        <f t="shared" si="1933"/>
        <v>307384</v>
      </c>
      <c r="CI181" s="62">
        <f t="shared" si="1934"/>
        <v>355347</v>
      </c>
      <c r="CJ181" s="62">
        <f t="shared" si="1935"/>
        <v>352107</v>
      </c>
      <c r="CK181" s="62">
        <f t="shared" si="1936"/>
        <v>370082</v>
      </c>
      <c r="CL181" s="62">
        <f t="shared" si="1937"/>
        <v>403767</v>
      </c>
      <c r="CM181" s="62">
        <f t="shared" si="1938"/>
        <v>432805</v>
      </c>
      <c r="CN181" s="62">
        <f t="shared" si="1939"/>
        <v>487629</v>
      </c>
      <c r="CO181" s="62">
        <f t="shared" si="1940"/>
        <v>525534</v>
      </c>
      <c r="CP181" s="62">
        <f t="shared" si="1941"/>
        <v>573741</v>
      </c>
      <c r="CQ181" s="62">
        <f t="shared" si="1984"/>
        <v>579515</v>
      </c>
      <c r="CR181" s="62">
        <f t="shared" si="1942"/>
        <v>583444</v>
      </c>
      <c r="CS181" s="62">
        <f t="shared" si="1943"/>
        <v>607813</v>
      </c>
      <c r="CT181" s="62">
        <f t="shared" si="1944"/>
        <v>618295</v>
      </c>
      <c r="CU181" s="62">
        <f t="shared" si="1945"/>
        <v>621272</v>
      </c>
      <c r="CV181" s="62">
        <f t="shared" si="1946"/>
        <v>632764</v>
      </c>
      <c r="CW181" s="62">
        <f t="shared" si="1947"/>
        <v>673625</v>
      </c>
      <c r="CX181" s="62">
        <f t="shared" si="1948"/>
        <v>707630</v>
      </c>
      <c r="CY181" s="62">
        <f t="shared" si="1949"/>
        <v>803335</v>
      </c>
      <c r="CZ181" s="220">
        <f t="shared" si="1950"/>
        <v>829471</v>
      </c>
      <c r="DA181" s="62">
        <f t="shared" si="1951"/>
        <v>858901.47828137933</v>
      </c>
      <c r="DB181" s="62">
        <f t="shared" si="1952"/>
        <v>887840.91310022969</v>
      </c>
      <c r="DC181" s="62">
        <f t="shared" si="1953"/>
        <v>920177.35549081059</v>
      </c>
      <c r="DD181" s="62">
        <f t="shared" si="1954"/>
        <v>950732.64244299917</v>
      </c>
      <c r="DE181" s="62">
        <f t="shared" si="1955"/>
        <v>986184.48366518121</v>
      </c>
      <c r="DF181" s="62">
        <f t="shared" si="1956"/>
        <v>1024049.1739804128</v>
      </c>
      <c r="DG181" s="62">
        <f t="shared" si="1957"/>
        <v>1062841.372189064</v>
      </c>
      <c r="DH181" s="62">
        <f t="shared" si="1958"/>
        <v>1105348.6670387827</v>
      </c>
      <c r="DI181" s="62">
        <f t="shared" si="1959"/>
        <v>1151381.9779643191</v>
      </c>
    </row>
    <row r="182" spans="1:113" ht="12" outlineLevel="1">
      <c r="C182" s="41"/>
      <c r="D182" s="41"/>
      <c r="E182" s="41"/>
      <c r="F182" s="41"/>
      <c r="G182" s="41"/>
      <c r="H182" s="41"/>
      <c r="I182" s="41"/>
      <c r="J182" s="41"/>
      <c r="K182" s="41"/>
      <c r="L182" s="41"/>
      <c r="M182" s="41"/>
      <c r="N182" s="41"/>
      <c r="O182" s="41"/>
      <c r="P182" s="41"/>
      <c r="Q182" s="41"/>
      <c r="R182" s="41"/>
      <c r="S182" s="41"/>
      <c r="T182" s="41"/>
      <c r="U182" s="41"/>
      <c r="V182" s="41"/>
      <c r="W182" s="41"/>
      <c r="X182" s="41"/>
      <c r="Y182" s="15"/>
      <c r="Z182" s="62"/>
      <c r="AA182" s="15"/>
      <c r="AB182" s="41"/>
      <c r="AC182" s="41"/>
      <c r="AD182" s="41"/>
      <c r="AE182" s="41"/>
      <c r="AF182" s="41"/>
      <c r="AG182" s="41"/>
      <c r="AH182" s="41"/>
      <c r="AI182" s="41"/>
      <c r="AJ182" s="41"/>
      <c r="AK182" s="41"/>
      <c r="AL182" s="41"/>
      <c r="AM182" s="41"/>
      <c r="AN182" s="41"/>
      <c r="AO182" s="41"/>
      <c r="AP182" s="41"/>
      <c r="AQ182" s="41"/>
      <c r="AR182" s="41"/>
      <c r="AS182" s="41"/>
      <c r="AT182" s="497"/>
      <c r="AU182" s="497"/>
      <c r="AV182" s="497"/>
      <c r="AW182" s="497"/>
      <c r="AX182" s="497"/>
      <c r="AY182" s="599"/>
      <c r="AZ182" s="133"/>
      <c r="BA182" s="133"/>
      <c r="BB182" s="133"/>
      <c r="BC182" s="133"/>
      <c r="BD182" s="133"/>
      <c r="BE182" s="133"/>
      <c r="BF182" s="133"/>
      <c r="BG182" s="133"/>
      <c r="BH182" s="133"/>
      <c r="BI182" s="133"/>
      <c r="BJ182" s="133"/>
      <c r="BK182" s="133"/>
      <c r="BL182" s="133"/>
      <c r="BM182" s="133"/>
      <c r="BN182" s="133"/>
      <c r="BO182" s="41"/>
      <c r="BP182" s="41"/>
      <c r="BQ182" s="41"/>
      <c r="BR182" s="41"/>
      <c r="BS182" s="41"/>
      <c r="BT182" s="41"/>
      <c r="BU182" s="41"/>
      <c r="BV182" s="41"/>
      <c r="BW182" s="41"/>
      <c r="BX182" s="41"/>
      <c r="BY182" s="41"/>
      <c r="BZ182" s="41"/>
      <c r="CA182" s="41"/>
      <c r="CB182" s="41"/>
      <c r="CC182" s="41"/>
      <c r="CD182" s="41"/>
      <c r="CE182" s="41"/>
      <c r="CF182" s="41"/>
      <c r="CG182" s="41"/>
      <c r="CH182" s="41"/>
      <c r="CI182" s="41"/>
      <c r="CJ182" s="41"/>
      <c r="CK182" s="41"/>
      <c r="CL182" s="41"/>
      <c r="CM182" s="41"/>
      <c r="CN182" s="41"/>
      <c r="CO182" s="43"/>
      <c r="CP182" s="41"/>
      <c r="CQ182" s="32"/>
      <c r="CR182" s="41"/>
      <c r="CS182" s="41"/>
      <c r="CT182" s="41"/>
      <c r="CU182" s="41"/>
      <c r="CV182" s="41"/>
      <c r="CW182" s="41"/>
      <c r="CX182" s="41"/>
      <c r="CY182" s="41"/>
      <c r="CZ182" s="211"/>
      <c r="DA182" s="41"/>
      <c r="DB182" s="41"/>
      <c r="DC182" s="41"/>
      <c r="DD182" s="41"/>
      <c r="DE182" s="41"/>
      <c r="DF182" s="41"/>
      <c r="DG182" s="41"/>
      <c r="DH182" s="41"/>
      <c r="DI182" s="41"/>
    </row>
    <row r="183" spans="1:113" s="17" customFormat="1" ht="12" outlineLevel="1">
      <c r="A183" s="1"/>
      <c r="B183" s="17" t="s">
        <v>591</v>
      </c>
      <c r="C183" s="62"/>
      <c r="D183" s="62"/>
      <c r="E183" s="62"/>
      <c r="F183" s="62"/>
      <c r="G183" s="62"/>
      <c r="H183" s="62"/>
      <c r="I183" s="62"/>
      <c r="J183" s="62"/>
      <c r="K183" s="62"/>
      <c r="L183" s="62"/>
      <c r="M183" s="62"/>
      <c r="N183" s="62"/>
      <c r="O183" s="62"/>
      <c r="P183" s="62"/>
      <c r="Q183" s="62"/>
      <c r="R183" s="62"/>
      <c r="S183" s="62"/>
      <c r="T183" s="62"/>
      <c r="U183" s="62"/>
      <c r="V183" s="62"/>
      <c r="W183" s="62"/>
      <c r="X183" s="62"/>
      <c r="Z183" s="62"/>
      <c r="AB183" s="402"/>
      <c r="AC183" s="62"/>
      <c r="AD183" s="62"/>
      <c r="AE183" s="62"/>
      <c r="AF183" s="62"/>
      <c r="AG183" s="62"/>
      <c r="AH183" s="62"/>
      <c r="AI183" s="62"/>
      <c r="AJ183" s="62"/>
      <c r="AK183" s="62"/>
      <c r="AL183" s="62"/>
      <c r="AM183" s="62"/>
      <c r="AN183" s="62"/>
      <c r="AO183" s="62"/>
      <c r="AP183" s="62"/>
      <c r="AQ183" s="62"/>
      <c r="AR183" s="62"/>
      <c r="AS183" s="62"/>
      <c r="AT183" s="497"/>
      <c r="AU183" s="497"/>
      <c r="AV183" s="497"/>
      <c r="AW183" s="497"/>
      <c r="AX183" s="497"/>
      <c r="AY183" s="670"/>
      <c r="AZ183" s="670"/>
      <c r="BA183" s="670"/>
      <c r="BB183" s="133"/>
      <c r="BC183" s="133"/>
      <c r="BD183" s="133"/>
      <c r="BE183" s="133"/>
      <c r="BF183" s="133"/>
      <c r="BG183" s="133"/>
      <c r="BH183" s="133"/>
      <c r="BI183" s="133"/>
      <c r="BJ183" s="133"/>
      <c r="BK183" s="133"/>
      <c r="BL183" s="133"/>
      <c r="BM183" s="133"/>
      <c r="BN183" s="133"/>
      <c r="BO183" s="62"/>
      <c r="BP183" s="62"/>
      <c r="BQ183" s="62"/>
      <c r="BR183" s="62"/>
      <c r="BS183" s="62"/>
      <c r="BT183" s="62"/>
      <c r="BU183" s="62"/>
      <c r="BV183" s="62"/>
      <c r="BW183" s="62"/>
      <c r="BX183" s="62"/>
      <c r="BY183" s="62"/>
      <c r="BZ183" s="62"/>
      <c r="CA183" s="62"/>
      <c r="CB183" s="62"/>
      <c r="CC183" s="62"/>
      <c r="CD183" s="62"/>
      <c r="CE183" s="62"/>
      <c r="CF183" s="62"/>
      <c r="CG183" s="62"/>
      <c r="CH183" s="62"/>
      <c r="CI183" s="62"/>
      <c r="CJ183" s="62"/>
      <c r="CK183" s="62"/>
      <c r="CL183" s="62"/>
      <c r="CM183" s="62"/>
      <c r="CN183" s="62"/>
      <c r="CO183" s="62"/>
      <c r="CP183" s="62"/>
      <c r="CQ183" s="62"/>
      <c r="CR183" s="62"/>
      <c r="CS183" s="62"/>
      <c r="CT183" s="62"/>
      <c r="CU183" s="62"/>
      <c r="CV183" s="62"/>
      <c r="CW183" s="62"/>
      <c r="CX183" s="62"/>
      <c r="CY183" s="62"/>
      <c r="CZ183" s="220"/>
      <c r="DA183" s="62"/>
      <c r="DB183" s="62"/>
      <c r="DC183" s="62"/>
      <c r="DD183" s="62"/>
      <c r="DE183" s="62"/>
      <c r="DF183" s="62"/>
      <c r="DG183" s="62"/>
      <c r="DH183" s="62"/>
      <c r="DI183" s="62"/>
    </row>
    <row r="184" spans="1:113" ht="12" outlineLevel="1">
      <c r="A184" s="1" t="s">
        <v>613</v>
      </c>
      <c r="B184" s="15" t="s">
        <v>592</v>
      </c>
      <c r="C184" s="41"/>
      <c r="D184" s="41"/>
      <c r="E184" s="41"/>
      <c r="F184" s="41"/>
      <c r="G184" s="41"/>
      <c r="H184" s="41"/>
      <c r="I184" s="41"/>
      <c r="J184" s="41"/>
      <c r="K184" s="41"/>
      <c r="L184" s="41"/>
      <c r="M184" s="41"/>
      <c r="N184" s="41"/>
      <c r="O184" s="41"/>
      <c r="P184" s="41"/>
      <c r="Q184" s="41"/>
      <c r="R184" s="41"/>
      <c r="S184" s="41"/>
      <c r="T184" s="41"/>
      <c r="U184" s="41"/>
      <c r="V184" s="41"/>
      <c r="W184" s="41"/>
      <c r="X184" s="41"/>
      <c r="Y184" s="141">
        <f>106999+5267</f>
        <v>112266</v>
      </c>
      <c r="Z184" s="141">
        <f>111895+5373</f>
        <v>117268</v>
      </c>
      <c r="AA184" s="141">
        <f>121932+5701</f>
        <v>127633</v>
      </c>
      <c r="AB184" s="141">
        <f>132331+6157</f>
        <v>138488</v>
      </c>
      <c r="AC184" s="141">
        <f>142199+6845+46</f>
        <v>149090</v>
      </c>
      <c r="AD184" s="141">
        <f>150832+7133+605</f>
        <v>158570</v>
      </c>
      <c r="AE184" s="141">
        <f>164009+7782+177</f>
        <v>171968</v>
      </c>
      <c r="AF184" s="141">
        <f>169268+8116+653</f>
        <v>178037</v>
      </c>
      <c r="AG184" s="141">
        <f>169773+8729+151</f>
        <v>178653</v>
      </c>
      <c r="AH184" s="141">
        <f>179928+9268+3244</f>
        <v>192440</v>
      </c>
      <c r="AI184" s="141">
        <f>190480+10221</f>
        <v>200701</v>
      </c>
      <c r="AJ184" s="141">
        <f>190473+11303</f>
        <v>201776</v>
      </c>
      <c r="AK184" s="141">
        <f>189287+11931</f>
        <v>201218</v>
      </c>
      <c r="AL184" s="141">
        <f>180863+12202</f>
        <v>193065</v>
      </c>
      <c r="AM184" s="141">
        <f>196261+12765</f>
        <v>209026</v>
      </c>
      <c r="AN184" s="141">
        <f>220135+14410</f>
        <v>234545</v>
      </c>
      <c r="AO184" s="141">
        <f>240945+18771</f>
        <v>259716</v>
      </c>
      <c r="AP184" s="141">
        <f>247730+20850</f>
        <v>268580</v>
      </c>
      <c r="AQ184" s="141">
        <f>270839+23209</f>
        <v>294048</v>
      </c>
      <c r="AR184" s="141">
        <f>286191+24785</f>
        <v>310976</v>
      </c>
      <c r="AS184" s="141">
        <f>285677+25110</f>
        <v>310787</v>
      </c>
      <c r="AT184" s="141">
        <f>270418+22815</f>
        <v>293233</v>
      </c>
      <c r="AU184" s="141">
        <f>278014+20856</f>
        <v>298870</v>
      </c>
      <c r="AV184" s="141">
        <f>283155+19955</f>
        <v>303110</v>
      </c>
      <c r="AW184" s="141">
        <f>308130+39964</f>
        <v>348094</v>
      </c>
      <c r="AX184" s="141">
        <f>320976+39770</f>
        <v>360746</v>
      </c>
      <c r="AY184" s="226">
        <f>337908+40664</f>
        <v>378572</v>
      </c>
      <c r="AZ184" s="41">
        <f t="shared" ref="AZ184:AZ185" si="2060">AY184*AZ$204/AY$204</f>
        <v>396895.51850504777</v>
      </c>
      <c r="BA184" s="41">
        <f t="shared" ref="BA184:BA185" si="2061">AZ184*BA$204/AZ$204</f>
        <v>413811.88970564929</v>
      </c>
      <c r="BB184" s="41">
        <f t="shared" ref="BB184:BB185" si="2062">BA184*BB$204/BA$204</f>
        <v>425826.68117404141</v>
      </c>
      <c r="BC184" s="41">
        <f t="shared" ref="BC184:BC185" si="2063">BB184*BC$204/BB$204</f>
        <v>438191.92725591589</v>
      </c>
      <c r="BD184" s="41">
        <f t="shared" ref="BD184:BD185" si="2064">BC184*BD$204/BC$204</f>
        <v>450917.89186141285</v>
      </c>
      <c r="BE184" s="41">
        <f t="shared" ref="BE184:BE185" si="2065">BD184*BE$204/BD$204</f>
        <v>464015.14057477022</v>
      </c>
      <c r="BF184" s="41">
        <f t="shared" ref="BF184:BF185" si="2066">BE184*BF$204/BE$204</f>
        <v>477494.54954846628</v>
      </c>
      <c r="BG184" s="41">
        <f t="shared" ref="BG184:BG185" si="2067">BF184*BG$204/BF$204</f>
        <v>491367.31466028455</v>
      </c>
      <c r="BH184" s="41">
        <f t="shared" ref="BH184:BH185" si="2068">BG184*BH$204/BG$204</f>
        <v>505257.99050420249</v>
      </c>
      <c r="BI184" s="41">
        <f t="shared" ref="BI184:BI185" si="2069">BH184*BI$204/BH$204</f>
        <v>516712.85215340118</v>
      </c>
      <c r="BJ184" s="41">
        <f t="shared" ref="BJ184:BJ185" si="2070">BI184*BJ$204/BI$204</f>
        <v>530395.49690079456</v>
      </c>
      <c r="BK184" s="41">
        <f t="shared" ref="BK184:BK185" si="2071">BJ184*BK$204/BJ$204</f>
        <v>541985.02381047874</v>
      </c>
      <c r="BL184" s="41">
        <f t="shared" ref="BL184:BL185" si="2072">BK184*BL$204/BK$204</f>
        <v>550316.50177922635</v>
      </c>
      <c r="BM184" s="41">
        <f t="shared" ref="BM184:BM185" si="2073">BL184*BM$204/BL$204</f>
        <v>558826.612732023</v>
      </c>
      <c r="BN184" s="41">
        <f t="shared" ref="BN184:BN185" si="2074">BM184*BN$204/BM$204</f>
        <v>569904.49384300481</v>
      </c>
      <c r="BO184" s="41">
        <f t="shared" ref="BO184:BO185" si="2075">BN184*BO$204/BN$204</f>
        <v>581203.96316155407</v>
      </c>
      <c r="BP184" s="41">
        <f t="shared" ref="BP184:BP185" si="2076">BO184*BP$204/BO$204</f>
        <v>594715.06544453755</v>
      </c>
      <c r="BQ184" s="41">
        <f t="shared" ref="BQ184:BQ185" si="2077">BP184*BQ$204/BP$204</f>
        <v>608575.92595934286</v>
      </c>
      <c r="BR184" s="41"/>
      <c r="BS184" s="41"/>
      <c r="BT184" s="41"/>
      <c r="BU184" s="41"/>
      <c r="BV184" s="41"/>
      <c r="BW184" s="41"/>
      <c r="BX184" s="41"/>
      <c r="BY184" s="41"/>
      <c r="BZ184" s="41"/>
      <c r="CA184" s="41"/>
      <c r="CB184" s="41"/>
      <c r="CC184" s="41"/>
      <c r="CD184" s="41"/>
      <c r="CE184" s="41"/>
      <c r="CF184" s="41"/>
      <c r="CG184" s="41"/>
      <c r="CH184" s="41"/>
      <c r="CI184" s="41"/>
      <c r="CJ184" s="41"/>
      <c r="CK184" s="41"/>
      <c r="CL184" s="41"/>
      <c r="CM184" s="41">
        <f>Y184</f>
        <v>112266</v>
      </c>
      <c r="CN184" s="41">
        <f>AA184</f>
        <v>127633</v>
      </c>
      <c r="CO184" s="41">
        <f>AC184</f>
        <v>149090</v>
      </c>
      <c r="CP184" s="41">
        <f>AE184</f>
        <v>171968</v>
      </c>
      <c r="CQ184" s="41">
        <f t="shared" ref="CQ184:CQ185" si="2078">AG184</f>
        <v>178653</v>
      </c>
      <c r="CR184" s="41">
        <f t="shared" ref="CR184:CR185" si="2079">AI184</f>
        <v>200701</v>
      </c>
      <c r="CS184" s="41"/>
      <c r="CT184" s="41"/>
      <c r="CU184" s="41"/>
      <c r="CV184" s="41"/>
      <c r="CW184" s="41"/>
      <c r="CX184" s="41"/>
      <c r="CY184" s="41"/>
      <c r="CZ184" s="211"/>
      <c r="DA184" s="41"/>
      <c r="DB184" s="41"/>
      <c r="DC184" s="41"/>
      <c r="DD184" s="41"/>
      <c r="DE184" s="41"/>
      <c r="DF184" s="41"/>
      <c r="DG184" s="41"/>
      <c r="DH184" s="41"/>
      <c r="DI184" s="41"/>
    </row>
    <row r="185" spans="1:113" ht="12" outlineLevel="1">
      <c r="A185" s="1" t="s">
        <v>614</v>
      </c>
      <c r="B185" s="15" t="s">
        <v>593</v>
      </c>
      <c r="C185" s="41"/>
      <c r="D185" s="41"/>
      <c r="E185" s="41"/>
      <c r="F185" s="41"/>
      <c r="G185" s="41"/>
      <c r="H185" s="41"/>
      <c r="I185" s="41"/>
      <c r="J185" s="41"/>
      <c r="K185" s="41"/>
      <c r="L185" s="41"/>
      <c r="M185" s="41"/>
      <c r="N185" s="41"/>
      <c r="O185" s="41"/>
      <c r="P185" s="41"/>
      <c r="Q185" s="41"/>
      <c r="R185" s="41"/>
      <c r="S185" s="41"/>
      <c r="T185" s="41"/>
      <c r="U185" s="41"/>
      <c r="V185" s="41"/>
      <c r="W185" s="41"/>
      <c r="X185" s="41"/>
      <c r="Y185" s="141">
        <f>+Y187+82356</f>
        <v>130298</v>
      </c>
      <c r="Z185" s="141">
        <f>+Z187+78515</f>
        <v>130746</v>
      </c>
      <c r="AA185" s="141">
        <f>+AA187+80297</f>
        <v>131745</v>
      </c>
      <c r="AB185" s="141">
        <f>+AB187+77900</f>
        <v>129117</v>
      </c>
      <c r="AC185" s="141">
        <f>+AC187+78779</f>
        <v>128225</v>
      </c>
      <c r="AD185" s="141">
        <f>+AD187+69595</f>
        <v>125452</v>
      </c>
      <c r="AE185" s="141">
        <f>57390+66394</f>
        <v>123784</v>
      </c>
      <c r="AF185" s="141">
        <f>56513+68427</f>
        <v>124940</v>
      </c>
      <c r="AG185" s="141">
        <f>52295+69740</f>
        <v>122035</v>
      </c>
      <c r="AH185" s="141">
        <f>51875+72471</f>
        <v>124346</v>
      </c>
      <c r="AI185" s="141">
        <f>50565+72679</f>
        <v>123244</v>
      </c>
      <c r="AJ185" s="141">
        <f>43157+75116</f>
        <v>118273</v>
      </c>
      <c r="AK185" s="141">
        <f>39671+75551</f>
        <v>115222</v>
      </c>
      <c r="AL185" s="141">
        <f>39481+77714</f>
        <v>117195</v>
      </c>
      <c r="AM185" s="141">
        <f>32953+74560</f>
        <v>107513</v>
      </c>
      <c r="AN185" s="141">
        <f>34733+69056</f>
        <v>103789</v>
      </c>
      <c r="AO185" s="141">
        <f>28258+64187</f>
        <v>92445</v>
      </c>
      <c r="AP185" s="141">
        <f>34176+61503</f>
        <v>95679</v>
      </c>
      <c r="AQ185" s="141">
        <f>31915+49767</f>
        <v>81682</v>
      </c>
      <c r="AR185" s="141">
        <f>29914+44165</f>
        <v>74079</v>
      </c>
      <c r="AS185" s="141">
        <f>29412+51319</f>
        <v>80731</v>
      </c>
      <c r="AT185" s="141">
        <f>37920+76341</f>
        <v>114261</v>
      </c>
      <c r="AU185" s="141">
        <f>33613+79518</f>
        <v>113131</v>
      </c>
      <c r="AV185" s="141">
        <f>30572+86857</f>
        <v>117429</v>
      </c>
      <c r="AW185" s="141">
        <f>34011+102413</f>
        <v>136424</v>
      </c>
      <c r="AX185" s="141">
        <f>30215+102183</f>
        <v>132398</v>
      </c>
      <c r="AY185" s="226">
        <f>38184+97468</f>
        <v>135652</v>
      </c>
      <c r="AZ185" s="41">
        <f t="shared" si="2060"/>
        <v>142217.78387267614</v>
      </c>
      <c r="BA185" s="41">
        <f t="shared" si="2061"/>
        <v>148279.35098832127</v>
      </c>
      <c r="BB185" s="41">
        <f t="shared" si="2062"/>
        <v>152584.55711098839</v>
      </c>
      <c r="BC185" s="41">
        <f t="shared" si="2063"/>
        <v>157015.34005716094</v>
      </c>
      <c r="BD185" s="41">
        <f t="shared" si="2064"/>
        <v>161575.37764753975</v>
      </c>
      <c r="BE185" s="41">
        <f t="shared" si="2065"/>
        <v>166268.45580034651</v>
      </c>
      <c r="BF185" s="41">
        <f t="shared" si="2066"/>
        <v>171098.47171832199</v>
      </c>
      <c r="BG185" s="41">
        <f t="shared" si="2067"/>
        <v>176069.43716993587</v>
      </c>
      <c r="BH185" s="41">
        <f t="shared" si="2068"/>
        <v>181046.82049352865</v>
      </c>
      <c r="BI185" s="41">
        <f t="shared" si="2069"/>
        <v>185151.38948552252</v>
      </c>
      <c r="BJ185" s="41">
        <f t="shared" si="2070"/>
        <v>190054.22996308931</v>
      </c>
      <c r="BK185" s="41">
        <f t="shared" si="2071"/>
        <v>194207.05295145739</v>
      </c>
      <c r="BL185" s="41">
        <f t="shared" si="2072"/>
        <v>197192.43393424683</v>
      </c>
      <c r="BM185" s="41">
        <f t="shared" si="2073"/>
        <v>200241.82366980251</v>
      </c>
      <c r="BN185" s="41">
        <f t="shared" si="2074"/>
        <v>204211.31092313054</v>
      </c>
      <c r="BO185" s="41">
        <f t="shared" si="2075"/>
        <v>208260.19888103512</v>
      </c>
      <c r="BP185" s="41">
        <f t="shared" si="2076"/>
        <v>213101.57131980843</v>
      </c>
      <c r="BQ185" s="41">
        <f t="shared" si="2077"/>
        <v>218068.27105078264</v>
      </c>
      <c r="BR185" s="41"/>
      <c r="BS185" s="41"/>
      <c r="BT185" s="41"/>
      <c r="BU185" s="41"/>
      <c r="BV185" s="41"/>
      <c r="BW185" s="41"/>
      <c r="BX185" s="41"/>
      <c r="BY185" s="41"/>
      <c r="BZ185" s="41"/>
      <c r="CA185" s="41"/>
      <c r="CB185" s="41"/>
      <c r="CC185" s="41"/>
      <c r="CD185" s="41"/>
      <c r="CE185" s="41"/>
      <c r="CF185" s="41"/>
      <c r="CG185" s="41"/>
      <c r="CH185" s="41"/>
      <c r="CI185" s="41"/>
      <c r="CJ185" s="41"/>
      <c r="CK185" s="41"/>
      <c r="CL185" s="41"/>
      <c r="CM185" s="41">
        <f>Y185</f>
        <v>130298</v>
      </c>
      <c r="CN185" s="41">
        <f>AA185</f>
        <v>131745</v>
      </c>
      <c r="CO185" s="41">
        <f>AC185</f>
        <v>128225</v>
      </c>
      <c r="CP185" s="41">
        <f>AE185</f>
        <v>123784</v>
      </c>
      <c r="CQ185" s="41">
        <f t="shared" si="2078"/>
        <v>122035</v>
      </c>
      <c r="CR185" s="41">
        <f t="shared" si="2079"/>
        <v>123244</v>
      </c>
      <c r="CS185" s="41"/>
      <c r="CT185" s="41"/>
      <c r="CU185" s="41"/>
      <c r="CV185" s="41"/>
      <c r="CW185" s="41"/>
      <c r="CX185" s="41"/>
      <c r="CY185" s="41"/>
      <c r="CZ185" s="211"/>
      <c r="DA185" s="41"/>
      <c r="DB185" s="41"/>
      <c r="DC185" s="41"/>
      <c r="DD185" s="41"/>
      <c r="DE185" s="41"/>
      <c r="DF185" s="41"/>
      <c r="DG185" s="41"/>
      <c r="DH185" s="41"/>
      <c r="DI185" s="41"/>
    </row>
    <row r="186" spans="1:113" s="17" customFormat="1" ht="12" outlineLevel="1">
      <c r="A186" s="1" t="s">
        <v>615</v>
      </c>
      <c r="B186" s="17" t="s">
        <v>168</v>
      </c>
      <c r="C186" s="61">
        <f t="shared" ref="C186:H186" si="2080">((38416+26984+16125+11857+27049)/168557)*C$204</f>
        <v>62727.977153129206</v>
      </c>
      <c r="D186" s="61">
        <f t="shared" si="2080"/>
        <v>66517.948732476245</v>
      </c>
      <c r="E186" s="61">
        <f t="shared" si="2080"/>
        <v>70307.920311823298</v>
      </c>
      <c r="F186" s="61">
        <f t="shared" si="2080"/>
        <v>71708.662941912829</v>
      </c>
      <c r="G186" s="61">
        <f t="shared" si="2080"/>
        <v>73109.405572002346</v>
      </c>
      <c r="H186" s="61">
        <f t="shared" si="2080"/>
        <v>86525.24049431349</v>
      </c>
      <c r="I186" s="61">
        <f>((38416+26984+16125+11857+27049)/168557)*I$204</f>
        <v>99941.075416624633</v>
      </c>
      <c r="J186" s="61">
        <f>((39868+29775+17023+12167+29802)/180410)*J$204</f>
        <v>105005.6895404911</v>
      </c>
      <c r="K186" s="61">
        <f>((58366+54721+885+28233)/190257)*K$204</f>
        <v>115599.25524422228</v>
      </c>
      <c r="L186" s="61">
        <f>((61818+65381+983+28533)/196850)*L$204</f>
        <v>126754.84965709932</v>
      </c>
      <c r="M186" s="61">
        <f>((60135+55314+4940+431)/156760)*M$204</f>
        <v>132869.62924215361</v>
      </c>
      <c r="N186" s="61">
        <f>((61295+60127+1339-3844)/167071)*N$204</f>
        <v>129780.11361038122</v>
      </c>
      <c r="O186" s="61">
        <f>((65394+68665+1807-4071)/181229)*O$204</f>
        <v>149615.74874882057</v>
      </c>
      <c r="P186" s="61">
        <f>((85110+61434+374-11976)/195072)*P$204</f>
        <v>162076.0835691437</v>
      </c>
      <c r="Q186" s="61">
        <f>(132665/204729)*Q$204</f>
        <v>161679.33297187992</v>
      </c>
      <c r="R186" s="61">
        <f>(147464/226444)*R$204</f>
        <v>174101.99844553179</v>
      </c>
      <c r="S186" s="61">
        <f>(153841/233141)*S$204</f>
        <v>181165.90557216448</v>
      </c>
      <c r="T186" s="61">
        <f>(151438/238212)*T$204</f>
        <v>178623.62958205296</v>
      </c>
      <c r="U186" s="61">
        <f>(164795/256872)*U$204</f>
        <v>190529.94436917998</v>
      </c>
      <c r="V186" s="61">
        <f>(168268/267291)*V$204</f>
        <v>201041.38960159526</v>
      </c>
      <c r="W186" s="61">
        <f>(183217/296754)*W$204</f>
        <v>217881.74481220136</v>
      </c>
      <c r="X186" s="384">
        <f>(186975/308303)*X$204</f>
        <v>222376.79190601452</v>
      </c>
      <c r="Y186" s="416">
        <f t="shared" ref="Y186:Z186" si="2081">Y184+Y185</f>
        <v>242564</v>
      </c>
      <c r="Z186" s="416">
        <f t="shared" si="2081"/>
        <v>248014</v>
      </c>
      <c r="AA186" s="416">
        <f t="shared" ref="AA186" si="2082">AA184+AA185</f>
        <v>259378</v>
      </c>
      <c r="AB186" s="416">
        <f t="shared" ref="AB186" si="2083">AB184+AB185</f>
        <v>267605</v>
      </c>
      <c r="AC186" s="416">
        <f t="shared" ref="AC186" si="2084">AC184+AC185</f>
        <v>277315</v>
      </c>
      <c r="AD186" s="416">
        <f t="shared" ref="AD186" si="2085">AD184+AD185</f>
        <v>284022</v>
      </c>
      <c r="AE186" s="416">
        <f t="shared" ref="AE186:AJ186" si="2086">AE184+AE185</f>
        <v>295752</v>
      </c>
      <c r="AF186" s="416">
        <f t="shared" si="2086"/>
        <v>302977</v>
      </c>
      <c r="AG186" s="416">
        <f t="shared" si="2086"/>
        <v>300688</v>
      </c>
      <c r="AH186" s="416">
        <f t="shared" si="2086"/>
        <v>316786</v>
      </c>
      <c r="AI186" s="416">
        <f t="shared" si="2086"/>
        <v>323945</v>
      </c>
      <c r="AJ186" s="416">
        <f t="shared" si="2086"/>
        <v>320049</v>
      </c>
      <c r="AK186" s="416">
        <f t="shared" ref="AK186:AL186" si="2087">AK184+AK185</f>
        <v>316440</v>
      </c>
      <c r="AL186" s="416">
        <f t="shared" si="2087"/>
        <v>310260</v>
      </c>
      <c r="AM186" s="416">
        <f t="shared" ref="AM186:AN186" si="2088">AM184+AM185</f>
        <v>316539</v>
      </c>
      <c r="AN186" s="416">
        <f t="shared" si="2088"/>
        <v>338334</v>
      </c>
      <c r="AO186" s="416">
        <f t="shared" ref="AO186" si="2089">AO184+AO185</f>
        <v>352161</v>
      </c>
      <c r="AP186" s="416">
        <f t="shared" ref="AP186:AQ186" si="2090">AP184+AP185</f>
        <v>364259</v>
      </c>
      <c r="AQ186" s="416">
        <f t="shared" si="2090"/>
        <v>375730</v>
      </c>
      <c r="AR186" s="416">
        <f t="shared" ref="AR186:AS186" si="2091">AR184+AR185</f>
        <v>385055</v>
      </c>
      <c r="AS186" s="416">
        <f t="shared" si="2091"/>
        <v>391518</v>
      </c>
      <c r="AT186" s="416">
        <f t="shared" ref="AT186:AU186" si="2092">AT184+AT185</f>
        <v>407494</v>
      </c>
      <c r="AU186" s="416">
        <f t="shared" si="2092"/>
        <v>412001</v>
      </c>
      <c r="AV186" s="416">
        <f t="shared" ref="AV186:AW186" si="2093">AV184+AV185</f>
        <v>420539</v>
      </c>
      <c r="AW186" s="416">
        <f t="shared" si="2093"/>
        <v>484518</v>
      </c>
      <c r="AX186" s="416">
        <f t="shared" ref="AX186:AY186" si="2094">AX184+AX185</f>
        <v>493144</v>
      </c>
      <c r="AY186" s="549">
        <f t="shared" si="2094"/>
        <v>514224</v>
      </c>
      <c r="AZ186" s="62">
        <f t="shared" ref="AZ186:BA186" si="2095">AZ161/AZ55</f>
        <v>539935.20000000007</v>
      </c>
      <c r="BA186" s="62">
        <f t="shared" si="2095"/>
        <v>564232.28399999999</v>
      </c>
      <c r="BB186" s="62">
        <f t="shared" ref="BB186:BC186" si="2096">BB161/BB55</f>
        <v>581159.25251999998</v>
      </c>
      <c r="BC186" s="62">
        <f t="shared" si="2096"/>
        <v>598594.03009559994</v>
      </c>
      <c r="BD186" s="62">
        <f t="shared" ref="BD186:BE186" si="2097">BD161/BD55</f>
        <v>616551.850998468</v>
      </c>
      <c r="BE186" s="62">
        <f t="shared" si="2097"/>
        <v>635048.40652842191</v>
      </c>
      <c r="BF186" s="62">
        <f t="shared" ref="BF186:BG186" si="2098">BF161/BF55</f>
        <v>654099.85872427456</v>
      </c>
      <c r="BG186" s="62">
        <f t="shared" si="2098"/>
        <v>673722.85448600282</v>
      </c>
      <c r="BH186" s="62">
        <f t="shared" ref="BH186:BI186" si="2099">BH161/BH55</f>
        <v>693934.54012058291</v>
      </c>
      <c r="BI186" s="62">
        <f t="shared" si="2099"/>
        <v>714752.57632420037</v>
      </c>
      <c r="BJ186" s="62">
        <f t="shared" ref="BJ186:BK186" si="2100">BJ161/BJ55</f>
        <v>736195.15361392638</v>
      </c>
      <c r="BK186" s="62">
        <f t="shared" si="2100"/>
        <v>758281.00822234433</v>
      </c>
      <c r="BL186" s="62">
        <f t="shared" ref="BL186:BM186" si="2101">BL161/BL55</f>
        <v>773466.53474010807</v>
      </c>
      <c r="BM186" s="62">
        <f t="shared" si="2101"/>
        <v>788956.72972535971</v>
      </c>
      <c r="BN186" s="62">
        <f t="shared" ref="BN186:BO186" si="2102">BN161/BN55</f>
        <v>804757.71139412583</v>
      </c>
      <c r="BO186" s="62">
        <f t="shared" si="2102"/>
        <v>820875.72088223184</v>
      </c>
      <c r="BP186" s="62">
        <f t="shared" ref="BP186:BQ186" si="2103">BP161/BP55</f>
        <v>837317.12471542717</v>
      </c>
      <c r="BQ186" s="62">
        <f t="shared" si="2103"/>
        <v>854088.41732915037</v>
      </c>
      <c r="BR186" s="62"/>
      <c r="BS186" s="61">
        <f>5902.9+11675.8+11164.9+2800.5</f>
        <v>31544.1</v>
      </c>
      <c r="BT186" s="61">
        <f>3869.5+11386+13952.4+2832.9</f>
        <v>32040.800000000003</v>
      </c>
      <c r="BU186" s="61">
        <f>3274+12193+15558+2969</f>
        <v>33994</v>
      </c>
      <c r="BV186" s="61">
        <f>2618+15973+14910+2860</f>
        <v>36361</v>
      </c>
      <c r="BW186" s="61">
        <f>1135+17366+17612+2751</f>
        <v>38864</v>
      </c>
      <c r="BX186" s="61">
        <f>927+17256+21175+2865</f>
        <v>42223</v>
      </c>
      <c r="BY186" s="61">
        <f>5063+16123+23124+3096</f>
        <v>47406</v>
      </c>
      <c r="BZ186" s="61">
        <f>6787+14265+24649+3296</f>
        <v>48997</v>
      </c>
      <c r="CA186" s="61">
        <f>7654+15228+28323+3790</f>
        <v>54995</v>
      </c>
      <c r="CB186" s="61">
        <f>2714+15963+33552+3818</f>
        <v>56047</v>
      </c>
      <c r="CC186" s="62">
        <f>E186</f>
        <v>70307.920311823298</v>
      </c>
      <c r="CD186" s="62">
        <f>G186</f>
        <v>73109.405572002346</v>
      </c>
      <c r="CE186" s="62">
        <f>I186</f>
        <v>99941.075416624633</v>
      </c>
      <c r="CF186" s="62">
        <f>K186</f>
        <v>115599.25524422228</v>
      </c>
      <c r="CG186" s="62">
        <f>M186</f>
        <v>132869.62924215361</v>
      </c>
      <c r="CH186" s="62">
        <f>O186</f>
        <v>149615.74874882057</v>
      </c>
      <c r="CI186" s="62">
        <f>Q186</f>
        <v>161679.33297187992</v>
      </c>
      <c r="CJ186" s="62">
        <f>S186</f>
        <v>181165.90557216448</v>
      </c>
      <c r="CK186" s="62">
        <f>U186</f>
        <v>190529.94436917998</v>
      </c>
      <c r="CL186" s="62">
        <f>W186</f>
        <v>217881.74481220136</v>
      </c>
      <c r="CM186" s="62">
        <f>Y186</f>
        <v>242564</v>
      </c>
      <c r="CN186" s="62">
        <f>AA186</f>
        <v>259378</v>
      </c>
      <c r="CO186" s="62">
        <f>AC186</f>
        <v>277315</v>
      </c>
      <c r="CP186" s="62">
        <f>AE186</f>
        <v>295752</v>
      </c>
      <c r="CQ186" s="62">
        <f>AG186</f>
        <v>300688</v>
      </c>
      <c r="CR186" s="62">
        <f>AI186</f>
        <v>323945</v>
      </c>
      <c r="CS186" s="62">
        <f>AK186</f>
        <v>316440</v>
      </c>
      <c r="CT186" s="62">
        <f>AM186</f>
        <v>316539</v>
      </c>
      <c r="CU186" s="62">
        <f>AO186</f>
        <v>352161</v>
      </c>
      <c r="CV186" s="62">
        <f>AQ186</f>
        <v>375730</v>
      </c>
      <c r="CW186" s="62">
        <f>AS186</f>
        <v>391518</v>
      </c>
      <c r="CX186" s="62">
        <f>AU186</f>
        <v>412001</v>
      </c>
      <c r="CY186" s="62">
        <f>AW186</f>
        <v>484518</v>
      </c>
      <c r="CZ186" s="220">
        <f>AY186</f>
        <v>514224</v>
      </c>
      <c r="DA186" s="62">
        <f>BA186</f>
        <v>564232.28399999999</v>
      </c>
      <c r="DB186" s="62">
        <f>BC186</f>
        <v>598594.03009559994</v>
      </c>
      <c r="DC186" s="62">
        <f>BE186</f>
        <v>635048.40652842191</v>
      </c>
      <c r="DD186" s="62">
        <f>BG186</f>
        <v>673722.85448600282</v>
      </c>
      <c r="DE186" s="62">
        <f>BI186</f>
        <v>714752.57632420037</v>
      </c>
      <c r="DF186" s="62">
        <f>BK186</f>
        <v>758281.00822234433</v>
      </c>
      <c r="DG186" s="62">
        <f>BM186</f>
        <v>788956.72972535971</v>
      </c>
      <c r="DH186" s="62">
        <f>BO186</f>
        <v>820875.72088223184</v>
      </c>
      <c r="DI186" s="62">
        <f>BQ186</f>
        <v>854088.41732915037</v>
      </c>
    </row>
    <row r="187" spans="1:113" s="63" customFormat="1" ht="12" outlineLevel="1">
      <c r="A187" s="1" t="s">
        <v>616</v>
      </c>
      <c r="B187" s="63" t="s">
        <v>617</v>
      </c>
      <c r="C187" s="40"/>
      <c r="D187" s="40"/>
      <c r="E187" s="40"/>
      <c r="F187" s="40"/>
      <c r="G187" s="40"/>
      <c r="H187" s="40"/>
      <c r="I187" s="40"/>
      <c r="J187" s="40"/>
      <c r="K187" s="40"/>
      <c r="L187" s="40"/>
      <c r="M187" s="64"/>
      <c r="N187" s="64"/>
      <c r="O187" s="64"/>
      <c r="P187" s="64"/>
      <c r="Q187" s="64"/>
      <c r="R187" s="64"/>
      <c r="S187" s="64"/>
      <c r="T187" s="64"/>
      <c r="U187" s="64"/>
      <c r="V187" s="64"/>
      <c r="W187" s="64"/>
      <c r="X187" s="64"/>
      <c r="Y187" s="64">
        <v>47942</v>
      </c>
      <c r="Z187" s="337">
        <v>52231</v>
      </c>
      <c r="AA187" s="337">
        <v>51448</v>
      </c>
      <c r="AB187" s="337">
        <v>51217</v>
      </c>
      <c r="AC187" s="337">
        <v>49446</v>
      </c>
      <c r="AD187" s="337">
        <v>55857</v>
      </c>
      <c r="AE187" s="337">
        <v>57390</v>
      </c>
      <c r="AF187" s="337">
        <v>56513</v>
      </c>
      <c r="AG187" s="337">
        <v>52295</v>
      </c>
      <c r="AH187" s="337">
        <v>51875</v>
      </c>
      <c r="AI187" s="337">
        <v>50565</v>
      </c>
      <c r="AJ187" s="337">
        <v>43157</v>
      </c>
      <c r="AK187" s="337">
        <v>39671</v>
      </c>
      <c r="AL187" s="337">
        <v>39481</v>
      </c>
      <c r="AM187" s="337">
        <v>32953</v>
      </c>
      <c r="AN187" s="337">
        <v>34733</v>
      </c>
      <c r="AO187" s="337">
        <v>28258</v>
      </c>
      <c r="AP187" s="337">
        <v>34176</v>
      </c>
      <c r="AQ187" s="337">
        <v>31915</v>
      </c>
      <c r="AR187" s="337">
        <v>29914</v>
      </c>
      <c r="AS187" s="337">
        <v>29412</v>
      </c>
      <c r="AT187" s="337">
        <v>37920</v>
      </c>
      <c r="AU187" s="337">
        <v>33613</v>
      </c>
      <c r="AV187" s="337">
        <v>30572</v>
      </c>
      <c r="AW187" s="337">
        <v>34011</v>
      </c>
      <c r="AX187" s="337">
        <v>30215</v>
      </c>
      <c r="AY187" s="548">
        <v>38184</v>
      </c>
      <c r="AZ187" s="65">
        <f t="shared" ref="AZ187" si="2104">AY187*AZ186/AY186</f>
        <v>40093.200000000004</v>
      </c>
      <c r="BA187" s="65">
        <f t="shared" ref="BA187" si="2105">AZ187*BA186/AZ186</f>
        <v>41897.394</v>
      </c>
      <c r="BB187" s="65">
        <f t="shared" ref="BB187" si="2106">BA187*BB186/BA186</f>
        <v>43154.315819999996</v>
      </c>
      <c r="BC187" s="65">
        <f t="shared" ref="BC187" si="2107">BB187*BC186/BB186</f>
        <v>44448.945294599987</v>
      </c>
      <c r="BD187" s="65">
        <f t="shared" ref="BD187" si="2108">BC187*BD186/BC186</f>
        <v>45782.413653437987</v>
      </c>
      <c r="BE187" s="65">
        <f t="shared" ref="BE187" si="2109">BD187*BE186/BD186</f>
        <v>47155.886063041122</v>
      </c>
      <c r="BF187" s="65">
        <f t="shared" ref="BF187" si="2110">BE187*BF186/BE186</f>
        <v>48570.562644932354</v>
      </c>
      <c r="BG187" s="65">
        <f t="shared" ref="BG187:BK187" si="2111">BF187*BG186/BF186</f>
        <v>50027.679524280327</v>
      </c>
      <c r="BH187" s="65">
        <f t="shared" si="2111"/>
        <v>51528.509910008732</v>
      </c>
      <c r="BI187" s="65">
        <f t="shared" si="2111"/>
        <v>53074.365207308991</v>
      </c>
      <c r="BJ187" s="65">
        <f t="shared" si="2111"/>
        <v>54666.596163528258</v>
      </c>
      <c r="BK187" s="65">
        <f t="shared" si="2111"/>
        <v>56306.594048434119</v>
      </c>
      <c r="BL187" s="65">
        <f t="shared" ref="BL187" si="2112">BK187*BL186/BK186</f>
        <v>57434.204087161001</v>
      </c>
      <c r="BM187" s="65">
        <f t="shared" ref="BM187" si="2113">BL187*BM186/BL186</f>
        <v>58584.437458837245</v>
      </c>
      <c r="BN187" s="65">
        <f t="shared" ref="BN187" si="2114">BM187*BN186/BM186</f>
        <v>59757.748475126187</v>
      </c>
      <c r="BO187" s="65">
        <f t="shared" ref="BO187" si="2115">BN187*BO186/BN186</f>
        <v>60954.600575171768</v>
      </c>
      <c r="BP187" s="65">
        <f t="shared" ref="BP187" si="2116">BO187*BP186/BO186</f>
        <v>62175.466509019141</v>
      </c>
      <c r="BQ187" s="65">
        <f t="shared" ref="BQ187" si="2117">BP187*BQ186/BP186</f>
        <v>63420.828524721263</v>
      </c>
      <c r="BR187" s="65"/>
      <c r="BS187" s="40">
        <v>5902.9</v>
      </c>
      <c r="BT187" s="40">
        <f>3869.5</f>
        <v>3869.5</v>
      </c>
      <c r="BU187" s="40">
        <v>3274</v>
      </c>
      <c r="BV187" s="40">
        <v>2618</v>
      </c>
      <c r="BW187" s="40">
        <v>1135</v>
      </c>
      <c r="BX187" s="40">
        <v>927</v>
      </c>
      <c r="BY187" s="40">
        <v>5063</v>
      </c>
      <c r="BZ187" s="40">
        <v>6787</v>
      </c>
      <c r="CA187" s="40">
        <v>7654</v>
      </c>
      <c r="CB187" s="40">
        <v>2714</v>
      </c>
      <c r="CC187" s="65">
        <f>E187</f>
        <v>0</v>
      </c>
      <c r="CD187" s="65">
        <f>G187</f>
        <v>0</v>
      </c>
      <c r="CE187" s="65">
        <f>I187</f>
        <v>0</v>
      </c>
      <c r="CF187" s="65">
        <f>K187</f>
        <v>0</v>
      </c>
      <c r="CG187" s="65">
        <f>M187</f>
        <v>0</v>
      </c>
      <c r="CH187" s="65">
        <f>O187</f>
        <v>0</v>
      </c>
      <c r="CI187" s="65">
        <f>Q187</f>
        <v>0</v>
      </c>
      <c r="CJ187" s="65">
        <f>S187</f>
        <v>0</v>
      </c>
      <c r="CK187" s="65">
        <f>U187</f>
        <v>0</v>
      </c>
      <c r="CL187" s="65">
        <f>W187</f>
        <v>0</v>
      </c>
      <c r="CM187" s="65">
        <f>Y187</f>
        <v>47942</v>
      </c>
      <c r="CN187" s="65">
        <f>AA187</f>
        <v>51448</v>
      </c>
      <c r="CO187" s="65">
        <f>AC187</f>
        <v>49446</v>
      </c>
      <c r="CP187" s="65">
        <f>AE187</f>
        <v>57390</v>
      </c>
      <c r="CQ187" s="65">
        <f>AG187</f>
        <v>52295</v>
      </c>
      <c r="CR187" s="65">
        <f>AI187</f>
        <v>50565</v>
      </c>
      <c r="CS187" s="65">
        <f>AK187</f>
        <v>39671</v>
      </c>
      <c r="CT187" s="65">
        <f>AM187</f>
        <v>32953</v>
      </c>
      <c r="CU187" s="65">
        <f>AO187</f>
        <v>28258</v>
      </c>
      <c r="CV187" s="65">
        <f>AQ187</f>
        <v>31915</v>
      </c>
      <c r="CW187" s="65">
        <f>AS187</f>
        <v>29412</v>
      </c>
      <c r="CX187" s="65">
        <f>AU187</f>
        <v>33613</v>
      </c>
      <c r="CY187" s="65">
        <f>AW187</f>
        <v>34011</v>
      </c>
      <c r="CZ187" s="221">
        <f>AY187</f>
        <v>38184</v>
      </c>
      <c r="DA187" s="65">
        <f>BA187</f>
        <v>41897.394</v>
      </c>
      <c r="DB187" s="65">
        <f>BC187</f>
        <v>44448.945294599987</v>
      </c>
      <c r="DC187" s="65">
        <f>BE187</f>
        <v>47155.886063041122</v>
      </c>
      <c r="DD187" s="65">
        <f>BG187</f>
        <v>50027.679524280327</v>
      </c>
      <c r="DE187" s="65">
        <f>BI187</f>
        <v>53074.365207308991</v>
      </c>
      <c r="DF187" s="65">
        <f>BK187</f>
        <v>56306.594048434119</v>
      </c>
      <c r="DG187" s="65">
        <f>BM187</f>
        <v>58584.437458837245</v>
      </c>
      <c r="DH187" s="65">
        <f>BO187</f>
        <v>60954.600575171768</v>
      </c>
      <c r="DI187" s="65">
        <f>BQ187</f>
        <v>63420.828524721263</v>
      </c>
    </row>
    <row r="188" spans="1:113" ht="12" outlineLevel="1">
      <c r="C188" s="41"/>
      <c r="D188" s="41"/>
      <c r="E188" s="41"/>
      <c r="F188" s="41"/>
      <c r="G188" s="41"/>
      <c r="H188" s="41"/>
      <c r="I188" s="41"/>
      <c r="J188" s="41"/>
      <c r="K188" s="41"/>
      <c r="L188" s="41"/>
      <c r="M188" s="41"/>
      <c r="N188" s="41"/>
      <c r="O188" s="41"/>
      <c r="P188" s="41"/>
      <c r="Q188" s="41"/>
      <c r="R188" s="41"/>
      <c r="S188" s="41"/>
      <c r="T188" s="41"/>
      <c r="U188" s="41"/>
      <c r="V188" s="41"/>
      <c r="W188" s="41"/>
      <c r="X188" s="41"/>
      <c r="Y188" s="41"/>
      <c r="Z188" s="41"/>
      <c r="AA188" s="41"/>
      <c r="AB188" s="41"/>
      <c r="AC188" s="41"/>
      <c r="AD188" s="37"/>
      <c r="AE188" s="37"/>
      <c r="AF188" s="41"/>
      <c r="AG188" s="41"/>
      <c r="AH188" s="41"/>
      <c r="AI188" s="41"/>
      <c r="AJ188" s="41"/>
      <c r="AK188" s="41"/>
      <c r="AL188" s="41"/>
      <c r="AM188" s="41"/>
      <c r="AN188" s="41"/>
      <c r="AO188" s="41"/>
      <c r="AP188" s="41"/>
      <c r="AQ188" s="41"/>
      <c r="AR188" s="41"/>
      <c r="AS188" s="41"/>
      <c r="AT188" s="133"/>
      <c r="AU188" s="133"/>
      <c r="AV188" s="133"/>
      <c r="AW188" s="133"/>
      <c r="AX188" s="497"/>
      <c r="AY188" s="599"/>
      <c r="AZ188" s="133"/>
      <c r="BA188" s="133"/>
      <c r="BB188" s="133"/>
      <c r="BC188" s="133"/>
      <c r="BD188" s="133"/>
      <c r="BE188" s="133"/>
      <c r="BF188" s="133"/>
      <c r="BG188" s="133"/>
      <c r="BH188" s="133"/>
      <c r="BI188" s="133"/>
      <c r="BJ188" s="133"/>
      <c r="BK188" s="41"/>
      <c r="BL188" s="41"/>
      <c r="BM188" s="41"/>
      <c r="BN188" s="41"/>
      <c r="BO188" s="41"/>
      <c r="BP188" s="41"/>
      <c r="BQ188" s="41"/>
      <c r="BR188" s="41"/>
      <c r="BS188" s="41"/>
      <c r="BT188" s="41"/>
      <c r="BU188" s="41"/>
      <c r="BV188" s="41"/>
      <c r="BW188" s="41"/>
      <c r="BX188" s="41"/>
      <c r="BY188" s="41"/>
      <c r="BZ188" s="41"/>
      <c r="CA188" s="41"/>
      <c r="CB188" s="41"/>
      <c r="CC188" s="41"/>
      <c r="CD188" s="41"/>
      <c r="CE188" s="41"/>
      <c r="CF188" s="41"/>
      <c r="CG188" s="41"/>
      <c r="CH188" s="41"/>
      <c r="CI188" s="41"/>
      <c r="CJ188" s="41"/>
      <c r="CK188" s="41"/>
      <c r="CL188" s="41"/>
      <c r="CM188" s="41"/>
      <c r="CN188" s="41"/>
      <c r="CO188" s="41"/>
      <c r="CP188" s="41"/>
      <c r="CQ188" s="41"/>
      <c r="CR188" s="41"/>
      <c r="CS188" s="41"/>
      <c r="CT188" s="41"/>
      <c r="CU188" s="41"/>
      <c r="CV188" s="41"/>
      <c r="CW188" s="41"/>
      <c r="CX188" s="41"/>
      <c r="CY188" s="41"/>
      <c r="CZ188" s="211"/>
      <c r="DA188" s="41"/>
      <c r="DB188" s="41"/>
      <c r="DC188" s="41"/>
      <c r="DD188" s="41"/>
      <c r="DE188" s="41"/>
      <c r="DF188" s="41"/>
      <c r="DG188" s="41"/>
      <c r="DH188" s="41"/>
      <c r="DI188" s="41"/>
    </row>
    <row r="189" spans="1:113" s="17" customFormat="1" ht="12" outlineLevel="1">
      <c r="A189" s="1"/>
      <c r="B189" s="17" t="s">
        <v>594</v>
      </c>
      <c r="C189" s="62"/>
      <c r="D189" s="62"/>
      <c r="E189" s="62"/>
      <c r="F189" s="62"/>
      <c r="G189" s="62"/>
      <c r="H189" s="62"/>
      <c r="I189" s="62"/>
      <c r="J189" s="62"/>
      <c r="K189" s="62"/>
      <c r="L189" s="62"/>
      <c r="M189" s="62"/>
      <c r="N189" s="62"/>
      <c r="O189" s="62"/>
      <c r="P189" s="62"/>
      <c r="Q189" s="62"/>
      <c r="R189" s="62"/>
      <c r="S189" s="62"/>
      <c r="T189" s="62"/>
      <c r="U189" s="62"/>
      <c r="V189" s="62"/>
      <c r="W189" s="62"/>
      <c r="X189" s="62"/>
      <c r="Y189" s="62"/>
      <c r="Z189" s="62"/>
      <c r="AA189" s="62"/>
      <c r="AB189" s="62"/>
      <c r="AC189" s="62"/>
      <c r="AD189" s="62"/>
      <c r="AE189" s="62"/>
      <c r="AF189" s="232"/>
      <c r="AG189" s="232"/>
      <c r="AH189" s="232"/>
      <c r="AI189" s="232"/>
      <c r="AJ189" s="62"/>
      <c r="AK189" s="62"/>
      <c r="AL189" s="62"/>
      <c r="AM189" s="62"/>
      <c r="AN189" s="62"/>
      <c r="AO189" s="62"/>
      <c r="AP189" s="62"/>
      <c r="AQ189" s="62"/>
      <c r="AR189" s="62"/>
      <c r="AS189" s="62"/>
      <c r="AT189" s="62"/>
      <c r="AU189" s="62"/>
      <c r="AV189" s="62"/>
      <c r="AW189" s="62"/>
      <c r="AX189" s="62"/>
      <c r="AY189" s="220"/>
      <c r="AZ189" s="62"/>
      <c r="BA189" s="62"/>
      <c r="BB189" s="62"/>
      <c r="BC189" s="62"/>
      <c r="BD189" s="62"/>
      <c r="BE189" s="62"/>
      <c r="BF189" s="62"/>
      <c r="BG189" s="62"/>
      <c r="BH189" s="62"/>
      <c r="BI189" s="62"/>
      <c r="BJ189" s="62"/>
      <c r="BK189" s="62"/>
      <c r="BL189" s="62"/>
      <c r="BM189" s="62"/>
      <c r="BN189" s="62"/>
      <c r="BO189" s="62"/>
      <c r="BP189" s="62"/>
      <c r="BQ189" s="62"/>
      <c r="BR189" s="62"/>
      <c r="BS189" s="62"/>
      <c r="BT189" s="62"/>
      <c r="BU189" s="62"/>
      <c r="BV189" s="62"/>
      <c r="BW189" s="62"/>
      <c r="BX189" s="62"/>
      <c r="BY189" s="62"/>
      <c r="BZ189" s="62"/>
      <c r="CA189" s="62"/>
      <c r="CB189" s="62"/>
      <c r="CC189" s="62"/>
      <c r="CD189" s="62"/>
      <c r="CE189" s="62"/>
      <c r="CF189" s="62"/>
      <c r="CG189" s="62"/>
      <c r="CH189" s="62"/>
      <c r="CI189" s="62"/>
      <c r="CJ189" s="62"/>
      <c r="CK189" s="62"/>
      <c r="CL189" s="62"/>
      <c r="CM189" s="62"/>
      <c r="CN189" s="62"/>
      <c r="CO189" s="62"/>
      <c r="CP189" s="62"/>
      <c r="CQ189" s="62"/>
      <c r="CR189" s="62"/>
      <c r="CS189" s="62"/>
      <c r="CT189" s="62"/>
      <c r="CU189" s="62"/>
      <c r="CV189" s="62"/>
      <c r="CW189" s="62"/>
      <c r="CX189" s="62"/>
      <c r="CY189" s="62"/>
      <c r="CZ189" s="220"/>
      <c r="DA189" s="62"/>
      <c r="DB189" s="62"/>
      <c r="DC189" s="62"/>
      <c r="DD189" s="62"/>
      <c r="DE189" s="62"/>
      <c r="DF189" s="62"/>
      <c r="DG189" s="62"/>
      <c r="DH189" s="62"/>
      <c r="DI189" s="62"/>
    </row>
    <row r="190" spans="1:113" ht="12" outlineLevel="1">
      <c r="A190" s="1" t="s">
        <v>251</v>
      </c>
      <c r="B190" s="15" t="str">
        <f>B$184</f>
        <v>Core deposits</v>
      </c>
      <c r="C190" s="41"/>
      <c r="D190" s="41"/>
      <c r="E190" s="41"/>
      <c r="F190" s="41"/>
      <c r="G190" s="41"/>
      <c r="H190" s="41"/>
      <c r="I190" s="41"/>
      <c r="J190" s="41"/>
      <c r="K190" s="41"/>
      <c r="L190" s="41"/>
      <c r="M190" s="41"/>
      <c r="N190" s="41"/>
      <c r="O190" s="41"/>
      <c r="P190" s="41"/>
      <c r="Q190" s="41"/>
      <c r="R190" s="41"/>
      <c r="S190" s="41"/>
      <c r="T190" s="41"/>
      <c r="U190" s="41"/>
      <c r="V190" s="41"/>
      <c r="W190" s="41"/>
      <c r="X190" s="41"/>
      <c r="Y190" s="141">
        <f>20604+3861</f>
        <v>24465</v>
      </c>
      <c r="Z190" s="141">
        <f>22735+4585</f>
        <v>27320</v>
      </c>
      <c r="AA190" s="141">
        <f>26419+4918</f>
        <v>31337</v>
      </c>
      <c r="AB190" s="141">
        <f>29841+5468</f>
        <v>35309</v>
      </c>
      <c r="AC190" s="141">
        <f>30330+5348</f>
        <v>35678</v>
      </c>
      <c r="AD190" s="141">
        <f>36896+6148</f>
        <v>43044</v>
      </c>
      <c r="AE190" s="141">
        <f>37662+6103</f>
        <v>43765</v>
      </c>
      <c r="AF190" s="141">
        <f>39276+6552</f>
        <v>45828</v>
      </c>
      <c r="AG190" s="141">
        <f>40360+7418</f>
        <v>47778</v>
      </c>
      <c r="AH190" s="141">
        <f>38762+7832</f>
        <v>46594</v>
      </c>
      <c r="AI190" s="141">
        <f>38143+8173</f>
        <v>46316</v>
      </c>
      <c r="AJ190" s="141">
        <f>39580+9334</f>
        <v>48914</v>
      </c>
      <c r="AK190" s="141">
        <f>38106+9365</f>
        <v>47471</v>
      </c>
      <c r="AL190" s="141">
        <f>41001+10383</f>
        <v>51384</v>
      </c>
      <c r="AM190" s="141">
        <f>39216+10929</f>
        <v>50145</v>
      </c>
      <c r="AN190" s="141">
        <f>45978+14050</f>
        <v>60028</v>
      </c>
      <c r="AO190" s="141">
        <f>49905+15630</f>
        <v>65535</v>
      </c>
      <c r="AP190" s="141">
        <f>54379+18618</f>
        <v>72997</v>
      </c>
      <c r="AQ190" s="141">
        <f>59822+20828</f>
        <v>80650</v>
      </c>
      <c r="AR190" s="141">
        <f>59590+21712</f>
        <v>81302</v>
      </c>
      <c r="AS190" s="141">
        <f>54809+18839</f>
        <v>73648</v>
      </c>
      <c r="AT190" s="141">
        <f>56307+18103</f>
        <v>74410</v>
      </c>
      <c r="AU190" s="141">
        <f>56479+16438</f>
        <v>72917</v>
      </c>
      <c r="AV190" s="141">
        <f>55569+15825</f>
        <v>71394</v>
      </c>
      <c r="AW190" s="141">
        <f>56038+14586</f>
        <v>70624</v>
      </c>
      <c r="AX190" s="141">
        <f>58246+15405</f>
        <v>73651</v>
      </c>
      <c r="AY190" s="226">
        <f>57459+15224</f>
        <v>72683</v>
      </c>
      <c r="AZ190" s="41">
        <f t="shared" ref="AZ190:AZ191" si="2118">AY190*AZ$204/AY$204</f>
        <v>76200.978866641977</v>
      </c>
      <c r="BA190" s="41">
        <f t="shared" ref="BA190:BA191" si="2119">AZ190*BA$204/AZ$204</f>
        <v>79448.795947602324</v>
      </c>
      <c r="BB190" s="41">
        <f t="shared" ref="BB190:BB191" si="2120">BA190*BB$204/BA$204</f>
        <v>81755.546283858421</v>
      </c>
      <c r="BC190" s="41">
        <f t="shared" ref="BC190:BC191" si="2121">BB190*BC$204/BB$204</f>
        <v>84129.581291647919</v>
      </c>
      <c r="BD190" s="41">
        <f t="shared" ref="BD190:BD191" si="2122">BC190*BD$204/BC$204</f>
        <v>86572.871565152935</v>
      </c>
      <c r="BE190" s="41">
        <f t="shared" ref="BE190:BE191" si="2123">BD190*BE$204/BD$204</f>
        <v>89087.445617731981</v>
      </c>
      <c r="BF190" s="41">
        <f t="shared" ref="BF190:BF191" si="2124">BE190*BF$204/BE$204</f>
        <v>91675.391589529012</v>
      </c>
      <c r="BG190" s="41">
        <f t="shared" ref="BG190:BG191" si="2125">BF190*BG$204/BF$204</f>
        <v>94338.859005561593</v>
      </c>
      <c r="BH190" s="41">
        <f t="shared" ref="BH190:BH191" si="2126">BG190*BH$204/BG$204</f>
        <v>97005.765148550214</v>
      </c>
      <c r="BI190" s="41">
        <f t="shared" ref="BI190:BI191" si="2127">BH190*BI$204/BH$204</f>
        <v>99205.013136380032</v>
      </c>
      <c r="BJ190" s="41">
        <f t="shared" ref="BJ190:BJ191" si="2128">BI190*BJ$204/BI$204</f>
        <v>101831.97886066708</v>
      </c>
      <c r="BK190" s="41">
        <f t="shared" ref="BK190:BK191" si="2129">BJ190*BK$204/BJ$204</f>
        <v>104057.0815739596</v>
      </c>
      <c r="BL190" s="41">
        <f t="shared" ref="BL190:BL191" si="2130">BK190*BL$204/BK$204</f>
        <v>105656.66319437127</v>
      </c>
      <c r="BM190" s="41">
        <f t="shared" ref="BM190:BM191" si="2131">BL190*BM$204/BL$204</f>
        <v>107290.54101518771</v>
      </c>
      <c r="BN190" s="41">
        <f t="shared" ref="BN190:BN191" si="2132">BM190*BN$204/BM$204</f>
        <v>109417.4115518082</v>
      </c>
      <c r="BO190" s="41">
        <f t="shared" ref="BO190:BO191" si="2133">BN190*BO$204/BN$204</f>
        <v>111586.82537131972</v>
      </c>
      <c r="BP190" s="41">
        <f t="shared" ref="BP190:BP191" si="2134">BO190*BP$204/BO$204</f>
        <v>114180.85622208018</v>
      </c>
      <c r="BQ190" s="41">
        <f t="shared" ref="BQ190:BQ191" si="2135">BP190*BQ$204/BP$204</f>
        <v>116842.03804428996</v>
      </c>
      <c r="BR190" s="41"/>
      <c r="BS190" s="41"/>
      <c r="BT190" s="41"/>
      <c r="BU190" s="41"/>
      <c r="BV190" s="41"/>
      <c r="BW190" s="41"/>
      <c r="BX190" s="41"/>
      <c r="BY190" s="41"/>
      <c r="BZ190" s="41"/>
      <c r="CA190" s="41"/>
      <c r="CB190" s="41"/>
      <c r="CC190" s="41"/>
      <c r="CD190" s="41"/>
      <c r="CE190" s="41"/>
      <c r="CF190" s="41"/>
      <c r="CG190" s="41"/>
      <c r="CH190" s="41"/>
      <c r="CI190" s="41"/>
      <c r="CJ190" s="41"/>
      <c r="CK190" s="41"/>
      <c r="CL190" s="41"/>
      <c r="CM190" s="41">
        <f t="shared" ref="CM190:CM191" si="2136">Y190</f>
        <v>24465</v>
      </c>
      <c r="CN190" s="41">
        <f t="shared" ref="CN190:CN191" si="2137">AA190</f>
        <v>31337</v>
      </c>
      <c r="CO190" s="41">
        <f t="shared" ref="CO190:CO191" si="2138">AC190</f>
        <v>35678</v>
      </c>
      <c r="CP190" s="41">
        <f t="shared" ref="CP190:CP191" si="2139">AE190</f>
        <v>43765</v>
      </c>
      <c r="CQ190" s="41">
        <f t="shared" ref="CQ190:CQ191" si="2140">AG190</f>
        <v>47778</v>
      </c>
      <c r="CR190" s="41">
        <f t="shared" ref="CR190:CR191" si="2141">AI190</f>
        <v>46316</v>
      </c>
      <c r="CS190" s="41"/>
      <c r="CT190" s="41"/>
      <c r="CU190" s="41"/>
      <c r="CV190" s="41"/>
      <c r="CW190" s="41"/>
      <c r="CX190" s="41"/>
      <c r="CY190" s="41"/>
      <c r="CZ190" s="211"/>
      <c r="DA190" s="41"/>
      <c r="DB190" s="41"/>
      <c r="DC190" s="41"/>
      <c r="DD190" s="41"/>
      <c r="DE190" s="41"/>
      <c r="DF190" s="41"/>
      <c r="DG190" s="41"/>
      <c r="DH190" s="41"/>
      <c r="DI190" s="41"/>
    </row>
    <row r="191" spans="1:113" ht="12" outlineLevel="1">
      <c r="A191" s="1" t="s">
        <v>249</v>
      </c>
      <c r="B191" s="15" t="str">
        <f>B$185</f>
        <v>Time deposits (includes CDs)</v>
      </c>
      <c r="C191" s="41"/>
      <c r="D191" s="41"/>
      <c r="E191" s="41"/>
      <c r="F191" s="41"/>
      <c r="G191" s="41"/>
      <c r="H191" s="41"/>
      <c r="I191" s="41"/>
      <c r="J191" s="41"/>
      <c r="K191" s="41"/>
      <c r="L191" s="41"/>
      <c r="M191" s="41"/>
      <c r="N191" s="41"/>
      <c r="O191" s="41"/>
      <c r="P191" s="41"/>
      <c r="Q191" s="41"/>
      <c r="R191" s="41"/>
      <c r="S191" s="41"/>
      <c r="T191" s="41"/>
      <c r="U191" s="41"/>
      <c r="V191" s="41"/>
      <c r="W191" s="41"/>
      <c r="X191" s="41"/>
      <c r="Y191" s="141">
        <f>+Y193+27074</f>
        <v>28795</v>
      </c>
      <c r="Z191" s="141">
        <f>+Z193+27053</f>
        <v>28356</v>
      </c>
      <c r="AA191" s="141">
        <f>+AA193+30135</f>
        <v>32238</v>
      </c>
      <c r="AB191" s="141">
        <f>+AB193+32686</f>
        <v>34190</v>
      </c>
      <c r="AC191" s="141">
        <f>+AC193+30981</f>
        <v>32207</v>
      </c>
      <c r="AD191" s="141">
        <f>+AD193+34211</f>
        <v>35646</v>
      </c>
      <c r="AE191" s="141">
        <f>677+31795</f>
        <v>32472</v>
      </c>
      <c r="AF191" s="141">
        <f>1675+33871</f>
        <v>35546</v>
      </c>
      <c r="AG191" s="141">
        <f>2133+37824</f>
        <v>39957</v>
      </c>
      <c r="AH191" s="141">
        <f>924+40236</f>
        <v>41160</v>
      </c>
      <c r="AI191" s="141">
        <f>1763+41829</f>
        <v>43592</v>
      </c>
      <c r="AJ191" s="141">
        <f>1897+44810</f>
        <v>46707</v>
      </c>
      <c r="AK191" s="141">
        <f>833+49986</f>
        <v>50819</v>
      </c>
      <c r="AL191" s="141">
        <f>874+50890</f>
        <v>51764</v>
      </c>
      <c r="AM191" s="141">
        <f>1375+50941</f>
        <v>52316</v>
      </c>
      <c r="AN191" s="141">
        <f>1651+50414</f>
        <v>52065</v>
      </c>
      <c r="AO191" s="141">
        <f>1650+46351</f>
        <v>48001</v>
      </c>
      <c r="AP191" s="141">
        <f>1292+39715</f>
        <v>41007</v>
      </c>
      <c r="AQ191" s="141">
        <f>1790+38833</f>
        <v>40623</v>
      </c>
      <c r="AR191" s="141">
        <f>2018+38931</f>
        <v>40949</v>
      </c>
      <c r="AS191" s="141">
        <f>14444+41188</f>
        <v>55632</v>
      </c>
      <c r="AT191" s="141">
        <f>1392+47598</f>
        <v>48990</v>
      </c>
      <c r="AU191" s="141">
        <f>2167+50451</f>
        <v>52618</v>
      </c>
      <c r="AV191" s="141">
        <f>1800+52762</f>
        <v>54562</v>
      </c>
      <c r="AW191" s="141">
        <f>1079+54500</f>
        <v>55579</v>
      </c>
      <c r="AX191" s="141">
        <f>1213+54438</f>
        <v>55651</v>
      </c>
      <c r="AY191" s="226">
        <f>774+53421</f>
        <v>54195</v>
      </c>
      <c r="AZ191" s="41">
        <f t="shared" si="2118"/>
        <v>56818.128718925509</v>
      </c>
      <c r="BA191" s="41">
        <f t="shared" si="2119"/>
        <v>59239.815312800922</v>
      </c>
      <c r="BB191" s="41">
        <f t="shared" si="2120"/>
        <v>60959.809458246214</v>
      </c>
      <c r="BC191" s="41">
        <f t="shared" si="2121"/>
        <v>62729.973420206392</v>
      </c>
      <c r="BD191" s="41">
        <f t="shared" si="2122"/>
        <v>64551.77654298069</v>
      </c>
      <c r="BE191" s="41">
        <f t="shared" si="2123"/>
        <v>66426.731357442419</v>
      </c>
      <c r="BF191" s="41">
        <f t="shared" si="2124"/>
        <v>68356.394854292317</v>
      </c>
      <c r="BG191" s="41">
        <f t="shared" si="2125"/>
        <v>70342.369794950879</v>
      </c>
      <c r="BH191" s="41">
        <f t="shared" si="2126"/>
        <v>72330.908771317685</v>
      </c>
      <c r="BI191" s="41">
        <f t="shared" si="2127"/>
        <v>73970.745386488183</v>
      </c>
      <c r="BJ191" s="41">
        <f t="shared" si="2128"/>
        <v>75929.50338254965</v>
      </c>
      <c r="BK191" s="41">
        <f t="shared" si="2129"/>
        <v>77588.618189958375</v>
      </c>
      <c r="BL191" s="41">
        <f t="shared" si="2130"/>
        <v>78781.322480070376</v>
      </c>
      <c r="BM191" s="41">
        <f t="shared" si="2131"/>
        <v>79999.599222900841</v>
      </c>
      <c r="BN191" s="41">
        <f t="shared" si="2132"/>
        <v>81585.468665991342</v>
      </c>
      <c r="BO191" s="41">
        <f t="shared" si="2133"/>
        <v>83203.059876431565</v>
      </c>
      <c r="BP191" s="41">
        <f t="shared" si="2134"/>
        <v>85137.260472952956</v>
      </c>
      <c r="BQ191" s="41">
        <f t="shared" si="2135"/>
        <v>87121.531194506257</v>
      </c>
      <c r="BR191" s="41"/>
      <c r="BS191" s="41"/>
      <c r="BT191" s="41"/>
      <c r="BU191" s="41"/>
      <c r="BV191" s="41"/>
      <c r="BW191" s="41"/>
      <c r="BX191" s="41"/>
      <c r="BY191" s="41"/>
      <c r="BZ191" s="41"/>
      <c r="CA191" s="41"/>
      <c r="CB191" s="41"/>
      <c r="CC191" s="41"/>
      <c r="CD191" s="41"/>
      <c r="CE191" s="41"/>
      <c r="CF191" s="41"/>
      <c r="CG191" s="41"/>
      <c r="CH191" s="41"/>
      <c r="CI191" s="41"/>
      <c r="CJ191" s="41"/>
      <c r="CK191" s="41"/>
      <c r="CL191" s="41"/>
      <c r="CM191" s="41">
        <f t="shared" si="2136"/>
        <v>28795</v>
      </c>
      <c r="CN191" s="41">
        <f t="shared" si="2137"/>
        <v>32238</v>
      </c>
      <c r="CO191" s="41">
        <f t="shared" si="2138"/>
        <v>32207</v>
      </c>
      <c r="CP191" s="41">
        <f t="shared" si="2139"/>
        <v>32472</v>
      </c>
      <c r="CQ191" s="41">
        <f t="shared" si="2140"/>
        <v>39957</v>
      </c>
      <c r="CR191" s="41">
        <f t="shared" si="2141"/>
        <v>43592</v>
      </c>
      <c r="CS191" s="41"/>
      <c r="CT191" s="41"/>
      <c r="CU191" s="41"/>
      <c r="CV191" s="41"/>
      <c r="CW191" s="41"/>
      <c r="CX191" s="41"/>
      <c r="CY191" s="41"/>
      <c r="CZ191" s="211"/>
      <c r="DA191" s="41"/>
      <c r="DB191" s="41"/>
      <c r="DC191" s="41"/>
      <c r="DD191" s="41"/>
      <c r="DE191" s="41"/>
      <c r="DF191" s="41"/>
      <c r="DG191" s="41"/>
      <c r="DH191" s="41"/>
      <c r="DI191" s="41"/>
    </row>
    <row r="192" spans="1:113" s="17" customFormat="1" ht="12" outlineLevel="1">
      <c r="A192" s="1" t="s">
        <v>250</v>
      </c>
      <c r="B192" s="17" t="s">
        <v>168</v>
      </c>
      <c r="C192" s="61">
        <f t="shared" ref="C192:H192" si="2142">(43003/168557)*C$204</f>
        <v>22398.644879773608</v>
      </c>
      <c r="D192" s="61">
        <f t="shared" si="2142"/>
        <v>23751.952149717901</v>
      </c>
      <c r="E192" s="61">
        <f t="shared" si="2142"/>
        <v>25105.259419662194</v>
      </c>
      <c r="F192" s="61">
        <f t="shared" si="2142"/>
        <v>25605.430765260418</v>
      </c>
      <c r="G192" s="61">
        <f t="shared" si="2142"/>
        <v>26105.602110858643</v>
      </c>
      <c r="H192" s="61">
        <f t="shared" si="2142"/>
        <v>30896.072580788696</v>
      </c>
      <c r="I192" s="61">
        <f>(43003/168557)*I$204</f>
        <v>35686.543050718748</v>
      </c>
      <c r="J192" s="61">
        <f>(46470/180410)*J$204</f>
        <v>37933.800232803056</v>
      </c>
      <c r="K192" s="61">
        <f>(48016/190257)*K$204</f>
        <v>39032.480150533229</v>
      </c>
      <c r="L192" s="61">
        <f>(40135/196850)*L$204</f>
        <v>32462.150342900684</v>
      </c>
      <c r="M192" s="61">
        <f>(35940/156760)*M$204</f>
        <v>39524.370757846387</v>
      </c>
      <c r="N192" s="61">
        <f>(37511/167071)*N$204</f>
        <v>40937.644253042119</v>
      </c>
      <c r="O192" s="61">
        <f>(38333/181229)*O$204</f>
        <v>43516.222138840909</v>
      </c>
      <c r="P192" s="61">
        <f>(40712/195072)*P$204</f>
        <v>48898.352731299216</v>
      </c>
      <c r="Q192" s="61">
        <f>(49534/204729)*Q$204</f>
        <v>60367.271544334217</v>
      </c>
      <c r="R192" s="61">
        <f>(49353/226444)*R$204</f>
        <v>58268.159885004687</v>
      </c>
      <c r="S192" s="61">
        <f>(49173/233141)*S$204</f>
        <v>57907.001870112937</v>
      </c>
      <c r="T192" s="61">
        <f>(45939/238212)*T$204</f>
        <v>54185.811483048717</v>
      </c>
      <c r="U192" s="61">
        <f>(45470/256872)*U$204</f>
        <v>52570.74893332088</v>
      </c>
      <c r="V192" s="61">
        <f>(46226/267291)*V$204</f>
        <v>55229.391659277717</v>
      </c>
      <c r="W192" s="61">
        <f>(48710/296754)*W$204</f>
        <v>57925.955505233294</v>
      </c>
      <c r="X192" s="384">
        <f>(50549/308303)*X$204</f>
        <v>60119.932900425883</v>
      </c>
      <c r="Y192" s="416">
        <f t="shared" ref="Y192:AD192" si="2143">Y190+Y191</f>
        <v>53260</v>
      </c>
      <c r="Z192" s="416">
        <f t="shared" si="2143"/>
        <v>55676</v>
      </c>
      <c r="AA192" s="416">
        <f t="shared" si="2143"/>
        <v>63575</v>
      </c>
      <c r="AB192" s="416">
        <f t="shared" si="2143"/>
        <v>69499</v>
      </c>
      <c r="AC192" s="416">
        <f t="shared" si="2143"/>
        <v>67885</v>
      </c>
      <c r="AD192" s="416">
        <f t="shared" si="2143"/>
        <v>78690</v>
      </c>
      <c r="AE192" s="416">
        <f t="shared" ref="AE192:AJ192" si="2144">AE190+AE191</f>
        <v>76237</v>
      </c>
      <c r="AF192" s="416">
        <f t="shared" si="2144"/>
        <v>81374</v>
      </c>
      <c r="AG192" s="416">
        <f t="shared" si="2144"/>
        <v>87735</v>
      </c>
      <c r="AH192" s="416">
        <f t="shared" si="2144"/>
        <v>87754</v>
      </c>
      <c r="AI192" s="416">
        <f t="shared" si="2144"/>
        <v>89908</v>
      </c>
      <c r="AJ192" s="416">
        <f t="shared" si="2144"/>
        <v>95621</v>
      </c>
      <c r="AK192" s="416">
        <f t="shared" ref="AK192:AL192" si="2145">AK190+AK191</f>
        <v>98290</v>
      </c>
      <c r="AL192" s="416">
        <f t="shared" si="2145"/>
        <v>103148</v>
      </c>
      <c r="AM192" s="416">
        <f t="shared" ref="AM192:AN192" si="2146">AM190+AM191</f>
        <v>102461</v>
      </c>
      <c r="AN192" s="416">
        <f t="shared" si="2146"/>
        <v>112093</v>
      </c>
      <c r="AO192" s="416">
        <f t="shared" ref="AO192" si="2147">AO190+AO191</f>
        <v>113536</v>
      </c>
      <c r="AP192" s="416">
        <f t="shared" ref="AP192:AQ192" si="2148">AP190+AP191</f>
        <v>114004</v>
      </c>
      <c r="AQ192" s="416">
        <f t="shared" si="2148"/>
        <v>121273</v>
      </c>
      <c r="AR192" s="416">
        <f t="shared" ref="AR192:AS192" si="2149">AR190+AR191</f>
        <v>122251</v>
      </c>
      <c r="AS192" s="416">
        <f t="shared" si="2149"/>
        <v>129280</v>
      </c>
      <c r="AT192" s="416">
        <f t="shared" ref="AT192:AU192" si="2150">AT190+AT191</f>
        <v>123400</v>
      </c>
      <c r="AU192" s="416">
        <f t="shared" si="2150"/>
        <v>125535</v>
      </c>
      <c r="AV192" s="416">
        <f t="shared" ref="AV192:AW192" si="2151">AV190+AV191</f>
        <v>125956</v>
      </c>
      <c r="AW192" s="416">
        <f t="shared" si="2151"/>
        <v>126203</v>
      </c>
      <c r="AX192" s="416">
        <f t="shared" ref="AX192:AY192" si="2152">AX190+AX191</f>
        <v>129302</v>
      </c>
      <c r="AY192" s="549">
        <f t="shared" si="2152"/>
        <v>126878</v>
      </c>
      <c r="AZ192" s="62">
        <f>AZ167/AZ58</f>
        <v>131953.12</v>
      </c>
      <c r="BA192" s="62">
        <f t="shared" ref="BA192" si="2153">BA167/BA58</f>
        <v>135911.71359999999</v>
      </c>
      <c r="BB192" s="62">
        <f t="shared" ref="BB192:BC192" si="2154">BB167/BB58</f>
        <v>139989.06500800001</v>
      </c>
      <c r="BC192" s="62">
        <f t="shared" si="2154"/>
        <v>144188.73695824001</v>
      </c>
      <c r="BD192" s="62">
        <f t="shared" ref="BD192:BE192" si="2155">BD167/BD58</f>
        <v>148514.39906698721</v>
      </c>
      <c r="BE192" s="62">
        <f t="shared" si="2155"/>
        <v>152969.83103899684</v>
      </c>
      <c r="BF192" s="62">
        <f t="shared" ref="BF192:BG192" si="2156">BF167/BF58</f>
        <v>157558.92597016675</v>
      </c>
      <c r="BG192" s="62">
        <f t="shared" si="2156"/>
        <v>162285.69374927174</v>
      </c>
      <c r="BH192" s="62">
        <f t="shared" ref="BH192:BI192" si="2157">BH167/BH58</f>
        <v>166342.83609300351</v>
      </c>
      <c r="BI192" s="62">
        <f t="shared" si="2157"/>
        <v>167838.33930410634</v>
      </c>
      <c r="BJ192" s="62">
        <f t="shared" ref="BJ192:BK192" si="2158">BJ167/BJ58</f>
        <v>170161.4791177939</v>
      </c>
      <c r="BK192" s="62">
        <f t="shared" si="2158"/>
        <v>173285.28625478584</v>
      </c>
      <c r="BL192" s="62">
        <f t="shared" ref="BL192:BM192" si="2159">BL167/BL58</f>
        <v>176468.31398032256</v>
      </c>
      <c r="BM192" s="62">
        <f t="shared" si="2159"/>
        <v>179711.70968456942</v>
      </c>
      <c r="BN192" s="62">
        <f t="shared" ref="BN192:BO192" si="2160">BN167/BN58</f>
        <v>183016.64330336385</v>
      </c>
      <c r="BO192" s="62">
        <f t="shared" si="2160"/>
        <v>186384.30776516281</v>
      </c>
      <c r="BP192" s="62">
        <f t="shared" ref="BP192:BQ192" si="2161">BP167/BP58</f>
        <v>189815.9194468983</v>
      </c>
      <c r="BQ192" s="62">
        <f t="shared" si="2161"/>
        <v>193312.71863891996</v>
      </c>
      <c r="BR192" s="62"/>
      <c r="BS192" s="61">
        <f>(1433.7+13230.1+4273+1636.6)*BT192/(SUM(BT192,BT198))</f>
        <v>18872.614192943132</v>
      </c>
      <c r="BT192" s="61">
        <f>(1150+13026.2+5000.3+1970.7)*BU192/(SUM(BU192,BU198))</f>
        <v>19398.978625847303</v>
      </c>
      <c r="BU192" s="61">
        <f>(1532+12061+4970+2044)*BV192/(SUM(BV192,BV198))</f>
        <v>18903.436508986313</v>
      </c>
      <c r="BV192" s="61">
        <f>(2077+14315+5187+2396)*BW192/(SUM(BW192,BW198))</f>
        <v>21993.006759981894</v>
      </c>
      <c r="BW192" s="61">
        <f>(4218+16880+5837+2459)*BX192/(SUM(BX192,BX198))</f>
        <v>26265.016456800899</v>
      </c>
      <c r="BX192" s="61">
        <f>(5934+18741+6994+2909)*BY192/(SUM(BY192,BY198))</f>
        <v>30897.181024809874</v>
      </c>
      <c r="BY192" s="61">
        <f>(5071+19483+8332+2242)*BZ192/(SUM(BZ192,BZ198))</f>
        <v>31388.633669949715</v>
      </c>
      <c r="BZ192" s="61">
        <f>(3607+17259+7831+2358)*CA192/(SUM(CA192,CA198))</f>
        <v>27749.203445123218</v>
      </c>
      <c r="CA192" s="61">
        <f>(6284+14359+5028+1207)*CB192/(SUM(CB192,CB198))</f>
        <v>24016.843992852097</v>
      </c>
      <c r="CB192" s="61">
        <f>(5062+19032+6184+1470)*CC192/(SUM(CC192,CC198))</f>
        <v>28368.433777999417</v>
      </c>
      <c r="CC192" s="62">
        <f>E192</f>
        <v>25105.259419662194</v>
      </c>
      <c r="CD192" s="62">
        <f>G192</f>
        <v>26105.602110858643</v>
      </c>
      <c r="CE192" s="62">
        <f>I192</f>
        <v>35686.543050718748</v>
      </c>
      <c r="CF192" s="62">
        <f>K192</f>
        <v>39032.480150533229</v>
      </c>
      <c r="CG192" s="62">
        <f>M192</f>
        <v>39524.370757846387</v>
      </c>
      <c r="CH192" s="62">
        <f>O192</f>
        <v>43516.222138840909</v>
      </c>
      <c r="CI192" s="62">
        <f>Q192</f>
        <v>60367.271544334217</v>
      </c>
      <c r="CJ192" s="62">
        <f>S192</f>
        <v>57907.001870112937</v>
      </c>
      <c r="CK192" s="62">
        <f>U192</f>
        <v>52570.74893332088</v>
      </c>
      <c r="CL192" s="62">
        <f>W192</f>
        <v>57925.955505233294</v>
      </c>
      <c r="CM192" s="62">
        <f>Y192</f>
        <v>53260</v>
      </c>
      <c r="CN192" s="62">
        <f>AA192</f>
        <v>63575</v>
      </c>
      <c r="CO192" s="62">
        <f>AC192</f>
        <v>67885</v>
      </c>
      <c r="CP192" s="62">
        <f>AE192</f>
        <v>76237</v>
      </c>
      <c r="CQ192" s="62">
        <f>AG192</f>
        <v>87735</v>
      </c>
      <c r="CR192" s="62">
        <f>AI192</f>
        <v>89908</v>
      </c>
      <c r="CS192" s="62">
        <f>AK192</f>
        <v>98290</v>
      </c>
      <c r="CT192" s="62">
        <f>AM192</f>
        <v>102461</v>
      </c>
      <c r="CU192" s="62">
        <f>AO192</f>
        <v>113536</v>
      </c>
      <c r="CV192" s="62">
        <f>AQ192</f>
        <v>121273</v>
      </c>
      <c r="CW192" s="62">
        <f>AS192</f>
        <v>129280</v>
      </c>
      <c r="CX192" s="62">
        <f>AU192</f>
        <v>125535</v>
      </c>
      <c r="CY192" s="62">
        <f>AW192</f>
        <v>126203</v>
      </c>
      <c r="CZ192" s="220">
        <f>AY192</f>
        <v>126878</v>
      </c>
      <c r="DA192" s="62">
        <f>BA192</f>
        <v>135911.71359999999</v>
      </c>
      <c r="DB192" s="62">
        <f>BC192</f>
        <v>144188.73695824001</v>
      </c>
      <c r="DC192" s="62">
        <f>BE192</f>
        <v>152969.83103899684</v>
      </c>
      <c r="DD192" s="62">
        <f>BG192</f>
        <v>162285.69374927174</v>
      </c>
      <c r="DE192" s="62">
        <f>BI192</f>
        <v>167838.33930410634</v>
      </c>
      <c r="DF192" s="62">
        <f>BK192</f>
        <v>173285.28625478584</v>
      </c>
      <c r="DG192" s="62">
        <f>BM192</f>
        <v>179711.70968456942</v>
      </c>
      <c r="DH192" s="62">
        <f>BO192</f>
        <v>186384.30776516281</v>
      </c>
      <c r="DI192" s="62">
        <f>BQ192</f>
        <v>193312.71863891996</v>
      </c>
    </row>
    <row r="193" spans="1:113" s="63" customFormat="1" ht="12" outlineLevel="1">
      <c r="A193" s="1" t="s">
        <v>618</v>
      </c>
      <c r="B193" s="63" t="s">
        <v>617</v>
      </c>
      <c r="C193" s="40"/>
      <c r="D193" s="40"/>
      <c r="E193" s="40"/>
      <c r="F193" s="40"/>
      <c r="G193" s="40"/>
      <c r="H193" s="40"/>
      <c r="I193" s="40"/>
      <c r="J193" s="40"/>
      <c r="K193" s="40"/>
      <c r="L193" s="40"/>
      <c r="M193" s="64"/>
      <c r="N193" s="64"/>
      <c r="O193" s="64"/>
      <c r="P193" s="64"/>
      <c r="Q193" s="64"/>
      <c r="R193" s="64"/>
      <c r="S193" s="64"/>
      <c r="T193" s="64"/>
      <c r="U193" s="64"/>
      <c r="V193" s="64"/>
      <c r="W193" s="64"/>
      <c r="X193" s="64"/>
      <c r="Y193" s="337">
        <v>1721</v>
      </c>
      <c r="Z193" s="337">
        <v>1303</v>
      </c>
      <c r="AA193" s="337">
        <v>2103</v>
      </c>
      <c r="AB193" s="337">
        <v>1504</v>
      </c>
      <c r="AC193" s="337">
        <v>1226</v>
      </c>
      <c r="AD193" s="337">
        <v>1435</v>
      </c>
      <c r="AE193" s="337">
        <v>677</v>
      </c>
      <c r="AF193" s="337">
        <v>1675</v>
      </c>
      <c r="AG193" s="337">
        <v>2133</v>
      </c>
      <c r="AH193" s="337">
        <v>924</v>
      </c>
      <c r="AI193" s="337">
        <v>1763</v>
      </c>
      <c r="AJ193" s="337">
        <v>1897</v>
      </c>
      <c r="AK193" s="337">
        <v>833</v>
      </c>
      <c r="AL193" s="337">
        <v>874</v>
      </c>
      <c r="AM193" s="337">
        <v>1375</v>
      </c>
      <c r="AN193" s="337">
        <v>1651</v>
      </c>
      <c r="AO193" s="337">
        <v>1650</v>
      </c>
      <c r="AP193" s="337">
        <v>1292</v>
      </c>
      <c r="AQ193" s="337">
        <v>1790</v>
      </c>
      <c r="AR193" s="337">
        <v>2018</v>
      </c>
      <c r="AS193" s="337">
        <v>1444</v>
      </c>
      <c r="AT193" s="337">
        <v>1392</v>
      </c>
      <c r="AU193" s="337">
        <v>2167</v>
      </c>
      <c r="AV193" s="337">
        <v>1800</v>
      </c>
      <c r="AW193" s="337">
        <v>1079</v>
      </c>
      <c r="AX193" s="337">
        <v>1213</v>
      </c>
      <c r="AY193" s="548">
        <v>774</v>
      </c>
      <c r="AZ193" s="65">
        <f t="shared" ref="AZ193" si="2162">AY193*AZ192/AY192</f>
        <v>804.95999999999992</v>
      </c>
      <c r="BA193" s="65">
        <f t="shared" ref="BA193" si="2163">AZ193*BA192/AZ192</f>
        <v>829.10879999999986</v>
      </c>
      <c r="BB193" s="65">
        <f t="shared" ref="BB193" si="2164">BA193*BB192/BA192</f>
        <v>853.98206399999992</v>
      </c>
      <c r="BC193" s="65">
        <f t="shared" ref="BC193" si="2165">BB193*BC192/BB192</f>
        <v>879.60152591999997</v>
      </c>
      <c r="BD193" s="65">
        <f t="shared" ref="BD193" si="2166">BC193*BD192/BC192</f>
        <v>905.9895716975999</v>
      </c>
      <c r="BE193" s="65">
        <f t="shared" ref="BE193" si="2167">BD193*BE192/BD192</f>
        <v>933.16925884852799</v>
      </c>
      <c r="BF193" s="65">
        <f t="shared" ref="BF193" si="2168">BE193*BF192/BE192</f>
        <v>961.16433661398378</v>
      </c>
      <c r="BG193" s="65">
        <f t="shared" ref="BG193:BK193" si="2169">BF193*BG192/BF192</f>
        <v>989.99926671240337</v>
      </c>
      <c r="BH193" s="65">
        <f t="shared" si="2169"/>
        <v>1014.7492483802134</v>
      </c>
      <c r="BI193" s="65">
        <f t="shared" si="2169"/>
        <v>1023.8723389506322</v>
      </c>
      <c r="BJ193" s="65">
        <f t="shared" si="2169"/>
        <v>1038.0443011173923</v>
      </c>
      <c r="BK193" s="65">
        <f t="shared" si="2169"/>
        <v>1057.1006128816994</v>
      </c>
      <c r="BL193" s="65">
        <f t="shared" ref="BL193" si="2170">BK193*BL192/BK192</f>
        <v>1076.5181908665779</v>
      </c>
      <c r="BM193" s="65">
        <f t="shared" ref="BM193" si="2171">BL193*BM192/BL192</f>
        <v>1096.3040345517484</v>
      </c>
      <c r="BN193" s="65">
        <f t="shared" ref="BN193" si="2172">BM193*BN192/BM192</f>
        <v>1116.4652809533852</v>
      </c>
      <c r="BO193" s="65">
        <f t="shared" ref="BO193" si="2173">BN193*BO192/BN192</f>
        <v>1137.0092073506519</v>
      </c>
      <c r="BP193" s="65">
        <f t="shared" ref="BP193" si="2174">BO193*BP192/BO192</f>
        <v>1157.943234066578</v>
      </c>
      <c r="BQ193" s="65">
        <f t="shared" ref="BQ193" si="2175">BP193*BQ192/BP192</f>
        <v>1179.2749273043714</v>
      </c>
      <c r="BR193" s="65"/>
      <c r="BS193" s="40" t="e">
        <f t="shared" ref="BS193:BY193" si="2176">(6284)*BT193/(SUM(BT193,BT199))</f>
        <v>#DIV/0!</v>
      </c>
      <c r="BT193" s="40" t="e">
        <f t="shared" si="2176"/>
        <v>#DIV/0!</v>
      </c>
      <c r="BU193" s="40" t="e">
        <f t="shared" si="2176"/>
        <v>#DIV/0!</v>
      </c>
      <c r="BV193" s="40" t="e">
        <f t="shared" si="2176"/>
        <v>#DIV/0!</v>
      </c>
      <c r="BW193" s="40" t="e">
        <f t="shared" si="2176"/>
        <v>#DIV/0!</v>
      </c>
      <c r="BX193" s="40" t="e">
        <f t="shared" si="2176"/>
        <v>#DIV/0!</v>
      </c>
      <c r="BY193" s="40" t="e">
        <f t="shared" si="2176"/>
        <v>#DIV/0!</v>
      </c>
      <c r="BZ193" s="40" t="e">
        <f>(3607)*CA193/(SUM(CA193,CA199))</f>
        <v>#DIV/0!</v>
      </c>
      <c r="CA193" s="40" t="e">
        <f>(6284)*CB193/(SUM(CB193,CB199))</f>
        <v>#DIV/0!</v>
      </c>
      <c r="CB193" s="40" t="e">
        <f>(5062)*CC193/(SUM(CC193,CC199))</f>
        <v>#DIV/0!</v>
      </c>
      <c r="CC193" s="65">
        <f>E193</f>
        <v>0</v>
      </c>
      <c r="CD193" s="65">
        <f>G193</f>
        <v>0</v>
      </c>
      <c r="CE193" s="65">
        <f>I193</f>
        <v>0</v>
      </c>
      <c r="CF193" s="65">
        <f>K193</f>
        <v>0</v>
      </c>
      <c r="CG193" s="65">
        <f>M193</f>
        <v>0</v>
      </c>
      <c r="CH193" s="65">
        <f>O193</f>
        <v>0</v>
      </c>
      <c r="CI193" s="65">
        <f>Q193</f>
        <v>0</v>
      </c>
      <c r="CJ193" s="65">
        <f>S193</f>
        <v>0</v>
      </c>
      <c r="CK193" s="65">
        <f>U193</f>
        <v>0</v>
      </c>
      <c r="CL193" s="65">
        <f>W193</f>
        <v>0</v>
      </c>
      <c r="CM193" s="65">
        <f>Y193</f>
        <v>1721</v>
      </c>
      <c r="CN193" s="65">
        <f>AA193</f>
        <v>2103</v>
      </c>
      <c r="CO193" s="65">
        <f>AC193</f>
        <v>1226</v>
      </c>
      <c r="CP193" s="65">
        <f>AE193</f>
        <v>677</v>
      </c>
      <c r="CQ193" s="65">
        <f>AG193</f>
        <v>2133</v>
      </c>
      <c r="CR193" s="65">
        <f>AI193</f>
        <v>1763</v>
      </c>
      <c r="CS193" s="65">
        <f>AK193</f>
        <v>833</v>
      </c>
      <c r="CT193" s="65">
        <f>AM193</f>
        <v>1375</v>
      </c>
      <c r="CU193" s="65">
        <f>AO193</f>
        <v>1650</v>
      </c>
      <c r="CV193" s="65">
        <f>AQ193</f>
        <v>1790</v>
      </c>
      <c r="CW193" s="65">
        <f>AS193</f>
        <v>1444</v>
      </c>
      <c r="CX193" s="65">
        <f>AU193</f>
        <v>2167</v>
      </c>
      <c r="CY193" s="65">
        <f>AW193</f>
        <v>1079</v>
      </c>
      <c r="CZ193" s="221">
        <f>AY193</f>
        <v>774</v>
      </c>
      <c r="DA193" s="65">
        <f>BA193</f>
        <v>829.10879999999986</v>
      </c>
      <c r="DB193" s="65">
        <f>BC193</f>
        <v>879.60152591999997</v>
      </c>
      <c r="DC193" s="65">
        <f>BE193</f>
        <v>933.16925884852799</v>
      </c>
      <c r="DD193" s="65">
        <f>BG193</f>
        <v>989.99926671240337</v>
      </c>
      <c r="DE193" s="65">
        <f>BI193</f>
        <v>1023.8723389506322</v>
      </c>
      <c r="DF193" s="65">
        <f>BK193</f>
        <v>1057.1006128816994</v>
      </c>
      <c r="DG193" s="65">
        <f>BM193</f>
        <v>1096.3040345517484</v>
      </c>
      <c r="DH193" s="65">
        <f>BO193</f>
        <v>1137.0092073506519</v>
      </c>
      <c r="DI193" s="65">
        <f>BQ193</f>
        <v>1179.2749273043714</v>
      </c>
    </row>
    <row r="194" spans="1:113" ht="12" outlineLevel="1">
      <c r="C194" s="41"/>
      <c r="D194" s="41"/>
      <c r="E194" s="41"/>
      <c r="F194" s="41"/>
      <c r="G194" s="41"/>
      <c r="H194" s="41"/>
      <c r="I194" s="41"/>
      <c r="J194" s="41"/>
      <c r="K194" s="41"/>
      <c r="L194" s="41"/>
      <c r="M194" s="41"/>
      <c r="N194" s="41"/>
      <c r="O194" s="41"/>
      <c r="P194" s="41"/>
      <c r="Q194" s="41"/>
      <c r="R194" s="41"/>
      <c r="S194" s="41"/>
      <c r="T194" s="41"/>
      <c r="U194" s="41"/>
      <c r="V194" s="41"/>
      <c r="W194" s="41"/>
      <c r="X194" s="41"/>
      <c r="Y194" s="41"/>
      <c r="Z194" s="41"/>
      <c r="AA194" s="41"/>
      <c r="AB194" s="41"/>
      <c r="AC194" s="41"/>
      <c r="AD194" s="41"/>
      <c r="AE194" s="41"/>
      <c r="AF194" s="41"/>
      <c r="AG194" s="41"/>
      <c r="AH194" s="41"/>
      <c r="AI194" s="41"/>
      <c r="AJ194" s="41"/>
      <c r="AK194" s="41"/>
      <c r="AL194" s="41"/>
      <c r="AM194" s="41"/>
      <c r="AN194" s="41"/>
      <c r="AO194" s="41"/>
      <c r="AP194" s="41"/>
      <c r="AQ194" s="41"/>
      <c r="AR194" s="41"/>
      <c r="AS194" s="41"/>
      <c r="AT194" s="41"/>
      <c r="AU194" s="41"/>
      <c r="AV194" s="41"/>
      <c r="AW194" s="41"/>
      <c r="AX194" s="41"/>
      <c r="AY194" s="211"/>
      <c r="AZ194" s="41"/>
      <c r="BA194" s="41"/>
      <c r="BB194" s="41"/>
      <c r="BC194" s="41"/>
      <c r="BD194" s="41"/>
      <c r="BE194" s="41"/>
      <c r="BF194" s="41"/>
      <c r="BG194" s="41"/>
      <c r="BH194" s="41"/>
      <c r="BI194" s="41"/>
      <c r="BJ194" s="41"/>
      <c r="BK194" s="41"/>
      <c r="BL194" s="41"/>
      <c r="BM194" s="41"/>
      <c r="BN194" s="41"/>
      <c r="BO194" s="41"/>
      <c r="BP194" s="41"/>
      <c r="BQ194" s="41"/>
      <c r="BR194" s="41"/>
      <c r="BS194" s="41"/>
      <c r="BT194" s="41"/>
      <c r="BU194" s="41"/>
      <c r="BV194" s="41"/>
      <c r="BW194" s="41"/>
      <c r="BX194" s="41"/>
      <c r="BY194" s="41"/>
      <c r="BZ194" s="41"/>
      <c r="CA194" s="41"/>
      <c r="CB194" s="41"/>
      <c r="CC194" s="41"/>
      <c r="CD194" s="41"/>
      <c r="CE194" s="41"/>
      <c r="CF194" s="41"/>
      <c r="CG194" s="41"/>
      <c r="CH194" s="41"/>
      <c r="CI194" s="41"/>
      <c r="CJ194" s="41"/>
      <c r="CK194" s="41"/>
      <c r="CL194" s="41"/>
      <c r="CM194" s="41"/>
      <c r="CN194" s="41"/>
      <c r="CO194" s="41"/>
      <c r="CP194" s="41"/>
      <c r="CQ194" s="41"/>
      <c r="CR194" s="41"/>
      <c r="CS194" s="41"/>
      <c r="CT194" s="41"/>
      <c r="CU194" s="41"/>
      <c r="CV194" s="41"/>
      <c r="CW194" s="41"/>
      <c r="CX194" s="41"/>
      <c r="CY194" s="41"/>
      <c r="CZ194" s="211"/>
      <c r="DA194" s="41"/>
      <c r="DB194" s="41"/>
      <c r="DC194" s="41"/>
      <c r="DD194" s="41"/>
      <c r="DE194" s="41"/>
      <c r="DF194" s="41"/>
      <c r="DG194" s="41"/>
      <c r="DH194" s="41"/>
      <c r="DI194" s="41"/>
    </row>
    <row r="195" spans="1:113" s="17" customFormat="1" ht="12" outlineLevel="1">
      <c r="A195" s="1"/>
      <c r="B195" s="17" t="s">
        <v>494</v>
      </c>
      <c r="C195" s="62"/>
      <c r="D195" s="62"/>
      <c r="E195" s="62"/>
      <c r="F195" s="62"/>
      <c r="G195" s="62"/>
      <c r="H195" s="62"/>
      <c r="I195" s="62"/>
      <c r="J195" s="62"/>
      <c r="K195" s="62"/>
      <c r="L195" s="62"/>
      <c r="M195" s="62"/>
      <c r="N195" s="62"/>
      <c r="O195" s="62"/>
      <c r="P195" s="62"/>
      <c r="Q195" s="62"/>
      <c r="R195" s="62"/>
      <c r="S195" s="62"/>
      <c r="T195" s="62"/>
      <c r="U195" s="62"/>
      <c r="V195" s="62"/>
      <c r="W195" s="62"/>
      <c r="X195" s="62"/>
      <c r="Y195" s="62"/>
      <c r="Z195" s="62"/>
      <c r="AA195" s="62"/>
      <c r="AB195" s="62"/>
      <c r="AC195" s="62"/>
      <c r="AD195" s="62"/>
      <c r="AE195" s="62"/>
      <c r="AF195" s="62"/>
      <c r="AG195" s="62"/>
      <c r="AH195" s="62"/>
      <c r="AI195" s="62"/>
      <c r="AJ195" s="62"/>
      <c r="AK195" s="62"/>
      <c r="AL195" s="62"/>
      <c r="AM195" s="62"/>
      <c r="AN195" s="62"/>
      <c r="AO195" s="62"/>
      <c r="AP195" s="62"/>
      <c r="AQ195" s="62"/>
      <c r="AR195" s="62"/>
      <c r="AS195" s="62"/>
      <c r="AT195" s="62"/>
      <c r="AU195" s="62"/>
      <c r="AV195" s="62"/>
      <c r="AW195" s="62"/>
      <c r="AX195" s="62"/>
      <c r="AY195" s="220"/>
      <c r="AZ195" s="62"/>
      <c r="BA195" s="62"/>
      <c r="BB195" s="62"/>
      <c r="BC195" s="62"/>
      <c r="BD195" s="62"/>
      <c r="BE195" s="62"/>
      <c r="BF195" s="62"/>
      <c r="BG195" s="62"/>
      <c r="BH195" s="62"/>
      <c r="BI195" s="62"/>
      <c r="BJ195" s="62"/>
      <c r="BK195" s="62"/>
      <c r="BL195" s="62"/>
      <c r="BM195" s="62"/>
      <c r="BN195" s="62"/>
      <c r="BO195" s="62"/>
      <c r="BP195" s="62"/>
      <c r="BQ195" s="62"/>
      <c r="BR195" s="62"/>
      <c r="BS195" s="62"/>
      <c r="BT195" s="62"/>
      <c r="BU195" s="62"/>
      <c r="BV195" s="62"/>
      <c r="BW195" s="62"/>
      <c r="BX195" s="62"/>
      <c r="BY195" s="62"/>
      <c r="BZ195" s="62"/>
      <c r="CA195" s="62"/>
      <c r="CB195" s="62"/>
      <c r="CC195" s="62"/>
      <c r="CD195" s="62"/>
      <c r="CE195" s="62"/>
      <c r="CF195" s="62"/>
      <c r="CG195" s="62"/>
      <c r="CH195" s="62"/>
      <c r="CI195" s="62"/>
      <c r="CJ195" s="62"/>
      <c r="CK195" s="62"/>
      <c r="CL195" s="62"/>
      <c r="CM195" s="62"/>
      <c r="CN195" s="62"/>
      <c r="CO195" s="62"/>
      <c r="CP195" s="62"/>
      <c r="CQ195" s="62"/>
      <c r="CR195" s="62"/>
      <c r="CS195" s="62"/>
      <c r="CT195" s="62"/>
      <c r="CU195" s="62"/>
      <c r="CV195" s="62"/>
      <c r="CW195" s="62"/>
      <c r="CX195" s="62"/>
      <c r="CY195" s="62"/>
      <c r="CZ195" s="220"/>
      <c r="DA195" s="62"/>
      <c r="DB195" s="62"/>
      <c r="DC195" s="62"/>
      <c r="DD195" s="62"/>
      <c r="DE195" s="62"/>
      <c r="DF195" s="62"/>
      <c r="DG195" s="62"/>
      <c r="DH195" s="62"/>
      <c r="DI195" s="62"/>
    </row>
    <row r="196" spans="1:113" ht="12" outlineLevel="1">
      <c r="A196" s="1" t="s">
        <v>248</v>
      </c>
      <c r="B196" s="15" t="str">
        <f>B$184</f>
        <v>Core deposits</v>
      </c>
      <c r="C196" s="41"/>
      <c r="D196" s="41"/>
      <c r="E196" s="41"/>
      <c r="F196" s="41"/>
      <c r="G196" s="41"/>
      <c r="H196" s="41"/>
      <c r="I196" s="41"/>
      <c r="J196" s="41"/>
      <c r="K196" s="41"/>
      <c r="L196" s="41"/>
      <c r="M196" s="41"/>
      <c r="N196" s="41"/>
      <c r="O196" s="41"/>
      <c r="P196" s="41"/>
      <c r="Q196" s="41"/>
      <c r="R196" s="41"/>
      <c r="S196" s="41"/>
      <c r="T196" s="41"/>
      <c r="U196" s="41"/>
      <c r="V196" s="41"/>
      <c r="W196" s="41"/>
      <c r="X196" s="41"/>
      <c r="Y196" s="41">
        <f t="shared" ref="Y196:Z196" si="2177">Y202-Y184-Y190</f>
        <v>17804</v>
      </c>
      <c r="Z196" s="41">
        <f t="shared" si="2177"/>
        <v>18424</v>
      </c>
      <c r="AA196" s="41">
        <f t="shared" ref="AA196:AB196" si="2178">AA202-AA184-AA190</f>
        <v>22135</v>
      </c>
      <c r="AB196" s="41">
        <f t="shared" si="2178"/>
        <v>23067</v>
      </c>
      <c r="AC196" s="41">
        <f t="shared" ref="AC196:AE198" si="2179">AC202-AC184-AC190</f>
        <v>25095</v>
      </c>
      <c r="AD196" s="41">
        <f t="shared" si="2179"/>
        <v>29214</v>
      </c>
      <c r="AE196" s="41">
        <f t="shared" si="2179"/>
        <v>33390</v>
      </c>
      <c r="AF196" s="41">
        <f t="shared" ref="AF196:AG196" si="2180">AF202-AF184-AF190</f>
        <v>30091</v>
      </c>
      <c r="AG196" s="41">
        <f t="shared" si="2180"/>
        <v>30043</v>
      </c>
      <c r="AH196" s="41">
        <f t="shared" ref="AH196:AI196" si="2181">AH202-AH184-AH190</f>
        <v>28482</v>
      </c>
      <c r="AI196" s="41">
        <f t="shared" si="2181"/>
        <v>26288</v>
      </c>
      <c r="AJ196" s="41">
        <f t="shared" ref="AJ196:AK196" si="2182">AJ202-AJ184-AJ190</f>
        <v>23919</v>
      </c>
      <c r="AK196" s="41">
        <f t="shared" si="2182"/>
        <v>23049</v>
      </c>
      <c r="AL196" s="41">
        <f t="shared" ref="AL196:AM196" si="2183">AL202-AL184-AL190</f>
        <v>25174</v>
      </c>
      <c r="AM196" s="41">
        <f t="shared" si="2183"/>
        <v>25435</v>
      </c>
      <c r="AN196" s="41">
        <f t="shared" ref="AN196:AO196" si="2184">AN202-AN184-AN190</f>
        <v>31312</v>
      </c>
      <c r="AO196" s="41">
        <f t="shared" si="2184"/>
        <v>29839</v>
      </c>
      <c r="AP196" s="41">
        <f t="shared" ref="AP196:AQ196" si="2185">AP202-AP184-AP190</f>
        <v>33780</v>
      </c>
      <c r="AQ196" s="41">
        <f t="shared" si="2185"/>
        <v>41803</v>
      </c>
      <c r="AR196" s="41">
        <f t="shared" ref="AR196:AS196" si="2186">AR202-AR184-AR190</f>
        <v>38155</v>
      </c>
      <c r="AS196" s="41">
        <f t="shared" si="2186"/>
        <v>35931</v>
      </c>
      <c r="AT196" s="41">
        <f t="shared" ref="AT196:AU196" si="2187">AT202-AT184-AT190</f>
        <v>29578</v>
      </c>
      <c r="AU196" s="41">
        <f t="shared" si="2187"/>
        <v>27439</v>
      </c>
      <c r="AV196" s="41">
        <f t="shared" ref="AV196:AW196" si="2188">AV202-AV184-AV190</f>
        <v>26048</v>
      </c>
      <c r="AW196" s="41">
        <f t="shared" si="2188"/>
        <v>22977</v>
      </c>
      <c r="AX196" s="41">
        <f t="shared" ref="AX196:AY196" si="2189">AX202-AX184-AX190</f>
        <v>23906</v>
      </c>
      <c r="AY196" s="211">
        <f t="shared" si="2189"/>
        <v>27984</v>
      </c>
      <c r="AZ196" s="41">
        <f t="shared" ref="AZ196:AZ197" si="2190">AY196*AZ$204/AY$204</f>
        <v>29338.472443406426</v>
      </c>
      <c r="BA196" s="41">
        <f t="shared" ref="BA196:BA197" si="2191">AZ196*BA$204/AZ$204</f>
        <v>30588.928715073729</v>
      </c>
      <c r="BB196" s="41">
        <f t="shared" ref="BB196:BB197" si="2192">BA196*BB$204/BA$204</f>
        <v>31477.060759840606</v>
      </c>
      <c r="BC196" s="41">
        <f t="shared" ref="BC196:BC197" si="2193">BB196*BC$204/BB$204</f>
        <v>32391.098370533357</v>
      </c>
      <c r="BD196" s="41">
        <f t="shared" ref="BD196:BD197" si="2194">BC196*BD$204/BC$204</f>
        <v>33331.800254244321</v>
      </c>
      <c r="BE196" s="41">
        <f t="shared" ref="BE196:BE197" si="2195">BD196*BE$204/BD$204</f>
        <v>34299.947417781492</v>
      </c>
      <c r="BF196" s="41">
        <f t="shared" ref="BF196:BF197" si="2196">BE196*BF$204/BE$204</f>
        <v>35296.343825122523</v>
      </c>
      <c r="BG196" s="41">
        <f t="shared" ref="BG196:BG197" si="2197">BF196*BG$204/BF$204</f>
        <v>36321.817074303981</v>
      </c>
      <c r="BH196" s="41">
        <f t="shared" ref="BH196:BH197" si="2198">BG196*BH$204/BG$204</f>
        <v>37348.614282803814</v>
      </c>
      <c r="BI196" s="41">
        <f t="shared" ref="BI196:BI197" si="2199">BH196*BI$204/BH$204</f>
        <v>38195.356377811302</v>
      </c>
      <c r="BJ196" s="41">
        <f t="shared" ref="BJ196:BJ197" si="2200">BI196*BJ$204/BI$204</f>
        <v>39206.775950867566</v>
      </c>
      <c r="BK196" s="41">
        <f t="shared" ref="BK196:BK197" si="2201">BJ196*BK$204/BJ$204</f>
        <v>40063.472486904575</v>
      </c>
      <c r="BL196" s="41">
        <f t="shared" ref="BL196:BL197" si="2202">BK196*BL$204/BK$204</f>
        <v>40679.3344087515</v>
      </c>
      <c r="BM196" s="41">
        <f t="shared" ref="BM196:BM197" si="2203">BL196*BM$204/BL$204</f>
        <v>41308.400860847963</v>
      </c>
      <c r="BN196" s="41">
        <f t="shared" ref="BN196:BN197" si="2204">BM196*BN$204/BM$204</f>
        <v>42127.276596532887</v>
      </c>
      <c r="BO196" s="41">
        <f t="shared" ref="BO196:BO197" si="2205">BN196*BO$204/BN$204</f>
        <v>42962.532107797015</v>
      </c>
      <c r="BP196" s="41">
        <f t="shared" ref="BP196:BP197" si="2206">BO196*BP$204/BO$204</f>
        <v>43961.271281024332</v>
      </c>
      <c r="BQ196" s="41">
        <f t="shared" ref="BQ196:BQ197" si="2207">BP196*BQ$204/BP$204</f>
        <v>44985.864543722877</v>
      </c>
      <c r="BR196" s="41"/>
      <c r="BS196" s="41"/>
      <c r="BT196" s="41"/>
      <c r="BU196" s="41"/>
      <c r="BV196" s="41"/>
      <c r="BW196" s="41"/>
      <c r="BX196" s="41"/>
      <c r="BY196" s="41"/>
      <c r="BZ196" s="41"/>
      <c r="CA196" s="41"/>
      <c r="CB196" s="41"/>
      <c r="CC196" s="41"/>
      <c r="CD196" s="41"/>
      <c r="CE196" s="41"/>
      <c r="CF196" s="41"/>
      <c r="CG196" s="41"/>
      <c r="CH196" s="41"/>
      <c r="CI196" s="41"/>
      <c r="CJ196" s="41"/>
      <c r="CK196" s="41"/>
      <c r="CL196" s="41"/>
      <c r="CM196" s="41">
        <f>Y196</f>
        <v>17804</v>
      </c>
      <c r="CN196" s="41">
        <f>AA196</f>
        <v>22135</v>
      </c>
      <c r="CO196" s="41">
        <f>AC196</f>
        <v>25095</v>
      </c>
      <c r="CP196" s="41">
        <f>AE196</f>
        <v>33390</v>
      </c>
      <c r="CQ196" s="41">
        <f t="shared" ref="CQ196:CQ197" si="2208">AG196</f>
        <v>30043</v>
      </c>
      <c r="CR196" s="41">
        <f t="shared" ref="CR196:CR197" si="2209">AI196</f>
        <v>26288</v>
      </c>
      <c r="CS196" s="41"/>
      <c r="CT196" s="41"/>
      <c r="CU196" s="41"/>
      <c r="CV196" s="41"/>
      <c r="CW196" s="41"/>
      <c r="CX196" s="41"/>
      <c r="CY196" s="41"/>
      <c r="CZ196" s="211"/>
      <c r="DA196" s="41"/>
      <c r="DB196" s="41"/>
      <c r="DC196" s="41"/>
      <c r="DD196" s="41"/>
      <c r="DE196" s="41"/>
      <c r="DF196" s="41"/>
      <c r="DG196" s="41"/>
      <c r="DH196" s="41"/>
      <c r="DI196" s="41"/>
    </row>
    <row r="197" spans="1:113" ht="12" outlineLevel="1">
      <c r="A197" s="1" t="s">
        <v>246</v>
      </c>
      <c r="B197" s="15" t="str">
        <f>B$185</f>
        <v>Time deposits (includes CDs)</v>
      </c>
      <c r="C197" s="41"/>
      <c r="D197" s="41"/>
      <c r="E197" s="41"/>
      <c r="F197" s="41"/>
      <c r="G197" s="41"/>
      <c r="H197" s="41"/>
      <c r="I197" s="41"/>
      <c r="J197" s="41"/>
      <c r="K197" s="41"/>
      <c r="L197" s="41"/>
      <c r="M197" s="41"/>
      <c r="N197" s="41"/>
      <c r="O197" s="41"/>
      <c r="P197" s="41"/>
      <c r="Q197" s="41"/>
      <c r="R197" s="41"/>
      <c r="S197" s="41"/>
      <c r="T197" s="41"/>
      <c r="U197" s="41"/>
      <c r="V197" s="41"/>
      <c r="W197" s="41"/>
      <c r="X197" s="41"/>
      <c r="Y197" s="41">
        <f t="shared" ref="Y197:Z197" si="2210">Y203-Y185-Y191</f>
        <v>70058</v>
      </c>
      <c r="Z197" s="41">
        <f t="shared" si="2210"/>
        <v>82631</v>
      </c>
      <c r="AA197" s="41">
        <f t="shared" ref="AA197:AB197" si="2211">AA203-AA185-AA191</f>
        <v>80983</v>
      </c>
      <c r="AB197" s="41">
        <f t="shared" si="2211"/>
        <v>84572</v>
      </c>
      <c r="AC197" s="41">
        <f t="shared" si="2179"/>
        <v>85039</v>
      </c>
      <c r="AD197" s="41">
        <f t="shared" si="2179"/>
        <v>103441</v>
      </c>
      <c r="AE197" s="41">
        <f t="shared" si="2179"/>
        <v>101866</v>
      </c>
      <c r="AF197" s="41">
        <f t="shared" ref="AF197:AG197" si="2212">AF203-AF185-AF191</f>
        <v>97000</v>
      </c>
      <c r="AG197" s="41">
        <f t="shared" si="2212"/>
        <v>91584</v>
      </c>
      <c r="AH197" s="41">
        <f t="shared" ref="AH197:AI197" si="2213">AH203-AH185-AH191</f>
        <v>95078</v>
      </c>
      <c r="AI197" s="41">
        <f t="shared" si="2213"/>
        <v>81757</v>
      </c>
      <c r="AJ197" s="41">
        <f t="shared" ref="AJ197:AK197" si="2214">AJ203-AJ185-AJ191</f>
        <v>82569</v>
      </c>
      <c r="AK197" s="41">
        <f t="shared" si="2214"/>
        <v>91387</v>
      </c>
      <c r="AL197" s="41">
        <f t="shared" ref="AL197:AM197" si="2215">AL203-AL185-AL191</f>
        <v>97611</v>
      </c>
      <c r="AM197" s="41">
        <f t="shared" si="2215"/>
        <v>103904</v>
      </c>
      <c r="AN197" s="41">
        <f t="shared" ref="AN197:AO197" si="2216">AN203-AN185-AN191</f>
        <v>122635</v>
      </c>
      <c r="AO197" s="41">
        <f t="shared" si="2216"/>
        <v>89318</v>
      </c>
      <c r="AP197" s="41">
        <f t="shared" ref="AP197:AQ197" si="2217">AP203-AP185-AP191</f>
        <v>89482</v>
      </c>
      <c r="AQ197" s="41">
        <f t="shared" si="2217"/>
        <v>92484</v>
      </c>
      <c r="AR197" s="41">
        <f t="shared" ref="AR197:AS197" si="2218">AR203-AR185-AR191</f>
        <v>102538</v>
      </c>
      <c r="AS197" s="41">
        <f t="shared" si="2218"/>
        <v>97750</v>
      </c>
      <c r="AT197" s="41">
        <f t="shared" ref="AT197:AU197" si="2219">AT203-AT185-AT191</f>
        <v>132700</v>
      </c>
      <c r="AU197" s="41">
        <f t="shared" si="2219"/>
        <v>124063</v>
      </c>
      <c r="AV197" s="41">
        <f t="shared" ref="AV197:AW197" si="2220">AV203-AV185-AV191</f>
        <v>107642</v>
      </c>
      <c r="AW197" s="41">
        <f t="shared" si="2220"/>
        <v>123719</v>
      </c>
      <c r="AX197" s="41">
        <f t="shared" ref="AX197:AY197" si="2221">AX203-AX185-AX191</f>
        <v>149794</v>
      </c>
      <c r="AY197" s="211">
        <f t="shared" si="2221"/>
        <v>124732</v>
      </c>
      <c r="AZ197" s="41">
        <f t="shared" si="2190"/>
        <v>130769.23759330226</v>
      </c>
      <c r="BA197" s="41">
        <f t="shared" si="2191"/>
        <v>136342.84793055232</v>
      </c>
      <c r="BB197" s="41">
        <f t="shared" si="2192"/>
        <v>140301.48451602479</v>
      </c>
      <c r="BC197" s="41">
        <f t="shared" si="2193"/>
        <v>144375.58897775036</v>
      </c>
      <c r="BD197" s="41">
        <f t="shared" si="2194"/>
        <v>148568.54307148379</v>
      </c>
      <c r="BE197" s="41">
        <f t="shared" si="2195"/>
        <v>152883.82794863923</v>
      </c>
      <c r="BF197" s="41">
        <f t="shared" si="2196"/>
        <v>157325.02708673466</v>
      </c>
      <c r="BG197" s="41">
        <f t="shared" si="2197"/>
        <v>161895.82930646383</v>
      </c>
      <c r="BH197" s="41">
        <f t="shared" si="2198"/>
        <v>166472.53275881524</v>
      </c>
      <c r="BI197" s="41">
        <f t="shared" si="2199"/>
        <v>170246.6835233405</v>
      </c>
      <c r="BJ197" s="41">
        <f t="shared" si="2200"/>
        <v>174754.84483646421</v>
      </c>
      <c r="BK197" s="41">
        <f t="shared" si="2201"/>
        <v>178573.36514567546</v>
      </c>
      <c r="BL197" s="41">
        <f t="shared" si="2202"/>
        <v>181318.42265124331</v>
      </c>
      <c r="BM197" s="41">
        <f t="shared" si="2203"/>
        <v>184122.3361983737</v>
      </c>
      <c r="BN197" s="41">
        <f t="shared" si="2204"/>
        <v>187772.27931813689</v>
      </c>
      <c r="BO197" s="41">
        <f t="shared" si="2205"/>
        <v>191495.23137756361</v>
      </c>
      <c r="BP197" s="41">
        <f t="shared" si="2206"/>
        <v>195946.87283536055</v>
      </c>
      <c r="BQ197" s="41">
        <f t="shared" si="2207"/>
        <v>200513.75272540184</v>
      </c>
      <c r="BR197" s="41"/>
      <c r="BS197" s="41"/>
      <c r="BT197" s="41"/>
      <c r="BU197" s="41"/>
      <c r="BV197" s="41"/>
      <c r="BW197" s="41"/>
      <c r="BX197" s="41"/>
      <c r="BY197" s="41"/>
      <c r="BZ197" s="41"/>
      <c r="CA197" s="41"/>
      <c r="CB197" s="41"/>
      <c r="CC197" s="41"/>
      <c r="CD197" s="41"/>
      <c r="CE197" s="41"/>
      <c r="CF197" s="41"/>
      <c r="CG197" s="41"/>
      <c r="CH197" s="41"/>
      <c r="CI197" s="41"/>
      <c r="CJ197" s="41"/>
      <c r="CK197" s="41"/>
      <c r="CL197" s="41"/>
      <c r="CM197" s="41">
        <f>Y197</f>
        <v>70058</v>
      </c>
      <c r="CN197" s="41">
        <f>AA197</f>
        <v>80983</v>
      </c>
      <c r="CO197" s="41">
        <f>AC197</f>
        <v>85039</v>
      </c>
      <c r="CP197" s="41">
        <f>AE197</f>
        <v>101866</v>
      </c>
      <c r="CQ197" s="41">
        <f t="shared" si="2208"/>
        <v>91584</v>
      </c>
      <c r="CR197" s="41">
        <f t="shared" si="2209"/>
        <v>81757</v>
      </c>
      <c r="CS197" s="41"/>
      <c r="CT197" s="41"/>
      <c r="CU197" s="41"/>
      <c r="CV197" s="41"/>
      <c r="CW197" s="41"/>
      <c r="CX197" s="41"/>
      <c r="CY197" s="41"/>
      <c r="CZ197" s="211"/>
      <c r="DA197" s="41"/>
      <c r="DB197" s="41"/>
      <c r="DC197" s="41"/>
      <c r="DD197" s="41"/>
      <c r="DE197" s="41"/>
      <c r="DF197" s="41"/>
      <c r="DG197" s="41"/>
      <c r="DH197" s="41"/>
      <c r="DI197" s="41"/>
    </row>
    <row r="198" spans="1:113" s="17" customFormat="1" ht="12" outlineLevel="1">
      <c r="A198" s="1" t="s">
        <v>247</v>
      </c>
      <c r="B198" s="17" t="s">
        <v>168</v>
      </c>
      <c r="C198" s="62">
        <f>C204-C186-C192</f>
        <v>2668.3779670971853</v>
      </c>
      <c r="D198" s="62">
        <f>D204-D186-D192</f>
        <v>2829.5991178058539</v>
      </c>
      <c r="E198" s="62">
        <f>E204-E186-E192</f>
        <v>2990.8202685145079</v>
      </c>
      <c r="F198" s="62">
        <f t="shared" ref="F198:L198" si="2222">F204-F186-F192</f>
        <v>3050.4062928267522</v>
      </c>
      <c r="G198" s="62">
        <f t="shared" si="2222"/>
        <v>3109.992317139011</v>
      </c>
      <c r="H198" s="62">
        <f t="shared" si="2222"/>
        <v>3680.6869248978146</v>
      </c>
      <c r="I198" s="62">
        <f t="shared" si="2222"/>
        <v>4251.3815326566182</v>
      </c>
      <c r="J198" s="62">
        <f t="shared" si="2222"/>
        <v>4330.5102267058392</v>
      </c>
      <c r="K198" s="62">
        <f t="shared" si="2222"/>
        <v>29.264605244490667</v>
      </c>
      <c r="L198" s="62">
        <f t="shared" si="2222"/>
        <v>0</v>
      </c>
      <c r="M198" s="62">
        <f t="shared" ref="M198:X198" si="2223">M204-M186-M192</f>
        <v>0</v>
      </c>
      <c r="N198" s="62">
        <f t="shared" si="2223"/>
        <v>11615.242136576664</v>
      </c>
      <c r="O198" s="62">
        <f t="shared" si="2223"/>
        <v>12602.029112338525</v>
      </c>
      <c r="P198" s="62">
        <f t="shared" si="2223"/>
        <v>23322.563699557089</v>
      </c>
      <c r="Q198" s="62">
        <f t="shared" si="2223"/>
        <v>27457.395483785862</v>
      </c>
      <c r="R198" s="62">
        <f t="shared" si="2223"/>
        <v>34978.841669463523</v>
      </c>
      <c r="S198" s="62">
        <f t="shared" si="2223"/>
        <v>35478.092557722579</v>
      </c>
      <c r="T198" s="62">
        <f t="shared" si="2223"/>
        <v>48165.558934898319</v>
      </c>
      <c r="U198" s="62">
        <f t="shared" si="2223"/>
        <v>53885.306697499138</v>
      </c>
      <c r="V198" s="62">
        <f t="shared" si="2223"/>
        <v>63080.21873912702</v>
      </c>
      <c r="W198" s="62">
        <f t="shared" si="2223"/>
        <v>77092.299682565354</v>
      </c>
      <c r="X198" s="62">
        <f t="shared" si="2223"/>
        <v>84180.275193559588</v>
      </c>
      <c r="Y198" s="62">
        <f t="shared" ref="Y198:AB198" si="2224">Y204-Y186-Y192</f>
        <v>87862</v>
      </c>
      <c r="Z198" s="62">
        <f t="shared" ref="Z198" si="2225">Z204-Z186-Z192</f>
        <v>101055</v>
      </c>
      <c r="AA198" s="62">
        <f t="shared" ref="AA198" si="2226">AA204-AA186-AA192</f>
        <v>103118</v>
      </c>
      <c r="AB198" s="62">
        <f t="shared" si="2224"/>
        <v>107639</v>
      </c>
      <c r="AC198" s="62">
        <f t="shared" si="2179"/>
        <v>110134</v>
      </c>
      <c r="AD198" s="62">
        <f t="shared" si="2179"/>
        <v>132655</v>
      </c>
      <c r="AE198" s="62">
        <f t="shared" si="2179"/>
        <v>135256</v>
      </c>
      <c r="AF198" s="62">
        <f t="shared" ref="AF198:AG198" si="2227">AF204-AF186-AF192</f>
        <v>127091</v>
      </c>
      <c r="AG198" s="62">
        <f t="shared" si="2227"/>
        <v>121627</v>
      </c>
      <c r="AH198" s="62">
        <f t="shared" ref="AH198:AI198" si="2228">AH204-AH186-AH192</f>
        <v>123560</v>
      </c>
      <c r="AI198" s="62">
        <f t="shared" si="2228"/>
        <v>108045</v>
      </c>
      <c r="AJ198" s="62">
        <f t="shared" ref="AJ198:AK198" si="2229">AJ204-AJ186-AJ192</f>
        <v>106488</v>
      </c>
      <c r="AK198" s="62">
        <f t="shared" si="2229"/>
        <v>114436</v>
      </c>
      <c r="AL198" s="62">
        <f t="shared" ref="AL198:AM198" si="2230">AL204-AL186-AL192</f>
        <v>122785</v>
      </c>
      <c r="AM198" s="62">
        <f t="shared" si="2230"/>
        <v>129339</v>
      </c>
      <c r="AN198" s="62">
        <f t="shared" ref="AN198:AO198" si="2231">AN204-AN186-AN192</f>
        <v>153947</v>
      </c>
      <c r="AO198" s="62">
        <f t="shared" si="2231"/>
        <v>119157</v>
      </c>
      <c r="AP198" s="62">
        <f t="shared" ref="AP198:AQ198" si="2232">AP204-AP186-AP192</f>
        <v>123262</v>
      </c>
      <c r="AQ198" s="62">
        <f t="shared" si="2232"/>
        <v>134287</v>
      </c>
      <c r="AR198" s="62">
        <f t="shared" ref="AR198:AS198" si="2233">AR204-AR186-AR192</f>
        <v>140693</v>
      </c>
      <c r="AS198" s="62">
        <f t="shared" si="2233"/>
        <v>133681</v>
      </c>
      <c r="AT198" s="62">
        <f t="shared" ref="AT198:AU198" si="2234">AT204-AT186-AT192</f>
        <v>162278</v>
      </c>
      <c r="AU198" s="62">
        <f t="shared" si="2234"/>
        <v>151502</v>
      </c>
      <c r="AV198" s="62">
        <f t="shared" ref="AV198:AW198" si="2235">AV204-AV186-AV192</f>
        <v>133690</v>
      </c>
      <c r="AW198" s="62">
        <f t="shared" si="2235"/>
        <v>146696</v>
      </c>
      <c r="AX198" s="62">
        <f t="shared" ref="AX198:AY198" si="2236">AX204-AX186-AX192</f>
        <v>173700</v>
      </c>
      <c r="AY198" s="220">
        <f t="shared" si="2236"/>
        <v>152716</v>
      </c>
      <c r="AZ198" s="62">
        <f>AZ173/AZ61</f>
        <v>160351.80000000002</v>
      </c>
      <c r="BA198" s="62">
        <f t="shared" ref="BA198" si="2237">BA173/BA61</f>
        <v>167567.63099999999</v>
      </c>
      <c r="BB198" s="62">
        <f t="shared" ref="BB198:BC198" si="2238">BB173/BB61</f>
        <v>171756.82177499999</v>
      </c>
      <c r="BC198" s="62">
        <f t="shared" si="2238"/>
        <v>176050.74231937499</v>
      </c>
      <c r="BD198" s="62">
        <f t="shared" ref="BD198:BE198" si="2239">BD173/BD61</f>
        <v>180452.01087735934</v>
      </c>
      <c r="BE198" s="62">
        <f t="shared" si="2239"/>
        <v>184963.31114929329</v>
      </c>
      <c r="BF198" s="62">
        <f t="shared" ref="BF198:BG198" si="2240">BF173/BF61</f>
        <v>189587.39392802562</v>
      </c>
      <c r="BG198" s="62">
        <f t="shared" si="2240"/>
        <v>194327.07877622623</v>
      </c>
      <c r="BH198" s="62">
        <f t="shared" ref="BH198:BI198" si="2241">BH173/BH61</f>
        <v>199185.25574563188</v>
      </c>
      <c r="BI198" s="62">
        <f t="shared" si="2241"/>
        <v>200891.12443463734</v>
      </c>
      <c r="BJ198" s="62">
        <f t="shared" ref="BJ198:BK198" si="2242">BJ173/BJ61</f>
        <v>205816.19716271231</v>
      </c>
      <c r="BK198" s="62">
        <f t="shared" si="2242"/>
        <v>204908.31968130422</v>
      </c>
      <c r="BL198" s="62">
        <f t="shared" ref="BL198:BM198" si="2243">BL173/BL61</f>
        <v>204009.82972747926</v>
      </c>
      <c r="BM198" s="62">
        <f t="shared" si="2243"/>
        <v>203120.87428920684</v>
      </c>
      <c r="BN198" s="62">
        <f t="shared" ref="BN198:BO198" si="2244">BN173/BN61</f>
        <v>207243.88620111524</v>
      </c>
      <c r="BO198" s="62">
        <f t="shared" si="2244"/>
        <v>211451.78212830678</v>
      </c>
      <c r="BP198" s="62">
        <f t="shared" ref="BP198:BQ198" si="2245">BP173/BP61</f>
        <v>219909.85341343904</v>
      </c>
      <c r="BQ198" s="62">
        <f t="shared" si="2245"/>
        <v>228706.24754997663</v>
      </c>
      <c r="BR198" s="62"/>
      <c r="BS198" s="62">
        <f t="shared" ref="BS198:CB199" si="2246">BS204-BS186-BS192</f>
        <v>1700.7858070568691</v>
      </c>
      <c r="BT198" s="62">
        <f t="shared" si="2246"/>
        <v>1748.2213741526939</v>
      </c>
      <c r="BU198" s="62">
        <f t="shared" si="2246"/>
        <v>1703.5634910136869</v>
      </c>
      <c r="BV198" s="62">
        <f t="shared" si="2246"/>
        <v>1981.993240018106</v>
      </c>
      <c r="BW198" s="62">
        <f t="shared" si="2246"/>
        <v>2366.9835431991014</v>
      </c>
      <c r="BX198" s="62">
        <f t="shared" si="2246"/>
        <v>3680.8189751901264</v>
      </c>
      <c r="BY198" s="62">
        <f t="shared" si="2246"/>
        <v>3739.3663300502849</v>
      </c>
      <c r="BZ198" s="62">
        <f t="shared" si="2246"/>
        <v>3305.7965548767825</v>
      </c>
      <c r="CA198" s="62">
        <f t="shared" si="2246"/>
        <v>2861.1560071479034</v>
      </c>
      <c r="CB198" s="62">
        <f t="shared" si="2246"/>
        <v>3379.5662220005834</v>
      </c>
      <c r="CC198" s="62">
        <f>E198</f>
        <v>2990.8202685145079</v>
      </c>
      <c r="CD198" s="62">
        <f>G198</f>
        <v>3109.992317139011</v>
      </c>
      <c r="CE198" s="62">
        <f>I198</f>
        <v>4251.3815326566182</v>
      </c>
      <c r="CF198" s="62">
        <f>K198</f>
        <v>29.264605244490667</v>
      </c>
      <c r="CG198" s="62">
        <f>M198</f>
        <v>0</v>
      </c>
      <c r="CH198" s="62">
        <f>O198</f>
        <v>12602.029112338525</v>
      </c>
      <c r="CI198" s="62">
        <f>Q198</f>
        <v>27457.395483785862</v>
      </c>
      <c r="CJ198" s="62">
        <f>S198</f>
        <v>35478.092557722579</v>
      </c>
      <c r="CK198" s="62">
        <f>U198</f>
        <v>53885.306697499138</v>
      </c>
      <c r="CL198" s="62">
        <f>W198</f>
        <v>77092.299682565354</v>
      </c>
      <c r="CM198" s="62">
        <f>Y198</f>
        <v>87862</v>
      </c>
      <c r="CN198" s="62">
        <f>AA198</f>
        <v>103118</v>
      </c>
      <c r="CO198" s="62">
        <f>AC198</f>
        <v>110134</v>
      </c>
      <c r="CP198" s="62">
        <f>AE198</f>
        <v>135256</v>
      </c>
      <c r="CQ198" s="62">
        <f>AG198</f>
        <v>121627</v>
      </c>
      <c r="CR198" s="62">
        <f>AI198</f>
        <v>108045</v>
      </c>
      <c r="CS198" s="62">
        <f>AK198</f>
        <v>114436</v>
      </c>
      <c r="CT198" s="62">
        <f>AM198</f>
        <v>129339</v>
      </c>
      <c r="CU198" s="62">
        <f>AO198</f>
        <v>119157</v>
      </c>
      <c r="CV198" s="62">
        <f>AQ198</f>
        <v>134287</v>
      </c>
      <c r="CW198" s="62">
        <f>AS198</f>
        <v>133681</v>
      </c>
      <c r="CX198" s="62">
        <f>AU198</f>
        <v>151502</v>
      </c>
      <c r="CY198" s="62">
        <f>AW198</f>
        <v>146696</v>
      </c>
      <c r="CZ198" s="220">
        <f>AY198</f>
        <v>152716</v>
      </c>
      <c r="DA198" s="62">
        <f>BA198</f>
        <v>167567.63099999999</v>
      </c>
      <c r="DB198" s="62">
        <f>BC198</f>
        <v>176050.74231937499</v>
      </c>
      <c r="DC198" s="62">
        <f>BE198</f>
        <v>184963.31114929329</v>
      </c>
      <c r="DD198" s="62">
        <f>BG198</f>
        <v>194327.07877622623</v>
      </c>
      <c r="DE198" s="62">
        <f>BI198</f>
        <v>200891.12443463734</v>
      </c>
      <c r="DF198" s="62">
        <f>BK198</f>
        <v>204908.31968130422</v>
      </c>
      <c r="DG198" s="62">
        <f>BM198</f>
        <v>203120.87428920684</v>
      </c>
      <c r="DH198" s="62">
        <f>BO198</f>
        <v>211451.78212830678</v>
      </c>
      <c r="DI198" s="62">
        <f>BQ198</f>
        <v>228706.24754997663</v>
      </c>
    </row>
    <row r="199" spans="1:113" s="63" customFormat="1" ht="12" outlineLevel="1">
      <c r="A199" s="1" t="s">
        <v>619</v>
      </c>
      <c r="B199" s="63" t="s">
        <v>617</v>
      </c>
      <c r="C199" s="41"/>
      <c r="D199" s="41"/>
      <c r="E199" s="41"/>
      <c r="F199" s="41"/>
      <c r="G199" s="41"/>
      <c r="H199" s="41"/>
      <c r="I199" s="41"/>
      <c r="J199" s="41"/>
      <c r="K199" s="41"/>
      <c r="L199" s="41"/>
      <c r="M199" s="65"/>
      <c r="N199" s="65"/>
      <c r="O199" s="65"/>
      <c r="P199" s="65"/>
      <c r="Q199" s="65"/>
      <c r="R199" s="65"/>
      <c r="S199" s="65"/>
      <c r="T199" s="65"/>
      <c r="U199" s="65"/>
      <c r="V199" s="65"/>
      <c r="W199" s="65"/>
      <c r="X199" s="65"/>
      <c r="Y199" s="65">
        <f t="shared" ref="Y199:Z199" si="2247">Y205-Y187-Y193</f>
        <v>7175</v>
      </c>
      <c r="Z199" s="65">
        <f t="shared" si="2247"/>
        <v>8030</v>
      </c>
      <c r="AA199" s="65">
        <f t="shared" ref="AA199" si="2248">AA205-AA187-AA193</f>
        <v>4724</v>
      </c>
      <c r="AB199" s="65">
        <f t="shared" ref="AB199" si="2249">AB205-AB187-AB193</f>
        <v>4986</v>
      </c>
      <c r="AC199" s="65">
        <f t="shared" ref="AC199:AE199" si="2250">AC205-AC187-AC193</f>
        <v>2083</v>
      </c>
      <c r="AD199" s="65">
        <f t="shared" si="2250"/>
        <v>2354</v>
      </c>
      <c r="AE199" s="65">
        <f t="shared" si="2250"/>
        <v>5379</v>
      </c>
      <c r="AF199" s="65">
        <f t="shared" ref="AF199:AG199" si="2251">AF205-AF187-AF193</f>
        <v>6888</v>
      </c>
      <c r="AG199" s="65">
        <f t="shared" si="2251"/>
        <v>7001</v>
      </c>
      <c r="AH199" s="65">
        <f t="shared" ref="AH199:AI199" si="2252">AH205-AH187-AH193</f>
        <v>4629</v>
      </c>
      <c r="AI199" s="65">
        <f t="shared" si="2252"/>
        <v>2894</v>
      </c>
      <c r="AJ199" s="65">
        <f t="shared" ref="AJ199:AK199" si="2253">AJ205-AJ187-AJ193</f>
        <v>5234</v>
      </c>
      <c r="AK199" s="65">
        <f t="shared" si="2253"/>
        <v>2242</v>
      </c>
      <c r="AL199" s="65">
        <f t="shared" ref="AL199:AM199" si="2254">AL205-AL187-AL193</f>
        <v>3215</v>
      </c>
      <c r="AM199" s="65">
        <f t="shared" si="2254"/>
        <v>2318</v>
      </c>
      <c r="AN199" s="65">
        <f t="shared" ref="AN199:AO199" si="2255">AN205-AN187-AN193</f>
        <v>1494</v>
      </c>
      <c r="AO199" s="65">
        <f t="shared" si="2255"/>
        <v>2583</v>
      </c>
      <c r="AP199" s="65">
        <f t="shared" ref="AP199:AQ199" si="2256">AP205-AP187-AP193</f>
        <v>4532</v>
      </c>
      <c r="AQ199" s="65">
        <f t="shared" si="2256"/>
        <v>4003</v>
      </c>
      <c r="AR199" s="65">
        <f t="shared" ref="AR199:AS199" si="2257">AR205-AR187-AR193</f>
        <v>5013</v>
      </c>
      <c r="AS199" s="65">
        <f t="shared" si="2257"/>
        <v>3193</v>
      </c>
      <c r="AT199" s="65">
        <f t="shared" ref="AT199:AU199" si="2258">AT205-AT187-AT193</f>
        <v>5233</v>
      </c>
      <c r="AU199" s="65">
        <f t="shared" si="2258"/>
        <v>6139</v>
      </c>
      <c r="AV199" s="65">
        <f t="shared" ref="AV199:AW199" si="2259">AV205-AV187-AV193</f>
        <v>6723</v>
      </c>
      <c r="AW199" s="65">
        <f t="shared" si="2259"/>
        <v>7116</v>
      </c>
      <c r="AX199" s="65">
        <f t="shared" ref="AX199:AY199" si="2260">AX205-AX187-AX193</f>
        <v>8153</v>
      </c>
      <c r="AY199" s="221">
        <f t="shared" si="2260"/>
        <v>6803</v>
      </c>
      <c r="AZ199" s="65">
        <f t="shared" ref="AZ199:BA199" si="2261">AZ205-AZ187-AZ193</f>
        <v>7077.7490009548774</v>
      </c>
      <c r="BA199" s="65">
        <f t="shared" si="2261"/>
        <v>7294.222147487455</v>
      </c>
      <c r="BB199" s="65">
        <f t="shared" ref="BB199:BC199" si="2262">BB205-BB187-BB193</f>
        <v>7464.7501945829754</v>
      </c>
      <c r="BC199" s="65">
        <f t="shared" si="2262"/>
        <v>7639.1866176581379</v>
      </c>
      <c r="BD199" s="65">
        <f t="shared" ref="BD199:BE199" si="2263">BD205-BD187-BD193</f>
        <v>7817.618481356486</v>
      </c>
      <c r="BE199" s="65">
        <f t="shared" si="2263"/>
        <v>8000.1347075949998</v>
      </c>
      <c r="BF199" s="65">
        <f t="shared" ref="BF199:BG199" si="2264">BF205-BF187-BF193</f>
        <v>8186.8261124156197</v>
      </c>
      <c r="BG199" s="65">
        <f t="shared" si="2264"/>
        <v>8377.7854434706751</v>
      </c>
      <c r="BH199" s="65">
        <f t="shared" ref="BH199:BI199" si="2265">BH205-BH187-BH193</f>
        <v>8531.2812288103451</v>
      </c>
      <c r="BI199" s="65">
        <f t="shared" si="2265"/>
        <v>8360.9428141256885</v>
      </c>
      <c r="BJ199" s="65">
        <f t="shared" ref="BJ199:BK199" si="2266">BJ205-BJ187-BJ193</f>
        <v>8408.4696799959347</v>
      </c>
      <c r="BK199" s="65">
        <f t="shared" si="2266"/>
        <v>8150.3335145432247</v>
      </c>
      <c r="BL199" s="65">
        <f t="shared" ref="BL199:BM199" si="2267">BL205-BL187-BL193</f>
        <v>8010.397714785342</v>
      </c>
      <c r="BM199" s="65">
        <f t="shared" si="2267"/>
        <v>7869.0631018534068</v>
      </c>
      <c r="BN199" s="65">
        <f t="shared" ref="BN199:BO199" si="2268">BN205-BN187-BN193</f>
        <v>8014.6621849560706</v>
      </c>
      <c r="BO199" s="65">
        <f t="shared" si="2268"/>
        <v>8163.122628315884</v>
      </c>
      <c r="BP199" s="65">
        <f t="shared" ref="BP199:BQ199" si="2269">BP205-BP187-BP193</f>
        <v>8554.516753875203</v>
      </c>
      <c r="BQ199" s="65">
        <f t="shared" si="2269"/>
        <v>8963.2951823833882</v>
      </c>
      <c r="BR199" s="65"/>
      <c r="BS199" s="41" t="e">
        <f>BS205-BS187-BS193</f>
        <v>#DIV/0!</v>
      </c>
      <c r="BT199" s="41" t="e">
        <f t="shared" si="2246"/>
        <v>#DIV/0!</v>
      </c>
      <c r="BU199" s="41" t="e">
        <f t="shared" si="2246"/>
        <v>#DIV/0!</v>
      </c>
      <c r="BV199" s="41" t="e">
        <f t="shared" si="2246"/>
        <v>#DIV/0!</v>
      </c>
      <c r="BW199" s="41" t="e">
        <f t="shared" si="2246"/>
        <v>#DIV/0!</v>
      </c>
      <c r="BX199" s="41" t="e">
        <f t="shared" si="2246"/>
        <v>#DIV/0!</v>
      </c>
      <c r="BY199" s="41" t="e">
        <f t="shared" si="2246"/>
        <v>#DIV/0!</v>
      </c>
      <c r="BZ199" s="41" t="e">
        <f t="shared" si="2246"/>
        <v>#DIV/0!</v>
      </c>
      <c r="CA199" s="41" t="e">
        <f t="shared" si="2246"/>
        <v>#DIV/0!</v>
      </c>
      <c r="CB199" s="41" t="e">
        <f t="shared" si="2246"/>
        <v>#DIV/0!</v>
      </c>
      <c r="CC199" s="65">
        <f>E199</f>
        <v>0</v>
      </c>
      <c r="CD199" s="65">
        <f>G199</f>
        <v>0</v>
      </c>
      <c r="CE199" s="65">
        <f>I199</f>
        <v>0</v>
      </c>
      <c r="CF199" s="65">
        <f>K199</f>
        <v>0</v>
      </c>
      <c r="CG199" s="65">
        <f>M199</f>
        <v>0</v>
      </c>
      <c r="CH199" s="65">
        <f>O199</f>
        <v>0</v>
      </c>
      <c r="CI199" s="65">
        <f>Q199</f>
        <v>0</v>
      </c>
      <c r="CJ199" s="65">
        <f>S199</f>
        <v>0</v>
      </c>
      <c r="CK199" s="65">
        <f>U199</f>
        <v>0</v>
      </c>
      <c r="CL199" s="65">
        <f>W199</f>
        <v>0</v>
      </c>
      <c r="CM199" s="65">
        <f>Y199</f>
        <v>7175</v>
      </c>
      <c r="CN199" s="65">
        <f>AA199</f>
        <v>4724</v>
      </c>
      <c r="CO199" s="65">
        <f>AC199</f>
        <v>2083</v>
      </c>
      <c r="CP199" s="65">
        <f>AE199</f>
        <v>5379</v>
      </c>
      <c r="CQ199" s="65">
        <f>AG199</f>
        <v>7001</v>
      </c>
      <c r="CR199" s="65">
        <f>AI199</f>
        <v>2894</v>
      </c>
      <c r="CS199" s="65">
        <f>AK199</f>
        <v>2242</v>
      </c>
      <c r="CT199" s="65">
        <f>AM199</f>
        <v>2318</v>
      </c>
      <c r="CU199" s="65">
        <f>AO199</f>
        <v>2583</v>
      </c>
      <c r="CV199" s="65">
        <f>AQ199</f>
        <v>4003</v>
      </c>
      <c r="CW199" s="65">
        <f>AS199</f>
        <v>3193</v>
      </c>
      <c r="CX199" s="65">
        <f>AU199</f>
        <v>6139</v>
      </c>
      <c r="CY199" s="65">
        <f>AW199</f>
        <v>7116</v>
      </c>
      <c r="CZ199" s="221">
        <f>AY199</f>
        <v>6803</v>
      </c>
      <c r="DA199" s="65">
        <f>BA199</f>
        <v>7294.222147487455</v>
      </c>
      <c r="DB199" s="65">
        <f>BC199</f>
        <v>7639.1866176581379</v>
      </c>
      <c r="DC199" s="65">
        <f>BE199</f>
        <v>8000.1347075949998</v>
      </c>
      <c r="DD199" s="65">
        <f>BG199</f>
        <v>8377.7854434706751</v>
      </c>
      <c r="DE199" s="65">
        <f>BI199</f>
        <v>8360.9428141256885</v>
      </c>
      <c r="DF199" s="65">
        <f>BK199</f>
        <v>8150.3335145432247</v>
      </c>
      <c r="DG199" s="65">
        <f>BM199</f>
        <v>7869.0631018534068</v>
      </c>
      <c r="DH199" s="65">
        <f>BO199</f>
        <v>8163.122628315884</v>
      </c>
      <c r="DI199" s="65">
        <f>BQ199</f>
        <v>8963.2951823833882</v>
      </c>
    </row>
    <row r="200" spans="1:113" ht="12" outlineLevel="1">
      <c r="C200" s="41"/>
      <c r="D200" s="41"/>
      <c r="E200" s="41"/>
      <c r="F200" s="41"/>
      <c r="G200" s="41"/>
      <c r="H200" s="41"/>
      <c r="I200" s="41"/>
      <c r="J200" s="41"/>
      <c r="K200" s="41"/>
      <c r="L200" s="41"/>
      <c r="M200" s="41"/>
      <c r="N200" s="41"/>
      <c r="O200" s="41"/>
      <c r="P200" s="41"/>
      <c r="Q200" s="41"/>
      <c r="R200" s="41"/>
      <c r="S200" s="41"/>
      <c r="T200" s="41"/>
      <c r="U200" s="41"/>
      <c r="V200" s="41"/>
      <c r="W200" s="41"/>
      <c r="X200" s="41"/>
      <c r="Y200" s="41"/>
      <c r="Z200" s="41"/>
      <c r="AA200" s="41"/>
      <c r="AB200" s="41"/>
      <c r="AC200" s="41"/>
      <c r="AD200" s="41"/>
      <c r="AE200" s="41"/>
      <c r="AF200" s="41"/>
      <c r="AG200" s="41"/>
      <c r="AH200" s="41"/>
      <c r="AI200" s="41"/>
      <c r="AJ200" s="41"/>
      <c r="AK200" s="41"/>
      <c r="AL200" s="41"/>
      <c r="AM200" s="41"/>
      <c r="AN200" s="41"/>
      <c r="AO200" s="41"/>
      <c r="AP200" s="41"/>
      <c r="AQ200" s="41"/>
      <c r="AR200" s="41"/>
      <c r="AS200" s="41"/>
      <c r="AT200" s="41"/>
      <c r="AU200" s="41"/>
      <c r="AV200" s="41"/>
      <c r="AW200" s="41"/>
      <c r="AX200" s="41"/>
      <c r="AY200" s="211"/>
      <c r="AZ200" s="41"/>
      <c r="BA200" s="41"/>
      <c r="BB200" s="41"/>
      <c r="BC200" s="41"/>
      <c r="BD200" s="41"/>
      <c r="BE200" s="41"/>
      <c r="BF200" s="41"/>
      <c r="BG200" s="41"/>
      <c r="BH200" s="41"/>
      <c r="BI200" s="41"/>
      <c r="BJ200" s="41"/>
      <c r="BK200" s="41"/>
      <c r="BL200" s="41"/>
      <c r="BM200" s="41"/>
      <c r="BN200" s="41"/>
      <c r="BO200" s="41"/>
      <c r="BP200" s="41"/>
      <c r="BQ200" s="41"/>
      <c r="BR200" s="41"/>
      <c r="BS200" s="41"/>
      <c r="BT200" s="41"/>
      <c r="BU200" s="41"/>
      <c r="BV200" s="41"/>
      <c r="BW200" s="41"/>
      <c r="BX200" s="41"/>
      <c r="BY200" s="41"/>
      <c r="BZ200" s="41"/>
      <c r="CA200" s="41"/>
      <c r="CB200" s="41"/>
      <c r="CC200" s="41"/>
      <c r="CD200" s="41"/>
      <c r="CE200" s="41"/>
      <c r="CF200" s="41"/>
      <c r="CG200" s="41"/>
      <c r="CH200" s="41"/>
      <c r="CI200" s="41"/>
      <c r="CJ200" s="41"/>
      <c r="CK200" s="41"/>
      <c r="CL200" s="41"/>
      <c r="CM200" s="41"/>
      <c r="CN200" s="41"/>
      <c r="CO200" s="41"/>
      <c r="CP200" s="41"/>
      <c r="CQ200" s="41"/>
      <c r="CR200" s="41"/>
      <c r="CS200" s="41"/>
      <c r="CT200" s="41"/>
      <c r="CU200" s="41"/>
      <c r="CV200" s="41"/>
      <c r="CW200" s="41"/>
      <c r="CX200" s="41"/>
      <c r="CY200" s="41"/>
      <c r="CZ200" s="211"/>
      <c r="DA200" s="41"/>
      <c r="DB200" s="41"/>
      <c r="DC200" s="41"/>
      <c r="DD200" s="41"/>
      <c r="DE200" s="41"/>
      <c r="DF200" s="41"/>
      <c r="DG200" s="41"/>
      <c r="DH200" s="41"/>
      <c r="DI200" s="41"/>
    </row>
    <row r="201" spans="1:113" s="17" customFormat="1" ht="12" outlineLevel="1">
      <c r="A201" s="1"/>
      <c r="B201" s="17" t="s">
        <v>499</v>
      </c>
      <c r="C201" s="62"/>
      <c r="D201" s="62"/>
      <c r="E201" s="62"/>
      <c r="F201" s="62"/>
      <c r="G201" s="62"/>
      <c r="H201" s="62"/>
      <c r="I201" s="62"/>
      <c r="J201" s="62"/>
      <c r="K201" s="62"/>
      <c r="L201" s="62"/>
      <c r="M201" s="62"/>
      <c r="N201" s="62"/>
      <c r="O201" s="62"/>
      <c r="P201" s="62"/>
      <c r="Q201" s="62"/>
      <c r="R201" s="62"/>
      <c r="S201" s="62"/>
      <c r="T201" s="62"/>
      <c r="U201" s="62"/>
      <c r="V201" s="62"/>
      <c r="W201" s="62"/>
      <c r="X201" s="62"/>
      <c r="Y201" s="62"/>
      <c r="Z201" s="62"/>
      <c r="AA201" s="62"/>
      <c r="AB201" s="62"/>
      <c r="AC201" s="62"/>
      <c r="AD201" s="62"/>
      <c r="AE201" s="62"/>
      <c r="AF201" s="62"/>
      <c r="AG201" s="62"/>
      <c r="AH201" s="62"/>
      <c r="AI201" s="62"/>
      <c r="AJ201" s="62"/>
      <c r="AK201" s="62"/>
      <c r="AL201" s="62"/>
      <c r="AM201" s="62"/>
      <c r="AN201" s="62"/>
      <c r="AO201" s="62"/>
      <c r="AP201" s="62"/>
      <c r="AQ201" s="62"/>
      <c r="AR201" s="62"/>
      <c r="AS201" s="62"/>
      <c r="AT201" s="62"/>
      <c r="AU201" s="62"/>
      <c r="AV201" s="62"/>
      <c r="AW201" s="62"/>
      <c r="AX201" s="62"/>
      <c r="AY201" s="220"/>
      <c r="AZ201" s="62"/>
      <c r="BA201" s="62"/>
      <c r="BB201" s="62"/>
      <c r="BC201" s="62"/>
      <c r="BD201" s="62"/>
      <c r="BE201" s="62"/>
      <c r="BF201" s="62"/>
      <c r="BG201" s="62"/>
      <c r="BH201" s="62"/>
      <c r="BI201" s="62"/>
      <c r="BJ201" s="62"/>
      <c r="BK201" s="62"/>
      <c r="BL201" s="62"/>
      <c r="BM201" s="62"/>
      <c r="BN201" s="62"/>
      <c r="BO201" s="62"/>
      <c r="BP201" s="62"/>
      <c r="BQ201" s="62"/>
      <c r="BR201" s="62"/>
      <c r="BS201" s="62"/>
      <c r="BT201" s="62"/>
      <c r="BU201" s="62"/>
      <c r="BV201" s="62"/>
      <c r="BW201" s="62"/>
      <c r="BX201" s="62"/>
      <c r="BY201" s="62"/>
      <c r="BZ201" s="62"/>
      <c r="CA201" s="62"/>
      <c r="CB201" s="62"/>
      <c r="CC201" s="62"/>
      <c r="CD201" s="62"/>
      <c r="CE201" s="62"/>
      <c r="CF201" s="62"/>
      <c r="CG201" s="62"/>
      <c r="CH201" s="62"/>
      <c r="CI201" s="62"/>
      <c r="CJ201" s="62"/>
      <c r="CK201" s="62"/>
      <c r="CL201" s="62"/>
      <c r="CM201" s="62"/>
      <c r="CN201" s="62"/>
      <c r="CO201" s="62"/>
      <c r="CP201" s="62"/>
      <c r="CQ201" s="62"/>
      <c r="CR201" s="62"/>
      <c r="CS201" s="62"/>
      <c r="CT201" s="62"/>
      <c r="CU201" s="62"/>
      <c r="CV201" s="62"/>
      <c r="CW201" s="62"/>
      <c r="CX201" s="62"/>
      <c r="CY201" s="62"/>
      <c r="CZ201" s="220"/>
      <c r="DA201" s="62"/>
      <c r="DB201" s="62"/>
      <c r="DC201" s="62"/>
      <c r="DD201" s="62"/>
      <c r="DE201" s="62"/>
      <c r="DF201" s="62"/>
      <c r="DG201" s="62"/>
      <c r="DH201" s="62"/>
      <c r="DI201" s="62"/>
    </row>
    <row r="202" spans="1:113" ht="12" outlineLevel="1">
      <c r="A202" s="1" t="s">
        <v>620</v>
      </c>
      <c r="B202" s="15" t="str">
        <f>B$184</f>
        <v>Core deposits</v>
      </c>
      <c r="C202" s="40">
        <f>33552+3818+6184+1470</f>
        <v>45024</v>
      </c>
      <c r="D202" s="225">
        <f>(C202+E202)/2</f>
        <v>47248</v>
      </c>
      <c r="E202" s="40">
        <f>37906+3539+6317+1710</f>
        <v>49472</v>
      </c>
      <c r="F202" s="225">
        <f>(E202+G202)/2</f>
        <v>51351.5</v>
      </c>
      <c r="G202" s="40">
        <f>40864+3881+6536+1950</f>
        <v>53231</v>
      </c>
      <c r="H202" s="225">
        <f>(G202+I202)/2</f>
        <v>61244.5</v>
      </c>
      <c r="I202" s="40">
        <f>45155+4005+15891+4207</f>
        <v>69258</v>
      </c>
      <c r="J202" s="225">
        <f>(K202+I202)/2</f>
        <v>72731</v>
      </c>
      <c r="K202" s="40">
        <f>50707+4310+14843+4021+1259+1064</f>
        <v>76204</v>
      </c>
      <c r="L202" s="40">
        <f>71643+9334</f>
        <v>80977</v>
      </c>
      <c r="M202" s="40">
        <f>80250+9536</f>
        <v>89786</v>
      </c>
      <c r="N202" s="40">
        <f>86551+9415</f>
        <v>95966</v>
      </c>
      <c r="O202" s="40">
        <f>94088+10143</f>
        <v>104231</v>
      </c>
      <c r="P202" s="40">
        <f>95938+9656</f>
        <v>105594</v>
      </c>
      <c r="Q202" s="40">
        <f>98566+9367</f>
        <v>107933</v>
      </c>
      <c r="R202" s="40">
        <f>111570+10122</f>
        <v>121692</v>
      </c>
      <c r="S202" s="40">
        <f>111299+10174</f>
        <v>121473</v>
      </c>
      <c r="T202" s="40">
        <f>107110+9966</f>
        <v>117076</v>
      </c>
      <c r="U202" s="40">
        <f>111391+10598</f>
        <v>121989</v>
      </c>
      <c r="V202" s="40">
        <f>114539+10631</f>
        <v>125170</v>
      </c>
      <c r="W202" s="40">
        <f>132812+11334</f>
        <v>144146</v>
      </c>
      <c r="X202" s="40">
        <f>131183+11452</f>
        <v>142635</v>
      </c>
      <c r="Y202" s="40">
        <f>142753+11782</f>
        <v>154535</v>
      </c>
      <c r="Z202" s="141">
        <f>150042+12970</f>
        <v>163012</v>
      </c>
      <c r="AA202" s="141">
        <f>121932+5701+18308+3827+26419+4918</f>
        <v>181105</v>
      </c>
      <c r="AB202" s="141">
        <f>132331+6157+19077+3990+29841+5468</f>
        <v>196864</v>
      </c>
      <c r="AC202" s="141">
        <f>142244+6845+20885+4211+30330+5348</f>
        <v>209863</v>
      </c>
      <c r="AD202" s="141">
        <f>151436+7133+24531+4684+36896+6148</f>
        <v>230828</v>
      </c>
      <c r="AE202" s="141">
        <f>(164009+177)+7782+(27663+601)+5126+37662+6103</f>
        <v>249123</v>
      </c>
      <c r="AF202" s="141">
        <f>(169268+653)+8116+(25010+495)+4586+39276+6552</f>
        <v>253956</v>
      </c>
      <c r="AG202" s="141">
        <f>(169773+151)+8729+(24968+330)+4745+40360+7418</f>
        <v>256474</v>
      </c>
      <c r="AH202" s="141">
        <f>(179928+3244)+9268+(23468+364)+4650+38762+7832</f>
        <v>267516</v>
      </c>
      <c r="AI202" s="141">
        <f>190480+10221+21769+4519+38143+8173</f>
        <v>273305</v>
      </c>
      <c r="AJ202" s="141">
        <f>191228+10548+19557+4362+39580+9334</f>
        <v>274609</v>
      </c>
      <c r="AK202" s="141">
        <f>190055+11163+18056+4993+38106+9365</f>
        <v>271738</v>
      </c>
      <c r="AL202" s="141">
        <f>180863+12202+19930+5234+41011+10383</f>
        <v>269623</v>
      </c>
      <c r="AM202" s="141">
        <f>196261+12765+20787+4648+39216+10929</f>
        <v>284606</v>
      </c>
      <c r="AN202" s="141">
        <f>220135+14410+24211+7101+45978+14050</f>
        <v>325885</v>
      </c>
      <c r="AO202" s="141">
        <f>240945+18771+24366+5473+49905+15630</f>
        <v>355090</v>
      </c>
      <c r="AP202" s="141">
        <f>247730+20850+27332+6448+54379+18618</f>
        <v>375357</v>
      </c>
      <c r="AQ202" s="141">
        <f>270839+23209+36094+5709+59822+20828</f>
        <v>416501</v>
      </c>
      <c r="AR202" s="141">
        <f>286191+24785+30841+7314+59590+21712</f>
        <v>430433</v>
      </c>
      <c r="AS202" s="141">
        <f>285677+25110+28974+6957+54809+18839</f>
        <v>420366</v>
      </c>
      <c r="AT202" s="141">
        <f>270418+22815+24125+5453+56307+18103</f>
        <v>397221</v>
      </c>
      <c r="AU202" s="141">
        <f>814711-33111-92562-AU203</f>
        <v>399226</v>
      </c>
      <c r="AV202" s="141">
        <f>283155+19955+20569+5479+55569+15825</f>
        <v>400552</v>
      </c>
      <c r="AW202" s="141">
        <f>308130+39964+17423+5554+56038+14586</f>
        <v>441695</v>
      </c>
      <c r="AX202" s="141">
        <f>320976+39770+18136+5770+58246+15405</f>
        <v>458303</v>
      </c>
      <c r="AY202" s="226">
        <f>337908+40664+22536+5448+57459+15224</f>
        <v>479239</v>
      </c>
      <c r="AZ202" s="41">
        <f t="shared" ref="AZ202:AZ203" si="2270">AY202*AZ$204/AY$204</f>
        <v>502434.96981509624</v>
      </c>
      <c r="BA202" s="41">
        <f t="shared" ref="BA202:BA203" si="2271">AZ202*BA$204/AZ$204</f>
        <v>523849.61436832545</v>
      </c>
      <c r="BB202" s="41">
        <f t="shared" ref="BB202:BB203" si="2272">BA202*BB$204/BA$204</f>
        <v>539059.2882177406</v>
      </c>
      <c r="BC202" s="41">
        <f t="shared" ref="BC202:BC203" si="2273">BB202*BC$204/BB$204</f>
        <v>554712.60691809736</v>
      </c>
      <c r="BD202" s="41">
        <f t="shared" ref="BD202:BD203" si="2274">BC202*BD$204/BC$204</f>
        <v>570822.56368081027</v>
      </c>
      <c r="BE202" s="41">
        <f t="shared" ref="BE202:BE203" si="2275">BD202*BE$204/BD$204</f>
        <v>587402.53361028386</v>
      </c>
      <c r="BF202" s="41">
        <f t="shared" ref="BF202:BF203" si="2276">BE202*BF$204/BE$204</f>
        <v>604466.28496311791</v>
      </c>
      <c r="BG202" s="41">
        <f t="shared" ref="BG202:BK203" si="2277">BF202*BG$204/BF$204</f>
        <v>622027.99074015021</v>
      </c>
      <c r="BH202" s="41">
        <f t="shared" si="2277"/>
        <v>639612.36993555655</v>
      </c>
      <c r="BI202" s="41">
        <f t="shared" si="2277"/>
        <v>654113.22166759265</v>
      </c>
      <c r="BJ202" s="41">
        <f t="shared" si="2277"/>
        <v>671434.25171232934</v>
      </c>
      <c r="BK202" s="41">
        <f t="shared" si="2277"/>
        <v>686105.57787134312</v>
      </c>
      <c r="BL202" s="41">
        <f t="shared" ref="BL202:BL203" si="2278">BK202*BL$204/BK$204</f>
        <v>696652.49938234943</v>
      </c>
      <c r="BM202" s="41">
        <f t="shared" ref="BM202:BM203" si="2279">BL202*BM$204/BL$204</f>
        <v>707425.554608059</v>
      </c>
      <c r="BN202" s="41">
        <f t="shared" ref="BN202:BN203" si="2280">BM202*BN$204/BM$204</f>
        <v>721449.18199134618</v>
      </c>
      <c r="BO202" s="41">
        <f t="shared" ref="BO202:BO203" si="2281">BN202*BO$204/BN$204</f>
        <v>735753.32064067107</v>
      </c>
      <c r="BP202" s="41">
        <f t="shared" ref="BP202:BP203" si="2282">BO202*BP$204/BO$204</f>
        <v>752857.19294764241</v>
      </c>
      <c r="BQ202" s="41">
        <f t="shared" ref="BQ202:BQ203" si="2283">BP202*BQ$204/BP$204</f>
        <v>770403.82854735607</v>
      </c>
      <c r="BR202" s="41"/>
      <c r="BS202" s="41">
        <f t="shared" ref="BS202:CB202" si="2284">BS204-BS203</f>
        <v>19875</v>
      </c>
      <c r="BT202" s="41">
        <f t="shared" si="2284"/>
        <v>23756.3</v>
      </c>
      <c r="BU202" s="41">
        <f t="shared" si="2284"/>
        <v>25541</v>
      </c>
      <c r="BV202" s="41">
        <f t="shared" si="2284"/>
        <v>25353</v>
      </c>
      <c r="BW202" s="41">
        <f t="shared" si="2284"/>
        <v>38864</v>
      </c>
      <c r="BX202" s="41">
        <f t="shared" si="2284"/>
        <v>33943</v>
      </c>
      <c r="BY202" s="41">
        <f t="shared" si="2284"/>
        <v>36794</v>
      </c>
      <c r="BZ202" s="41">
        <f t="shared" si="2284"/>
        <v>38134</v>
      </c>
      <c r="CA202" s="41">
        <f t="shared" si="2284"/>
        <v>38348</v>
      </c>
      <c r="CB202" s="41">
        <f t="shared" si="2284"/>
        <v>45024</v>
      </c>
      <c r="CC202" s="41">
        <f>E202</f>
        <v>49472</v>
      </c>
      <c r="CD202" s="41">
        <f>G202</f>
        <v>53231</v>
      </c>
      <c r="CE202" s="41">
        <f>I202</f>
        <v>69258</v>
      </c>
      <c r="CF202" s="41">
        <f>K202</f>
        <v>76204</v>
      </c>
      <c r="CG202" s="41">
        <f>M202</f>
        <v>89786</v>
      </c>
      <c r="CH202" s="41">
        <f>O202</f>
        <v>104231</v>
      </c>
      <c r="CI202" s="41">
        <f>Q202</f>
        <v>107933</v>
      </c>
      <c r="CJ202" s="41">
        <f>S202</f>
        <v>121473</v>
      </c>
      <c r="CK202" s="41">
        <f>U202</f>
        <v>121989</v>
      </c>
      <c r="CL202" s="41">
        <f>W202</f>
        <v>144146</v>
      </c>
      <c r="CM202" s="41">
        <f>Y202</f>
        <v>154535</v>
      </c>
      <c r="CN202" s="41">
        <f>AA202</f>
        <v>181105</v>
      </c>
      <c r="CO202" s="41">
        <f>AC202</f>
        <v>209863</v>
      </c>
      <c r="CP202" s="41">
        <f>AE202</f>
        <v>249123</v>
      </c>
      <c r="CQ202" s="41">
        <f>AG202</f>
        <v>256474</v>
      </c>
      <c r="CR202" s="41">
        <f>AI202</f>
        <v>273305</v>
      </c>
      <c r="CS202" s="41">
        <f>AK202</f>
        <v>271738</v>
      </c>
      <c r="CT202" s="41">
        <f>AM202</f>
        <v>284606</v>
      </c>
      <c r="CU202" s="41">
        <f>AO202</f>
        <v>355090</v>
      </c>
      <c r="CV202" s="41">
        <f>AQ202</f>
        <v>416501</v>
      </c>
      <c r="CW202" s="41">
        <f>AS202</f>
        <v>420366</v>
      </c>
      <c r="CX202" s="41">
        <f>AU202</f>
        <v>399226</v>
      </c>
      <c r="CY202" s="41">
        <f>AW202</f>
        <v>441695</v>
      </c>
      <c r="CZ202" s="211">
        <f>AY202</f>
        <v>479239</v>
      </c>
      <c r="DA202" s="41">
        <f>BA202</f>
        <v>523849.61436832545</v>
      </c>
      <c r="DB202" s="41">
        <f>BC202</f>
        <v>554712.60691809736</v>
      </c>
      <c r="DC202" s="41">
        <f>BE202</f>
        <v>587402.53361028386</v>
      </c>
      <c r="DD202" s="41">
        <f>BG202</f>
        <v>622027.99074015021</v>
      </c>
      <c r="DE202" s="41">
        <f>BI202</f>
        <v>654113.22166759265</v>
      </c>
      <c r="DF202" s="41">
        <f>BK202</f>
        <v>686105.57787134312</v>
      </c>
      <c r="DG202" s="41">
        <f>BM202</f>
        <v>707425.554608059</v>
      </c>
      <c r="DH202" s="41">
        <f>BO202</f>
        <v>735753.32064067107</v>
      </c>
      <c r="DI202" s="41">
        <f>BQ202</f>
        <v>770403.82854735607</v>
      </c>
    </row>
    <row r="203" spans="1:113" ht="12" outlineLevel="1">
      <c r="A203" s="1" t="s">
        <v>621</v>
      </c>
      <c r="B203" s="15" t="str">
        <f>B$185</f>
        <v>Time deposits (includes CDs)</v>
      </c>
      <c r="C203" s="40">
        <f>C205+15963+19032</f>
        <v>42771</v>
      </c>
      <c r="D203" s="225">
        <f>(C203+E203)/2</f>
        <v>45851.5</v>
      </c>
      <c r="E203" s="40">
        <f>E205+18864+18395</f>
        <v>48932</v>
      </c>
      <c r="F203" s="225">
        <f>(E203+G203)/2</f>
        <v>49013</v>
      </c>
      <c r="G203" s="40">
        <f>G205+19263+19683</f>
        <v>49094</v>
      </c>
      <c r="H203" s="225">
        <f>(G203+I203)/2</f>
        <v>59857.5</v>
      </c>
      <c r="I203" s="40">
        <f>I205+22615+30941</f>
        <v>70621</v>
      </c>
      <c r="J203" s="225">
        <f>(K203+I203)/2</f>
        <v>74539</v>
      </c>
      <c r="K203" s="40">
        <f>K205+25829+21056+8948</f>
        <v>78457</v>
      </c>
      <c r="L203" s="40">
        <f>23238+55002</f>
        <v>78240</v>
      </c>
      <c r="M203" s="40">
        <f>23248+59360</f>
        <v>82608</v>
      </c>
      <c r="N203" s="40">
        <f>23004+63363</f>
        <v>86367</v>
      </c>
      <c r="O203" s="40">
        <f>31903+69600</f>
        <v>101503</v>
      </c>
      <c r="P203" s="40">
        <f>46923+81780</f>
        <v>128703</v>
      </c>
      <c r="Q203" s="40">
        <f>52346+89225</f>
        <v>141571</v>
      </c>
      <c r="R203" s="40">
        <f>46405+99252</f>
        <v>145657</v>
      </c>
      <c r="S203" s="40">
        <f>44711+108367</f>
        <v>153078</v>
      </c>
      <c r="T203" s="40">
        <f>44695+119204</f>
        <v>163899</v>
      </c>
      <c r="U203" s="40">
        <f>39530+135467</f>
        <v>174997</v>
      </c>
      <c r="V203" s="40">
        <f>51513+142668</f>
        <v>194181</v>
      </c>
      <c r="W203" s="40">
        <f>55554+153200</f>
        <v>208754</v>
      </c>
      <c r="X203" s="40">
        <f>59603+164439</f>
        <v>224042</v>
      </c>
      <c r="Y203" s="40">
        <f>56838+172313</f>
        <v>229151</v>
      </c>
      <c r="Z203" s="141">
        <f>61564+180169</f>
        <v>241733</v>
      </c>
      <c r="AA203" s="141">
        <f>80297+76259+30135+51448+4724+2103</f>
        <v>244966</v>
      </c>
      <c r="AB203" s="141">
        <f>77900+79586+32686+51217+4986+1504</f>
        <v>247879</v>
      </c>
      <c r="AC203" s="141">
        <f>78779+82956+30981+49446+2083+1226</f>
        <v>245471</v>
      </c>
      <c r="AD203" s="141">
        <f>69595+101087+34211+55857+2354+1435</f>
        <v>264539</v>
      </c>
      <c r="AE203" s="141">
        <f>66394+96487+31795+57390+5379+677</f>
        <v>258122</v>
      </c>
      <c r="AF203" s="141">
        <f>68427+90112+33871+56513+6888+1675</f>
        <v>257486</v>
      </c>
      <c r="AG203" s="141">
        <f>69740+84583+37824+52295+7001+2133</f>
        <v>253576</v>
      </c>
      <c r="AH203" s="141">
        <f>72471+90449+40236+51875+4629+924</f>
        <v>260584</v>
      </c>
      <c r="AI203" s="141">
        <f>72679+78863+41829+50565+2894+1763</f>
        <v>248593</v>
      </c>
      <c r="AJ203" s="141">
        <f>75116+77335+44810+43157+5234+1897</f>
        <v>247549</v>
      </c>
      <c r="AK203" s="141">
        <f>75551+92145+46986+39671+2242+833</f>
        <v>257428</v>
      </c>
      <c r="AL203" s="141">
        <f>77714+94396+50890+39481+3215+874</f>
        <v>266570</v>
      </c>
      <c r="AM203" s="141">
        <f>74560+101586+50941+32953+2318+1375</f>
        <v>263733</v>
      </c>
      <c r="AN203" s="141">
        <f>69056+121141+50414+34733+1494+1651</f>
        <v>278489</v>
      </c>
      <c r="AO203" s="141">
        <f>64187+86735+46351+28258+2583+1650</f>
        <v>229764</v>
      </c>
      <c r="AP203" s="141">
        <f>61503+84950+39715+34176+4532+1292</f>
        <v>226168</v>
      </c>
      <c r="AQ203" s="141">
        <f>49767+88481+38833+31915+4003+1790</f>
        <v>214789</v>
      </c>
      <c r="AR203" s="141">
        <f>44165+97525+38931+29914+5013+2018</f>
        <v>217566</v>
      </c>
      <c r="AS203" s="141">
        <f>51319+107557+41188+29412+3193+1444</f>
        <v>234113</v>
      </c>
      <c r="AT203" s="141">
        <f>76341+127467+47598+37920+5233+1392</f>
        <v>295951</v>
      </c>
      <c r="AU203" s="141">
        <f>247893+AU205</f>
        <v>289812</v>
      </c>
      <c r="AV203" s="141">
        <f>86857+100919+52762+30572+6723+1800</f>
        <v>279633</v>
      </c>
      <c r="AW203" s="141">
        <f>102413+116603+54500+34011+7116+1079</f>
        <v>315722</v>
      </c>
      <c r="AX203" s="141">
        <f>102183+141641+54438+30215+8153+1213</f>
        <v>337843</v>
      </c>
      <c r="AY203" s="226">
        <f>97468+117929+53421+38184+6803+774</f>
        <v>314579</v>
      </c>
      <c r="AZ203" s="41">
        <f t="shared" si="2270"/>
        <v>329805.15018490388</v>
      </c>
      <c r="BA203" s="41">
        <f t="shared" si="2271"/>
        <v>343862.01423167449</v>
      </c>
      <c r="BB203" s="41">
        <f t="shared" si="2272"/>
        <v>353845.85108525935</v>
      </c>
      <c r="BC203" s="41">
        <f t="shared" si="2273"/>
        <v>364120.90245511761</v>
      </c>
      <c r="BD203" s="41">
        <f t="shared" si="2274"/>
        <v>374695.69726200413</v>
      </c>
      <c r="BE203" s="41">
        <f t="shared" si="2275"/>
        <v>385579.01510642807</v>
      </c>
      <c r="BF203" s="41">
        <f t="shared" si="2276"/>
        <v>396779.89365934883</v>
      </c>
      <c r="BG203" s="41">
        <f t="shared" si="2277"/>
        <v>408307.63627135043</v>
      </c>
      <c r="BH203" s="41">
        <f t="shared" si="2277"/>
        <v>419850.2620236614</v>
      </c>
      <c r="BI203" s="41">
        <f t="shared" si="2277"/>
        <v>429368.818395351</v>
      </c>
      <c r="BJ203" s="41">
        <f t="shared" si="2277"/>
        <v>440738.57818210294</v>
      </c>
      <c r="BK203" s="41">
        <f t="shared" si="2277"/>
        <v>450369.03628709097</v>
      </c>
      <c r="BL203" s="41">
        <f t="shared" si="2278"/>
        <v>457292.17906556028</v>
      </c>
      <c r="BM203" s="41">
        <f t="shared" si="2279"/>
        <v>464363.75909107679</v>
      </c>
      <c r="BN203" s="41">
        <f t="shared" si="2280"/>
        <v>473569.0589072585</v>
      </c>
      <c r="BO203" s="41">
        <f t="shared" si="2281"/>
        <v>482958.49013503001</v>
      </c>
      <c r="BP203" s="41">
        <f t="shared" si="2282"/>
        <v>494185.70462812163</v>
      </c>
      <c r="BQ203" s="41">
        <f t="shared" si="2283"/>
        <v>505703.5549706904</v>
      </c>
      <c r="BR203" s="41"/>
      <c r="BS203" s="40">
        <f>5902.9+11675.8+1433.7+13230.1</f>
        <v>32242.5</v>
      </c>
      <c r="BT203" s="40">
        <f>3869.5+11386+1150+13026.2</f>
        <v>29431.7</v>
      </c>
      <c r="BU203" s="40">
        <f>3274+12193+1532+12061</f>
        <v>29060</v>
      </c>
      <c r="BV203" s="40">
        <f>2618+15973+2077+14315</f>
        <v>34983</v>
      </c>
      <c r="BW203" s="40">
        <f>927+17219+4025+6461</f>
        <v>28632</v>
      </c>
      <c r="BX203" s="40">
        <f>927+17256+5934+18741</f>
        <v>42858</v>
      </c>
      <c r="BY203" s="40">
        <f>5063+16123+5071+19483</f>
        <v>45740</v>
      </c>
      <c r="BZ203" s="40">
        <f>6787+14265+3607+17259</f>
        <v>41918</v>
      </c>
      <c r="CA203" s="40">
        <f>7654+15228+6284+14359</f>
        <v>43525</v>
      </c>
      <c r="CB203" s="40">
        <f>2714+15963+5062+19032</f>
        <v>42771</v>
      </c>
      <c r="CC203" s="41">
        <f>E203</f>
        <v>48932</v>
      </c>
      <c r="CD203" s="41">
        <f>G203</f>
        <v>49094</v>
      </c>
      <c r="CE203" s="41">
        <f>I203</f>
        <v>70621</v>
      </c>
      <c r="CF203" s="41">
        <f>K203</f>
        <v>78457</v>
      </c>
      <c r="CG203" s="41">
        <f>M203</f>
        <v>82608</v>
      </c>
      <c r="CH203" s="41">
        <f>O203</f>
        <v>101503</v>
      </c>
      <c r="CI203" s="41">
        <f>Q203</f>
        <v>141571</v>
      </c>
      <c r="CJ203" s="41">
        <f>S203</f>
        <v>153078</v>
      </c>
      <c r="CK203" s="41">
        <f>U203</f>
        <v>174997</v>
      </c>
      <c r="CL203" s="41">
        <f>W203</f>
        <v>208754</v>
      </c>
      <c r="CM203" s="41">
        <f>Y203</f>
        <v>229151</v>
      </c>
      <c r="CN203" s="41">
        <f>AA203</f>
        <v>244966</v>
      </c>
      <c r="CO203" s="41">
        <f>AC203</f>
        <v>245471</v>
      </c>
      <c r="CP203" s="41">
        <f>AE203</f>
        <v>258122</v>
      </c>
      <c r="CQ203" s="41">
        <f>AG203</f>
        <v>253576</v>
      </c>
      <c r="CR203" s="41">
        <f>AI203</f>
        <v>248593</v>
      </c>
      <c r="CS203" s="41">
        <f>AK203</f>
        <v>257428</v>
      </c>
      <c r="CT203" s="41">
        <f>AM203</f>
        <v>263733</v>
      </c>
      <c r="CU203" s="41">
        <f>AO203</f>
        <v>229764</v>
      </c>
      <c r="CV203" s="41">
        <f>AQ203</f>
        <v>214789</v>
      </c>
      <c r="CW203" s="41">
        <f>AS203</f>
        <v>234113</v>
      </c>
      <c r="CX203" s="41">
        <f>AU203</f>
        <v>289812</v>
      </c>
      <c r="CY203" s="41">
        <f>AW203</f>
        <v>315722</v>
      </c>
      <c r="CZ203" s="211">
        <f>AY203</f>
        <v>314579</v>
      </c>
      <c r="DA203" s="41">
        <f>BA203</f>
        <v>343862.01423167449</v>
      </c>
      <c r="DB203" s="41">
        <f>BC203</f>
        <v>364120.90245511761</v>
      </c>
      <c r="DC203" s="41">
        <f>BE203</f>
        <v>385579.01510642807</v>
      </c>
      <c r="DD203" s="41">
        <f>BG203</f>
        <v>408307.63627135043</v>
      </c>
      <c r="DE203" s="41">
        <f>BI203</f>
        <v>429368.818395351</v>
      </c>
      <c r="DF203" s="41">
        <f>BK203</f>
        <v>450369.03628709097</v>
      </c>
      <c r="DG203" s="41">
        <f>BM203</f>
        <v>464363.75909107679</v>
      </c>
      <c r="DH203" s="41">
        <f>BO203</f>
        <v>482958.49013503001</v>
      </c>
      <c r="DI203" s="41">
        <f>BQ203</f>
        <v>505703.5549706904</v>
      </c>
    </row>
    <row r="204" spans="1:113" s="17" customFormat="1" ht="12" outlineLevel="1">
      <c r="A204" s="1" t="s">
        <v>1056</v>
      </c>
      <c r="B204" s="17" t="s">
        <v>499</v>
      </c>
      <c r="C204" s="62">
        <f t="shared" ref="C204:L204" si="2285">C202+C203</f>
        <v>87795</v>
      </c>
      <c r="D204" s="62">
        <f t="shared" si="2285"/>
        <v>93099.5</v>
      </c>
      <c r="E204" s="62">
        <f t="shared" si="2285"/>
        <v>98404</v>
      </c>
      <c r="F204" s="62">
        <f t="shared" si="2285"/>
        <v>100364.5</v>
      </c>
      <c r="G204" s="62">
        <f t="shared" si="2285"/>
        <v>102325</v>
      </c>
      <c r="H204" s="62">
        <f t="shared" si="2285"/>
        <v>121102</v>
      </c>
      <c r="I204" s="62">
        <f t="shared" si="2285"/>
        <v>139879</v>
      </c>
      <c r="J204" s="62">
        <f t="shared" si="2285"/>
        <v>147270</v>
      </c>
      <c r="K204" s="62">
        <f t="shared" si="2285"/>
        <v>154661</v>
      </c>
      <c r="L204" s="62">
        <f t="shared" si="2285"/>
        <v>159217</v>
      </c>
      <c r="M204" s="62">
        <f t="shared" ref="M204" si="2286">M202+M203</f>
        <v>172394</v>
      </c>
      <c r="N204" s="62">
        <f t="shared" ref="N204:X204" si="2287">N202+N203</f>
        <v>182333</v>
      </c>
      <c r="O204" s="62">
        <f t="shared" si="2287"/>
        <v>205734</v>
      </c>
      <c r="P204" s="62">
        <f t="shared" si="2287"/>
        <v>234297</v>
      </c>
      <c r="Q204" s="62">
        <f t="shared" si="2287"/>
        <v>249504</v>
      </c>
      <c r="R204" s="62">
        <f t="shared" si="2287"/>
        <v>267349</v>
      </c>
      <c r="S204" s="62">
        <f t="shared" si="2287"/>
        <v>274551</v>
      </c>
      <c r="T204" s="62">
        <f t="shared" si="2287"/>
        <v>280975</v>
      </c>
      <c r="U204" s="62">
        <f t="shared" si="2287"/>
        <v>296986</v>
      </c>
      <c r="V204" s="62">
        <f t="shared" si="2287"/>
        <v>319351</v>
      </c>
      <c r="W204" s="62">
        <f t="shared" si="2287"/>
        <v>352900</v>
      </c>
      <c r="X204" s="62">
        <f t="shared" si="2287"/>
        <v>366677</v>
      </c>
      <c r="Y204" s="62">
        <f t="shared" ref="Y204:AE204" si="2288">Y202+Y203</f>
        <v>383686</v>
      </c>
      <c r="Z204" s="62">
        <f t="shared" si="2288"/>
        <v>404745</v>
      </c>
      <c r="AA204" s="62">
        <f t="shared" si="2288"/>
        <v>426071</v>
      </c>
      <c r="AB204" s="62">
        <f t="shared" si="2288"/>
        <v>444743</v>
      </c>
      <c r="AC204" s="62">
        <f t="shared" si="2288"/>
        <v>455334</v>
      </c>
      <c r="AD204" s="62">
        <f t="shared" si="2288"/>
        <v>495367</v>
      </c>
      <c r="AE204" s="62">
        <f t="shared" si="2288"/>
        <v>507245</v>
      </c>
      <c r="AF204" s="62">
        <f t="shared" ref="AF204:AG204" si="2289">AF202+AF203</f>
        <v>511442</v>
      </c>
      <c r="AG204" s="62">
        <f t="shared" si="2289"/>
        <v>510050</v>
      </c>
      <c r="AH204" s="62">
        <f t="shared" ref="AH204:AI204" si="2290">AH202+AH203</f>
        <v>528100</v>
      </c>
      <c r="AI204" s="62">
        <f t="shared" si="2290"/>
        <v>521898</v>
      </c>
      <c r="AJ204" s="62">
        <f t="shared" ref="AJ204:AK204" si="2291">AJ202+AJ203</f>
        <v>522158</v>
      </c>
      <c r="AK204" s="62">
        <f t="shared" si="2291"/>
        <v>529166</v>
      </c>
      <c r="AL204" s="62">
        <f t="shared" ref="AL204:AM204" si="2292">AL202+AL203</f>
        <v>536193</v>
      </c>
      <c r="AM204" s="62">
        <f t="shared" si="2292"/>
        <v>548339</v>
      </c>
      <c r="AN204" s="62">
        <f t="shared" ref="AN204:AO204" si="2293">AN202+AN203</f>
        <v>604374</v>
      </c>
      <c r="AO204" s="62">
        <f t="shared" si="2293"/>
        <v>584854</v>
      </c>
      <c r="AP204" s="62">
        <f t="shared" ref="AP204:AQ204" si="2294">AP202+AP203</f>
        <v>601525</v>
      </c>
      <c r="AQ204" s="62">
        <f t="shared" si="2294"/>
        <v>631290</v>
      </c>
      <c r="AR204" s="62">
        <f t="shared" ref="AR204:AS204" si="2295">AR202+AR203</f>
        <v>647999</v>
      </c>
      <c r="AS204" s="62">
        <f t="shared" si="2295"/>
        <v>654479</v>
      </c>
      <c r="AT204" s="62">
        <f t="shared" ref="AT204:AU204" si="2296">AT202+AT203</f>
        <v>693172</v>
      </c>
      <c r="AU204" s="62">
        <f t="shared" si="2296"/>
        <v>689038</v>
      </c>
      <c r="AV204" s="62">
        <f t="shared" ref="AV204:AW204" si="2297">AV202+AV203</f>
        <v>680185</v>
      </c>
      <c r="AW204" s="62">
        <f t="shared" si="2297"/>
        <v>757417</v>
      </c>
      <c r="AX204" s="62">
        <f t="shared" ref="AX204:AY204" si="2298">AX202+AX203</f>
        <v>796146</v>
      </c>
      <c r="AY204" s="220">
        <f t="shared" si="2298"/>
        <v>793818</v>
      </c>
      <c r="AZ204" s="62">
        <f t="shared" ref="AZ204:BA204" si="2299">AZ186+AZ192+AZ198</f>
        <v>832240.12000000011</v>
      </c>
      <c r="BA204" s="62">
        <f t="shared" si="2299"/>
        <v>867711.62859999994</v>
      </c>
      <c r="BB204" s="62">
        <f t="shared" ref="BB204:BC204" si="2300">BB186+BB192+BB198</f>
        <v>892905.13930299995</v>
      </c>
      <c r="BC204" s="62">
        <f t="shared" si="2300"/>
        <v>918833.50937321503</v>
      </c>
      <c r="BD204" s="62">
        <f t="shared" ref="BD204:BE204" si="2301">BD186+BD192+BD198</f>
        <v>945518.26094281452</v>
      </c>
      <c r="BE204" s="62">
        <f t="shared" si="2301"/>
        <v>972981.54871671204</v>
      </c>
      <c r="BF204" s="62">
        <f t="shared" ref="BF204:BG204" si="2302">BF186+BF192+BF198</f>
        <v>1001246.178622467</v>
      </c>
      <c r="BG204" s="62">
        <f t="shared" si="2302"/>
        <v>1030335.6270115009</v>
      </c>
      <c r="BH204" s="62">
        <f t="shared" ref="BH204:BI204" si="2303">BH186+BH192+BH198</f>
        <v>1059462.6319592183</v>
      </c>
      <c r="BI204" s="62">
        <f t="shared" si="2303"/>
        <v>1083482.0400629439</v>
      </c>
      <c r="BJ204" s="62">
        <f t="shared" ref="BJ204:BK204" si="2304">BJ186+BJ192+BJ198</f>
        <v>1112172.8298944326</v>
      </c>
      <c r="BK204" s="62">
        <f t="shared" si="2304"/>
        <v>1136474.6141584343</v>
      </c>
      <c r="BL204" s="62">
        <f t="shared" ref="BL204:BM204" si="2305">BL186+BL192+BL198</f>
        <v>1153944.6784479099</v>
      </c>
      <c r="BM204" s="62">
        <f t="shared" si="2305"/>
        <v>1171789.313699136</v>
      </c>
      <c r="BN204" s="62">
        <f t="shared" ref="BN204:BO204" si="2306">BN186+BN192+BN198</f>
        <v>1195018.240898605</v>
      </c>
      <c r="BO204" s="62">
        <f t="shared" si="2306"/>
        <v>1218711.8107757014</v>
      </c>
      <c r="BP204" s="62">
        <f t="shared" ref="BP204:BQ204" si="2307">BP186+BP192+BP198</f>
        <v>1247042.8975757645</v>
      </c>
      <c r="BQ204" s="62">
        <f t="shared" si="2307"/>
        <v>1276107.3835180469</v>
      </c>
      <c r="BR204" s="62"/>
      <c r="BS204" s="61">
        <f>1433.7+13230.1+4273+1636.6+BS186</f>
        <v>52117.5</v>
      </c>
      <c r="BT204" s="61">
        <f>1150+13026.2+5000.3+1970.7+BT186</f>
        <v>53188</v>
      </c>
      <c r="BU204" s="61">
        <f>1532+12061+4970+2044+BU186</f>
        <v>54601</v>
      </c>
      <c r="BV204" s="61">
        <f>2077+14315+5187+2396+BV186</f>
        <v>60336</v>
      </c>
      <c r="BW204" s="61">
        <f>927+17219+4025+6461+BW186</f>
        <v>67496</v>
      </c>
      <c r="BX204" s="61">
        <f>5934+18741+6994+2909+BX186</f>
        <v>76801</v>
      </c>
      <c r="BY204" s="61">
        <f>5071+19483+8332+2242+BY186</f>
        <v>82534</v>
      </c>
      <c r="BZ204" s="61">
        <f>3607+17259+7831+2358+BZ186</f>
        <v>80052</v>
      </c>
      <c r="CA204" s="61">
        <f>(6284+14359+5028+1207)+CA186</f>
        <v>81873</v>
      </c>
      <c r="CB204" s="61">
        <f>(5062+19032+6184+1470)+CB186</f>
        <v>87795</v>
      </c>
      <c r="CC204" s="62">
        <f>E204</f>
        <v>98404</v>
      </c>
      <c r="CD204" s="62">
        <f>G204</f>
        <v>102325</v>
      </c>
      <c r="CE204" s="62">
        <f>I204</f>
        <v>139879</v>
      </c>
      <c r="CF204" s="62">
        <f>K204</f>
        <v>154661</v>
      </c>
      <c r="CG204" s="62">
        <f>M204</f>
        <v>172394</v>
      </c>
      <c r="CH204" s="62">
        <f>O204</f>
        <v>205734</v>
      </c>
      <c r="CI204" s="62">
        <f>Q204</f>
        <v>249504</v>
      </c>
      <c r="CJ204" s="62">
        <f>S204</f>
        <v>274551</v>
      </c>
      <c r="CK204" s="62">
        <f>U204</f>
        <v>296986</v>
      </c>
      <c r="CL204" s="62">
        <f>W204</f>
        <v>352900</v>
      </c>
      <c r="CM204" s="62">
        <f>Y204</f>
        <v>383686</v>
      </c>
      <c r="CN204" s="62">
        <f>AA204</f>
        <v>426071</v>
      </c>
      <c r="CO204" s="62">
        <f>AC204</f>
        <v>455334</v>
      </c>
      <c r="CP204" s="62">
        <f>AE204</f>
        <v>507245</v>
      </c>
      <c r="CQ204" s="62">
        <f>AG204</f>
        <v>510050</v>
      </c>
      <c r="CR204" s="62">
        <f>AI204</f>
        <v>521898</v>
      </c>
      <c r="CS204" s="62">
        <f>AK204</f>
        <v>529166</v>
      </c>
      <c r="CT204" s="62">
        <f>AM204</f>
        <v>548339</v>
      </c>
      <c r="CU204" s="62">
        <f>AO204</f>
        <v>584854</v>
      </c>
      <c r="CV204" s="62">
        <f>AQ204</f>
        <v>631290</v>
      </c>
      <c r="CW204" s="62">
        <f>AS204</f>
        <v>654479</v>
      </c>
      <c r="CX204" s="62">
        <f>AU204</f>
        <v>689038</v>
      </c>
      <c r="CY204" s="62">
        <f>AW204</f>
        <v>757417</v>
      </c>
      <c r="CZ204" s="220">
        <f>AY204</f>
        <v>793818</v>
      </c>
      <c r="DA204" s="62">
        <f>BA204</f>
        <v>867711.62859999994</v>
      </c>
      <c r="DB204" s="62">
        <f>BC204</f>
        <v>918833.50937321503</v>
      </c>
      <c r="DC204" s="62">
        <f>BE204</f>
        <v>972981.54871671204</v>
      </c>
      <c r="DD204" s="62">
        <f>BG204</f>
        <v>1030335.6270115009</v>
      </c>
      <c r="DE204" s="62">
        <f>BI204</f>
        <v>1083482.0400629439</v>
      </c>
      <c r="DF204" s="62">
        <f>BK204</f>
        <v>1136474.6141584343</v>
      </c>
      <c r="DG204" s="62">
        <f>BM204</f>
        <v>1171789.313699136</v>
      </c>
      <c r="DH204" s="62">
        <f>BO204</f>
        <v>1218711.8107757014</v>
      </c>
      <c r="DI204" s="62">
        <f>BQ204</f>
        <v>1276107.3835180469</v>
      </c>
    </row>
    <row r="205" spans="1:113" s="63" customFormat="1" ht="12" outlineLevel="1">
      <c r="A205" s="1" t="s">
        <v>1057</v>
      </c>
      <c r="B205" s="63" t="s">
        <v>617</v>
      </c>
      <c r="C205" s="40">
        <f>2714+5062</f>
        <v>7776</v>
      </c>
      <c r="D205" s="225">
        <f>(C205+E205)/2</f>
        <v>9724.5</v>
      </c>
      <c r="E205" s="40">
        <f>5340+6333</f>
        <v>11673</v>
      </c>
      <c r="F205" s="225">
        <f>(E205+G205)/2</f>
        <v>10910.5</v>
      </c>
      <c r="G205" s="40">
        <f>7029+3119</f>
        <v>10148</v>
      </c>
      <c r="H205" s="225">
        <f>(G205+I205)/2</f>
        <v>13606.5</v>
      </c>
      <c r="I205" s="40">
        <f>12221+4844</f>
        <v>17065</v>
      </c>
      <c r="J205" s="225">
        <f>(K205+I205)/2</f>
        <v>19844.5</v>
      </c>
      <c r="K205" s="40">
        <f>17512+4211+901</f>
        <v>22624</v>
      </c>
      <c r="L205" s="40">
        <v>23238</v>
      </c>
      <c r="M205" s="64">
        <v>23248</v>
      </c>
      <c r="N205" s="64">
        <v>23004</v>
      </c>
      <c r="O205" s="64">
        <v>31903</v>
      </c>
      <c r="P205" s="64">
        <v>46923</v>
      </c>
      <c r="Q205" s="64">
        <v>52346</v>
      </c>
      <c r="R205" s="64">
        <v>46405</v>
      </c>
      <c r="S205" s="64">
        <v>44711</v>
      </c>
      <c r="T205" s="64">
        <v>44695</v>
      </c>
      <c r="U205" s="64">
        <v>39530</v>
      </c>
      <c r="V205" s="64">
        <v>51513</v>
      </c>
      <c r="W205" s="64">
        <v>55554</v>
      </c>
      <c r="X205" s="64">
        <v>59603</v>
      </c>
      <c r="Y205" s="64">
        <v>56838</v>
      </c>
      <c r="Z205" s="337">
        <v>61564</v>
      </c>
      <c r="AA205" s="337">
        <f>51448+4724+2103</f>
        <v>58275</v>
      </c>
      <c r="AB205" s="337">
        <f>51217+4986+1504</f>
        <v>57707</v>
      </c>
      <c r="AC205" s="337">
        <f>49446+2083+1226</f>
        <v>52755</v>
      </c>
      <c r="AD205" s="337">
        <f>55857+2354+1435</f>
        <v>59646</v>
      </c>
      <c r="AE205" s="337">
        <f>57390+5379+677</f>
        <v>63446</v>
      </c>
      <c r="AF205" s="337">
        <f>56513+6888+1675</f>
        <v>65076</v>
      </c>
      <c r="AG205" s="337">
        <f>52295+7001+2133</f>
        <v>61429</v>
      </c>
      <c r="AH205" s="337">
        <f>51875+4629+924</f>
        <v>57428</v>
      </c>
      <c r="AI205" s="337">
        <f>50565+2894+1763</f>
        <v>55222</v>
      </c>
      <c r="AJ205" s="337">
        <f>43157+5234+1897</f>
        <v>50288</v>
      </c>
      <c r="AK205" s="337">
        <f>39671+2242+833</f>
        <v>42746</v>
      </c>
      <c r="AL205" s="337">
        <f>39481+3215+874</f>
        <v>43570</v>
      </c>
      <c r="AM205" s="337">
        <f>32953+2318+1375</f>
        <v>36646</v>
      </c>
      <c r="AN205" s="337">
        <f>34733+1494+1651</f>
        <v>37878</v>
      </c>
      <c r="AO205" s="337">
        <f>28258+2583+1650</f>
        <v>32491</v>
      </c>
      <c r="AP205" s="337">
        <f>34176+4532+1292</f>
        <v>40000</v>
      </c>
      <c r="AQ205" s="337">
        <f>31915+4003+1790</f>
        <v>37708</v>
      </c>
      <c r="AR205" s="337">
        <f>29914+5013+2018</f>
        <v>36945</v>
      </c>
      <c r="AS205" s="337">
        <f>29412+3193+1444</f>
        <v>34049</v>
      </c>
      <c r="AT205" s="337">
        <f>37920+5233+1392</f>
        <v>44545</v>
      </c>
      <c r="AU205" s="337">
        <v>41919</v>
      </c>
      <c r="AV205" s="337">
        <f>30572+6723+1800</f>
        <v>39095</v>
      </c>
      <c r="AW205" s="337">
        <f>34011+7116+1079</f>
        <v>42206</v>
      </c>
      <c r="AX205" s="337">
        <f>30215+8153+1213</f>
        <v>39581</v>
      </c>
      <c r="AY205" s="548">
        <f>38184+6803+774</f>
        <v>45761</v>
      </c>
      <c r="AZ205" s="65">
        <f t="shared" ref="AZ205" si="2308">AY205*AZ203/AY203</f>
        <v>47975.909000954882</v>
      </c>
      <c r="BA205" s="65">
        <f t="shared" ref="BA205" si="2309">AZ205*BA203/AZ203</f>
        <v>50020.724947487455</v>
      </c>
      <c r="BB205" s="65">
        <f t="shared" ref="BB205" si="2310">BA205*BB203/BA203</f>
        <v>51473.048078582971</v>
      </c>
      <c r="BC205" s="65">
        <f t="shared" ref="BC205" si="2311">BB205*BC203/BB203</f>
        <v>52967.733438178126</v>
      </c>
      <c r="BD205" s="65">
        <f t="shared" ref="BD205" si="2312">BC205*BD203/BC203</f>
        <v>54506.021706492073</v>
      </c>
      <c r="BE205" s="65">
        <f t="shared" ref="BE205" si="2313">BD205*BE203/BD203</f>
        <v>56089.190029484649</v>
      </c>
      <c r="BF205" s="65">
        <f t="shared" ref="BF205" si="2314">BE205*BF203/BE203</f>
        <v>57718.553093961957</v>
      </c>
      <c r="BG205" s="65">
        <f t="shared" ref="BG205:BK205" si="2315">BF205*BG203/BF203</f>
        <v>59395.464234463405</v>
      </c>
      <c r="BH205" s="65">
        <f t="shared" si="2315"/>
        <v>61074.540387199289</v>
      </c>
      <c r="BI205" s="65">
        <f t="shared" si="2315"/>
        <v>62459.180360385311</v>
      </c>
      <c r="BJ205" s="65">
        <f t="shared" si="2315"/>
        <v>64113.110144641585</v>
      </c>
      <c r="BK205" s="65">
        <f t="shared" si="2315"/>
        <v>65514.028175859043</v>
      </c>
      <c r="BL205" s="65">
        <f t="shared" ref="BL205" si="2316">BK205*BL203/BK203</f>
        <v>66521.119992812921</v>
      </c>
      <c r="BM205" s="65">
        <f t="shared" ref="BM205" si="2317">BL205*BM203/BL203</f>
        <v>67549.8045952424</v>
      </c>
      <c r="BN205" s="65">
        <f t="shared" ref="BN205" si="2318">BM205*BN203/BM203</f>
        <v>68888.875941035643</v>
      </c>
      <c r="BO205" s="65">
        <f t="shared" ref="BO205" si="2319">BN205*BO203/BN203</f>
        <v>70254.732410838304</v>
      </c>
      <c r="BP205" s="65">
        <f t="shared" ref="BP205" si="2320">BO205*BP203/BO203</f>
        <v>71887.926496960921</v>
      </c>
      <c r="BQ205" s="65">
        <f t="shared" ref="BQ205" si="2321">BP205*BQ203/BP203</f>
        <v>73563.398634409023</v>
      </c>
      <c r="BR205" s="65"/>
      <c r="BS205" s="40">
        <f>5902.6+1433.7</f>
        <v>7336.3</v>
      </c>
      <c r="BT205" s="40">
        <f>3869.5+1150</f>
        <v>5019.5</v>
      </c>
      <c r="BU205" s="40">
        <f>3274+1532</f>
        <v>4806</v>
      </c>
      <c r="BV205" s="40">
        <f>2618+2077</f>
        <v>4695</v>
      </c>
      <c r="BW205" s="40">
        <f>1135+2203</f>
        <v>3338</v>
      </c>
      <c r="BX205" s="40">
        <f>927+5934</f>
        <v>6861</v>
      </c>
      <c r="BY205" s="40">
        <f>5063+5071</f>
        <v>10134</v>
      </c>
      <c r="BZ205" s="40">
        <f>6787+3607</f>
        <v>10394</v>
      </c>
      <c r="CA205" s="40">
        <f>7654+6284</f>
        <v>13938</v>
      </c>
      <c r="CB205" s="40">
        <f>2714+5062</f>
        <v>7776</v>
      </c>
      <c r="CC205" s="65">
        <f>E205</f>
        <v>11673</v>
      </c>
      <c r="CD205" s="65">
        <f>G205</f>
        <v>10148</v>
      </c>
      <c r="CE205" s="65">
        <f>I205</f>
        <v>17065</v>
      </c>
      <c r="CF205" s="65">
        <f>K205</f>
        <v>22624</v>
      </c>
      <c r="CG205" s="65">
        <f>M205</f>
        <v>23248</v>
      </c>
      <c r="CH205" s="65">
        <f>O205</f>
        <v>31903</v>
      </c>
      <c r="CI205" s="65">
        <f>Q205</f>
        <v>52346</v>
      </c>
      <c r="CJ205" s="65">
        <f>S205</f>
        <v>44711</v>
      </c>
      <c r="CK205" s="65">
        <f>U205</f>
        <v>39530</v>
      </c>
      <c r="CL205" s="65">
        <f>W205</f>
        <v>55554</v>
      </c>
      <c r="CM205" s="65">
        <f>Y205</f>
        <v>56838</v>
      </c>
      <c r="CN205" s="65">
        <f>AA205</f>
        <v>58275</v>
      </c>
      <c r="CO205" s="65">
        <f>AC205</f>
        <v>52755</v>
      </c>
      <c r="CP205" s="65">
        <f>AE205</f>
        <v>63446</v>
      </c>
      <c r="CQ205" s="65">
        <f>AG205</f>
        <v>61429</v>
      </c>
      <c r="CR205" s="65">
        <f>AI205</f>
        <v>55222</v>
      </c>
      <c r="CS205" s="65">
        <f>AK205</f>
        <v>42746</v>
      </c>
      <c r="CT205" s="65">
        <f>AM205</f>
        <v>36646</v>
      </c>
      <c r="CU205" s="65">
        <f>AO205</f>
        <v>32491</v>
      </c>
      <c r="CV205" s="65">
        <f>AQ205</f>
        <v>37708</v>
      </c>
      <c r="CW205" s="65">
        <f>AS205</f>
        <v>34049</v>
      </c>
      <c r="CX205" s="65">
        <f>AU205</f>
        <v>41919</v>
      </c>
      <c r="CY205" s="65">
        <f>AW205</f>
        <v>42206</v>
      </c>
      <c r="CZ205" s="221">
        <f>AY205</f>
        <v>45761</v>
      </c>
      <c r="DA205" s="65">
        <f>BA205</f>
        <v>50020.724947487455</v>
      </c>
      <c r="DB205" s="65">
        <f>BC205</f>
        <v>52967.733438178126</v>
      </c>
      <c r="DC205" s="65">
        <f>BE205</f>
        <v>56089.190029484649</v>
      </c>
      <c r="DD205" s="65">
        <f>BG205</f>
        <v>59395.464234463405</v>
      </c>
      <c r="DE205" s="65">
        <f>BI205</f>
        <v>62459.180360385311</v>
      </c>
      <c r="DF205" s="65">
        <f>BK205</f>
        <v>65514.028175859043</v>
      </c>
      <c r="DG205" s="65">
        <f>BM205</f>
        <v>67549.8045952424</v>
      </c>
      <c r="DH205" s="65">
        <f>BO205</f>
        <v>70254.732410838304</v>
      </c>
      <c r="DI205" s="65">
        <f>BQ205</f>
        <v>73563.398634409023</v>
      </c>
    </row>
    <row r="206" spans="1:113" ht="12" outlineLevel="1">
      <c r="C206" s="41"/>
      <c r="D206" s="41"/>
      <c r="E206" s="41"/>
      <c r="F206" s="41"/>
      <c r="G206" s="41"/>
      <c r="H206" s="41"/>
      <c r="I206" s="41"/>
      <c r="J206" s="41"/>
      <c r="K206" s="41"/>
      <c r="L206" s="41"/>
      <c r="M206" s="41"/>
      <c r="N206" s="41"/>
      <c r="O206" s="41"/>
      <c r="P206" s="41"/>
      <c r="Q206" s="41"/>
      <c r="R206" s="41"/>
      <c r="S206" s="41"/>
      <c r="T206" s="41"/>
      <c r="U206" s="41"/>
      <c r="V206" s="41"/>
      <c r="W206" s="41"/>
      <c r="X206" s="41"/>
      <c r="Y206" s="41"/>
      <c r="Z206" s="41"/>
      <c r="AA206" s="41"/>
      <c r="AB206" s="41"/>
      <c r="AC206" s="41"/>
      <c r="AD206" s="41"/>
      <c r="AE206" s="41"/>
      <c r="AF206" s="41"/>
      <c r="AG206" s="41"/>
      <c r="AH206" s="41"/>
      <c r="AI206" s="41"/>
      <c r="AJ206" s="41"/>
      <c r="AK206" s="41"/>
      <c r="AL206" s="41"/>
      <c r="AM206" s="41"/>
      <c r="AN206" s="41"/>
      <c r="AO206" s="41"/>
      <c r="AP206" s="41"/>
      <c r="AQ206" s="41"/>
      <c r="AR206" s="41"/>
      <c r="AS206" s="41"/>
      <c r="AT206" s="133">
        <f>AT204/AS204-1</f>
        <v>5.9120307909038994E-2</v>
      </c>
      <c r="AU206" s="133">
        <f t="shared" ref="AU206:BM206" si="2322">AU204/AT204-1</f>
        <v>-5.963887750803587E-3</v>
      </c>
      <c r="AV206" s="133">
        <f t="shared" si="2322"/>
        <v>-1.2848347986613273E-2</v>
      </c>
      <c r="AW206" s="133">
        <f t="shared" si="2322"/>
        <v>0.11354557951145638</v>
      </c>
      <c r="AX206" s="497">
        <f t="shared" si="2322"/>
        <v>5.113299543052241E-2</v>
      </c>
      <c r="AY206" s="599">
        <f t="shared" si="2322"/>
        <v>-2.9240867881016319E-3</v>
      </c>
      <c r="AZ206" s="497">
        <f t="shared" si="2322"/>
        <v>4.8401673935335454E-2</v>
      </c>
      <c r="BA206" s="497">
        <f t="shared" si="2322"/>
        <v>4.2621723884207707E-2</v>
      </c>
      <c r="BB206" s="497">
        <f t="shared" si="2322"/>
        <v>2.9034427882046687E-2</v>
      </c>
      <c r="BC206" s="497">
        <f t="shared" si="2322"/>
        <v>2.9038213499873899E-2</v>
      </c>
      <c r="BD206" s="497">
        <f t="shared" si="2322"/>
        <v>2.904198780016487E-2</v>
      </c>
      <c r="BE206" s="497">
        <f t="shared" si="2322"/>
        <v>2.9045750789109759E-2</v>
      </c>
      <c r="BF206" s="497">
        <f t="shared" si="2322"/>
        <v>2.9049502473128985E-2</v>
      </c>
      <c r="BG206" s="497">
        <f t="shared" si="2322"/>
        <v>2.9053242858869899E-2</v>
      </c>
      <c r="BH206" s="497">
        <f t="shared" si="2322"/>
        <v>2.8269433943772793E-2</v>
      </c>
      <c r="BI206" s="497">
        <f t="shared" si="2322"/>
        <v>2.2671312209763927E-2</v>
      </c>
      <c r="BJ206" s="497">
        <f t="shared" si="2322"/>
        <v>2.6480171124776408E-2</v>
      </c>
      <c r="BK206" s="497">
        <f t="shared" si="2322"/>
        <v>2.1850726443576551E-2</v>
      </c>
      <c r="BL206" s="497">
        <f t="shared" si="2322"/>
        <v>1.5372155322987302E-2</v>
      </c>
      <c r="BM206" s="497">
        <f t="shared" si="2322"/>
        <v>1.546403010864239E-2</v>
      </c>
      <c r="BN206" s="41"/>
      <c r="BO206" s="41"/>
      <c r="BP206" s="41"/>
      <c r="BQ206" s="41"/>
      <c r="BR206" s="41"/>
      <c r="BS206" s="41"/>
      <c r="BT206" s="41"/>
      <c r="BU206" s="41"/>
      <c r="BV206" s="41"/>
      <c r="BW206" s="41"/>
      <c r="BX206" s="41"/>
      <c r="BY206" s="41"/>
      <c r="BZ206" s="41" t="s">
        <v>2374</v>
      </c>
      <c r="CA206" s="41"/>
      <c r="CB206" s="41"/>
      <c r="CC206" s="41"/>
      <c r="CD206" s="41"/>
      <c r="CE206" s="41"/>
      <c r="CF206" s="41"/>
      <c r="CG206" s="41"/>
      <c r="CH206" s="41"/>
      <c r="CI206" s="41"/>
      <c r="CJ206" s="41"/>
      <c r="CK206" s="41"/>
      <c r="CL206" s="41"/>
      <c r="CM206" s="41"/>
      <c r="CN206" s="41"/>
      <c r="CO206" s="41"/>
      <c r="CP206" s="41"/>
      <c r="CQ206" s="41"/>
      <c r="CR206" s="41"/>
      <c r="CS206" s="41"/>
      <c r="CT206" s="41"/>
      <c r="CU206" s="41"/>
      <c r="CV206" s="41"/>
      <c r="CW206" s="41"/>
      <c r="CX206" s="41"/>
      <c r="CY206" s="41"/>
      <c r="CZ206" s="211"/>
      <c r="DA206" s="41"/>
      <c r="DB206" s="41"/>
      <c r="DC206" s="41"/>
      <c r="DD206" s="41"/>
      <c r="DE206" s="41"/>
      <c r="DF206" s="41"/>
      <c r="DG206" s="41"/>
      <c r="DH206" s="41"/>
      <c r="DI206" s="41"/>
    </row>
    <row r="207" spans="1:113" s="17" customFormat="1" ht="12" outlineLevel="1">
      <c r="A207" s="1"/>
      <c r="B207" s="17" t="s">
        <v>500</v>
      </c>
      <c r="C207" s="62"/>
      <c r="D207" s="62"/>
      <c r="E207" s="62"/>
      <c r="F207" s="62"/>
      <c r="G207" s="62"/>
      <c r="H207" s="62"/>
      <c r="I207" s="62"/>
      <c r="J207" s="62"/>
      <c r="K207" s="62"/>
      <c r="L207" s="62"/>
      <c r="M207" s="62"/>
      <c r="N207" s="62"/>
      <c r="O207" s="62"/>
      <c r="P207" s="62"/>
      <c r="Q207" s="62"/>
      <c r="R207" s="62"/>
      <c r="S207" s="62"/>
      <c r="T207" s="62"/>
      <c r="U207" s="62"/>
      <c r="V207" s="62"/>
      <c r="W207" s="62"/>
      <c r="X207" s="62"/>
      <c r="Y207" s="62"/>
      <c r="Z207" s="62"/>
      <c r="AA207" s="62"/>
      <c r="AB207" s="62"/>
      <c r="AC207" s="62"/>
      <c r="AD207" s="62"/>
      <c r="AE207" s="62"/>
      <c r="AF207" s="62"/>
      <c r="AG207" s="62"/>
      <c r="AH207" s="62"/>
      <c r="AI207" s="62"/>
      <c r="AJ207" s="62"/>
      <c r="AK207" s="62"/>
      <c r="AL207" s="62"/>
      <c r="AM207" s="62"/>
      <c r="AN207" s="62"/>
      <c r="AO207" s="62"/>
      <c r="AP207" s="62"/>
      <c r="AQ207" s="62"/>
      <c r="AR207" s="62"/>
      <c r="AS207" s="62"/>
      <c r="AT207" s="62"/>
      <c r="AU207" s="62"/>
      <c r="AV207" s="62"/>
      <c r="AW207" s="62"/>
      <c r="AX207" s="62"/>
      <c r="AY207" s="220"/>
      <c r="AZ207" s="62"/>
      <c r="BA207" s="62"/>
      <c r="BB207" s="62"/>
      <c r="BC207" s="62"/>
      <c r="BD207" s="62"/>
      <c r="BE207" s="62"/>
      <c r="BF207" s="62"/>
      <c r="BG207" s="62"/>
      <c r="BH207" s="62"/>
      <c r="BI207" s="62"/>
      <c r="BJ207" s="62"/>
      <c r="BK207" s="62"/>
      <c r="BL207" s="62"/>
      <c r="BM207" s="62"/>
      <c r="BN207" s="62"/>
      <c r="BO207" s="62"/>
      <c r="BP207" s="62"/>
      <c r="BQ207" s="62"/>
      <c r="BR207" s="62"/>
      <c r="BS207" s="62"/>
      <c r="BT207" s="62"/>
      <c r="BU207" s="62"/>
      <c r="BV207" s="62"/>
      <c r="BW207" s="62"/>
      <c r="BX207" s="62"/>
      <c r="BY207" s="62"/>
      <c r="BZ207" s="62"/>
      <c r="CA207" s="62"/>
      <c r="CB207" s="62"/>
      <c r="CC207" s="62"/>
      <c r="CD207" s="62"/>
      <c r="CE207" s="62"/>
      <c r="CF207" s="62"/>
      <c r="CG207" s="62"/>
      <c r="CH207" s="62"/>
      <c r="CI207" s="62"/>
      <c r="CJ207" s="62"/>
      <c r="CK207" s="62"/>
      <c r="CL207" s="62"/>
      <c r="CM207" s="62"/>
      <c r="CN207" s="62"/>
      <c r="CO207" s="62"/>
      <c r="CP207" s="62"/>
      <c r="CQ207" s="62"/>
      <c r="CR207" s="62"/>
      <c r="CS207" s="62"/>
      <c r="CT207" s="62"/>
      <c r="CU207" s="62"/>
      <c r="CV207" s="62"/>
      <c r="CW207" s="62"/>
      <c r="CX207" s="62"/>
      <c r="CY207" s="62"/>
      <c r="CZ207" s="220"/>
      <c r="DA207" s="62"/>
      <c r="DB207" s="62"/>
      <c r="DC207" s="62"/>
      <c r="DD207" s="62"/>
      <c r="DE207" s="62"/>
      <c r="DF207" s="62"/>
      <c r="DG207" s="62"/>
      <c r="DH207" s="62"/>
      <c r="DI207" s="62"/>
    </row>
    <row r="208" spans="1:113" ht="12" outlineLevel="1">
      <c r="A208" s="1" t="s">
        <v>1058</v>
      </c>
      <c r="B208" s="15" t="s">
        <v>435</v>
      </c>
      <c r="C208" s="41">
        <f>C210-C209</f>
        <v>4774</v>
      </c>
      <c r="D208" s="41">
        <f>D210-D209</f>
        <v>5064</v>
      </c>
      <c r="E208" s="41">
        <f>E210-E209</f>
        <v>0</v>
      </c>
      <c r="F208" s="41">
        <f t="shared" ref="F208:L208" si="2323">F210-F209</f>
        <v>0</v>
      </c>
      <c r="G208" s="41">
        <f t="shared" si="2323"/>
        <v>0</v>
      </c>
      <c r="H208" s="41">
        <f t="shared" si="2323"/>
        <v>0</v>
      </c>
      <c r="I208" s="41">
        <f t="shared" si="2323"/>
        <v>0</v>
      </c>
      <c r="J208" s="41">
        <f t="shared" si="2323"/>
        <v>0</v>
      </c>
      <c r="K208" s="41">
        <f t="shared" si="2323"/>
        <v>0</v>
      </c>
      <c r="L208" s="41">
        <f t="shared" si="2323"/>
        <v>0</v>
      </c>
      <c r="M208" s="41">
        <f t="shared" ref="M208:X208" si="2324">M210-M209</f>
        <v>19036.009999999998</v>
      </c>
      <c r="N208" s="41">
        <f t="shared" si="2324"/>
        <v>21460.53</v>
      </c>
      <c r="O208" s="41">
        <f t="shared" si="2324"/>
        <v>22536.57</v>
      </c>
      <c r="P208" s="41">
        <f t="shared" si="2324"/>
        <v>21532.07</v>
      </c>
      <c r="Q208" s="41">
        <f t="shared" si="2324"/>
        <v>20526.099999999999</v>
      </c>
      <c r="R208" s="41">
        <f t="shared" si="2324"/>
        <v>16672.25</v>
      </c>
      <c r="S208" s="41">
        <f t="shared" si="2324"/>
        <v>19952.310000000001</v>
      </c>
      <c r="T208" s="41">
        <f t="shared" si="2324"/>
        <v>33942</v>
      </c>
      <c r="U208" s="41">
        <f t="shared" si="2324"/>
        <v>34429</v>
      </c>
      <c r="V208" s="41">
        <f t="shared" si="2324"/>
        <v>35219</v>
      </c>
      <c r="W208" s="41">
        <f t="shared" si="2324"/>
        <v>32536</v>
      </c>
      <c r="X208" s="41">
        <f t="shared" si="2324"/>
        <v>33531</v>
      </c>
      <c r="Y208" s="41">
        <f t="shared" ref="Y208:AE208" si="2325">Y210-Y209</f>
        <v>33486</v>
      </c>
      <c r="Z208" s="41">
        <f t="shared" si="2325"/>
        <v>34817</v>
      </c>
      <c r="AA208" s="41">
        <f t="shared" si="2325"/>
        <v>35899</v>
      </c>
      <c r="AB208" s="41">
        <f t="shared" si="2325"/>
        <v>36736</v>
      </c>
      <c r="AC208" s="41">
        <f t="shared" si="2325"/>
        <v>37735</v>
      </c>
      <c r="AD208" s="41">
        <f t="shared" si="2325"/>
        <v>40309</v>
      </c>
      <c r="AE208" s="41">
        <f t="shared" si="2325"/>
        <v>38692</v>
      </c>
      <c r="AF208" s="41">
        <f t="shared" ref="AF208:AG208" si="2326">AF210-AF209</f>
        <v>38424</v>
      </c>
      <c r="AG208" s="41">
        <f t="shared" si="2326"/>
        <v>39478</v>
      </c>
      <c r="AH208" s="41">
        <f t="shared" ref="AH208:AI208" si="2327">AH210-AH209</f>
        <v>0</v>
      </c>
      <c r="AI208" s="41">
        <f t="shared" si="2327"/>
        <v>0</v>
      </c>
      <c r="AJ208" s="41">
        <f t="shared" ref="AJ208:AK208" si="2328">AJ210-AJ209</f>
        <v>0</v>
      </c>
      <c r="AK208" s="41">
        <f t="shared" si="2328"/>
        <v>0</v>
      </c>
      <c r="AL208" s="41">
        <f t="shared" ref="AL208:AM208" si="2329">AL210-AL209</f>
        <v>0</v>
      </c>
      <c r="AM208" s="41">
        <f t="shared" si="2329"/>
        <v>0</v>
      </c>
      <c r="AN208" s="41">
        <f t="shared" ref="AN208:AO208" si="2330">AN210-AN209</f>
        <v>0</v>
      </c>
      <c r="AO208" s="41">
        <f t="shared" si="2330"/>
        <v>0</v>
      </c>
      <c r="AP208" s="41">
        <f t="shared" ref="AP208:AQ208" si="2331">AP210-AP209</f>
        <v>0</v>
      </c>
      <c r="AQ208" s="41">
        <f t="shared" si="2331"/>
        <v>0</v>
      </c>
      <c r="AR208" s="41">
        <f t="shared" ref="AR208:AS208" si="2332">AR210-AR209</f>
        <v>0</v>
      </c>
      <c r="AS208" s="41">
        <f t="shared" si="2332"/>
        <v>0</v>
      </c>
      <c r="AT208" s="41">
        <f t="shared" ref="AT208:AU208" si="2333">AT210-AT209</f>
        <v>0</v>
      </c>
      <c r="AU208" s="41">
        <f t="shared" si="2333"/>
        <v>0</v>
      </c>
      <c r="AV208" s="41">
        <f t="shared" ref="AV208:AW208" si="2334">AV210-AV209</f>
        <v>0</v>
      </c>
      <c r="AW208" s="41">
        <f t="shared" si="2334"/>
        <v>0</v>
      </c>
      <c r="AX208" s="41">
        <f t="shared" ref="AX208:AY208" si="2335">AX210-AX209</f>
        <v>0</v>
      </c>
      <c r="AY208" s="211">
        <f t="shared" si="2335"/>
        <v>0</v>
      </c>
      <c r="AZ208" s="41">
        <f t="shared" ref="AZ208:AZ209" si="2336">AY208*(1+AZ63)</f>
        <v>0</v>
      </c>
      <c r="BA208" s="41">
        <f t="shared" ref="BA208:BA209" si="2337">AZ208*(1+BA63)</f>
        <v>0</v>
      </c>
      <c r="BB208" s="41">
        <f t="shared" ref="BB208:BB209" si="2338">BA208*(1+BB63)</f>
        <v>0</v>
      </c>
      <c r="BC208" s="41">
        <f t="shared" ref="BC208:BC209" si="2339">BB208*(1+BC63)</f>
        <v>0</v>
      </c>
      <c r="BD208" s="41">
        <f t="shared" ref="BD208:BD209" si="2340">BC208*(1+BD63)</f>
        <v>0</v>
      </c>
      <c r="BE208" s="41">
        <f t="shared" ref="BE208:BE209" si="2341">BD208*(1+BE63)</f>
        <v>0</v>
      </c>
      <c r="BF208" s="41">
        <f t="shared" ref="BF208:BF209" si="2342">BE208*(1+BF63)</f>
        <v>0</v>
      </c>
      <c r="BG208" s="41">
        <f t="shared" ref="BG208:BK209" si="2343">BF208*(1+BG63)</f>
        <v>0</v>
      </c>
      <c r="BH208" s="41">
        <f t="shared" si="2343"/>
        <v>0</v>
      </c>
      <c r="BI208" s="41">
        <f t="shared" si="2343"/>
        <v>0</v>
      </c>
      <c r="BJ208" s="41">
        <f t="shared" si="2343"/>
        <v>0</v>
      </c>
      <c r="BK208" s="41">
        <f t="shared" si="2343"/>
        <v>0</v>
      </c>
      <c r="BL208" s="41">
        <f t="shared" ref="BL208:BL209" si="2344">BK208*(1+BL63)</f>
        <v>0</v>
      </c>
      <c r="BM208" s="41">
        <f t="shared" ref="BM208:BM209" si="2345">BL208*(1+BM63)</f>
        <v>0</v>
      </c>
      <c r="BN208" s="41">
        <f t="shared" ref="BN208:BN209" si="2346">BM208*(1+BN63)</f>
        <v>0</v>
      </c>
      <c r="BO208" s="41">
        <f t="shared" ref="BO208:BO209" si="2347">BN208*(1+BO63)</f>
        <v>0</v>
      </c>
      <c r="BP208" s="41">
        <f t="shared" ref="BP208:BP209" si="2348">BO208*(1+BP63)</f>
        <v>0</v>
      </c>
      <c r="BQ208" s="41">
        <f t="shared" ref="BQ208:BQ209" si="2349">BP208*(1+BQ63)</f>
        <v>0</v>
      </c>
      <c r="BR208" s="41"/>
      <c r="BS208" s="41">
        <f t="shared" ref="BS208:CB208" si="2350">BS210-BS209</f>
        <v>0</v>
      </c>
      <c r="BT208" s="41">
        <f t="shared" si="2350"/>
        <v>0</v>
      </c>
      <c r="BU208" s="41">
        <f t="shared" si="2350"/>
        <v>0</v>
      </c>
      <c r="BV208" s="41">
        <f t="shared" si="2350"/>
        <v>0</v>
      </c>
      <c r="BW208" s="41">
        <f t="shared" si="2350"/>
        <v>0</v>
      </c>
      <c r="BX208" s="41">
        <f t="shared" si="2350"/>
        <v>0</v>
      </c>
      <c r="BY208" s="41">
        <f t="shared" si="2350"/>
        <v>0</v>
      </c>
      <c r="BZ208" s="369">
        <f t="shared" si="2350"/>
        <v>4063</v>
      </c>
      <c r="CA208" s="41">
        <f t="shared" si="2350"/>
        <v>4739</v>
      </c>
      <c r="CB208" s="41">
        <f t="shared" si="2350"/>
        <v>4774</v>
      </c>
      <c r="CC208" s="41">
        <f>E208</f>
        <v>0</v>
      </c>
      <c r="CD208" s="41">
        <f>G208</f>
        <v>0</v>
      </c>
      <c r="CE208" s="41">
        <f>I208</f>
        <v>0</v>
      </c>
      <c r="CF208" s="41">
        <f>K208</f>
        <v>0</v>
      </c>
      <c r="CG208" s="41">
        <f>M208</f>
        <v>19036.009999999998</v>
      </c>
      <c r="CH208" s="41">
        <f>O208</f>
        <v>22536.57</v>
      </c>
      <c r="CI208" s="41">
        <f>Q208</f>
        <v>20526.099999999999</v>
      </c>
      <c r="CJ208" s="41">
        <f>S208</f>
        <v>19952.310000000001</v>
      </c>
      <c r="CK208" s="41">
        <f>U208</f>
        <v>34429</v>
      </c>
      <c r="CL208" s="41">
        <f>W208</f>
        <v>32536</v>
      </c>
      <c r="CM208" s="41">
        <f>Y208</f>
        <v>33486</v>
      </c>
      <c r="CN208" s="41">
        <f>AA208</f>
        <v>35899</v>
      </c>
      <c r="CO208" s="41">
        <f>AC208</f>
        <v>37735</v>
      </c>
      <c r="CP208" s="41">
        <f>AE208</f>
        <v>38692</v>
      </c>
      <c r="CQ208" s="41">
        <f>AG208</f>
        <v>39478</v>
      </c>
      <c r="CR208" s="41">
        <f>AI208</f>
        <v>0</v>
      </c>
      <c r="CS208" s="41">
        <f>AK208</f>
        <v>0</v>
      </c>
      <c r="CT208" s="41">
        <f>AM208</f>
        <v>0</v>
      </c>
      <c r="CU208" s="41">
        <f>AO208</f>
        <v>0</v>
      </c>
      <c r="CV208" s="41">
        <f>AQ208</f>
        <v>0</v>
      </c>
      <c r="CW208" s="41">
        <f>AS208</f>
        <v>0</v>
      </c>
      <c r="CX208" s="41">
        <f>AU208</f>
        <v>0</v>
      </c>
      <c r="CY208" s="41">
        <f>AW208</f>
        <v>0</v>
      </c>
      <c r="CZ208" s="211">
        <f>AY208</f>
        <v>0</v>
      </c>
      <c r="DA208" s="41">
        <f>BA208</f>
        <v>0</v>
      </c>
      <c r="DB208" s="41">
        <f>BC208</f>
        <v>0</v>
      </c>
      <c r="DC208" s="41">
        <f>BE208</f>
        <v>0</v>
      </c>
      <c r="DD208" s="41">
        <f>BG208</f>
        <v>0</v>
      </c>
      <c r="DE208" s="41">
        <f>BI208</f>
        <v>0</v>
      </c>
      <c r="DF208" s="41">
        <f>BK208</f>
        <v>0</v>
      </c>
      <c r="DG208" s="41">
        <f>BM208</f>
        <v>0</v>
      </c>
      <c r="DH208" s="41">
        <f>BO208</f>
        <v>0</v>
      </c>
      <c r="DI208" s="41">
        <f>BQ208</f>
        <v>0</v>
      </c>
    </row>
    <row r="209" spans="1:113" ht="12" outlineLevel="1">
      <c r="A209" s="1" t="s">
        <v>1059</v>
      </c>
      <c r="B209" s="15" t="s">
        <v>436</v>
      </c>
      <c r="C209" s="40">
        <f>C210-4774</f>
        <v>11036</v>
      </c>
      <c r="D209" s="40">
        <f>D210-5064</f>
        <v>9368.2900000000009</v>
      </c>
      <c r="E209" s="40">
        <f t="shared" ref="E209:L209" si="2351">E210-0</f>
        <v>13054.58</v>
      </c>
      <c r="F209" s="40">
        <f t="shared" si="2351"/>
        <v>13547.764999999999</v>
      </c>
      <c r="G209" s="40">
        <f t="shared" si="2351"/>
        <v>14040.949999999999</v>
      </c>
      <c r="H209" s="40">
        <f t="shared" si="2351"/>
        <v>14536.829999999998</v>
      </c>
      <c r="I209" s="40">
        <f t="shared" si="2351"/>
        <v>15032.71</v>
      </c>
      <c r="J209" s="40">
        <f t="shared" si="2351"/>
        <v>15281.875</v>
      </c>
      <c r="K209" s="40">
        <f t="shared" si="2351"/>
        <v>15531.039999999999</v>
      </c>
      <c r="L209" s="40">
        <f t="shared" si="2351"/>
        <v>16528.189999999999</v>
      </c>
      <c r="M209" s="40">
        <v>0</v>
      </c>
      <c r="N209" s="40">
        <v>0</v>
      </c>
      <c r="O209" s="40">
        <v>0</v>
      </c>
      <c r="P209" s="40">
        <v>0</v>
      </c>
      <c r="Q209" s="40">
        <v>0</v>
      </c>
      <c r="R209" s="40">
        <v>0</v>
      </c>
      <c r="S209" s="40">
        <v>0</v>
      </c>
      <c r="T209" s="40">
        <f>T210-28332-5610</f>
        <v>10666</v>
      </c>
      <c r="U209" s="40">
        <f>U210-28981-5448</f>
        <v>10064</v>
      </c>
      <c r="V209" s="40">
        <f>V210-29718-5501</f>
        <v>10237</v>
      </c>
      <c r="W209" s="40">
        <f>W210-27503-5033</f>
        <v>16121</v>
      </c>
      <c r="X209" s="40">
        <f>X210-29003-4528</f>
        <v>17450</v>
      </c>
      <c r="Y209" s="40">
        <f>Y210-29537-3949</f>
        <v>18181</v>
      </c>
      <c r="Z209" s="141">
        <f>Z210-31087-3730</f>
        <v>19988</v>
      </c>
      <c r="AA209" s="141">
        <f>AA210-32388-3511</f>
        <v>22679</v>
      </c>
      <c r="AB209" s="141">
        <f>AB210-33402-3334</f>
        <v>24916</v>
      </c>
      <c r="AC209" s="141">
        <f>AC210-34554-3181</f>
        <v>23676</v>
      </c>
      <c r="AD209" s="141">
        <f>AD210-36820-3489</f>
        <v>28096</v>
      </c>
      <c r="AE209" s="141">
        <f>AE210-35401-3291</f>
        <v>26700</v>
      </c>
      <c r="AF209" s="141">
        <f>AF210-35159-3265</f>
        <v>8206</v>
      </c>
      <c r="AG209" s="141">
        <f>AG210-36145-3333</f>
        <v>8773</v>
      </c>
      <c r="AH209" s="141">
        <f t="shared" ref="AH209:AX209" si="2352">AH210</f>
        <v>27258</v>
      </c>
      <c r="AI209" s="141">
        <f t="shared" si="2352"/>
        <v>28925</v>
      </c>
      <c r="AJ209" s="141">
        <f t="shared" si="2352"/>
        <v>30596</v>
      </c>
      <c r="AK209" s="141">
        <f t="shared" si="2352"/>
        <v>30734</v>
      </c>
      <c r="AL209" s="141">
        <f t="shared" si="2352"/>
        <v>33816</v>
      </c>
      <c r="AM209" s="141">
        <f t="shared" si="2352"/>
        <v>35754</v>
      </c>
      <c r="AN209" s="141">
        <f t="shared" si="2352"/>
        <v>31653</v>
      </c>
      <c r="AO209" s="141">
        <f t="shared" si="2352"/>
        <v>32608</v>
      </c>
      <c r="AP209" s="141">
        <f t="shared" si="2352"/>
        <v>33495</v>
      </c>
      <c r="AQ209" s="141">
        <f t="shared" si="2352"/>
        <v>37280</v>
      </c>
      <c r="AR209" s="141">
        <f t="shared" si="2352"/>
        <v>34719</v>
      </c>
      <c r="AS209" s="141">
        <f t="shared" si="2352"/>
        <v>30324</v>
      </c>
      <c r="AT209" s="141">
        <f t="shared" si="2352"/>
        <v>34580</v>
      </c>
      <c r="AU209" s="141">
        <f t="shared" si="2352"/>
        <v>34545</v>
      </c>
      <c r="AV209" s="141">
        <f t="shared" si="2352"/>
        <v>37159</v>
      </c>
      <c r="AW209" s="141">
        <f t="shared" si="2352"/>
        <v>36448</v>
      </c>
      <c r="AX209" s="141">
        <f t="shared" si="2352"/>
        <v>35328</v>
      </c>
      <c r="AY209" s="226">
        <v>36768</v>
      </c>
      <c r="AZ209" s="41">
        <f t="shared" si="2336"/>
        <v>38066.369999999995</v>
      </c>
      <c r="BA209" s="41">
        <f t="shared" si="2337"/>
        <v>39410.588690624987</v>
      </c>
      <c r="BB209" s="41">
        <f t="shared" si="2338"/>
        <v>40802.275103762673</v>
      </c>
      <c r="BC209" s="41">
        <f t="shared" si="2339"/>
        <v>42243.105443364286</v>
      </c>
      <c r="BD209" s="41">
        <f t="shared" si="2340"/>
        <v>43734.81510433308</v>
      </c>
      <c r="BE209" s="41">
        <f t="shared" si="2341"/>
        <v>45279.200762704837</v>
      </c>
      <c r="BF209" s="41">
        <f t="shared" si="2342"/>
        <v>46878.122539637843</v>
      </c>
      <c r="BG209" s="41">
        <f t="shared" si="2343"/>
        <v>48533.506241818795</v>
      </c>
      <c r="BH209" s="41">
        <f t="shared" si="2343"/>
        <v>50247.345680983017</v>
      </c>
      <c r="BI209" s="41">
        <f t="shared" si="2343"/>
        <v>52021.705075342725</v>
      </c>
      <c r="BJ209" s="41">
        <f t="shared" si="2343"/>
        <v>53858.721535815755</v>
      </c>
      <c r="BK209" s="41">
        <f t="shared" si="2343"/>
        <v>55760.607640049238</v>
      </c>
      <c r="BL209" s="41">
        <f t="shared" si="2344"/>
        <v>57729.654097338469</v>
      </c>
      <c r="BM209" s="41">
        <f t="shared" si="2345"/>
        <v>59768.232507650726</v>
      </c>
      <c r="BN209" s="41">
        <f t="shared" si="2346"/>
        <v>61878.798218077136</v>
      </c>
      <c r="BO209" s="41">
        <f t="shared" si="2347"/>
        <v>64063.893280152974</v>
      </c>
      <c r="BP209" s="41">
        <f t="shared" si="2348"/>
        <v>66326.149511608368</v>
      </c>
      <c r="BQ209" s="41">
        <f t="shared" si="2349"/>
        <v>68668.291666237026</v>
      </c>
      <c r="BR209" s="41"/>
      <c r="BS209" s="40">
        <f t="shared" ref="BS209:BY209" si="2353">BS210-0</f>
        <v>9700</v>
      </c>
      <c r="BT209" s="40">
        <f t="shared" si="2353"/>
        <v>9700</v>
      </c>
      <c r="BU209" s="40">
        <f t="shared" si="2353"/>
        <v>10000</v>
      </c>
      <c r="BV209" s="40">
        <f t="shared" si="2353"/>
        <v>10000</v>
      </c>
      <c r="BW209" s="40">
        <f t="shared" si="2353"/>
        <v>11312</v>
      </c>
      <c r="BX209" s="40">
        <f t="shared" si="2353"/>
        <v>13478</v>
      </c>
      <c r="BY209" s="40">
        <f t="shared" si="2353"/>
        <v>14439</v>
      </c>
      <c r="BZ209" s="40">
        <f>BZ210-4063</f>
        <v>11205</v>
      </c>
      <c r="CA209" s="40">
        <f>CA210-4739</f>
        <v>10807</v>
      </c>
      <c r="CB209" s="40">
        <f>CB210-4774</f>
        <v>14262.009999999998</v>
      </c>
      <c r="CC209" s="41">
        <f>E209</f>
        <v>13054.58</v>
      </c>
      <c r="CD209" s="41">
        <f>G209</f>
        <v>14040.949999999999</v>
      </c>
      <c r="CE209" s="41">
        <f>I209</f>
        <v>15032.71</v>
      </c>
      <c r="CF209" s="41">
        <f>K209</f>
        <v>15531.039999999999</v>
      </c>
      <c r="CG209" s="41">
        <f>M209</f>
        <v>0</v>
      </c>
      <c r="CH209" s="41">
        <f>O209</f>
        <v>0</v>
      </c>
      <c r="CI209" s="41">
        <f>Q209</f>
        <v>0</v>
      </c>
      <c r="CJ209" s="41">
        <f>S209</f>
        <v>0</v>
      </c>
      <c r="CK209" s="41">
        <f>U209</f>
        <v>10064</v>
      </c>
      <c r="CL209" s="41">
        <f>W209</f>
        <v>16121</v>
      </c>
      <c r="CM209" s="41">
        <f>Y209</f>
        <v>18181</v>
      </c>
      <c r="CN209" s="41">
        <f>AA209</f>
        <v>22679</v>
      </c>
      <c r="CO209" s="41">
        <f>AC209</f>
        <v>23676</v>
      </c>
      <c r="CP209" s="41">
        <f>AE209</f>
        <v>26700</v>
      </c>
      <c r="CQ209" s="41">
        <f>AG209</f>
        <v>8773</v>
      </c>
      <c r="CR209" s="41">
        <f>AI209</f>
        <v>28925</v>
      </c>
      <c r="CS209" s="41">
        <f>AK209</f>
        <v>30734</v>
      </c>
      <c r="CT209" s="41">
        <f>AM209</f>
        <v>35754</v>
      </c>
      <c r="CU209" s="41">
        <f>AO209</f>
        <v>32608</v>
      </c>
      <c r="CV209" s="41">
        <f>AQ209</f>
        <v>37280</v>
      </c>
      <c r="CW209" s="41">
        <f>AS209</f>
        <v>30324</v>
      </c>
      <c r="CX209" s="41">
        <f>AU209</f>
        <v>34545</v>
      </c>
      <c r="CY209" s="41">
        <f>AW209</f>
        <v>36448</v>
      </c>
      <c r="CZ209" s="211">
        <f>AY209</f>
        <v>36768</v>
      </c>
      <c r="DA209" s="41">
        <f>BA209</f>
        <v>39410.588690624987</v>
      </c>
      <c r="DB209" s="41">
        <f>BC209</f>
        <v>42243.105443364286</v>
      </c>
      <c r="DC209" s="41">
        <f>BE209</f>
        <v>45279.200762704837</v>
      </c>
      <c r="DD209" s="41">
        <f>BG209</f>
        <v>48533.506241818795</v>
      </c>
      <c r="DE209" s="41">
        <f>BI209</f>
        <v>52021.705075342725</v>
      </c>
      <c r="DF209" s="41">
        <f>BK209</f>
        <v>55760.607640049238</v>
      </c>
      <c r="DG209" s="41">
        <f>BM209</f>
        <v>59768.232507650726</v>
      </c>
      <c r="DH209" s="41">
        <f>BO209</f>
        <v>64063.893280152974</v>
      </c>
      <c r="DI209" s="41">
        <f>BQ209</f>
        <v>68668.291666237026</v>
      </c>
    </row>
    <row r="210" spans="1:113" s="17" customFormat="1" ht="12" outlineLevel="1">
      <c r="A210" s="1" t="s">
        <v>1060</v>
      </c>
      <c r="B210" s="17" t="s">
        <v>387</v>
      </c>
      <c r="C210" s="61">
        <v>15810</v>
      </c>
      <c r="D210" s="384">
        <f>(C210+E210)/2</f>
        <v>14432.29</v>
      </c>
      <c r="E210" s="61">
        <f>26642*0.49</f>
        <v>13054.58</v>
      </c>
      <c r="F210" s="384">
        <f>(E210+G210)/2</f>
        <v>13547.764999999999</v>
      </c>
      <c r="G210" s="61">
        <f>28655*0.49</f>
        <v>14040.949999999999</v>
      </c>
      <c r="H210" s="384">
        <f>(G210+I210)/2</f>
        <v>14536.829999999998</v>
      </c>
      <c r="I210" s="61">
        <f>30679*0.49</f>
        <v>15032.71</v>
      </c>
      <c r="J210" s="384">
        <f>(I210+K210)/2</f>
        <v>15281.875</v>
      </c>
      <c r="K210" s="61">
        <f>31696*0.49</f>
        <v>15531.039999999999</v>
      </c>
      <c r="L210" s="61">
        <f>33731*0.49</f>
        <v>16528.189999999999</v>
      </c>
      <c r="M210" s="61">
        <f>38849*0.49</f>
        <v>19036.009999999998</v>
      </c>
      <c r="N210" s="61">
        <f>43797*0.49</f>
        <v>21460.53</v>
      </c>
      <c r="O210" s="61">
        <f>45993*0.49</f>
        <v>22536.57</v>
      </c>
      <c r="P210" s="61">
        <f>43943*0.49</f>
        <v>21532.07</v>
      </c>
      <c r="Q210" s="61">
        <f>(26726+10490+4674)*0.49</f>
        <v>20526.099999999999</v>
      </c>
      <c r="R210" s="61">
        <f>(21126+9325+3574)*0.49</f>
        <v>16672.25</v>
      </c>
      <c r="S210" s="61">
        <f>40719*0.49</f>
        <v>19952.310000000001</v>
      </c>
      <c r="T210" s="61">
        <v>44608</v>
      </c>
      <c r="U210" s="61">
        <v>44493</v>
      </c>
      <c r="V210" s="61">
        <v>45456</v>
      </c>
      <c r="W210" s="61">
        <v>48657</v>
      </c>
      <c r="X210" s="61">
        <v>50981</v>
      </c>
      <c r="Y210" s="61">
        <v>51667</v>
      </c>
      <c r="Z210" s="194">
        <v>54805</v>
      </c>
      <c r="AA210" s="194">
        <v>58578</v>
      </c>
      <c r="AB210" s="194">
        <v>61652</v>
      </c>
      <c r="AC210" s="194">
        <v>61411</v>
      </c>
      <c r="AD210" s="194">
        <v>68405</v>
      </c>
      <c r="AE210" s="194">
        <v>65392</v>
      </c>
      <c r="AF210" s="194">
        <v>46630</v>
      </c>
      <c r="AG210" s="194">
        <v>48251</v>
      </c>
      <c r="AH210" s="194">
        <v>27258</v>
      </c>
      <c r="AI210" s="194">
        <v>28925</v>
      </c>
      <c r="AJ210" s="194">
        <v>30596</v>
      </c>
      <c r="AK210" s="194">
        <v>30734</v>
      </c>
      <c r="AL210" s="194">
        <v>33816</v>
      </c>
      <c r="AM210" s="194">
        <v>35754</v>
      </c>
      <c r="AN210" s="194">
        <v>31653</v>
      </c>
      <c r="AO210" s="194">
        <v>32608</v>
      </c>
      <c r="AP210" s="194">
        <v>33495</v>
      </c>
      <c r="AQ210" s="194">
        <v>37280</v>
      </c>
      <c r="AR210" s="194">
        <v>34719</v>
      </c>
      <c r="AS210" s="194">
        <v>30324</v>
      </c>
      <c r="AT210" s="194">
        <v>34580</v>
      </c>
      <c r="AU210" s="194">
        <v>34545</v>
      </c>
      <c r="AV210" s="194">
        <v>37159</v>
      </c>
      <c r="AW210" s="194">
        <v>36448</v>
      </c>
      <c r="AX210" s="194">
        <v>35328</v>
      </c>
      <c r="AY210" s="227">
        <v>36768</v>
      </c>
      <c r="AZ210" s="62">
        <f t="shared" ref="AZ210:BA210" si="2354">SUM(AZ208:AZ209)</f>
        <v>38066.369999999995</v>
      </c>
      <c r="BA210" s="62">
        <f t="shared" si="2354"/>
        <v>39410.588690624987</v>
      </c>
      <c r="BB210" s="62">
        <f t="shared" ref="BB210:BC210" si="2355">SUM(BB208:BB209)</f>
        <v>40802.275103762673</v>
      </c>
      <c r="BC210" s="62">
        <f t="shared" si="2355"/>
        <v>42243.105443364286</v>
      </c>
      <c r="BD210" s="62">
        <f t="shared" ref="BD210:BE210" si="2356">SUM(BD208:BD209)</f>
        <v>43734.81510433308</v>
      </c>
      <c r="BE210" s="62">
        <f t="shared" si="2356"/>
        <v>45279.200762704837</v>
      </c>
      <c r="BF210" s="62">
        <f t="shared" ref="BF210:BG210" si="2357">SUM(BF208:BF209)</f>
        <v>46878.122539637843</v>
      </c>
      <c r="BG210" s="62">
        <f t="shared" si="2357"/>
        <v>48533.506241818795</v>
      </c>
      <c r="BH210" s="62">
        <f t="shared" ref="BH210:BI210" si="2358">SUM(BH208:BH209)</f>
        <v>50247.345680983017</v>
      </c>
      <c r="BI210" s="62">
        <f t="shared" si="2358"/>
        <v>52021.705075342725</v>
      </c>
      <c r="BJ210" s="62">
        <f t="shared" ref="BJ210:BK210" si="2359">SUM(BJ208:BJ209)</f>
        <v>53858.721535815755</v>
      </c>
      <c r="BK210" s="62">
        <f t="shared" si="2359"/>
        <v>55760.607640049238</v>
      </c>
      <c r="BL210" s="62">
        <f t="shared" ref="BL210:BM210" si="2360">SUM(BL208:BL209)</f>
        <v>57729.654097338469</v>
      </c>
      <c r="BM210" s="62">
        <f t="shared" si="2360"/>
        <v>59768.232507650726</v>
      </c>
      <c r="BN210" s="62">
        <f t="shared" ref="BN210:BO210" si="2361">SUM(BN208:BN209)</f>
        <v>61878.798218077136</v>
      </c>
      <c r="BO210" s="62">
        <f t="shared" si="2361"/>
        <v>64063.893280152974</v>
      </c>
      <c r="BP210" s="62">
        <f t="shared" ref="BP210:BQ210" si="2362">SUM(BP208:BP209)</f>
        <v>66326.149511608368</v>
      </c>
      <c r="BQ210" s="62">
        <f t="shared" si="2362"/>
        <v>68668.291666237026</v>
      </c>
      <c r="BR210" s="62"/>
      <c r="BS210" s="61">
        <f>9.7*1000</f>
        <v>9700</v>
      </c>
      <c r="BT210" s="61">
        <f>9.7*1000</f>
        <v>9700</v>
      </c>
      <c r="BU210" s="61">
        <f>10*1000</f>
        <v>10000</v>
      </c>
      <c r="BV210" s="61">
        <f>10*1000</f>
        <v>10000</v>
      </c>
      <c r="BW210" s="61">
        <v>11312</v>
      </c>
      <c r="BX210" s="61">
        <v>13478</v>
      </c>
      <c r="BY210" s="61">
        <v>14439</v>
      </c>
      <c r="BZ210" s="61">
        <v>15268</v>
      </c>
      <c r="CA210" s="61">
        <v>15546</v>
      </c>
      <c r="CB210" s="62">
        <f>M210</f>
        <v>19036.009999999998</v>
      </c>
      <c r="CC210" s="62">
        <f>E210</f>
        <v>13054.58</v>
      </c>
      <c r="CD210" s="62">
        <f>G210</f>
        <v>14040.949999999999</v>
      </c>
      <c r="CE210" s="62">
        <f>I210</f>
        <v>15032.71</v>
      </c>
      <c r="CF210" s="62">
        <f>K210</f>
        <v>15531.039999999999</v>
      </c>
      <c r="CG210" s="62">
        <f>M210</f>
        <v>19036.009999999998</v>
      </c>
      <c r="CH210" s="62">
        <f>O210</f>
        <v>22536.57</v>
      </c>
      <c r="CI210" s="62">
        <f>Q210</f>
        <v>20526.099999999999</v>
      </c>
      <c r="CJ210" s="62">
        <f>S210</f>
        <v>19952.310000000001</v>
      </c>
      <c r="CK210" s="62">
        <f>U210</f>
        <v>44493</v>
      </c>
      <c r="CL210" s="62">
        <f>W210</f>
        <v>48657</v>
      </c>
      <c r="CM210" s="62">
        <f>Y210</f>
        <v>51667</v>
      </c>
      <c r="CN210" s="62">
        <f>AA210</f>
        <v>58578</v>
      </c>
      <c r="CO210" s="62">
        <f>AC210</f>
        <v>61411</v>
      </c>
      <c r="CP210" s="62">
        <f>AE210</f>
        <v>65392</v>
      </c>
      <c r="CQ210" s="62">
        <f>AG210</f>
        <v>48251</v>
      </c>
      <c r="CR210" s="62">
        <f>AI210</f>
        <v>28925</v>
      </c>
      <c r="CS210" s="62">
        <f>AK210</f>
        <v>30734</v>
      </c>
      <c r="CT210" s="62">
        <f>AM210</f>
        <v>35754</v>
      </c>
      <c r="CU210" s="62">
        <f>AO210</f>
        <v>32608</v>
      </c>
      <c r="CV210" s="62">
        <f>AQ210</f>
        <v>37280</v>
      </c>
      <c r="CW210" s="62">
        <f>AS210</f>
        <v>30324</v>
      </c>
      <c r="CX210" s="62">
        <f>AU210</f>
        <v>34545</v>
      </c>
      <c r="CY210" s="62">
        <f>AW210</f>
        <v>36448</v>
      </c>
      <c r="CZ210" s="220">
        <f>AY210</f>
        <v>36768</v>
      </c>
      <c r="DA210" s="62">
        <f>BA210</f>
        <v>39410.588690624987</v>
      </c>
      <c r="DB210" s="62">
        <f>BC210</f>
        <v>42243.105443364286</v>
      </c>
      <c r="DC210" s="62">
        <f>BE210</f>
        <v>45279.200762704837</v>
      </c>
      <c r="DD210" s="62">
        <f>BG210</f>
        <v>48533.506241818795</v>
      </c>
      <c r="DE210" s="62">
        <f>BI210</f>
        <v>52021.705075342725</v>
      </c>
      <c r="DF210" s="62">
        <f>BK210</f>
        <v>55760.607640049238</v>
      </c>
      <c r="DG210" s="62">
        <f>BM210</f>
        <v>59768.232507650726</v>
      </c>
      <c r="DH210" s="62">
        <f>BO210</f>
        <v>64063.893280152974</v>
      </c>
      <c r="DI210" s="62">
        <f>BQ210</f>
        <v>68668.291666237026</v>
      </c>
    </row>
    <row r="211" spans="1:113" ht="12">
      <c r="C211" s="41"/>
      <c r="D211" s="41"/>
      <c r="E211" s="41"/>
      <c r="F211" s="41"/>
      <c r="G211" s="41"/>
      <c r="H211" s="41"/>
      <c r="I211" s="41"/>
      <c r="J211" s="41"/>
      <c r="K211" s="41"/>
      <c r="L211" s="41"/>
      <c r="M211" s="41"/>
      <c r="N211" s="41"/>
      <c r="O211" s="41"/>
      <c r="P211" s="41"/>
      <c r="Q211" s="41"/>
      <c r="R211" s="41"/>
      <c r="S211" s="41"/>
      <c r="T211" s="41"/>
      <c r="U211" s="41"/>
      <c r="V211" s="41"/>
      <c r="W211" s="41"/>
      <c r="X211" s="41"/>
      <c r="Y211" s="41"/>
      <c r="Z211" s="41"/>
      <c r="AA211" s="41"/>
      <c r="AB211" s="41"/>
      <c r="AC211" s="41"/>
      <c r="AD211" s="41"/>
      <c r="AE211" s="41"/>
      <c r="AF211" s="37"/>
      <c r="AG211" s="41"/>
      <c r="AH211" s="41"/>
      <c r="AI211" s="41"/>
      <c r="AJ211" s="41"/>
      <c r="AK211" s="41"/>
      <c r="AL211" s="41"/>
      <c r="AM211" s="41"/>
      <c r="AN211" s="41"/>
      <c r="AO211" s="41"/>
      <c r="AP211" s="41"/>
      <c r="AQ211" s="41"/>
      <c r="AR211" s="41"/>
      <c r="AS211" s="41"/>
      <c r="AT211" s="41"/>
      <c r="AU211" s="41"/>
      <c r="AV211" s="41"/>
      <c r="AW211" s="41"/>
      <c r="AX211" s="41"/>
      <c r="AY211" s="211"/>
      <c r="AZ211" s="41"/>
      <c r="BA211" s="41"/>
      <c r="BB211" s="41"/>
      <c r="BC211" s="41"/>
      <c r="BD211" s="41"/>
      <c r="BE211" s="41"/>
      <c r="BF211" s="41"/>
      <c r="BG211" s="41"/>
      <c r="BH211" s="41"/>
      <c r="BI211" s="41"/>
      <c r="BJ211" s="41"/>
      <c r="BK211" s="41"/>
      <c r="BL211" s="41"/>
      <c r="BM211" s="41"/>
      <c r="BN211" s="41"/>
      <c r="BO211" s="41"/>
      <c r="BP211" s="41"/>
      <c r="BQ211" s="41"/>
      <c r="BR211" s="41"/>
      <c r="BS211" s="41"/>
      <c r="BT211" s="41"/>
      <c r="BU211" s="41"/>
      <c r="BV211" s="41"/>
      <c r="BW211" s="41"/>
      <c r="BX211" s="41"/>
      <c r="BY211" s="41"/>
      <c r="BZ211" s="41"/>
      <c r="CA211" s="41"/>
      <c r="CB211" s="41"/>
      <c r="CC211" s="41"/>
      <c r="CD211" s="41"/>
      <c r="CE211" s="41"/>
      <c r="CF211" s="41"/>
      <c r="CG211" s="41"/>
      <c r="CH211" s="41"/>
      <c r="CI211" s="41"/>
      <c r="CJ211" s="41"/>
      <c r="CK211" s="41"/>
      <c r="CL211" s="41"/>
      <c r="CM211" s="41"/>
      <c r="CN211" s="41"/>
      <c r="CO211" s="41"/>
      <c r="CP211" s="41"/>
      <c r="CQ211" s="41"/>
      <c r="CR211" s="41"/>
      <c r="CS211" s="41"/>
      <c r="CT211" s="41"/>
      <c r="CU211" s="41"/>
      <c r="CV211" s="41"/>
      <c r="CW211" s="41"/>
      <c r="CX211" s="41"/>
      <c r="CY211" s="41"/>
      <c r="CZ211" s="211"/>
      <c r="DA211" s="41"/>
      <c r="DB211" s="15"/>
      <c r="DC211" s="15"/>
      <c r="DD211" s="15"/>
      <c r="DE211" s="15"/>
      <c r="DF211" s="15"/>
      <c r="DG211" s="15"/>
      <c r="DH211" s="15"/>
      <c r="DI211" s="15"/>
    </row>
    <row r="212" spans="1:113" s="26" customFormat="1" ht="12" collapsed="1">
      <c r="A212" s="1" t="s">
        <v>1061</v>
      </c>
      <c r="B212" s="2" t="s">
        <v>388</v>
      </c>
      <c r="C212" s="60">
        <f t="shared" ref="C212:L212" si="2363">C239</f>
        <v>141502</v>
      </c>
      <c r="D212" s="60">
        <f t="shared" si="2363"/>
        <v>143948</v>
      </c>
      <c r="E212" s="60">
        <f t="shared" si="2363"/>
        <v>147880</v>
      </c>
      <c r="F212" s="60">
        <f t="shared" si="2363"/>
        <v>159152</v>
      </c>
      <c r="G212" s="60">
        <f t="shared" si="2363"/>
        <v>165141</v>
      </c>
      <c r="H212" s="60">
        <f t="shared" si="2363"/>
        <v>199086</v>
      </c>
      <c r="I212" s="60">
        <f t="shared" si="2363"/>
        <v>225220</v>
      </c>
      <c r="J212" s="60">
        <f t="shared" si="2363"/>
        <v>244906</v>
      </c>
      <c r="K212" s="60">
        <f t="shared" si="2363"/>
        <v>261414</v>
      </c>
      <c r="L212" s="60">
        <f t="shared" si="2363"/>
        <v>294364</v>
      </c>
      <c r="M212" s="60">
        <f t="shared" ref="M212:AG212" si="2364">M239</f>
        <v>305962</v>
      </c>
      <c r="N212" s="60">
        <f t="shared" si="2364"/>
        <v>323667</v>
      </c>
      <c r="O212" s="60">
        <f t="shared" si="2364"/>
        <v>343005</v>
      </c>
      <c r="P212" s="60">
        <f t="shared" si="2364"/>
        <v>378814</v>
      </c>
      <c r="Q212" s="60">
        <f t="shared" si="2364"/>
        <v>402736</v>
      </c>
      <c r="R212" s="60">
        <f t="shared" si="2364"/>
        <v>435103</v>
      </c>
      <c r="S212" s="60">
        <f t="shared" si="2364"/>
        <v>419867</v>
      </c>
      <c r="T212" s="60">
        <f t="shared" si="2364"/>
        <v>428636</v>
      </c>
      <c r="U212" s="60">
        <f t="shared" si="2364"/>
        <v>449861</v>
      </c>
      <c r="V212" s="60">
        <f t="shared" si="2364"/>
        <v>458029</v>
      </c>
      <c r="W212" s="60">
        <f t="shared" si="2364"/>
        <v>476814</v>
      </c>
      <c r="X212" s="60">
        <f t="shared" si="2364"/>
        <v>508762</v>
      </c>
      <c r="Y212" s="60">
        <f>Y239</f>
        <v>538161</v>
      </c>
      <c r="Z212" s="60">
        <f t="shared" si="2364"/>
        <v>556264</v>
      </c>
      <c r="AA212" s="60">
        <f t="shared" si="2364"/>
        <v>595998</v>
      </c>
      <c r="AB212" s="60">
        <f t="shared" si="2364"/>
        <v>632400</v>
      </c>
      <c r="AC212" s="60">
        <f t="shared" si="2364"/>
        <v>661515</v>
      </c>
      <c r="AD212" s="60">
        <f t="shared" si="2364"/>
        <v>702203</v>
      </c>
      <c r="AE212" s="60">
        <f t="shared" ref="AE212:AF212" si="2365">AE239</f>
        <v>731739</v>
      </c>
      <c r="AF212" s="60">
        <f t="shared" si="2365"/>
        <v>731395</v>
      </c>
      <c r="AG212" s="60">
        <f t="shared" si="2364"/>
        <v>730275</v>
      </c>
      <c r="AH212" s="60">
        <f t="shared" ref="AH212:AI212" si="2366">AH239</f>
        <v>743906</v>
      </c>
      <c r="AI212" s="60">
        <f t="shared" si="2366"/>
        <v>752073</v>
      </c>
      <c r="AJ212" s="60">
        <f t="shared" ref="AJ212" si="2367">AJ239</f>
        <v>765186</v>
      </c>
      <c r="AK212" s="60">
        <f t="shared" ref="AK212:AP212" si="2368">AK239</f>
        <v>784501</v>
      </c>
      <c r="AL212" s="60">
        <f t="shared" si="2368"/>
        <v>811528</v>
      </c>
      <c r="AM212" s="60">
        <f t="shared" si="2368"/>
        <v>814832</v>
      </c>
      <c r="AN212" s="60">
        <f t="shared" si="2368"/>
        <v>856651</v>
      </c>
      <c r="AO212" s="60">
        <f t="shared" si="2368"/>
        <v>869110</v>
      </c>
      <c r="AP212" s="60">
        <f t="shared" si="2368"/>
        <v>857524</v>
      </c>
      <c r="AQ212" s="60">
        <f t="shared" ref="AQ212:AR212" si="2369">AQ239</f>
        <v>869825</v>
      </c>
      <c r="AR212" s="60">
        <f t="shared" si="2369"/>
        <v>899678</v>
      </c>
      <c r="AS212" s="60">
        <f t="shared" ref="AS212:AT212" si="2370">AS239</f>
        <v>920340</v>
      </c>
      <c r="AT212" s="60">
        <f t="shared" si="2370"/>
        <v>972972</v>
      </c>
      <c r="AU212" s="60">
        <f t="shared" ref="AU212:AV212" si="2371">AU239</f>
        <v>977175</v>
      </c>
      <c r="AV212" s="60">
        <f t="shared" si="2371"/>
        <v>1015621</v>
      </c>
      <c r="AW212" s="60">
        <f t="shared" ref="AW212:AX212" si="2372">AW239</f>
        <v>1031611</v>
      </c>
      <c r="AX212" s="60">
        <f t="shared" si="2372"/>
        <v>1142128</v>
      </c>
      <c r="AY212" s="219">
        <f>AY239</f>
        <v>1177153</v>
      </c>
      <c r="AZ212" s="60">
        <f t="shared" ref="AZ212:BA212" si="2373">AZ239</f>
        <v>1194061.1921367832</v>
      </c>
      <c r="BA212" s="60">
        <f t="shared" si="2373"/>
        <v>1213579.2865731912</v>
      </c>
      <c r="BB212" s="60">
        <f t="shared" ref="BB212:BC212" si="2374">BB239</f>
        <v>1229722.0398154487</v>
      </c>
      <c r="BC212" s="60">
        <f t="shared" si="2374"/>
        <v>1248895.8192393433</v>
      </c>
      <c r="BD212" s="60">
        <f t="shared" ref="BD212:BE212" si="2375">BD239</f>
        <v>1270515.3731107337</v>
      </c>
      <c r="BE212" s="60">
        <f t="shared" si="2375"/>
        <v>1292280.5773370189</v>
      </c>
      <c r="BF212" s="60">
        <f t="shared" ref="BF212:BG212" si="2376">BF239</f>
        <v>1313727.4241874733</v>
      </c>
      <c r="BG212" s="60">
        <f t="shared" si="2376"/>
        <v>1334296.3058475591</v>
      </c>
      <c r="BH212" s="60">
        <f t="shared" ref="BH212:BI212" si="2377">BH239</f>
        <v>1357105.4160026924</v>
      </c>
      <c r="BI212" s="60">
        <f t="shared" si="2377"/>
        <v>1381842.0915120025</v>
      </c>
      <c r="BJ212" s="60">
        <f t="shared" ref="BJ212:BK212" si="2378">BJ239</f>
        <v>1407358.558217081</v>
      </c>
      <c r="BK212" s="60">
        <f t="shared" si="2378"/>
        <v>1433965.690673504</v>
      </c>
      <c r="BL212" s="60">
        <f t="shared" ref="BL212:BM212" si="2379">BL239</f>
        <v>1460620.6422439239</v>
      </c>
      <c r="BM212" s="60">
        <f t="shared" si="2379"/>
        <v>1487814.9556971129</v>
      </c>
      <c r="BN212" s="60">
        <f t="shared" ref="BN212:BO212" si="2380">BN239</f>
        <v>1516396.7953352381</v>
      </c>
      <c r="BO212" s="60">
        <f t="shared" si="2380"/>
        <v>1546389.7007156245</v>
      </c>
      <c r="BP212" s="60">
        <f t="shared" ref="BP212:BQ212" si="2381">BP239</f>
        <v>1577677.289175469</v>
      </c>
      <c r="BQ212" s="60">
        <f t="shared" si="2381"/>
        <v>1610313.3552057077</v>
      </c>
      <c r="BR212" s="60"/>
      <c r="BS212" s="60">
        <f t="shared" ref="BS212:CB212" si="2382">BS239</f>
        <v>81611.8</v>
      </c>
      <c r="BT212" s="60">
        <f t="shared" si="2382"/>
        <v>82595</v>
      </c>
      <c r="BU212" s="60">
        <f t="shared" si="2382"/>
        <v>83457</v>
      </c>
      <c r="BV212" s="60">
        <f t="shared" si="2382"/>
        <v>90912</v>
      </c>
      <c r="BW212" s="60">
        <f t="shared" si="2382"/>
        <v>99731</v>
      </c>
      <c r="BX212" s="60">
        <f t="shared" si="2382"/>
        <v>113242</v>
      </c>
      <c r="BY212" s="60">
        <f t="shared" si="2382"/>
        <v>119728</v>
      </c>
      <c r="BZ212" s="60">
        <f t="shared" si="2382"/>
        <v>120191</v>
      </c>
      <c r="CA212" s="60">
        <f t="shared" si="2382"/>
        <v>133158</v>
      </c>
      <c r="CB212" s="60">
        <f t="shared" si="2382"/>
        <v>139301</v>
      </c>
      <c r="CC212" s="60">
        <f t="shared" ref="CC212:CO212" si="2383">CC239</f>
        <v>145908.61369863016</v>
      </c>
      <c r="CD212" s="60">
        <f t="shared" si="2383"/>
        <v>162138.29589041098</v>
      </c>
      <c r="CE212" s="60">
        <f t="shared" si="2383"/>
        <v>212153</v>
      </c>
      <c r="CF212" s="60">
        <f t="shared" si="2383"/>
        <v>253137.38630136987</v>
      </c>
      <c r="CG212" s="60">
        <f t="shared" si="2383"/>
        <v>300706</v>
      </c>
      <c r="CH212" s="60">
        <f t="shared" si="2383"/>
        <v>333361</v>
      </c>
      <c r="CI212" s="60">
        <f t="shared" si="2383"/>
        <v>390775</v>
      </c>
      <c r="CJ212" s="60">
        <f t="shared" si="2383"/>
        <v>427464</v>
      </c>
      <c r="CK212" s="60">
        <f t="shared" si="2383"/>
        <v>439277</v>
      </c>
      <c r="CL212" s="60">
        <f t="shared" si="2383"/>
        <v>474302</v>
      </c>
      <c r="CM212" s="60">
        <f t="shared" si="2383"/>
        <v>523461</v>
      </c>
      <c r="CN212" s="60">
        <f t="shared" si="2383"/>
        <v>575339</v>
      </c>
      <c r="CO212" s="60">
        <f t="shared" si="2383"/>
        <v>646997</v>
      </c>
      <c r="CP212" s="60">
        <f t="shared" ref="CP212:CX212" si="2384">CP239</f>
        <v>717012</v>
      </c>
      <c r="CQ212" s="60">
        <f t="shared" si="2384"/>
        <v>730835</v>
      </c>
      <c r="CR212" s="60">
        <f t="shared" si="2384"/>
        <v>748000</v>
      </c>
      <c r="CS212" s="60">
        <f t="shared" si="2384"/>
        <v>774884</v>
      </c>
      <c r="CT212" s="60">
        <f t="shared" si="2384"/>
        <v>813219</v>
      </c>
      <c r="CU212" s="60">
        <f t="shared" si="2384"/>
        <v>862882</v>
      </c>
      <c r="CV212" s="60">
        <f t="shared" si="2384"/>
        <v>863691</v>
      </c>
      <c r="CW212" s="60">
        <f t="shared" si="2384"/>
        <v>910037</v>
      </c>
      <c r="CX212" s="60">
        <f t="shared" si="2384"/>
        <v>975079</v>
      </c>
      <c r="CY212" s="60">
        <f t="shared" ref="CY212:DD212" si="2385">CY239</f>
        <v>1023616</v>
      </c>
      <c r="CZ212" s="219">
        <f t="shared" si="2385"/>
        <v>1159688</v>
      </c>
      <c r="DA212" s="60">
        <f t="shared" si="2385"/>
        <v>1203846.9764706534</v>
      </c>
      <c r="DB212" s="60">
        <f t="shared" si="2385"/>
        <v>1239335.1949786616</v>
      </c>
      <c r="DC212" s="60">
        <f t="shared" si="2385"/>
        <v>1281397.9752238763</v>
      </c>
      <c r="DD212" s="60">
        <f t="shared" si="2385"/>
        <v>1324040.0415677354</v>
      </c>
      <c r="DE212" s="60">
        <f t="shared" ref="DE212" si="2386">DE239</f>
        <v>1369507.6396142095</v>
      </c>
      <c r="DF212" s="60">
        <f t="shared" ref="DF212" si="2387">DF239</f>
        <v>1420698.5725719451</v>
      </c>
      <c r="DG212" s="60">
        <f>DG239</f>
        <v>1474217.7989705186</v>
      </c>
      <c r="DH212" s="60">
        <f>DH239</f>
        <v>1531434.3341971855</v>
      </c>
      <c r="DI212" s="60">
        <f>DI239</f>
        <v>1594040.0291303557</v>
      </c>
    </row>
    <row r="213" spans="1:113" ht="12" outlineLevel="1">
      <c r="C213" s="41"/>
      <c r="D213" s="41"/>
      <c r="E213" s="41"/>
      <c r="F213" s="41"/>
      <c r="G213" s="41"/>
      <c r="H213" s="41"/>
      <c r="I213" s="41"/>
      <c r="J213" s="41"/>
      <c r="K213" s="41"/>
      <c r="L213" s="41"/>
      <c r="M213" s="41"/>
      <c r="N213" s="41"/>
      <c r="O213" s="41"/>
      <c r="P213" s="41"/>
      <c r="Q213" s="41"/>
      <c r="R213" s="41"/>
      <c r="S213" s="41"/>
      <c r="T213" s="41"/>
      <c r="U213" s="41"/>
      <c r="V213" s="41"/>
      <c r="W213" s="41"/>
      <c r="X213" s="41"/>
      <c r="Y213" s="41"/>
      <c r="Z213" s="41"/>
      <c r="AA213" s="41"/>
      <c r="AB213" s="41"/>
      <c r="AC213" s="41"/>
      <c r="AD213" s="41"/>
      <c r="AE213" s="41"/>
      <c r="AF213" s="41"/>
      <c r="AG213" s="41"/>
      <c r="AH213" s="41"/>
      <c r="AI213" s="41"/>
      <c r="AJ213" s="41"/>
      <c r="AK213" s="41"/>
      <c r="AL213" s="41"/>
      <c r="AM213" s="41"/>
      <c r="AN213" s="41"/>
      <c r="AO213" s="41"/>
      <c r="AP213" s="41"/>
      <c r="AQ213" s="41"/>
      <c r="AR213" s="41"/>
      <c r="AS213" s="32"/>
      <c r="AT213" s="32"/>
      <c r="AU213" s="32"/>
      <c r="AV213" s="32"/>
      <c r="AW213" s="32"/>
      <c r="AX213" s="562"/>
      <c r="AY213" s="563"/>
      <c r="AZ213" s="562"/>
      <c r="BA213" s="562"/>
      <c r="BB213" s="562"/>
      <c r="BC213" s="562"/>
      <c r="BD213" s="562"/>
      <c r="BE213" s="562"/>
      <c r="BF213" s="562"/>
      <c r="BG213" s="562"/>
      <c r="BH213" s="562"/>
      <c r="BI213" s="562"/>
      <c r="BJ213" s="41"/>
      <c r="BK213" s="41"/>
      <c r="BL213" s="41"/>
      <c r="BM213" s="41"/>
      <c r="BN213" s="41"/>
      <c r="BO213" s="41"/>
      <c r="BP213" s="41"/>
      <c r="BQ213" s="41"/>
      <c r="BR213" s="41"/>
      <c r="BS213" s="41"/>
      <c r="BT213" s="41"/>
      <c r="BU213" s="41"/>
      <c r="BV213" s="41"/>
      <c r="BW213" s="41"/>
      <c r="BX213" s="41"/>
      <c r="BY213" s="41"/>
      <c r="BZ213" s="41"/>
      <c r="CA213" s="41"/>
      <c r="CB213" s="41"/>
      <c r="CC213" s="41"/>
      <c r="CD213" s="41"/>
      <c r="CE213" s="41"/>
      <c r="CF213" s="41"/>
      <c r="CG213" s="41"/>
      <c r="CH213" s="41"/>
      <c r="CI213" s="41"/>
      <c r="CJ213" s="41"/>
      <c r="CK213" s="41"/>
      <c r="CL213" s="41"/>
      <c r="CM213" s="41"/>
      <c r="CN213" s="41"/>
      <c r="CO213" s="41"/>
      <c r="CP213" s="41"/>
      <c r="CQ213" s="32"/>
      <c r="CR213" s="32"/>
      <c r="CS213" s="41"/>
      <c r="CT213" s="32"/>
      <c r="CU213" s="32"/>
      <c r="CV213" s="32"/>
      <c r="CW213" s="32"/>
      <c r="CX213" s="32"/>
      <c r="CY213" s="32"/>
      <c r="CZ213" s="31"/>
      <c r="DA213" s="30"/>
      <c r="DB213" s="15"/>
      <c r="DC213" s="15"/>
      <c r="DD213" s="15"/>
      <c r="DE213" s="15"/>
      <c r="DF213" s="15"/>
      <c r="DG213" s="15"/>
      <c r="DH213" s="15"/>
      <c r="DI213" s="15"/>
    </row>
    <row r="214" spans="1:113" s="17" customFormat="1" ht="12" outlineLevel="1">
      <c r="A214" s="1"/>
      <c r="B214" s="17" t="s">
        <v>442</v>
      </c>
      <c r="C214" s="62"/>
      <c r="D214" s="62"/>
      <c r="E214" s="62"/>
      <c r="F214" s="62"/>
      <c r="G214" s="62"/>
      <c r="H214" s="62"/>
      <c r="I214" s="62"/>
      <c r="J214" s="62"/>
      <c r="K214" s="62"/>
      <c r="L214" s="62"/>
      <c r="M214" s="62"/>
      <c r="N214" s="62"/>
      <c r="O214" s="62"/>
      <c r="P214" s="62"/>
      <c r="Q214" s="62"/>
      <c r="R214" s="62"/>
      <c r="S214" s="62"/>
      <c r="T214" s="62"/>
      <c r="U214" s="62"/>
      <c r="V214" s="62"/>
      <c r="W214" s="62"/>
      <c r="X214" s="62"/>
      <c r="Y214" s="62"/>
      <c r="Z214" s="62"/>
      <c r="AA214" s="62"/>
      <c r="AB214" s="62"/>
      <c r="AC214" s="62"/>
      <c r="AD214" s="62"/>
      <c r="AE214" s="62"/>
      <c r="AF214" s="62"/>
      <c r="AG214" s="62"/>
      <c r="AH214" s="62"/>
      <c r="AI214" s="62"/>
      <c r="AJ214" s="62"/>
      <c r="AK214" s="62"/>
      <c r="AL214" s="62"/>
      <c r="AM214" s="62"/>
      <c r="AN214" s="62"/>
      <c r="AO214" s="62"/>
      <c r="AP214" s="62"/>
      <c r="AQ214" s="62"/>
      <c r="AR214" s="62"/>
      <c r="AS214" s="62"/>
      <c r="AT214" s="62"/>
      <c r="AU214" s="62"/>
      <c r="AV214" s="62"/>
      <c r="AW214" s="62"/>
      <c r="AX214" s="562"/>
      <c r="AY214" s="563"/>
      <c r="AZ214" s="562"/>
      <c r="BA214" s="562"/>
      <c r="BB214" s="562"/>
      <c r="BC214" s="562"/>
      <c r="BD214" s="562"/>
      <c r="BE214" s="562"/>
      <c r="BF214" s="562"/>
      <c r="BG214" s="562"/>
      <c r="BH214" s="562"/>
      <c r="BI214" s="562"/>
      <c r="BJ214" s="62"/>
      <c r="BK214" s="62"/>
      <c r="BL214" s="62"/>
      <c r="BM214" s="62"/>
      <c r="BN214" s="62"/>
      <c r="BO214" s="62"/>
      <c r="BP214" s="62"/>
      <c r="BQ214" s="62"/>
      <c r="BR214" s="62"/>
      <c r="BS214" s="62"/>
      <c r="BT214" s="62"/>
      <c r="BU214" s="62"/>
      <c r="BV214" s="62"/>
      <c r="BW214" s="62"/>
      <c r="BX214" s="62"/>
      <c r="BY214" s="62"/>
      <c r="BZ214" s="62"/>
      <c r="CA214" s="62"/>
      <c r="CB214" s="62"/>
      <c r="CC214" s="62"/>
      <c r="CD214" s="62"/>
      <c r="CE214" s="62"/>
      <c r="CF214" s="62"/>
      <c r="CG214" s="62"/>
      <c r="CH214" s="62"/>
      <c r="CI214" s="62"/>
      <c r="CJ214" s="62"/>
      <c r="CK214" s="62"/>
      <c r="CL214" s="62"/>
      <c r="CM214" s="62"/>
      <c r="CN214" s="62"/>
      <c r="CO214" s="62"/>
      <c r="CP214" s="62"/>
      <c r="CQ214" s="62"/>
      <c r="CR214" s="41"/>
      <c r="CS214" s="62"/>
      <c r="CT214" s="62"/>
      <c r="CU214" s="62"/>
      <c r="CV214" s="62"/>
      <c r="CW214" s="62"/>
      <c r="CX214" s="62"/>
      <c r="CY214" s="62"/>
      <c r="CZ214" s="220"/>
      <c r="DA214" s="62"/>
    </row>
    <row r="215" spans="1:113" ht="12" outlineLevel="1">
      <c r="A215" s="1" t="s">
        <v>191</v>
      </c>
      <c r="B215" s="15" t="s">
        <v>164</v>
      </c>
      <c r="C215" s="41">
        <f t="shared" ref="C215:L215" si="2388">C$219*AVERAGE(B157:C157)/AVERAGE(SUM(B$161,B$179),SUM(C$161,C$179))</f>
        <v>87715.641109206859</v>
      </c>
      <c r="D215" s="41">
        <f t="shared" si="2388"/>
        <v>45776.85109095931</v>
      </c>
      <c r="E215" s="41">
        <f t="shared" si="2388"/>
        <v>49673.939518066974</v>
      </c>
      <c r="F215" s="41">
        <f t="shared" si="2388"/>
        <v>54304.413341141</v>
      </c>
      <c r="G215" s="41">
        <f t="shared" si="2388"/>
        <v>58891.329808884235</v>
      </c>
      <c r="H215" s="41">
        <f t="shared" si="2388"/>
        <v>64831.98371875898</v>
      </c>
      <c r="I215" s="41">
        <f t="shared" si="2388"/>
        <v>72714.364997575176</v>
      </c>
      <c r="J215" s="41">
        <f t="shared" si="2388"/>
        <v>82552.608114308183</v>
      </c>
      <c r="K215" s="41">
        <f t="shared" si="2388"/>
        <v>87665.71842795673</v>
      </c>
      <c r="L215" s="41">
        <f t="shared" si="2388"/>
        <v>92789.705288602156</v>
      </c>
      <c r="M215" s="41">
        <f t="shared" ref="M215:R215" si="2389">M$219*AVERAGE(L157:M157)/AVERAGE(SUM(L$161,L$179),SUM(M$161,M$179))</f>
        <v>98926.138396466675</v>
      </c>
      <c r="N215" s="41">
        <f t="shared" si="2389"/>
        <v>103850.16786812268</v>
      </c>
      <c r="O215" s="41">
        <f t="shared" si="2389"/>
        <v>108458.59656430915</v>
      </c>
      <c r="P215" s="41">
        <f t="shared" si="2389"/>
        <v>116856.23596796178</v>
      </c>
      <c r="Q215" s="41">
        <f t="shared" si="2389"/>
        <v>124510.55627319848</v>
      </c>
      <c r="R215" s="41">
        <f t="shared" si="2389"/>
        <v>133151.48518662536</v>
      </c>
      <c r="S215" s="41">
        <f>S$219*AVERAGE(R157:S157)/AVERAGE(SUM(R$161,R$179),SUM(S$161,S$179))</f>
        <v>137614.98102333536</v>
      </c>
      <c r="T215" s="41">
        <f t="shared" ref="T215:AY215" si="2390">T$219*AVERAGE(S157:T157)/AVERAGE(SUM(S$161,S$179),SUM(T$161,T$179))</f>
        <v>143503.09154044231</v>
      </c>
      <c r="U215" s="41">
        <f t="shared" si="2390"/>
        <v>153191.00555491284</v>
      </c>
      <c r="V215" s="41">
        <f t="shared" si="2390"/>
        <v>163324.66006982754</v>
      </c>
      <c r="W215" s="41">
        <f t="shared" si="2390"/>
        <v>166105.69264307173</v>
      </c>
      <c r="X215" s="41">
        <f t="shared" si="2390"/>
        <v>173664.76768010631</v>
      </c>
      <c r="Y215" s="41">
        <f t="shared" si="2390"/>
        <v>181480.8648164917</v>
      </c>
      <c r="Z215" s="41">
        <f t="shared" si="2390"/>
        <v>184356.5877926847</v>
      </c>
      <c r="AA215" s="41">
        <f t="shared" si="2390"/>
        <v>190585.11367526659</v>
      </c>
      <c r="AB215" s="41">
        <f t="shared" si="2390"/>
        <v>197444.33680980859</v>
      </c>
      <c r="AC215" s="41">
        <f t="shared" si="2390"/>
        <v>208958.896723621</v>
      </c>
      <c r="AD215" s="41">
        <f t="shared" si="2390"/>
        <v>213244.93779874995</v>
      </c>
      <c r="AE215" s="41">
        <f t="shared" si="2390"/>
        <v>225312.64228892894</v>
      </c>
      <c r="AF215" s="41">
        <f t="shared" si="2390"/>
        <v>222576.93421958582</v>
      </c>
      <c r="AG215" s="41">
        <f t="shared" si="2390"/>
        <v>229401.83090401249</v>
      </c>
      <c r="AH215" s="41">
        <f t="shared" si="2390"/>
        <v>234947.40476125223</v>
      </c>
      <c r="AI215" s="41">
        <f t="shared" si="2390"/>
        <v>242844.63600932833</v>
      </c>
      <c r="AJ215" s="41">
        <f t="shared" si="2390"/>
        <v>250086.7332997481</v>
      </c>
      <c r="AK215" s="41">
        <f t="shared" si="2390"/>
        <v>252511.20712722681</v>
      </c>
      <c r="AL215" s="41">
        <f t="shared" si="2390"/>
        <v>254461.89697279091</v>
      </c>
      <c r="AM215" s="41">
        <f t="shared" si="2390"/>
        <v>249961.28277013829</v>
      </c>
      <c r="AN215" s="41">
        <f t="shared" si="2390"/>
        <v>245572.84739085913</v>
      </c>
      <c r="AO215" s="41">
        <f t="shared" si="2390"/>
        <v>250808.27990226654</v>
      </c>
      <c r="AP215" s="41">
        <f t="shared" si="2390"/>
        <v>256402.87473298609</v>
      </c>
      <c r="AQ215" s="41">
        <f t="shared" si="2390"/>
        <v>254524.9400669607</v>
      </c>
      <c r="AR215" s="41">
        <f t="shared" si="2390"/>
        <v>253780.03405983251</v>
      </c>
      <c r="AS215" s="41">
        <f t="shared" si="2390"/>
        <v>253297.66798506549</v>
      </c>
      <c r="AT215" s="41">
        <f t="shared" si="2390"/>
        <v>265897.42861051846</v>
      </c>
      <c r="AU215" s="41">
        <f t="shared" si="2390"/>
        <v>269369.50481143314</v>
      </c>
      <c r="AV215" s="41">
        <f t="shared" si="2390"/>
        <v>280636.65624596359</v>
      </c>
      <c r="AW215" s="41">
        <f t="shared" si="2390"/>
        <v>310660.73345590092</v>
      </c>
      <c r="AX215" s="41">
        <f t="shared" si="2390"/>
        <v>352801.46745641832</v>
      </c>
      <c r="AY215" s="211">
        <f t="shared" si="2390"/>
        <v>361258.19215203659</v>
      </c>
      <c r="AZ215" s="41">
        <f t="shared" ref="AZ215" si="2391">AZ$219*AVERAGE(AY157:AZ157)/AVERAGE(SUM(AY$161,AY$179),SUM(AZ$161,AZ$179))</f>
        <v>369980.7625573423</v>
      </c>
      <c r="BA215" s="41">
        <f t="shared" ref="BA215" si="2392">BA$219*AVERAGE(AZ157:BA157)/AVERAGE(SUM(AZ$161,AZ$179),SUM(BA$161,BA$179))</f>
        <v>378295.79949476541</v>
      </c>
      <c r="BB215" s="41">
        <f t="shared" ref="BB215" si="2393">BB$219*AVERAGE(BA157:BB157)/AVERAGE(SUM(BA$161,BA$179),SUM(BB$161,BB$179))</f>
        <v>386986.64356369525</v>
      </c>
      <c r="BC215" s="41">
        <f t="shared" ref="BC215" si="2394">BC$219*AVERAGE(BB157:BC157)/AVERAGE(SUM(BB$161,BB$179),SUM(BC$161,BC$179))</f>
        <v>397334.72479295457</v>
      </c>
      <c r="BD215" s="41">
        <f t="shared" ref="BD215" si="2395">BD$219*AVERAGE(BC157:BD157)/AVERAGE(SUM(BC$161,BC$179),SUM(BD$161,BD$179))</f>
        <v>408940.97143783793</v>
      </c>
      <c r="BE215" s="41">
        <f t="shared" ref="BE215" si="2396">BE$219*AVERAGE(BD157:BE157)/AVERAGE(SUM(BD$161,BD$179),SUM(BE$161,BE$179))</f>
        <v>420886.23944878014</v>
      </c>
      <c r="BF215" s="41">
        <f t="shared" ref="BF215" si="2397">BF$219*AVERAGE(BE157:BF157)/AVERAGE(SUM(BE$161,BE$179),SUM(BF$161,BF$179))</f>
        <v>432747.29617549147</v>
      </c>
      <c r="BG215" s="41">
        <f t="shared" ref="BG215:BK215" si="2398">BG$219*AVERAGE(BF157:BG157)/AVERAGE(SUM(BF$161,BF$179),SUM(BG$161,BG$179))</f>
        <v>444065.87700435589</v>
      </c>
      <c r="BH215" s="41">
        <f t="shared" si="2398"/>
        <v>454667.90699071152</v>
      </c>
      <c r="BI215" s="41">
        <f t="shared" si="2398"/>
        <v>464374.32920947712</v>
      </c>
      <c r="BJ215" s="41">
        <f t="shared" si="2398"/>
        <v>473708.25322658772</v>
      </c>
      <c r="BK215" s="41">
        <f t="shared" si="2398"/>
        <v>483229.78911644191</v>
      </c>
      <c r="BL215" s="41">
        <f t="shared" ref="BL215" si="2399">BL$219*AVERAGE(BK157:BL157)/AVERAGE(SUM(BK$161,BK$179),SUM(BL$161,BL$179))</f>
        <v>492942.70787768258</v>
      </c>
      <c r="BM215" s="41">
        <f t="shared" ref="BM215" si="2400">BM$219*AVERAGE(BL157:BM157)/AVERAGE(SUM(BL$161,BL$179),SUM(BM$161,BM$179))</f>
        <v>502850.85630602401</v>
      </c>
      <c r="BN215" s="41">
        <f t="shared" ref="BN215" si="2401">BN$219*AVERAGE(BM157:BN157)/AVERAGE(SUM(BM$161,BM$179),SUM(BN$161,BN$179))</f>
        <v>512958.15851777518</v>
      </c>
      <c r="BO215" s="41">
        <f t="shared" ref="BO215" si="2402">BO$219*AVERAGE(BN157:BO157)/AVERAGE(SUM(BN$161,BN$179),SUM(BO$161,BO$179))</f>
        <v>523268.61750398244</v>
      </c>
      <c r="BP215" s="41">
        <f t="shared" ref="BP215" si="2403">BP$219*AVERAGE(BO157:BP157)/AVERAGE(SUM(BO$161,BO$179),SUM(BP$161,BP$179))</f>
        <v>533786.31671581254</v>
      </c>
      <c r="BQ215" s="41">
        <f t="shared" ref="BQ215" si="2404">BQ$219*AVERAGE(BP157:BQ157)/AVERAGE(SUM(BP$161,BP$179),SUM(BQ$161,BQ$179))</f>
        <v>544515.42168180039</v>
      </c>
      <c r="BR215" s="41"/>
      <c r="BS215" s="41">
        <f t="shared" ref="BS215:CB215" si="2405">BS$219*AVERAGE(BR157:BS157)/AVERAGE(SUM(BR$161,BR$179),SUM(BS$161,BS$179))</f>
        <v>24163.566665310798</v>
      </c>
      <c r="BT215" s="41">
        <f t="shared" si="2405"/>
        <v>12287.73790197008</v>
      </c>
      <c r="BU215" s="41">
        <f t="shared" si="2405"/>
        <v>12675.170815393769</v>
      </c>
      <c r="BV215" s="41">
        <f t="shared" si="2405"/>
        <v>13915.359480327232</v>
      </c>
      <c r="BW215" s="41">
        <f t="shared" si="2405"/>
        <v>15012.752475349133</v>
      </c>
      <c r="BX215" s="41">
        <f t="shared" si="2405"/>
        <v>16497.919890032572</v>
      </c>
      <c r="BY215" s="41">
        <f t="shared" si="2405"/>
        <v>18551.467956405075</v>
      </c>
      <c r="BZ215" s="41">
        <f t="shared" si="2405"/>
        <v>23060.506612452769</v>
      </c>
      <c r="CA215" s="41">
        <f t="shared" si="2405"/>
        <v>30211.474526629499</v>
      </c>
      <c r="CB215" s="41">
        <f t="shared" si="2405"/>
        <v>36022.960512303522</v>
      </c>
      <c r="CC215" s="41">
        <f>SUMPRODUCT(D215:E215,D$5:E$5)/SUM(D$5:E$5)</f>
        <v>47720.05682721574</v>
      </c>
      <c r="CD215" s="41">
        <f>SUMPRODUCT(F215:G215,F$5:G$5)/SUM(F$5:G$5)</f>
        <v>56591.588127796531</v>
      </c>
      <c r="CE215" s="41">
        <f>SUMPRODUCT(H215:I215,H$5:I$5)/SUM(H$5:I$5)</f>
        <v>68773.174358167074</v>
      </c>
      <c r="CF215" s="41">
        <f>SUMPRODUCT(J215:K215,J$5:K$5)/SUM(J$5:K$5)</f>
        <v>85102.159010428833</v>
      </c>
      <c r="CG215" s="41">
        <f t="shared" ref="CG215:CV215" si="2406">CG$219*AVERAGE(CF157:CG157)/AVERAGE(SUM(CF$161,CF$179),SUM(CG$161,CG$179))</f>
        <v>96036.823182917855</v>
      </c>
      <c r="CH215" s="41">
        <f t="shared" si="2406"/>
        <v>105736.30028131267</v>
      </c>
      <c r="CI215" s="41">
        <f t="shared" si="2406"/>
        <v>121551.78734671777</v>
      </c>
      <c r="CJ215" s="41">
        <f t="shared" si="2406"/>
        <v>135949.46843979799</v>
      </c>
      <c r="CK215" s="41">
        <f t="shared" si="2406"/>
        <v>148977.06645901827</v>
      </c>
      <c r="CL215" s="41">
        <f t="shared" si="2406"/>
        <v>165571.04225533837</v>
      </c>
      <c r="CM215" s="41">
        <f t="shared" si="2406"/>
        <v>177164.05515985173</v>
      </c>
      <c r="CN215" s="41">
        <f t="shared" si="2406"/>
        <v>187215.59077307204</v>
      </c>
      <c r="CO215" s="41">
        <f t="shared" si="2406"/>
        <v>203623.83948120906</v>
      </c>
      <c r="CP215" s="41">
        <f t="shared" si="2406"/>
        <v>219176.54823031923</v>
      </c>
      <c r="CQ215" s="41">
        <f t="shared" si="2406"/>
        <v>223868.84446872817</v>
      </c>
      <c r="CR215" s="41">
        <f>CR$219*AVERAGE(CQ157:CR157)/AVERAGE(SUM(CQ$161,CQ$179),SUM(CR$161,CR$179))</f>
        <v>238860.91449362651</v>
      </c>
      <c r="CS215" s="41">
        <f t="shared" si="2406"/>
        <v>249860.39524571976</v>
      </c>
      <c r="CT215" s="41">
        <f t="shared" si="2406"/>
        <v>249977.72338424591</v>
      </c>
      <c r="CU215" s="41">
        <f t="shared" si="2406"/>
        <v>254236.06859713403</v>
      </c>
      <c r="CV215" s="41">
        <f t="shared" si="2406"/>
        <v>252983.67283583517</v>
      </c>
      <c r="CW215" s="41">
        <f>(AR215*(AR$3-AQ$3)+AS215*(AS$3-AR$3))/(AS$3-AQ$3)</f>
        <v>253538.19024700412</v>
      </c>
      <c r="CX215" s="41">
        <f>(AT215*(AT$3-AS$3)+AU215*(AU$3-AT$3))/(AU$3-AS$3)</f>
        <v>267638.22297974414</v>
      </c>
      <c r="CY215" s="41">
        <f>(AV215*(AV$3-AU$3)+AW215*(AW$3-AV$3))/(AW$3-AU$3)</f>
        <v>295648.69485093228</v>
      </c>
      <c r="CZ215" s="211">
        <f>(AX215*(AX$3-AW$3)+AY215*(AY$3-AX$3))/(AY$3-AW$3)</f>
        <v>357041.41435860499</v>
      </c>
      <c r="DA215" s="41">
        <f>(AZ215*(AZ$3-AY$3)+BA215*(BA$3-AZ$3))/(BA$3-AY$3)</f>
        <v>374149.67148761195</v>
      </c>
      <c r="DB215" s="41">
        <f>(BB215*(BB$3-BA$3)+BC215*(BC$3-BB$3))/(BC$3-BA$3)</f>
        <v>392174.85963206354</v>
      </c>
      <c r="DC215" s="41">
        <f>(BD215*(BD$3-BC$3)+BE215*(BE$3-BD$3))/(BE$3-BC$3)</f>
        <v>414913.60544330906</v>
      </c>
      <c r="DD215" s="41">
        <f>(BF215*(BF$3-BE$3)+BG215*(BG$3-BF$3))/(BG$3-BE$3)</f>
        <v>438422.09149516869</v>
      </c>
      <c r="DE215" s="41">
        <f>(BH215*(BH$3-BG$3)+BI215*(BI$3-BH$3))/(BI$3-BG$3)</f>
        <v>459534.41456888721</v>
      </c>
      <c r="DF215" s="41">
        <f>(BJ215*(BJ$3-BI$3)+BK215*(BK$3-BJ$3))/(BK$3-BI$3)</f>
        <v>478482.0643713639</v>
      </c>
      <c r="DG215" s="41">
        <f>(BL215*(BL$3-BK$3)+BM215*(BM$3-BL$3))/(BM$3-BK$3)</f>
        <v>497896.78209185333</v>
      </c>
      <c r="DH215" s="41">
        <f>(BN215*(BN$3-BM$3)+BO215*(BO$3-BN$3))/(BO$3-BM$3)</f>
        <v>518127.51192729833</v>
      </c>
      <c r="DI215" s="41">
        <f>(BP215*(BP$3-BO$3)+BQ215*(BQ$3-BP$3))/(BQ$3-BO$3)</f>
        <v>539165.56660286942</v>
      </c>
    </row>
    <row r="216" spans="1:113" ht="12" outlineLevel="1">
      <c r="A216" s="1" t="s">
        <v>395</v>
      </c>
      <c r="B216" s="15" t="s">
        <v>165</v>
      </c>
      <c r="C216" s="41">
        <f t="shared" ref="C216:L216" si="2407">C$219*AVERAGE(SUM(B158,B179),SUM(C158,C179))/AVERAGE(SUM(B$161,B$179),SUM(C$161,C$179))</f>
        <v>36705.759459334673</v>
      </c>
      <c r="D216" s="41">
        <f t="shared" si="2407"/>
        <v>36657.546003783398</v>
      </c>
      <c r="E216" s="41">
        <f t="shared" si="2407"/>
        <v>36446.631637656719</v>
      </c>
      <c r="F216" s="41">
        <f t="shared" si="2407"/>
        <v>37276.271472921828</v>
      </c>
      <c r="G216" s="41">
        <f t="shared" si="2407"/>
        <v>38773.616339921587</v>
      </c>
      <c r="H216" s="41">
        <f t="shared" si="2407"/>
        <v>41323.215997115054</v>
      </c>
      <c r="I216" s="41">
        <f t="shared" si="2407"/>
        <v>41538.811777111441</v>
      </c>
      <c r="J216" s="41">
        <f t="shared" si="2407"/>
        <v>42765.372708702685</v>
      </c>
      <c r="K216" s="41">
        <f t="shared" si="2407"/>
        <v>44978.506847460638</v>
      </c>
      <c r="L216" s="41">
        <f t="shared" si="2407"/>
        <v>46751.455275162465</v>
      </c>
      <c r="M216" s="41">
        <f t="shared" ref="M216:R216" si="2408">M$219*AVERAGE(SUM(L158,L179),SUM(M158,M179))/AVERAGE(SUM(L$161,L$179),SUM(M$161,M$179))</f>
        <v>48548.177014952489</v>
      </c>
      <c r="N216" s="41">
        <f t="shared" si="2408"/>
        <v>50121.484047870239</v>
      </c>
      <c r="O216" s="41">
        <f t="shared" si="2408"/>
        <v>51888.534127326006</v>
      </c>
      <c r="P216" s="41">
        <f t="shared" si="2408"/>
        <v>55287.993279061171</v>
      </c>
      <c r="Q216" s="41">
        <f t="shared" si="2408"/>
        <v>57785.456110911262</v>
      </c>
      <c r="R216" s="41">
        <f t="shared" si="2408"/>
        <v>58987.977727895806</v>
      </c>
      <c r="S216" s="41">
        <f>S$219*AVERAGE(SUM(R158,R179),SUM(S158,S179))/AVERAGE(SUM(R$161,R$179),SUM(S$161,S$179))</f>
        <v>57027.929197464022</v>
      </c>
      <c r="T216" s="41">
        <f t="shared" ref="T216:AY216" si="2409">T$219*AVERAGE(SUM(S158,S179),SUM(T158,T179))/AVERAGE(SUM(S$161,S$179),SUM(T$161,T$179))</f>
        <v>56194.888610381713</v>
      </c>
      <c r="U216" s="41">
        <f t="shared" si="2409"/>
        <v>56806.019371075388</v>
      </c>
      <c r="V216" s="41">
        <f t="shared" si="2409"/>
        <v>52378.573239068581</v>
      </c>
      <c r="W216" s="41">
        <f t="shared" si="2409"/>
        <v>47366.94561686329</v>
      </c>
      <c r="X216" s="41">
        <f t="shared" si="2409"/>
        <v>53629.567738116719</v>
      </c>
      <c r="Y216" s="41">
        <f t="shared" si="2409"/>
        <v>61037.709586157951</v>
      </c>
      <c r="Z216" s="41">
        <f t="shared" si="2409"/>
        <v>63275.752555322899</v>
      </c>
      <c r="AA216" s="41">
        <f t="shared" si="2409"/>
        <v>65070.806585362079</v>
      </c>
      <c r="AB216" s="41">
        <f t="shared" si="2409"/>
        <v>66275.639055017658</v>
      </c>
      <c r="AC216" s="41">
        <f t="shared" si="2409"/>
        <v>69011.9488494744</v>
      </c>
      <c r="AD216" s="41">
        <f t="shared" si="2409"/>
        <v>69231.995861882679</v>
      </c>
      <c r="AE216" s="41">
        <f t="shared" si="2409"/>
        <v>71597.726933111713</v>
      </c>
      <c r="AF216" s="41">
        <f t="shared" si="2409"/>
        <v>65549.695990678461</v>
      </c>
      <c r="AG216" s="41">
        <f t="shared" si="2409"/>
        <v>63374.768507865148</v>
      </c>
      <c r="AH216" s="41">
        <f t="shared" si="2409"/>
        <v>59569.344205399073</v>
      </c>
      <c r="AI216" s="41">
        <f t="shared" si="2409"/>
        <v>54788.204556720921</v>
      </c>
      <c r="AJ216" s="41">
        <f t="shared" si="2409"/>
        <v>53985.5401511335</v>
      </c>
      <c r="AK216" s="41">
        <f t="shared" si="2409"/>
        <v>53709.250421042962</v>
      </c>
      <c r="AL216" s="41">
        <f t="shared" si="2409"/>
        <v>54310.981167813829</v>
      </c>
      <c r="AM216" s="41">
        <f t="shared" si="2409"/>
        <v>53489.312120056791</v>
      </c>
      <c r="AN216" s="41">
        <f t="shared" si="2409"/>
        <v>53071.382907748943</v>
      </c>
      <c r="AO216" s="41">
        <f t="shared" si="2409"/>
        <v>53185.160522052851</v>
      </c>
      <c r="AP216" s="41">
        <f t="shared" si="2409"/>
        <v>52563.992466799376</v>
      </c>
      <c r="AQ216" s="41">
        <f t="shared" si="2409"/>
        <v>51992.816387013569</v>
      </c>
      <c r="AR216" s="41">
        <f t="shared" si="2409"/>
        <v>52467.562934794587</v>
      </c>
      <c r="AS216" s="41">
        <f t="shared" si="2409"/>
        <v>53057.880742227673</v>
      </c>
      <c r="AT216" s="41">
        <f t="shared" si="2409"/>
        <v>55330.011069164102</v>
      </c>
      <c r="AU216" s="41">
        <f t="shared" si="2409"/>
        <v>54831.79161502717</v>
      </c>
      <c r="AV216" s="41">
        <f t="shared" si="2409"/>
        <v>56937.053859023828</v>
      </c>
      <c r="AW216" s="41">
        <f t="shared" si="2409"/>
        <v>57523.2863285208</v>
      </c>
      <c r="AX216" s="41">
        <f t="shared" si="2409"/>
        <v>59740.365759619628</v>
      </c>
      <c r="AY216" s="211">
        <f t="shared" si="2409"/>
        <v>60646.971635398237</v>
      </c>
      <c r="AZ216" s="41">
        <f t="shared" ref="AZ216" si="2410">AZ$219*AVERAGE(SUM(AY158,AY179),SUM(AZ158,AZ179))/AVERAGE(SUM(AY$161,AY$179),SUM(AZ$161,AZ$179))</f>
        <v>61642.78353342013</v>
      </c>
      <c r="BA216" s="41">
        <f t="shared" ref="BA216" si="2411">BA$219*AVERAGE(SUM(AZ158,AZ179),SUM(BA158,BA179))/AVERAGE(SUM(AZ$161,AZ$179),SUM(BA$161,BA$179))</f>
        <v>62598.476117829086</v>
      </c>
      <c r="BB216" s="41">
        <f t="shared" ref="BB216" si="2412">BB$219*AVERAGE(SUM(BA158,BA179),SUM(BB158,BB179))/AVERAGE(SUM(BA$161,BA$179),SUM(BB$161,BB$179))</f>
        <v>63631.599380424537</v>
      </c>
      <c r="BC216" s="41">
        <f t="shared" ref="BC216" si="2413">BC$219*AVERAGE(SUM(BB158,BB179),SUM(BC158,BC179))/AVERAGE(SUM(BB$161,BB$179),SUM(BC$161,BC$179))</f>
        <v>64745.420524561996</v>
      </c>
      <c r="BD216" s="41">
        <f t="shared" ref="BD216" si="2414">BD$219*AVERAGE(SUM(BC158,BC179),SUM(BD158,BD179))/AVERAGE(SUM(BC$161,BC$179),SUM(BD$161,BD$179))</f>
        <v>65943.499559858406</v>
      </c>
      <c r="BE216" s="41">
        <f t="shared" ref="BE216" si="2415">BE$219*AVERAGE(SUM(BD158,BD179),SUM(BE158,BE179))/AVERAGE(SUM(BD$161,BD$179),SUM(BE$161,BE$179))</f>
        <v>67229.708085201273</v>
      </c>
      <c r="BF216" s="41">
        <f t="shared" ref="BF216" si="2416">BF$219*AVERAGE(SUM(BE158,BE179),SUM(BF158,BF179))/AVERAGE(SUM(BE$161,BE$179),SUM(BF$161,BF$179))</f>
        <v>68574.30224690531</v>
      </c>
      <c r="BG216" s="41">
        <f t="shared" ref="BG216:BK216" si="2417">BG$219*AVERAGE(SUM(BF158,BF179),SUM(BG158,BG179))/AVERAGE(SUM(BF$161,BF$179),SUM(BG$161,BG$179))</f>
        <v>69945.788291843419</v>
      </c>
      <c r="BH216" s="41">
        <f t="shared" si="2417"/>
        <v>71344.704057680283</v>
      </c>
      <c r="BI216" s="41">
        <f t="shared" si="2417"/>
        <v>72771.598138833899</v>
      </c>
      <c r="BJ216" s="41">
        <f t="shared" si="2417"/>
        <v>74227.030101610566</v>
      </c>
      <c r="BK216" s="41">
        <f t="shared" si="2417"/>
        <v>75711.570703642778</v>
      </c>
      <c r="BL216" s="41">
        <f t="shared" ref="BL216" si="2418">BL$219*AVERAGE(SUM(BK158,BK179),SUM(BL158,BL179))/AVERAGE(SUM(BK$161,BK$179),SUM(BL$161,BL$179))</f>
        <v>77225.802117715633</v>
      </c>
      <c r="BM216" s="41">
        <f t="shared" ref="BM216" si="2419">BM$219*AVERAGE(SUM(BL158,BL179),SUM(BM158,BM179))/AVERAGE(SUM(BL$161,BL$179),SUM(BM$161,BM$179))</f>
        <v>78770.318160069961</v>
      </c>
      <c r="BN216" s="41">
        <f t="shared" ref="BN216" si="2420">BN$219*AVERAGE(SUM(BM158,BM179),SUM(BN158,BN179))/AVERAGE(SUM(BM$161,BM$179),SUM(BN$161,BN$179))</f>
        <v>80345.724523271361</v>
      </c>
      <c r="BO216" s="41">
        <f t="shared" ref="BO216" si="2421">BO$219*AVERAGE(SUM(BN158,BN179),SUM(BO158,BO179))/AVERAGE(SUM(BN$161,BN$179),SUM(BO$161,BO$179))</f>
        <v>81952.6390137368</v>
      </c>
      <c r="BP216" s="41">
        <f t="shared" ref="BP216" si="2422">BP$219*AVERAGE(SUM(BO158,BO179),SUM(BP158,BP179))/AVERAGE(SUM(BO$161,BO$179),SUM(BP$161,BP$179))</f>
        <v>83591.691794011524</v>
      </c>
      <c r="BQ216" s="41">
        <f t="shared" ref="BQ216" si="2423">BQ$219*AVERAGE(SUM(BP158,BP179),SUM(BQ158,BQ179))/AVERAGE(SUM(BP$161,BP$179),SUM(BQ$161,BQ$179))</f>
        <v>85263.525629891767</v>
      </c>
      <c r="BR216" s="41"/>
      <c r="BS216" s="41">
        <f t="shared" ref="BS216:CB216" si="2424">BS$219*AVERAGE(SUM(BR158,BR179),SUM(BS158,BS179))/AVERAGE(SUM(BR$161,BR$179),SUM(BS$161,BS$179))</f>
        <v>17219.586579240306</v>
      </c>
      <c r="BT216" s="41">
        <f t="shared" si="2424"/>
        <v>16957.055519758494</v>
      </c>
      <c r="BU216" s="41">
        <f t="shared" si="2424"/>
        <v>16453.187862188955</v>
      </c>
      <c r="BV216" s="41">
        <f t="shared" si="2424"/>
        <v>17383.217164858321</v>
      </c>
      <c r="BW216" s="41">
        <f t="shared" si="2424"/>
        <v>18682.415656933586</v>
      </c>
      <c r="BX216" s="41">
        <f t="shared" si="2424"/>
        <v>20218.0740548582</v>
      </c>
      <c r="BY216" s="41">
        <f t="shared" si="2424"/>
        <v>22294.936529109189</v>
      </c>
      <c r="BZ216" s="41">
        <f t="shared" si="2424"/>
        <v>25158.838783874206</v>
      </c>
      <c r="CA216" s="41">
        <f t="shared" si="2424"/>
        <v>28105.620834955142</v>
      </c>
      <c r="CB216" s="41">
        <f t="shared" si="2424"/>
        <v>30059.967512143543</v>
      </c>
      <c r="CC216" s="41">
        <f>SUMPRODUCT(D216:E216,D$5:E$5)/SUM(D$5:E$5)</f>
        <v>36552.377744509278</v>
      </c>
      <c r="CD216" s="41">
        <f>SUMPRODUCT(F216:G216,F$5:G$5)/SUM(F$5:G$5)</f>
        <v>38022.892749069651</v>
      </c>
      <c r="CE216" s="41">
        <f>SUMPRODUCT(H216:I216,H$5:I$5)/SUM(H$5:I$5)</f>
        <v>41431.013887113251</v>
      </c>
      <c r="CF216" s="41">
        <f>SUMPRODUCT(J216:K216,J$5:K$5)/SUM(J$5:K$5)</f>
        <v>43868.908087480631</v>
      </c>
      <c r="CG216" s="41">
        <f t="shared" ref="CG216:CV216" si="2425">CG$219*AVERAGE(SUM(CF158,CF179),SUM(CG158,CG179))/AVERAGE(SUM(CF$161,CF$179),SUM(CG$161,CG$179))</f>
        <v>47782.788551818099</v>
      </c>
      <c r="CH216" s="41">
        <f t="shared" si="2425"/>
        <v>50823.582360752647</v>
      </c>
      <c r="CI216" s="41">
        <f t="shared" si="2425"/>
        <v>56787.212043869244</v>
      </c>
      <c r="CJ216" s="41">
        <f t="shared" si="2425"/>
        <v>58258.097811413048</v>
      </c>
      <c r="CK216" s="41">
        <f t="shared" si="2425"/>
        <v>56489.784161042859</v>
      </c>
      <c r="CL216" s="41">
        <f t="shared" si="2425"/>
        <v>53353.051131109823</v>
      </c>
      <c r="CM216" s="41">
        <f t="shared" si="2425"/>
        <v>55996.247006946018</v>
      </c>
      <c r="CN216" s="41">
        <f t="shared" si="2425"/>
        <v>63890.427557825133</v>
      </c>
      <c r="CO216" s="41">
        <f t="shared" si="2425"/>
        <v>67997.295233427954</v>
      </c>
      <c r="CP216" s="41">
        <f t="shared" si="2425"/>
        <v>70458.624452067073</v>
      </c>
      <c r="CQ216" s="41">
        <f t="shared" si="2425"/>
        <v>66171.320329314578</v>
      </c>
      <c r="CR216" s="41">
        <f t="shared" si="2425"/>
        <v>59278.644014307014</v>
      </c>
      <c r="CS216" s="41">
        <f t="shared" si="2425"/>
        <v>54366.637444856475</v>
      </c>
      <c r="CT216" s="41">
        <f t="shared" si="2425"/>
        <v>53737.240547619076</v>
      </c>
      <c r="CU216" s="41">
        <f t="shared" si="2425"/>
        <v>53773.396904240668</v>
      </c>
      <c r="CV216" s="41">
        <f t="shared" si="2425"/>
        <v>52334.567757179706</v>
      </c>
      <c r="CW216" s="41">
        <f>(AR216*(AR$3-AQ$3)+AS216*(AS$3-AR$3))/(AS$3-AQ$3)</f>
        <v>52763.53049304185</v>
      </c>
      <c r="CX216" s="41">
        <f>(AT216*(AT$3-AS$3)+AU216*(AU$3-AT$3))/(AU$3-AS$3)</f>
        <v>55080.218849692705</v>
      </c>
      <c r="CY216" s="41">
        <f>(AV216*(AV$3-AU$3)+AW216*(AW$3-AV$3))/(AW$3-AU$3)</f>
        <v>57230.170093772314</v>
      </c>
      <c r="CZ216" s="211">
        <f>(AX216*(AX$3-AW$3)+AY216*(AY$3-AX$3))/(AY$3-AW$3)</f>
        <v>60194.910623366159</v>
      </c>
      <c r="DA216" s="41">
        <f>(AZ216*(AZ$3-AY$3)+BA216*(BA$3-AZ$3))/(BA$3-AY$3)</f>
        <v>62121.938993548451</v>
      </c>
      <c r="DB216" s="41">
        <f>(BB216*(BB$3-BA$3)+BC216*(BC$3-BB$3))/(BC$3-BA$3)</f>
        <v>64190.035734882491</v>
      </c>
      <c r="DC216" s="41">
        <f>(BD216*(BD$3-BC$3)+BE216*(BE$3-BD$3))/(BE$3-BC$3)</f>
        <v>66586.60382252984</v>
      </c>
      <c r="DD216" s="41">
        <f>(BF216*(BF$3-BE$3)+BG216*(BG$3-BF$3))/(BG$3-BE$3)</f>
        <v>69261.924017381127</v>
      </c>
      <c r="DE216" s="41">
        <f>(BH216*(BH$3-BG$3)+BI216*(BI$3-BH$3))/(BI$3-BG$3)</f>
        <v>72060.105747683323</v>
      </c>
      <c r="DF216" s="41">
        <f>(BJ216*(BJ$3-BI$3)+BK216*(BK$3-BJ$3))/(BK$3-BI$3)</f>
        <v>74971.334019889735</v>
      </c>
      <c r="DG216" s="41">
        <f>(BL216*(BL$3-BK$3)+BM216*(BM$3-BL$3))/(BM$3-BK$3)</f>
        <v>77998.060138892804</v>
      </c>
      <c r="DH216" s="41">
        <f>(BN216*(BN$3-BM$3)+BO216*(BO$3-BN$3))/(BO$3-BM$3)</f>
        <v>81151.383021230751</v>
      </c>
      <c r="DI216" s="41">
        <f>(BP216*(BP$3-BO$3)+BQ216*(BQ$3-BP$3))/(BQ$3-BO$3)</f>
        <v>84429.898895288468</v>
      </c>
    </row>
    <row r="217" spans="1:113" ht="12" outlineLevel="1">
      <c r="A217" s="1" t="s">
        <v>396</v>
      </c>
      <c r="B217" s="15" t="s">
        <v>166</v>
      </c>
      <c r="C217" s="41">
        <f t="shared" ref="C217:L218" si="2426">C$219*AVERAGE(B159:C159)/AVERAGE(SUM(B$161,B$179),SUM(C$161,C$179))</f>
        <v>42001.658156347345</v>
      </c>
      <c r="D217" s="41">
        <f t="shared" si="2426"/>
        <v>20867.125092924678</v>
      </c>
      <c r="E217" s="41">
        <f t="shared" si="2426"/>
        <v>20995.246493997569</v>
      </c>
      <c r="F217" s="41">
        <f t="shared" si="2426"/>
        <v>22325.161669387038</v>
      </c>
      <c r="G217" s="41">
        <f t="shared" si="2426"/>
        <v>24104.759309557041</v>
      </c>
      <c r="H217" s="41">
        <f t="shared" si="2426"/>
        <v>26335.446424550631</v>
      </c>
      <c r="I217" s="41">
        <f t="shared" si="2426"/>
        <v>26897.829304571031</v>
      </c>
      <c r="J217" s="41">
        <f t="shared" si="2426"/>
        <v>28168.670065490278</v>
      </c>
      <c r="K217" s="41">
        <f t="shared" si="2426"/>
        <v>29942.160132933925</v>
      </c>
      <c r="L217" s="41">
        <f t="shared" si="2426"/>
        <v>31249.909332184256</v>
      </c>
      <c r="M217" s="41">
        <f t="shared" ref="M217:R217" si="2427">M$219*AVERAGE(L159:M159)/AVERAGE(SUM(L$161,L$179),SUM(M$161,M$179))</f>
        <v>32833.125019123217</v>
      </c>
      <c r="N217" s="41">
        <f t="shared" si="2427"/>
        <v>34279.831905266685</v>
      </c>
      <c r="O217" s="41">
        <f t="shared" si="2427"/>
        <v>37325.579281714345</v>
      </c>
      <c r="P217" s="41">
        <f t="shared" si="2427"/>
        <v>45937.543488105992</v>
      </c>
      <c r="Q217" s="41">
        <f t="shared" si="2427"/>
        <v>52900.126692365549</v>
      </c>
      <c r="R217" s="41">
        <f t="shared" si="2427"/>
        <v>53472.697151621556</v>
      </c>
      <c r="S217" s="41">
        <f t="shared" ref="S217:AY218" si="2428">S$219*AVERAGE(R159:S159)/AVERAGE(SUM(R$161,R$179),SUM(S$161,S$179))</f>
        <v>47464.637634762956</v>
      </c>
      <c r="T217" s="41">
        <f t="shared" si="2428"/>
        <v>42844.604439864932</v>
      </c>
      <c r="U217" s="41">
        <f t="shared" si="2428"/>
        <v>41878.393020040545</v>
      </c>
      <c r="V217" s="41">
        <f t="shared" si="2428"/>
        <v>51267.918605917192</v>
      </c>
      <c r="W217" s="41">
        <f t="shared" si="2428"/>
        <v>59931.360103563668</v>
      </c>
      <c r="X217" s="41">
        <f t="shared" si="2428"/>
        <v>57436.221937041839</v>
      </c>
      <c r="Y217" s="41">
        <f t="shared" si="2428"/>
        <v>55230.132605663101</v>
      </c>
      <c r="Z217" s="41">
        <f t="shared" si="2428"/>
        <v>55026.860087320129</v>
      </c>
      <c r="AA217" s="41">
        <f t="shared" si="2428"/>
        <v>55234.168416572516</v>
      </c>
      <c r="AB217" s="41">
        <f t="shared" si="2428"/>
        <v>58115.22515580499</v>
      </c>
      <c r="AC217" s="41">
        <f t="shared" si="2428"/>
        <v>63315.078134595242</v>
      </c>
      <c r="AD217" s="41">
        <f t="shared" si="2428"/>
        <v>65303.570900068364</v>
      </c>
      <c r="AE217" s="41">
        <f t="shared" si="2428"/>
        <v>68949.530598029698</v>
      </c>
      <c r="AF217" s="41">
        <f t="shared" si="2428"/>
        <v>65387.455908055716</v>
      </c>
      <c r="AG217" s="41">
        <f t="shared" si="2428"/>
        <v>65892.29985849974</v>
      </c>
      <c r="AH217" s="41">
        <f t="shared" si="2428"/>
        <v>70779.688595168991</v>
      </c>
      <c r="AI217" s="41">
        <f t="shared" si="2428"/>
        <v>74885.185847547647</v>
      </c>
      <c r="AJ217" s="41">
        <f t="shared" si="2428"/>
        <v>75913.775138539044</v>
      </c>
      <c r="AK217" s="41">
        <f t="shared" si="2428"/>
        <v>79568.380172939709</v>
      </c>
      <c r="AL217" s="41">
        <f t="shared" si="2428"/>
        <v>83223.338250567715</v>
      </c>
      <c r="AM217" s="41">
        <f t="shared" si="2428"/>
        <v>88399.433173266967</v>
      </c>
      <c r="AN217" s="41">
        <f t="shared" si="2428"/>
        <v>102163.92257989723</v>
      </c>
      <c r="AO217" s="41">
        <f t="shared" si="2428"/>
        <v>104065.11072420586</v>
      </c>
      <c r="AP217" s="41">
        <f t="shared" si="2428"/>
        <v>91036.516584403667</v>
      </c>
      <c r="AQ217" s="41">
        <f t="shared" si="2428"/>
        <v>85027.054710196477</v>
      </c>
      <c r="AR217" s="41">
        <f t="shared" si="2428"/>
        <v>90227.125573051177</v>
      </c>
      <c r="AS217" s="41">
        <f t="shared" si="2428"/>
        <v>98340.552070690872</v>
      </c>
      <c r="AT217" s="41">
        <f t="shared" si="2428"/>
        <v>105969.56448889022</v>
      </c>
      <c r="AU217" s="41">
        <f t="shared" si="2428"/>
        <v>105043.40847472945</v>
      </c>
      <c r="AV217" s="41">
        <f t="shared" si="2428"/>
        <v>106972.53660028093</v>
      </c>
      <c r="AW217" s="41">
        <f t="shared" si="2428"/>
        <v>113327.10840810413</v>
      </c>
      <c r="AX217" s="41">
        <f t="shared" si="2428"/>
        <v>124004.80348586226</v>
      </c>
      <c r="AY217" s="211">
        <f t="shared" si="2428"/>
        <v>128661.62424097327</v>
      </c>
      <c r="AZ217" s="41">
        <f t="shared" ref="AZ217:AZ218" si="2429">AZ$219*AVERAGE(AY159:AZ159)/AVERAGE(SUM(AY$161,AY$179),SUM(AZ$161,AZ$179))</f>
        <v>136924.22888238222</v>
      </c>
      <c r="BA217" s="41">
        <f t="shared" ref="BA217:BA218" si="2430">BA$219*AVERAGE(AZ159:BA159)/AVERAGE(SUM(AZ$161,AZ$179),SUM(BA$161,BA$179))</f>
        <v>144221.84724340966</v>
      </c>
      <c r="BB217" s="41">
        <f t="shared" ref="BB217:BB218" si="2431">BB$219*AVERAGE(BA159:BB159)/AVERAGE(SUM(BA$161,BA$179),SUM(BB$161,BB$179))</f>
        <v>150471.99077792419</v>
      </c>
      <c r="BC217" s="41">
        <f t="shared" ref="BC217:BC218" si="2432">BC$219*AVERAGE(BB159:BC159)/AVERAGE(SUM(BB$161,BB$179),SUM(BC$161,BC$179))</f>
        <v>155812.67532760979</v>
      </c>
      <c r="BD217" s="41">
        <f t="shared" ref="BD217:BD218" si="2433">BD$219*AVERAGE(BC159:BD159)/AVERAGE(SUM(BC$161,BC$179),SUM(BD$161,BD$179))</f>
        <v>160148.52417192209</v>
      </c>
      <c r="BE217" s="41">
        <f t="shared" ref="BE217:BE218" si="2434">BE$219*AVERAGE(BD159:BE159)/AVERAGE(SUM(BD$161,BD$179),SUM(BE$161,BE$179))</f>
        <v>163971.99538291743</v>
      </c>
      <c r="BF217" s="41">
        <f t="shared" ref="BF217:BF218" si="2435">BF$219*AVERAGE(BE159:BF159)/AVERAGE(SUM(BE$161,BE$179),SUM(BF$161,BF$179))</f>
        <v>167560.3283565373</v>
      </c>
      <c r="BG217" s="41">
        <f t="shared" ref="BG217:BK218" si="2436">BG$219*AVERAGE(BF159:BG159)/AVERAGE(SUM(BF$161,BF$179),SUM(BG$161,BG$179))</f>
        <v>170935.14838672843</v>
      </c>
      <c r="BH217" s="41">
        <f t="shared" si="2436"/>
        <v>174377.9394481309</v>
      </c>
      <c r="BI217" s="41">
        <f t="shared" si="2436"/>
        <v>177890.07050144408</v>
      </c>
      <c r="BJ217" s="41">
        <f t="shared" si="2436"/>
        <v>181472.938078337</v>
      </c>
      <c r="BK217" s="41">
        <f t="shared" si="2436"/>
        <v>185127.96683672169</v>
      </c>
      <c r="BL217" s="41">
        <f t="shared" ref="BL217:BL218" si="2437">BL$219*AVERAGE(BK159:BL159)/AVERAGE(SUM(BK$161,BK$179),SUM(BL$161,BL$179))</f>
        <v>188856.61012721015</v>
      </c>
      <c r="BM217" s="41">
        <f t="shared" ref="BM217:BM218" si="2438">BM$219*AVERAGE(BL159:BM159)/AVERAGE(SUM(BL$161,BL$179),SUM(BM$161,BM$179))</f>
        <v>192660.35057097889</v>
      </c>
      <c r="BN217" s="41">
        <f t="shared" ref="BN217:BN218" si="2439">BN$219*AVERAGE(BM159:BN159)/AVERAGE(SUM(BM$161,BM$179),SUM(BN$161,BN$179))</f>
        <v>196540.70064927154</v>
      </c>
      <c r="BO217" s="41">
        <f t="shared" ref="BO217:BO218" si="2440">BO$219*AVERAGE(BN159:BO159)/AVERAGE(SUM(BN$161,BN$179),SUM(BO$161,BO$179))</f>
        <v>200499.20330477427</v>
      </c>
      <c r="BP217" s="41">
        <f t="shared" ref="BP217:BP218" si="2441">BP$219*AVERAGE(BO159:BP159)/AVERAGE(SUM(BO$161,BO$179),SUM(BP$161,BP$179))</f>
        <v>204537.43255510161</v>
      </c>
      <c r="BQ217" s="41">
        <f t="shared" ref="BQ217:BQ218" si="2442">BQ$219*AVERAGE(BP159:BQ159)/AVERAGE(SUM(BP$161,BP$179),SUM(BQ$161,BQ$179))</f>
        <v>208656.99411863854</v>
      </c>
      <c r="BR217" s="41"/>
      <c r="BS217" s="41">
        <f t="shared" ref="BS217:CB218" si="2443">BS$219*AVERAGE(BR159:BS159)/AVERAGE(SUM(BR$161,BR$179),SUM(BS$161,BS$179))</f>
        <v>20275.981700593951</v>
      </c>
      <c r="BT217" s="41">
        <f t="shared" si="2443"/>
        <v>10254.948557416568</v>
      </c>
      <c r="BU217" s="41">
        <f t="shared" si="2443"/>
        <v>10543.176785463082</v>
      </c>
      <c r="BV217" s="41">
        <f t="shared" si="2443"/>
        <v>11567.373682781428</v>
      </c>
      <c r="BW217" s="41">
        <f t="shared" si="2443"/>
        <v>12487.628708670216</v>
      </c>
      <c r="BX217" s="41">
        <f t="shared" si="2443"/>
        <v>14022.896312718591</v>
      </c>
      <c r="BY217" s="41">
        <f t="shared" si="2443"/>
        <v>16330.374607677357</v>
      </c>
      <c r="BZ217" s="41">
        <f t="shared" si="2443"/>
        <v>18538.861585044877</v>
      </c>
      <c r="CA217" s="41">
        <f t="shared" si="2443"/>
        <v>19611.817327889887</v>
      </c>
      <c r="CB217" s="41">
        <f t="shared" si="2443"/>
        <v>19772.592029324296</v>
      </c>
      <c r="CC217" s="41">
        <f>SUMPRODUCT(D217:E217,D$5:E$5)/SUM(D$5:E$5)</f>
        <v>20931.010284692533</v>
      </c>
      <c r="CD217" s="41">
        <f>SUMPRODUCT(F217:G217,F$5:G$5)/SUM(F$5:G$5)</f>
        <v>23212.522684485506</v>
      </c>
      <c r="CE217" s="41">
        <f>SUMPRODUCT(H217:I217,H$5:I$5)/SUM(H$5:I$5)</f>
        <v>26616.637864560831</v>
      </c>
      <c r="CF217" s="41">
        <f>SUMPRODUCT(J217:K217,J$5:K$5)/SUM(J$5:K$5)</f>
        <v>29052.985660763548</v>
      </c>
      <c r="CG217" s="41">
        <f t="shared" ref="CG217:CV218" si="2444">CG$219*AVERAGE(CF159:CG159)/AVERAGE(SUM(CF$161,CF$179),SUM(CG$161,CG$179))</f>
        <v>32239.52824418954</v>
      </c>
      <c r="CH217" s="41">
        <f t="shared" si="2444"/>
        <v>36513.32170509822</v>
      </c>
      <c r="CI217" s="41">
        <f t="shared" si="2444"/>
        <v>47760.050808480817</v>
      </c>
      <c r="CJ217" s="41">
        <f t="shared" si="2444"/>
        <v>49512.345923399458</v>
      </c>
      <c r="CK217" s="41">
        <f t="shared" si="2444"/>
        <v>42251.901182442176</v>
      </c>
      <c r="CL217" s="41">
        <f t="shared" si="2444"/>
        <v>51260.616739780227</v>
      </c>
      <c r="CM217" s="41">
        <f t="shared" si="2444"/>
        <v>58124.082243990561</v>
      </c>
      <c r="CN217" s="41">
        <f t="shared" si="2444"/>
        <v>54873.192499513811</v>
      </c>
      <c r="CO217" s="41">
        <f t="shared" si="2444"/>
        <v>59848.348604789091</v>
      </c>
      <c r="CP217" s="41">
        <f t="shared" si="2444"/>
        <v>66278.837551126824</v>
      </c>
      <c r="CQ217" s="41">
        <f t="shared" si="2444"/>
        <v>66128.632181363573</v>
      </c>
      <c r="CR217" s="41">
        <f t="shared" si="2444"/>
        <v>70827.780924475956</v>
      </c>
      <c r="CS217" s="41">
        <f t="shared" si="2444"/>
        <v>78799.975376947696</v>
      </c>
      <c r="CT217" s="41">
        <f t="shared" si="2444"/>
        <v>88293.861990879217</v>
      </c>
      <c r="CU217" s="41">
        <f t="shared" si="2444"/>
        <v>96586.559997484976</v>
      </c>
      <c r="CV217" s="41">
        <f t="shared" si="2444"/>
        <v>90611.664330015774</v>
      </c>
      <c r="CW217" s="41">
        <f>(AR217*(AR$3-AQ$3)+AS217*(AS$3-AR$3))/(AS$3-AQ$3)</f>
        <v>94294.953104744505</v>
      </c>
      <c r="CX217" s="41">
        <f>(AT217*(AT$3-AS$3)+AU217*(AU$3-AT$3))/(AU$3-AS$3)</f>
        <v>105505.21777494113</v>
      </c>
      <c r="CY217" s="41">
        <f>(AV217*(AV$3-AU$3)+AW217*(AW$3-AV$3))/(AW$3-AU$3)</f>
        <v>110149.82250419255</v>
      </c>
      <c r="CZ217" s="211">
        <f>(AX217*(AX$3-AW$3)+AY217*(AY$3-AX$3))/(AY$3-AW$3)</f>
        <v>126339.59306993162</v>
      </c>
      <c r="DA217" s="41">
        <f>(AZ217*(AZ$3-AY$3)+BA217*(BA$3-AZ$3))/(BA$3-AY$3)</f>
        <v>140583.0348003768</v>
      </c>
      <c r="DB217" s="41">
        <f>(BB217*(BB$3-BA$3)+BC217*(BC$3-BB$3))/(BC$3-BA$3)</f>
        <v>153149.64905899944</v>
      </c>
      <c r="DC217" s="41">
        <f>(BD217*(BD$3-BC$3)+BE217*(BE$3-BD$3))/(BE$3-BC$3)</f>
        <v>162060.25977741976</v>
      </c>
      <c r="DD217" s="41">
        <f>(BF217*(BF$3-BE$3)+BG217*(BG$3-BF$3))/(BG$3-BE$3)</f>
        <v>169252.36141277011</v>
      </c>
      <c r="DE217" s="41">
        <f>(BH217*(BH$3-BG$3)+BI217*(BI$3-BH$3))/(BI$3-BG$3)</f>
        <v>176138.81611321669</v>
      </c>
      <c r="DF217" s="41">
        <f>(BJ217*(BJ$3-BI$3)+BK217*(BK$3-BJ$3))/(BK$3-BI$3)</f>
        <v>183305.45934623946</v>
      </c>
      <c r="DG217" s="41">
        <f>(BL217*(BL$3-BK$3)+BM217*(BM$3-BL$3))/(BM$3-BK$3)</f>
        <v>190758.48034909452</v>
      </c>
      <c r="DH217" s="41">
        <f>(BN217*(BN$3-BM$3)+BO217*(BO$3-BN$3))/(BO$3-BM$3)</f>
        <v>198525.37458340032</v>
      </c>
      <c r="DI217" s="41">
        <f>(BP217*(BP$3-BO$3)+BQ217*(BQ$3-BP$3))/(BQ$3-BO$3)</f>
        <v>206602.85657188861</v>
      </c>
    </row>
    <row r="218" spans="1:113" ht="12" outlineLevel="1">
      <c r="A218" s="1" t="s">
        <v>397</v>
      </c>
      <c r="B218" s="15" t="s">
        <v>167</v>
      </c>
      <c r="C218" s="41">
        <f t="shared" si="2426"/>
        <v>9889.181815776441</v>
      </c>
      <c r="D218" s="41">
        <f t="shared" si="2426"/>
        <v>5049.4778123326141</v>
      </c>
      <c r="E218" s="41">
        <f t="shared" si="2426"/>
        <v>5325.182350278742</v>
      </c>
      <c r="F218" s="41">
        <f t="shared" si="2426"/>
        <v>5702.1535165501327</v>
      </c>
      <c r="G218" s="41">
        <f t="shared" si="2426"/>
        <v>5927.2945416371385</v>
      </c>
      <c r="H218" s="41">
        <f t="shared" si="2426"/>
        <v>6147.3538595753353</v>
      </c>
      <c r="I218" s="41">
        <f t="shared" si="2426"/>
        <v>6322.9939207423531</v>
      </c>
      <c r="J218" s="41">
        <f t="shared" si="2426"/>
        <v>6735.3491114988528</v>
      </c>
      <c r="K218" s="41">
        <f t="shared" si="2426"/>
        <v>7293.6145916487039</v>
      </c>
      <c r="L218" s="41">
        <f t="shared" si="2426"/>
        <v>8036.9301040511273</v>
      </c>
      <c r="M218" s="41">
        <f t="shared" ref="M218:R218" si="2445">M$219*AVERAGE(L160:M160)/AVERAGE(SUM(L$161,L$179),SUM(M$161,M$179))</f>
        <v>8645.5595694576223</v>
      </c>
      <c r="N218" s="41">
        <f t="shared" si="2445"/>
        <v>9188.5161787403977</v>
      </c>
      <c r="O218" s="41">
        <f t="shared" si="2445"/>
        <v>9727.2900266505094</v>
      </c>
      <c r="P218" s="41">
        <f t="shared" si="2445"/>
        <v>9398.2272648710623</v>
      </c>
      <c r="Q218" s="41">
        <f t="shared" si="2445"/>
        <v>8848.8609235246986</v>
      </c>
      <c r="R218" s="41">
        <f t="shared" si="2445"/>
        <v>9232.8399338572908</v>
      </c>
      <c r="S218" s="41">
        <f t="shared" si="2428"/>
        <v>9438.4521444376442</v>
      </c>
      <c r="T218" s="41">
        <f t="shared" ref="T218:AY218" si="2446">T$219*AVERAGE(S160:T160)/AVERAGE(SUM(S$161,S$179),SUM(T$161,T$179))</f>
        <v>9910.4154093110465</v>
      </c>
      <c r="U218" s="41">
        <f t="shared" si="2446"/>
        <v>10274.582053971222</v>
      </c>
      <c r="V218" s="41">
        <f t="shared" si="2446"/>
        <v>10602.84808518669</v>
      </c>
      <c r="W218" s="41">
        <f t="shared" si="2446"/>
        <v>10649.001636501307</v>
      </c>
      <c r="X218" s="41">
        <f t="shared" si="2446"/>
        <v>10809.442644735134</v>
      </c>
      <c r="Y218" s="41">
        <f t="shared" si="2446"/>
        <v>10838.292991687265</v>
      </c>
      <c r="Z218" s="41">
        <f t="shared" si="2446"/>
        <v>10765.799564672263</v>
      </c>
      <c r="AA218" s="41">
        <f t="shared" si="2446"/>
        <v>11082.911322798818</v>
      </c>
      <c r="AB218" s="41">
        <f t="shared" si="2446"/>
        <v>11011.798979368754</v>
      </c>
      <c r="AC218" s="41">
        <f t="shared" si="2446"/>
        <v>10989.076292309359</v>
      </c>
      <c r="AD218" s="41">
        <f t="shared" si="2446"/>
        <v>10993.495439299026</v>
      </c>
      <c r="AE218" s="41">
        <f t="shared" si="2446"/>
        <v>11230.100179929654</v>
      </c>
      <c r="AF218" s="41">
        <f t="shared" si="2446"/>
        <v>10524.913881679995</v>
      </c>
      <c r="AG218" s="41">
        <f t="shared" si="2446"/>
        <v>10499.100729622627</v>
      </c>
      <c r="AH218" s="41">
        <f t="shared" si="2446"/>
        <v>10345.562438179712</v>
      </c>
      <c r="AI218" s="41">
        <f t="shared" si="2446"/>
        <v>10094.973586403097</v>
      </c>
      <c r="AJ218" s="41">
        <f t="shared" si="2446"/>
        <v>9920.951410579346</v>
      </c>
      <c r="AK218" s="41">
        <f t="shared" si="2446"/>
        <v>9653.1622787905053</v>
      </c>
      <c r="AL218" s="41">
        <f t="shared" si="2446"/>
        <v>9299.7836088275508</v>
      </c>
      <c r="AM218" s="41">
        <f t="shared" si="2446"/>
        <v>8733.9719365379351</v>
      </c>
      <c r="AN218" s="41">
        <f t="shared" si="2446"/>
        <v>8113.8471214947112</v>
      </c>
      <c r="AO218" s="41">
        <f t="shared" si="2446"/>
        <v>7067.4488514747518</v>
      </c>
      <c r="AP218" s="41">
        <f t="shared" si="2446"/>
        <v>6218.6162158108591</v>
      </c>
      <c r="AQ218" s="41">
        <f t="shared" si="2446"/>
        <v>5816.1888358292526</v>
      </c>
      <c r="AR218" s="41">
        <f t="shared" si="2446"/>
        <v>5542.2774323217336</v>
      </c>
      <c r="AS218" s="41">
        <f t="shared" si="2446"/>
        <v>5454.8992020159594</v>
      </c>
      <c r="AT218" s="41">
        <f t="shared" si="2446"/>
        <v>5484.9958314271908</v>
      </c>
      <c r="AU218" s="41">
        <f t="shared" si="2446"/>
        <v>5283.2950988102057</v>
      </c>
      <c r="AV218" s="41">
        <f t="shared" si="2446"/>
        <v>5288.7532947316586</v>
      </c>
      <c r="AW218" s="41">
        <f t="shared" si="2446"/>
        <v>5166.8718074741764</v>
      </c>
      <c r="AX218" s="41">
        <f t="shared" si="2446"/>
        <v>5085.3632980998145</v>
      </c>
      <c r="AY218" s="211">
        <f t="shared" si="2446"/>
        <v>4880.2119715919434</v>
      </c>
      <c r="AZ218" s="41">
        <f t="shared" si="2429"/>
        <v>4875.2494572773594</v>
      </c>
      <c r="BA218" s="41">
        <f t="shared" si="2430"/>
        <v>4971.8897774909901</v>
      </c>
      <c r="BB218" s="41">
        <f t="shared" si="2431"/>
        <v>5040.338361564056</v>
      </c>
      <c r="BC218" s="41">
        <f t="shared" si="2432"/>
        <v>5090.8677536387331</v>
      </c>
      <c r="BD218" s="41">
        <f t="shared" si="2433"/>
        <v>5141.90370286896</v>
      </c>
      <c r="BE218" s="41">
        <f t="shared" si="2434"/>
        <v>5193.4512874902193</v>
      </c>
      <c r="BF218" s="41">
        <f t="shared" si="2435"/>
        <v>5245.5156366473093</v>
      </c>
      <c r="BG218" s="41">
        <f t="shared" si="2436"/>
        <v>5298.101930904696</v>
      </c>
      <c r="BH218" s="41">
        <f t="shared" si="2436"/>
        <v>5351.2154027620154</v>
      </c>
      <c r="BI218" s="41">
        <f t="shared" si="2436"/>
        <v>5404.8613371747024</v>
      </c>
      <c r="BJ218" s="41">
        <f t="shared" si="2436"/>
        <v>5459.0450720798772</v>
      </c>
      <c r="BK218" s="41">
        <f t="shared" si="2436"/>
        <v>5513.7719989274765</v>
      </c>
      <c r="BL218" s="41">
        <f t="shared" si="2437"/>
        <v>5569.0475632167236</v>
      </c>
      <c r="BM218" s="41">
        <f t="shared" si="2438"/>
        <v>5624.8772650379706</v>
      </c>
      <c r="BN218" s="41">
        <f t="shared" si="2439"/>
        <v>5681.2666596199742</v>
      </c>
      <c r="BO218" s="41">
        <f t="shared" si="2440"/>
        <v>5738.2213578826631</v>
      </c>
      <c r="BP218" s="41">
        <f t="shared" si="2441"/>
        <v>5795.7470269954356</v>
      </c>
      <c r="BQ218" s="41">
        <f t="shared" si="2442"/>
        <v>5853.8493909410636</v>
      </c>
      <c r="BR218" s="41"/>
      <c r="BS218" s="41">
        <f t="shared" si="2443"/>
        <v>3139.2784756146375</v>
      </c>
      <c r="BT218" s="41">
        <f t="shared" si="2443"/>
        <v>1652.2580208548591</v>
      </c>
      <c r="BU218" s="41">
        <f t="shared" si="2443"/>
        <v>1739.464536954197</v>
      </c>
      <c r="BV218" s="41">
        <f t="shared" si="2443"/>
        <v>1917.0496720330214</v>
      </c>
      <c r="BW218" s="41">
        <f t="shared" si="2443"/>
        <v>2060.2031590470629</v>
      </c>
      <c r="BX218" s="41">
        <f t="shared" si="2443"/>
        <v>1964.1097423906367</v>
      </c>
      <c r="BY218" s="41">
        <f t="shared" si="2443"/>
        <v>1956.2209068083841</v>
      </c>
      <c r="BZ218" s="41">
        <f t="shared" si="2443"/>
        <v>2492.7930186281474</v>
      </c>
      <c r="CA218" s="41">
        <f t="shared" si="2443"/>
        <v>3444.0873105254632</v>
      </c>
      <c r="CB218" s="41">
        <f t="shared" si="2443"/>
        <v>4172.4799462286428</v>
      </c>
      <c r="CC218" s="41">
        <f>SUMPRODUCT(D218:E218,D$5:E$5)/SUM(D$5:E$5)</f>
        <v>5186.9524038564368</v>
      </c>
      <c r="CD218" s="41">
        <f>SUMPRODUCT(F218:G218,F$5:G$5)/SUM(F$5:G$5)</f>
        <v>5814.4156167305036</v>
      </c>
      <c r="CE218" s="41">
        <f>SUMPRODUCT(H218:I218,H$5:I$5)/SUM(H$5:I$5)</f>
        <v>6235.1738901588442</v>
      </c>
      <c r="CF218" s="41">
        <f>SUMPRODUCT(J218:K218,J$5:K$5)/SUM(J$5:K$5)</f>
        <v>7013.717104340697</v>
      </c>
      <c r="CG218" s="41">
        <f t="shared" si="2444"/>
        <v>8302.8600210745153</v>
      </c>
      <c r="CH218" s="41">
        <f t="shared" si="2444"/>
        <v>9360.7956528364684</v>
      </c>
      <c r="CI218" s="41">
        <f t="shared" si="2444"/>
        <v>9664.9498009321687</v>
      </c>
      <c r="CJ218" s="41">
        <f t="shared" si="2444"/>
        <v>9471.0878253895153</v>
      </c>
      <c r="CK218" s="41">
        <f t="shared" si="2444"/>
        <v>9963.2481974966831</v>
      </c>
      <c r="CL218" s="41">
        <f t="shared" si="2444"/>
        <v>10636.289873771584</v>
      </c>
      <c r="CM218" s="41">
        <f t="shared" si="2444"/>
        <v>10778.615589211673</v>
      </c>
      <c r="CN218" s="41">
        <f t="shared" si="2444"/>
        <v>10884.789169589028</v>
      </c>
      <c r="CO218" s="41">
        <f t="shared" si="2444"/>
        <v>11117.51668057389</v>
      </c>
      <c r="CP218" s="41">
        <f t="shared" si="2444"/>
        <v>10908.989766486875</v>
      </c>
      <c r="CQ218" s="41">
        <f t="shared" si="2444"/>
        <v>10434.203020593677</v>
      </c>
      <c r="CR218" s="41">
        <f t="shared" si="2444"/>
        <v>10169.660567590518</v>
      </c>
      <c r="CS218" s="41">
        <f t="shared" si="2444"/>
        <v>9677.9919324760594</v>
      </c>
      <c r="CT218" s="41">
        <f t="shared" si="2444"/>
        <v>8929.1740772558132</v>
      </c>
      <c r="CU218" s="41">
        <f t="shared" si="2444"/>
        <v>7428.974501140332</v>
      </c>
      <c r="CV218" s="41">
        <f t="shared" si="2444"/>
        <v>5847.0950769693491</v>
      </c>
      <c r="CW218" s="41">
        <f>(AR218*(AR$3-AQ$3)+AS218*(AS$3-AR$3))/(AS$3-AQ$3)</f>
        <v>5498.4686209629481</v>
      </c>
      <c r="CX218" s="41">
        <f>(AT218*(AT$3-AS$3)+AU218*(AU$3-AT$3))/(AU$3-AS$3)</f>
        <v>5383.8691627452499</v>
      </c>
      <c r="CY218" s="41">
        <f>(AV218*(AV$3-AU$3)+AW218*(AW$3-AV$3))/(AW$3-AU$3)</f>
        <v>5227.8125511029175</v>
      </c>
      <c r="CZ218" s="211">
        <f>(AX218*(AX$3-AW$3)+AY218*(AY$3-AX$3))/(AY$3-AW$3)</f>
        <v>4982.5066056314845</v>
      </c>
      <c r="DA218" s="41">
        <f>(AZ218*(AZ$3-AY$3)+BA218*(BA$3-AZ$3))/(BA$3-AY$3)</f>
        <v>4923.7020013844667</v>
      </c>
      <c r="DB218" s="41">
        <f>(BB218*(BB$3-BA$3)+BC218*(BC$3-BB$3))/(BC$3-BA$3)</f>
        <v>5065.6722759467029</v>
      </c>
      <c r="DC218" s="41">
        <f>(BD218*(BD$3-BC$3)+BE218*(BE$3-BD$3))/(BE$3-BC$3)</f>
        <v>5167.6774951795896</v>
      </c>
      <c r="DD218" s="41">
        <f>(BF218*(BF$3-BE$3)+BG218*(BG$3-BF$3))/(BG$3-BE$3)</f>
        <v>5271.8808197955332</v>
      </c>
      <c r="DE218" s="41">
        <f>(BH218*(BH$3-BG$3)+BI218*(BI$3-BH$3))/(BI$3-BG$3)</f>
        <v>5378.1118575497458</v>
      </c>
      <c r="DF218" s="41">
        <f>(BJ218*(BJ$3-BI$3)+BK218*(BK$3-BJ$3))/(BK$3-BI$3)</f>
        <v>5486.4835038966185</v>
      </c>
      <c r="DG218" s="41">
        <f>(BL218*(BL$3-BK$3)+BM218*(BM$3-BL$3))/(BM$3-BK$3)</f>
        <v>5596.9624141273471</v>
      </c>
      <c r="DH218" s="41">
        <f>(BN218*(BN$3-BM$3)+BO218*(BO$3-BN$3))/(BO$3-BM$3)</f>
        <v>5709.8220288859247</v>
      </c>
      <c r="DI218" s="41">
        <f>(BP218*(BP$3-BO$3)+BQ218*(BQ$3-BP$3))/(BQ$3-BO$3)</f>
        <v>5824.8778012476278</v>
      </c>
    </row>
    <row r="219" spans="1:113" s="17" customFormat="1" ht="12" outlineLevel="1">
      <c r="A219" s="1" t="s">
        <v>482</v>
      </c>
      <c r="B219" s="17" t="s">
        <v>168</v>
      </c>
      <c r="C219" s="61">
        <f>91196+15313</f>
        <v>106509</v>
      </c>
      <c r="D219" s="61">
        <f>93525+14826</f>
        <v>108351</v>
      </c>
      <c r="E219" s="61">
        <f>98154+14287</f>
        <v>112441</v>
      </c>
      <c r="F219" s="61">
        <f>106031+13577</f>
        <v>119608</v>
      </c>
      <c r="G219" s="61">
        <f>114466+13231</f>
        <v>127697</v>
      </c>
      <c r="H219" s="61">
        <f>125003+13635</f>
        <v>138638</v>
      </c>
      <c r="I219" s="61">
        <f>134313+13161</f>
        <v>147474</v>
      </c>
      <c r="J219" s="61">
        <f>147149+13073</f>
        <v>160222</v>
      </c>
      <c r="K219" s="61">
        <f>156622+13258</f>
        <v>169880</v>
      </c>
      <c r="L219" s="61">
        <f>165103+13725</f>
        <v>178828</v>
      </c>
      <c r="M219" s="61">
        <f>175106+13847</f>
        <v>188953</v>
      </c>
      <c r="N219" s="61">
        <f>183663+13777</f>
        <v>197440</v>
      </c>
      <c r="O219" s="61">
        <f>193474+13926</f>
        <v>207400</v>
      </c>
      <c r="P219" s="61">
        <f>212453+15027</f>
        <v>227480</v>
      </c>
      <c r="Q219" s="61">
        <f>228278+15767</f>
        <v>244045</v>
      </c>
      <c r="R219" s="61">
        <f>240205+14640</f>
        <v>254845</v>
      </c>
      <c r="S219" s="61">
        <f>236847+14699</f>
        <v>251546</v>
      </c>
      <c r="T219" s="61">
        <v>252453</v>
      </c>
      <c r="U219" s="61">
        <v>262150</v>
      </c>
      <c r="V219" s="61">
        <v>277574</v>
      </c>
      <c r="W219" s="61">
        <v>284053</v>
      </c>
      <c r="X219" s="61">
        <v>295540</v>
      </c>
      <c r="Y219" s="61">
        <v>308587</v>
      </c>
      <c r="Z219" s="194">
        <v>313425</v>
      </c>
      <c r="AA219" s="194">
        <v>321973</v>
      </c>
      <c r="AB219" s="194">
        <v>332847</v>
      </c>
      <c r="AC219" s="194">
        <v>352275</v>
      </c>
      <c r="AD219" s="194">
        <v>358774</v>
      </c>
      <c r="AE219" s="194">
        <v>377090</v>
      </c>
      <c r="AF219" s="194">
        <f>364039</f>
        <v>364039</v>
      </c>
      <c r="AG219" s="194">
        <f>369168</f>
        <v>369168</v>
      </c>
      <c r="AH219" s="194">
        <f>375642</f>
        <v>375642</v>
      </c>
      <c r="AI219" s="194">
        <v>382613</v>
      </c>
      <c r="AJ219" s="194">
        <v>389907</v>
      </c>
      <c r="AK219" s="194">
        <v>395442</v>
      </c>
      <c r="AL219" s="194">
        <v>401296</v>
      </c>
      <c r="AM219" s="194">
        <v>400584</v>
      </c>
      <c r="AN219" s="194">
        <v>408922</v>
      </c>
      <c r="AO219" s="194">
        <v>415126</v>
      </c>
      <c r="AP219" s="194">
        <v>406222</v>
      </c>
      <c r="AQ219" s="194">
        <v>397361</v>
      </c>
      <c r="AR219" s="194">
        <v>402017</v>
      </c>
      <c r="AS219" s="194">
        <v>410151</v>
      </c>
      <c r="AT219" s="194">
        <v>432682</v>
      </c>
      <c r="AU219" s="194">
        <v>434528</v>
      </c>
      <c r="AV219" s="194">
        <v>449835</v>
      </c>
      <c r="AW219" s="194">
        <v>486678</v>
      </c>
      <c r="AX219" s="194">
        <v>541632</v>
      </c>
      <c r="AY219" s="227">
        <v>555447</v>
      </c>
      <c r="AZ219" s="62">
        <f>AY219*AVERAGE(AY161:AZ161)/AVERAGE(AX161:AY161)</f>
        <v>573423.024430422</v>
      </c>
      <c r="BA219" s="62">
        <f t="shared" ref="BA219" si="2447">AZ219*AVERAGE(AZ161:BA161)/AVERAGE(AY161:AZ161)</f>
        <v>590088.01263349515</v>
      </c>
      <c r="BB219" s="62">
        <f t="shared" ref="BB219" si="2448">BA219*AVERAGE(BA161:BB161)/AVERAGE(AZ161:BA161)</f>
        <v>606130.57208360801</v>
      </c>
      <c r="BC219" s="62">
        <f t="shared" ref="BC219" si="2449">BB219*AVERAGE(BB161:BC161)/AVERAGE(BA161:BB161)</f>
        <v>622983.68839876517</v>
      </c>
      <c r="BD219" s="62">
        <f t="shared" ref="BD219" si="2450">BC219*AVERAGE(BC161:BD161)/AVERAGE(BB161:BC161)</f>
        <v>640174.89887248736</v>
      </c>
      <c r="BE219" s="62">
        <f t="shared" ref="BE219" si="2451">BD219*AVERAGE(BD161:BE161)/AVERAGE(BC161:BD161)</f>
        <v>657281.39420438895</v>
      </c>
      <c r="BF219" s="62">
        <f t="shared" ref="BF219" si="2452">BE219*AVERAGE(BE161:BF161)/AVERAGE(BD161:BE161)</f>
        <v>674127.44241558132</v>
      </c>
      <c r="BG219" s="62">
        <f t="shared" ref="BG219:BK219" si="2453">BF219*AVERAGE(BF161:BG161)/AVERAGE(BE161:BF161)</f>
        <v>690244.91561383242</v>
      </c>
      <c r="BH219" s="62">
        <f t="shared" si="2453"/>
        <v>705741.76589928463</v>
      </c>
      <c r="BI219" s="62">
        <f t="shared" si="2453"/>
        <v>720440.85918692977</v>
      </c>
      <c r="BJ219" s="62">
        <f t="shared" si="2453"/>
        <v>734867.26647861511</v>
      </c>
      <c r="BK219" s="62">
        <f t="shared" si="2453"/>
        <v>749583.09865573386</v>
      </c>
      <c r="BL219" s="62">
        <f t="shared" ref="BL219" si="2454">BK219*AVERAGE(BK161:BL161)/AVERAGE(BJ161:BK161)</f>
        <v>764594.16768582503</v>
      </c>
      <c r="BM219" s="62">
        <f t="shared" ref="BM219" si="2455">BL219*AVERAGE(BL161:BM161)/AVERAGE(BK161:BL161)</f>
        <v>779906.4023021108</v>
      </c>
      <c r="BN219" s="62">
        <f t="shared" ref="BN219" si="2456">BM219*AVERAGE(BM161:BN161)/AVERAGE(BL161:BM161)</f>
        <v>795525.85034993803</v>
      </c>
      <c r="BO219" s="62">
        <f t="shared" ref="BO219" si="2457">BN219*AVERAGE(BN161:BO161)/AVERAGE(BM161:BN161)</f>
        <v>811458.68118037609</v>
      </c>
      <c r="BP219" s="62">
        <f t="shared" ref="BP219" si="2458">BO219*AVERAGE(BO161:BP161)/AVERAGE(BN161:BO161)</f>
        <v>827711.18809192104</v>
      </c>
      <c r="BQ219" s="62">
        <f t="shared" ref="BQ219" si="2459">BP219*AVERAGE(BP161:BQ161)/AVERAGE(BO161:BP161)</f>
        <v>844289.79082127172</v>
      </c>
      <c r="BR219" s="62"/>
      <c r="BS219" s="61">
        <v>41009</v>
      </c>
      <c r="BT219" s="61">
        <v>41152</v>
      </c>
      <c r="BU219" s="61">
        <v>41411</v>
      </c>
      <c r="BV219" s="61">
        <v>44783</v>
      </c>
      <c r="BW219" s="61">
        <v>48243</v>
      </c>
      <c r="BX219" s="61">
        <v>52703</v>
      </c>
      <c r="BY219" s="61">
        <v>59133</v>
      </c>
      <c r="BZ219" s="61">
        <v>69251</v>
      </c>
      <c r="CA219" s="61">
        <v>81373</v>
      </c>
      <c r="CB219" s="61">
        <v>90028</v>
      </c>
      <c r="CC219" s="62">
        <f>SUMPRODUCT(D219:E219,D$5:E$5)/SUM(D$5:E$5)</f>
        <v>110390.39726027397</v>
      </c>
      <c r="CD219" s="62">
        <f>SUMPRODUCT(F219:G219,F$5:G$5)/SUM(F$5:G$5)</f>
        <v>123641.4191780822</v>
      </c>
      <c r="CE219" s="62">
        <f>SUMPRODUCT(H219:I219,H$5:I$5)/SUM(H$5:I$5)</f>
        <v>143056</v>
      </c>
      <c r="CF219" s="62">
        <f>SUMPRODUCT(J219:K219,J$5:K$5)/SUM(J$5:K$5)</f>
        <v>165037.7698630137</v>
      </c>
      <c r="CG219" s="194">
        <f>170576+13786</f>
        <v>184362</v>
      </c>
      <c r="CH219" s="194">
        <f>188582+13852</f>
        <v>202434</v>
      </c>
      <c r="CI219" s="194">
        <f>220367+15397</f>
        <v>235764</v>
      </c>
      <c r="CJ219" s="194">
        <f>238521+14670</f>
        <v>253191</v>
      </c>
      <c r="CK219" s="194">
        <v>257682</v>
      </c>
      <c r="CL219" s="194">
        <v>280821</v>
      </c>
      <c r="CM219" s="194">
        <v>302063</v>
      </c>
      <c r="CN219" s="194">
        <v>316864</v>
      </c>
      <c r="CO219" s="194">
        <v>342587</v>
      </c>
      <c r="CP219" s="194">
        <v>366823</v>
      </c>
      <c r="CQ219" s="194">
        <v>366603</v>
      </c>
      <c r="CR219" s="194">
        <v>379137</v>
      </c>
      <c r="CS219" s="194">
        <v>392705</v>
      </c>
      <c r="CT219" s="194">
        <v>400938</v>
      </c>
      <c r="CU219" s="194">
        <v>412025</v>
      </c>
      <c r="CV219" s="194">
        <v>401777</v>
      </c>
      <c r="CW219" s="194">
        <v>406095</v>
      </c>
      <c r="CX219" s="194">
        <v>433607</v>
      </c>
      <c r="CY219" s="194">
        <v>468256</v>
      </c>
      <c r="CZ219" s="227">
        <v>548559</v>
      </c>
      <c r="DA219" s="62">
        <f>(AZ219*(AZ$3-AY$3)+BA219*(BA$3-AZ$3))/(BA$3-AY$3)</f>
        <v>581778.34728292166</v>
      </c>
      <c r="DB219" s="62">
        <f>(BB219*(BB$3-BA$3)+BC219*(BC$3-BB$3))/(BC$3-BA$3)</f>
        <v>614580.21670189232</v>
      </c>
      <c r="DC219" s="62">
        <f>(BD219*(BD$3-BC$3)+BE219*(BE$3-BD$3))/(BE$3-BC$3)</f>
        <v>648728.14653843816</v>
      </c>
      <c r="DD219" s="62">
        <f>(BF219*(BF$3-BE$3)+BG219*(BG$3-BF$3))/(BG$3-BE$3)</f>
        <v>682208.25774511544</v>
      </c>
      <c r="DE219" s="62">
        <f>(BH219*(BH$3-BG$3)+BI219*(BI$3-BH$3))/(BI$3-BG$3)</f>
        <v>713111.44828733674</v>
      </c>
      <c r="DF219" s="62">
        <f>(BJ219*(BJ$3-BI$3)+BK219*(BK$3-BJ$3))/(BK$3-BI$3)</f>
        <v>742245.34124138975</v>
      </c>
      <c r="DG219" s="62">
        <f>(BL219*(BL$3-BK$3)+BM219*(BM$3-BL$3))/(BM$3-BK$3)</f>
        <v>772250.28499396786</v>
      </c>
      <c r="DH219" s="62">
        <f>(BN219*(BN$3-BM$3)+BO219*(BO$3-BN$3))/(BO$3-BM$3)</f>
        <v>803514.09156081511</v>
      </c>
      <c r="DI219" s="62">
        <f>(BP219*(BP$3-BO$3)+BQ219*(BQ$3-BP$3))/(BQ$3-BO$3)</f>
        <v>836023.19987129408</v>
      </c>
    </row>
    <row r="220" spans="1:113" ht="12" outlineLevel="1">
      <c r="C220" s="41"/>
      <c r="D220" s="41"/>
      <c r="E220" s="41"/>
      <c r="F220" s="41"/>
      <c r="G220" s="41"/>
      <c r="H220" s="41"/>
      <c r="I220" s="41"/>
      <c r="J220" s="41"/>
      <c r="K220" s="41"/>
      <c r="L220" s="41"/>
      <c r="M220" s="41"/>
      <c r="N220" s="41"/>
      <c r="O220" s="41"/>
      <c r="P220" s="41"/>
      <c r="Q220" s="41"/>
      <c r="R220" s="41"/>
      <c r="S220" s="41"/>
      <c r="T220" s="41"/>
      <c r="U220" s="41"/>
      <c r="V220" s="41"/>
      <c r="W220" s="41"/>
      <c r="X220" s="41"/>
      <c r="Y220" s="41"/>
      <c r="Z220" s="41"/>
      <c r="AA220" s="41"/>
      <c r="AB220" s="41"/>
      <c r="AC220" s="41"/>
      <c r="AD220" s="41"/>
      <c r="AE220" s="41"/>
      <c r="AF220" s="41"/>
      <c r="AG220" s="41"/>
      <c r="AH220" s="41"/>
      <c r="AI220" s="41"/>
      <c r="AJ220" s="41"/>
      <c r="AK220" s="41"/>
      <c r="AL220" s="41"/>
      <c r="AM220" s="41"/>
      <c r="AN220" s="41"/>
      <c r="AO220" s="41"/>
      <c r="AP220" s="41"/>
      <c r="AQ220" s="41"/>
      <c r="AR220" s="41"/>
      <c r="AS220" s="41"/>
      <c r="AT220" s="41"/>
      <c r="AU220" s="41"/>
      <c r="AV220" s="41"/>
      <c r="AW220" s="41"/>
      <c r="AX220" s="41"/>
      <c r="AY220" s="211"/>
      <c r="AZ220" s="41"/>
      <c r="BA220" s="41"/>
      <c r="BB220" s="41"/>
      <c r="BC220" s="41"/>
      <c r="BD220" s="41"/>
      <c r="BE220" s="41"/>
      <c r="BF220" s="41"/>
      <c r="BG220" s="41"/>
      <c r="BH220" s="41"/>
      <c r="BI220" s="41"/>
      <c r="BJ220" s="41"/>
      <c r="BK220" s="41"/>
      <c r="BL220" s="41"/>
      <c r="BM220" s="41"/>
      <c r="BN220" s="41"/>
      <c r="BO220" s="41"/>
      <c r="BP220" s="41"/>
      <c r="BQ220" s="41"/>
      <c r="BR220" s="41"/>
      <c r="BS220" s="41"/>
      <c r="BT220" s="41"/>
      <c r="BU220" s="41"/>
      <c r="BV220" s="41"/>
      <c r="BW220" s="41"/>
      <c r="BX220" s="41"/>
      <c r="BY220" s="41"/>
      <c r="BZ220" s="41"/>
      <c r="CA220" s="41"/>
      <c r="CB220" s="41"/>
      <c r="CC220" s="41"/>
      <c r="CD220" s="41"/>
      <c r="CE220" s="41"/>
      <c r="CF220" s="41"/>
      <c r="CG220" s="41"/>
      <c r="CH220" s="41"/>
      <c r="CI220" s="41"/>
      <c r="CJ220" s="41"/>
      <c r="CK220" s="41"/>
      <c r="CL220" s="41"/>
      <c r="CM220" s="41"/>
      <c r="CN220" s="41"/>
      <c r="CO220" s="41"/>
      <c r="CP220" s="41"/>
      <c r="CQ220" s="41"/>
      <c r="CR220" s="41"/>
      <c r="CS220" s="41"/>
      <c r="CT220" s="41"/>
      <c r="CU220" s="41"/>
      <c r="CV220" s="41"/>
      <c r="CW220" s="41"/>
      <c r="CX220" s="41"/>
      <c r="CY220" s="41"/>
      <c r="CZ220" s="211"/>
      <c r="DA220" s="41"/>
      <c r="DB220" s="41"/>
      <c r="DC220" s="41"/>
      <c r="DD220" s="41"/>
      <c r="DE220" s="41"/>
      <c r="DF220" s="41"/>
      <c r="DG220" s="41"/>
      <c r="DH220" s="41"/>
      <c r="DI220" s="41"/>
    </row>
    <row r="221" spans="1:113" s="17" customFormat="1" ht="12" outlineLevel="1">
      <c r="A221" s="1"/>
      <c r="B221" s="17" t="s">
        <v>408</v>
      </c>
      <c r="C221" s="62"/>
      <c r="D221" s="62"/>
      <c r="E221" s="62"/>
      <c r="F221" s="62"/>
      <c r="G221" s="62"/>
      <c r="H221" s="62"/>
      <c r="I221" s="62"/>
      <c r="J221" s="62"/>
      <c r="K221" s="62"/>
      <c r="L221" s="62"/>
      <c r="M221" s="62"/>
      <c r="N221" s="62"/>
      <c r="O221" s="62"/>
      <c r="P221" s="62"/>
      <c r="Q221" s="62"/>
      <c r="R221" s="62"/>
      <c r="S221" s="62"/>
      <c r="T221" s="62"/>
      <c r="U221" s="62"/>
      <c r="V221" s="62"/>
      <c r="W221" s="62"/>
      <c r="X221" s="62"/>
      <c r="Y221" s="62"/>
      <c r="Z221" s="62"/>
      <c r="AA221" s="62"/>
      <c r="AB221" s="62"/>
      <c r="AC221" s="62"/>
      <c r="AD221" s="62"/>
      <c r="AE221" s="62"/>
      <c r="AF221" s="62"/>
      <c r="AG221" s="62"/>
      <c r="AH221" s="62"/>
      <c r="AI221" s="62"/>
      <c r="AJ221" s="62"/>
      <c r="AK221" s="62"/>
      <c r="AL221" s="62"/>
      <c r="AM221" s="62"/>
      <c r="AN221" s="62"/>
      <c r="AO221" s="62"/>
      <c r="AP221" s="62"/>
      <c r="AQ221" s="62"/>
      <c r="AR221" s="62"/>
      <c r="AS221" s="62"/>
      <c r="AT221" s="62"/>
      <c r="AU221" s="62"/>
      <c r="AV221" s="62"/>
      <c r="AW221" s="62"/>
      <c r="AX221" s="62"/>
      <c r="AY221" s="220"/>
      <c r="AZ221" s="62"/>
      <c r="BA221" s="62"/>
      <c r="BB221" s="62"/>
      <c r="BC221" s="62"/>
      <c r="BD221" s="62"/>
      <c r="BE221" s="62"/>
      <c r="BF221" s="62"/>
      <c r="BG221" s="62"/>
      <c r="BH221" s="62"/>
      <c r="BI221" s="62"/>
      <c r="BJ221" s="62"/>
      <c r="BK221" s="62"/>
      <c r="BL221" s="62"/>
      <c r="BM221" s="62"/>
      <c r="BN221" s="62"/>
      <c r="BO221" s="62"/>
      <c r="BP221" s="62"/>
      <c r="BQ221" s="62"/>
      <c r="BR221" s="62"/>
      <c r="BS221" s="62"/>
      <c r="BT221" s="62"/>
      <c r="BU221" s="62"/>
      <c r="BV221" s="62"/>
      <c r="BW221" s="62"/>
      <c r="BX221" s="62"/>
      <c r="BY221" s="62"/>
      <c r="BZ221" s="62"/>
      <c r="CA221" s="62"/>
      <c r="CB221" s="62"/>
      <c r="CC221" s="62"/>
      <c r="CD221" s="62"/>
      <c r="CE221" s="62"/>
      <c r="CF221" s="62"/>
      <c r="CG221" s="62"/>
      <c r="CH221" s="62"/>
      <c r="CI221" s="62"/>
      <c r="CJ221" s="62"/>
      <c r="CK221" s="62"/>
      <c r="CL221" s="62"/>
      <c r="CM221" s="62"/>
      <c r="CN221" s="62"/>
      <c r="CO221" s="62"/>
      <c r="CP221" s="62"/>
      <c r="CQ221" s="62"/>
      <c r="CR221" s="62"/>
      <c r="CS221" s="62"/>
      <c r="CT221" s="62"/>
      <c r="CU221" s="62"/>
      <c r="CV221" s="62"/>
      <c r="CW221" s="62"/>
      <c r="CX221" s="62"/>
      <c r="CY221" s="62"/>
      <c r="CZ221" s="220"/>
      <c r="DA221" s="62"/>
      <c r="DB221" s="62"/>
      <c r="DC221" s="62"/>
      <c r="DD221" s="62"/>
      <c r="DE221" s="62"/>
      <c r="DF221" s="62"/>
      <c r="DG221" s="62"/>
      <c r="DH221" s="62"/>
      <c r="DI221" s="62"/>
    </row>
    <row r="222" spans="1:113" ht="12" outlineLevel="1">
      <c r="A222" s="1" t="s">
        <v>483</v>
      </c>
      <c r="B222" s="15" t="s">
        <v>164</v>
      </c>
      <c r="C222" s="41">
        <f t="shared" ref="C222:L222" si="2460">C$224*AVERAGE(B164:C164)/AVERAGE(B$167:C$167)</f>
        <v>8981.3927342256211</v>
      </c>
      <c r="D222" s="41">
        <f t="shared" si="2460"/>
        <v>9061.156097030349</v>
      </c>
      <c r="E222" s="41">
        <f t="shared" si="2460"/>
        <v>9452.139282291555</v>
      </c>
      <c r="F222" s="41">
        <f t="shared" si="2460"/>
        <v>10161.19935897436</v>
      </c>
      <c r="G222" s="41">
        <f t="shared" si="2460"/>
        <v>10256.917814682016</v>
      </c>
      <c r="H222" s="41">
        <f t="shared" si="2460"/>
        <v>22014.936888913064</v>
      </c>
      <c r="I222" s="41">
        <f t="shared" si="2460"/>
        <v>29635.921284140433</v>
      </c>
      <c r="J222" s="41">
        <f t="shared" si="2460"/>
        <v>32081.72970480478</v>
      </c>
      <c r="K222" s="41">
        <f t="shared" si="2460"/>
        <v>34021.347655564947</v>
      </c>
      <c r="L222" s="41">
        <f t="shared" si="2460"/>
        <v>35808.668961113792</v>
      </c>
      <c r="M222" s="41">
        <f t="shared" ref="M222:AY222" si="2461">M$224*AVERAGE(L164:M164)/AVERAGE(L$167:M$167)</f>
        <v>35265.996585567627</v>
      </c>
      <c r="N222" s="41">
        <f t="shared" si="2461"/>
        <v>39269.039182138862</v>
      </c>
      <c r="O222" s="41">
        <f t="shared" si="2461"/>
        <v>42383.373876532612</v>
      </c>
      <c r="P222" s="41">
        <f t="shared" si="2461"/>
        <v>43903.195470456587</v>
      </c>
      <c r="Q222" s="41">
        <f t="shared" si="2461"/>
        <v>43093.658927709301</v>
      </c>
      <c r="R222" s="41">
        <f t="shared" si="2461"/>
        <v>45096.473775885424</v>
      </c>
      <c r="S222" s="41">
        <f t="shared" si="2461"/>
        <v>43287.492371994544</v>
      </c>
      <c r="T222" s="41">
        <f t="shared" si="2461"/>
        <v>42609.45514193808</v>
      </c>
      <c r="U222" s="41">
        <f t="shared" si="2461"/>
        <v>42809.304214135162</v>
      </c>
      <c r="V222" s="41">
        <f t="shared" si="2461"/>
        <v>41270.75309463231</v>
      </c>
      <c r="W222" s="41">
        <f t="shared" si="2461"/>
        <v>41841.123383867765</v>
      </c>
      <c r="X222" s="41">
        <f t="shared" si="2461"/>
        <v>41592.242750355719</v>
      </c>
      <c r="Y222" s="41">
        <f t="shared" si="2461"/>
        <v>42904.598484947688</v>
      </c>
      <c r="Z222" s="41">
        <f t="shared" si="2461"/>
        <v>45332.882132423605</v>
      </c>
      <c r="AA222" s="41">
        <f t="shared" si="2461"/>
        <v>49553.706049523491</v>
      </c>
      <c r="AB222" s="41">
        <f t="shared" si="2461"/>
        <v>55020.678816673273</v>
      </c>
      <c r="AC222" s="41">
        <f t="shared" si="2461"/>
        <v>56728.598643685247</v>
      </c>
      <c r="AD222" s="41">
        <f t="shared" si="2461"/>
        <v>59382.209711331539</v>
      </c>
      <c r="AE222" s="41">
        <f t="shared" si="2461"/>
        <v>61147.777834397311</v>
      </c>
      <c r="AF222" s="41">
        <f t="shared" si="2461"/>
        <v>64139.055844840106</v>
      </c>
      <c r="AG222" s="41">
        <f t="shared" si="2461"/>
        <v>67796.86397864492</v>
      </c>
      <c r="AH222" s="41">
        <f t="shared" si="2461"/>
        <v>70044.036899787112</v>
      </c>
      <c r="AI222" s="41">
        <f t="shared" si="2461"/>
        <v>70757.173166434382</v>
      </c>
      <c r="AJ222" s="41">
        <f t="shared" si="2461"/>
        <v>71217.148536903813</v>
      </c>
      <c r="AK222" s="41">
        <f t="shared" si="2461"/>
        <v>73540.721200933913</v>
      </c>
      <c r="AL222" s="41">
        <f t="shared" si="2461"/>
        <v>77179.22842119445</v>
      </c>
      <c r="AM222" s="41">
        <f t="shared" si="2461"/>
        <v>79327.697689084016</v>
      </c>
      <c r="AN222" s="41">
        <f t="shared" si="2461"/>
        <v>82271.282897429803</v>
      </c>
      <c r="AO222" s="41">
        <f t="shared" si="2461"/>
        <v>83183.411014633079</v>
      </c>
      <c r="AP222" s="41">
        <f t="shared" si="2461"/>
        <v>86389.027416969751</v>
      </c>
      <c r="AQ222" s="41">
        <f t="shared" si="2461"/>
        <v>91683.795073383269</v>
      </c>
      <c r="AR222" s="41">
        <f t="shared" si="2461"/>
        <v>95435.498579996012</v>
      </c>
      <c r="AS222" s="41">
        <f t="shared" si="2461"/>
        <v>94063.863236757607</v>
      </c>
      <c r="AT222" s="41">
        <f t="shared" si="2461"/>
        <v>96162.761885781758</v>
      </c>
      <c r="AU222" s="41">
        <f t="shared" si="2461"/>
        <v>98245.819131636134</v>
      </c>
      <c r="AV222" s="41">
        <f t="shared" si="2461"/>
        <v>100682.59616765779</v>
      </c>
      <c r="AW222" s="41">
        <f t="shared" si="2461"/>
        <v>100847.6451191689</v>
      </c>
      <c r="AX222" s="41">
        <f t="shared" si="2461"/>
        <v>101559.52461991312</v>
      </c>
      <c r="AY222" s="211">
        <f t="shared" si="2461"/>
        <v>104994.21198723288</v>
      </c>
      <c r="AZ222" s="41">
        <f t="shared" ref="AZ222" si="2462">AZ$224*AVERAGE(AY164:AZ164)/AVERAGE(AY$167:AZ$167)</f>
        <v>107541.52255540436</v>
      </c>
      <c r="BA222" s="41">
        <f t="shared" ref="BA222" si="2463">BA$224*AVERAGE(AZ164:BA164)/AVERAGE(AZ$167:BA$167)</f>
        <v>110225.18983468981</v>
      </c>
      <c r="BB222" s="41">
        <f t="shared" ref="BB222" si="2464">BB$224*AVERAGE(BA164:BB164)/AVERAGE(BA$167:BB$167)</f>
        <v>109571.62933207868</v>
      </c>
      <c r="BC222" s="41">
        <f t="shared" ref="BC222" si="2465">BC$224*AVERAGE(BB164:BC164)/AVERAGE(BB$167:BC$167)</f>
        <v>110012.30490384265</v>
      </c>
      <c r="BD222" s="41">
        <f t="shared" ref="BD222" si="2466">BD$224*AVERAGE(BC164:BD164)/AVERAGE(BC$167:BD$167)</f>
        <v>111157.66167471661</v>
      </c>
      <c r="BE222" s="41">
        <f t="shared" ref="BE222" si="2467">BE$224*AVERAGE(BD164:BE164)/AVERAGE(BD$167:BE$167)</f>
        <v>111883.18000112131</v>
      </c>
      <c r="BF222" s="41">
        <f t="shared" ref="BF222" si="2468">BF$224*AVERAGE(BE164:BF164)/AVERAGE(BE$167:BF$167)</f>
        <v>112483.25966246202</v>
      </c>
      <c r="BG222" s="41">
        <f t="shared" ref="BG222:BK222" si="2469">BG$224*AVERAGE(BF164:BG164)/AVERAGE(BF$167:BG$167)</f>
        <v>113259.54524687042</v>
      </c>
      <c r="BH222" s="41">
        <f t="shared" si="2469"/>
        <v>114275.81997842623</v>
      </c>
      <c r="BI222" s="41">
        <f t="shared" si="2469"/>
        <v>115474.17045848712</v>
      </c>
      <c r="BJ222" s="41">
        <f t="shared" si="2469"/>
        <v>116995.5896078154</v>
      </c>
      <c r="BK222" s="41">
        <f t="shared" si="2469"/>
        <v>119085.22698332128</v>
      </c>
      <c r="BL222" s="41">
        <f t="shared" ref="BL222" si="2470">BL$224*AVERAGE(BK164:BL164)/AVERAGE(BK$167:BL$167)</f>
        <v>121478.84004568605</v>
      </c>
      <c r="BM222" s="41">
        <f t="shared" ref="BM222" si="2471">BM$224*AVERAGE(BL164:BM164)/AVERAGE(BL$167:BM$167)</f>
        <v>123920.56473060435</v>
      </c>
      <c r="BN222" s="41">
        <f t="shared" ref="BN222" si="2472">BN$224*AVERAGE(BM164:BN164)/AVERAGE(BM$167:BN$167)</f>
        <v>126411.36808168952</v>
      </c>
      <c r="BO222" s="41">
        <f t="shared" ref="BO222" si="2473">BO$224*AVERAGE(BN164:BO164)/AVERAGE(BN$167:BO$167)</f>
        <v>128952.23658013147</v>
      </c>
      <c r="BP222" s="41">
        <f t="shared" ref="BP222" si="2474">BP$224*AVERAGE(BO164:BP164)/AVERAGE(BO$167:BP$167)</f>
        <v>131544.17653539212</v>
      </c>
      <c r="BQ222" s="41">
        <f t="shared" ref="BQ222" si="2475">BQ$224*AVERAGE(BP164:BQ164)/AVERAGE(BP$167:BQ$167)</f>
        <v>134188.21448375349</v>
      </c>
      <c r="BR222" s="41"/>
      <c r="BS222" s="41">
        <f t="shared" ref="BS222:CB222" si="2476">BS$224*AVERAGE(BR164:BS164)/AVERAGE(BR$167:BS$167)</f>
        <v>4207.9144712513807</v>
      </c>
      <c r="BT222" s="41">
        <f t="shared" si="2476"/>
        <v>4315.9103180740985</v>
      </c>
      <c r="BU222" s="41">
        <f t="shared" si="2476"/>
        <v>4490.7537303915333</v>
      </c>
      <c r="BV222" s="41">
        <f t="shared" si="2476"/>
        <v>5679.887769417167</v>
      </c>
      <c r="BW222" s="41">
        <f t="shared" si="2476"/>
        <v>6547.6342303277643</v>
      </c>
      <c r="BX222" s="41">
        <f t="shared" si="2476"/>
        <v>7301.6196913658969</v>
      </c>
      <c r="BY222" s="41">
        <f t="shared" si="2476"/>
        <v>7507.715852569826</v>
      </c>
      <c r="BZ222" s="41">
        <f t="shared" si="2476"/>
        <v>7799.0052289248824</v>
      </c>
      <c r="CA222" s="41">
        <f t="shared" si="2476"/>
        <v>8520.2479017718379</v>
      </c>
      <c r="CB222" s="41">
        <f t="shared" si="2476"/>
        <v>8869.321357744373</v>
      </c>
      <c r="CC222" s="41">
        <f>SUMPRODUCT(D222:E222,D$5:E$5)/SUM(D$5:E$5)</f>
        <v>9256.1120962564855</v>
      </c>
      <c r="CD222" s="41">
        <f>SUMPRODUCT(F222:G222,F$5:G$5)/SUM(F$5:G$5)</f>
        <v>10208.927465655986</v>
      </c>
      <c r="CE222" s="41">
        <f>SUMPRODUCT(H222:I222,H$5:I$5)/SUM(H$5:I$5)</f>
        <v>25825.429086526747</v>
      </c>
      <c r="CF222" s="41">
        <f>SUMPRODUCT(J222:K222,J$5:K$5)/SUM(J$5:K$5)</f>
        <v>33048.881669293412</v>
      </c>
      <c r="CG222" s="41">
        <f t="shared" ref="CG222:CV222" si="2477">CG$224*AVERAGE(CF164:CG164)/AVERAGE(CF$167:CG$167)</f>
        <v>35557.714294286634</v>
      </c>
      <c r="CH222" s="41">
        <f t="shared" si="2477"/>
        <v>40631.779176240845</v>
      </c>
      <c r="CI222" s="41">
        <f t="shared" si="2477"/>
        <v>43118.534501001399</v>
      </c>
      <c r="CJ222" s="41">
        <f t="shared" si="2477"/>
        <v>44108.428870868192</v>
      </c>
      <c r="CK222" s="41">
        <f t="shared" si="2477"/>
        <v>42699.058779201208</v>
      </c>
      <c r="CL222" s="41">
        <f t="shared" si="2477"/>
        <v>41598.775157612341</v>
      </c>
      <c r="CM222" s="41">
        <f t="shared" si="2477"/>
        <v>42387.141899294737</v>
      </c>
      <c r="CN222" s="41">
        <f t="shared" si="2477"/>
        <v>47508.92723660187</v>
      </c>
      <c r="CO222" s="41">
        <f t="shared" si="2477"/>
        <v>55706.326012112273</v>
      </c>
      <c r="CP222" s="41">
        <f t="shared" si="2477"/>
        <v>60338.588819526121</v>
      </c>
      <c r="CQ222" s="41">
        <f t="shared" si="2477"/>
        <v>65973.041467108764</v>
      </c>
      <c r="CR222" s="41">
        <f t="shared" si="2477"/>
        <v>70478.468717237789</v>
      </c>
      <c r="CS222" s="41">
        <f t="shared" si="2477"/>
        <v>72330.412458157472</v>
      </c>
      <c r="CT222" s="41">
        <f t="shared" si="2477"/>
        <v>78407.637300777686</v>
      </c>
      <c r="CU222" s="41">
        <f t="shared" si="2477"/>
        <v>83366.909870099422</v>
      </c>
      <c r="CV222" s="41">
        <f t="shared" si="2477"/>
        <v>88731.475517438885</v>
      </c>
      <c r="CW222" s="41">
        <f>(AR222*(AR$3-AQ$3)+AS222*(AS$3-AR$3))/(AS$3-AQ$3)</f>
        <v>94747.801955851828</v>
      </c>
      <c r="CX222" s="41">
        <f>(AT222*(AT$3-AS$3)+AU222*(AU$3-AT$3))/(AU$3-AS$3)</f>
        <v>97207.144011785451</v>
      </c>
      <c r="CY222" s="41">
        <f>(AV222*(AV$3-AU$3)+AW222*(AW$3-AV$3))/(AW$3-AU$3)</f>
        <v>100765.12064341333</v>
      </c>
      <c r="CZ222" s="211">
        <f>(AX222*(AX$3-AW$3)+AY222*(AY$3-AX$3))/(AY$3-AW$3)</f>
        <v>103281.57335476112</v>
      </c>
      <c r="DA222" s="41">
        <f>(AZ222*(AZ$3-AY$3)+BA222*(BA$3-AZ$3))/(BA$3-AY$3)</f>
        <v>108887.03245159404</v>
      </c>
      <c r="DB222" s="41">
        <f>(BB222*(BB$3-BA$3)+BC222*(BC$3-BB$3))/(BC$3-BA$3)</f>
        <v>109792.57078312746</v>
      </c>
      <c r="DC222" s="41">
        <f>(BD222*(BD$3-BC$3)+BE222*(BE$3-BD$3))/(BE$3-BC$3)</f>
        <v>111520.42083791895</v>
      </c>
      <c r="DD222" s="41">
        <f>(BF222*(BF$3-BE$3)+BG222*(BG$3-BF$3))/(BG$3-BE$3)</f>
        <v>112872.46585957636</v>
      </c>
      <c r="DE222" s="41">
        <f>(BH222*(BH$3-BG$3)+BI222*(BI$3-BH$3))/(BI$3-BG$3)</f>
        <v>114876.63679445676</v>
      </c>
      <c r="DF222" s="41">
        <f>(BJ222*(BJ$3-BI$3)+BK222*(BK$3-BJ$3))/(BK$3-BI$3)</f>
        <v>118043.27081252108</v>
      </c>
      <c r="DG222" s="41">
        <f>(BL222*(BL$3-BK$3)+BM222*(BM$3-BL$3))/(BM$3-BK$3)</f>
        <v>122699.70238814519</v>
      </c>
      <c r="DH222" s="41">
        <f>(BN222*(BN$3-BM$3)+BO222*(BO$3-BN$3))/(BO$3-BM$3)</f>
        <v>127685.28297268918</v>
      </c>
      <c r="DI222" s="41">
        <f>(BP222*(BP$3-BO$3)+BQ222*(BQ$3-BP$3))/(BQ$3-BO$3)</f>
        <v>132869.8174793651</v>
      </c>
    </row>
    <row r="223" spans="1:113" ht="12" outlineLevel="1">
      <c r="A223" s="1" t="s">
        <v>1062</v>
      </c>
      <c r="B223" s="15" t="s">
        <v>344</v>
      </c>
      <c r="C223" s="41">
        <f t="shared" ref="C223:L223" si="2478">C$224*(SUM(AVERAGE(B166:C166),AVERAGE(B165:C165))/AVERAGE(B$167:C$167))</f>
        <v>8519.6072657743789</v>
      </c>
      <c r="D223" s="41">
        <f t="shared" si="2478"/>
        <v>8682.843902969651</v>
      </c>
      <c r="E223" s="41">
        <f t="shared" si="2478"/>
        <v>9059.8607177084432</v>
      </c>
      <c r="F223" s="41">
        <f t="shared" si="2478"/>
        <v>10027.80064102564</v>
      </c>
      <c r="G223" s="41">
        <f t="shared" si="2478"/>
        <v>10283.082185317986</v>
      </c>
      <c r="H223" s="41">
        <f t="shared" si="2478"/>
        <v>19716.063111086936</v>
      </c>
      <c r="I223" s="41">
        <f t="shared" si="2478"/>
        <v>25324.078715859567</v>
      </c>
      <c r="J223" s="41">
        <f t="shared" si="2478"/>
        <v>27115.27029519522</v>
      </c>
      <c r="K223" s="41">
        <f t="shared" si="2478"/>
        <v>28757.652344435057</v>
      </c>
      <c r="L223" s="41">
        <f t="shared" si="2478"/>
        <v>30057.331038886205</v>
      </c>
      <c r="M223" s="41">
        <f t="shared" ref="M223:AY223" si="2479">M$224*(SUM(AVERAGE(L166:M166),AVERAGE(L165:M165))/AVERAGE(L$167:M$167))</f>
        <v>29140.003414432369</v>
      </c>
      <c r="N223" s="41">
        <f t="shared" si="2479"/>
        <v>31611.960817861142</v>
      </c>
      <c r="O223" s="41">
        <f t="shared" si="2479"/>
        <v>33574.626123467388</v>
      </c>
      <c r="P223" s="41">
        <f t="shared" si="2479"/>
        <v>34564.804529543413</v>
      </c>
      <c r="Q223" s="41">
        <f t="shared" si="2479"/>
        <v>34644.341072290707</v>
      </c>
      <c r="R223" s="41">
        <f t="shared" si="2479"/>
        <v>36950.526224114576</v>
      </c>
      <c r="S223" s="41">
        <f t="shared" si="2479"/>
        <v>35080.507628005456</v>
      </c>
      <c r="T223" s="41">
        <f t="shared" si="2479"/>
        <v>34231.544858061912</v>
      </c>
      <c r="U223" s="41">
        <f t="shared" si="2479"/>
        <v>33985.695785864838</v>
      </c>
      <c r="V223" s="41">
        <f t="shared" si="2479"/>
        <v>32338.246905367687</v>
      </c>
      <c r="W223" s="41">
        <f t="shared" si="2479"/>
        <v>32021.876616132231</v>
      </c>
      <c r="X223" s="41">
        <f t="shared" si="2479"/>
        <v>31448.757249644284</v>
      </c>
      <c r="Y223" s="41">
        <f t="shared" si="2479"/>
        <v>32042.401515052316</v>
      </c>
      <c r="Z223" s="41">
        <f t="shared" si="2479"/>
        <v>33080.117867576395</v>
      </c>
      <c r="AA223" s="41">
        <f t="shared" si="2479"/>
        <v>35280.293950476509</v>
      </c>
      <c r="AB223" s="41">
        <f t="shared" si="2479"/>
        <v>38328.321183326727</v>
      </c>
      <c r="AC223" s="41">
        <f t="shared" si="2479"/>
        <v>39460.401356314753</v>
      </c>
      <c r="AD223" s="41">
        <f t="shared" si="2479"/>
        <v>41537.790288668461</v>
      </c>
      <c r="AE223" s="41">
        <f t="shared" si="2479"/>
        <v>42485.222165602689</v>
      </c>
      <c r="AF223" s="41">
        <f t="shared" si="2479"/>
        <v>43621.944155159894</v>
      </c>
      <c r="AG223" s="41">
        <f t="shared" si="2479"/>
        <v>44765.136021355072</v>
      </c>
      <c r="AH223" s="41">
        <f t="shared" si="2479"/>
        <v>45395.963100212881</v>
      </c>
      <c r="AI223" s="41">
        <f t="shared" si="2479"/>
        <v>45114.826833565625</v>
      </c>
      <c r="AJ223" s="41">
        <f t="shared" si="2479"/>
        <v>44301.851463096187</v>
      </c>
      <c r="AK223" s="41">
        <f t="shared" si="2479"/>
        <v>44696.278799066087</v>
      </c>
      <c r="AL223" s="41">
        <f t="shared" si="2479"/>
        <v>46187.771578805558</v>
      </c>
      <c r="AM223" s="41">
        <f t="shared" si="2479"/>
        <v>46524.302310915991</v>
      </c>
      <c r="AN223" s="41">
        <f t="shared" si="2479"/>
        <v>46553.717102570197</v>
      </c>
      <c r="AO223" s="41">
        <f t="shared" si="2479"/>
        <v>43490.588985366921</v>
      </c>
      <c r="AP223" s="41">
        <f t="shared" si="2479"/>
        <v>40420.972583030256</v>
      </c>
      <c r="AQ223" s="41">
        <f t="shared" si="2479"/>
        <v>40169.204926616723</v>
      </c>
      <c r="AR223" s="41">
        <f t="shared" si="2479"/>
        <v>40631.50142000398</v>
      </c>
      <c r="AS223" s="41">
        <f t="shared" si="2479"/>
        <v>39463.136763242386</v>
      </c>
      <c r="AT223" s="41">
        <f t="shared" si="2479"/>
        <v>39898.238114218242</v>
      </c>
      <c r="AU223" s="41">
        <f t="shared" si="2479"/>
        <v>39762.180868363866</v>
      </c>
      <c r="AV223" s="41">
        <f t="shared" si="2479"/>
        <v>39269.403832342214</v>
      </c>
      <c r="AW223" s="41">
        <f t="shared" si="2479"/>
        <v>37976.354880831095</v>
      </c>
      <c r="AX223" s="41">
        <f t="shared" si="2479"/>
        <v>36996.475380086878</v>
      </c>
      <c r="AY223" s="211">
        <f t="shared" si="2479"/>
        <v>38229.788012767131</v>
      </c>
      <c r="AZ223" s="41">
        <f t="shared" ref="AZ223" si="2480">AZ$224*(SUM(AVERAGE(AY166:AZ166),AVERAGE(AY165:AZ165))/AVERAGE(AY$167:AZ$167))</f>
        <v>38451.938716331788</v>
      </c>
      <c r="BA223" s="41">
        <f t="shared" ref="BA223" si="2481">BA$224*(SUM(AVERAGE(AZ166:BA166),AVERAGE(AZ165:BA165))/AVERAGE(AZ$167:BA$167))</f>
        <v>37454.180112740432</v>
      </c>
      <c r="BB223" s="41">
        <f t="shared" ref="BB223" si="2482">BB$224*(SUM(AVERAGE(BA166:BB166),AVERAGE(BA165:BB165))/AVERAGE(BA$167:BB$167))</f>
        <v>35690.209432747426</v>
      </c>
      <c r="BC223" s="41">
        <f t="shared" ref="BC223" si="2483">BC$224*(SUM(AVERAGE(BB166:BC166),AVERAGE(BB165:BC165))/AVERAGE(BB$167:BC$167))</f>
        <v>34205.849579304748</v>
      </c>
      <c r="BD223" s="41">
        <f t="shared" ref="BD223" si="2484">BD$224*(SUM(AVERAGE(BC166:BD166),AVERAGE(BC165:BD165))/AVERAGE(BC$167:BD$167))</f>
        <v>33332.771931251387</v>
      </c>
      <c r="BE223" s="41">
        <f t="shared" ref="BE223" si="2485">BE$224*(SUM(AVERAGE(BD166:BE166),AVERAGE(BD165:BE165))/AVERAGE(BD$167:BE$167))</f>
        <v>32855.242758569839</v>
      </c>
      <c r="BF223" s="41">
        <f t="shared" ref="BF223" si="2486">BF$224*(SUM(AVERAGE(BE166:BF166),AVERAGE(BE165:BF165))/AVERAGE(BE$167:BF$167))</f>
        <v>32510.087983992878</v>
      </c>
      <c r="BG223" s="41">
        <f t="shared" ref="BG223:BK223" si="2487">BG$224*(SUM(AVERAGE(BF166:BG166),AVERAGE(BF165:BG165))/AVERAGE(BF$167:BG$167))</f>
        <v>32217.748777269604</v>
      </c>
      <c r="BH223" s="41">
        <f t="shared" si="2487"/>
        <v>32121.213337010551</v>
      </c>
      <c r="BI223" s="41">
        <f t="shared" si="2487"/>
        <v>32201.435249284856</v>
      </c>
      <c r="BJ223" s="41">
        <f t="shared" si="2487"/>
        <v>32367.485242997242</v>
      </c>
      <c r="BK223" s="41">
        <f t="shared" si="2487"/>
        <v>32684.869116500489</v>
      </c>
      <c r="BL223" s="41">
        <f t="shared" ref="BL223" si="2488">BL$224*(SUM(AVERAGE(BK166:BL166),AVERAGE(BK165:BL165))/AVERAGE(BK$167:BL$167))</f>
        <v>33078.264201186692</v>
      </c>
      <c r="BM223" s="41">
        <f t="shared" ref="BM223" si="2489">BM$224*(SUM(AVERAGE(BL166:BM166),AVERAGE(BL165:BM165))/AVERAGE(BL$167:BM$167))</f>
        <v>33476.394189112172</v>
      </c>
      <c r="BN223" s="41">
        <f t="shared" ref="BN223" si="2490">BN$224*(SUM(AVERAGE(BM166:BN166),AVERAGE(BM165:BN165))/AVERAGE(BM$167:BN$167))</f>
        <v>33879.31606957232</v>
      </c>
      <c r="BO223" s="41">
        <f t="shared" ref="BO223" si="2491">BO$224*(SUM(AVERAGE(BN166:BO166),AVERAGE(BN165:BO165))/AVERAGE(BN$167:BO$167))</f>
        <v>34287.087517785694</v>
      </c>
      <c r="BP223" s="41">
        <f t="shared" ref="BP223" si="2492">BP$224*(SUM(AVERAGE(BO166:BP166),AVERAGE(BO165:BP165))/AVERAGE(BO$167:BP$167))</f>
        <v>34699.766903149757</v>
      </c>
      <c r="BQ223" s="41">
        <f t="shared" ref="BQ223" si="2493">BQ$224*(SUM(AVERAGE(BP166:BQ166),AVERAGE(BP165:BQ165))/AVERAGE(BP$167:BQ$167))</f>
        <v>35117.413297596067</v>
      </c>
      <c r="BR223" s="41"/>
      <c r="BS223" s="41">
        <f t="shared" ref="BS223:CB223" si="2494">BS$224*(SUM(AVERAGE(BR166:BS166),AVERAGE(BR165:BS165))/AVERAGE(BR$167:BS$167))</f>
        <v>4040.6498710191377</v>
      </c>
      <c r="BT223" s="41">
        <f t="shared" si="2494"/>
        <v>4144.3528829306524</v>
      </c>
      <c r="BU223" s="41">
        <f t="shared" si="2494"/>
        <v>4312.2462696084667</v>
      </c>
      <c r="BV223" s="41">
        <f t="shared" si="2494"/>
        <v>5454.1122305828321</v>
      </c>
      <c r="BW223" s="41">
        <f t="shared" si="2494"/>
        <v>6287.3657696722348</v>
      </c>
      <c r="BX223" s="41">
        <f t="shared" si="2494"/>
        <v>7011.3803086341013</v>
      </c>
      <c r="BY223" s="41">
        <f t="shared" si="2494"/>
        <v>7209.2841474301749</v>
      </c>
      <c r="BZ223" s="41">
        <f t="shared" si="2494"/>
        <v>7488.9947710751185</v>
      </c>
      <c r="CA223" s="41">
        <f t="shared" si="2494"/>
        <v>8104.7520982281621</v>
      </c>
      <c r="CB223" s="41">
        <f t="shared" si="2494"/>
        <v>8388.678642255627</v>
      </c>
      <c r="CC223" s="41">
        <f>SUMPRODUCT(D223:E223,D$5:E$5)/SUM(D$5:E$5)</f>
        <v>8870.8358489489947</v>
      </c>
      <c r="CD223" s="41">
        <f>SUMPRODUCT(F223:G223,F$5:G$5)/SUM(F$5:G$5)</f>
        <v>10155.091712426209</v>
      </c>
      <c r="CE223" s="41">
        <f>SUMPRODUCT(H223:I223,H$5:I$5)/SUM(H$5:I$5)</f>
        <v>22520.070913473253</v>
      </c>
      <c r="CF223" s="41">
        <f>SUMPRODUCT(J223:K223,J$5:K$5)/SUM(J$5:K$5)</f>
        <v>27934.211481391521</v>
      </c>
      <c r="CG223" s="41">
        <f t="shared" ref="CG223:CV223" si="2495">CG$224*(SUM(AVERAGE(CF166:CG166),AVERAGE(CF165:CG165))/AVERAGE(CF$167:CG$167))</f>
        <v>29645.285705713362</v>
      </c>
      <c r="CH223" s="41">
        <f t="shared" si="2495"/>
        <v>32794.220823759148</v>
      </c>
      <c r="CI223" s="41">
        <f t="shared" si="2495"/>
        <v>34984.465498998601</v>
      </c>
      <c r="CJ223" s="41">
        <f t="shared" si="2495"/>
        <v>36093.571129131808</v>
      </c>
      <c r="CK223" s="41">
        <f t="shared" si="2495"/>
        <v>34169.941220798799</v>
      </c>
      <c r="CL223" s="41">
        <f t="shared" si="2495"/>
        <v>32137.224842387659</v>
      </c>
      <c r="CM223" s="41">
        <f t="shared" si="2495"/>
        <v>31606.858100705263</v>
      </c>
      <c r="CN223" s="41">
        <f t="shared" si="2495"/>
        <v>34124.07276339813</v>
      </c>
      <c r="CO223" s="41">
        <f t="shared" si="2495"/>
        <v>39066.673987887727</v>
      </c>
      <c r="CP223" s="41">
        <f t="shared" si="2495"/>
        <v>41941.411180473879</v>
      </c>
      <c r="CQ223" s="41">
        <f t="shared" si="2495"/>
        <v>44187.958532891236</v>
      </c>
      <c r="CR223" s="41">
        <f t="shared" si="2495"/>
        <v>45178.531282762204</v>
      </c>
      <c r="CS223" s="41">
        <f t="shared" si="2495"/>
        <v>44551.587541842528</v>
      </c>
      <c r="CT223" s="41">
        <f t="shared" si="2495"/>
        <v>46204.362699222314</v>
      </c>
      <c r="CU223" s="41">
        <f t="shared" si="2495"/>
        <v>44382.090129900585</v>
      </c>
      <c r="CV223" s="41">
        <f t="shared" si="2495"/>
        <v>40607.524482561108</v>
      </c>
      <c r="CW223" s="41">
        <f>(AR223*(AR$3-AQ$3)+AS223*(AS$3-AR$3))/(AS$3-AQ$3)</f>
        <v>40045.718592093377</v>
      </c>
      <c r="CX223" s="41">
        <f>(AT223*(AT$3-AS$3)+AU223*(AU$3-AT$3))/(AU$3-AS$3)</f>
        <v>39830.023111502211</v>
      </c>
      <c r="CY223" s="41">
        <f>(AV223*(AV$3-AU$3)+AW223*(AW$3-AV$3))/(AW$3-AU$3)</f>
        <v>38622.879356586651</v>
      </c>
      <c r="CZ223" s="211">
        <f>(AX223*(AX$3-AW$3)+AY223*(AY$3-AX$3))/(AY$3-AW$3)</f>
        <v>37614.821165786838</v>
      </c>
      <c r="DA223" s="41">
        <f>(AZ223*(AZ$3-AY$3)+BA223*(BA$3-AZ$3))/(BA$3-AY$3)</f>
        <v>37951.692621928451</v>
      </c>
      <c r="DB223" s="41">
        <f>(BB223*(BB$3-BA$3)+BC223*(BC$3-BB$3))/(BC$3-BA$3)</f>
        <v>34945.996136363836</v>
      </c>
      <c r="DC223" s="41">
        <f>(BD223*(BD$3-BC$3)+BE223*(BE$3-BD$3))/(BE$3-BC$3)</f>
        <v>33094.007344910613</v>
      </c>
      <c r="DD223" s="41">
        <f>(BF223*(BF$3-BE$3)+BG223*(BG$3-BF$3))/(BG$3-BE$3)</f>
        <v>32363.517915964494</v>
      </c>
      <c r="DE223" s="41">
        <f>(BH223*(BH$3-BG$3)+BI223*(BI$3-BH$3))/(BI$3-BG$3)</f>
        <v>32161.434186178216</v>
      </c>
      <c r="DF223" s="41">
        <f>(BJ223*(BJ$3-BI$3)+BK223*(BK$3-BJ$3))/(BK$3-BI$3)</f>
        <v>32526.611952178322</v>
      </c>
      <c r="DG223" s="41">
        <f>(BL223*(BL$3-BK$3)+BM223*(BM$3-BL$3))/(BM$3-BK$3)</f>
        <v>33277.329195149439</v>
      </c>
      <c r="DH223" s="41">
        <f>(BN223*(BN$3-BM$3)+BO223*(BO$3-BN$3))/(BO$3-BM$3)</f>
        <v>34083.760384703957</v>
      </c>
      <c r="DI223" s="41">
        <f>(BP223*(BP$3-BO$3)+BQ223*(BQ$3-BP$3))/(BQ$3-BO$3)</f>
        <v>34909.162218721467</v>
      </c>
    </row>
    <row r="224" spans="1:113" s="17" customFormat="1" ht="12" outlineLevel="1">
      <c r="A224" s="1" t="s">
        <v>400</v>
      </c>
      <c r="B224" s="17" t="s">
        <v>168</v>
      </c>
      <c r="C224" s="61">
        <f>17501</f>
        <v>17501</v>
      </c>
      <c r="D224" s="61">
        <v>17744</v>
      </c>
      <c r="E224" s="61">
        <v>18512</v>
      </c>
      <c r="F224" s="61">
        <v>20189</v>
      </c>
      <c r="G224" s="61">
        <v>20540</v>
      </c>
      <c r="H224" s="61">
        <v>41731</v>
      </c>
      <c r="I224" s="61">
        <v>54960</v>
      </c>
      <c r="J224" s="61">
        <v>59197</v>
      </c>
      <c r="K224" s="61">
        <v>62779</v>
      </c>
      <c r="L224" s="61">
        <f>65866</f>
        <v>65866</v>
      </c>
      <c r="M224" s="61">
        <f>64406</f>
        <v>64406</v>
      </c>
      <c r="N224" s="61">
        <v>70881</v>
      </c>
      <c r="O224" s="61">
        <v>75958</v>
      </c>
      <c r="P224" s="61">
        <v>78468</v>
      </c>
      <c r="Q224" s="61">
        <v>77738</v>
      </c>
      <c r="R224" s="61">
        <v>82047</v>
      </c>
      <c r="S224" s="61">
        <v>78368</v>
      </c>
      <c r="T224" s="61">
        <v>76841</v>
      </c>
      <c r="U224" s="61">
        <v>76795</v>
      </c>
      <c r="V224" s="61">
        <v>73609</v>
      </c>
      <c r="W224" s="61">
        <v>73863</v>
      </c>
      <c r="X224" s="61">
        <v>73041</v>
      </c>
      <c r="Y224" s="61">
        <v>74947</v>
      </c>
      <c r="Z224" s="194">
        <v>78413</v>
      </c>
      <c r="AA224" s="194">
        <v>84834</v>
      </c>
      <c r="AB224" s="194">
        <v>93349</v>
      </c>
      <c r="AC224" s="194">
        <v>96189</v>
      </c>
      <c r="AD224" s="194">
        <v>100920</v>
      </c>
      <c r="AE224" s="194">
        <v>103633</v>
      </c>
      <c r="AF224" s="194">
        <v>107761</v>
      </c>
      <c r="AG224" s="194">
        <v>112562</v>
      </c>
      <c r="AH224" s="194">
        <v>115440</v>
      </c>
      <c r="AI224" s="194">
        <v>115872</v>
      </c>
      <c r="AJ224" s="194">
        <v>115519</v>
      </c>
      <c r="AK224" s="194">
        <v>118237</v>
      </c>
      <c r="AL224" s="194">
        <v>123367</v>
      </c>
      <c r="AM224" s="194">
        <v>125852</v>
      </c>
      <c r="AN224" s="194">
        <v>128825</v>
      </c>
      <c r="AO224" s="194">
        <v>126674</v>
      </c>
      <c r="AP224" s="194">
        <v>126810</v>
      </c>
      <c r="AQ224" s="194">
        <v>131853</v>
      </c>
      <c r="AR224" s="194">
        <v>136067</v>
      </c>
      <c r="AS224" s="194">
        <v>133527</v>
      </c>
      <c r="AT224" s="194">
        <v>136061</v>
      </c>
      <c r="AU224" s="194">
        <v>138008</v>
      </c>
      <c r="AV224" s="194">
        <v>139952</v>
      </c>
      <c r="AW224" s="194">
        <v>138824</v>
      </c>
      <c r="AX224" s="194">
        <v>138556</v>
      </c>
      <c r="AY224" s="227">
        <v>143224</v>
      </c>
      <c r="AZ224" s="62">
        <f t="shared" ref="AZ224" si="2496">AY224*AVERAGE(AY167:AZ167)/AVERAGE(AX167:AY167)</f>
        <v>145993.46127173613</v>
      </c>
      <c r="BA224" s="62">
        <f t="shared" ref="BA224" si="2497">AZ224*AVERAGE(AZ167:BA167)/AVERAGE(AY167:AZ167)</f>
        <v>147679.36994743024</v>
      </c>
      <c r="BB224" s="62">
        <f t="shared" ref="BB224" si="2498">BA224*AVERAGE(BA167:BB167)/AVERAGE(AZ167:BA167)</f>
        <v>145261.8387648261</v>
      </c>
      <c r="BC224" s="62">
        <f t="shared" ref="BC224" si="2499">BB224*AVERAGE(BB167:BC167)/AVERAGE(BA167:BB167)</f>
        <v>144218.1544831474</v>
      </c>
      <c r="BD224" s="62">
        <f t="shared" ref="BD224" si="2500">BC224*AVERAGE(BC167:BD167)/AVERAGE(BB167:BC167)</f>
        <v>144490.43360596799</v>
      </c>
      <c r="BE224" s="62">
        <f t="shared" ref="BE224" si="2501">BD224*AVERAGE(BD167:BE167)/AVERAGE(BC167:BD167)</f>
        <v>144738.42275969114</v>
      </c>
      <c r="BF224" s="62">
        <f t="shared" ref="BF224" si="2502">BE224*AVERAGE(BE167:BF167)/AVERAGE(BD167:BE167)</f>
        <v>144993.34764645493</v>
      </c>
      <c r="BG224" s="62">
        <f t="shared" ref="BG224:BK224" si="2503">BF224*AVERAGE(BF167:BG167)/AVERAGE(BE167:BF167)</f>
        <v>145477.29402414002</v>
      </c>
      <c r="BH224" s="62">
        <f t="shared" si="2503"/>
        <v>146397.03331543677</v>
      </c>
      <c r="BI224" s="62">
        <f t="shared" si="2503"/>
        <v>147675.60570777199</v>
      </c>
      <c r="BJ224" s="62">
        <f t="shared" si="2503"/>
        <v>149363.07485081264</v>
      </c>
      <c r="BK224" s="62">
        <f t="shared" si="2503"/>
        <v>151770.09609982179</v>
      </c>
      <c r="BL224" s="62">
        <f t="shared" ref="BL224" si="2504">BK224*AVERAGE(BK167:BL167)/AVERAGE(BJ167:BK167)</f>
        <v>154557.10424687277</v>
      </c>
      <c r="BM224" s="62">
        <f t="shared" ref="BM224" si="2505">BL224*AVERAGE(BL167:BM167)/AVERAGE(BK167:BL167)</f>
        <v>157396.95891971656</v>
      </c>
      <c r="BN224" s="62">
        <f t="shared" ref="BN224" si="2506">BM224*AVERAGE(BM167:BN167)/AVERAGE(BL167:BM167)</f>
        <v>160290.68415126184</v>
      </c>
      <c r="BO224" s="62">
        <f t="shared" ref="BO224" si="2507">BN224*AVERAGE(BN167:BO167)/AVERAGE(BM167:BN167)</f>
        <v>163239.32409791715</v>
      </c>
      <c r="BP224" s="62">
        <f t="shared" ref="BP224" si="2508">BO224*AVERAGE(BO167:BP167)/AVERAGE(BN167:BO167)</f>
        <v>166243.94343854187</v>
      </c>
      <c r="BQ224" s="62">
        <f t="shared" ref="BQ224" si="2509">BP224*AVERAGE(BP167:BQ167)/AVERAGE(BO167:BP167)</f>
        <v>169305.62778134955</v>
      </c>
      <c r="BR224" s="62"/>
      <c r="BS224" s="384">
        <f>17159.6*BT224/(BT224+BT229)</f>
        <v>8248.564342270518</v>
      </c>
      <c r="BT224" s="384">
        <f>17600*BU224/(BU224+BU229)</f>
        <v>8460.263201004751</v>
      </c>
      <c r="BU224" s="61">
        <v>8803</v>
      </c>
      <c r="BV224" s="61">
        <v>11134</v>
      </c>
      <c r="BW224" s="61">
        <v>12835</v>
      </c>
      <c r="BX224" s="61">
        <v>14313</v>
      </c>
      <c r="BY224" s="61">
        <v>14717</v>
      </c>
      <c r="BZ224" s="61">
        <v>15288</v>
      </c>
      <c r="CA224" s="61">
        <v>16625</v>
      </c>
      <c r="CB224" s="61">
        <v>17258</v>
      </c>
      <c r="CC224" s="62">
        <f>SUMPRODUCT(D224:E224,D$5:E$5)/SUM(D$5:E$5)</f>
        <v>18126.94794520548</v>
      </c>
      <c r="CD224" s="62">
        <f>SUMPRODUCT(F224:G224,F$5:G$5)/SUM(F$5:G$5)</f>
        <v>20364.019178082195</v>
      </c>
      <c r="CE224" s="62">
        <f>SUMPRODUCT(H224:I224,H$5:I$5)/SUM(H$5:I$5)</f>
        <v>48345.5</v>
      </c>
      <c r="CF224" s="62">
        <f>SUMPRODUCT(J224:K224,J$5:K$5)/SUM(J$5:K$5)</f>
        <v>60983.093150684937</v>
      </c>
      <c r="CG224" s="194">
        <v>65203</v>
      </c>
      <c r="CH224" s="194">
        <v>73426</v>
      </c>
      <c r="CI224" s="194">
        <v>78103</v>
      </c>
      <c r="CJ224" s="194">
        <v>80202</v>
      </c>
      <c r="CK224" s="194">
        <v>76869</v>
      </c>
      <c r="CL224" s="194">
        <v>73736</v>
      </c>
      <c r="CM224" s="61">
        <v>73994</v>
      </c>
      <c r="CN224" s="194">
        <v>81633</v>
      </c>
      <c r="CO224" s="194">
        <v>94773</v>
      </c>
      <c r="CP224" s="194">
        <v>102280</v>
      </c>
      <c r="CQ224" s="194">
        <v>110161</v>
      </c>
      <c r="CR224" s="194">
        <v>115657</v>
      </c>
      <c r="CS224" s="194">
        <v>116882</v>
      </c>
      <c r="CT224" s="194">
        <v>124612</v>
      </c>
      <c r="CU224" s="194">
        <v>127749</v>
      </c>
      <c r="CV224" s="194">
        <v>129339</v>
      </c>
      <c r="CW224" s="194">
        <v>134794</v>
      </c>
      <c r="CX224" s="194">
        <v>137038</v>
      </c>
      <c r="CY224" s="194">
        <v>139388</v>
      </c>
      <c r="CZ224" s="227">
        <v>140896</v>
      </c>
      <c r="DA224" s="62">
        <f>(AZ224*(AZ$3-AY$3)+BA224*(BA$3-AZ$3))/(BA$3-AY$3)</f>
        <v>146838.72507352248</v>
      </c>
      <c r="DB224" s="62">
        <f>(BB224*(BB$3-BA$3)+BC224*(BC$3-BB$3))/(BC$3-BA$3)</f>
        <v>144738.56691949131</v>
      </c>
      <c r="DC224" s="62">
        <f>(BD224*(BD$3-BC$3)+BE224*(BE$3-BD$3))/(BE$3-BC$3)</f>
        <v>144614.42818282955</v>
      </c>
      <c r="DD224" s="62">
        <f>(BF224*(BF$3-BE$3)+BG224*(BG$3-BF$3))/(BG$3-BE$3)</f>
        <v>145235.98377554087</v>
      </c>
      <c r="DE224" s="62">
        <f>(BH224*(BH$3-BG$3)+BI224*(BI$3-BH$3))/(BI$3-BG$3)</f>
        <v>147038.07098063498</v>
      </c>
      <c r="DF224" s="62">
        <f>(BJ224*(BJ$3-BI$3)+BK224*(BK$3-BJ$3))/(BK$3-BI$3)</f>
        <v>150569.88276469943</v>
      </c>
      <c r="DG224" s="62">
        <f>(BL224*(BL$3-BK$3)+BM224*(BM$3-BL$3))/(BM$3-BK$3)</f>
        <v>155977.03158329468</v>
      </c>
      <c r="DH224" s="62">
        <f>(BN224*(BN$3-BM$3)+BO224*(BO$3-BN$3))/(BO$3-BM$3)</f>
        <v>161769.04335739315</v>
      </c>
      <c r="DI224" s="62">
        <f>(BP224*(BP$3-BO$3)+BQ224*(BQ$3-BP$3))/(BQ$3-BO$3)</f>
        <v>167778.97969808656</v>
      </c>
    </row>
    <row r="225" spans="1:113" ht="12" outlineLevel="1">
      <c r="C225" s="41"/>
      <c r="D225" s="41"/>
      <c r="E225" s="41"/>
      <c r="F225" s="41"/>
      <c r="G225" s="41"/>
      <c r="H225" s="41"/>
      <c r="I225" s="41"/>
      <c r="J225" s="41"/>
      <c r="K225" s="41"/>
      <c r="L225" s="41"/>
      <c r="M225" s="41"/>
      <c r="N225" s="41"/>
      <c r="O225" s="41"/>
      <c r="P225" s="41"/>
      <c r="Q225" s="41"/>
      <c r="R225" s="41"/>
      <c r="S225" s="41"/>
      <c r="T225" s="41"/>
      <c r="U225" s="41"/>
      <c r="V225" s="41"/>
      <c r="W225" s="41"/>
      <c r="X225" s="41"/>
      <c r="Y225" s="41"/>
      <c r="Z225" s="41"/>
      <c r="AA225" s="41"/>
      <c r="AB225" s="41"/>
      <c r="AC225" s="41"/>
      <c r="AD225" s="41"/>
      <c r="AE225" s="41"/>
      <c r="AF225" s="41"/>
      <c r="AG225" s="41"/>
      <c r="AH225" s="41"/>
      <c r="AI225" s="41"/>
      <c r="AJ225" s="41"/>
      <c r="AK225" s="41"/>
      <c r="AL225" s="41"/>
      <c r="AM225" s="41"/>
      <c r="AN225" s="41"/>
      <c r="AO225" s="41"/>
      <c r="AP225" s="41"/>
      <c r="AQ225" s="41"/>
      <c r="AR225" s="41"/>
      <c r="AS225" s="41"/>
      <c r="AT225" s="41"/>
      <c r="AU225" s="41"/>
      <c r="AV225" s="41"/>
      <c r="AW225" s="41"/>
      <c r="AX225" s="41"/>
      <c r="AY225" s="211"/>
      <c r="AZ225" s="41"/>
      <c r="BA225" s="41"/>
      <c r="BB225" s="41"/>
      <c r="BC225" s="41"/>
      <c r="BD225" s="41"/>
      <c r="BE225" s="41"/>
      <c r="BF225" s="41"/>
      <c r="BG225" s="41"/>
      <c r="BH225" s="41"/>
      <c r="BI225" s="41"/>
      <c r="BJ225" s="41"/>
      <c r="BK225" s="41"/>
      <c r="BL225" s="41"/>
      <c r="BM225" s="41"/>
      <c r="BN225" s="41"/>
      <c r="BO225" s="41"/>
      <c r="BP225" s="41"/>
      <c r="BQ225" s="41"/>
      <c r="BR225" s="41"/>
      <c r="BS225" s="41"/>
      <c r="BT225" s="41"/>
      <c r="BU225" s="41"/>
      <c r="BV225" s="41"/>
      <c r="BW225" s="41"/>
      <c r="BX225" s="41"/>
      <c r="BY225" s="41"/>
      <c r="BZ225" s="41"/>
      <c r="CA225" s="41"/>
      <c r="CB225" s="41"/>
      <c r="CC225" s="41"/>
      <c r="CD225" s="41"/>
      <c r="CE225" s="41"/>
      <c r="CF225" s="41"/>
      <c r="CG225" s="41"/>
      <c r="CH225" s="41"/>
      <c r="CI225" s="41"/>
      <c r="CJ225" s="41"/>
      <c r="CK225" s="41"/>
      <c r="CL225" s="41"/>
      <c r="CM225" s="41"/>
      <c r="CN225" s="41"/>
      <c r="CO225" s="41"/>
      <c r="CP225" s="41"/>
      <c r="CQ225" s="41"/>
      <c r="CR225" s="41"/>
      <c r="CS225" s="41"/>
      <c r="CT225" s="41"/>
      <c r="CU225" s="41"/>
      <c r="CV225" s="41"/>
      <c r="CW225" s="41"/>
      <c r="CX225" s="41"/>
      <c r="CY225" s="41"/>
      <c r="CZ225" s="211"/>
      <c r="DA225" s="41"/>
      <c r="DB225" s="41"/>
      <c r="DC225" s="41"/>
      <c r="DD225" s="41"/>
      <c r="DE225" s="41"/>
      <c r="DF225" s="41"/>
      <c r="DG225" s="41"/>
      <c r="DH225" s="41"/>
      <c r="DI225" s="41"/>
    </row>
    <row r="226" spans="1:113" s="17" customFormat="1" ht="12" outlineLevel="1">
      <c r="A226" s="1"/>
      <c r="B226" s="17" t="s">
        <v>342</v>
      </c>
      <c r="C226" s="62"/>
      <c r="D226" s="62"/>
      <c r="E226" s="62"/>
      <c r="F226" s="62"/>
      <c r="G226" s="62"/>
      <c r="H226" s="62"/>
      <c r="I226" s="62"/>
      <c r="J226" s="62"/>
      <c r="K226" s="62"/>
      <c r="L226" s="62"/>
      <c r="M226" s="62"/>
      <c r="N226" s="62"/>
      <c r="O226" s="62"/>
      <c r="P226" s="62"/>
      <c r="Q226" s="62"/>
      <c r="R226" s="62"/>
      <c r="S226" s="62"/>
      <c r="T226" s="62"/>
      <c r="U226" s="62"/>
      <c r="V226" s="62"/>
      <c r="W226" s="62"/>
      <c r="X226" s="62"/>
      <c r="Y226" s="62"/>
      <c r="Z226" s="62"/>
      <c r="AA226" s="62"/>
      <c r="AB226" s="62"/>
      <c r="AC226" s="62"/>
      <c r="AD226" s="62"/>
      <c r="AE226" s="62"/>
      <c r="AF226" s="62"/>
      <c r="AG226" s="62"/>
      <c r="AH226" s="62"/>
      <c r="AI226" s="62"/>
      <c r="AJ226" s="62"/>
      <c r="AK226" s="62"/>
      <c r="AL226" s="62"/>
      <c r="AM226" s="62"/>
      <c r="AN226" s="62"/>
      <c r="AO226" s="62"/>
      <c r="AP226" s="62"/>
      <c r="AQ226" s="62"/>
      <c r="AR226" s="62"/>
      <c r="AS226" s="62"/>
      <c r="AT226" s="62"/>
      <c r="AU226" s="62"/>
      <c r="AV226" s="62"/>
      <c r="AW226" s="62"/>
      <c r="AX226" s="62"/>
      <c r="AY226" s="220"/>
      <c r="AZ226" s="62"/>
      <c r="BA226" s="62"/>
      <c r="BB226" s="62"/>
      <c r="BC226" s="62"/>
      <c r="BD226" s="62"/>
      <c r="BE226" s="62"/>
      <c r="BF226" s="62"/>
      <c r="BG226" s="62"/>
      <c r="BH226" s="62"/>
      <c r="BI226" s="62"/>
      <c r="BJ226" s="62"/>
      <c r="BK226" s="62"/>
      <c r="BL226" s="62"/>
      <c r="BM226" s="62"/>
      <c r="BN226" s="62"/>
      <c r="BO226" s="62"/>
      <c r="BP226" s="62"/>
      <c r="BQ226" s="62"/>
      <c r="BR226" s="62"/>
      <c r="BS226" s="62"/>
      <c r="BT226" s="62"/>
      <c r="BU226" s="62"/>
      <c r="BV226" s="62"/>
      <c r="BW226" s="62"/>
      <c r="BX226" s="62"/>
      <c r="BY226" s="62"/>
      <c r="BZ226" s="62"/>
      <c r="CA226" s="62"/>
      <c r="CB226" s="62"/>
      <c r="CC226" s="62"/>
      <c r="CD226" s="62"/>
      <c r="CE226" s="62"/>
      <c r="CF226" s="62"/>
      <c r="CG226" s="62"/>
      <c r="CH226" s="62"/>
      <c r="CI226" s="62"/>
      <c r="CJ226" s="62"/>
      <c r="CK226" s="62"/>
      <c r="CL226" s="62"/>
      <c r="CM226" s="62"/>
      <c r="CN226" s="62"/>
      <c r="CO226" s="62"/>
      <c r="CP226" s="62"/>
      <c r="CQ226" s="62"/>
      <c r="CR226" s="62"/>
      <c r="CS226" s="62"/>
      <c r="CT226" s="62"/>
      <c r="CU226" s="62"/>
      <c r="CV226" s="62"/>
      <c r="CW226" s="62"/>
      <c r="CX226" s="62"/>
      <c r="CY226" s="62"/>
      <c r="CZ226" s="220"/>
      <c r="DA226" s="62"/>
      <c r="DB226" s="62"/>
      <c r="DC226" s="62"/>
      <c r="DD226" s="62"/>
      <c r="DE226" s="62"/>
      <c r="DF226" s="62"/>
      <c r="DG226" s="62"/>
      <c r="DH226" s="62"/>
      <c r="DI226" s="62"/>
    </row>
    <row r="227" spans="1:113" ht="12" outlineLevel="1">
      <c r="A227" s="1" t="s">
        <v>401</v>
      </c>
      <c r="B227" s="15" t="s">
        <v>164</v>
      </c>
      <c r="C227" s="41">
        <f t="shared" ref="C227:L227" si="2510">C$229*AVERAGE(B170:C170)/AVERAGE(B$173:C$173)</f>
        <v>309.35342121782799</v>
      </c>
      <c r="D227" s="41">
        <f t="shared" si="2510"/>
        <v>315.08700576263283</v>
      </c>
      <c r="E227" s="41">
        <f t="shared" si="2510"/>
        <v>291.32530120481925</v>
      </c>
      <c r="F227" s="41">
        <f t="shared" si="2510"/>
        <v>333.36781478534351</v>
      </c>
      <c r="G227" s="41">
        <f t="shared" si="2510"/>
        <v>334.88167133318973</v>
      </c>
      <c r="H227" s="41">
        <f t="shared" si="2510"/>
        <v>363.72026699029124</v>
      </c>
      <c r="I227" s="41">
        <f t="shared" si="2510"/>
        <v>437.77179473928999</v>
      </c>
      <c r="J227" s="41">
        <f t="shared" si="2510"/>
        <v>488.00047821466524</v>
      </c>
      <c r="K227" s="41">
        <f t="shared" si="2510"/>
        <v>556.76739676020986</v>
      </c>
      <c r="L227" s="41">
        <f t="shared" si="2510"/>
        <v>646.79256465517244</v>
      </c>
      <c r="M227" s="41">
        <f t="shared" ref="M227:AY227" si="2511">M$229*AVERAGE(L170:M170)/AVERAGE(L$173:M$173)</f>
        <v>743.80679139288759</v>
      </c>
      <c r="N227" s="41">
        <f t="shared" si="2511"/>
        <v>848.43587666447263</v>
      </c>
      <c r="O227" s="41">
        <f t="shared" si="2511"/>
        <v>960.26302361181979</v>
      </c>
      <c r="P227" s="41">
        <f t="shared" si="2511"/>
        <v>1234.4466455107863</v>
      </c>
      <c r="Q227" s="41">
        <f t="shared" si="2511"/>
        <v>1369.7503296922043</v>
      </c>
      <c r="R227" s="41">
        <f t="shared" si="2511"/>
        <v>2133.3689037672252</v>
      </c>
      <c r="S227" s="41">
        <f t="shared" si="2511"/>
        <v>1846.3572044866264</v>
      </c>
      <c r="T227" s="41">
        <f t="shared" si="2511"/>
        <v>1736.9466618287372</v>
      </c>
      <c r="U227" s="41">
        <f t="shared" si="2511"/>
        <v>2053.2991395023528</v>
      </c>
      <c r="V227" s="41">
        <f t="shared" si="2511"/>
        <v>2272.0733062330623</v>
      </c>
      <c r="W227" s="41">
        <f t="shared" si="2511"/>
        <v>2621.7973981659202</v>
      </c>
      <c r="X227" s="41">
        <f t="shared" si="2511"/>
        <v>3086.129883117695</v>
      </c>
      <c r="Y227" s="41">
        <f t="shared" si="2511"/>
        <v>3772.0030088989056</v>
      </c>
      <c r="Z227" s="41">
        <f t="shared" si="2511"/>
        <v>4608.5739612606321</v>
      </c>
      <c r="AA227" s="41">
        <f t="shared" si="2511"/>
        <v>5359.2327449424829</v>
      </c>
      <c r="AB227" s="41">
        <f t="shared" si="2511"/>
        <v>6150.2503444794611</v>
      </c>
      <c r="AC227" s="41">
        <f t="shared" si="2511"/>
        <v>6447.239027150049</v>
      </c>
      <c r="AD227" s="41">
        <f t="shared" si="2511"/>
        <v>7255.0424463660574</v>
      </c>
      <c r="AE227" s="41">
        <f t="shared" si="2511"/>
        <v>7678.386513785882</v>
      </c>
      <c r="AF227" s="41">
        <f t="shared" si="2511"/>
        <v>7724.6952939804924</v>
      </c>
      <c r="AG227" s="41">
        <f t="shared" si="2511"/>
        <v>7151.6737544008611</v>
      </c>
      <c r="AH227" s="41">
        <f t="shared" si="2511"/>
        <v>6742.4320596879943</v>
      </c>
      <c r="AI227" s="41">
        <f t="shared" si="2511"/>
        <v>4627.7649765614233</v>
      </c>
      <c r="AJ227" s="41">
        <f t="shared" si="2511"/>
        <v>1623.9451943036884</v>
      </c>
      <c r="AK227" s="41">
        <f t="shared" si="2511"/>
        <v>756.12344915283359</v>
      </c>
      <c r="AL227" s="41">
        <f t="shared" si="2511"/>
        <v>759.01968941996029</v>
      </c>
      <c r="AM227" s="41">
        <f t="shared" si="2511"/>
        <v>642.22943661077238</v>
      </c>
      <c r="AN227" s="41">
        <f t="shared" si="2511"/>
        <v>485.13222619297875</v>
      </c>
      <c r="AO227" s="41">
        <f t="shared" si="2511"/>
        <v>497.37862128950246</v>
      </c>
      <c r="AP227" s="41">
        <f t="shared" si="2511"/>
        <v>472.61743965533111</v>
      </c>
      <c r="AQ227" s="41">
        <f t="shared" si="2511"/>
        <v>472.80922242314648</v>
      </c>
      <c r="AR227" s="41">
        <f t="shared" si="2511"/>
        <v>481.91148286503164</v>
      </c>
      <c r="AS227" s="41">
        <f t="shared" si="2511"/>
        <v>469.17748715553478</v>
      </c>
      <c r="AT227" s="41">
        <f t="shared" si="2511"/>
        <v>483.43672996988329</v>
      </c>
      <c r="AU227" s="41">
        <f t="shared" si="2511"/>
        <v>444.14998261529223</v>
      </c>
      <c r="AV227" s="41">
        <f t="shared" si="2511"/>
        <v>415.64338881153463</v>
      </c>
      <c r="AW227" s="41">
        <f t="shared" si="2511"/>
        <v>422.91648386924186</v>
      </c>
      <c r="AX227" s="41">
        <f t="shared" si="2511"/>
        <v>464.93126432795856</v>
      </c>
      <c r="AY227" s="211">
        <f t="shared" si="2511"/>
        <v>473.49004312869391</v>
      </c>
      <c r="AZ227" s="41">
        <f t="shared" ref="AZ227" si="2512">AZ$229*AVERAGE(AY170:AZ170)/AVERAGE(AY$173:AZ$173)</f>
        <v>476.36155371019174</v>
      </c>
      <c r="BA227" s="41">
        <f t="shared" ref="BA227" si="2513">BA$229*AVERAGE(AZ170:BA170)/AVERAGE(AZ$173:BA$173)</f>
        <v>493.63942170766313</v>
      </c>
      <c r="BB227" s="41">
        <f t="shared" ref="BB227" si="2514">BB$229*AVERAGE(BA170:BB170)/AVERAGE(BA$173:BB$173)</f>
        <v>520.14786181137413</v>
      </c>
      <c r="BC227" s="41">
        <f t="shared" ref="BC227" si="2515">BC$229*AVERAGE(BB170:BC170)/AVERAGE(BB$173:BC$173)</f>
        <v>537.77564886798973</v>
      </c>
      <c r="BD227" s="41">
        <f t="shared" ref="BD227" si="2516">BD$229*AVERAGE(BC170:BD170)/AVERAGE(BC$173:BD$173)</f>
        <v>546.94910160384188</v>
      </c>
      <c r="BE227" s="41">
        <f t="shared" ref="BE227" si="2517">BE$229*AVERAGE(BD170:BE170)/AVERAGE(BD$173:BE$173)</f>
        <v>556.54992955743023</v>
      </c>
      <c r="BF227" s="41">
        <f t="shared" ref="BF227" si="2518">BF$229*AVERAGE(BE170:BF170)/AVERAGE(BE$173:BF$173)</f>
        <v>564.80163936909821</v>
      </c>
      <c r="BG227" s="41">
        <f t="shared" ref="BG227:BK227" si="2519">BG$229*AVERAGE(BF170:BG170)/AVERAGE(BF$173:BG$173)</f>
        <v>570.00377898897239</v>
      </c>
      <c r="BH227" s="41">
        <f t="shared" si="2519"/>
        <v>574.03067624723633</v>
      </c>
      <c r="BI227" s="41">
        <f t="shared" si="2519"/>
        <v>578.66664814305796</v>
      </c>
      <c r="BJ227" s="41">
        <f t="shared" si="2519"/>
        <v>588.25757836024786</v>
      </c>
      <c r="BK227" s="41">
        <f t="shared" si="2519"/>
        <v>607.28877955691212</v>
      </c>
      <c r="BL227" s="41">
        <f t="shared" ref="BL227" si="2520">BL$229*AVERAGE(BK170:BL170)/AVERAGE(BK$173:BL$173)</f>
        <v>631.58033073918853</v>
      </c>
      <c r="BM227" s="41">
        <f t="shared" ref="BM227" si="2521">BM$229*AVERAGE(BL170:BM170)/AVERAGE(BL$173:BM$173)</f>
        <v>656.84354396875631</v>
      </c>
      <c r="BN227" s="41">
        <f t="shared" ref="BN227" si="2522">BN$229*AVERAGE(BM170:BN170)/AVERAGE(BM$173:BN$173)</f>
        <v>683.11728572750644</v>
      </c>
      <c r="BO227" s="41">
        <f t="shared" ref="BO227" si="2523">BO$229*AVERAGE(BN170:BO170)/AVERAGE(BN$173:BO$173)</f>
        <v>710.44197715660687</v>
      </c>
      <c r="BP227" s="41">
        <f t="shared" ref="BP227" si="2524">BP$229*AVERAGE(BO170:BP170)/AVERAGE(BO$173:BP$173)</f>
        <v>738.8596562428711</v>
      </c>
      <c r="BQ227" s="41">
        <f t="shared" ref="BQ227" si="2525">BQ$229*AVERAGE(BP170:BQ170)/AVERAGE(BP$173:BQ$173)</f>
        <v>768.41404249258596</v>
      </c>
      <c r="BR227" s="41"/>
      <c r="BS227" s="41">
        <f t="shared" ref="BS227:CB227" si="2526">BS$229*AVERAGE(BR170:BS170)/AVERAGE(BR$173:BS$173)</f>
        <v>240.82430542437319</v>
      </c>
      <c r="BT227" s="41">
        <f t="shared" si="2526"/>
        <v>247.00504530810562</v>
      </c>
      <c r="BU227" s="41">
        <f t="shared" si="2526"/>
        <v>257.01155651859881</v>
      </c>
      <c r="BV227" s="41">
        <f t="shared" si="2526"/>
        <v>278.71295293126281</v>
      </c>
      <c r="BW227" s="41">
        <f t="shared" si="2526"/>
        <v>318.08896111713022</v>
      </c>
      <c r="BX227" s="41">
        <f t="shared" si="2526"/>
        <v>393.97628506079218</v>
      </c>
      <c r="BY227" s="41">
        <f t="shared" si="2526"/>
        <v>474.18767304682797</v>
      </c>
      <c r="BZ227" s="41">
        <f t="shared" si="2526"/>
        <v>457.21572168051046</v>
      </c>
      <c r="CA227" s="41">
        <f t="shared" si="2526"/>
        <v>456.10130782744488</v>
      </c>
      <c r="CB227" s="41">
        <f t="shared" si="2526"/>
        <v>346.37752046316632</v>
      </c>
      <c r="CC227" s="41">
        <f>SUMPRODUCT(D227:E227,D$5:E$5)/SUM(D$5:E$5)</f>
        <v>303.23870376394223</v>
      </c>
      <c r="CD227" s="41">
        <f>SUMPRODUCT(F227:G227,F$5:G$5)/SUM(F$5:G$5)</f>
        <v>334.12266928317371</v>
      </c>
      <c r="CE227" s="41">
        <f>SUMPRODUCT(H227:I227,H$5:I$5)/SUM(H$5:I$5)</f>
        <v>400.74603086479061</v>
      </c>
      <c r="CF227" s="41">
        <f>SUMPRODUCT(J227:K227,J$5:K$5)/SUM(J$5:K$5)</f>
        <v>522.28973622915601</v>
      </c>
      <c r="CG227" s="41">
        <f t="shared" ref="CG227:CV227" si="2527">CG$229*AVERAGE(CF170:CG170)/AVERAGE(CF$173:CG$173)</f>
        <v>696.16502864350662</v>
      </c>
      <c r="CH227" s="41">
        <f t="shared" si="2527"/>
        <v>868.44124268347593</v>
      </c>
      <c r="CI227" s="41">
        <f t="shared" si="2527"/>
        <v>1479.80792535143</v>
      </c>
      <c r="CJ227" s="41">
        <f t="shared" si="2527"/>
        <v>1932.1107676198549</v>
      </c>
      <c r="CK227" s="41">
        <f t="shared" si="2527"/>
        <v>1956.0271678769757</v>
      </c>
      <c r="CL227" s="41">
        <f t="shared" si="2527"/>
        <v>2415.4131278761261</v>
      </c>
      <c r="CM227" s="41">
        <f t="shared" si="2527"/>
        <v>3404.0867036900499</v>
      </c>
      <c r="CN227" s="41">
        <f t="shared" si="2527"/>
        <v>5328.7741789904885</v>
      </c>
      <c r="CO227" s="41">
        <f t="shared" si="2527"/>
        <v>6442.8285406013983</v>
      </c>
      <c r="CP227" s="41">
        <f t="shared" si="2527"/>
        <v>7646.4738251676154</v>
      </c>
      <c r="CQ227" s="41">
        <f t="shared" si="2527"/>
        <v>7191.099840018961</v>
      </c>
      <c r="CR227" s="41">
        <f t="shared" si="2527"/>
        <v>4769.3145032281354</v>
      </c>
      <c r="CS227" s="41">
        <f t="shared" si="2527"/>
        <v>1605.4612653241065</v>
      </c>
      <c r="CT227" s="41">
        <f t="shared" si="2527"/>
        <v>640.64579057100832</v>
      </c>
      <c r="CU227" s="41">
        <f t="shared" si="2527"/>
        <v>559.92389278083738</v>
      </c>
      <c r="CV227" s="41">
        <f t="shared" si="2527"/>
        <v>459.31752561579697</v>
      </c>
      <c r="CW227" s="41">
        <f>(AR227*(AR$3-AQ$3)+AS227*(AS$3-AR$3))/(AS$3-AQ$3)</f>
        <v>475.52704118054413</v>
      </c>
      <c r="CX227" s="41">
        <f>(AT227*(AT$3-AS$3)+AU227*(AU$3-AT$3))/(AU$3-AS$3)</f>
        <v>463.73953883045812</v>
      </c>
      <c r="CY227" s="41">
        <f>(AV227*(AV$3-AU$3)+AW227*(AW$3-AV$3))/(AW$3-AU$3)</f>
        <v>419.2799363403883</v>
      </c>
      <c r="CZ227" s="211">
        <f>(AX227*(AX$3-AW$3)+AY227*(AY$3-AX$3))/(AY$3-AW$3)</f>
        <v>469.2223780828478</v>
      </c>
      <c r="DA227" s="41">
        <f>(AZ227*(AZ$3-AY$3)+BA227*(BA$3-AZ$3))/(BA$3-AY$3)</f>
        <v>485.02415602125279</v>
      </c>
      <c r="DB227" s="41">
        <f>(BB227*(BB$3-BA$3)+BC227*(BC$3-BB$3))/(BC$3-BA$3)</f>
        <v>528.98590299318414</v>
      </c>
      <c r="DC227" s="41">
        <f>(BD227*(BD$3-BC$3)+BE227*(BE$3-BD$3))/(BE$3-BC$3)</f>
        <v>551.74951558063606</v>
      </c>
      <c r="DD227" s="41">
        <f>(BF227*(BF$3-BE$3)+BG227*(BG$3-BF$3))/(BG$3-BE$3)</f>
        <v>567.40983539769263</v>
      </c>
      <c r="DE227" s="41">
        <f>(BH227*(BH$3-BG$3)+BI227*(BI$3-BH$3))/(BI$3-BG$3)</f>
        <v>576.35501284157976</v>
      </c>
      <c r="DF227" s="41">
        <f>(BJ227*(BJ$3-BI$3)+BK227*(BK$3-BJ$3))/(BK$3-BI$3)</f>
        <v>597.79924909720557</v>
      </c>
      <c r="DG227" s="41">
        <f>(BL227*(BL$3-BK$3)+BM227*(BM$3-BL$3))/(BM$3-BK$3)</f>
        <v>644.21193735397242</v>
      </c>
      <c r="DH227" s="41">
        <f>(BN227*(BN$3-BM$3)+BO227*(BO$3-BN$3))/(BO$3-BM$3)</f>
        <v>696.81706252620609</v>
      </c>
      <c r="DI227" s="41">
        <f>(BP227*(BP$3-BO$3)+BQ227*(BQ$3-BP$3))/(BQ$3-BO$3)</f>
        <v>753.67733482834456</v>
      </c>
    </row>
    <row r="228" spans="1:113" ht="12" outlineLevel="1">
      <c r="A228" s="1" t="s">
        <v>1063</v>
      </c>
      <c r="B228" s="15" t="s">
        <v>344</v>
      </c>
      <c r="C228" s="41">
        <f t="shared" ref="C228:L228" si="2528">C$229*(SUM(AVERAGE(B172:C172),AVERAGE(B171:C171))/AVERAGE(B$173:C$173))</f>
        <v>15090.646578782173</v>
      </c>
      <c r="D228" s="41">
        <f t="shared" si="2528"/>
        <v>15015.912994237367</v>
      </c>
      <c r="E228" s="41">
        <f t="shared" si="2528"/>
        <v>12773.674698795181</v>
      </c>
      <c r="F228" s="41">
        <f t="shared" si="2528"/>
        <v>12976.632185214658</v>
      </c>
      <c r="G228" s="41">
        <f t="shared" si="2528"/>
        <v>10787.118328666811</v>
      </c>
      <c r="H228" s="41">
        <f t="shared" si="2528"/>
        <v>9278.2797330097092</v>
      </c>
      <c r="I228" s="41">
        <f t="shared" si="2528"/>
        <v>9540.2282052607097</v>
      </c>
      <c r="J228" s="41">
        <f t="shared" si="2528"/>
        <v>8854.9995217853339</v>
      </c>
      <c r="K228" s="41">
        <f t="shared" si="2528"/>
        <v>8229.2326032397905</v>
      </c>
      <c r="L228" s="41">
        <f t="shared" si="2528"/>
        <v>8695.2074353448279</v>
      </c>
      <c r="M228" s="41">
        <f t="shared" ref="M228:AY228" si="2529">M$229*(SUM(AVERAGE(L172:M172),AVERAGE(L171:M171))/AVERAGE(L$173:M$173))</f>
        <v>9420.193208607112</v>
      </c>
      <c r="N228" s="41">
        <f t="shared" si="2529"/>
        <v>9540.5641233355273</v>
      </c>
      <c r="O228" s="41">
        <f t="shared" si="2529"/>
        <v>10009.73697638818</v>
      </c>
      <c r="P228" s="41">
        <f t="shared" si="2529"/>
        <v>15641.553354489213</v>
      </c>
      <c r="Q228" s="41">
        <f t="shared" si="2529"/>
        <v>17278.249670307796</v>
      </c>
      <c r="R228" s="41">
        <f t="shared" si="2529"/>
        <v>22500.631096232773</v>
      </c>
      <c r="S228" s="41">
        <f t="shared" si="2529"/>
        <v>18341.642795513373</v>
      </c>
      <c r="T228" s="41">
        <f t="shared" si="2529"/>
        <v>17488.053338171263</v>
      </c>
      <c r="U228" s="41">
        <f t="shared" si="2529"/>
        <v>23474.700860497647</v>
      </c>
      <c r="V228" s="41">
        <f t="shared" si="2529"/>
        <v>28035.926693766938</v>
      </c>
      <c r="W228" s="41">
        <f t="shared" si="2529"/>
        <v>32718.20260183408</v>
      </c>
      <c r="X228" s="41">
        <f t="shared" si="2529"/>
        <v>36578.870116882303</v>
      </c>
      <c r="Y228" s="41">
        <f t="shared" si="2529"/>
        <v>40372.996991101099</v>
      </c>
      <c r="Z228" s="41">
        <f t="shared" si="2529"/>
        <v>53055.426038739366</v>
      </c>
      <c r="AA228" s="41">
        <f t="shared" si="2529"/>
        <v>63309.767255057515</v>
      </c>
      <c r="AB228" s="41">
        <f t="shared" si="2529"/>
        <v>70257.749655520543</v>
      </c>
      <c r="AC228" s="41">
        <f t="shared" si="2529"/>
        <v>72502.760972849952</v>
      </c>
      <c r="AD228" s="41">
        <f t="shared" si="2529"/>
        <v>78916.95755363394</v>
      </c>
      <c r="AE228" s="41">
        <f t="shared" si="2529"/>
        <v>79207.613486214119</v>
      </c>
      <c r="AF228" s="41">
        <f t="shared" si="2529"/>
        <v>71407.304706019509</v>
      </c>
      <c r="AG228" s="41">
        <f t="shared" si="2529"/>
        <v>62183.326245599143</v>
      </c>
      <c r="AH228" s="41">
        <f t="shared" si="2529"/>
        <v>57956.567940312008</v>
      </c>
      <c r="AI228" s="41">
        <f t="shared" si="2529"/>
        <v>55243.235023438581</v>
      </c>
      <c r="AJ228" s="41">
        <f t="shared" si="2529"/>
        <v>54395.054805696309</v>
      </c>
      <c r="AK228" s="41">
        <f t="shared" si="2529"/>
        <v>58069.87655084717</v>
      </c>
      <c r="AL228" s="41">
        <f t="shared" si="2529"/>
        <v>60488.980310580046</v>
      </c>
      <c r="AM228" s="41">
        <f t="shared" si="2529"/>
        <v>62850.770563389226</v>
      </c>
      <c r="AN228" s="41">
        <f t="shared" si="2529"/>
        <v>66406.867773807026</v>
      </c>
      <c r="AO228" s="41">
        <f t="shared" si="2529"/>
        <v>65096.621378710501</v>
      </c>
      <c r="AP228" s="41">
        <f t="shared" si="2529"/>
        <v>52949.382560344668</v>
      </c>
      <c r="AQ228" s="41">
        <f t="shared" si="2529"/>
        <v>57630.190777576856</v>
      </c>
      <c r="AR228" s="41">
        <f t="shared" si="2529"/>
        <v>68521.088517134966</v>
      </c>
      <c r="AS228" s="41">
        <f t="shared" si="2529"/>
        <v>75342.822512844461</v>
      </c>
      <c r="AT228" s="41">
        <f t="shared" si="2529"/>
        <v>80026.563270030121</v>
      </c>
      <c r="AU228" s="41">
        <f t="shared" si="2529"/>
        <v>77188.850017384713</v>
      </c>
      <c r="AV228" s="41">
        <f t="shared" si="2529"/>
        <v>73779.356611188457</v>
      </c>
      <c r="AW228" s="41">
        <f t="shared" si="2529"/>
        <v>73453.083516130762</v>
      </c>
      <c r="AX228" s="41">
        <f t="shared" si="2529"/>
        <v>81904.068735672045</v>
      </c>
      <c r="AY228" s="211">
        <f t="shared" si="2529"/>
        <v>78048.509956871305</v>
      </c>
      <c r="AZ228" s="41">
        <f t="shared" ref="AZ228" si="2530">AZ$229*(SUM(AVERAGE(AY172:AZ172),AVERAGE(AY171:AZ171))/AVERAGE(AY$173:AZ$173))</f>
        <v>68463.466749501327</v>
      </c>
      <c r="BA228" s="41">
        <f t="shared" ref="BA228" si="2531">BA$229*(SUM(AVERAGE(AZ172:BA172),AVERAGE(AZ171:BA171))/AVERAGE(AZ$173:BA$173))</f>
        <v>62981.744629808134</v>
      </c>
      <c r="BB228" s="41">
        <f t="shared" ref="BB228" si="2532">BB$229*(SUM(AVERAGE(BA172:BB172),AVERAGE(BA171:BB171))/AVERAGE(BA$173:BB$173))</f>
        <v>59988.155377292846</v>
      </c>
      <c r="BC228" s="41">
        <f t="shared" ref="BC228" si="2533">BC$229*(SUM(AVERAGE(BB172:BC172),AVERAGE(BB171:BC171))/AVERAGE(BB$173:BC$173))</f>
        <v>56820.220710238136</v>
      </c>
      <c r="BD228" s="41">
        <f t="shared" ref="BD228" si="2534">BD$229*(SUM(AVERAGE(BC172:BD172),AVERAGE(BC171:BD171))/AVERAGE(BC$173:BD$173))</f>
        <v>53621.459126586735</v>
      </c>
      <c r="BE228" s="41">
        <f t="shared" ref="BE228" si="2535">BE$229*(SUM(AVERAGE(BD172:BE172),AVERAGE(BD171:BE171))/AVERAGE(BD$173:BE$173))</f>
        <v>50627.438170181536</v>
      </c>
      <c r="BF228" s="41">
        <f t="shared" ref="BF228" si="2536">BF$229*(SUM(AVERAGE(BE172:BF172),AVERAGE(BE171:BF171))/AVERAGE(BE$173:BF$173))</f>
        <v>47678.08828457343</v>
      </c>
      <c r="BG228" s="41">
        <f t="shared" ref="BG228:BK228" si="2537">BG$229*(SUM(AVERAGE(BF172:BG172),AVERAGE(BF171:BG171))/AVERAGE(BF$173:BG$173))</f>
        <v>44651.681582738696</v>
      </c>
      <c r="BH228" s="41">
        <f t="shared" si="2537"/>
        <v>43290.348607816413</v>
      </c>
      <c r="BI228" s="41">
        <f t="shared" si="2537"/>
        <v>43639.969016290408</v>
      </c>
      <c r="BJ228" s="41">
        <f t="shared" si="2537"/>
        <v>44363.266097362379</v>
      </c>
      <c r="BK228" s="41">
        <f t="shared" si="2537"/>
        <v>44788.23734621091</v>
      </c>
      <c r="BL228" s="41">
        <f t="shared" ref="BL228" si="2538">BL$229*(SUM(AVERAGE(BK172:BL172),AVERAGE(BK171:BL171))/AVERAGE(BK$173:BL$173))</f>
        <v>44564.296159479862</v>
      </c>
      <c r="BM228" s="41">
        <f t="shared" ref="BM228" si="2539">BM$229*(SUM(AVERAGE(BL172:BM172),AVERAGE(BL171:BM171))/AVERAGE(BL$173:BM$173))</f>
        <v>44341.474678682483</v>
      </c>
      <c r="BN228" s="41">
        <f t="shared" ref="BN228" si="2540">BN$229*(SUM(AVERAGE(BM172:BN172),AVERAGE(BM171:BN171))/AVERAGE(BM$173:BN$173))</f>
        <v>44672.646594829028</v>
      </c>
      <c r="BO228" s="41">
        <f t="shared" ref="BO228" si="2541">BO$229*(SUM(AVERAGE(BN172:BO172),AVERAGE(BN171:BO171))/AVERAGE(BN$173:BO$173))</f>
        <v>45566.099526725608</v>
      </c>
      <c r="BP228" s="41">
        <f t="shared" ref="BP228" si="2542">BP$229*(SUM(AVERAGE(BO172:BP172),AVERAGE(BO171:BP171))/AVERAGE(BO$173:BP$173))</f>
        <v>46937.594007530039</v>
      </c>
      <c r="BQ228" s="41">
        <f t="shared" ref="BQ228" si="2543">BQ$229*(SUM(AVERAGE(BP172:BQ172),AVERAGE(BP171:BQ171))/AVERAGE(BP$173:BQ$173))</f>
        <v>48815.097767831241</v>
      </c>
      <c r="BR228" s="41"/>
      <c r="BS228" s="41">
        <f t="shared" ref="BS228:CB228" si="2544">BS$229*(SUM(AVERAGE(BR172:BS172),AVERAGE(BR171:BS171))/AVERAGE(BR$173:BS$173))</f>
        <v>8670.2113523051066</v>
      </c>
      <c r="BT228" s="41">
        <f t="shared" si="2544"/>
        <v>8892.7317536871433</v>
      </c>
      <c r="BU228" s="41">
        <f t="shared" si="2544"/>
        <v>9252.9884434813994</v>
      </c>
      <c r="BV228" s="41">
        <f t="shared" si="2544"/>
        <v>10034.287047068738</v>
      </c>
      <c r="BW228" s="41">
        <f t="shared" si="2544"/>
        <v>11451.91103888287</v>
      </c>
      <c r="BX228" s="41">
        <f t="shared" si="2544"/>
        <v>14184.023714939209</v>
      </c>
      <c r="BY228" s="41">
        <f t="shared" si="2544"/>
        <v>17071.812326953168</v>
      </c>
      <c r="BZ228" s="41">
        <f t="shared" si="2544"/>
        <v>16460.784278319486</v>
      </c>
      <c r="CA228" s="41">
        <f t="shared" si="2544"/>
        <v>16661.898692172555</v>
      </c>
      <c r="CB228" s="41">
        <f t="shared" si="2544"/>
        <v>14740.622479536834</v>
      </c>
      <c r="CC228" s="41">
        <f>SUMPRODUCT(D228:E228,D$5:E$5)/SUM(D$5:E$5)</f>
        <v>13897.8654058251</v>
      </c>
      <c r="CD228" s="41">
        <f>SUMPRODUCT(F228:G228,F$5:G$5)/SUM(F$5:G$5)</f>
        <v>11884.874590990801</v>
      </c>
      <c r="CE228" s="41">
        <f>SUMPRODUCT(H228:I228,H$5:I$5)/SUM(H$5:I$5)</f>
        <v>9409.2539691352104</v>
      </c>
      <c r="CF228" s="41">
        <f>SUMPRODUCT(J228:K228,J$5:K$5)/SUM(J$5:K$5)</f>
        <v>8542.9732774694749</v>
      </c>
      <c r="CG228" s="41">
        <f t="shared" ref="CG228:CV228" si="2545">CG$229*(SUM(AVERAGE(CF172:CG172),AVERAGE(CF171:CG171))/AVERAGE(CF$173:CG$173))</f>
        <v>9057.834971356493</v>
      </c>
      <c r="CH228" s="41">
        <f t="shared" si="2545"/>
        <v>9811.5587573165249</v>
      </c>
      <c r="CI228" s="41">
        <f t="shared" si="2545"/>
        <v>16282.19207464857</v>
      </c>
      <c r="CJ228" s="41">
        <f t="shared" si="2545"/>
        <v>20472.889232380145</v>
      </c>
      <c r="CK228" s="41">
        <f t="shared" si="2545"/>
        <v>22099.972832123025</v>
      </c>
      <c r="CL228" s="41">
        <f t="shared" si="2545"/>
        <v>30416.586872123873</v>
      </c>
      <c r="CM228" s="41">
        <f t="shared" si="2545"/>
        <v>38500.913296309955</v>
      </c>
      <c r="CN228" s="41">
        <f t="shared" si="2545"/>
        <v>57853.22582100951</v>
      </c>
      <c r="CO228" s="41">
        <f t="shared" si="2545"/>
        <v>71239.171459398596</v>
      </c>
      <c r="CP228" s="41">
        <f t="shared" si="2545"/>
        <v>78883.526174832383</v>
      </c>
      <c r="CQ228" s="41">
        <f t="shared" si="2545"/>
        <v>67052.900159981044</v>
      </c>
      <c r="CR228" s="41">
        <f t="shared" si="2545"/>
        <v>57508.685496771868</v>
      </c>
      <c r="CS228" s="41">
        <f t="shared" si="2545"/>
        <v>55820.538734675894</v>
      </c>
      <c r="CT228" s="41">
        <f t="shared" si="2545"/>
        <v>61733.354209428995</v>
      </c>
      <c r="CU228" s="41">
        <f t="shared" si="2545"/>
        <v>65683.076107219167</v>
      </c>
      <c r="CV228" s="41">
        <f t="shared" si="2545"/>
        <v>55309.682474384208</v>
      </c>
      <c r="CW228" s="41">
        <f>(AR228*(AR$3-AQ$3)+AS228*(AS$3-AR$3))/(AS$3-AQ$3)</f>
        <v>71941.300356079737</v>
      </c>
      <c r="CX228" s="41">
        <f>(AT228*(AT$3-AS$3)+AU228*(AU$3-AT$3))/(AU$3-AS$3)</f>
        <v>78603.819365279138</v>
      </c>
      <c r="CY228" s="41">
        <f>(AV228*(AV$3-AU$3)+AW228*(AW$3-AV$3))/(AW$3-AU$3)</f>
        <v>73616.22006365961</v>
      </c>
      <c r="CZ228" s="211">
        <f>(AX228*(AX$3-AW$3)+AY228*(AY$3-AX$3))/(AY$3-AW$3)</f>
        <v>79971.007758903463</v>
      </c>
      <c r="DA228" s="41">
        <f>(AZ228*(AZ$3-AY$3)+BA228*(BA$3-AZ$3))/(BA$3-AY$3)</f>
        <v>65715.096481271583</v>
      </c>
      <c r="DB228" s="41">
        <f>(BB228*(BB$3-BA$3)+BC228*(BC$3-BB$3))/(BC$3-BA$3)</f>
        <v>58399.848407235273</v>
      </c>
      <c r="DC228" s="41">
        <f>(BD228*(BD$3-BC$3)+BE228*(BE$3-BD$3))/(BE$3-BC$3)</f>
        <v>52124.448648384139</v>
      </c>
      <c r="DD228" s="41">
        <f>(BF228*(BF$3-BE$3)+BG228*(BG$3-BF$3))/(BG$3-BE$3)</f>
        <v>46160.739171050802</v>
      </c>
      <c r="DE228" s="41">
        <f>(BH228*(BH$3-BG$3)+BI228*(BI$3-BH$3))/(BI$3-BG$3)</f>
        <v>43465.637744119813</v>
      </c>
      <c r="DF228" s="41">
        <f>(BJ228*(BJ$3-BI$3)+BK228*(BK$3-BJ$3))/(BK$3-BI$3)</f>
        <v>44576.333874182325</v>
      </c>
      <c r="DG228" s="41">
        <f>(BL228*(BL$3-BK$3)+BM228*(BM$3-BL$3))/(BM$3-BK$3)</f>
        <v>44452.885419081176</v>
      </c>
      <c r="DH228" s="41">
        <f>(BN228*(BN$3-BM$3)+BO228*(BO$3-BN$3))/(BO$3-BM$3)</f>
        <v>45120.596968903206</v>
      </c>
      <c r="DI228" s="41">
        <f>(BP228*(BP$3-BO$3)+BQ228*(BQ$3-BP$3))/(BQ$3-BO$3)</f>
        <v>47878.917810639956</v>
      </c>
    </row>
    <row r="229" spans="1:113" s="17" customFormat="1" ht="12" outlineLevel="1">
      <c r="A229" s="1" t="s">
        <v>402</v>
      </c>
      <c r="B229" s="17" t="s">
        <v>168</v>
      </c>
      <c r="C229" s="61">
        <f>15400</f>
        <v>15400</v>
      </c>
      <c r="D229" s="61">
        <v>15331</v>
      </c>
      <c r="E229" s="61">
        <v>13065</v>
      </c>
      <c r="F229" s="61">
        <v>13310</v>
      </c>
      <c r="G229" s="61">
        <v>11122</v>
      </c>
      <c r="H229" s="61">
        <v>9642</v>
      </c>
      <c r="I229" s="61">
        <v>9978</v>
      </c>
      <c r="J229" s="61">
        <f>9282+61</f>
        <v>9343</v>
      </c>
      <c r="K229" s="61">
        <f>8700+86</f>
        <v>8786</v>
      </c>
      <c r="L229" s="61">
        <f>9172+170</f>
        <v>9342</v>
      </c>
      <c r="M229" s="61">
        <f>9902+262</f>
        <v>10164</v>
      </c>
      <c r="N229" s="61">
        <f>10138+251</f>
        <v>10389</v>
      </c>
      <c r="O229" s="61">
        <f>10635+335</f>
        <v>10970</v>
      </c>
      <c r="P229" s="61">
        <f>16489+387</f>
        <v>16876</v>
      </c>
      <c r="Q229" s="61">
        <f>18109+539</f>
        <v>18648</v>
      </c>
      <c r="R229" s="61">
        <f>24106+528</f>
        <v>24634</v>
      </c>
      <c r="S229" s="61">
        <f>19865+323</f>
        <v>20188</v>
      </c>
      <c r="T229" s="61">
        <v>19225</v>
      </c>
      <c r="U229" s="61">
        <v>25528</v>
      </c>
      <c r="V229" s="61">
        <v>30308</v>
      </c>
      <c r="W229" s="61">
        <v>35340</v>
      </c>
      <c r="X229" s="61">
        <v>39665</v>
      </c>
      <c r="Y229" s="61">
        <v>44145</v>
      </c>
      <c r="Z229" s="194">
        <v>57664</v>
      </c>
      <c r="AA229" s="194">
        <v>68669</v>
      </c>
      <c r="AB229" s="194">
        <v>76408</v>
      </c>
      <c r="AC229" s="194">
        <v>78950</v>
      </c>
      <c r="AD229" s="194">
        <v>86172</v>
      </c>
      <c r="AE229" s="194">
        <v>86886</v>
      </c>
      <c r="AF229" s="194">
        <v>79132</v>
      </c>
      <c r="AG229" s="194">
        <v>69335</v>
      </c>
      <c r="AH229" s="194">
        <v>64699</v>
      </c>
      <c r="AI229" s="194">
        <v>59871</v>
      </c>
      <c r="AJ229" s="194">
        <v>56019</v>
      </c>
      <c r="AK229" s="194">
        <v>58826</v>
      </c>
      <c r="AL229" s="194">
        <v>61248</v>
      </c>
      <c r="AM229" s="194">
        <v>63493</v>
      </c>
      <c r="AN229" s="194">
        <v>66892</v>
      </c>
      <c r="AO229" s="194">
        <v>65594</v>
      </c>
      <c r="AP229" s="194">
        <v>53422</v>
      </c>
      <c r="AQ229" s="194">
        <v>58103</v>
      </c>
      <c r="AR229" s="194">
        <v>69003</v>
      </c>
      <c r="AS229" s="194">
        <v>75812</v>
      </c>
      <c r="AT229" s="194">
        <v>80510</v>
      </c>
      <c r="AU229" s="194">
        <v>77633</v>
      </c>
      <c r="AV229" s="194">
        <v>74195</v>
      </c>
      <c r="AW229" s="194">
        <v>73876</v>
      </c>
      <c r="AX229" s="194">
        <v>82369</v>
      </c>
      <c r="AY229" s="227">
        <v>78522</v>
      </c>
      <c r="AZ229" s="62">
        <f t="shared" ref="AZ229:BA229" si="2546">AY229*AVERAGE(AY173:AZ173)/AVERAGE(AX173:AY173)</f>
        <v>68939.828303211514</v>
      </c>
      <c r="BA229" s="62">
        <f t="shared" si="2546"/>
        <v>63475.384051515786</v>
      </c>
      <c r="BB229" s="62">
        <f t="shared" ref="BB229" si="2547">BA229*AVERAGE(BA173:BB173)/AVERAGE(AZ173:BA173)</f>
        <v>60508.303239104214</v>
      </c>
      <c r="BC229" s="62">
        <f t="shared" ref="BC229" si="2548">BB229*AVERAGE(BB173:BC173)/AVERAGE(BA173:BB173)</f>
        <v>57357.996359106131</v>
      </c>
      <c r="BD229" s="62">
        <f t="shared" ref="BD229" si="2549">BC229*AVERAGE(BC173:BD173)/AVERAGE(BB173:BC173)</f>
        <v>54168.408228190572</v>
      </c>
      <c r="BE229" s="62">
        <f t="shared" ref="BE229" si="2550">BD229*AVERAGE(BD173:BE173)/AVERAGE(BC173:BD173)</f>
        <v>51183.988099738963</v>
      </c>
      <c r="BF229" s="62">
        <f t="shared" ref="BF229" si="2551">BE229*AVERAGE(BE173:BF173)/AVERAGE(BD173:BE173)</f>
        <v>48242.88992394253</v>
      </c>
      <c r="BG229" s="62">
        <f t="shared" ref="BG229:BK229" si="2552">BF229*AVERAGE(BF173:BG173)/AVERAGE(BE173:BF173)</f>
        <v>45221.685361727665</v>
      </c>
      <c r="BH229" s="62">
        <f t="shared" si="2552"/>
        <v>43864.379284063652</v>
      </c>
      <c r="BI229" s="62">
        <f t="shared" si="2552"/>
        <v>44218.635664433474</v>
      </c>
      <c r="BJ229" s="62">
        <f t="shared" si="2552"/>
        <v>44951.523675722623</v>
      </c>
      <c r="BK229" s="62">
        <f t="shared" si="2552"/>
        <v>45395.526125767828</v>
      </c>
      <c r="BL229" s="62">
        <f t="shared" ref="BL229" si="2553">BK229*AVERAGE(BK173:BL173)/AVERAGE(BJ173:BK173)</f>
        <v>45195.876490219052</v>
      </c>
      <c r="BM229" s="62">
        <f t="shared" ref="BM229" si="2554">BL229*AVERAGE(BL173:BM173)/AVERAGE(BK173:BL173)</f>
        <v>44998.318222651222</v>
      </c>
      <c r="BN229" s="62">
        <f t="shared" ref="BN229" si="2555">BM229*AVERAGE(BM173:BN173)/AVERAGE(BL173:BM173)</f>
        <v>45355.763880556529</v>
      </c>
      <c r="BO229" s="62">
        <f t="shared" ref="BO229" si="2556">BN229*AVERAGE(BN173:BO173)/AVERAGE(BM173:BN173)</f>
        <v>46276.541503882225</v>
      </c>
      <c r="BP229" s="62">
        <f t="shared" ref="BP229" si="2557">BO229*AVERAGE(BO173:BP173)/AVERAGE(BN173:BO173)</f>
        <v>47676.453663772911</v>
      </c>
      <c r="BQ229" s="62">
        <f t="shared" ref="BQ229" si="2558">BP229*AVERAGE(BP173:BQ173)/AVERAGE(BO173:BP173)</f>
        <v>49583.511810323827</v>
      </c>
      <c r="BR229" s="62"/>
      <c r="BS229" s="384">
        <f>17159.6-BS224</f>
        <v>8911.0356577294806</v>
      </c>
      <c r="BT229" s="384">
        <f>17600-BT224</f>
        <v>9139.736798995249</v>
      </c>
      <c r="BU229" s="61">
        <v>9510</v>
      </c>
      <c r="BV229" s="61">
        <v>10313</v>
      </c>
      <c r="BW229" s="61">
        <v>11770</v>
      </c>
      <c r="BX229" s="61">
        <v>14578</v>
      </c>
      <c r="BY229" s="61">
        <v>17546</v>
      </c>
      <c r="BZ229" s="61">
        <v>16918</v>
      </c>
      <c r="CA229" s="61">
        <v>17118</v>
      </c>
      <c r="CB229" s="61">
        <v>15087</v>
      </c>
      <c r="CC229" s="62">
        <f>SUMPRODUCT(D229:E229,D$5:E$5)/SUM(D$5:E$5)</f>
        <v>14201.104109589041</v>
      </c>
      <c r="CD229" s="62">
        <f>SUMPRODUCT(F229:G229,F$5:G$5)/SUM(F$5:G$5)</f>
        <v>12218.997260273973</v>
      </c>
      <c r="CE229" s="62">
        <f>SUMPRODUCT(H229:I229,H$5:I$5)/SUM(H$5:I$5)</f>
        <v>9810</v>
      </c>
      <c r="CF229" s="62">
        <f>SUMPRODUCT(J229:K229,J$5:K$5)/SUM(J$5:K$5)</f>
        <v>9065.2630136986299</v>
      </c>
      <c r="CG229" s="194">
        <f>9538+216</f>
        <v>9754</v>
      </c>
      <c r="CH229" s="194">
        <f>10387+293</f>
        <v>10680</v>
      </c>
      <c r="CI229" s="194">
        <f>17299+463</f>
        <v>17762</v>
      </c>
      <c r="CJ229" s="194">
        <f>21980+425</f>
        <v>22405</v>
      </c>
      <c r="CK229" s="194">
        <v>24056</v>
      </c>
      <c r="CL229" s="194">
        <v>32832</v>
      </c>
      <c r="CM229" s="61">
        <v>41905</v>
      </c>
      <c r="CN229" s="194">
        <v>63182</v>
      </c>
      <c r="CO229" s="194">
        <v>77682</v>
      </c>
      <c r="CP229" s="194">
        <v>86530</v>
      </c>
      <c r="CQ229" s="194">
        <v>74244</v>
      </c>
      <c r="CR229" s="194">
        <v>62278</v>
      </c>
      <c r="CS229" s="194">
        <v>57426</v>
      </c>
      <c r="CT229" s="194">
        <v>62374</v>
      </c>
      <c r="CU229" s="194">
        <v>66243</v>
      </c>
      <c r="CV229" s="194">
        <v>55769</v>
      </c>
      <c r="CW229" s="194">
        <v>72416</v>
      </c>
      <c r="CX229" s="194">
        <v>79068</v>
      </c>
      <c r="CY229" s="194">
        <v>74036</v>
      </c>
      <c r="CZ229" s="227">
        <v>80440</v>
      </c>
      <c r="DA229" s="62">
        <f>(AZ229*(AZ$3-AY$3)+BA229*(BA$3-AZ$3))/(BA$3-AY$3)</f>
        <v>66200.120637292828</v>
      </c>
      <c r="DB229" s="62">
        <f>(BB229*(BB$3-BA$3)+BC229*(BC$3-BB$3))/(BC$3-BA$3)</f>
        <v>58928.834310228471</v>
      </c>
      <c r="DC229" s="62">
        <f>(BD229*(BD$3-BC$3)+BE229*(BE$3-BD$3))/(BE$3-BC$3)</f>
        <v>52676.198163964771</v>
      </c>
      <c r="DD229" s="62">
        <f>(BF229*(BF$3-BE$3)+BG229*(BG$3-BF$3))/(BG$3-BE$3)</f>
        <v>46728.149006448504</v>
      </c>
      <c r="DE229" s="62">
        <f>(BH229*(BH$3-BG$3)+BI229*(BI$3-BH$3))/(BI$3-BG$3)</f>
        <v>44041.992756961401</v>
      </c>
      <c r="DF229" s="62">
        <f>(BJ229*(BJ$3-BI$3)+BK229*(BK$3-BJ$3))/(BK$3-BI$3)</f>
        <v>45174.133123279535</v>
      </c>
      <c r="DG229" s="62">
        <f>(BL229*(BL$3-BK$3)+BM229*(BM$3-BL$3))/(BM$3-BK$3)</f>
        <v>45097.097356435137</v>
      </c>
      <c r="DH229" s="62">
        <f>(BN229*(BN$3-BM$3)+BO229*(BO$3-BN$3))/(BO$3-BM$3)</f>
        <v>45817.414031429413</v>
      </c>
      <c r="DI229" s="62">
        <f>(BP229*(BP$3-BO$3)+BQ229*(BQ$3-BP$3))/(BQ$3-BO$3)</f>
        <v>48632.595145468302</v>
      </c>
    </row>
    <row r="230" spans="1:113" ht="12" outlineLevel="1">
      <c r="C230" s="41"/>
      <c r="D230" s="41"/>
      <c r="E230" s="41"/>
      <c r="F230" s="41"/>
      <c r="G230" s="41"/>
      <c r="H230" s="41"/>
      <c r="I230" s="41"/>
      <c r="J230" s="41"/>
      <c r="K230" s="41"/>
      <c r="L230" s="41"/>
      <c r="M230" s="41"/>
      <c r="N230" s="41"/>
      <c r="O230" s="41"/>
      <c r="P230" s="41"/>
      <c r="Q230" s="41"/>
      <c r="R230" s="41"/>
      <c r="S230" s="41"/>
      <c r="T230" s="41"/>
      <c r="U230" s="41"/>
      <c r="V230" s="41"/>
      <c r="W230" s="41"/>
      <c r="X230" s="41"/>
      <c r="Y230" s="41"/>
      <c r="Z230" s="41"/>
      <c r="AA230" s="41"/>
      <c r="AB230" s="41"/>
      <c r="AC230" s="41"/>
      <c r="AD230" s="41"/>
      <c r="AE230" s="41"/>
      <c r="AF230" s="41"/>
      <c r="AG230" s="41"/>
      <c r="AH230" s="41"/>
      <c r="AI230" s="41"/>
      <c r="AJ230" s="41"/>
      <c r="AK230" s="41"/>
      <c r="AL230" s="41"/>
      <c r="AM230" s="41"/>
      <c r="AN230" s="41"/>
      <c r="AO230" s="41"/>
      <c r="AP230" s="41"/>
      <c r="AQ230" s="41"/>
      <c r="AR230" s="41"/>
      <c r="AS230" s="41"/>
      <c r="AT230" s="41"/>
      <c r="AU230" s="41"/>
      <c r="AV230" s="41"/>
      <c r="AW230" s="41"/>
      <c r="AX230" s="41"/>
      <c r="AY230" s="211"/>
      <c r="AZ230" s="41"/>
      <c r="BA230" s="41"/>
      <c r="BB230" s="41"/>
      <c r="BC230" s="41"/>
      <c r="BD230" s="41"/>
      <c r="BE230" s="41"/>
      <c r="BF230" s="41"/>
      <c r="BG230" s="41"/>
      <c r="BH230" s="41"/>
      <c r="BI230" s="41"/>
      <c r="BJ230" s="41"/>
      <c r="BK230" s="41"/>
      <c r="BL230" s="41"/>
      <c r="BM230" s="41"/>
      <c r="BN230" s="41"/>
      <c r="BO230" s="41"/>
      <c r="BP230" s="41"/>
      <c r="BQ230" s="41"/>
      <c r="BR230" s="41"/>
      <c r="BS230" s="41"/>
      <c r="BT230" s="41"/>
      <c r="BU230" s="41"/>
      <c r="BV230" s="41"/>
      <c r="BW230" s="41"/>
      <c r="BX230" s="41"/>
      <c r="BY230" s="41"/>
      <c r="BZ230" s="41"/>
      <c r="CA230" s="41"/>
      <c r="CB230" s="41"/>
      <c r="CC230" s="41"/>
      <c r="CD230" s="41"/>
      <c r="CE230" s="41"/>
      <c r="CF230" s="41"/>
      <c r="CG230" s="41"/>
      <c r="CH230" s="41"/>
      <c r="CI230" s="41"/>
      <c r="CJ230" s="41"/>
      <c r="CK230" s="41"/>
      <c r="CL230" s="41"/>
      <c r="CM230" s="41"/>
      <c r="CN230" s="41"/>
      <c r="CO230" s="41"/>
      <c r="CP230" s="41"/>
      <c r="CQ230" s="41"/>
      <c r="CR230" s="41"/>
      <c r="CS230" s="41"/>
      <c r="CT230" s="41"/>
      <c r="CU230" s="41"/>
      <c r="CV230" s="41"/>
      <c r="CW230" s="41"/>
      <c r="CX230" s="41"/>
      <c r="CY230" s="41"/>
      <c r="CZ230" s="211"/>
      <c r="DA230" s="41"/>
      <c r="DB230" s="41"/>
      <c r="DC230" s="41"/>
      <c r="DD230" s="41"/>
      <c r="DE230" s="41"/>
      <c r="DF230" s="41"/>
      <c r="DG230" s="41"/>
      <c r="DH230" s="41"/>
      <c r="DI230" s="41"/>
    </row>
    <row r="231" spans="1:113" s="17" customFormat="1" ht="12" outlineLevel="1">
      <c r="A231" s="1"/>
      <c r="B231" s="17" t="s">
        <v>343</v>
      </c>
      <c r="C231" s="62"/>
      <c r="D231" s="62"/>
      <c r="E231" s="62"/>
      <c r="F231" s="62"/>
      <c r="G231" s="62"/>
      <c r="H231" s="62"/>
      <c r="I231" s="62"/>
      <c r="J231" s="62"/>
      <c r="K231" s="62"/>
      <c r="L231" s="62"/>
      <c r="M231" s="62"/>
      <c r="N231" s="62"/>
      <c r="O231" s="62"/>
      <c r="P231" s="62"/>
      <c r="Q231" s="62"/>
      <c r="R231" s="62"/>
      <c r="S231" s="62"/>
      <c r="T231" s="62"/>
      <c r="U231" s="62"/>
      <c r="V231" s="62"/>
      <c r="W231" s="62"/>
      <c r="X231" s="62"/>
      <c r="Y231" s="62"/>
      <c r="Z231" s="62"/>
      <c r="AA231" s="62"/>
      <c r="AB231" s="62"/>
      <c r="AC231" s="62"/>
      <c r="AD231" s="62"/>
      <c r="AE231" s="62"/>
      <c r="AF231" s="62"/>
      <c r="AG231" s="62"/>
      <c r="AH231" s="62"/>
      <c r="AI231" s="62"/>
      <c r="AJ231" s="62"/>
      <c r="AK231" s="62"/>
      <c r="AL231" s="62"/>
      <c r="AM231" s="62"/>
      <c r="AN231" s="62"/>
      <c r="AO231" s="62"/>
      <c r="AP231" s="62"/>
      <c r="AQ231" s="62"/>
      <c r="AR231" s="62"/>
      <c r="AS231" s="62"/>
      <c r="AT231" s="62"/>
      <c r="AU231" s="62"/>
      <c r="AV231" s="62"/>
      <c r="AW231" s="62"/>
      <c r="AX231" s="62"/>
      <c r="AY231" s="220"/>
      <c r="AZ231" s="62"/>
      <c r="BA231" s="62"/>
      <c r="BB231" s="62"/>
      <c r="BC231" s="62"/>
      <c r="BD231" s="62"/>
      <c r="BE231" s="62"/>
      <c r="BF231" s="62"/>
      <c r="BG231" s="62"/>
      <c r="BH231" s="62"/>
      <c r="BI231" s="62"/>
      <c r="BJ231" s="62"/>
      <c r="BK231" s="62"/>
      <c r="BL231" s="62"/>
      <c r="BM231" s="62"/>
      <c r="BN231" s="62"/>
      <c r="BO231" s="62"/>
      <c r="BP231" s="62"/>
      <c r="BQ231" s="62"/>
      <c r="BR231" s="62"/>
      <c r="BS231" s="62"/>
      <c r="BT231" s="62"/>
      <c r="BU231" s="62"/>
      <c r="BV231" s="62"/>
      <c r="BW231" s="62"/>
      <c r="BX231" s="62"/>
      <c r="BY231" s="62"/>
      <c r="BZ231" s="62"/>
      <c r="CA231" s="62"/>
      <c r="CB231" s="62"/>
      <c r="CC231" s="62"/>
      <c r="CD231" s="62"/>
      <c r="CE231" s="62"/>
      <c r="CF231" s="62"/>
      <c r="CG231" s="62"/>
      <c r="CH231" s="62"/>
      <c r="CI231" s="62"/>
      <c r="CJ231" s="62"/>
      <c r="CK231" s="62"/>
      <c r="CL231" s="62"/>
      <c r="CM231" s="62"/>
      <c r="CN231" s="62"/>
      <c r="CO231" s="62"/>
      <c r="CP231" s="62"/>
      <c r="CQ231" s="62"/>
      <c r="CR231" s="62"/>
      <c r="CS231" s="62"/>
      <c r="CT231" s="62"/>
      <c r="CU231" s="62"/>
      <c r="CV231" s="62"/>
      <c r="CW231" s="62"/>
      <c r="CX231" s="62"/>
      <c r="CY231" s="62"/>
      <c r="CZ231" s="220"/>
      <c r="DA231" s="62"/>
      <c r="DB231" s="62"/>
      <c r="DC231" s="62"/>
      <c r="DD231" s="62"/>
      <c r="DE231" s="62"/>
      <c r="DF231" s="62"/>
      <c r="DG231" s="62"/>
      <c r="DH231" s="62"/>
      <c r="DI231" s="62"/>
    </row>
    <row r="232" spans="1:113" ht="12" outlineLevel="1">
      <c r="A232" s="1" t="s">
        <v>405</v>
      </c>
      <c r="B232" s="15" t="s">
        <v>164</v>
      </c>
      <c r="C232" s="41">
        <f t="shared" ref="C232:L232" si="2559">C215+C222+C227</f>
        <v>97006.387264650315</v>
      </c>
      <c r="D232" s="41">
        <f t="shared" si="2559"/>
        <v>55153.094193752288</v>
      </c>
      <c r="E232" s="41">
        <f t="shared" si="2559"/>
        <v>59417.404101563356</v>
      </c>
      <c r="F232" s="41">
        <f t="shared" si="2559"/>
        <v>64798.980514900701</v>
      </c>
      <c r="G232" s="41">
        <f t="shared" si="2559"/>
        <v>69483.129294899438</v>
      </c>
      <c r="H232" s="41">
        <f t="shared" si="2559"/>
        <v>87210.640874662335</v>
      </c>
      <c r="I232" s="41">
        <f t="shared" si="2559"/>
        <v>102788.05807645491</v>
      </c>
      <c r="J232" s="41">
        <f t="shared" si="2559"/>
        <v>115122.33829732763</v>
      </c>
      <c r="K232" s="41">
        <f t="shared" si="2559"/>
        <v>122243.83348028189</v>
      </c>
      <c r="L232" s="41">
        <f t="shared" si="2559"/>
        <v>129245.16681437111</v>
      </c>
      <c r="M232" s="41">
        <f t="shared" ref="M232:AB232" si="2560">M215+M222+M227</f>
        <v>134935.94177342718</v>
      </c>
      <c r="N232" s="41">
        <f t="shared" si="2560"/>
        <v>143967.64292692603</v>
      </c>
      <c r="O232" s="41">
        <f t="shared" si="2560"/>
        <v>151802.23346445357</v>
      </c>
      <c r="P232" s="41">
        <f t="shared" si="2560"/>
        <v>161993.87808392916</v>
      </c>
      <c r="Q232" s="41">
        <f t="shared" si="2560"/>
        <v>168973.96553059999</v>
      </c>
      <c r="R232" s="41">
        <f t="shared" si="2560"/>
        <v>180381.32786627801</v>
      </c>
      <c r="S232" s="41">
        <f t="shared" si="2560"/>
        <v>182748.83059981652</v>
      </c>
      <c r="T232" s="41">
        <f t="shared" si="2560"/>
        <v>187849.49334420913</v>
      </c>
      <c r="U232" s="41">
        <f t="shared" si="2560"/>
        <v>198053.60890855035</v>
      </c>
      <c r="V232" s="41">
        <f t="shared" si="2560"/>
        <v>206867.48647069294</v>
      </c>
      <c r="W232" s="41">
        <f t="shared" si="2560"/>
        <v>210568.6134251054</v>
      </c>
      <c r="X232" s="41">
        <f t="shared" si="2560"/>
        <v>218343.1403135797</v>
      </c>
      <c r="Y232" s="41">
        <f t="shared" si="2560"/>
        <v>228157.46631033829</v>
      </c>
      <c r="Z232" s="41">
        <f t="shared" si="2560"/>
        <v>234298.04388636895</v>
      </c>
      <c r="AA232" s="41">
        <f t="shared" si="2560"/>
        <v>245498.05246973256</v>
      </c>
      <c r="AB232" s="41">
        <f t="shared" si="2560"/>
        <v>258615.26597096131</v>
      </c>
      <c r="AC232" s="41">
        <f t="shared" ref="AC232:AD232" si="2561">AC215+AC222+AC227</f>
        <v>272134.73439445626</v>
      </c>
      <c r="AD232" s="41">
        <f t="shared" si="2561"/>
        <v>279882.18995644752</v>
      </c>
      <c r="AE232" s="41">
        <f t="shared" ref="AE232:AF232" si="2562">AE215+AE222+AE227</f>
        <v>294138.80663711211</v>
      </c>
      <c r="AF232" s="41">
        <f t="shared" si="2562"/>
        <v>294440.68535840639</v>
      </c>
      <c r="AG232" s="41">
        <f t="shared" ref="AG232:AL232" si="2563">AG215+AG222+AG227</f>
        <v>304350.36863705824</v>
      </c>
      <c r="AH232" s="41">
        <f t="shared" si="2563"/>
        <v>311733.87372072734</v>
      </c>
      <c r="AI232" s="41">
        <f t="shared" si="2563"/>
        <v>318229.57415232412</v>
      </c>
      <c r="AJ232" s="41">
        <f t="shared" si="2563"/>
        <v>322927.82703095564</v>
      </c>
      <c r="AK232" s="41">
        <f t="shared" si="2563"/>
        <v>326808.05177731358</v>
      </c>
      <c r="AL232" s="41">
        <f t="shared" si="2563"/>
        <v>332400.14508340531</v>
      </c>
      <c r="AM232" s="41">
        <f t="shared" ref="AM232:AN232" si="2564">AM215+AM222+AM227</f>
        <v>329931.2098958331</v>
      </c>
      <c r="AN232" s="41">
        <f t="shared" si="2564"/>
        <v>328329.2625144819</v>
      </c>
      <c r="AO232" s="41">
        <f t="shared" ref="AO232" si="2565">AO215+AO222+AO227</f>
        <v>334489.0695381891</v>
      </c>
      <c r="AP232" s="41">
        <f t="shared" ref="AP232:AQ232" si="2566">AP215+AP222+AP227</f>
        <v>343264.51958961121</v>
      </c>
      <c r="AQ232" s="41">
        <f t="shared" si="2566"/>
        <v>346681.54436276708</v>
      </c>
      <c r="AR232" s="41">
        <f t="shared" ref="AR232:AS232" si="2567">AR215+AR222+AR227</f>
        <v>349697.44412269356</v>
      </c>
      <c r="AS232" s="41">
        <f t="shared" si="2567"/>
        <v>347830.70870897861</v>
      </c>
      <c r="AT232" s="41">
        <f t="shared" ref="AT232:AU232" si="2568">AT215+AT222+AT227</f>
        <v>362543.62722627009</v>
      </c>
      <c r="AU232" s="41">
        <f t="shared" si="2568"/>
        <v>368059.47392568458</v>
      </c>
      <c r="AV232" s="41">
        <f t="shared" ref="AV232:AW232" si="2569">AV215+AV222+AV227</f>
        <v>381734.89580243296</v>
      </c>
      <c r="AW232" s="41">
        <f t="shared" si="2569"/>
        <v>411931.29505893908</v>
      </c>
      <c r="AX232" s="41">
        <f t="shared" ref="AX232:AY232" si="2570">AX215+AX222+AX227</f>
        <v>454825.92334065941</v>
      </c>
      <c r="AY232" s="211">
        <f t="shared" si="2570"/>
        <v>466725.89418239816</v>
      </c>
      <c r="AZ232" s="41">
        <f t="shared" ref="AZ232:BA232" si="2571">AZ215+AZ222+AZ227</f>
        <v>477998.64666645683</v>
      </c>
      <c r="BA232" s="41">
        <f t="shared" si="2571"/>
        <v>489014.62875116285</v>
      </c>
      <c r="BB232" s="41">
        <f t="shared" ref="BB232:BC232" si="2572">BB215+BB222+BB227</f>
        <v>497078.42075758532</v>
      </c>
      <c r="BC232" s="41">
        <f t="shared" si="2572"/>
        <v>507884.80534566526</v>
      </c>
      <c r="BD232" s="41">
        <f t="shared" ref="BD232:BE232" si="2573">BD215+BD222+BD227</f>
        <v>520645.58221415838</v>
      </c>
      <c r="BE232" s="41">
        <f t="shared" si="2573"/>
        <v>533325.96937945893</v>
      </c>
      <c r="BF232" s="41">
        <f t="shared" ref="BF232:BG232" si="2574">BF215+BF222+BF227</f>
        <v>545795.35747732257</v>
      </c>
      <c r="BG232" s="41">
        <f t="shared" si="2574"/>
        <v>557895.42603021523</v>
      </c>
      <c r="BH232" s="41">
        <f t="shared" ref="BH232:BI232" si="2575">BH215+BH222+BH227</f>
        <v>569517.75764538499</v>
      </c>
      <c r="BI232" s="41">
        <f t="shared" si="2575"/>
        <v>580427.16631610726</v>
      </c>
      <c r="BJ232" s="41">
        <f t="shared" ref="BJ232:BK232" si="2576">BJ215+BJ222+BJ227</f>
        <v>591292.10041276342</v>
      </c>
      <c r="BK232" s="41">
        <f t="shared" si="2576"/>
        <v>602922.30487932009</v>
      </c>
      <c r="BL232" s="41">
        <f t="shared" ref="BL232:BM232" si="2577">BL215+BL222+BL227</f>
        <v>615053.12825410778</v>
      </c>
      <c r="BM232" s="41">
        <f t="shared" si="2577"/>
        <v>627428.26458059705</v>
      </c>
      <c r="BN232" s="41">
        <f t="shared" ref="BN232:BO232" si="2578">BN215+BN222+BN227</f>
        <v>640052.64388519223</v>
      </c>
      <c r="BO232" s="41">
        <f t="shared" si="2578"/>
        <v>652931.29606127052</v>
      </c>
      <c r="BP232" s="41">
        <f t="shared" ref="BP232:BQ232" si="2579">BP215+BP222+BP227</f>
        <v>666069.35290744761</v>
      </c>
      <c r="BQ232" s="41">
        <f t="shared" si="2579"/>
        <v>679472.05020804657</v>
      </c>
      <c r="BR232" s="41"/>
      <c r="BS232" s="41">
        <f t="shared" ref="BS232:CB232" si="2580">BS215+BS222+BS227</f>
        <v>28612.305441986551</v>
      </c>
      <c r="BT232" s="41">
        <f t="shared" si="2580"/>
        <v>16850.653265352285</v>
      </c>
      <c r="BU232" s="41">
        <f t="shared" si="2580"/>
        <v>17422.936102303902</v>
      </c>
      <c r="BV232" s="41">
        <f t="shared" si="2580"/>
        <v>19873.960202675662</v>
      </c>
      <c r="BW232" s="41">
        <f t="shared" si="2580"/>
        <v>21878.475666794027</v>
      </c>
      <c r="BX232" s="41">
        <f t="shared" si="2580"/>
        <v>24193.51586645926</v>
      </c>
      <c r="BY232" s="41">
        <f t="shared" si="2580"/>
        <v>26533.371482021728</v>
      </c>
      <c r="BZ232" s="41">
        <f t="shared" si="2580"/>
        <v>31316.727563058161</v>
      </c>
      <c r="CA232" s="41">
        <f t="shared" si="2580"/>
        <v>39187.823736228784</v>
      </c>
      <c r="CB232" s="41">
        <f t="shared" si="2580"/>
        <v>45238.659390511064</v>
      </c>
      <c r="CC232" s="41">
        <f t="shared" ref="CC232:CC239" si="2581">SUMPRODUCT(D232:E232,D$5:E$5)/SUM(D$5:E$5)</f>
        <v>57279.407627236164</v>
      </c>
      <c r="CD232" s="41">
        <f t="shared" ref="CD232:CD239" si="2582">SUMPRODUCT(F232:G232,F$5:G$5)/SUM(F$5:G$5)</f>
        <v>67134.638262735694</v>
      </c>
      <c r="CE232" s="41">
        <f t="shared" ref="CE232:CE239" si="2583">SUMPRODUCT(H232:I232,H$5:I$5)/SUM(H$5:I$5)</f>
        <v>94999.349475558614</v>
      </c>
      <c r="CF232" s="41">
        <f t="shared" ref="CF232:CF239" si="2584">SUMPRODUCT(J232:K232,J$5:K$5)/SUM(J$5:K$5)</f>
        <v>118673.33041595141</v>
      </c>
      <c r="CG232" s="41">
        <f t="shared" ref="CG232:CM232" si="2585">CG215+CG222+CG227</f>
        <v>132290.70250584799</v>
      </c>
      <c r="CH232" s="41">
        <f t="shared" si="2585"/>
        <v>147236.52070023699</v>
      </c>
      <c r="CI232" s="41">
        <f t="shared" si="2585"/>
        <v>166150.1297730706</v>
      </c>
      <c r="CJ232" s="41">
        <f t="shared" si="2585"/>
        <v>181990.00807828605</v>
      </c>
      <c r="CK232" s="41">
        <f t="shared" si="2585"/>
        <v>193632.15240609646</v>
      </c>
      <c r="CL232" s="41">
        <f t="shared" si="2585"/>
        <v>209585.23054082683</v>
      </c>
      <c r="CM232" s="41">
        <f t="shared" si="2585"/>
        <v>222955.28376283654</v>
      </c>
      <c r="CN232" s="41">
        <f t="shared" ref="CN232:CS232" si="2586">CN215+CN222+CN227</f>
        <v>240053.2921886644</v>
      </c>
      <c r="CO232" s="41">
        <f t="shared" si="2586"/>
        <v>265772.99403392273</v>
      </c>
      <c r="CP232" s="41">
        <f t="shared" si="2586"/>
        <v>287161.61087501299</v>
      </c>
      <c r="CQ232" s="41">
        <f t="shared" si="2586"/>
        <v>297032.98577585589</v>
      </c>
      <c r="CR232" s="41">
        <f t="shared" si="2586"/>
        <v>314108.69771409238</v>
      </c>
      <c r="CS232" s="41">
        <f t="shared" si="2586"/>
        <v>323796.26896920131</v>
      </c>
      <c r="CT232" s="41">
        <f t="shared" ref="CT232:CU232" si="2587">CT215+CT222+CT227</f>
        <v>329026.00647559459</v>
      </c>
      <c r="CU232" s="41">
        <f t="shared" si="2587"/>
        <v>338162.90236001433</v>
      </c>
      <c r="CV232" s="41">
        <f t="shared" ref="CV232" si="2588">CV215+CV222+CV227</f>
        <v>342174.46587888984</v>
      </c>
      <c r="CW232" s="41">
        <f t="shared" ref="CW232:CW238" si="2589">(AR232*(AR$3-AQ$3)+AS232*(AS$3-AR$3))/(AS$3-AQ$3)</f>
        <v>348761.51924403646</v>
      </c>
      <c r="CX232" s="41">
        <f t="shared" ref="CX232:CX238" si="2590">(AT232*(AT$3-AS$3)+AU232*(AU$3-AT$3))/(AU$3-AS$3)</f>
        <v>365309.10653036006</v>
      </c>
      <c r="CY232" s="41">
        <f t="shared" ref="CY232:CY238" si="2591">(AV232*(AV$3-AU$3)+AW232*(AW$3-AV$3))/(AW$3-AU$3)</f>
        <v>396833.09543068602</v>
      </c>
      <c r="CZ232" s="211">
        <f t="shared" ref="CZ232:CZ238" si="2592">(AX232*(AX$3-AW$3)+AY232*(AY$3-AX$3))/(AY$3-AW$3)</f>
        <v>460792.21009144897</v>
      </c>
      <c r="DA232" s="41">
        <f t="shared" ref="DA232:DA239" si="2593">(AZ232*(AZ$3-AY$3)+BA232*(BA$3-AZ$3))/(BA$3-AY$3)</f>
        <v>483521.72809522721</v>
      </c>
      <c r="DB232" s="41">
        <f t="shared" ref="DB232:DB239" si="2594">(BB232*(BB$3-BA$3)+BC232*(BC$3-BB$3))/(BC$3-BA$3)</f>
        <v>502496.41631818429</v>
      </c>
      <c r="DC232" s="41">
        <f t="shared" ref="DC232:DC239" si="2595">(BD232*(BD$3-BC$3)+BE232*(BE$3-BD$3))/(BE$3-BC$3)</f>
        <v>526985.77579680865</v>
      </c>
      <c r="DD232" s="41">
        <f t="shared" ref="DD232:DD239" si="2596">(BF232*(BF$3-BE$3)+BG232*(BG$3-BF$3))/(BG$3-BE$3)</f>
        <v>551861.96719014272</v>
      </c>
      <c r="DE232" s="41">
        <f t="shared" ref="DE232:DE239" si="2597">(BH232*(BH$3-BG$3)+BI232*(BI$3-BH$3))/(BI$3-BG$3)</f>
        <v>574987.40637618548</v>
      </c>
      <c r="DF232" s="41">
        <f t="shared" ref="DF232:DF239" si="2598">(BJ232*(BJ$3-BI$3)+BK232*(BK$3-BJ$3))/(BK$3-BI$3)</f>
        <v>597123.1344329823</v>
      </c>
      <c r="DG232" s="41">
        <f t="shared" ref="DG232:DG239" si="2599">(BL232*(BL$3-BK$3)+BM232*(BM$3-BL$3))/(BM$3-BK$3)</f>
        <v>621240.69641735242</v>
      </c>
      <c r="DH232" s="41">
        <f t="shared" ref="DH232:DH239" si="2600">(BN232*(BN$3-BM$3)+BO232*(BO$3-BN$3))/(BO$3-BM$3)</f>
        <v>646509.61196251377</v>
      </c>
      <c r="DI232" s="41">
        <f t="shared" ref="DI232:DI239" si="2601">(BP232*(BP$3-BO$3)+BQ232*(BQ$3-BP$3))/(BQ$3-BO$3)</f>
        <v>672789.061417063</v>
      </c>
    </row>
    <row r="233" spans="1:113" ht="12" outlineLevel="1">
      <c r="A233" s="1" t="s">
        <v>335</v>
      </c>
      <c r="B233" s="15" t="s">
        <v>344</v>
      </c>
      <c r="C233" s="41">
        <f t="shared" ref="C233:L233" si="2602">C234-C232</f>
        <v>42403.612735349685</v>
      </c>
      <c r="D233" s="41">
        <f t="shared" si="2602"/>
        <v>86272.905806247712</v>
      </c>
      <c r="E233" s="41">
        <f t="shared" si="2602"/>
        <v>84600.595898436644</v>
      </c>
      <c r="F233" s="41">
        <f t="shared" si="2602"/>
        <v>88308.019485099299</v>
      </c>
      <c r="G233" s="41">
        <f t="shared" si="2602"/>
        <v>89875.870705100562</v>
      </c>
      <c r="H233" s="41">
        <f t="shared" si="2602"/>
        <v>102800.35912533767</v>
      </c>
      <c r="I233" s="41">
        <f t="shared" si="2602"/>
        <v>109623.94192354509</v>
      </c>
      <c r="J233" s="41">
        <f t="shared" si="2602"/>
        <v>113639.66170267237</v>
      </c>
      <c r="K233" s="41">
        <f t="shared" si="2602"/>
        <v>119201.16651971811</v>
      </c>
      <c r="L233" s="41">
        <f t="shared" si="2602"/>
        <v>124790.83318562889</v>
      </c>
      <c r="M233" s="41">
        <f t="shared" ref="M233:AB233" si="2603">M234-M232</f>
        <v>128587.05822657282</v>
      </c>
      <c r="N233" s="41">
        <f t="shared" si="2603"/>
        <v>134742.35707307397</v>
      </c>
      <c r="O233" s="41">
        <f t="shared" si="2603"/>
        <v>142525.76653554643</v>
      </c>
      <c r="P233" s="41">
        <f t="shared" si="2603"/>
        <v>160830.12191607084</v>
      </c>
      <c r="Q233" s="41">
        <f t="shared" si="2603"/>
        <v>171457.03446940001</v>
      </c>
      <c r="R233" s="41">
        <f t="shared" si="2603"/>
        <v>181144.67213372199</v>
      </c>
      <c r="S233" s="41">
        <f t="shared" si="2603"/>
        <v>167353.16940018348</v>
      </c>
      <c r="T233" s="41">
        <f t="shared" si="2603"/>
        <v>160669.50665579087</v>
      </c>
      <c r="U233" s="41">
        <f t="shared" si="2603"/>
        <v>166419.39109144965</v>
      </c>
      <c r="V233" s="41">
        <f t="shared" si="2603"/>
        <v>174623.51352930706</v>
      </c>
      <c r="W233" s="41">
        <f t="shared" si="2603"/>
        <v>182687.3865748946</v>
      </c>
      <c r="X233" s="41">
        <f t="shared" si="2603"/>
        <v>189902.8596864203</v>
      </c>
      <c r="Y233" s="41">
        <f t="shared" si="2603"/>
        <v>199521.53368966171</v>
      </c>
      <c r="Z233" s="41">
        <f t="shared" si="2603"/>
        <v>215203.95611363105</v>
      </c>
      <c r="AA233" s="41">
        <f t="shared" si="2603"/>
        <v>229977.94753026744</v>
      </c>
      <c r="AB233" s="41">
        <f t="shared" si="2603"/>
        <v>243988.73402903869</v>
      </c>
      <c r="AC233" s="41">
        <f t="shared" ref="AC233:AD233" si="2604">AC234-AC232</f>
        <v>255279.26560554374</v>
      </c>
      <c r="AD233" s="41">
        <f t="shared" si="2604"/>
        <v>265983.81004355248</v>
      </c>
      <c r="AE233" s="41">
        <f t="shared" ref="AE233:AF233" si="2605">AE234-AE232</f>
        <v>273470.19336288789</v>
      </c>
      <c r="AF233" s="41">
        <f t="shared" si="2605"/>
        <v>256491.31464159361</v>
      </c>
      <c r="AG233" s="41">
        <f t="shared" ref="AG233:AH233" si="2606">AG234-AG232</f>
        <v>246714.63136294176</v>
      </c>
      <c r="AH233" s="41">
        <f t="shared" si="2606"/>
        <v>244047.12627927266</v>
      </c>
      <c r="AI233" s="41">
        <f t="shared" ref="AI233:AJ233" si="2607">AI234-AI232</f>
        <v>240126.42584767588</v>
      </c>
      <c r="AJ233" s="41">
        <f t="shared" si="2607"/>
        <v>238517.17296904436</v>
      </c>
      <c r="AK233" s="41">
        <f t="shared" ref="AK233:AL233" si="2608">AK234-AK232</f>
        <v>245696.94822268642</v>
      </c>
      <c r="AL233" s="41">
        <f t="shared" si="2608"/>
        <v>253510.85491659469</v>
      </c>
      <c r="AM233" s="41">
        <f t="shared" ref="AM233:AN233" si="2609">AM234-AM232</f>
        <v>259997.7901041669</v>
      </c>
      <c r="AN233" s="41">
        <f t="shared" si="2609"/>
        <v>276309.7374855181</v>
      </c>
      <c r="AO233" s="41">
        <f t="shared" ref="AO233" si="2610">AO234-AO232</f>
        <v>272904.9304618109</v>
      </c>
      <c r="AP233" s="41">
        <f t="shared" ref="AP233:AQ233" si="2611">AP234-AP232</f>
        <v>243189.48041038879</v>
      </c>
      <c r="AQ233" s="41">
        <f t="shared" si="2611"/>
        <v>240635.45563723292</v>
      </c>
      <c r="AR233" s="41">
        <f t="shared" ref="AR233:AS233" si="2612">AR234-AR232</f>
        <v>257389.55587730644</v>
      </c>
      <c r="AS233" s="41">
        <f t="shared" si="2612"/>
        <v>271659.29129102139</v>
      </c>
      <c r="AT233" s="41">
        <f t="shared" ref="AT233:AU233" si="2613">AT234-AT232</f>
        <v>286709.37277372991</v>
      </c>
      <c r="AU233" s="41">
        <f t="shared" si="2613"/>
        <v>282109.52607431542</v>
      </c>
      <c r="AV233" s="41">
        <f t="shared" ref="AV233:AW233" si="2614">AV234-AV232</f>
        <v>282247.10419756704</v>
      </c>
      <c r="AW233" s="41">
        <f t="shared" si="2614"/>
        <v>287446.70494106092</v>
      </c>
      <c r="AX233" s="41">
        <f t="shared" ref="AX233:AY233" si="2615">AX234-AX232</f>
        <v>307731.07665934059</v>
      </c>
      <c r="AY233" s="211">
        <f t="shared" si="2615"/>
        <v>310467.10581760184</v>
      </c>
      <c r="AZ233" s="41">
        <f t="shared" ref="AZ233:BA233" si="2616">AZ234-AZ232</f>
        <v>310357.66733891284</v>
      </c>
      <c r="BA233" s="41">
        <f t="shared" si="2616"/>
        <v>312228.13788127835</v>
      </c>
      <c r="BB233" s="41">
        <f t="shared" ref="BB233:BC233" si="2617">BB234-BB232</f>
        <v>314822.29332995298</v>
      </c>
      <c r="BC233" s="41">
        <f t="shared" si="2617"/>
        <v>316675.0338953535</v>
      </c>
      <c r="BD233" s="41">
        <f t="shared" ref="BD233:BE233" si="2618">BD234-BD232</f>
        <v>318188.15849248762</v>
      </c>
      <c r="BE233" s="41">
        <f t="shared" si="2618"/>
        <v>319877.83568436012</v>
      </c>
      <c r="BF233" s="41">
        <f t="shared" ref="BF233:BG233" si="2619">BF234-BF232</f>
        <v>321568.32250865619</v>
      </c>
      <c r="BG233" s="41">
        <f t="shared" si="2619"/>
        <v>323048.46896948491</v>
      </c>
      <c r="BH233" s="41">
        <f t="shared" ref="BH233:BI233" si="2620">BH234-BH232</f>
        <v>326485.42085340014</v>
      </c>
      <c r="BI233" s="41">
        <f t="shared" si="2620"/>
        <v>331907.93424302794</v>
      </c>
      <c r="BJ233" s="41">
        <f t="shared" ref="BJ233:BK233" si="2621">BJ234-BJ232</f>
        <v>337889.76459238701</v>
      </c>
      <c r="BK233" s="41">
        <f t="shared" si="2621"/>
        <v>343826.41600200336</v>
      </c>
      <c r="BL233" s="41">
        <f t="shared" ref="BL233:BM233" si="2622">BL234-BL232</f>
        <v>349294.0201688091</v>
      </c>
      <c r="BM233" s="41">
        <f t="shared" si="2622"/>
        <v>354873.41486388154</v>
      </c>
      <c r="BN233" s="41">
        <f t="shared" ref="BN233:BO233" si="2623">BN234-BN232</f>
        <v>361119.65449656418</v>
      </c>
      <c r="BO233" s="41">
        <f t="shared" si="2623"/>
        <v>368043.25072090502</v>
      </c>
      <c r="BP233" s="41">
        <f t="shared" ref="BP233:BQ233" si="2624">BP234-BP232</f>
        <v>375562.23228678817</v>
      </c>
      <c r="BQ233" s="41">
        <f t="shared" si="2624"/>
        <v>383706.88020489854</v>
      </c>
      <c r="BR233" s="41"/>
      <c r="BS233" s="41">
        <f t="shared" ref="BS233:CB233" si="2625">BS234-BS232</f>
        <v>29556.294558013447</v>
      </c>
      <c r="BT233" s="41">
        <f t="shared" si="2625"/>
        <v>41901.346734647712</v>
      </c>
      <c r="BU233" s="41">
        <f t="shared" si="2625"/>
        <v>42301.063897696098</v>
      </c>
      <c r="BV233" s="41">
        <f t="shared" si="2625"/>
        <v>46356.039797324338</v>
      </c>
      <c r="BW233" s="41">
        <f t="shared" si="2625"/>
        <v>50969.524333205976</v>
      </c>
      <c r="BX233" s="41">
        <f t="shared" si="2625"/>
        <v>57400.48413354074</v>
      </c>
      <c r="BY233" s="41">
        <f t="shared" si="2625"/>
        <v>64862.628517978272</v>
      </c>
      <c r="BZ233" s="41">
        <f t="shared" si="2625"/>
        <v>70140.272436941843</v>
      </c>
      <c r="CA233" s="41">
        <f t="shared" si="2625"/>
        <v>75928.176263771224</v>
      </c>
      <c r="CB233" s="41">
        <f t="shared" si="2625"/>
        <v>77134.340609488936</v>
      </c>
      <c r="CC233" s="41">
        <f t="shared" si="2581"/>
        <v>85439.041687832345</v>
      </c>
      <c r="CD233" s="41">
        <f t="shared" si="2582"/>
        <v>89089.797353702685</v>
      </c>
      <c r="CE233" s="41">
        <f t="shared" si="2583"/>
        <v>106212.15052444139</v>
      </c>
      <c r="CF233" s="41">
        <f t="shared" si="2584"/>
        <v>116412.79561144586</v>
      </c>
      <c r="CG233" s="41">
        <f t="shared" ref="CG233:CM233" si="2626">CG234-CG232</f>
        <v>127028.29749415201</v>
      </c>
      <c r="CH233" s="41">
        <f t="shared" si="2626"/>
        <v>139303.47929976301</v>
      </c>
      <c r="CI233" s="41">
        <f t="shared" si="2626"/>
        <v>165478.8702269294</v>
      </c>
      <c r="CJ233" s="41">
        <f t="shared" si="2626"/>
        <v>173807.99192171395</v>
      </c>
      <c r="CK233" s="41">
        <f t="shared" si="2626"/>
        <v>164974.84759390354</v>
      </c>
      <c r="CL233" s="41">
        <f t="shared" si="2626"/>
        <v>177803.76945917317</v>
      </c>
      <c r="CM233" s="41">
        <f t="shared" si="2626"/>
        <v>195006.71623716346</v>
      </c>
      <c r="CN233" s="41">
        <f t="shared" ref="CN233:CS233" si="2627">CN234-CN232</f>
        <v>221625.7078113356</v>
      </c>
      <c r="CO233" s="41">
        <f t="shared" si="2627"/>
        <v>249269.00596607727</v>
      </c>
      <c r="CP233" s="41">
        <f t="shared" si="2627"/>
        <v>268471.38912498701</v>
      </c>
      <c r="CQ233" s="41">
        <f t="shared" si="2627"/>
        <v>253975.01422414411</v>
      </c>
      <c r="CR233" s="41">
        <f t="shared" si="2627"/>
        <v>242963.30228590762</v>
      </c>
      <c r="CS233" s="41">
        <f t="shared" si="2627"/>
        <v>243216.73103079869</v>
      </c>
      <c r="CT233" s="41">
        <f t="shared" ref="CT233:CU233" si="2628">CT234-CT232</f>
        <v>258897.99352440541</v>
      </c>
      <c r="CU233" s="41">
        <f t="shared" si="2628"/>
        <v>267854.09763998567</v>
      </c>
      <c r="CV233" s="41">
        <f t="shared" ref="CV233" si="2629">CV234-CV232</f>
        <v>244710.53412111016</v>
      </c>
      <c r="CW233" s="41">
        <f t="shared" si="2589"/>
        <v>264543.97116692242</v>
      </c>
      <c r="CX233" s="41">
        <f t="shared" si="2590"/>
        <v>284403.14826416044</v>
      </c>
      <c r="CY233" s="41">
        <f t="shared" si="2591"/>
        <v>284846.90456931398</v>
      </c>
      <c r="CZ233" s="211">
        <f t="shared" si="2592"/>
        <v>309102.83922361949</v>
      </c>
      <c r="DA233" s="41">
        <f t="shared" si="2593"/>
        <v>311295.46489850979</v>
      </c>
      <c r="DB233" s="41">
        <f t="shared" si="2594"/>
        <v>315751.20161342778</v>
      </c>
      <c r="DC233" s="41">
        <f t="shared" si="2595"/>
        <v>319032.99708842387</v>
      </c>
      <c r="DD233" s="41">
        <f t="shared" si="2596"/>
        <v>322310.42333696206</v>
      </c>
      <c r="DE233" s="41">
        <f t="shared" si="2597"/>
        <v>329204.10564874776</v>
      </c>
      <c r="DF233" s="41">
        <f t="shared" si="2598"/>
        <v>340866.22269638645</v>
      </c>
      <c r="DG233" s="41">
        <f t="shared" si="2599"/>
        <v>352083.71751634532</v>
      </c>
      <c r="DH233" s="41">
        <f t="shared" si="2600"/>
        <v>364590.93698712409</v>
      </c>
      <c r="DI233" s="41">
        <f t="shared" si="2601"/>
        <v>379645.71329778596</v>
      </c>
    </row>
    <row r="234" spans="1:113" s="17" customFormat="1" ht="12" outlineLevel="1">
      <c r="A234" s="1" t="s">
        <v>336</v>
      </c>
      <c r="B234" s="17" t="s">
        <v>168</v>
      </c>
      <c r="C234" s="62">
        <f t="shared" ref="C234:L234" si="2630">C219+C224+C229</f>
        <v>139410</v>
      </c>
      <c r="D234" s="62">
        <f t="shared" si="2630"/>
        <v>141426</v>
      </c>
      <c r="E234" s="62">
        <f t="shared" si="2630"/>
        <v>144018</v>
      </c>
      <c r="F234" s="62">
        <f t="shared" si="2630"/>
        <v>153107</v>
      </c>
      <c r="G234" s="62">
        <f t="shared" si="2630"/>
        <v>159359</v>
      </c>
      <c r="H234" s="62">
        <f t="shared" si="2630"/>
        <v>190011</v>
      </c>
      <c r="I234" s="62">
        <f t="shared" si="2630"/>
        <v>212412</v>
      </c>
      <c r="J234" s="62">
        <f t="shared" si="2630"/>
        <v>228762</v>
      </c>
      <c r="K234" s="62">
        <f t="shared" si="2630"/>
        <v>241445</v>
      </c>
      <c r="L234" s="62">
        <f t="shared" si="2630"/>
        <v>254036</v>
      </c>
      <c r="M234" s="62">
        <f t="shared" ref="M234:AB234" si="2631">M219+M224+M229</f>
        <v>263523</v>
      </c>
      <c r="N234" s="62">
        <f t="shared" si="2631"/>
        <v>278710</v>
      </c>
      <c r="O234" s="62">
        <f t="shared" si="2631"/>
        <v>294328</v>
      </c>
      <c r="P234" s="62">
        <f t="shared" si="2631"/>
        <v>322824</v>
      </c>
      <c r="Q234" s="62">
        <f t="shared" si="2631"/>
        <v>340431</v>
      </c>
      <c r="R234" s="62">
        <f t="shared" si="2631"/>
        <v>361526</v>
      </c>
      <c r="S234" s="62">
        <f t="shared" si="2631"/>
        <v>350102</v>
      </c>
      <c r="T234" s="62">
        <f t="shared" si="2631"/>
        <v>348519</v>
      </c>
      <c r="U234" s="62">
        <f t="shared" si="2631"/>
        <v>364473</v>
      </c>
      <c r="V234" s="62">
        <f t="shared" si="2631"/>
        <v>381491</v>
      </c>
      <c r="W234" s="62">
        <f t="shared" si="2631"/>
        <v>393256</v>
      </c>
      <c r="X234" s="62">
        <f t="shared" si="2631"/>
        <v>408246</v>
      </c>
      <c r="Y234" s="62">
        <f t="shared" si="2631"/>
        <v>427679</v>
      </c>
      <c r="Z234" s="62">
        <f t="shared" si="2631"/>
        <v>449502</v>
      </c>
      <c r="AA234" s="62">
        <f t="shared" si="2631"/>
        <v>475476</v>
      </c>
      <c r="AB234" s="62">
        <f t="shared" si="2631"/>
        <v>502604</v>
      </c>
      <c r="AC234" s="62">
        <f t="shared" ref="AC234:AD234" si="2632">AC219+AC224+AC229</f>
        <v>527414</v>
      </c>
      <c r="AD234" s="62">
        <f t="shared" si="2632"/>
        <v>545866</v>
      </c>
      <c r="AE234" s="62">
        <f t="shared" ref="AE234:AF234" si="2633">AE219+AE224+AE229</f>
        <v>567609</v>
      </c>
      <c r="AF234" s="62">
        <f t="shared" si="2633"/>
        <v>550932</v>
      </c>
      <c r="AG234" s="62">
        <f t="shared" ref="AG234:AH234" si="2634">AG219+AG224+AG229</f>
        <v>551065</v>
      </c>
      <c r="AH234" s="62">
        <f t="shared" si="2634"/>
        <v>555781</v>
      </c>
      <c r="AI234" s="62">
        <f t="shared" ref="AI234:AJ234" si="2635">AI219+AI224+AI229</f>
        <v>558356</v>
      </c>
      <c r="AJ234" s="62">
        <f t="shared" si="2635"/>
        <v>561445</v>
      </c>
      <c r="AK234" s="62">
        <f t="shared" ref="AK234:AL234" si="2636">AK219+AK224+AK229</f>
        <v>572505</v>
      </c>
      <c r="AL234" s="62">
        <f t="shared" si="2636"/>
        <v>585911</v>
      </c>
      <c r="AM234" s="62">
        <f t="shared" ref="AM234:AN234" si="2637">AM219+AM224+AM229</f>
        <v>589929</v>
      </c>
      <c r="AN234" s="62">
        <f t="shared" si="2637"/>
        <v>604639</v>
      </c>
      <c r="AO234" s="62">
        <f t="shared" ref="AO234" si="2638">AO219+AO224+AO229</f>
        <v>607394</v>
      </c>
      <c r="AP234" s="62">
        <f t="shared" ref="AP234:AQ234" si="2639">AP219+AP224+AP229</f>
        <v>586454</v>
      </c>
      <c r="AQ234" s="62">
        <f t="shared" si="2639"/>
        <v>587317</v>
      </c>
      <c r="AR234" s="62">
        <f t="shared" ref="AR234:AS234" si="2640">AR219+AR224+AR229</f>
        <v>607087</v>
      </c>
      <c r="AS234" s="62">
        <f t="shared" si="2640"/>
        <v>619490</v>
      </c>
      <c r="AT234" s="62">
        <f t="shared" ref="AT234:AU234" si="2641">AT219+AT224+AT229</f>
        <v>649253</v>
      </c>
      <c r="AU234" s="62">
        <f t="shared" si="2641"/>
        <v>650169</v>
      </c>
      <c r="AV234" s="62">
        <f t="shared" ref="AV234:AW234" si="2642">AV219+AV224+AV229</f>
        <v>663982</v>
      </c>
      <c r="AW234" s="62">
        <f t="shared" si="2642"/>
        <v>699378</v>
      </c>
      <c r="AX234" s="62">
        <f t="shared" ref="AX234:AY234" si="2643">AX219+AX224+AX229</f>
        <v>762557</v>
      </c>
      <c r="AY234" s="220">
        <f t="shared" si="2643"/>
        <v>777193</v>
      </c>
      <c r="AZ234" s="62">
        <f>AZ219+AZ224+AZ229</f>
        <v>788356.31400536967</v>
      </c>
      <c r="BA234" s="62">
        <f t="shared" ref="BA234" si="2644">BA219+BA224+BA229</f>
        <v>801242.7666324412</v>
      </c>
      <c r="BB234" s="62">
        <f t="shared" ref="BB234:BC234" si="2645">BB219+BB224+BB229</f>
        <v>811900.7140875383</v>
      </c>
      <c r="BC234" s="62">
        <f t="shared" si="2645"/>
        <v>824559.83924101875</v>
      </c>
      <c r="BD234" s="62">
        <f t="shared" ref="BD234:BE234" si="2646">BD219+BD224+BD229</f>
        <v>838833.740706646</v>
      </c>
      <c r="BE234" s="62">
        <f t="shared" si="2646"/>
        <v>853203.80506381905</v>
      </c>
      <c r="BF234" s="62">
        <f t="shared" ref="BF234:BG234" si="2647">BF219+BF224+BF229</f>
        <v>867363.67998597876</v>
      </c>
      <c r="BG234" s="62">
        <f t="shared" si="2647"/>
        <v>880943.89499970013</v>
      </c>
      <c r="BH234" s="62">
        <f t="shared" ref="BH234:BI234" si="2648">BH219+BH224+BH229</f>
        <v>896003.17849878513</v>
      </c>
      <c r="BI234" s="62">
        <f t="shared" si="2648"/>
        <v>912335.1005591352</v>
      </c>
      <c r="BJ234" s="62">
        <f t="shared" ref="BJ234:BK234" si="2649">BJ219+BJ224+BJ229</f>
        <v>929181.86500515044</v>
      </c>
      <c r="BK234" s="62">
        <f t="shared" si="2649"/>
        <v>946748.72088132345</v>
      </c>
      <c r="BL234" s="62">
        <f t="shared" ref="BL234:BM234" si="2650">BL219+BL224+BL229</f>
        <v>964347.14842291689</v>
      </c>
      <c r="BM234" s="62">
        <f t="shared" si="2650"/>
        <v>982301.67944447859</v>
      </c>
      <c r="BN234" s="62">
        <f t="shared" ref="BN234:BO234" si="2651">BN219+BN224+BN229</f>
        <v>1001172.2983817564</v>
      </c>
      <c r="BO234" s="62">
        <f t="shared" si="2651"/>
        <v>1020974.5467821755</v>
      </c>
      <c r="BP234" s="62">
        <f t="shared" ref="BP234:BQ234" si="2652">BP219+BP224+BP229</f>
        <v>1041631.5851942358</v>
      </c>
      <c r="BQ234" s="62">
        <f t="shared" si="2652"/>
        <v>1063178.9304129451</v>
      </c>
      <c r="BR234" s="62"/>
      <c r="BS234" s="62">
        <f t="shared" ref="BS234:CB234" si="2653">BS219+BS224+BS229</f>
        <v>58168.6</v>
      </c>
      <c r="BT234" s="62">
        <f t="shared" si="2653"/>
        <v>58752</v>
      </c>
      <c r="BU234" s="62">
        <f t="shared" si="2653"/>
        <v>59724</v>
      </c>
      <c r="BV234" s="62">
        <f t="shared" si="2653"/>
        <v>66230</v>
      </c>
      <c r="BW234" s="62">
        <f t="shared" si="2653"/>
        <v>72848</v>
      </c>
      <c r="BX234" s="62">
        <f t="shared" si="2653"/>
        <v>81594</v>
      </c>
      <c r="BY234" s="62">
        <f t="shared" si="2653"/>
        <v>91396</v>
      </c>
      <c r="BZ234" s="62">
        <f t="shared" si="2653"/>
        <v>101457</v>
      </c>
      <c r="CA234" s="62">
        <f t="shared" si="2653"/>
        <v>115116</v>
      </c>
      <c r="CB234" s="62">
        <f t="shared" si="2653"/>
        <v>122373</v>
      </c>
      <c r="CC234" s="62">
        <f t="shared" si="2581"/>
        <v>142718.44931506852</v>
      </c>
      <c r="CD234" s="62">
        <f t="shared" si="2582"/>
        <v>156224.43561643836</v>
      </c>
      <c r="CE234" s="62">
        <f t="shared" si="2583"/>
        <v>201211.5</v>
      </c>
      <c r="CF234" s="62">
        <f t="shared" si="2584"/>
        <v>235086.12602739726</v>
      </c>
      <c r="CG234" s="62">
        <f t="shared" ref="CG234:CM234" si="2654">CG219+CG224+CG229</f>
        <v>259319</v>
      </c>
      <c r="CH234" s="62">
        <f t="shared" si="2654"/>
        <v>286540</v>
      </c>
      <c r="CI234" s="62">
        <f t="shared" si="2654"/>
        <v>331629</v>
      </c>
      <c r="CJ234" s="62">
        <f t="shared" si="2654"/>
        <v>355798</v>
      </c>
      <c r="CK234" s="62">
        <f t="shared" si="2654"/>
        <v>358607</v>
      </c>
      <c r="CL234" s="62">
        <f t="shared" si="2654"/>
        <v>387389</v>
      </c>
      <c r="CM234" s="62">
        <f t="shared" si="2654"/>
        <v>417962</v>
      </c>
      <c r="CN234" s="62">
        <f t="shared" ref="CN234:CS234" si="2655">CN219+CN224+CN229</f>
        <v>461679</v>
      </c>
      <c r="CO234" s="62">
        <f t="shared" si="2655"/>
        <v>515042</v>
      </c>
      <c r="CP234" s="62">
        <f t="shared" si="2655"/>
        <v>555633</v>
      </c>
      <c r="CQ234" s="62">
        <f t="shared" si="2655"/>
        <v>551008</v>
      </c>
      <c r="CR234" s="62">
        <f t="shared" si="2655"/>
        <v>557072</v>
      </c>
      <c r="CS234" s="62">
        <f t="shared" si="2655"/>
        <v>567013</v>
      </c>
      <c r="CT234" s="62">
        <f t="shared" ref="CT234:CU234" si="2656">CT219+CT224+CT229</f>
        <v>587924</v>
      </c>
      <c r="CU234" s="62">
        <f t="shared" si="2656"/>
        <v>606017</v>
      </c>
      <c r="CV234" s="62">
        <f t="shared" ref="CV234" si="2657">CV219+CV224+CV229</f>
        <v>586885</v>
      </c>
      <c r="CW234" s="62">
        <f t="shared" si="2589"/>
        <v>613305.49041095888</v>
      </c>
      <c r="CX234" s="62">
        <f t="shared" si="2590"/>
        <v>649712.25479452056</v>
      </c>
      <c r="CY234" s="62">
        <f t="shared" si="2591"/>
        <v>681680</v>
      </c>
      <c r="CZ234" s="220">
        <f t="shared" si="2592"/>
        <v>769895.04931506852</v>
      </c>
      <c r="DA234" s="62">
        <f t="shared" si="2593"/>
        <v>794817.19299373694</v>
      </c>
      <c r="DB234" s="62">
        <f t="shared" si="2594"/>
        <v>818247.61793161207</v>
      </c>
      <c r="DC234" s="62">
        <f t="shared" si="2595"/>
        <v>846018.77288523247</v>
      </c>
      <c r="DD234" s="62">
        <f t="shared" si="2596"/>
        <v>874172.39052710484</v>
      </c>
      <c r="DE234" s="62">
        <f t="shared" si="2597"/>
        <v>904191.51202493336</v>
      </c>
      <c r="DF234" s="62">
        <f t="shared" si="2598"/>
        <v>937989.3571293687</v>
      </c>
      <c r="DG234" s="62">
        <f t="shared" si="2599"/>
        <v>973324.41393369774</v>
      </c>
      <c r="DH234" s="62">
        <f t="shared" si="2600"/>
        <v>1011100.5489496378</v>
      </c>
      <c r="DI234" s="62">
        <f t="shared" si="2601"/>
        <v>1052434.774714849</v>
      </c>
    </row>
    <row r="235" spans="1:113" ht="12" outlineLevel="1">
      <c r="A235" s="1" t="s">
        <v>337</v>
      </c>
      <c r="B235" s="15" t="s">
        <v>345</v>
      </c>
      <c r="C235" s="40">
        <v>0</v>
      </c>
      <c r="D235" s="40">
        <v>0</v>
      </c>
      <c r="E235" s="40">
        <v>0</v>
      </c>
      <c r="F235" s="40">
        <v>0</v>
      </c>
      <c r="G235" s="40">
        <v>0</v>
      </c>
      <c r="H235" s="40">
        <v>0</v>
      </c>
      <c r="I235" s="40">
        <v>0</v>
      </c>
      <c r="J235" s="40">
        <v>0</v>
      </c>
      <c r="K235" s="40">
        <v>0</v>
      </c>
      <c r="L235" s="40">
        <v>0</v>
      </c>
      <c r="M235" s="40">
        <v>0</v>
      </c>
      <c r="N235" s="40">
        <v>0</v>
      </c>
      <c r="O235" s="40">
        <v>0</v>
      </c>
      <c r="P235" s="40">
        <v>0</v>
      </c>
      <c r="Q235" s="40">
        <v>0</v>
      </c>
      <c r="R235" s="40">
        <v>0</v>
      </c>
      <c r="S235" s="40">
        <v>0</v>
      </c>
      <c r="T235" s="40">
        <v>0</v>
      </c>
      <c r="U235" s="40">
        <v>0</v>
      </c>
      <c r="V235" s="40">
        <v>0</v>
      </c>
      <c r="W235" s="40">
        <v>0</v>
      </c>
      <c r="X235" s="40">
        <v>0</v>
      </c>
      <c r="Y235" s="40">
        <v>0</v>
      </c>
      <c r="Z235" s="141">
        <v>0</v>
      </c>
      <c r="AA235" s="141">
        <v>0</v>
      </c>
      <c r="AB235" s="141">
        <v>0</v>
      </c>
      <c r="AC235" s="141">
        <v>0</v>
      </c>
      <c r="AD235" s="141">
        <v>0</v>
      </c>
      <c r="AE235" s="141">
        <v>0</v>
      </c>
      <c r="AF235" s="141">
        <v>0</v>
      </c>
      <c r="AG235" s="141">
        <v>0</v>
      </c>
      <c r="AH235" s="141">
        <v>0</v>
      </c>
      <c r="AI235" s="141">
        <v>0</v>
      </c>
      <c r="AJ235" s="141">
        <v>0</v>
      </c>
      <c r="AK235" s="141">
        <v>0</v>
      </c>
      <c r="AL235" s="141">
        <v>0</v>
      </c>
      <c r="AM235" s="141">
        <v>0</v>
      </c>
      <c r="AN235" s="141">
        <v>0</v>
      </c>
      <c r="AO235" s="141">
        <v>0</v>
      </c>
      <c r="AP235" s="141">
        <v>0</v>
      </c>
      <c r="AQ235" s="141">
        <v>0</v>
      </c>
      <c r="AR235" s="141">
        <v>0</v>
      </c>
      <c r="AS235" s="141">
        <v>0</v>
      </c>
      <c r="AT235" s="141">
        <v>0</v>
      </c>
      <c r="AU235" s="141">
        <v>0</v>
      </c>
      <c r="AV235" s="141">
        <v>0</v>
      </c>
      <c r="AW235" s="141">
        <v>0</v>
      </c>
      <c r="AX235" s="141">
        <v>0</v>
      </c>
      <c r="AY235" s="226">
        <v>0</v>
      </c>
      <c r="AZ235" s="41">
        <f t="shared" ref="AZ235" si="2658">IF(ISERROR(AY235*AVERAGE(AY179:AZ179)/AVERAGE(AX179:AY179)),0,AY235*AVERAGE(AY179:AZ179)/AVERAGE(AX179:AY179))</f>
        <v>0</v>
      </c>
      <c r="BA235" s="41">
        <f t="shared" ref="BA235" si="2659">IF(ISERROR(AZ235*AVERAGE(AZ179:BA179)/AVERAGE(AY179:AZ179)),0,AZ235*AVERAGE(AZ179:BA179)/AVERAGE(AY179:AZ179))</f>
        <v>0</v>
      </c>
      <c r="BB235" s="41">
        <f t="shared" ref="BB235" si="2660">IF(ISERROR(BA235*AVERAGE(BA179:BB179)/AVERAGE(AZ179:BA179)),0,BA235*AVERAGE(BA179:BB179)/AVERAGE(AZ179:BA179))</f>
        <v>0</v>
      </c>
      <c r="BC235" s="41">
        <f t="shared" ref="BC235" si="2661">IF(ISERROR(BB235*AVERAGE(BB179:BC179)/AVERAGE(BA179:BB179)),0,BB235*AVERAGE(BB179:BC179)/AVERAGE(BA179:BB179))</f>
        <v>0</v>
      </c>
      <c r="BD235" s="41">
        <f t="shared" ref="BD235" si="2662">IF(ISERROR(BC235*AVERAGE(BC179:BD179)/AVERAGE(BB179:BC179)),0,BC235*AVERAGE(BC179:BD179)/AVERAGE(BB179:BC179))</f>
        <v>0</v>
      </c>
      <c r="BE235" s="41">
        <f t="shared" ref="BE235" si="2663">IF(ISERROR(BD235*AVERAGE(BD179:BE179)/AVERAGE(BC179:BD179)),0,BD235*AVERAGE(BD179:BE179)/AVERAGE(BC179:BD179))</f>
        <v>0</v>
      </c>
      <c r="BF235" s="41">
        <f t="shared" ref="BF235" si="2664">IF(ISERROR(BE235*AVERAGE(BE179:BF179)/AVERAGE(BD179:BE179)),0,BE235*AVERAGE(BE179:BF179)/AVERAGE(BD179:BE179))</f>
        <v>0</v>
      </c>
      <c r="BG235" s="41">
        <f t="shared" ref="BG235:BK235" si="2665">IF(ISERROR(BF235*AVERAGE(BF179:BG179)/AVERAGE(BE179:BF179)),0,BF235*AVERAGE(BF179:BG179)/AVERAGE(BE179:BF179))</f>
        <v>0</v>
      </c>
      <c r="BH235" s="41">
        <f t="shared" si="2665"/>
        <v>0</v>
      </c>
      <c r="BI235" s="41">
        <f t="shared" si="2665"/>
        <v>0</v>
      </c>
      <c r="BJ235" s="41">
        <f t="shared" si="2665"/>
        <v>0</v>
      </c>
      <c r="BK235" s="41">
        <f t="shared" si="2665"/>
        <v>0</v>
      </c>
      <c r="BL235" s="41">
        <f t="shared" ref="BL235" si="2666">IF(ISERROR(BK235*AVERAGE(BK179:BL179)/AVERAGE(BJ179:BK179)),0,BK235*AVERAGE(BK179:BL179)/AVERAGE(BJ179:BK179))</f>
        <v>0</v>
      </c>
      <c r="BM235" s="41">
        <f t="shared" ref="BM235" si="2667">IF(ISERROR(BL235*AVERAGE(BL179:BM179)/AVERAGE(BK179:BL179)),0,BL235*AVERAGE(BL179:BM179)/AVERAGE(BK179:BL179))</f>
        <v>0</v>
      </c>
      <c r="BN235" s="41">
        <f t="shared" ref="BN235" si="2668">IF(ISERROR(BM235*AVERAGE(BM179:BN179)/AVERAGE(BL179:BM179)),0,BM235*AVERAGE(BM179:BN179)/AVERAGE(BL179:BM179))</f>
        <v>0</v>
      </c>
      <c r="BO235" s="41">
        <f t="shared" ref="BO235" si="2669">IF(ISERROR(BN235*AVERAGE(BN179:BO179)/AVERAGE(BM179:BN179)),0,BN235*AVERAGE(BN179:BO179)/AVERAGE(BM179:BN179))</f>
        <v>0</v>
      </c>
      <c r="BP235" s="41">
        <f t="shared" ref="BP235" si="2670">IF(ISERROR(BO235*AVERAGE(BO179:BP179)/AVERAGE(BN179:BO179)),0,BO235*AVERAGE(BO179:BP179)/AVERAGE(BN179:BO179))</f>
        <v>0</v>
      </c>
      <c r="BQ235" s="41">
        <f t="shared" ref="BQ235" si="2671">IF(ISERROR(BP235*AVERAGE(BP179:BQ179)/AVERAGE(BO179:BP179)),0,BP235*AVERAGE(BP179:BQ179)/AVERAGE(BO179:BP179))</f>
        <v>0</v>
      </c>
      <c r="BR235" s="41"/>
      <c r="BS235" s="40">
        <v>0</v>
      </c>
      <c r="BT235" s="40">
        <v>0</v>
      </c>
      <c r="BU235" s="40">
        <v>0</v>
      </c>
      <c r="BV235" s="40">
        <v>0</v>
      </c>
      <c r="BW235" s="40">
        <v>0</v>
      </c>
      <c r="BX235" s="40">
        <v>0</v>
      </c>
      <c r="BY235" s="40">
        <v>0</v>
      </c>
      <c r="BZ235" s="40">
        <v>0</v>
      </c>
      <c r="CA235" s="40">
        <v>0</v>
      </c>
      <c r="CB235" s="40">
        <v>0</v>
      </c>
      <c r="CC235" s="41">
        <f t="shared" si="2581"/>
        <v>0</v>
      </c>
      <c r="CD235" s="41">
        <f t="shared" si="2582"/>
        <v>0</v>
      </c>
      <c r="CE235" s="41">
        <f t="shared" si="2583"/>
        <v>0</v>
      </c>
      <c r="CF235" s="41">
        <f t="shared" si="2584"/>
        <v>0</v>
      </c>
      <c r="CG235" s="141">
        <v>0</v>
      </c>
      <c r="CH235" s="141">
        <v>0</v>
      </c>
      <c r="CI235" s="141">
        <v>0</v>
      </c>
      <c r="CJ235" s="141">
        <v>0</v>
      </c>
      <c r="CK235" s="141">
        <v>0</v>
      </c>
      <c r="CL235" s="141">
        <v>0</v>
      </c>
      <c r="CM235" s="141">
        <v>0</v>
      </c>
      <c r="CN235" s="141">
        <v>0</v>
      </c>
      <c r="CO235" s="141">
        <v>0</v>
      </c>
      <c r="CP235" s="141">
        <f>SUMPRODUCT(AD235:AE235,AD$5:AE$5)/SUM(AD$5:AE$5)</f>
        <v>0</v>
      </c>
      <c r="CQ235" s="141">
        <f>SUMPRODUCT(AE235:AF235,AE$5:AF$5)/SUM(AE$5:AF$5)</f>
        <v>0</v>
      </c>
      <c r="CR235" s="141">
        <f t="shared" ref="CR235:CX236" si="2672">SUMPRODUCT(AH235:AI235,AH$5:AI$5)/SUM(AH$5:AI$5)</f>
        <v>0</v>
      </c>
      <c r="CS235" s="141">
        <f t="shared" si="2672"/>
        <v>0</v>
      </c>
      <c r="CT235" s="141">
        <f t="shared" si="2672"/>
        <v>0</v>
      </c>
      <c r="CU235" s="141">
        <f t="shared" si="2672"/>
        <v>0</v>
      </c>
      <c r="CV235" s="141">
        <f t="shared" si="2672"/>
        <v>0</v>
      </c>
      <c r="CW235" s="141">
        <f t="shared" si="2672"/>
        <v>0</v>
      </c>
      <c r="CX235" s="141">
        <f t="shared" si="2672"/>
        <v>0</v>
      </c>
      <c r="CY235" s="141">
        <f t="shared" si="2591"/>
        <v>0</v>
      </c>
      <c r="CZ235" s="211">
        <f t="shared" si="2592"/>
        <v>0</v>
      </c>
      <c r="DA235" s="41">
        <f t="shared" si="2593"/>
        <v>0</v>
      </c>
      <c r="DB235" s="41">
        <f t="shared" si="2594"/>
        <v>0</v>
      </c>
      <c r="DC235" s="41">
        <f t="shared" si="2595"/>
        <v>0</v>
      </c>
      <c r="DD235" s="41">
        <f t="shared" si="2596"/>
        <v>0</v>
      </c>
      <c r="DE235" s="41">
        <f t="shared" si="2597"/>
        <v>0</v>
      </c>
      <c r="DF235" s="41">
        <f t="shared" si="2598"/>
        <v>0</v>
      </c>
      <c r="DG235" s="41">
        <f t="shared" si="2599"/>
        <v>0</v>
      </c>
      <c r="DH235" s="41">
        <f t="shared" si="2600"/>
        <v>0</v>
      </c>
      <c r="DI235" s="41">
        <f t="shared" si="2601"/>
        <v>0</v>
      </c>
    </row>
    <row r="236" spans="1:113" ht="12" outlineLevel="1">
      <c r="A236" s="1" t="s">
        <v>338</v>
      </c>
      <c r="B236" s="15" t="s">
        <v>589</v>
      </c>
      <c r="C236" s="40">
        <v>0</v>
      </c>
      <c r="D236" s="40">
        <v>0</v>
      </c>
      <c r="E236" s="40">
        <v>0</v>
      </c>
      <c r="F236" s="40">
        <v>0</v>
      </c>
      <c r="G236" s="40">
        <v>0</v>
      </c>
      <c r="H236" s="40">
        <v>0</v>
      </c>
      <c r="I236" s="40">
        <v>0</v>
      </c>
      <c r="J236" s="40">
        <v>0</v>
      </c>
      <c r="K236" s="40">
        <v>0</v>
      </c>
      <c r="L236" s="40">
        <v>0</v>
      </c>
      <c r="M236" s="40">
        <v>0</v>
      </c>
      <c r="N236" s="40">
        <v>0</v>
      </c>
      <c r="O236" s="40">
        <v>0</v>
      </c>
      <c r="P236" s="40">
        <v>0</v>
      </c>
      <c r="Q236" s="40">
        <v>0</v>
      </c>
      <c r="R236" s="40">
        <v>0</v>
      </c>
      <c r="S236" s="40">
        <v>0</v>
      </c>
      <c r="T236" s="40">
        <v>0</v>
      </c>
      <c r="U236" s="40">
        <v>0</v>
      </c>
      <c r="V236" s="40">
        <v>0</v>
      </c>
      <c r="W236" s="40">
        <v>0</v>
      </c>
      <c r="X236" s="40">
        <v>0</v>
      </c>
      <c r="Y236" s="40">
        <v>0</v>
      </c>
      <c r="Z236" s="141">
        <v>0</v>
      </c>
      <c r="AA236" s="141">
        <v>0</v>
      </c>
      <c r="AB236" s="141">
        <v>0</v>
      </c>
      <c r="AC236" s="141">
        <v>0</v>
      </c>
      <c r="AD236" s="141">
        <v>0</v>
      </c>
      <c r="AE236" s="141">
        <v>0</v>
      </c>
      <c r="AF236" s="141">
        <v>0</v>
      </c>
      <c r="AG236" s="141">
        <v>0</v>
      </c>
      <c r="AH236" s="141">
        <v>0</v>
      </c>
      <c r="AI236" s="141">
        <v>0</v>
      </c>
      <c r="AJ236" s="141">
        <v>0</v>
      </c>
      <c r="AK236" s="141">
        <v>0</v>
      </c>
      <c r="AL236" s="141">
        <v>0</v>
      </c>
      <c r="AM236" s="141">
        <v>0</v>
      </c>
      <c r="AN236" s="141">
        <v>0</v>
      </c>
      <c r="AO236" s="141">
        <v>0</v>
      </c>
      <c r="AP236" s="141">
        <v>0</v>
      </c>
      <c r="AQ236" s="141">
        <v>0</v>
      </c>
      <c r="AR236" s="141">
        <v>0</v>
      </c>
      <c r="AS236" s="141">
        <v>0</v>
      </c>
      <c r="AT236" s="141">
        <v>0</v>
      </c>
      <c r="AU236" s="141">
        <v>0</v>
      </c>
      <c r="AV236" s="141">
        <v>0</v>
      </c>
      <c r="AW236" s="141">
        <v>0</v>
      </c>
      <c r="AX236" s="141">
        <v>0</v>
      </c>
      <c r="AY236" s="226">
        <v>0</v>
      </c>
      <c r="AZ236" s="210">
        <v>0</v>
      </c>
      <c r="BA236" s="210">
        <v>0</v>
      </c>
      <c r="BB236" s="210">
        <v>0</v>
      </c>
      <c r="BC236" s="210">
        <v>0</v>
      </c>
      <c r="BD236" s="210">
        <v>0</v>
      </c>
      <c r="BE236" s="210">
        <v>0</v>
      </c>
      <c r="BF236" s="210">
        <v>0</v>
      </c>
      <c r="BG236" s="210">
        <v>0</v>
      </c>
      <c r="BH236" s="210">
        <v>0</v>
      </c>
      <c r="BI236" s="210">
        <v>0</v>
      </c>
      <c r="BJ236" s="210">
        <v>0</v>
      </c>
      <c r="BK236" s="210">
        <v>0</v>
      </c>
      <c r="BL236" s="210">
        <v>0</v>
      </c>
      <c r="BM236" s="210">
        <v>0</v>
      </c>
      <c r="BN236" s="210">
        <v>0</v>
      </c>
      <c r="BO236" s="210">
        <v>0</v>
      </c>
      <c r="BP236" s="210">
        <v>0</v>
      </c>
      <c r="BQ236" s="210">
        <v>0</v>
      </c>
      <c r="BR236" s="41"/>
      <c r="BS236" s="40">
        <v>0</v>
      </c>
      <c r="BT236" s="40">
        <v>0</v>
      </c>
      <c r="BU236" s="40">
        <v>0</v>
      </c>
      <c r="BV236" s="40">
        <v>0</v>
      </c>
      <c r="BW236" s="40">
        <v>0</v>
      </c>
      <c r="BX236" s="40">
        <v>0</v>
      </c>
      <c r="BY236" s="40">
        <v>0</v>
      </c>
      <c r="BZ236" s="40">
        <v>0</v>
      </c>
      <c r="CA236" s="40">
        <v>0</v>
      </c>
      <c r="CB236" s="40">
        <v>0</v>
      </c>
      <c r="CC236" s="41">
        <f t="shared" si="2581"/>
        <v>0</v>
      </c>
      <c r="CD236" s="41">
        <f t="shared" si="2582"/>
        <v>0</v>
      </c>
      <c r="CE236" s="41">
        <f t="shared" si="2583"/>
        <v>0</v>
      </c>
      <c r="CF236" s="41">
        <f t="shared" si="2584"/>
        <v>0</v>
      </c>
      <c r="CG236" s="141">
        <v>0</v>
      </c>
      <c r="CH236" s="141">
        <v>0</v>
      </c>
      <c r="CI236" s="141">
        <v>0</v>
      </c>
      <c r="CJ236" s="141">
        <v>0</v>
      </c>
      <c r="CK236" s="141">
        <v>0</v>
      </c>
      <c r="CL236" s="141">
        <v>0</v>
      </c>
      <c r="CM236" s="141">
        <v>0</v>
      </c>
      <c r="CN236" s="141">
        <v>0</v>
      </c>
      <c r="CO236" s="141">
        <v>0</v>
      </c>
      <c r="CP236" s="141">
        <f>SUMPRODUCT(AD236:AE236,AD$5:AE$5)/SUM(AD$5:AE$5)</f>
        <v>0</v>
      </c>
      <c r="CQ236" s="141">
        <f>SUMPRODUCT(AE236:AF236,AE$5:AF$5)/SUM(AE$5:AF$5)</f>
        <v>0</v>
      </c>
      <c r="CR236" s="141">
        <f t="shared" si="2672"/>
        <v>0</v>
      </c>
      <c r="CS236" s="141">
        <f t="shared" si="2672"/>
        <v>0</v>
      </c>
      <c r="CT236" s="141">
        <f t="shared" si="2672"/>
        <v>0</v>
      </c>
      <c r="CU236" s="141">
        <f t="shared" si="2672"/>
        <v>0</v>
      </c>
      <c r="CV236" s="141">
        <f t="shared" si="2672"/>
        <v>0</v>
      </c>
      <c r="CW236" s="141">
        <f t="shared" si="2672"/>
        <v>0</v>
      </c>
      <c r="CX236" s="141">
        <f t="shared" si="2672"/>
        <v>0</v>
      </c>
      <c r="CY236" s="141">
        <f t="shared" si="2591"/>
        <v>0</v>
      </c>
      <c r="CZ236" s="211">
        <f t="shared" si="2592"/>
        <v>0</v>
      </c>
      <c r="DA236" s="41">
        <f t="shared" si="2593"/>
        <v>0</v>
      </c>
      <c r="DB236" s="41">
        <f t="shared" si="2594"/>
        <v>0</v>
      </c>
      <c r="DC236" s="41">
        <f t="shared" si="2595"/>
        <v>0</v>
      </c>
      <c r="DD236" s="41">
        <f t="shared" si="2596"/>
        <v>0</v>
      </c>
      <c r="DE236" s="41">
        <f t="shared" si="2597"/>
        <v>0</v>
      </c>
      <c r="DF236" s="41">
        <f t="shared" si="2598"/>
        <v>0</v>
      </c>
      <c r="DG236" s="41">
        <f t="shared" si="2599"/>
        <v>0</v>
      </c>
      <c r="DH236" s="41">
        <f t="shared" si="2600"/>
        <v>0</v>
      </c>
      <c r="DI236" s="41">
        <f t="shared" si="2601"/>
        <v>0</v>
      </c>
    </row>
    <row r="237" spans="1:113" s="17" customFormat="1" ht="12" outlineLevel="1">
      <c r="A237" s="1" t="s">
        <v>339</v>
      </c>
      <c r="B237" s="17" t="s">
        <v>590</v>
      </c>
      <c r="C237" s="62">
        <f t="shared" ref="C237:L237" si="2673">C234+C235+C236</f>
        <v>139410</v>
      </c>
      <c r="D237" s="62">
        <f t="shared" si="2673"/>
        <v>141426</v>
      </c>
      <c r="E237" s="62">
        <f t="shared" si="2673"/>
        <v>144018</v>
      </c>
      <c r="F237" s="62">
        <f t="shared" si="2673"/>
        <v>153107</v>
      </c>
      <c r="G237" s="62">
        <f t="shared" si="2673"/>
        <v>159359</v>
      </c>
      <c r="H237" s="62">
        <f t="shared" si="2673"/>
        <v>190011</v>
      </c>
      <c r="I237" s="62">
        <f t="shared" si="2673"/>
        <v>212412</v>
      </c>
      <c r="J237" s="62">
        <f t="shared" si="2673"/>
        <v>228762</v>
      </c>
      <c r="K237" s="62">
        <f t="shared" si="2673"/>
        <v>241445</v>
      </c>
      <c r="L237" s="62">
        <f t="shared" si="2673"/>
        <v>254036</v>
      </c>
      <c r="M237" s="62">
        <f t="shared" ref="M237:X237" si="2674">M234+M235+M236</f>
        <v>263523</v>
      </c>
      <c r="N237" s="62">
        <f t="shared" si="2674"/>
        <v>278710</v>
      </c>
      <c r="O237" s="62">
        <f t="shared" si="2674"/>
        <v>294328</v>
      </c>
      <c r="P237" s="62">
        <f t="shared" si="2674"/>
        <v>322824</v>
      </c>
      <c r="Q237" s="62">
        <f t="shared" si="2674"/>
        <v>340431</v>
      </c>
      <c r="R237" s="62">
        <f t="shared" si="2674"/>
        <v>361526</v>
      </c>
      <c r="S237" s="62">
        <f t="shared" si="2674"/>
        <v>350102</v>
      </c>
      <c r="T237" s="62">
        <f t="shared" si="2674"/>
        <v>348519</v>
      </c>
      <c r="U237" s="62">
        <f t="shared" si="2674"/>
        <v>364473</v>
      </c>
      <c r="V237" s="62">
        <f t="shared" si="2674"/>
        <v>381491</v>
      </c>
      <c r="W237" s="62">
        <f t="shared" si="2674"/>
        <v>393256</v>
      </c>
      <c r="X237" s="62">
        <f t="shared" si="2674"/>
        <v>408246</v>
      </c>
      <c r="Y237" s="62">
        <f>Y234+Y235+Y236</f>
        <v>427679</v>
      </c>
      <c r="Z237" s="62">
        <f>Z234+Z235+Z236</f>
        <v>449502</v>
      </c>
      <c r="AA237" s="62">
        <f>AA234+AA235+AA236</f>
        <v>475476</v>
      </c>
      <c r="AB237" s="62">
        <f t="shared" ref="AB237" si="2675">SUM(AB234:AB236)</f>
        <v>502604</v>
      </c>
      <c r="AC237" s="62">
        <f t="shared" ref="AC237:AD237" si="2676">SUM(AC234:AC236)</f>
        <v>527414</v>
      </c>
      <c r="AD237" s="62">
        <f t="shared" si="2676"/>
        <v>545866</v>
      </c>
      <c r="AE237" s="62">
        <f t="shared" ref="AE237:AF237" si="2677">SUM(AE234:AE236)</f>
        <v>567609</v>
      </c>
      <c r="AF237" s="62">
        <f t="shared" si="2677"/>
        <v>550932</v>
      </c>
      <c r="AG237" s="62">
        <f t="shared" ref="AG237:AH237" si="2678">SUM(AG234:AG236)</f>
        <v>551065</v>
      </c>
      <c r="AH237" s="62">
        <f t="shared" si="2678"/>
        <v>555781</v>
      </c>
      <c r="AI237" s="62">
        <f t="shared" ref="AI237:AJ237" si="2679">SUM(AI234:AI236)</f>
        <v>558356</v>
      </c>
      <c r="AJ237" s="62">
        <f t="shared" si="2679"/>
        <v>561445</v>
      </c>
      <c r="AK237" s="62">
        <f t="shared" ref="AK237:AL237" si="2680">SUM(AK234:AK236)</f>
        <v>572505</v>
      </c>
      <c r="AL237" s="62">
        <f t="shared" si="2680"/>
        <v>585911</v>
      </c>
      <c r="AM237" s="62">
        <f t="shared" ref="AM237:AN237" si="2681">SUM(AM234:AM236)</f>
        <v>589929</v>
      </c>
      <c r="AN237" s="62">
        <f t="shared" si="2681"/>
        <v>604639</v>
      </c>
      <c r="AO237" s="62">
        <f t="shared" ref="AO237" si="2682">SUM(AO234:AO236)</f>
        <v>607394</v>
      </c>
      <c r="AP237" s="62">
        <f t="shared" ref="AP237:AQ237" si="2683">SUM(AP234:AP236)</f>
        <v>586454</v>
      </c>
      <c r="AQ237" s="62">
        <f t="shared" si="2683"/>
        <v>587317</v>
      </c>
      <c r="AR237" s="62">
        <f t="shared" ref="AR237:AS237" si="2684">SUM(AR234:AR236)</f>
        <v>607087</v>
      </c>
      <c r="AS237" s="62">
        <f t="shared" si="2684"/>
        <v>619490</v>
      </c>
      <c r="AT237" s="62">
        <f t="shared" ref="AT237:AU237" si="2685">SUM(AT234:AT236)</f>
        <v>649253</v>
      </c>
      <c r="AU237" s="62">
        <f t="shared" si="2685"/>
        <v>650169</v>
      </c>
      <c r="AV237" s="62">
        <f t="shared" ref="AV237:AW237" si="2686">SUM(AV234:AV236)</f>
        <v>663982</v>
      </c>
      <c r="AW237" s="62">
        <f t="shared" si="2686"/>
        <v>699378</v>
      </c>
      <c r="AX237" s="62">
        <f t="shared" ref="AX237:AY237" si="2687">SUM(AX234:AX236)</f>
        <v>762557</v>
      </c>
      <c r="AY237" s="220">
        <f t="shared" si="2687"/>
        <v>777193</v>
      </c>
      <c r="AZ237" s="62">
        <f t="shared" ref="AZ237:BA237" si="2688">SUM(AZ234:AZ236)</f>
        <v>788356.31400536967</v>
      </c>
      <c r="BA237" s="62">
        <f t="shared" si="2688"/>
        <v>801242.7666324412</v>
      </c>
      <c r="BB237" s="62">
        <f t="shared" ref="BB237:BC237" si="2689">SUM(BB234:BB236)</f>
        <v>811900.7140875383</v>
      </c>
      <c r="BC237" s="62">
        <f t="shared" si="2689"/>
        <v>824559.83924101875</v>
      </c>
      <c r="BD237" s="62">
        <f t="shared" ref="BD237:BE237" si="2690">SUM(BD234:BD236)</f>
        <v>838833.740706646</v>
      </c>
      <c r="BE237" s="62">
        <f t="shared" si="2690"/>
        <v>853203.80506381905</v>
      </c>
      <c r="BF237" s="62">
        <f t="shared" ref="BF237:BG237" si="2691">SUM(BF234:BF236)</f>
        <v>867363.67998597876</v>
      </c>
      <c r="BG237" s="62">
        <f t="shared" si="2691"/>
        <v>880943.89499970013</v>
      </c>
      <c r="BH237" s="62">
        <f t="shared" ref="BH237:BI237" si="2692">SUM(BH234:BH236)</f>
        <v>896003.17849878513</v>
      </c>
      <c r="BI237" s="62">
        <f t="shared" si="2692"/>
        <v>912335.1005591352</v>
      </c>
      <c r="BJ237" s="62">
        <f t="shared" ref="BJ237:BK237" si="2693">SUM(BJ234:BJ236)</f>
        <v>929181.86500515044</v>
      </c>
      <c r="BK237" s="62">
        <f t="shared" si="2693"/>
        <v>946748.72088132345</v>
      </c>
      <c r="BL237" s="62">
        <f t="shared" ref="BL237:BM237" si="2694">SUM(BL234:BL236)</f>
        <v>964347.14842291689</v>
      </c>
      <c r="BM237" s="62">
        <f t="shared" si="2694"/>
        <v>982301.67944447859</v>
      </c>
      <c r="BN237" s="62">
        <f t="shared" ref="BN237:BO237" si="2695">SUM(BN234:BN236)</f>
        <v>1001172.2983817564</v>
      </c>
      <c r="BO237" s="62">
        <f t="shared" si="2695"/>
        <v>1020974.5467821755</v>
      </c>
      <c r="BP237" s="62">
        <f t="shared" ref="BP237:BQ237" si="2696">SUM(BP234:BP236)</f>
        <v>1041631.5851942358</v>
      </c>
      <c r="BQ237" s="62">
        <f t="shared" si="2696"/>
        <v>1063178.9304129451</v>
      </c>
      <c r="BR237" s="62"/>
      <c r="BS237" s="62">
        <f t="shared" ref="BS237:CB237" si="2697">BS234+BS235+BS236</f>
        <v>58168.6</v>
      </c>
      <c r="BT237" s="62">
        <f t="shared" si="2697"/>
        <v>58752</v>
      </c>
      <c r="BU237" s="62">
        <f t="shared" si="2697"/>
        <v>59724</v>
      </c>
      <c r="BV237" s="62">
        <f t="shared" si="2697"/>
        <v>66230</v>
      </c>
      <c r="BW237" s="62">
        <f t="shared" si="2697"/>
        <v>72848</v>
      </c>
      <c r="BX237" s="62">
        <f t="shared" si="2697"/>
        <v>81594</v>
      </c>
      <c r="BY237" s="62">
        <f t="shared" si="2697"/>
        <v>91396</v>
      </c>
      <c r="BZ237" s="62">
        <f t="shared" si="2697"/>
        <v>101457</v>
      </c>
      <c r="CA237" s="62">
        <f t="shared" si="2697"/>
        <v>115116</v>
      </c>
      <c r="CB237" s="62">
        <f t="shared" si="2697"/>
        <v>122373</v>
      </c>
      <c r="CC237" s="62">
        <f t="shared" si="2581"/>
        <v>142718.44931506852</v>
      </c>
      <c r="CD237" s="62">
        <f t="shared" si="2582"/>
        <v>156224.43561643836</v>
      </c>
      <c r="CE237" s="62">
        <f t="shared" si="2583"/>
        <v>201211.5</v>
      </c>
      <c r="CF237" s="62">
        <f t="shared" si="2584"/>
        <v>235086.12602739726</v>
      </c>
      <c r="CG237" s="62">
        <f t="shared" ref="CG237:CM237" si="2698">SUM(CG234:CG236)</f>
        <v>259319</v>
      </c>
      <c r="CH237" s="62">
        <f t="shared" si="2698"/>
        <v>286540</v>
      </c>
      <c r="CI237" s="62">
        <f t="shared" si="2698"/>
        <v>331629</v>
      </c>
      <c r="CJ237" s="62">
        <f t="shared" si="2698"/>
        <v>355798</v>
      </c>
      <c r="CK237" s="62">
        <f t="shared" si="2698"/>
        <v>358607</v>
      </c>
      <c r="CL237" s="62">
        <f t="shared" si="2698"/>
        <v>387389</v>
      </c>
      <c r="CM237" s="62">
        <f t="shared" si="2698"/>
        <v>417962</v>
      </c>
      <c r="CN237" s="62">
        <f t="shared" ref="CN237:CS237" si="2699">SUM(CN234:CN236)</f>
        <v>461679</v>
      </c>
      <c r="CO237" s="62">
        <f t="shared" si="2699"/>
        <v>515042</v>
      </c>
      <c r="CP237" s="62">
        <f t="shared" si="2699"/>
        <v>555633</v>
      </c>
      <c r="CQ237" s="62">
        <f t="shared" si="2699"/>
        <v>551008</v>
      </c>
      <c r="CR237" s="62">
        <f t="shared" si="2699"/>
        <v>557072</v>
      </c>
      <c r="CS237" s="62">
        <f t="shared" si="2699"/>
        <v>567013</v>
      </c>
      <c r="CT237" s="62">
        <f t="shared" ref="CT237:CV237" si="2700">SUM(CT234:CT236)</f>
        <v>587924</v>
      </c>
      <c r="CU237" s="62">
        <f t="shared" si="2700"/>
        <v>606017</v>
      </c>
      <c r="CV237" s="62">
        <f t="shared" si="2700"/>
        <v>586885</v>
      </c>
      <c r="CW237" s="62">
        <f t="shared" si="2589"/>
        <v>613305.49041095888</v>
      </c>
      <c r="CX237" s="62">
        <f t="shared" si="2590"/>
        <v>649712.25479452056</v>
      </c>
      <c r="CY237" s="62">
        <f t="shared" si="2591"/>
        <v>681680</v>
      </c>
      <c r="CZ237" s="220">
        <f t="shared" si="2592"/>
        <v>769895.04931506852</v>
      </c>
      <c r="DA237" s="62">
        <f t="shared" si="2593"/>
        <v>794817.19299373694</v>
      </c>
      <c r="DB237" s="62">
        <f t="shared" si="2594"/>
        <v>818247.61793161207</v>
      </c>
      <c r="DC237" s="62">
        <f t="shared" si="2595"/>
        <v>846018.77288523247</v>
      </c>
      <c r="DD237" s="62">
        <f t="shared" si="2596"/>
        <v>874172.39052710484</v>
      </c>
      <c r="DE237" s="62">
        <f t="shared" si="2597"/>
        <v>904191.51202493336</v>
      </c>
      <c r="DF237" s="62">
        <f t="shared" si="2598"/>
        <v>937989.3571293687</v>
      </c>
      <c r="DG237" s="62">
        <f t="shared" si="2599"/>
        <v>973324.41393369774</v>
      </c>
      <c r="DH237" s="62">
        <f t="shared" si="2600"/>
        <v>1011100.5489496378</v>
      </c>
      <c r="DI237" s="62">
        <f t="shared" si="2601"/>
        <v>1052434.774714849</v>
      </c>
    </row>
    <row r="238" spans="1:113" ht="12" outlineLevel="1">
      <c r="A238" s="1" t="s">
        <v>922</v>
      </c>
      <c r="B238" s="15" t="s">
        <v>389</v>
      </c>
      <c r="C238" s="41">
        <f t="shared" ref="C238:L238" si="2701">C239-C237</f>
        <v>2092</v>
      </c>
      <c r="D238" s="41">
        <f t="shared" si="2701"/>
        <v>2522</v>
      </c>
      <c r="E238" s="41">
        <f t="shared" si="2701"/>
        <v>3862</v>
      </c>
      <c r="F238" s="41">
        <f t="shared" si="2701"/>
        <v>6045</v>
      </c>
      <c r="G238" s="41">
        <f t="shared" si="2701"/>
        <v>5782</v>
      </c>
      <c r="H238" s="41">
        <f t="shared" si="2701"/>
        <v>9075</v>
      </c>
      <c r="I238" s="41">
        <f t="shared" si="2701"/>
        <v>12808</v>
      </c>
      <c r="J238" s="41">
        <f t="shared" si="2701"/>
        <v>16144</v>
      </c>
      <c r="K238" s="41">
        <f t="shared" si="2701"/>
        <v>19969</v>
      </c>
      <c r="L238" s="41">
        <f t="shared" si="2701"/>
        <v>40328</v>
      </c>
      <c r="M238" s="41">
        <f t="shared" ref="M238:X238" si="2702">M239-M237</f>
        <v>42439</v>
      </c>
      <c r="N238" s="41">
        <f t="shared" si="2702"/>
        <v>44957</v>
      </c>
      <c r="O238" s="41">
        <f t="shared" si="2702"/>
        <v>48677</v>
      </c>
      <c r="P238" s="41">
        <f t="shared" si="2702"/>
        <v>55990</v>
      </c>
      <c r="Q238" s="41">
        <f t="shared" si="2702"/>
        <v>62305</v>
      </c>
      <c r="R238" s="41">
        <f t="shared" si="2702"/>
        <v>73577</v>
      </c>
      <c r="S238" s="41">
        <f t="shared" si="2702"/>
        <v>69765</v>
      </c>
      <c r="T238" s="41">
        <f t="shared" si="2702"/>
        <v>80117</v>
      </c>
      <c r="U238" s="41">
        <f t="shared" si="2702"/>
        <v>85388</v>
      </c>
      <c r="V238" s="41">
        <f t="shared" si="2702"/>
        <v>76538</v>
      </c>
      <c r="W238" s="41">
        <f t="shared" si="2702"/>
        <v>83558</v>
      </c>
      <c r="X238" s="41">
        <f t="shared" si="2702"/>
        <v>100516</v>
      </c>
      <c r="Y238" s="41">
        <f t="shared" ref="Y238:AD238" si="2703">Y239-Y237</f>
        <v>110482</v>
      </c>
      <c r="Z238" s="41">
        <f t="shared" si="2703"/>
        <v>106762</v>
      </c>
      <c r="AA238" s="41">
        <f t="shared" si="2703"/>
        <v>120522</v>
      </c>
      <c r="AB238" s="41">
        <f t="shared" si="2703"/>
        <v>129796</v>
      </c>
      <c r="AC238" s="41">
        <f t="shared" si="2703"/>
        <v>134101</v>
      </c>
      <c r="AD238" s="41">
        <f t="shared" si="2703"/>
        <v>156337</v>
      </c>
      <c r="AE238" s="41">
        <f t="shared" ref="AE238:AF238" si="2704">AE239-AE237</f>
        <v>164130</v>
      </c>
      <c r="AF238" s="41">
        <f t="shared" si="2704"/>
        <v>180463</v>
      </c>
      <c r="AG238" s="41">
        <f t="shared" ref="AG238:AH238" si="2705">AG239-AG237</f>
        <v>179210</v>
      </c>
      <c r="AH238" s="41">
        <f t="shared" si="2705"/>
        <v>188125</v>
      </c>
      <c r="AI238" s="41">
        <f t="shared" ref="AI238:AJ238" si="2706">AI239-AI237</f>
        <v>193717</v>
      </c>
      <c r="AJ238" s="41">
        <f t="shared" si="2706"/>
        <v>203741</v>
      </c>
      <c r="AK238" s="41">
        <f t="shared" ref="AK238:AL238" si="2707">AK239-AK237</f>
        <v>211996</v>
      </c>
      <c r="AL238" s="41">
        <f t="shared" si="2707"/>
        <v>225617</v>
      </c>
      <c r="AM238" s="41">
        <f t="shared" ref="AM238:AN238" si="2708">AM239-AM237</f>
        <v>224903</v>
      </c>
      <c r="AN238" s="41">
        <f t="shared" si="2708"/>
        <v>252012</v>
      </c>
      <c r="AO238" s="41">
        <f t="shared" ref="AO238" si="2709">AO239-AO237</f>
        <v>261716</v>
      </c>
      <c r="AP238" s="41">
        <f t="shared" ref="AP238:AQ238" si="2710">AP239-AP237</f>
        <v>271070</v>
      </c>
      <c r="AQ238" s="41">
        <f t="shared" si="2710"/>
        <v>282508</v>
      </c>
      <c r="AR238" s="41">
        <f t="shared" ref="AR238:AS238" si="2711">AR239-AR237</f>
        <v>292591</v>
      </c>
      <c r="AS238" s="41">
        <f t="shared" si="2711"/>
        <v>300850</v>
      </c>
      <c r="AT238" s="41">
        <f t="shared" ref="AT238:AU238" si="2712">AT239-AT237</f>
        <v>323719</v>
      </c>
      <c r="AU238" s="41">
        <f t="shared" si="2712"/>
        <v>327006</v>
      </c>
      <c r="AV238" s="41">
        <f t="shared" ref="AV238:AW238" si="2713">AV239-AV237</f>
        <v>351639</v>
      </c>
      <c r="AW238" s="41">
        <f t="shared" si="2713"/>
        <v>332233</v>
      </c>
      <c r="AX238" s="41">
        <f t="shared" ref="AX238:AY238" si="2714">AX239-AX237</f>
        <v>379571</v>
      </c>
      <c r="AY238" s="211">
        <f t="shared" si="2714"/>
        <v>399960</v>
      </c>
      <c r="AZ238" s="605">
        <f>((AZ$237/(1-(AY$238/AY$239))-AZ$237))</f>
        <v>405704.87813141348</v>
      </c>
      <c r="BA238" s="605">
        <f t="shared" ref="BA238:BQ238" si="2715">((BA$237/(1-(AZ$238/AZ$239))-BA$237))</f>
        <v>412336.51994074997</v>
      </c>
      <c r="BB238" s="605">
        <f t="shared" si="2715"/>
        <v>417821.32572791039</v>
      </c>
      <c r="BC238" s="605">
        <f t="shared" si="2715"/>
        <v>424335.97999832453</v>
      </c>
      <c r="BD238" s="605">
        <f t="shared" si="2715"/>
        <v>431681.63240408769</v>
      </c>
      <c r="BE238" s="605">
        <f t="shared" si="2715"/>
        <v>439076.77227319987</v>
      </c>
      <c r="BF238" s="605">
        <f t="shared" si="2715"/>
        <v>446363.7442014945</v>
      </c>
      <c r="BG238" s="605">
        <f t="shared" si="2715"/>
        <v>453352.41084785899</v>
      </c>
      <c r="BH238" s="605">
        <f t="shared" si="2715"/>
        <v>461102.23750390729</v>
      </c>
      <c r="BI238" s="605">
        <f t="shared" si="2715"/>
        <v>469506.99095286732</v>
      </c>
      <c r="BJ238" s="605">
        <f t="shared" si="2715"/>
        <v>478176.69321193057</v>
      </c>
      <c r="BK238" s="605">
        <f t="shared" si="2715"/>
        <v>487216.96979218058</v>
      </c>
      <c r="BL238" s="605">
        <f t="shared" si="2715"/>
        <v>496273.49382100697</v>
      </c>
      <c r="BM238" s="605">
        <f t="shared" si="2715"/>
        <v>505513.27625263436</v>
      </c>
      <c r="BN238" s="605">
        <f t="shared" si="2715"/>
        <v>515224.49695348169</v>
      </c>
      <c r="BO238" s="605">
        <f t="shared" si="2715"/>
        <v>525415.15393344895</v>
      </c>
      <c r="BP238" s="605">
        <f t="shared" si="2715"/>
        <v>536045.70398123318</v>
      </c>
      <c r="BQ238" s="605">
        <f t="shared" si="2715"/>
        <v>547134.42479276261</v>
      </c>
      <c r="BR238" s="41"/>
      <c r="BS238" s="41">
        <f t="shared" ref="BS238:CB238" si="2716">BS239-BS237</f>
        <v>23443.200000000004</v>
      </c>
      <c r="BT238" s="41">
        <f t="shared" si="2716"/>
        <v>23843</v>
      </c>
      <c r="BU238" s="41">
        <f t="shared" si="2716"/>
        <v>23733</v>
      </c>
      <c r="BV238" s="41">
        <f t="shared" si="2716"/>
        <v>24682</v>
      </c>
      <c r="BW238" s="41">
        <f t="shared" si="2716"/>
        <v>26883</v>
      </c>
      <c r="BX238" s="41">
        <f t="shared" si="2716"/>
        <v>31648</v>
      </c>
      <c r="BY238" s="41">
        <f t="shared" si="2716"/>
        <v>28332</v>
      </c>
      <c r="BZ238" s="41">
        <f t="shared" si="2716"/>
        <v>18734</v>
      </c>
      <c r="CA238" s="41">
        <f t="shared" si="2716"/>
        <v>18042</v>
      </c>
      <c r="CB238" s="41">
        <f t="shared" si="2716"/>
        <v>16928</v>
      </c>
      <c r="CC238" s="41">
        <f t="shared" si="2581"/>
        <v>3190.1643835616442</v>
      </c>
      <c r="CD238" s="41">
        <f t="shared" si="2582"/>
        <v>5913.860273972603</v>
      </c>
      <c r="CE238" s="41">
        <f t="shared" si="2583"/>
        <v>10941.5</v>
      </c>
      <c r="CF238" s="41">
        <f t="shared" si="2584"/>
        <v>18051.260273972606</v>
      </c>
      <c r="CG238" s="41">
        <f t="shared" ref="CG238:CN238" si="2717">CG239-CG237</f>
        <v>41387</v>
      </c>
      <c r="CH238" s="41">
        <f t="shared" si="2717"/>
        <v>46821</v>
      </c>
      <c r="CI238" s="41">
        <f t="shared" si="2717"/>
        <v>59146</v>
      </c>
      <c r="CJ238" s="41">
        <f t="shared" si="2717"/>
        <v>71666</v>
      </c>
      <c r="CK238" s="41">
        <f t="shared" si="2717"/>
        <v>80670</v>
      </c>
      <c r="CL238" s="41">
        <f t="shared" si="2717"/>
        <v>86913</v>
      </c>
      <c r="CM238" s="41">
        <f t="shared" si="2717"/>
        <v>105499</v>
      </c>
      <c r="CN238" s="41">
        <f t="shared" si="2717"/>
        <v>113660</v>
      </c>
      <c r="CO238" s="41">
        <f t="shared" ref="CO238:CR238" si="2718">CO239-CO237</f>
        <v>131955</v>
      </c>
      <c r="CP238" s="41">
        <f t="shared" si="2718"/>
        <v>161379</v>
      </c>
      <c r="CQ238" s="41">
        <f t="shared" si="2718"/>
        <v>179827</v>
      </c>
      <c r="CR238" s="41">
        <f t="shared" si="2718"/>
        <v>190928</v>
      </c>
      <c r="CS238" s="41">
        <f t="shared" ref="CS238:CT238" si="2719">CS239-CS237</f>
        <v>207871</v>
      </c>
      <c r="CT238" s="41">
        <f t="shared" si="2719"/>
        <v>225295</v>
      </c>
      <c r="CU238" s="41">
        <f t="shared" ref="CU238:CV238" si="2720">CU239-CU237</f>
        <v>256865</v>
      </c>
      <c r="CV238" s="41">
        <f t="shared" si="2720"/>
        <v>276806</v>
      </c>
      <c r="CW238" s="41">
        <f t="shared" si="2589"/>
        <v>296731.81369863014</v>
      </c>
      <c r="CX238" s="41">
        <f t="shared" si="2590"/>
        <v>325367.00273972604</v>
      </c>
      <c r="CY238" s="41">
        <f t="shared" si="2591"/>
        <v>341936</v>
      </c>
      <c r="CZ238" s="211">
        <f t="shared" si="2592"/>
        <v>389793.43013698631</v>
      </c>
      <c r="DA238" s="41">
        <f>SUMPRODUCT(AZ238:BA238,AZ$5:BA$5)/SUM(AZ$5:BA$5)</f>
        <v>409011.61459524703</v>
      </c>
      <c r="DB238" s="41">
        <f>SUMPRODUCT(BB238:BC238,BB$5:BC$5)/SUM(BB$5:BC$5)</f>
        <v>421069.72867918538</v>
      </c>
      <c r="DC238" s="41">
        <f>SUMPRODUCT(BD238:BE238,BD$5:BE$5)/SUM(BD$5:BE$5)</f>
        <v>435379.20233864378</v>
      </c>
      <c r="DD238" s="41">
        <f>SUMPRODUCT(BF238:BG238,BF$5:BG$5)/SUM(BF$5:BG$5)</f>
        <v>449848.5040087229</v>
      </c>
      <c r="DE238" s="41">
        <f>SUMPRODUCT(BH238:BI238,BH$5:BI$5)/SUM(BH$5:BI$5)</f>
        <v>465293.10086749832</v>
      </c>
      <c r="DF238" s="41">
        <f>SUMPRODUCT(BJ238:BK238,BJ$5:BK$5)/SUM(BJ$5:BK$5)</f>
        <v>482684.4475615347</v>
      </c>
      <c r="DG238" s="41">
        <f>SUMPRODUCT(BL238:BM238,BL$5:BM$5)/SUM(BL$5:BM$5)</f>
        <v>500893.38503682066</v>
      </c>
      <c r="DH238" s="41">
        <f>SUMPRODUCT(BN238:BO238,BN$5:BO$5)/SUM(BN$5:BO$5)</f>
        <v>520305.86563938321</v>
      </c>
      <c r="DI238" s="41">
        <f>SUMPRODUCT(BP238:BQ238,BP$5:BQ$5)/SUM(BP$5:BQ$5)</f>
        <v>541574.87435848906</v>
      </c>
    </row>
    <row r="239" spans="1:113" s="17" customFormat="1" ht="12" outlineLevel="1">
      <c r="A239" s="1" t="s">
        <v>923</v>
      </c>
      <c r="B239" s="17" t="s">
        <v>472</v>
      </c>
      <c r="C239" s="61">
        <v>141502</v>
      </c>
      <c r="D239" s="61">
        <v>143948</v>
      </c>
      <c r="E239" s="61">
        <v>147880</v>
      </c>
      <c r="F239" s="61">
        <v>159152</v>
      </c>
      <c r="G239" s="61">
        <v>165141</v>
      </c>
      <c r="H239" s="61">
        <v>199086</v>
      </c>
      <c r="I239" s="61">
        <v>225220</v>
      </c>
      <c r="J239" s="61">
        <v>244906</v>
      </c>
      <c r="K239" s="61">
        <v>261414</v>
      </c>
      <c r="L239" s="61">
        <f>294364</f>
        <v>294364</v>
      </c>
      <c r="M239" s="61">
        <f>305962</f>
        <v>305962</v>
      </c>
      <c r="N239" s="61">
        <f>323667</f>
        <v>323667</v>
      </c>
      <c r="O239" s="61">
        <f>343005</f>
        <v>343005</v>
      </c>
      <c r="P239" s="61">
        <v>378814</v>
      </c>
      <c r="Q239" s="61">
        <v>402736</v>
      </c>
      <c r="R239" s="61">
        <v>435103</v>
      </c>
      <c r="S239" s="61">
        <v>419867</v>
      </c>
      <c r="T239" s="61">
        <v>428636</v>
      </c>
      <c r="U239" s="61">
        <v>449861</v>
      </c>
      <c r="V239" s="61">
        <v>458029</v>
      </c>
      <c r="W239" s="61">
        <v>476814</v>
      </c>
      <c r="X239" s="61">
        <v>508762</v>
      </c>
      <c r="Y239" s="61">
        <v>538161</v>
      </c>
      <c r="Z239" s="194">
        <v>556264</v>
      </c>
      <c r="AA239" s="194">
        <v>595998</v>
      </c>
      <c r="AB239" s="194">
        <v>632400</v>
      </c>
      <c r="AC239" s="194">
        <v>661515</v>
      </c>
      <c r="AD239" s="194">
        <v>702203</v>
      </c>
      <c r="AE239" s="194">
        <v>731739</v>
      </c>
      <c r="AF239" s="194">
        <v>731395</v>
      </c>
      <c r="AG239" s="194">
        <v>730275</v>
      </c>
      <c r="AH239" s="194">
        <v>743906</v>
      </c>
      <c r="AI239" s="194">
        <v>752073</v>
      </c>
      <c r="AJ239" s="194">
        <v>765186</v>
      </c>
      <c r="AK239" s="194">
        <v>784501</v>
      </c>
      <c r="AL239" s="194">
        <v>811528</v>
      </c>
      <c r="AM239" s="194">
        <v>814832</v>
      </c>
      <c r="AN239" s="194">
        <v>856651</v>
      </c>
      <c r="AO239" s="194">
        <v>869110</v>
      </c>
      <c r="AP239" s="194">
        <v>857524</v>
      </c>
      <c r="AQ239" s="194">
        <v>869825</v>
      </c>
      <c r="AR239" s="194">
        <v>899678</v>
      </c>
      <c r="AS239" s="194">
        <v>920340</v>
      </c>
      <c r="AT239" s="194">
        <v>972972</v>
      </c>
      <c r="AU239" s="194">
        <v>977175</v>
      </c>
      <c r="AV239" s="194">
        <v>1015621</v>
      </c>
      <c r="AW239" s="194">
        <v>1031611</v>
      </c>
      <c r="AX239" s="194">
        <v>1142128</v>
      </c>
      <c r="AY239" s="227">
        <v>1177153</v>
      </c>
      <c r="AZ239" s="62">
        <f t="shared" ref="AZ239:BA239" si="2721">AZ237+AZ238</f>
        <v>1194061.1921367832</v>
      </c>
      <c r="BA239" s="62">
        <f t="shared" si="2721"/>
        <v>1213579.2865731912</v>
      </c>
      <c r="BB239" s="62">
        <f t="shared" ref="BB239:BC239" si="2722">BB237+BB238</f>
        <v>1229722.0398154487</v>
      </c>
      <c r="BC239" s="62">
        <f t="shared" si="2722"/>
        <v>1248895.8192393433</v>
      </c>
      <c r="BD239" s="62">
        <f t="shared" ref="BD239:BE239" si="2723">BD237+BD238</f>
        <v>1270515.3731107337</v>
      </c>
      <c r="BE239" s="62">
        <f t="shared" si="2723"/>
        <v>1292280.5773370189</v>
      </c>
      <c r="BF239" s="62">
        <f t="shared" ref="BF239:BG239" si="2724">BF237+BF238</f>
        <v>1313727.4241874733</v>
      </c>
      <c r="BG239" s="62">
        <f t="shared" si="2724"/>
        <v>1334296.3058475591</v>
      </c>
      <c r="BH239" s="62">
        <f t="shared" ref="BH239:BI239" si="2725">BH237+BH238</f>
        <v>1357105.4160026924</v>
      </c>
      <c r="BI239" s="62">
        <f t="shared" si="2725"/>
        <v>1381842.0915120025</v>
      </c>
      <c r="BJ239" s="62">
        <f t="shared" ref="BJ239:BK239" si="2726">BJ237+BJ238</f>
        <v>1407358.558217081</v>
      </c>
      <c r="BK239" s="62">
        <f t="shared" si="2726"/>
        <v>1433965.690673504</v>
      </c>
      <c r="BL239" s="62">
        <f t="shared" ref="BL239:BM239" si="2727">BL237+BL238</f>
        <v>1460620.6422439239</v>
      </c>
      <c r="BM239" s="62">
        <f t="shared" si="2727"/>
        <v>1487814.9556971129</v>
      </c>
      <c r="BN239" s="62">
        <f t="shared" ref="BN239:BO239" si="2728">BN237+BN238</f>
        <v>1516396.7953352381</v>
      </c>
      <c r="BO239" s="62">
        <f t="shared" si="2728"/>
        <v>1546389.7007156245</v>
      </c>
      <c r="BP239" s="62">
        <f t="shared" ref="BP239:BQ239" si="2729">BP237+BP238</f>
        <v>1577677.289175469</v>
      </c>
      <c r="BQ239" s="62">
        <f t="shared" si="2729"/>
        <v>1610313.3552057077</v>
      </c>
      <c r="BR239" s="62"/>
      <c r="BS239" s="61">
        <v>81611.8</v>
      </c>
      <c r="BT239" s="61">
        <v>82595</v>
      </c>
      <c r="BU239" s="61">
        <v>83457</v>
      </c>
      <c r="BV239" s="61">
        <v>90912</v>
      </c>
      <c r="BW239" s="61">
        <v>99731</v>
      </c>
      <c r="BX239" s="61">
        <v>113242</v>
      </c>
      <c r="BY239" s="61">
        <v>119728</v>
      </c>
      <c r="BZ239" s="61">
        <v>120191</v>
      </c>
      <c r="CA239" s="61">
        <v>133158</v>
      </c>
      <c r="CB239" s="61">
        <v>139301</v>
      </c>
      <c r="CC239" s="62">
        <f t="shared" si="2581"/>
        <v>145908.61369863016</v>
      </c>
      <c r="CD239" s="62">
        <f t="shared" si="2582"/>
        <v>162138.29589041098</v>
      </c>
      <c r="CE239" s="62">
        <f t="shared" si="2583"/>
        <v>212153</v>
      </c>
      <c r="CF239" s="62">
        <f t="shared" si="2584"/>
        <v>253137.38630136987</v>
      </c>
      <c r="CG239" s="194">
        <v>300706</v>
      </c>
      <c r="CH239" s="194">
        <v>333361</v>
      </c>
      <c r="CI239" s="194">
        <v>390775</v>
      </c>
      <c r="CJ239" s="194">
        <v>427464</v>
      </c>
      <c r="CK239" s="194">
        <v>439277</v>
      </c>
      <c r="CL239" s="194">
        <v>474302</v>
      </c>
      <c r="CM239" s="61">
        <v>523461</v>
      </c>
      <c r="CN239" s="194">
        <v>575339</v>
      </c>
      <c r="CO239" s="194">
        <v>646997</v>
      </c>
      <c r="CP239" s="194">
        <v>717012</v>
      </c>
      <c r="CQ239" s="194">
        <v>730835</v>
      </c>
      <c r="CR239" s="194">
        <v>748000</v>
      </c>
      <c r="CS239" s="194">
        <v>774884</v>
      </c>
      <c r="CT239" s="194">
        <v>813219</v>
      </c>
      <c r="CU239" s="194">
        <v>862882</v>
      </c>
      <c r="CV239" s="194">
        <v>863691</v>
      </c>
      <c r="CW239" s="194">
        <v>910037</v>
      </c>
      <c r="CX239" s="194">
        <v>975079</v>
      </c>
      <c r="CY239" s="194">
        <v>1023616</v>
      </c>
      <c r="CZ239" s="227">
        <v>1159688</v>
      </c>
      <c r="DA239" s="62">
        <f t="shared" si="2593"/>
        <v>1203846.9764706534</v>
      </c>
      <c r="DB239" s="62">
        <f t="shared" si="2594"/>
        <v>1239335.1949786616</v>
      </c>
      <c r="DC239" s="62">
        <f t="shared" si="2595"/>
        <v>1281397.9752238763</v>
      </c>
      <c r="DD239" s="62">
        <f t="shared" si="2596"/>
        <v>1324040.0415677354</v>
      </c>
      <c r="DE239" s="62">
        <f t="shared" si="2597"/>
        <v>1369507.6396142095</v>
      </c>
      <c r="DF239" s="62">
        <f t="shared" si="2598"/>
        <v>1420698.5725719451</v>
      </c>
      <c r="DG239" s="62">
        <f t="shared" si="2599"/>
        <v>1474217.7989705186</v>
      </c>
      <c r="DH239" s="62">
        <f t="shared" si="2600"/>
        <v>1531434.3341971855</v>
      </c>
      <c r="DI239" s="62">
        <f t="shared" si="2601"/>
        <v>1594040.0291303557</v>
      </c>
    </row>
    <row r="240" spans="1:113" ht="12" outlineLevel="1">
      <c r="C240" s="41"/>
      <c r="D240" s="41"/>
      <c r="E240" s="41"/>
      <c r="F240" s="41"/>
      <c r="G240" s="41"/>
      <c r="H240" s="41"/>
      <c r="I240" s="41"/>
      <c r="J240" s="41"/>
      <c r="K240" s="41"/>
      <c r="L240" s="41"/>
      <c r="M240" s="41"/>
      <c r="N240" s="41"/>
      <c r="O240" s="41"/>
      <c r="P240" s="41"/>
      <c r="Q240" s="41"/>
      <c r="R240" s="41"/>
      <c r="S240" s="41"/>
      <c r="T240" s="41"/>
      <c r="U240" s="41"/>
      <c r="V240" s="41"/>
      <c r="W240" s="41"/>
      <c r="X240" s="41"/>
      <c r="Y240" s="41"/>
      <c r="Z240" s="41"/>
      <c r="AA240" s="41"/>
      <c r="AB240" s="41"/>
      <c r="AC240" s="41"/>
      <c r="AD240" s="41"/>
      <c r="AE240" s="41"/>
      <c r="AF240" s="41"/>
      <c r="AG240" s="41"/>
      <c r="AH240" s="41"/>
      <c r="AI240" s="41"/>
      <c r="AJ240" s="41"/>
      <c r="AK240" s="41"/>
      <c r="AL240" s="41"/>
      <c r="AM240" s="41"/>
      <c r="AN240" s="41"/>
      <c r="AO240" s="41"/>
      <c r="AP240" s="41"/>
      <c r="AQ240" s="41"/>
      <c r="AR240" s="41"/>
      <c r="AS240" s="41"/>
      <c r="AT240" s="41"/>
      <c r="AU240" s="41"/>
      <c r="AV240" s="41"/>
      <c r="AW240" s="41"/>
      <c r="AX240" s="606"/>
      <c r="AY240" s="604"/>
      <c r="AZ240" s="601">
        <f>+AZ239/AY239-1</f>
        <v>1.4363631691702849E-2</v>
      </c>
      <c r="BA240" s="562"/>
      <c r="BB240" s="562"/>
      <c r="BC240" s="562"/>
      <c r="BD240" s="562"/>
      <c r="BE240" s="562"/>
      <c r="BF240" s="562"/>
      <c r="BG240" s="562"/>
      <c r="BH240" s="562"/>
      <c r="BI240" s="562"/>
      <c r="BJ240" s="41"/>
      <c r="BK240" s="41"/>
      <c r="BL240" s="41"/>
      <c r="BM240" s="41"/>
      <c r="BN240" s="41"/>
      <c r="BO240" s="41"/>
      <c r="BP240" s="41"/>
      <c r="BQ240" s="41"/>
      <c r="BR240" s="41"/>
      <c r="BS240" s="41"/>
      <c r="BT240" s="41"/>
      <c r="BU240" s="41"/>
      <c r="BV240" s="41"/>
      <c r="BW240" s="41"/>
      <c r="BX240" s="41"/>
      <c r="BY240" s="41"/>
      <c r="BZ240" s="41"/>
      <c r="CA240" s="41"/>
      <c r="CB240" s="41"/>
      <c r="CC240" s="41"/>
      <c r="CD240" s="41"/>
      <c r="CE240" s="41"/>
      <c r="CF240" s="41"/>
      <c r="CG240" s="41"/>
      <c r="CH240" s="41"/>
      <c r="CI240" s="41"/>
      <c r="CJ240" s="41"/>
      <c r="CK240" s="41"/>
      <c r="CL240" s="41"/>
      <c r="CM240" s="41"/>
      <c r="CN240" s="41"/>
      <c r="CO240" s="41"/>
      <c r="CP240" s="41"/>
      <c r="CQ240" s="41"/>
      <c r="CR240" s="41"/>
      <c r="CS240" s="41"/>
      <c r="CT240" s="41"/>
      <c r="CU240" s="41"/>
      <c r="CV240" s="41"/>
      <c r="CW240" s="41"/>
      <c r="CX240" s="41"/>
      <c r="CY240" s="41"/>
      <c r="CZ240" s="211"/>
      <c r="DA240" s="41"/>
      <c r="DB240" s="41"/>
      <c r="DC240" s="41"/>
      <c r="DD240" s="41"/>
      <c r="DE240" s="41"/>
      <c r="DF240" s="41"/>
      <c r="DG240" s="41"/>
      <c r="DH240" s="41"/>
      <c r="DI240" s="41"/>
    </row>
    <row r="241" spans="1:113" s="17" customFormat="1" ht="12" outlineLevel="1">
      <c r="A241" s="15"/>
      <c r="B241" s="17" t="s">
        <v>591</v>
      </c>
      <c r="C241" s="62"/>
      <c r="D241" s="62"/>
      <c r="E241" s="62"/>
      <c r="F241" s="62"/>
      <c r="G241" s="62"/>
      <c r="H241" s="62"/>
      <c r="I241" s="62"/>
      <c r="J241" s="62"/>
      <c r="K241" s="62"/>
      <c r="L241" s="62"/>
      <c r="M241" s="62"/>
      <c r="N241" s="62"/>
      <c r="O241" s="62"/>
      <c r="P241" s="62"/>
      <c r="Q241" s="62"/>
      <c r="R241" s="62"/>
      <c r="S241" s="62"/>
      <c r="T241" s="62"/>
      <c r="U241" s="62"/>
      <c r="V241" s="62"/>
      <c r="W241" s="62"/>
      <c r="X241" s="62"/>
      <c r="Y241" s="62"/>
      <c r="Z241" s="62"/>
      <c r="AA241" s="62"/>
      <c r="AB241" s="62"/>
      <c r="AC241" s="62"/>
      <c r="AD241" s="62"/>
      <c r="AE241" s="62"/>
      <c r="AF241" s="62"/>
      <c r="AG241" s="62"/>
      <c r="AH241" s="62"/>
      <c r="AI241" s="62"/>
      <c r="AJ241" s="62"/>
      <c r="AK241" s="62"/>
      <c r="AL241" s="62"/>
      <c r="AM241" s="62"/>
      <c r="AN241" s="62"/>
      <c r="AO241" s="62"/>
      <c r="AP241" s="62"/>
      <c r="AQ241" s="62"/>
      <c r="AR241" s="62"/>
      <c r="AS241" s="62"/>
      <c r="AT241" s="62"/>
      <c r="AU241" s="62"/>
      <c r="AV241" s="62"/>
      <c r="AW241" s="62"/>
      <c r="AX241" s="62"/>
      <c r="AY241" s="220"/>
      <c r="AZ241" s="42"/>
      <c r="BA241" s="42"/>
      <c r="BB241" s="42"/>
      <c r="BC241" s="42"/>
      <c r="BD241" s="42"/>
      <c r="BE241" s="42"/>
      <c r="BF241" s="42"/>
      <c r="BG241" s="42"/>
      <c r="BH241" s="42"/>
      <c r="BI241" s="42"/>
      <c r="BJ241" s="62"/>
      <c r="BK241" s="62"/>
      <c r="BL241" s="62"/>
      <c r="BM241" s="62"/>
      <c r="BN241" s="62"/>
      <c r="BO241" s="62"/>
      <c r="BP241" s="62"/>
      <c r="BQ241" s="62"/>
      <c r="BR241" s="62"/>
      <c r="BS241" s="62"/>
      <c r="BT241" s="62"/>
      <c r="BU241" s="62"/>
      <c r="BV241" s="62"/>
      <c r="BW241" s="62"/>
      <c r="BX241" s="62"/>
      <c r="BY241" s="62"/>
      <c r="BZ241" s="62"/>
      <c r="CA241" s="62"/>
      <c r="CB241" s="62"/>
      <c r="CC241" s="62"/>
      <c r="CD241" s="62"/>
      <c r="CE241" s="62"/>
      <c r="CF241" s="62"/>
      <c r="CG241" s="62"/>
      <c r="CH241" s="62"/>
      <c r="CI241" s="62"/>
      <c r="CJ241" s="62"/>
      <c r="CK241" s="62"/>
      <c r="CL241" s="62"/>
      <c r="CM241" s="62"/>
      <c r="CN241" s="62"/>
      <c r="CO241" s="62"/>
      <c r="CP241" s="62"/>
      <c r="CQ241" s="62"/>
      <c r="CR241" s="62"/>
      <c r="CS241" s="62"/>
      <c r="CT241" s="62"/>
      <c r="CU241" s="62"/>
      <c r="CV241" s="62"/>
      <c r="CW241" s="62"/>
      <c r="CX241" s="62"/>
      <c r="CY241" s="62"/>
      <c r="CZ241" s="220"/>
      <c r="DA241" s="62"/>
      <c r="DB241" s="62"/>
      <c r="DC241" s="62"/>
      <c r="DD241" s="62"/>
      <c r="DE241" s="62"/>
      <c r="DF241" s="62"/>
      <c r="DG241" s="62"/>
      <c r="DH241" s="62"/>
      <c r="DI241" s="62"/>
    </row>
    <row r="242" spans="1:113" ht="12" outlineLevel="1">
      <c r="A242" s="1" t="s">
        <v>340</v>
      </c>
      <c r="B242" s="15" t="s">
        <v>592</v>
      </c>
      <c r="C242" s="40">
        <f>9834+21155+3710</f>
        <v>34699</v>
      </c>
      <c r="D242" s="40">
        <f>10588+22756+4056</f>
        <v>37400</v>
      </c>
      <c r="E242" s="40">
        <f>11338+24034+3795</f>
        <v>39167</v>
      </c>
      <c r="F242" s="40">
        <f>11797+26591+3585</f>
        <v>41973</v>
      </c>
      <c r="G242" s="40">
        <f>12120+26846+3727</f>
        <v>42693</v>
      </c>
      <c r="H242" s="40">
        <f>12758+29356+4006</f>
        <v>46120</v>
      </c>
      <c r="I242" s="40">
        <f>13253+30117+3910</f>
        <v>47280</v>
      </c>
      <c r="J242" s="40">
        <f>13699+32448+4121</f>
        <v>50268</v>
      </c>
      <c r="K242" s="40">
        <f>14092+35443+4173</f>
        <v>53708</v>
      </c>
      <c r="L242" s="40">
        <f>14765+37384+4387</f>
        <v>56536</v>
      </c>
      <c r="M242" s="40">
        <f>15407+40478+4437</f>
        <v>60322</v>
      </c>
      <c r="N242" s="40">
        <f>16171+44898+4657</f>
        <v>65726</v>
      </c>
      <c r="O242" s="40">
        <f>16900+49031+4810</f>
        <v>70741</v>
      </c>
      <c r="P242" s="40">
        <f>17975+54452+4904</f>
        <v>77331</v>
      </c>
      <c r="Q242" s="40">
        <f>18150+55348+4669</f>
        <v>78167</v>
      </c>
      <c r="R242" s="40">
        <f>19007+60235+4936</f>
        <v>84178</v>
      </c>
      <c r="S242" s="40">
        <f>18552+66513+4966</f>
        <v>90031</v>
      </c>
      <c r="T242" s="40">
        <f>19021+63867+5307</f>
        <v>88195</v>
      </c>
      <c r="U242" s="40">
        <f>19892+61867+4696</f>
        <v>86455</v>
      </c>
      <c r="V242" s="40">
        <f>20006+63464+4876</f>
        <v>88346</v>
      </c>
      <c r="W242" s="40">
        <f>20211+68627+5018</f>
        <v>93856</v>
      </c>
      <c r="X242" s="40">
        <f>21316+77169+5112</f>
        <v>103597</v>
      </c>
      <c r="Y242" s="40">
        <f>22242+77993+5094</f>
        <v>105329</v>
      </c>
      <c r="Z242" s="141">
        <f>23564+83134+5416</f>
        <v>112114</v>
      </c>
      <c r="AA242" s="141">
        <f>24765+87438+5605</f>
        <v>117808</v>
      </c>
      <c r="AB242" s="141">
        <f>26782+97221+6134</f>
        <v>130137</v>
      </c>
      <c r="AC242" s="141">
        <f>28270+104148+6419</f>
        <v>138837</v>
      </c>
      <c r="AD242" s="141">
        <f>AVERAGE(142199,150832) / AVERAGE( 150832+23966+38896, 142199+20675+30330) * AD257</f>
        <v>156149.77865951663</v>
      </c>
      <c r="AE242" s="141">
        <f>AVERAGE(164009,150832) / AVERAGE( 150832+23966+38896, 164009+27663+37662) * AE257</f>
        <v>165720.97509412497</v>
      </c>
      <c r="AF242" s="141">
        <f>AVERAGE(164009,169268) / AVERAGE( 169268+25010+39276, 164009+27663+37662) * AF257</f>
        <v>177377.2239569831</v>
      </c>
      <c r="AG242" s="141">
        <f>AVERAGE(169773,169268) / AVERAGE( 169268+25010+39276, 169773+24968+40360) * AG257</f>
        <v>181712.89631178585</v>
      </c>
      <c r="AH242" s="141">
        <f>AVERAGE(169773,179928) / AVERAGE( 179928+23468+38762, 169773+24968+40360) * AH257</f>
        <v>187916.87084371378</v>
      </c>
      <c r="AI242" s="141">
        <f>AVERAGE(179928,190480) / AVERAGE( 190480+21769+38143, 179928+23468+38762) * AI257</f>
        <v>207210.6376270685</v>
      </c>
      <c r="AJ242" s="141">
        <f>AVERAGE(191228,190480) / AVERAGE( 190480+21769+38143, 191228+19557+39580) * AJ257</f>
        <v>197838.77085782751</v>
      </c>
      <c r="AK242" s="141">
        <f>AVERAGE(191228,190055) / AVERAGE( 190055+18056+38106, 191228+19557+39580) * AK257</f>
        <v>197934.29909741538</v>
      </c>
      <c r="AL242" s="141">
        <f>AVERAGE(180863,189287) / AVERAGE( 180863+19930+41011, 189287+18056+38106) * AL257</f>
        <v>193718.62269060483</v>
      </c>
      <c r="AM242" s="141">
        <f>AVERAGE(180863,196261) / AVERAGE( 180863+19930+41011, 196261+20787+39216) * AM257</f>
        <v>207201.04674664515</v>
      </c>
      <c r="AN242" s="141">
        <f>AVERAGE(220135,196261) / AVERAGE( 220135+24211+45978, 196261+20787+39216) * AN257</f>
        <v>222168.71002084567</v>
      </c>
      <c r="AO242" s="141">
        <f>AVERAGE(240945,220135) / AVERAGE( 240945+24366+49905, 220135+24211+45978) * AO257</f>
        <v>258135.24920076353</v>
      </c>
      <c r="AP242" s="141">
        <f>AVERAGE(240945,247730) / AVERAGE( 240945+24366+49905, 247730+27332+54379) * AP257</f>
        <v>264253.90457085415</v>
      </c>
      <c r="AQ242" s="141">
        <f>AVERAGE(270839,247730) / AVERAGE( 247730+27332+54379, 270839+36094+59822) * AQ257</f>
        <v>269826.83201253827</v>
      </c>
      <c r="AR242" s="141">
        <f>AVERAGE(270839,286191) / AVERAGE( 286191+30841+59590, 270839+36094+59822) * AR257</f>
        <v>283704.61265463178</v>
      </c>
      <c r="AS242" s="141">
        <f>AVERAGE(285677,286191) / AVERAGE( 286191+30841+59590, 285677+28974+54809) * AS257</f>
        <v>292045.75051728659</v>
      </c>
      <c r="AT242" s="141">
        <f>AVERAGE(285677,270418) / AVERAGE( 270418+28974+56307, 285677+28974+54809) * AT257</f>
        <v>279458.04059270018</v>
      </c>
      <c r="AU242" s="141">
        <f>AVERAGE(278014,270418) / AVERAGE( 270418+24125+56307, 278014+21827+56479) * AU257</f>
        <v>273311.14906721062</v>
      </c>
      <c r="AV242" s="141">
        <f>AVERAGE(278014,283155) / AVERAGE( 283155+20569+55569, 278014+21827+56479) * AV257</f>
        <v>278117.77880845126</v>
      </c>
      <c r="AW242" s="141">
        <f>AVERAGE(308130,283155) / AVERAGE( 283155+20569+55569, 308130+17423+56038) * AW257</f>
        <v>288735.88987448637</v>
      </c>
      <c r="AX242" s="141">
        <f>AVERAGE(308130,320976) / AVERAGE( 320976+18136+58246, 308130+17423+56038) * AX257</f>
        <v>270994.4506585155</v>
      </c>
      <c r="AY242" s="226">
        <f>AVERAGE(337908,320976) / AVERAGE( 337908+22536+57459, 320976+18136+58246) * AY257</f>
        <v>283309.42767530889</v>
      </c>
      <c r="AZ242" s="41">
        <f>AY242/AY$244*AZ$244</f>
        <v>296468.85709161055</v>
      </c>
      <c r="BA242" s="41">
        <f t="shared" ref="BA242:BA243" si="2730">AZ242/AZ$244*BA$244</f>
        <v>310533.05043412722</v>
      </c>
      <c r="BB242" s="41">
        <f t="shared" ref="BB242:BB243" si="2731">BA242/BA$244*BB$244</f>
        <v>322126.7904833426</v>
      </c>
      <c r="BC242" s="41">
        <f t="shared" ref="BC242:BC243" si="2732">BB242/BB$244*BC$244</f>
        <v>331790.59419784276</v>
      </c>
      <c r="BD242" s="41">
        <f t="shared" ref="BD242:BD243" si="2733">BC242/BC$244*BD$244</f>
        <v>341744.31202377804</v>
      </c>
      <c r="BE242" s="41">
        <f t="shared" ref="BE242:BE243" si="2734">BD242/BD$244*BE$244</f>
        <v>351996.64138449135</v>
      </c>
      <c r="BF242" s="41">
        <f t="shared" ref="BF242:BF243" si="2735">BE242/BE$244*BF$244</f>
        <v>362556.54062602593</v>
      </c>
      <c r="BG242" s="41">
        <f t="shared" ref="BG242:BK243" si="2736">BF242/BF$244*BG$244</f>
        <v>373433.2368448067</v>
      </c>
      <c r="BH242" s="41">
        <f t="shared" si="2736"/>
        <v>384636.2339501509</v>
      </c>
      <c r="BI242" s="41">
        <f t="shared" si="2736"/>
        <v>396175.32096865546</v>
      </c>
      <c r="BJ242" s="41">
        <f t="shared" si="2736"/>
        <v>408060.5805977151</v>
      </c>
      <c r="BK242" s="41">
        <f t="shared" si="2736"/>
        <v>420302.39801564667</v>
      </c>
      <c r="BL242" s="41">
        <f t="shared" ref="BL242:BL243" si="2737">BK242/BK$244*BL$244</f>
        <v>430784.4995470898</v>
      </c>
      <c r="BM242" s="41">
        <f t="shared" ref="BM242:BM243" si="2738">BL242/BL$244*BM$244</f>
        <v>439411.65576264006</v>
      </c>
      <c r="BN242" s="41">
        <f t="shared" ref="BN242:BN243" si="2739">BM242/BM$244*BN$244</f>
        <v>448211.90090556379</v>
      </c>
      <c r="BO242" s="41">
        <f t="shared" ref="BO242:BO243" si="2740">BN242/BN$244*BO$244</f>
        <v>457188.71088625275</v>
      </c>
      <c r="BP242" s="41">
        <f t="shared" ref="BP242:BP243" si="2741">BO242/BO$244*BP$244</f>
        <v>466345.63144904783</v>
      </c>
      <c r="BQ242" s="41">
        <f t="shared" ref="BQ242:BQ243" si="2742">BP242/BP$244*BQ$244</f>
        <v>475686.27957558178</v>
      </c>
      <c r="BR242" s="41"/>
      <c r="BS242" s="41"/>
      <c r="BT242" s="41"/>
      <c r="BU242" s="41"/>
      <c r="BV242" s="41"/>
      <c r="BW242" s="41"/>
      <c r="BX242" s="41"/>
      <c r="BY242" s="41"/>
      <c r="BZ242" s="41"/>
      <c r="CA242" s="41"/>
      <c r="CB242" s="41"/>
      <c r="CC242" s="41">
        <f>SUMPRODUCT(D242:E242,D$5:E$5)/SUM(D$5:E$5)</f>
        <v>38281.079452054793</v>
      </c>
      <c r="CD242" s="41">
        <f>SUMPRODUCT(F242:G242,F$5:G$5)/SUM(F$5:G$5)</f>
        <v>42332.013698630137</v>
      </c>
      <c r="CE242" s="41">
        <f>SUMPRODUCT(H242:I242,H$5:I$5)/SUM(H$5:I$5)</f>
        <v>46700</v>
      </c>
      <c r="CF242" s="41">
        <f>SUMPRODUCT(J242:K242,J$5:K$5)/SUM(J$5:K$5)</f>
        <v>51983.28767123288</v>
      </c>
      <c r="CG242" s="141">
        <f>15087+38935+4412</f>
        <v>58434</v>
      </c>
      <c r="CH242" s="141">
        <f>16536+46429+4734</f>
        <v>67699</v>
      </c>
      <c r="CI242" s="141">
        <f>18062+54900+4787</f>
        <v>77749</v>
      </c>
      <c r="CJ242" s="141">
        <f>18779+63383+4951</f>
        <v>87113</v>
      </c>
      <c r="CK242" s="141">
        <f>19458+62864+5000</f>
        <v>87322</v>
      </c>
      <c r="CL242" s="141">
        <f>20109+66053+4947</f>
        <v>91109</v>
      </c>
      <c r="CM242" s="141">
        <f>21779+77581+5103</f>
        <v>104463</v>
      </c>
      <c r="CN242" s="141">
        <f>24166+85292+5511</f>
        <v>114969</v>
      </c>
      <c r="CO242" s="141">
        <f>27528+100694+6277</f>
        <v>134499</v>
      </c>
      <c r="CP242" s="41">
        <f t="shared" ref="CP242:CP243" si="2743">(AD242*(AD$3-AC$3)+AE242*(AE$3-AD$3))/(AE$3-AC$3)</f>
        <v>160948.48810481338</v>
      </c>
      <c r="CQ242" s="41">
        <f>(AF242*(AF$3-AE$3)+AG242*(AG$3-AF$3))/(AG$3-AE$3)</f>
        <v>179545.06013438449</v>
      </c>
      <c r="CR242" s="41">
        <f>(AH242*(AH$3-AG$3)+AI242*(AI$3-AH$3))/(AI$3-AG$3)</f>
        <v>197590.18405290259</v>
      </c>
      <c r="CS242" s="41">
        <f>(AJ242*(AJ$3-AI$3)+AK242*(AK$3-AJ$3))/(AK$3-AI$3)</f>
        <v>197886.66583822362</v>
      </c>
      <c r="CT242" s="41">
        <f>(AL242*(AL$3-AK$3)+AM242*(AM$3-AL$3))/(AM$3-AK$3)</f>
        <v>200478.30379267433</v>
      </c>
      <c r="CU242" s="41">
        <f>(AN242*(AN$3-AM$3)+AO242*(AO$3-AN$3))/(AO$3-AM$3)</f>
        <v>240151.97961080456</v>
      </c>
      <c r="CV242" s="41">
        <f>(AP242*(AP$3-AO$3)+AQ242*(AQ$3-AP$3))/(AQ$3-AO$3)</f>
        <v>267048.0024388766</v>
      </c>
      <c r="CW242" s="41">
        <f>(AR242*(AR$3-AQ$3)+AS242*(AS$3-AR$3))/(AS$3-AQ$3)</f>
        <v>287886.60780220939</v>
      </c>
      <c r="CX242" s="41">
        <f>(AT242*(AT$3-AS$3)+AU242*(AU$3-AT$3))/(AU$3-AS$3)</f>
        <v>276376.17443060537</v>
      </c>
      <c r="CY242" s="41">
        <f>(AV242*(AV$3-AU$3)+AW242*(AW$3-AV$3))/(AW$3-AU$3)</f>
        <v>283426.83434146881</v>
      </c>
      <c r="CZ242" s="211">
        <f>(AX242*(AX$3-AW$3)+AY242*(AY$3-AX$3))/(AY$3-AW$3)</f>
        <v>277168.80899844202</v>
      </c>
      <c r="DA242" s="41">
        <f>(AZ242*(AZ$3-AY$3)+BA242*(BA$3-AZ$3))/(BA$3-AY$3)</f>
        <v>303520.21978114633</v>
      </c>
      <c r="DB242" s="41">
        <f>(BB242*(BB$3-BA$3)+BC242*(BC$3-BB$3))/(BC$3-BA$3)</f>
        <v>326971.93042787281</v>
      </c>
      <c r="DC242" s="41">
        <f>(BD242*(BD$3-BC$3)+BE242*(BE$3-BD$3))/(BE$3-BC$3)</f>
        <v>346870.47670413466</v>
      </c>
      <c r="DD242" s="41">
        <f>(BF242*(BF$3-BE$3)+BG242*(BG$3-BF$3))/(BG$3-BE$3)</f>
        <v>368009.78831927769</v>
      </c>
      <c r="DE242" s="41">
        <f>(BH242*(BH$3-BG$3)+BI242*(BI$3-BH$3))/(BI$3-BG$3)</f>
        <v>390421.58442792168</v>
      </c>
      <c r="DF242" s="41">
        <f>(BJ242*(BJ$3-BI$3)+BK242*(BK$3-BJ$3))/(BK$3-BI$3)</f>
        <v>414198.25891958212</v>
      </c>
      <c r="DG242" s="41">
        <f>(BL242*(BL$3-BK$3)+BM242*(BM$3-BL$3))/(BM$3-BK$3)</f>
        <v>435098.07765486493</v>
      </c>
      <c r="DH242" s="41">
        <f>(BN242*(BN$3-BM$3)+BO242*(BO$3-BN$3))/(BO$3-BM$3)</f>
        <v>452712.60289588186</v>
      </c>
      <c r="DI242" s="41">
        <f>(BP242*(BP$3-BO$3)+BQ242*(BQ$3-BP$3))/(BQ$3-BO$3)</f>
        <v>471028.7509207073</v>
      </c>
    </row>
    <row r="243" spans="1:113" ht="12" outlineLevel="1">
      <c r="A243" s="1" t="s">
        <v>341</v>
      </c>
      <c r="B243" s="15" t="s">
        <v>473</v>
      </c>
      <c r="C243" s="40">
        <v>18496</v>
      </c>
      <c r="D243" s="40">
        <v>19429</v>
      </c>
      <c r="E243" s="40">
        <v>22046</v>
      </c>
      <c r="F243" s="40">
        <v>24291</v>
      </c>
      <c r="G243" s="40">
        <v>26047</v>
      </c>
      <c r="H243" s="40">
        <v>29003</v>
      </c>
      <c r="I243" s="40">
        <v>32676</v>
      </c>
      <c r="J243" s="40">
        <v>38650</v>
      </c>
      <c r="K243" s="40">
        <v>40122</v>
      </c>
      <c r="L243" s="40">
        <f>41323</f>
        <v>41323</v>
      </c>
      <c r="M243" s="40">
        <f>44482</f>
        <v>44482</v>
      </c>
      <c r="N243" s="40">
        <f>46548</f>
        <v>46548</v>
      </c>
      <c r="O243" s="40">
        <v>51439</v>
      </c>
      <c r="P243" s="40">
        <v>66833</v>
      </c>
      <c r="Q243" s="40">
        <v>76562</v>
      </c>
      <c r="R243" s="40">
        <v>87520</v>
      </c>
      <c r="S243" s="40">
        <v>87592</v>
      </c>
      <c r="T243" s="40">
        <v>96056</v>
      </c>
      <c r="U243" s="40">
        <v>103864</v>
      </c>
      <c r="V243" s="40">
        <v>121281</v>
      </c>
      <c r="W243" s="40">
        <v>126865</v>
      </c>
      <c r="X243" s="40">
        <v>130046</v>
      </c>
      <c r="Y243" s="40">
        <v>138964</v>
      </c>
      <c r="Z243" s="141">
        <v>134894</v>
      </c>
      <c r="AA243" s="141">
        <v>136595</v>
      </c>
      <c r="AB243" s="141">
        <v>136155</v>
      </c>
      <c r="AC243" s="141">
        <v>133566</v>
      </c>
      <c r="AD243" s="141">
        <f>AVERAGE(55857+69595,49446+78779) / AVERAGE(55857+69595+1435+34211+2354+101087, 49446+78779+1226+30981+2083+82956) * AD258</f>
        <v>128144.66223603459</v>
      </c>
      <c r="AE243" s="141">
        <f>AVERAGE(57390+66394,55857+69595) / AVERAGE(55857+69595+1435+34211+2354+101087, 57390+66394+677+31795+5379+96487) * AE258</f>
        <v>122746.56386453169</v>
      </c>
      <c r="AF243" s="141">
        <f>AVERAGE(57390+66394,56513+68427) / AVERAGE(56513+68427+1675+33871+6888+90112, 57390+66394+677+31795+5379+96487) * AF258</f>
        <v>125912.88295759569</v>
      </c>
      <c r="AG243" s="141">
        <f>AVERAGE(52295+69740,56513+68427) / AVERAGE(56513+68427+1675+33871+6888+90112, 52295+69740+2133+37824+7001+84583) * AG258</f>
        <v>126273.00136774013</v>
      </c>
      <c r="AH243" s="141">
        <f>AVERAGE(52295+69740,51875+72471) / AVERAGE(51875+72471+924+40236+4629+90449, 52295+69740+2133+37824+7001+84583) * AH258</f>
        <v>126781.08042827137</v>
      </c>
      <c r="AI243" s="141">
        <f>AVERAGE(51875+72471,50565+72679) / AVERAGE(50565+72679+1763+41829+2894+78863,51875+72471+924+40236+4629+90449) * AI258</f>
        <v>122472.14253589617</v>
      </c>
      <c r="AJ243" s="141">
        <f>AVERAGE(43157+75116,50565+72679) / AVERAGE(50565+72679+1763+41829+2894+78863,43157+75116+1897+44810+5324+77335) * AJ258</f>
        <v>122650.3098369311</v>
      </c>
      <c r="AK243" s="141">
        <f>AVERAGE(43157+75116,39671+75551) / AVERAGE(39671+75551+833+46986+2242+92145,43157+75116+1897+44810+5324+77335) * AK258</f>
        <v>118192.43428099639</v>
      </c>
      <c r="AL243" s="141">
        <f>AVERAGE(39481+77714,39671+75551) / AVERAGE(39671+75551+833+46986+2242+92145,39481+77714+874+50890+3215+94396) * AL258</f>
        <v>115977.85629525303</v>
      </c>
      <c r="AM243" s="141">
        <f>AVERAGE(39481+77714,32953+74560) / AVERAGE(32953+74560+1375+50941+2318+101586,39481+77714+874+50890+3215+94396) * AM258</f>
        <v>114535.60021346287</v>
      </c>
      <c r="AN243" s="141">
        <f>AVERAGE(34733+69056,32953+74560) / AVERAGE(32953+74560+1375+50941+2318+101586,34733+69056+1651+50414+1494+121141) * AN258</f>
        <v>104657.27399847294</v>
      </c>
      <c r="AO243" s="141">
        <f>AVERAGE(34733+69056,28258+64187) / AVERAGE(28258+64187+1650+46351+2583+86735,34733+69056+1651+50414+1494+121141) * AO258</f>
        <v>95701.009823847577</v>
      </c>
      <c r="AP243" s="141">
        <f>AVERAGE(34176+62503,28258+64187) / AVERAGE(28258+64187+1650+46351+2583+86735,34176+61503+1292+39715+4532+84950) * AP258</f>
        <v>96214.178158146387</v>
      </c>
      <c r="AQ243" s="141">
        <f>AVERAGE(34176+62503,31915+49767) / AVERAGE(4003+49767+1790+38833+4003+88481,34176+61503+1292+39715+4532+84950) * AQ258</f>
        <v>96380.015240470166</v>
      </c>
      <c r="AR243" s="141">
        <f>AVERAGE(29914+44165,31915+49767) / AVERAGE(4003+49767+1790+38833+4003+88481,29914+44165+2018+28931+5013+97525) * AR258</f>
        <v>84906.553428505518</v>
      </c>
      <c r="AS243" s="141">
        <f>AVERAGE(29914+44165,29412+51319) / AVERAGE(3193+51319+1444+41188+3193+107557,29914+44165+2018+28931+5013+97525) * AS258</f>
        <v>85297.902854667118</v>
      </c>
      <c r="AT243" s="141">
        <f>AVERAGE(37920+76341,29412+51319) / AVERAGE(29412+51319+1444+41188+3193+107557,37920+76341+1392+47598+5233+127467) * AT258</f>
        <v>98670.592984998031</v>
      </c>
      <c r="AU243" s="141">
        <f>AVERAGE(37920+76341,33613+79518) / AVERAGE(33613+79518+2167+50451+6139+117924,37920+76341+1392+47598+5233+127467) * AU258</f>
        <v>112807.22077700368</v>
      </c>
      <c r="AV243" s="141">
        <f>AVERAGE(30572+86857,33613+79518) / AVERAGE(33613+79518+2167+50451+6139+117924,30572+86857+1800+52762+6723+100919) * AV258</f>
        <v>124838.73835049917</v>
      </c>
      <c r="AW243" s="141">
        <f>AVERAGE(30572+86857,34011+102413) / AVERAGE(34011+102413+1079+54500+7116+116603,30572+86857+1800+52762+6723+100919) * AW258</f>
        <v>128214.83526131469</v>
      </c>
      <c r="AX243" s="141">
        <f>AVERAGE(30215+102183,34011+102413) / AVERAGE(34011+102413+1079+54500+7116+116603,30215+102183+1213+54438+8153+141641) * AX258</f>
        <v>138189.55806690996</v>
      </c>
      <c r="AY243" s="226">
        <f>AVERAGE(38184+97468,30215+102183) / AVERAGE(30215+102183+1213+54438+8153+141641,38184+97468+774+53421+6803+117929) * AY258</f>
        <v>140640.97731223042</v>
      </c>
      <c r="AZ243" s="41">
        <f t="shared" ref="AZ243" si="2744">AY243/AY$244*AZ$244</f>
        <v>147173.60500897287</v>
      </c>
      <c r="BA243" s="41">
        <f t="shared" si="2730"/>
        <v>154155.37724659368</v>
      </c>
      <c r="BB243" s="41">
        <f t="shared" si="2731"/>
        <v>159910.76260247504</v>
      </c>
      <c r="BC243" s="41">
        <f t="shared" si="2732"/>
        <v>164708.08548054926</v>
      </c>
      <c r="BD243" s="41">
        <f t="shared" si="2733"/>
        <v>169649.32804496572</v>
      </c>
      <c r="BE243" s="41">
        <f t="shared" si="2734"/>
        <v>174738.80788631467</v>
      </c>
      <c r="BF243" s="41">
        <f t="shared" si="2735"/>
        <v>179980.97212290403</v>
      </c>
      <c r="BG243" s="41">
        <f t="shared" si="2736"/>
        <v>185380.40128659114</v>
      </c>
      <c r="BH243" s="41">
        <f t="shared" si="2736"/>
        <v>190941.81332518888</v>
      </c>
      <c r="BI243" s="41">
        <f t="shared" si="2736"/>
        <v>196670.06772494456</v>
      </c>
      <c r="BJ243" s="41">
        <f t="shared" si="2736"/>
        <v>202570.16975669289</v>
      </c>
      <c r="BK243" s="41">
        <f t="shared" si="2736"/>
        <v>208647.27484939375</v>
      </c>
      <c r="BL243" s="41">
        <f t="shared" si="2737"/>
        <v>213850.81860635526</v>
      </c>
      <c r="BM243" s="41">
        <f t="shared" si="2738"/>
        <v>218133.52706239306</v>
      </c>
      <c r="BN243" s="41">
        <f t="shared" si="2739"/>
        <v>222502.16063609274</v>
      </c>
      <c r="BO243" s="41">
        <f t="shared" si="2740"/>
        <v>226958.44484516323</v>
      </c>
      <c r="BP243" s="41">
        <f t="shared" si="2741"/>
        <v>231504.13987440843</v>
      </c>
      <c r="BQ243" s="41">
        <f t="shared" si="2742"/>
        <v>236141.04127237728</v>
      </c>
      <c r="BR243" s="41"/>
      <c r="BS243" s="41"/>
      <c r="BT243" s="41"/>
      <c r="BU243" s="41"/>
      <c r="BV243" s="41"/>
      <c r="BW243" s="41"/>
      <c r="BX243" s="41"/>
      <c r="BY243" s="41"/>
      <c r="BZ243" s="41"/>
      <c r="CA243" s="41"/>
      <c r="CB243" s="41"/>
      <c r="CC243" s="41">
        <f>SUMPRODUCT(D243:E243,D$5:E$5)/SUM(D$5:E$5)</f>
        <v>20733.915068493152</v>
      </c>
      <c r="CD243" s="41">
        <f>SUMPRODUCT(F243:G243,F$5:G$5)/SUM(F$5:G$5)</f>
        <v>25166.594520547947</v>
      </c>
      <c r="CE243" s="41">
        <f>SUMPRODUCT(H243:I243,H$5:I$5)/SUM(H$5:I$5)</f>
        <v>30839.5</v>
      </c>
      <c r="CF243" s="41">
        <f>SUMPRODUCT(J243:K243,J$5:K$5)/SUM(J$5:K$5)</f>
        <v>39383.983561643836</v>
      </c>
      <c r="CG243" s="141">
        <v>42907</v>
      </c>
      <c r="CH243" s="141">
        <v>49000</v>
      </c>
      <c r="CI243" s="141">
        <v>71698</v>
      </c>
      <c r="CJ243" s="141">
        <v>87556</v>
      </c>
      <c r="CK243" s="141">
        <v>99969</v>
      </c>
      <c r="CL243" s="141">
        <v>124080</v>
      </c>
      <c r="CM243" s="141">
        <v>134508</v>
      </c>
      <c r="CN243" s="141">
        <v>135747</v>
      </c>
      <c r="CO243" s="141">
        <v>134857</v>
      </c>
      <c r="CP243" s="41">
        <f t="shared" si="2743"/>
        <v>125438.21839497972</v>
      </c>
      <c r="CQ243" s="41">
        <f>(AF243*(AF$3-AE$3)+AG243*(AG$3-AF$3))/(AG$3-AE$3)</f>
        <v>126092.94216266791</v>
      </c>
      <c r="CR243" s="41">
        <f>(AH243*(AH$3-AG$3)+AI243*(AI$3-AH$3))/(AI$3-AG$3)</f>
        <v>124620.70882743667</v>
      </c>
      <c r="CS243" s="41">
        <f>(AJ243*(AJ$3-AI$3)+AK243*(AK$3-AJ$3))/(AK$3-AI$3)</f>
        <v>120415.26538011999</v>
      </c>
      <c r="CT243" s="41">
        <f>(AL243*(AL$3-AK$3)+AM243*(AM$3-AL$3))/(AM$3-AK$3)</f>
        <v>115254.75256109523</v>
      </c>
      <c r="CU243" s="41">
        <f>(AN243*(AN$3-AM$3)+AO243*(AO$3-AN$3))/(AO$3-AM$3)</f>
        <v>100179.14191116026</v>
      </c>
      <c r="CV243" s="41">
        <f>(AP243*(AP$3-AO$3)+AQ243*(AQ$3-AP$3))/(AQ$3-AO$3)</f>
        <v>96297.323873393645</v>
      </c>
      <c r="CW243" s="41">
        <f>(AR243*(AR$3-AQ$3)+AS243*(AS$3-AR$3))/(AS$3-AQ$3)</f>
        <v>85102.764236690651</v>
      </c>
      <c r="CX243" s="41">
        <f>(AT243*(AT$3-AS$3)+AU243*(AU$3-AT$3))/(AU$3-AS$3)</f>
        <v>105758.27212455154</v>
      </c>
      <c r="CY243" s="41">
        <f>(AV243*(AV$3-AU$3)+AW243*(AW$3-AV$3))/(AW$3-AU$3)</f>
        <v>126526.78680590693</v>
      </c>
      <c r="CZ243" s="211">
        <f>(AX243*(AX$3-AW$3)+AY243*(AY$3-AX$3))/(AY$3-AW$3)</f>
        <v>139418.62579812543</v>
      </c>
      <c r="DA243" s="41">
        <f>(AZ243*(AZ$3-AY$3)+BA243*(BA$3-AZ$3))/(BA$3-AY$3)</f>
        <v>150674.05519934167</v>
      </c>
      <c r="DB243" s="41">
        <f>(BB243*(BB$3-BA$3)+BC243*(BC$3-BB$3))/(BC$3-BA$3)</f>
        <v>162315.99571668758</v>
      </c>
      <c r="DC243" s="41">
        <f>(BD243*(BD$3-BC$3)+BE243*(BE$3-BD$3))/(BE$3-BC$3)</f>
        <v>172194.06796564019</v>
      </c>
      <c r="DD243" s="41">
        <f>(BF243*(BF$3-BE$3)+BG243*(BG$3-BF$3))/(BG$3-BE$3)</f>
        <v>182688.08318305403</v>
      </c>
      <c r="DE243" s="41">
        <f>(BH243*(BH$3-BG$3)+BI243*(BI$3-BH$3))/(BI$3-BG$3)</f>
        <v>193813.787448902</v>
      </c>
      <c r="DF243" s="41">
        <f>(BJ243*(BJ$3-BI$3)+BK243*(BK$3-BJ$3))/(BK$3-BI$3)</f>
        <v>205617.04710454019</v>
      </c>
      <c r="DG243" s="41">
        <f>(BL243*(BL$3-BK$3)+BM243*(BM$3-BL$3))/(BM$3-BK$3)</f>
        <v>215992.17283437419</v>
      </c>
      <c r="DH243" s="41">
        <f>(BN243*(BN$3-BM$3)+BO243*(BO$3-BN$3))/(BO$3-BM$3)</f>
        <v>224736.40723954453</v>
      </c>
      <c r="DI243" s="41">
        <f>(BP243*(BP$3-BO$3)+BQ243*(BQ$3-BP$3))/(BQ$3-BO$3)</f>
        <v>233828.94249311608</v>
      </c>
    </row>
    <row r="244" spans="1:113" s="17" customFormat="1" ht="12" outlineLevel="1">
      <c r="A244" s="1" t="s">
        <v>253</v>
      </c>
      <c r="B244" s="17" t="s">
        <v>168</v>
      </c>
      <c r="C244" s="62">
        <f t="shared" ref="C244:L244" si="2745">C242+C243</f>
        <v>53195</v>
      </c>
      <c r="D244" s="62">
        <f t="shared" si="2745"/>
        <v>56829</v>
      </c>
      <c r="E244" s="62">
        <f t="shared" si="2745"/>
        <v>61213</v>
      </c>
      <c r="F244" s="62">
        <f t="shared" si="2745"/>
        <v>66264</v>
      </c>
      <c r="G244" s="62">
        <f t="shared" si="2745"/>
        <v>68740</v>
      </c>
      <c r="H244" s="62">
        <f t="shared" si="2745"/>
        <v>75123</v>
      </c>
      <c r="I244" s="62">
        <f t="shared" si="2745"/>
        <v>79956</v>
      </c>
      <c r="J244" s="62">
        <f t="shared" si="2745"/>
        <v>88918</v>
      </c>
      <c r="K244" s="62">
        <f t="shared" si="2745"/>
        <v>93830</v>
      </c>
      <c r="L244" s="62">
        <f t="shared" si="2745"/>
        <v>97859</v>
      </c>
      <c r="M244" s="62">
        <f t="shared" ref="M244:X244" si="2746">M242+M243</f>
        <v>104804</v>
      </c>
      <c r="N244" s="62">
        <f t="shared" si="2746"/>
        <v>112274</v>
      </c>
      <c r="O244" s="62">
        <f t="shared" si="2746"/>
        <v>122180</v>
      </c>
      <c r="P244" s="62">
        <f t="shared" si="2746"/>
        <v>144164</v>
      </c>
      <c r="Q244" s="62">
        <f t="shared" si="2746"/>
        <v>154729</v>
      </c>
      <c r="R244" s="62">
        <f t="shared" si="2746"/>
        <v>171698</v>
      </c>
      <c r="S244" s="62">
        <f t="shared" si="2746"/>
        <v>177623</v>
      </c>
      <c r="T244" s="62">
        <f t="shared" si="2746"/>
        <v>184251</v>
      </c>
      <c r="U244" s="62">
        <f t="shared" si="2746"/>
        <v>190319</v>
      </c>
      <c r="V244" s="62">
        <f t="shared" si="2746"/>
        <v>209627</v>
      </c>
      <c r="W244" s="62">
        <f t="shared" si="2746"/>
        <v>220721</v>
      </c>
      <c r="X244" s="62">
        <f t="shared" si="2746"/>
        <v>233643</v>
      </c>
      <c r="Y244" s="62">
        <f t="shared" ref="Y244:AE244" si="2747">Y242+Y243</f>
        <v>244293</v>
      </c>
      <c r="Z244" s="62">
        <f t="shared" si="2747"/>
        <v>247008</v>
      </c>
      <c r="AA244" s="62">
        <f t="shared" si="2747"/>
        <v>254403</v>
      </c>
      <c r="AB244" s="62">
        <f t="shared" si="2747"/>
        <v>266292</v>
      </c>
      <c r="AC244" s="62">
        <f t="shared" si="2747"/>
        <v>272403</v>
      </c>
      <c r="AD244" s="62">
        <f t="shared" si="2747"/>
        <v>284294.44089555123</v>
      </c>
      <c r="AE244" s="62">
        <f t="shared" si="2747"/>
        <v>288467.53895865666</v>
      </c>
      <c r="AF244" s="62">
        <f t="shared" ref="AF244:AG244" si="2748">AF242+AF243</f>
        <v>303290.10691457882</v>
      </c>
      <c r="AG244" s="62">
        <f t="shared" si="2748"/>
        <v>307985.89767952601</v>
      </c>
      <c r="AH244" s="62">
        <f t="shared" ref="AH244:AI244" si="2749">AH242+AH243</f>
        <v>314697.95127198513</v>
      </c>
      <c r="AI244" s="62">
        <f t="shared" si="2749"/>
        <v>329682.78016296466</v>
      </c>
      <c r="AJ244" s="62">
        <f t="shared" ref="AJ244:AK244" si="2750">AJ242+AJ243</f>
        <v>320489.08069475862</v>
      </c>
      <c r="AK244" s="62">
        <f t="shared" si="2750"/>
        <v>316126.73337841174</v>
      </c>
      <c r="AL244" s="62">
        <f t="shared" ref="AL244:AM244" si="2751">AL242+AL243</f>
        <v>309696.47898585786</v>
      </c>
      <c r="AM244" s="62">
        <f t="shared" si="2751"/>
        <v>321736.64696010802</v>
      </c>
      <c r="AN244" s="62">
        <f t="shared" ref="AN244:AO244" si="2752">AN242+AN243</f>
        <v>326825.9840193186</v>
      </c>
      <c r="AO244" s="62">
        <f t="shared" si="2752"/>
        <v>353836.25902461109</v>
      </c>
      <c r="AP244" s="62">
        <f t="shared" ref="AP244:AQ244" si="2753">AP242+AP243</f>
        <v>360468.08272900054</v>
      </c>
      <c r="AQ244" s="62">
        <f t="shared" si="2753"/>
        <v>366206.84725300845</v>
      </c>
      <c r="AR244" s="62">
        <f t="shared" ref="AR244:AS244" si="2754">AR242+AR243</f>
        <v>368611.16608313727</v>
      </c>
      <c r="AS244" s="62">
        <f t="shared" si="2754"/>
        <v>377343.6533719537</v>
      </c>
      <c r="AT244" s="62">
        <f t="shared" ref="AT244:AU244" si="2755">AT242+AT243</f>
        <v>378128.6335776982</v>
      </c>
      <c r="AU244" s="62">
        <f t="shared" si="2755"/>
        <v>386118.36984421429</v>
      </c>
      <c r="AV244" s="62">
        <f t="shared" ref="AV244:AW244" si="2756">AV242+AV243</f>
        <v>402956.51715895045</v>
      </c>
      <c r="AW244" s="62">
        <f t="shared" si="2756"/>
        <v>416950.72513580107</v>
      </c>
      <c r="AX244" s="62">
        <f t="shared" ref="AX244:AY244" si="2757">AX242+AX243</f>
        <v>409184.00872542546</v>
      </c>
      <c r="AY244" s="220">
        <f t="shared" si="2757"/>
        <v>423950.40498753928</v>
      </c>
      <c r="AZ244" s="62">
        <f>AY244*AVERAGE(AY186:AZ186)/AVERAGE(AX186:AY186)</f>
        <v>443642.46210058342</v>
      </c>
      <c r="BA244" s="62">
        <f t="shared" ref="BA244" si="2758">AZ244*AVERAGE(AZ186:BA186)/AVERAGE(AY186:AZ186)</f>
        <v>464688.42768072087</v>
      </c>
      <c r="BB244" s="62">
        <f t="shared" ref="BB244" si="2759">BA244*AVERAGE(BA186:BB186)/AVERAGE(AZ186:BA186)</f>
        <v>482037.55308581766</v>
      </c>
      <c r="BC244" s="62">
        <f t="shared" ref="BC244" si="2760">BB244*AVERAGE(BB186:BC186)/AVERAGE(BA186:BB186)</f>
        <v>496498.67967839207</v>
      </c>
      <c r="BD244" s="62">
        <f t="shared" ref="BD244" si="2761">BC244*AVERAGE(BC186:BD186)/AVERAGE(BB186:BC186)</f>
        <v>511393.64006874379</v>
      </c>
      <c r="BE244" s="62">
        <f t="shared" ref="BE244" si="2762">BD244*AVERAGE(BD186:BE186)/AVERAGE(BC186:BD186)</f>
        <v>526735.44927080604</v>
      </c>
      <c r="BF244" s="62">
        <f t="shared" ref="BF244" si="2763">BE244*AVERAGE(BE186:BF186)/AVERAGE(BD186:BE186)</f>
        <v>542537.51274893002</v>
      </c>
      <c r="BG244" s="62">
        <f t="shared" ref="BG244:BK244" si="2764">BF244*AVERAGE(BF186:BG186)/AVERAGE(BE186:BF186)</f>
        <v>558813.63813139789</v>
      </c>
      <c r="BH244" s="62">
        <f t="shared" si="2764"/>
        <v>575578.04727533984</v>
      </c>
      <c r="BI244" s="62">
        <f t="shared" si="2764"/>
        <v>592845.38869360008</v>
      </c>
      <c r="BJ244" s="62">
        <f t="shared" si="2764"/>
        <v>610630.75035440805</v>
      </c>
      <c r="BK244" s="62">
        <f t="shared" si="2764"/>
        <v>628949.67286504048</v>
      </c>
      <c r="BL244" s="62">
        <f t="shared" ref="BL244" si="2765">BK244*AVERAGE(BK186:BL186)/AVERAGE(BJ186:BK186)</f>
        <v>644635.31815344514</v>
      </c>
      <c r="BM244" s="62">
        <f t="shared" ref="BM244" si="2766">BL244*AVERAGE(BL186:BM186)/AVERAGE(BK186:BL186)</f>
        <v>657545.1828250332</v>
      </c>
      <c r="BN244" s="62">
        <f t="shared" ref="BN244" si="2767">BM244*AVERAGE(BM186:BN186)/AVERAGE(BL186:BM186)</f>
        <v>670714.06154165661</v>
      </c>
      <c r="BO244" s="62">
        <f t="shared" ref="BO244" si="2768">BN244*AVERAGE(BN186:BO186)/AVERAGE(BM186:BN186)</f>
        <v>684147.15573141607</v>
      </c>
      <c r="BP244" s="62">
        <f t="shared" ref="BP244" si="2769">BO244*AVERAGE(BO186:BP186)/AVERAGE(BN186:BO186)</f>
        <v>697849.77132345631</v>
      </c>
      <c r="BQ244" s="62">
        <f t="shared" ref="BQ244" si="2770">BP244*AVERAGE(BP186:BQ186)/AVERAGE(BO186:BP186)</f>
        <v>711827.32084795914</v>
      </c>
      <c r="BR244" s="62"/>
      <c r="BS244" s="61">
        <f>16699+6626.2+4827.2</f>
        <v>28152.400000000001</v>
      </c>
      <c r="BT244" s="61">
        <f>15171+6911+6570</f>
        <v>28652</v>
      </c>
      <c r="BU244" s="61">
        <f>14374+7440+7355</f>
        <v>29169</v>
      </c>
      <c r="BV244" s="61">
        <f>17605+7408+7207+3340</f>
        <v>35560</v>
      </c>
      <c r="BW244" s="61">
        <f>18542+7530+8683+2736</f>
        <v>37491</v>
      </c>
      <c r="BX244" s="61">
        <f>18495+8216+11237+2817</f>
        <v>40765</v>
      </c>
      <c r="BY244" s="61">
        <f>19537+8705+13114+3041</f>
        <v>44397</v>
      </c>
      <c r="BZ244" s="61">
        <f>21337+9006+14638+3204</f>
        <v>48185</v>
      </c>
      <c r="CA244" s="61">
        <f>24750+9181+17053+3636</f>
        <v>54620</v>
      </c>
      <c r="CB244" s="61">
        <f>19395+9623+20456+3713</f>
        <v>53187</v>
      </c>
      <c r="CC244" s="62">
        <f>SUMPRODUCT(D244:E244,D$5:E$5)/SUM(D$5:E$5)</f>
        <v>59014.994520547953</v>
      </c>
      <c r="CD244" s="62">
        <f>SUMPRODUCT(F244:G244,F$5:G$5)/SUM(F$5:G$5)</f>
        <v>67498.608219178088</v>
      </c>
      <c r="CE244" s="62">
        <f>SUMPRODUCT(H244:I244,H$5:I$5)/SUM(H$5:I$5)</f>
        <v>77539.5</v>
      </c>
      <c r="CF244" s="62">
        <f>SUMPRODUCT(J244:K244,J$5:K$5)/SUM(J$5:K$5)</f>
        <v>91367.271232876708</v>
      </c>
      <c r="CG244" s="62">
        <f t="shared" ref="CG244:CL244" si="2771">CG242+CG243</f>
        <v>101341</v>
      </c>
      <c r="CH244" s="62">
        <f t="shared" si="2771"/>
        <v>116699</v>
      </c>
      <c r="CI244" s="62">
        <f t="shared" si="2771"/>
        <v>149447</v>
      </c>
      <c r="CJ244" s="62">
        <f t="shared" si="2771"/>
        <v>174669</v>
      </c>
      <c r="CK244" s="62">
        <f t="shared" si="2771"/>
        <v>187291</v>
      </c>
      <c r="CL244" s="62">
        <f t="shared" si="2771"/>
        <v>215189</v>
      </c>
      <c r="CM244" s="62">
        <f t="shared" ref="CM244:CS244" si="2772">CM242+CM243</f>
        <v>238971</v>
      </c>
      <c r="CN244" s="62">
        <f t="shared" si="2772"/>
        <v>250716</v>
      </c>
      <c r="CO244" s="62">
        <f t="shared" si="2772"/>
        <v>269356</v>
      </c>
      <c r="CP244" s="62">
        <f t="shared" si="2772"/>
        <v>286386.7064997931</v>
      </c>
      <c r="CQ244" s="62">
        <f t="shared" si="2772"/>
        <v>305638.00229705242</v>
      </c>
      <c r="CR244" s="62">
        <f t="shared" si="2772"/>
        <v>322210.89288033929</v>
      </c>
      <c r="CS244" s="62">
        <f t="shared" si="2772"/>
        <v>318301.93121834361</v>
      </c>
      <c r="CT244" s="62">
        <f>(AL244*(AL$3-AK$3)+AM244*(AM$3-AL$3))/(AM$3-AK$3)</f>
        <v>315733.05635376956</v>
      </c>
      <c r="CU244" s="62">
        <f>(AN244*(AN$3-AM$3)+AO244*(AO$3-AN$3))/(AO$3-AM$3)</f>
        <v>340331.12152196484</v>
      </c>
      <c r="CV244" s="62">
        <f>(AP244*(AP$3-AO$3)+AQ244*(AQ$3-AP$3))/(AQ$3-AO$3)</f>
        <v>363345.32631227025</v>
      </c>
      <c r="CW244" s="62">
        <f>(AR244*(AR$3-AQ$3)+AS244*(AS$3-AR$3))/(AS$3-AQ$3)</f>
        <v>372989.37203890004</v>
      </c>
      <c r="CX244" s="62">
        <f>(AT244*(AT$3-AS$3)+AU244*(AU$3-AT$3))/(AU$3-AS$3)</f>
        <v>382134.4465551569</v>
      </c>
      <c r="CY244" s="62">
        <f>(AV244*(AV$3-AU$3)+AW244*(AW$3-AV$3))/(AW$3-AU$3)</f>
        <v>409953.62114737579</v>
      </c>
      <c r="CZ244" s="220">
        <f>(AX244*(AX$3-AW$3)+AY244*(AY$3-AX$3))/(AY$3-AW$3)</f>
        <v>416587.43479656748</v>
      </c>
      <c r="DA244" s="62">
        <f>(AZ244*(AZ$3-AY$3)+BA244*(BA$3-AZ$3))/(BA$3-AY$3)</f>
        <v>454194.27498048794</v>
      </c>
      <c r="DB244" s="62">
        <f>(BB244*(BB$3-BA$3)+BC244*(BC$3-BB$3))/(BC$3-BA$3)</f>
        <v>489287.92614456039</v>
      </c>
      <c r="DC244" s="62">
        <f>(BD244*(BD$3-BC$3)+BE244*(BE$3-BD$3))/(BE$3-BC$3)</f>
        <v>519064.54466977488</v>
      </c>
      <c r="DD244" s="62">
        <f>(BF244*(BF$3-BE$3)+BG244*(BG$3-BF$3))/(BG$3-BE$3)</f>
        <v>550697.87150233169</v>
      </c>
      <c r="DE244" s="62">
        <f>(BH244*(BH$3-BG$3)+BI244*(BI$3-BH$3))/(BI$3-BG$3)</f>
        <v>584235.37187682372</v>
      </c>
      <c r="DF244" s="62">
        <f>(BJ244*(BJ$3-BI$3)+BK244*(BK$3-BJ$3))/(BK$3-BI$3)</f>
        <v>619815.3060241224</v>
      </c>
      <c r="DG244" s="62">
        <f>(BL244*(BL$3-BK$3)+BM244*(BM$3-BL$3))/(BM$3-BK$3)</f>
        <v>651090.25048923912</v>
      </c>
      <c r="DH244" s="62">
        <f>(BN244*(BN$3-BM$3)+BO244*(BO$3-BN$3))/(BO$3-BM$3)</f>
        <v>677449.01013542642</v>
      </c>
      <c r="DI244" s="62">
        <f>(BP244*(BP$3-BO$3)+BQ244*(BQ$3-BP$3))/(BQ$3-BO$3)</f>
        <v>704857.69341382338</v>
      </c>
    </row>
    <row r="245" spans="1:113" ht="12" outlineLevel="1">
      <c r="C245" s="41"/>
      <c r="D245" s="41"/>
      <c r="E245" s="41"/>
      <c r="F245" s="41"/>
      <c r="G245" s="41"/>
      <c r="H245" s="41"/>
      <c r="I245" s="41"/>
      <c r="J245" s="41"/>
      <c r="K245" s="41"/>
      <c r="L245" s="41"/>
      <c r="M245" s="41"/>
      <c r="N245" s="41"/>
      <c r="O245" s="41"/>
      <c r="P245" s="41"/>
      <c r="Q245" s="41"/>
      <c r="R245" s="41"/>
      <c r="S245" s="41"/>
      <c r="T245" s="41"/>
      <c r="U245" s="41"/>
      <c r="V245" s="41"/>
      <c r="W245" s="41"/>
      <c r="X245" s="41"/>
      <c r="Y245" s="41"/>
      <c r="Z245" s="41"/>
      <c r="AA245" s="41"/>
      <c r="AB245" s="41"/>
      <c r="AC245" s="41"/>
      <c r="AD245" s="41"/>
      <c r="AE245" s="41"/>
      <c r="AF245" s="41"/>
      <c r="AG245" s="41"/>
      <c r="AH245" s="41"/>
      <c r="AI245" s="41"/>
      <c r="AJ245" s="41"/>
      <c r="AK245" s="41"/>
      <c r="AL245" s="41"/>
      <c r="AM245" s="41"/>
      <c r="AN245" s="41"/>
      <c r="AO245" s="41"/>
      <c r="AP245" s="41"/>
      <c r="AQ245" s="41"/>
      <c r="AR245" s="41"/>
      <c r="AS245" s="41"/>
      <c r="AT245" s="41"/>
      <c r="AU245" s="41"/>
      <c r="AV245" s="41"/>
      <c r="AW245" s="41"/>
      <c r="AX245" s="41"/>
      <c r="AY245" s="211"/>
      <c r="AZ245" s="41"/>
      <c r="BA245" s="41"/>
      <c r="BB245" s="41"/>
      <c r="BC245" s="41"/>
      <c r="BD245" s="41"/>
      <c r="BE245" s="41"/>
      <c r="BF245" s="41"/>
      <c r="BG245" s="41"/>
      <c r="BH245" s="41"/>
      <c r="BI245" s="41"/>
      <c r="BJ245" s="41"/>
      <c r="BK245" s="41"/>
      <c r="BL245" s="41"/>
      <c r="BM245" s="41"/>
      <c r="BN245" s="41"/>
      <c r="BO245" s="41"/>
      <c r="BP245" s="41"/>
      <c r="BQ245" s="41"/>
      <c r="BR245" s="41"/>
      <c r="BS245" s="41"/>
      <c r="BT245" s="41"/>
      <c r="BU245" s="41"/>
      <c r="BV245" s="41"/>
      <c r="BW245" s="41"/>
      <c r="BX245" s="41"/>
      <c r="BY245" s="41"/>
      <c r="BZ245" s="41"/>
      <c r="CA245" s="41"/>
      <c r="CB245" s="41"/>
      <c r="CC245" s="41"/>
      <c r="CD245" s="41"/>
      <c r="CE245" s="41"/>
      <c r="CF245" s="41"/>
      <c r="CG245" s="41"/>
      <c r="CH245" s="41"/>
      <c r="CI245" s="41"/>
      <c r="CJ245" s="41"/>
      <c r="CK245" s="41"/>
      <c r="CL245" s="41"/>
      <c r="CM245" s="41"/>
      <c r="CN245" s="41"/>
      <c r="CO245" s="41"/>
      <c r="CP245" s="41"/>
      <c r="CQ245" s="41"/>
      <c r="CR245" s="41"/>
      <c r="CS245" s="41"/>
      <c r="CT245" s="41"/>
      <c r="CU245" s="41"/>
      <c r="CV245" s="41"/>
      <c r="CW245" s="41"/>
      <c r="CX245" s="41"/>
      <c r="CY245" s="41"/>
      <c r="CZ245" s="211"/>
      <c r="DA245" s="41"/>
      <c r="DB245" s="15"/>
      <c r="DC245" s="15"/>
      <c r="DD245" s="15"/>
      <c r="DE245" s="15"/>
      <c r="DF245" s="15"/>
      <c r="DG245" s="15"/>
      <c r="DH245" s="15"/>
      <c r="DI245" s="15"/>
    </row>
    <row r="246" spans="1:113" s="17" customFormat="1" ht="12" outlineLevel="1">
      <c r="A246" s="15"/>
      <c r="B246" s="17" t="s">
        <v>594</v>
      </c>
      <c r="C246" s="62"/>
      <c r="D246" s="62"/>
      <c r="E246" s="62"/>
      <c r="F246" s="62"/>
      <c r="G246" s="62"/>
      <c r="H246" s="62"/>
      <c r="I246" s="62"/>
      <c r="J246" s="62"/>
      <c r="K246" s="62"/>
      <c r="L246" s="62"/>
      <c r="M246" s="62"/>
      <c r="N246" s="62"/>
      <c r="O246" s="62"/>
      <c r="P246" s="62"/>
      <c r="Q246" s="62"/>
      <c r="R246" s="62"/>
      <c r="S246" s="62"/>
      <c r="T246" s="62"/>
      <c r="U246" s="62"/>
      <c r="V246" s="62"/>
      <c r="W246" s="62"/>
      <c r="X246" s="62"/>
      <c r="Y246" s="62"/>
      <c r="Z246" s="62"/>
      <c r="AA246" s="62"/>
      <c r="AB246" s="62"/>
      <c r="AC246" s="62"/>
      <c r="AD246" s="62"/>
      <c r="AE246" s="62"/>
      <c r="AF246" s="62"/>
      <c r="AG246" s="62"/>
      <c r="AH246" s="62"/>
      <c r="AI246" s="62"/>
      <c r="AJ246" s="62"/>
      <c r="AK246" s="62"/>
      <c r="AL246" s="62"/>
      <c r="AM246" s="62"/>
      <c r="AN246" s="62"/>
      <c r="AO246" s="62"/>
      <c r="AP246" s="62"/>
      <c r="AQ246" s="62"/>
      <c r="AR246" s="62"/>
      <c r="AS246" s="62"/>
      <c r="AT246" s="62"/>
      <c r="AU246" s="62"/>
      <c r="AV246" s="62"/>
      <c r="AW246" s="62"/>
      <c r="AX246" s="62"/>
      <c r="AY246" s="220"/>
      <c r="AZ246" s="62"/>
      <c r="BA246" s="62"/>
      <c r="BB246" s="62"/>
      <c r="BC246" s="62"/>
      <c r="BD246" s="62"/>
      <c r="BE246" s="62"/>
      <c r="BF246" s="62"/>
      <c r="BG246" s="62"/>
      <c r="BH246" s="62"/>
      <c r="BI246" s="62"/>
      <c r="BJ246" s="62"/>
      <c r="BK246" s="62"/>
      <c r="BL246" s="62"/>
      <c r="BM246" s="62"/>
      <c r="BN246" s="62"/>
      <c r="BO246" s="62"/>
      <c r="BP246" s="62"/>
      <c r="BQ246" s="62"/>
      <c r="BR246" s="62"/>
      <c r="BS246" s="62"/>
      <c r="BT246" s="62"/>
      <c r="BU246" s="62"/>
      <c r="BV246" s="62"/>
      <c r="BW246" s="62"/>
      <c r="BX246" s="62"/>
      <c r="BY246" s="62"/>
      <c r="BZ246" s="62"/>
      <c r="CA246" s="62"/>
      <c r="CB246" s="62"/>
      <c r="CC246" s="62"/>
      <c r="CD246" s="62"/>
      <c r="CE246" s="62"/>
      <c r="CF246" s="62"/>
      <c r="CG246" s="62"/>
      <c r="CH246" s="62"/>
      <c r="CI246" s="62"/>
      <c r="CJ246" s="62"/>
      <c r="CK246" s="62"/>
      <c r="CL246" s="62"/>
      <c r="CM246" s="62"/>
      <c r="CN246" s="62"/>
      <c r="CO246" s="62"/>
      <c r="CP246" s="62"/>
      <c r="CQ246" s="62"/>
      <c r="CR246" s="62"/>
      <c r="CS246" s="62"/>
      <c r="CT246" s="62"/>
      <c r="CU246" s="62"/>
      <c r="CV246" s="62"/>
      <c r="CW246" s="62"/>
      <c r="CX246" s="62"/>
      <c r="CY246" s="62"/>
      <c r="CZ246" s="220"/>
      <c r="DA246" s="62"/>
    </row>
    <row r="247" spans="1:113" ht="12" outlineLevel="1">
      <c r="A247" s="1" t="s">
        <v>254</v>
      </c>
      <c r="B247" s="15" t="s">
        <v>592</v>
      </c>
      <c r="C247" s="40">
        <f>2889+1706+930</f>
        <v>5525</v>
      </c>
      <c r="D247" s="40">
        <f>3050+1847+886</f>
        <v>5783</v>
      </c>
      <c r="E247" s="40">
        <f>3176+1959+860</f>
        <v>5995</v>
      </c>
      <c r="F247" s="40">
        <f>3313+2070+1107</f>
        <v>6490</v>
      </c>
      <c r="G247" s="40">
        <f>3257+2146+1211</f>
        <v>6614</v>
      </c>
      <c r="H247" s="40">
        <f>5788+5568+2141</f>
        <v>13497</v>
      </c>
      <c r="I247" s="40">
        <f>7138+7288+3097</f>
        <v>17523</v>
      </c>
      <c r="J247" s="40">
        <f>7155+7818+3298</f>
        <v>18271</v>
      </c>
      <c r="K247" s="40">
        <f>7264+8165+3771</f>
        <v>19200</v>
      </c>
      <c r="L247" s="40">
        <f>7021+8375+3858</f>
        <v>19254</v>
      </c>
      <c r="M247" s="40">
        <f>6662+8612+3507</f>
        <v>18781</v>
      </c>
      <c r="N247" s="40">
        <f>2628+15412+3860</f>
        <v>21900</v>
      </c>
      <c r="O247" s="40">
        <f>2414+16461+3796</f>
        <v>22671</v>
      </c>
      <c r="P247" s="40">
        <f>1958+15995+3772</f>
        <v>21725</v>
      </c>
      <c r="Q247" s="40">
        <f>1681+15446+3091</f>
        <v>20218</v>
      </c>
      <c r="R247" s="40">
        <f>2286+16606+3201</f>
        <v>22093</v>
      </c>
      <c r="S247" s="40">
        <f>2325+15479+3305</f>
        <v>21109</v>
      </c>
      <c r="T247" s="40">
        <f>2131+14255+3512</f>
        <v>19898</v>
      </c>
      <c r="U247" s="40">
        <f>2057+13424+3659</f>
        <v>19140</v>
      </c>
      <c r="V247" s="40">
        <f>1970+13014+3653</f>
        <v>18637</v>
      </c>
      <c r="W247" s="40">
        <f>2075+14373+3782</f>
        <v>20230</v>
      </c>
      <c r="X247" s="40">
        <f>2772+15111+3976</f>
        <v>21859</v>
      </c>
      <c r="Y247" s="40">
        <f>4743+15159+3751</f>
        <v>23653</v>
      </c>
      <c r="Z247" s="141">
        <f>6225+15683+4143</f>
        <v>26051</v>
      </c>
      <c r="AA247" s="141">
        <f>7840+17113+4615</f>
        <v>29568</v>
      </c>
      <c r="AB247" s="141">
        <f>9184+19023+5186</f>
        <v>33393</v>
      </c>
      <c r="AC247" s="141">
        <f>10295+19922+5314</f>
        <v>35531</v>
      </c>
      <c r="AD247" s="141">
        <f>AVERAGE(36896,30330) / AVERAGE( 150832+23966+36896, 142199+20675+30330) * AD257</f>
        <v>36000.207217620235</v>
      </c>
      <c r="AE247" s="141">
        <f>AVERAGE(36896,37662) / AVERAGE( 150832+23966+36896, 164009+27663+37662) * AE257</f>
        <v>39422.617729486563</v>
      </c>
      <c r="AF247" s="141">
        <f>AVERAGE(39276,37662) / AVERAGE( 169268+25010+39276, 164009+27663+37662) * AF257</f>
        <v>40948.06679369523</v>
      </c>
      <c r="AG247" s="141">
        <f>AVERAGE(39276,40360) / AVERAGE( 169268+25010+39276, 169773+24968+40360) * AG257</f>
        <v>42681.823763749453</v>
      </c>
      <c r="AH247" s="141">
        <f>AVERAGE(38762,40360) / AVERAGE( 179928+23468+38762, 169773+24968+40360) * AH257</f>
        <v>42517.346690161947</v>
      </c>
      <c r="AI247" s="141">
        <f>AVERAGE(40360,41829) / AVERAGE(190480+21769+38143,179928+23468+38762) * AI257</f>
        <v>45977.503444664078</v>
      </c>
      <c r="AJ247" s="141">
        <f>AVERAGE(44810,41829) / AVERAGE(190480+21769+38143,191228+19557+39580) * AJ257</f>
        <v>44904.883493013811</v>
      </c>
      <c r="AK247" s="141">
        <f>AVERAGE(44810,46986) / AVERAGE(190055+18056+38106,191228+19557+39580) * AK257</f>
        <v>47653.781888902311</v>
      </c>
      <c r="AL247" s="141">
        <f>AVERAGE(41011,38106) / AVERAGE(180863+19930+41011, 189287+18056+38106) * AL257</f>
        <v>41406.01451144828</v>
      </c>
      <c r="AM247" s="141">
        <f>AVERAGE(41011,39216) / AVERAGE( 180863+19930+41011, 196261+20787+39216) * AM257</f>
        <v>44078.654175663978</v>
      </c>
      <c r="AN247" s="141">
        <f>AVERAGE(45978,39216) / AVERAGE( 220135+24211+45978, 196261+20787+39216) * AN257</f>
        <v>45455.386414653185</v>
      </c>
      <c r="AO247" s="141">
        <f>AVERAGE(45978,49905) / AVERAGE( 220135+24211+45978, 240945+24366+49905) * AO257</f>
        <v>53680.016698006439</v>
      </c>
      <c r="AP247" s="141">
        <f>AVERAGE(54379,49905) / AVERAGE( 247730+27332+54379, 240945+24366+49905) * AP257</f>
        <v>56392.191506148163</v>
      </c>
      <c r="AQ247" s="141">
        <f>AVERAGE(54379,59822) / AVERAGE( 247730+27332+54379, 270839+36094+59822) * AQ257</f>
        <v>59422.167624103793</v>
      </c>
      <c r="AR247" s="141">
        <f>AVERAGE(59590,59822) / AVERAGE( 286191+30841+59590, 270839+36094+59822) * AR257</f>
        <v>60818.511043058526</v>
      </c>
      <c r="AS247" s="141">
        <f>AVERAGE(59590,54809) / AVERAGE( 286191+30841+59590, 285677+28974+54809) * AS257</f>
        <v>58422.121562016182</v>
      </c>
      <c r="AT247" s="141">
        <f>AVERAGE(56307,54809) / AVERAGE( 270418+24125+56307, 285677+28974+54809) * AT257</f>
        <v>56215.750867958333</v>
      </c>
      <c r="AU247" s="141">
        <f>AVERAGE(56307,56479) / AVERAGE( 270418+24125+56307, 278014+21827+56479) * AU257</f>
        <v>56206.915823100069</v>
      </c>
      <c r="AV247" s="141">
        <f>AVERAGE(55569,56479) / AVERAGE( 283155+20569+55569, 278014+21827+56479) * AV257</f>
        <v>55531.472479644013</v>
      </c>
      <c r="AW247" s="141">
        <f>AVERAGE(55569,56038) / AVERAGE( 283155+20569+55569, 278014+21827+56479) * AW257</f>
        <v>56424.450356329682</v>
      </c>
      <c r="AX247" s="141">
        <f>AVERAGE(58246,56038) / AVERAGE( 320976+18136+58246, 308130+17423+56038) * AX257</f>
        <v>49229.112103616542</v>
      </c>
      <c r="AY247" s="226">
        <f>AVERAGE(57459,58246) / AVERAGE( 337908+22536+57459, 320976+18136+58246) * AY257</f>
        <v>49751.272347137914</v>
      </c>
      <c r="AZ247" s="41">
        <f t="shared" ref="AZ247:AZ248" si="2773">AY247/AY$249*AZ$249</f>
        <v>50266.131403836116</v>
      </c>
      <c r="BA247" s="41">
        <f t="shared" ref="BA247:BA248" si="2774">AZ247/AZ$249*BA$249</f>
        <v>52020.517950871967</v>
      </c>
      <c r="BB247" s="41">
        <f t="shared" ref="BB247:BB248" si="2775">BA247/BA$249*BB$249</f>
        <v>53581.133489398126</v>
      </c>
      <c r="BC247" s="41">
        <f t="shared" ref="BC247:BC248" si="2776">BB247/BB$249*BC$249</f>
        <v>55188.567494080075</v>
      </c>
      <c r="BD247" s="41">
        <f t="shared" ref="BD247:BD248" si="2777">BC247/BC$249*BD$249</f>
        <v>56844.224518902469</v>
      </c>
      <c r="BE247" s="41">
        <f t="shared" ref="BE247:BE248" si="2778">BD247/BD$249*BE$249</f>
        <v>58549.551254469538</v>
      </c>
      <c r="BF247" s="41">
        <f t="shared" ref="BF247:BF248" si="2779">BE247/BE$249*BF$249</f>
        <v>60306.037792103642</v>
      </c>
      <c r="BG247" s="41">
        <f t="shared" ref="BG247:BK248" si="2780">BF247/BF$249*BG$249</f>
        <v>62115.218925866749</v>
      </c>
      <c r="BH247" s="41">
        <f t="shared" si="2780"/>
        <v>63821.092549077119</v>
      </c>
      <c r="BI247" s="41">
        <f t="shared" si="2780"/>
        <v>64899.440512406414</v>
      </c>
      <c r="BJ247" s="41">
        <f t="shared" si="2780"/>
        <v>65641.03762819551</v>
      </c>
      <c r="BK247" s="41">
        <f t="shared" si="2780"/>
        <v>66698.858461998578</v>
      </c>
      <c r="BL247" s="41">
        <f t="shared" ref="BL247:BL248" si="2781">BK247/BK$249*BL$249</f>
        <v>67923.673275387933</v>
      </c>
      <c r="BM247" s="41">
        <f t="shared" ref="BM247:BM248" si="2782">BL247/BL$249*BM$249</f>
        <v>69171.712709665357</v>
      </c>
      <c r="BN247" s="41">
        <f t="shared" ref="BN247:BN248" si="2783">BM247/BM$249*BN$249</f>
        <v>70443.426799638735</v>
      </c>
      <c r="BO247" s="41">
        <f t="shared" ref="BO247:BO248" si="2784">BN247/BN$249*BO$249</f>
        <v>71739.274423850584</v>
      </c>
      <c r="BP247" s="41">
        <f t="shared" ref="BP247:BP248" si="2785">BO247/BO$249*BP$249</f>
        <v>73059.723479906403</v>
      </c>
      <c r="BQ247" s="41">
        <f t="shared" ref="BQ247:BQ248" si="2786">BP247/BP$249*BQ$249</f>
        <v>74405.251063297619</v>
      </c>
      <c r="BR247" s="41"/>
      <c r="BS247" s="41"/>
      <c r="BT247" s="41"/>
      <c r="BU247" s="41"/>
      <c r="BV247" s="41"/>
      <c r="BW247" s="41"/>
      <c r="BX247" s="41"/>
      <c r="BY247" s="41"/>
      <c r="BZ247" s="41"/>
      <c r="CA247" s="41"/>
      <c r="CB247" s="41"/>
      <c r="CC247" s="41">
        <f>SUMPRODUCT(D247:E247,D$5:E$5)/SUM(D$5:E$5)</f>
        <v>5888.7095890410965</v>
      </c>
      <c r="CD247" s="41">
        <f>SUMPRODUCT(F247:G247,F$5:G$5)/SUM(F$5:G$5)</f>
        <v>6551.830136986302</v>
      </c>
      <c r="CE247" s="41">
        <f>SUMPRODUCT(H247:I247,H$5:I$5)/SUM(H$5:I$5)</f>
        <v>15510</v>
      </c>
      <c r="CF247" s="41">
        <f>SUMPRODUCT(J247:K247,J$5:K$5)/SUM(J$5:K$5)</f>
        <v>18734.227397260274</v>
      </c>
      <c r="CG247" s="141">
        <f>2981+12452+3883</f>
        <v>19316</v>
      </c>
      <c r="CH247" s="141">
        <f>2520+15938+3829</f>
        <v>22287</v>
      </c>
      <c r="CI247" s="141">
        <f>1819+15720+3436</f>
        <v>20975</v>
      </c>
      <c r="CJ247" s="141">
        <f>2305+16041+3253</f>
        <v>21599</v>
      </c>
      <c r="CK247" s="141">
        <f>2094+13839+3586</f>
        <v>19519</v>
      </c>
      <c r="CL247" s="141">
        <f>2023+13696+3718</f>
        <v>19437</v>
      </c>
      <c r="CM247" s="141">
        <f>3757+15135+3863</f>
        <v>22755</v>
      </c>
      <c r="CN247" s="141">
        <f>7035+16400+4380</f>
        <v>27815</v>
      </c>
      <c r="CO247" s="141">
        <f>9741+19474+5250</f>
        <v>34465</v>
      </c>
      <c r="CP247" s="41">
        <f>(AD247*(AD$3-AC$3)+AE247*(AE$3-AD$3))/(AE$3-AC$3)</f>
        <v>37716.1007071313</v>
      </c>
      <c r="CQ247" s="41">
        <f>(AF247*(AF$3-AE$3)+AG247*(AG$3-AF$3))/(AG$3-AE$3)</f>
        <v>41814.945278722342</v>
      </c>
      <c r="CR247" s="41">
        <f>(AH247*(AH$3-AG$3)+AI247*(AI$3-AH$3))/(AI$3-AG$3)</f>
        <v>44252.165008172604</v>
      </c>
      <c r="CS247" s="41">
        <f>(AJ247*(AJ$3-AI$3)+AK247*(AK$3-AJ$3))/(AK$3-AI$3)</f>
        <v>46283.098305198997</v>
      </c>
      <c r="CT247" s="41">
        <f>(AL247*(AL$3-AK$3)+AM247*(AM$3-AL$3))/(AM$3-AK$3)</f>
        <v>42745.995493781083</v>
      </c>
      <c r="CU247" s="41">
        <f>(AN247*(AN$3-AM$3)+AO247*(AO$3-AN$3))/(AO$3-AM$3)</f>
        <v>49567.701556329812</v>
      </c>
      <c r="CV247" s="41">
        <f>(AP247*(AP$3-AO$3)+AQ247*(AQ$3-AP$3))/(AQ$3-AO$3)</f>
        <v>57911.330217342351</v>
      </c>
      <c r="CW247" s="41">
        <f>(AR247*(AR$3-AQ$3)+AS247*(AS$3-AR$3))/(AS$3-AQ$3)</f>
        <v>59617.033577220856</v>
      </c>
      <c r="CX247" s="41">
        <f>(AT247*(AT$3-AS$3)+AU247*(AU$3-AT$3))/(AU$3-AS$3)</f>
        <v>56211.32124272803</v>
      </c>
      <c r="CY247" s="41">
        <f>(AV247*(AV$3-AU$3)+AW247*(AW$3-AV$3))/(AW$3-AU$3)</f>
        <v>55977.961417986844</v>
      </c>
      <c r="CZ247" s="211">
        <f>(AX247*(AX$3-AW$3)+AY247*(AY$3-AX$3))/(AY$3-AW$3)</f>
        <v>49490.907513382052</v>
      </c>
      <c r="DA247" s="41">
        <f>(AZ247*(AZ$3-AY$3)+BA247*(BA$3-AZ$3))/(BA$3-AY$3)</f>
        <v>51145.727946596562</v>
      </c>
      <c r="DB247" s="41">
        <f>(BB247*(BB$3-BA$3)+BC247*(BC$3-BB$3))/(BC$3-BA$3)</f>
        <v>54387.052456129066</v>
      </c>
      <c r="DC247" s="41">
        <f>(BD247*(BD$3-BC$3)+BE247*(BE$3-BD$3))/(BE$3-BC$3)</f>
        <v>57696.887886685996</v>
      </c>
      <c r="DD247" s="41">
        <f>(BF247*(BF$3-BE$3)+BG247*(BG$3-BF$3))/(BG$3-BE$3)</f>
        <v>61213.106689305423</v>
      </c>
      <c r="DE247" s="41">
        <f>(BH247*(BH$3-BG$3)+BI247*(BI$3-BH$3))/(BI$3-BG$3)</f>
        <v>64361.743719732629</v>
      </c>
      <c r="DF247" s="41">
        <f>(BJ247*(BJ$3-BI$3)+BK247*(BK$3-BJ$3))/(BK$3-BI$3)</f>
        <v>66171.39711473239</v>
      </c>
      <c r="DG247" s="41">
        <f>(BL247*(BL$3-BK$3)+BM247*(BM$3-BL$3))/(BM$3-BK$3)</f>
        <v>68547.692992526645</v>
      </c>
      <c r="DH247" s="41">
        <f>(BN247*(BN$3-BM$3)+BO247*(BO$3-BN$3))/(BO$3-BM$3)</f>
        <v>71093.125745476456</v>
      </c>
      <c r="DI247" s="41">
        <f>(BP247*(BP$3-BO$3)+BQ247*(BQ$3-BP$3))/(BQ$3-BO$3)</f>
        <v>73734.330460072408</v>
      </c>
    </row>
    <row r="248" spans="1:113" ht="12" outlineLevel="1">
      <c r="A248" s="1" t="s">
        <v>255</v>
      </c>
      <c r="B248" s="15" t="s">
        <v>473</v>
      </c>
      <c r="C248" s="40">
        <v>8682</v>
      </c>
      <c r="D248" s="40">
        <v>8567</v>
      </c>
      <c r="E248" s="40">
        <v>9219</v>
      </c>
      <c r="F248" s="40">
        <v>10881</v>
      </c>
      <c r="G248" s="40">
        <v>10451</v>
      </c>
      <c r="H248" s="40">
        <v>18295</v>
      </c>
      <c r="I248" s="40">
        <v>23524</v>
      </c>
      <c r="J248" s="40">
        <v>25626</v>
      </c>
      <c r="K248" s="40">
        <v>25537</v>
      </c>
      <c r="L248" s="40">
        <f>26868</f>
        <v>26868</v>
      </c>
      <c r="M248" s="40">
        <f>25861</f>
        <v>25861</v>
      </c>
      <c r="N248" s="40">
        <f>27283</f>
        <v>27283</v>
      </c>
      <c r="O248" s="40">
        <f>29270</f>
        <v>29270</v>
      </c>
      <c r="P248" s="40">
        <v>29791</v>
      </c>
      <c r="Q248" s="40">
        <v>29515</v>
      </c>
      <c r="R248" s="40">
        <v>30797</v>
      </c>
      <c r="S248" s="40">
        <f>30201</f>
        <v>30201</v>
      </c>
      <c r="T248" s="40">
        <v>29643</v>
      </c>
      <c r="U248" s="40">
        <v>29605</v>
      </c>
      <c r="V248" s="40">
        <v>29363</v>
      </c>
      <c r="W248" s="40">
        <v>29258</v>
      </c>
      <c r="X248" s="40">
        <v>27774</v>
      </c>
      <c r="Y248" s="40">
        <v>28188</v>
      </c>
      <c r="Z248" s="141">
        <v>28654</v>
      </c>
      <c r="AA248" s="141">
        <v>30606</v>
      </c>
      <c r="AB248" s="141">
        <v>32929</v>
      </c>
      <c r="AC248" s="141">
        <v>33735</v>
      </c>
      <c r="AD248" s="141">
        <f>AVERAGE(1435+34211,1226+30981) / AVERAGE(55857+69595+1435+34211+2354+101087, 49446+78779+1226+30981+2083+82956) * AD258</f>
        <v>34275.869577067118</v>
      </c>
      <c r="AE248" s="141">
        <f>AVERAGE(1435+34211,677+31795) / AVERAGE(55857+69595+1435+34211+2354+101087, 57390+66394+677+31795+5379+96487) * AE258</f>
        <v>33547.522979522102</v>
      </c>
      <c r="AF248" s="141">
        <f>AVERAGE(1675+33871,677+31795) / AVERAGE(56513+68427+1675+33871+6888+90112, 57390+66394+677+31795+5379+96487) * AF258</f>
        <v>34433.116518750678</v>
      </c>
      <c r="AG248" s="141">
        <f>AVERAGE(1675+33871,2133+37824) / AVERAGE(56513+68427+1675+33871+6888+90112, 52295+69740+2133+37824+7001+84583) * AG258</f>
        <v>38603.058699335888</v>
      </c>
      <c r="AH248" s="141">
        <f>AVERAGE(924+40236,2133+37824) / AVERAGE(51875+72471+924+40236+4629+90449, 52295+69740+2133+37824+7001+84583) * AH258</f>
        <v>41740.641125330636</v>
      </c>
      <c r="AI248" s="141">
        <f>AVERAGE(1763+41829,924+40236) / AVERAGE(50565+72679+1763+41829+2894+78863,51875+72471+924+40236+4629+90449) * AI258</f>
        <v>41923.17550871308</v>
      </c>
      <c r="AJ248" s="141">
        <f>AVERAGE(1763+41829,1897+44810) / AVERAGE(50565+72679+1763+41829+2894+78863,43157+75116+1897+44810+5234+77335) * AJ258</f>
        <v>45865.133161473932</v>
      </c>
      <c r="AK248" s="141">
        <f>AVERAGE(833+46986,1897+44810) / AVERAGE(39671+75551+833+46986+2242+92145,43157+75116+1897+44810+5234+77335) * AK258</f>
        <v>47856.481847688112</v>
      </c>
      <c r="AL248" s="141">
        <f>AVERAGE(833+46986,874+50890) / AVERAGE(39671+75551+833+46986+2242+92145,39481+77714+874+50890+3215+94396) * AL258</f>
        <v>49692.676798384731</v>
      </c>
      <c r="AM248" s="141">
        <f>AVERAGE(1375+50941,874+50890) / AVERAGE(32953+74560+1375+50941+2318+101586,39481+77714+874+50890+3215+94396) * AM258</f>
        <v>53050.471145741212</v>
      </c>
      <c r="AN248" s="141">
        <f>AVERAGE(1375+50941,1651+50414) / AVERAGE(32953+74560+1375+50941+2318+101586,34733+69056+1651+50414+1494+121141) * AN258</f>
        <v>51699.609645126904</v>
      </c>
      <c r="AO248" s="141">
        <f>AVERAGE(1650+46351,1651+50414) / AVERAGE(28258+64187+1650+46351+2583+86735,34733+69056+1651+50414+1494+121141) * AO258</f>
        <v>48801.009249330556</v>
      </c>
      <c r="AP248" s="141">
        <f>AVERAGE(1650+46351,1292+39715) / AVERAGE(28258+64187+1650+46351+2583+86735,34176+61503+1292+39715+4532+84950) * AP258</f>
        <v>45281.569602484582</v>
      </c>
      <c r="AQ248" s="141">
        <f>AVERAGE(1790+38833,1292+39715) / AVERAGE(31915+49767+1790+38833+4003+88481,34176+61503+1292+39715+4532+84950) * AQ258</f>
        <v>41317.878727404255</v>
      </c>
      <c r="AR248" s="141">
        <f>AVERAGE(1790+38833,2018+38931) / AVERAGE(31915+49767+1790+38833+4003+88481,29914+44165+2018+38931+5013+97525) * AR258</f>
        <v>40566.483579465945</v>
      </c>
      <c r="AS248" s="141">
        <f>AVERAGE(1790+38833,1444+41188) / AVERAGE(31915+49767+1790+38833+4003+88481,29914+44165+2018+38931+5013+97525) * AS258</f>
        <v>44079.676562084394</v>
      </c>
      <c r="AT248" s="141">
        <f>AVERAGE(1392+47598,1444+41188) / AVERAGE(37920+76341+1392+47598+5233+127467,29412+51319+1444+41188+3193+107557) * AT258</f>
        <v>46362.912686015276</v>
      </c>
      <c r="AU248" s="141">
        <f>AVERAGE(1392+47598,2167+50451) / AVERAGE(37920+76341+1392+47598+5233+127467,33613+79518+2167+50451+6139+117924) * AU258</f>
        <v>50406.857271626919</v>
      </c>
      <c r="AV248" s="141">
        <f>AVERAGE(1800+52762,2167+50451) / AVERAGE(30572+86857+1800+52762+6723+100919,33613+79518+2167+50451+6139+117924) * AV258</f>
        <v>58033.552985801965</v>
      </c>
      <c r="AW248" s="141">
        <f>AVERAGE(1800+52762,1079+54500) / AVERAGE(30572+86857+1800+52762+6723+100919,34011+102413+1079+54500+7116+116603) * AW258</f>
        <v>55629.479149415056</v>
      </c>
      <c r="AX248" s="141">
        <f>AVERAGE(1213+54438,1079+54500) / AVERAGE(30215+102183+1213+54438+8153+141641,34011+102413+1079+54500+7116+116603) * AX258</f>
        <v>57178.447239371751</v>
      </c>
      <c r="AY248" s="226">
        <f>AVERAGE(774+53421,1213+54438) / AVERAGE(38184+97468+774+53421+6803+117929,30215+102183+1213+54438+8153+141641) * AY258</f>
        <v>57634.205535680892</v>
      </c>
      <c r="AZ248" s="41">
        <f t="shared" si="2773"/>
        <v>58230.642396402865</v>
      </c>
      <c r="BA248" s="41">
        <f t="shared" si="2774"/>
        <v>60263.005993767518</v>
      </c>
      <c r="BB248" s="41">
        <f t="shared" si="2775"/>
        <v>62070.89617358055</v>
      </c>
      <c r="BC248" s="41">
        <f t="shared" si="2776"/>
        <v>63933.023058787971</v>
      </c>
      <c r="BD248" s="41">
        <f t="shared" si="2777"/>
        <v>65851.013750551603</v>
      </c>
      <c r="BE248" s="41">
        <f t="shared" si="2778"/>
        <v>67826.544163068145</v>
      </c>
      <c r="BF248" s="41">
        <f t="shared" si="2779"/>
        <v>69861.340487960202</v>
      </c>
      <c r="BG248" s="41">
        <f t="shared" si="2780"/>
        <v>71957.180702599013</v>
      </c>
      <c r="BH248" s="41">
        <f t="shared" si="2780"/>
        <v>73933.344655392051</v>
      </c>
      <c r="BI248" s="41">
        <f t="shared" si="2780"/>
        <v>75182.553474090309</v>
      </c>
      <c r="BJ248" s="41">
        <f t="shared" si="2780"/>
        <v>76041.654328794684</v>
      </c>
      <c r="BK248" s="41">
        <f t="shared" si="2780"/>
        <v>77267.083558622995</v>
      </c>
      <c r="BL248" s="41">
        <f t="shared" si="2781"/>
        <v>78685.966440762786</v>
      </c>
      <c r="BM248" s="41">
        <f t="shared" si="2782"/>
        <v>80131.753812187017</v>
      </c>
      <c r="BN248" s="41">
        <f t="shared" si="2783"/>
        <v>81604.967014308524</v>
      </c>
      <c r="BO248" s="41">
        <f t="shared" si="2784"/>
        <v>83106.13763353684</v>
      </c>
      <c r="BP248" s="41">
        <f t="shared" si="2785"/>
        <v>84635.807704386709</v>
      </c>
      <c r="BQ248" s="41">
        <f t="shared" si="2786"/>
        <v>86194.529916634987</v>
      </c>
      <c r="BR248" s="41"/>
      <c r="BS248" s="41"/>
      <c r="BT248" s="41"/>
      <c r="BU248" s="41"/>
      <c r="BV248" s="41"/>
      <c r="BW248" s="41"/>
      <c r="BX248" s="41"/>
      <c r="BY248" s="41"/>
      <c r="BZ248" s="41"/>
      <c r="CA248" s="41"/>
      <c r="CB248" s="41"/>
      <c r="CC248" s="41">
        <f>SUMPRODUCT(D248:E248,D$5:E$5)/SUM(D$5:E$5)</f>
        <v>8892.1068493150706</v>
      </c>
      <c r="CD248" s="41">
        <f>SUMPRODUCT(F248:G248,F$5:G$5)/SUM(F$5:G$5)</f>
        <v>10666.589041095891</v>
      </c>
      <c r="CE248" s="41">
        <f>SUMPRODUCT(H248:I248,H$5:I$5)/SUM(H$5:I$5)</f>
        <v>20909.5</v>
      </c>
      <c r="CF248" s="41">
        <f>SUMPRODUCT(J248:K248,J$5:K$5)/SUM(J$5:K$5)</f>
        <v>25581.621917808221</v>
      </c>
      <c r="CG248" s="141">
        <v>26064</v>
      </c>
      <c r="CH248" s="141">
        <v>28279</v>
      </c>
      <c r="CI248" s="141">
        <v>29653</v>
      </c>
      <c r="CJ248" s="141">
        <v>30498</v>
      </c>
      <c r="CK248" s="141">
        <v>29624</v>
      </c>
      <c r="CL248" s="141">
        <v>29310</v>
      </c>
      <c r="CM248" s="141">
        <v>27981</v>
      </c>
      <c r="CN248" s="141">
        <v>29633</v>
      </c>
      <c r="CO248" s="141">
        <v>33333</v>
      </c>
      <c r="CP248" s="41">
        <f>(AD248*(AD$3-AC$3)+AE248*(AE$3-AD$3))/(AE$3-AC$3)</f>
        <v>33910.698543229482</v>
      </c>
      <c r="CQ248" s="41">
        <f>(AF248*(AF$3-AE$3)+AG248*(AG$3-AF$3))/(AG$3-AE$3)</f>
        <v>36518.087609043287</v>
      </c>
      <c r="CR248" s="41">
        <f>(AH248*(AH$3-AG$3)+AI248*(AI$3-AH$3))/(AI$3-AG$3)</f>
        <v>41832.158364122384</v>
      </c>
      <c r="CS248" s="41">
        <f>(AJ248*(AJ$3-AI$3)+AK248*(AK$3-AJ$3))/(AK$3-AI$3)</f>
        <v>46863.535379493645</v>
      </c>
      <c r="CT248" s="41">
        <f>(AL248*(AL$3-AK$3)+AM248*(AM$3-AL$3))/(AM$3-AK$3)</f>
        <v>51376.17369034703</v>
      </c>
      <c r="CU248" s="41">
        <f>(AN248*(AN$3-AM$3)+AO248*(AO$3-AN$3))/(AO$3-AM$3)</f>
        <v>50250.309447228727</v>
      </c>
      <c r="CV248" s="41">
        <f>(AP248*(AP$3-AO$3)+AQ248*(AQ$3-AP$3))/(AQ$3-AO$3)</f>
        <v>43294.294451416907</v>
      </c>
      <c r="CW248" s="41">
        <f>(AR248*(AR$3-AQ$3)+AS248*(AS$3-AR$3))/(AS$3-AQ$3)</f>
        <v>42327.892663902043</v>
      </c>
      <c r="CX248" s="41">
        <f>(AT248*(AT$3-AS$3)+AU248*(AU$3-AT$3))/(AU$3-AS$3)</f>
        <v>48390.424628938366</v>
      </c>
      <c r="CY248" s="41">
        <f>(AV248*(AV$3-AU$3)+AW248*(AW$3-AV$3))/(AW$3-AU$3)</f>
        <v>56831.516067608507</v>
      </c>
      <c r="CZ248" s="211">
        <f>(AX248*(AX$3-AW$3)+AY248*(AY$3-AX$3))/(AY$3-AW$3)</f>
        <v>57406.950713959624</v>
      </c>
      <c r="DA248" s="41">
        <f>(AZ248*(AZ$3-AY$3)+BA248*(BA$3-AZ$3))/(BA$3-AY$3)</f>
        <v>59249.608254807608</v>
      </c>
      <c r="DB248" s="41">
        <f>(BB248*(BB$3-BA$3)+BC248*(BC$3-BB$3))/(BC$3-BA$3)</f>
        <v>63004.510474931121</v>
      </c>
      <c r="DC248" s="41">
        <f>(BD248*(BD$3-BC$3)+BE248*(BE$3-BD$3))/(BE$3-BC$3)</f>
        <v>66838.778956809881</v>
      </c>
      <c r="DD248" s="41">
        <f>(BF248*(BF$3-BE$3)+BG248*(BG$3-BF$3))/(BG$3-BE$3)</f>
        <v>70912.13160927227</v>
      </c>
      <c r="DE248" s="41">
        <f>(BH248*(BH$3-BG$3)+BI248*(BI$3-BH$3))/(BI$3-BG$3)</f>
        <v>74559.660309698302</v>
      </c>
      <c r="DF248" s="41">
        <f>(BJ248*(BJ$3-BI$3)+BK248*(BK$3-BJ$3))/(BK$3-BI$3)</f>
        <v>76656.04761388668</v>
      </c>
      <c r="DG248" s="41">
        <f>(BL248*(BL$3-BK$3)+BM248*(BM$3-BL$3))/(BM$3-BK$3)</f>
        <v>79408.860126474901</v>
      </c>
      <c r="DH248" s="41">
        <f>(BN248*(BN$3-BM$3)+BO248*(BO$3-BN$3))/(BO$3-BM$3)</f>
        <v>82357.608722031218</v>
      </c>
      <c r="DI248" s="41">
        <f>(BP248*(BP$3-BO$3)+BQ248*(BQ$3-BP$3))/(BQ$3-BO$3)</f>
        <v>85417.304046418038</v>
      </c>
    </row>
    <row r="249" spans="1:113" s="17" customFormat="1" ht="12" outlineLevel="1">
      <c r="A249" s="1" t="s">
        <v>256</v>
      </c>
      <c r="B249" s="17" t="s">
        <v>168</v>
      </c>
      <c r="C249" s="62">
        <f t="shared" ref="C249:L249" si="2787">C247+C248</f>
        <v>14207</v>
      </c>
      <c r="D249" s="62">
        <f t="shared" si="2787"/>
        <v>14350</v>
      </c>
      <c r="E249" s="62">
        <f t="shared" si="2787"/>
        <v>15214</v>
      </c>
      <c r="F249" s="62">
        <f t="shared" si="2787"/>
        <v>17371</v>
      </c>
      <c r="G249" s="62">
        <f t="shared" si="2787"/>
        <v>17065</v>
      </c>
      <c r="H249" s="62">
        <f t="shared" si="2787"/>
        <v>31792</v>
      </c>
      <c r="I249" s="62">
        <f t="shared" si="2787"/>
        <v>41047</v>
      </c>
      <c r="J249" s="62">
        <f t="shared" si="2787"/>
        <v>43897</v>
      </c>
      <c r="K249" s="62">
        <f t="shared" si="2787"/>
        <v>44737</v>
      </c>
      <c r="L249" s="62">
        <f t="shared" si="2787"/>
        <v>46122</v>
      </c>
      <c r="M249" s="62">
        <f t="shared" ref="M249:X249" si="2788">M247+M248</f>
        <v>44642</v>
      </c>
      <c r="N249" s="62">
        <f t="shared" si="2788"/>
        <v>49183</v>
      </c>
      <c r="O249" s="62">
        <f t="shared" si="2788"/>
        <v>51941</v>
      </c>
      <c r="P249" s="62">
        <f t="shared" si="2788"/>
        <v>51516</v>
      </c>
      <c r="Q249" s="62">
        <f t="shared" si="2788"/>
        <v>49733</v>
      </c>
      <c r="R249" s="62">
        <f t="shared" si="2788"/>
        <v>52890</v>
      </c>
      <c r="S249" s="62">
        <f t="shared" si="2788"/>
        <v>51310</v>
      </c>
      <c r="T249" s="62">
        <f t="shared" si="2788"/>
        <v>49541</v>
      </c>
      <c r="U249" s="62">
        <f t="shared" si="2788"/>
        <v>48745</v>
      </c>
      <c r="V249" s="62">
        <f t="shared" si="2788"/>
        <v>48000</v>
      </c>
      <c r="W249" s="62">
        <f t="shared" si="2788"/>
        <v>49488</v>
      </c>
      <c r="X249" s="62">
        <f t="shared" si="2788"/>
        <v>49633</v>
      </c>
      <c r="Y249" s="62">
        <f t="shared" ref="Y249:AE249" si="2789">Y247+Y248</f>
        <v>51841</v>
      </c>
      <c r="Z249" s="62">
        <f t="shared" si="2789"/>
        <v>54705</v>
      </c>
      <c r="AA249" s="62">
        <f t="shared" si="2789"/>
        <v>60174</v>
      </c>
      <c r="AB249" s="62">
        <f t="shared" si="2789"/>
        <v>66322</v>
      </c>
      <c r="AC249" s="62">
        <f t="shared" si="2789"/>
        <v>69266</v>
      </c>
      <c r="AD249" s="62">
        <f t="shared" si="2789"/>
        <v>70276.076794687353</v>
      </c>
      <c r="AE249" s="62">
        <f t="shared" si="2789"/>
        <v>72970.140709008672</v>
      </c>
      <c r="AF249" s="62">
        <f t="shared" ref="AF249:AG249" si="2790">AF247+AF248</f>
        <v>75381.183312445908</v>
      </c>
      <c r="AG249" s="62">
        <f t="shared" si="2790"/>
        <v>81284.882463085349</v>
      </c>
      <c r="AH249" s="62">
        <f t="shared" ref="AH249:AI249" si="2791">AH247+AH248</f>
        <v>84257.987815492583</v>
      </c>
      <c r="AI249" s="62">
        <f t="shared" si="2791"/>
        <v>87900.678953377152</v>
      </c>
      <c r="AJ249" s="62">
        <f t="shared" ref="AJ249:AK249" si="2792">AJ247+AJ248</f>
        <v>90770.016654487743</v>
      </c>
      <c r="AK249" s="62">
        <f t="shared" si="2792"/>
        <v>95510.263736590423</v>
      </c>
      <c r="AL249" s="62">
        <f t="shared" ref="AL249:AM249" si="2793">AL247+AL248</f>
        <v>91098.691309833011</v>
      </c>
      <c r="AM249" s="62">
        <f t="shared" si="2793"/>
        <v>97129.125321405183</v>
      </c>
      <c r="AN249" s="62">
        <f t="shared" ref="AN249:AO249" si="2794">AN247+AN248</f>
        <v>97154.996059780096</v>
      </c>
      <c r="AO249" s="62">
        <f t="shared" si="2794"/>
        <v>102481.025947337</v>
      </c>
      <c r="AP249" s="62">
        <f t="shared" ref="AP249:AQ249" si="2795">AP247+AP248</f>
        <v>101673.76110863275</v>
      </c>
      <c r="AQ249" s="62">
        <f t="shared" si="2795"/>
        <v>100740.04635150805</v>
      </c>
      <c r="AR249" s="62">
        <f t="shared" ref="AR249:AS249" si="2796">AR247+AR248</f>
        <v>101384.99462252448</v>
      </c>
      <c r="AS249" s="62">
        <f t="shared" si="2796"/>
        <v>102501.79812410058</v>
      </c>
      <c r="AT249" s="62">
        <f t="shared" ref="AT249:AU249" si="2797">AT247+AT248</f>
        <v>102578.6635539736</v>
      </c>
      <c r="AU249" s="62">
        <f t="shared" si="2797"/>
        <v>106613.77309472699</v>
      </c>
      <c r="AV249" s="62">
        <f t="shared" ref="AV249:AW249" si="2798">AV247+AV248</f>
        <v>113565.02546544597</v>
      </c>
      <c r="AW249" s="62">
        <f t="shared" si="2798"/>
        <v>112053.92950574475</v>
      </c>
      <c r="AX249" s="62">
        <f t="shared" ref="AX249:AY249" si="2799">AX247+AX248</f>
        <v>106407.5593429883</v>
      </c>
      <c r="AY249" s="220">
        <f t="shared" si="2799"/>
        <v>107385.47788281881</v>
      </c>
      <c r="AZ249" s="62">
        <f t="shared" ref="AZ249" si="2800">AY249*AVERAGE(AY192:AZ192)/AVERAGE(AX192:AY192)</f>
        <v>108496.77380023898</v>
      </c>
      <c r="BA249" s="62">
        <f t="shared" ref="BA249" si="2801">AZ249*AVERAGE(AZ192:BA192)/AVERAGE(AY192:AZ192)</f>
        <v>112283.52394463948</v>
      </c>
      <c r="BB249" s="62">
        <f t="shared" ref="BB249" si="2802">BA249*AVERAGE(BA192:BB192)/AVERAGE(AZ192:BA192)</f>
        <v>115652.02966297868</v>
      </c>
      <c r="BC249" s="62">
        <f t="shared" ref="BC249" si="2803">BB249*AVERAGE(BB192:BC192)/AVERAGE(BA192:BB192)</f>
        <v>119121.59055286805</v>
      </c>
      <c r="BD249" s="62">
        <f t="shared" ref="BD249" si="2804">BC249*AVERAGE(BC192:BD192)/AVERAGE(BB192:BC192)</f>
        <v>122695.23826945407</v>
      </c>
      <c r="BE249" s="62">
        <f t="shared" ref="BE249" si="2805">BD249*AVERAGE(BD192:BE192)/AVERAGE(BC192:BD192)</f>
        <v>126376.09541753768</v>
      </c>
      <c r="BF249" s="62">
        <f t="shared" ref="BF249" si="2806">BE249*AVERAGE(BE192:BF192)/AVERAGE(BD192:BE192)</f>
        <v>130167.37828006384</v>
      </c>
      <c r="BG249" s="62">
        <f t="shared" ref="BG249:BK249" si="2807">BF249*AVERAGE(BF192:BG192)/AVERAGE(BE192:BF192)</f>
        <v>134072.39962846576</v>
      </c>
      <c r="BH249" s="62">
        <f t="shared" si="2807"/>
        <v>137754.43720446917</v>
      </c>
      <c r="BI249" s="62">
        <f t="shared" si="2807"/>
        <v>140081.99398649673</v>
      </c>
      <c r="BJ249" s="62">
        <f t="shared" si="2807"/>
        <v>141682.69195699019</v>
      </c>
      <c r="BK249" s="62">
        <f t="shared" si="2807"/>
        <v>143965.94202062156</v>
      </c>
      <c r="BL249" s="62">
        <f t="shared" ref="BL249" si="2808">BK249*AVERAGE(BK192:BL192)/AVERAGE(BJ192:BK192)</f>
        <v>146609.6397161507</v>
      </c>
      <c r="BM249" s="62">
        <f t="shared" ref="BM249" si="2809">BL249*AVERAGE(BL192:BM192)/AVERAGE(BK192:BL192)</f>
        <v>149303.46652185236</v>
      </c>
      <c r="BN249" s="62">
        <f t="shared" ref="BN249" si="2810">BM249*AVERAGE(BM192:BN192)/AVERAGE(BL192:BM192)</f>
        <v>152048.39381394724</v>
      </c>
      <c r="BO249" s="62">
        <f t="shared" ref="BO249" si="2811">BN249*AVERAGE(BN192:BO192)/AVERAGE(BM192:BN192)</f>
        <v>154845.41205738741</v>
      </c>
      <c r="BP249" s="62">
        <f t="shared" ref="BP249" si="2812">BO249*AVERAGE(BO192:BP192)/AVERAGE(BN192:BO192)</f>
        <v>157695.5311842931</v>
      </c>
      <c r="BQ249" s="62">
        <f t="shared" ref="BQ249" si="2813">BP249*AVERAGE(BP192:BQ192)/AVERAGE(BO192:BP192)</f>
        <v>160599.78097993261</v>
      </c>
      <c r="BR249" s="62"/>
      <c r="BS249" s="384">
        <f>(13285.6+2117.5+2031.8)*BT249/(BT249+BT254)</f>
        <v>7155.4998647734956</v>
      </c>
      <c r="BT249" s="384">
        <f>(13713+2715+1764)*BU249/(BU249+BU254)</f>
        <v>7466.2231237322512</v>
      </c>
      <c r="BU249" s="61">
        <f>4061+1930+1293</f>
        <v>7284</v>
      </c>
      <c r="BV249" s="61">
        <f>6175+1959+1395+1075</f>
        <v>10604</v>
      </c>
      <c r="BW249" s="61">
        <f>7313+2183+1534+1139</f>
        <v>12169</v>
      </c>
      <c r="BX249" s="61">
        <f>8304+2462+1789+1288</f>
        <v>13843</v>
      </c>
      <c r="BY249" s="61">
        <f>8358+2883+1913+836</f>
        <v>13990</v>
      </c>
      <c r="BZ249" s="61">
        <f>8035+3330+1633+730</f>
        <v>13728</v>
      </c>
      <c r="CA249" s="61">
        <f>8159+2894+1469+794</f>
        <v>13316</v>
      </c>
      <c r="CB249" s="61">
        <f>8411+2832+1621+883</f>
        <v>13747</v>
      </c>
      <c r="CC249" s="62">
        <f>SUMPRODUCT(D249:E249,D$5:E$5)/SUM(D$5:E$5)</f>
        <v>14780.816438356165</v>
      </c>
      <c r="CD249" s="62">
        <f>SUMPRODUCT(F249:G249,F$5:G$5)/SUM(F$5:G$5)</f>
        <v>17218.419178082193</v>
      </c>
      <c r="CE249" s="62">
        <f>SUMPRODUCT(H249:I249,H$5:I$5)/SUM(H$5:I$5)</f>
        <v>36419.5</v>
      </c>
      <c r="CF249" s="62">
        <f>SUMPRODUCT(J249:K249,J$5:K$5)/SUM(J$5:K$5)</f>
        <v>44315.849315068503</v>
      </c>
      <c r="CG249" s="62">
        <f t="shared" ref="CG249:CL249" si="2814">CG247+CG248</f>
        <v>45380</v>
      </c>
      <c r="CH249" s="62">
        <f t="shared" si="2814"/>
        <v>50566</v>
      </c>
      <c r="CI249" s="62">
        <f t="shared" si="2814"/>
        <v>50628</v>
      </c>
      <c r="CJ249" s="62">
        <f t="shared" si="2814"/>
        <v>52097</v>
      </c>
      <c r="CK249" s="62">
        <f t="shared" si="2814"/>
        <v>49143</v>
      </c>
      <c r="CL249" s="62">
        <f t="shared" si="2814"/>
        <v>48747</v>
      </c>
      <c r="CM249" s="62">
        <f t="shared" ref="CM249:CS249" si="2815">CM247+CM248</f>
        <v>50736</v>
      </c>
      <c r="CN249" s="62">
        <f t="shared" si="2815"/>
        <v>57448</v>
      </c>
      <c r="CO249" s="62">
        <f t="shared" si="2815"/>
        <v>67798</v>
      </c>
      <c r="CP249" s="62">
        <f t="shared" si="2815"/>
        <v>71626.799250360782</v>
      </c>
      <c r="CQ249" s="62">
        <f t="shared" si="2815"/>
        <v>78333.032887765628</v>
      </c>
      <c r="CR249" s="62">
        <f t="shared" si="2815"/>
        <v>86084.323372294981</v>
      </c>
      <c r="CS249" s="62">
        <f t="shared" si="2815"/>
        <v>93146.633684692642</v>
      </c>
      <c r="CT249" s="62">
        <f>(AL249*(AL$3-AK$3)+AM249*(AM$3-AL$3))/(AM$3-AK$3)</f>
        <v>94122.169184128099</v>
      </c>
      <c r="CU249" s="62">
        <f>(AN249*(AN$3-AM$3)+AO249*(AO$3-AN$3))/(AO$3-AM$3)</f>
        <v>99818.011003558553</v>
      </c>
      <c r="CV249" s="62">
        <f>(AP249*(AP$3-AO$3)+AQ249*(AQ$3-AP$3))/(AQ$3-AO$3)</f>
        <v>101205.62466875926</v>
      </c>
      <c r="CW249" s="62">
        <f>(AR249*(AR$3-AQ$3)+AS249*(AS$3-AR$3))/(AS$3-AQ$3)</f>
        <v>101944.9262411229</v>
      </c>
      <c r="CX249" s="62">
        <f>(AT249*(AT$3-AS$3)+AU249*(AU$3-AT$3))/(AU$3-AS$3)</f>
        <v>104601.7458716664</v>
      </c>
      <c r="CY249" s="62">
        <f>(AV249*(AV$3-AU$3)+AW249*(AW$3-AV$3))/(AW$3-AU$3)</f>
        <v>112809.47748559534</v>
      </c>
      <c r="CZ249" s="220">
        <f>(AX249*(AX$3-AW$3)+AY249*(AY$3-AX$3))/(AY$3-AW$3)</f>
        <v>106897.85822734167</v>
      </c>
      <c r="DA249" s="62">
        <f>(AZ249*(AZ$3-AY$3)+BA249*(BA$3-AZ$3))/(BA$3-AY$3)</f>
        <v>110395.33620140418</v>
      </c>
      <c r="DB249" s="62">
        <f>(BB249*(BB$3-BA$3)+BC249*(BC$3-BB$3))/(BC$3-BA$3)</f>
        <v>117391.56293106019</v>
      </c>
      <c r="DC249" s="62">
        <f>(BD249*(BD$3-BC$3)+BE249*(BE$3-BD$3))/(BE$3-BC$3)</f>
        <v>124535.6668434959</v>
      </c>
      <c r="DD249" s="62">
        <f>(BF249*(BF$3-BE$3)+BG249*(BG$3-BF$3))/(BG$3-BE$3)</f>
        <v>132125.23829857769</v>
      </c>
      <c r="DE249" s="62">
        <f>(BH249*(BH$3-BG$3)+BI249*(BI$3-BH$3))/(BI$3-BG$3)</f>
        <v>138921.40402943094</v>
      </c>
      <c r="DF249" s="62">
        <f>(BJ249*(BJ$3-BI$3)+BK249*(BK$3-BJ$3))/(BK$3-BI$3)</f>
        <v>142827.44472861907</v>
      </c>
      <c r="DG249" s="62">
        <f>(BL249*(BL$3-BK$3)+BM249*(BM$3-BL$3))/(BM$3-BK$3)</f>
        <v>147956.55311900153</v>
      </c>
      <c r="DH249" s="62">
        <f>(BN249*(BN$3-BM$3)+BO249*(BO$3-BN$3))/(BO$3-BM$3)</f>
        <v>153450.73446750766</v>
      </c>
      <c r="DI249" s="62">
        <f>(BP249*(BP$3-BO$3)+BQ249*(BQ$3-BP$3))/(BQ$3-BO$3)</f>
        <v>159151.63450649043</v>
      </c>
    </row>
    <row r="250" spans="1:113" ht="12" outlineLevel="1">
      <c r="C250" s="41"/>
      <c r="D250" s="41"/>
      <c r="E250" s="41"/>
      <c r="F250" s="41"/>
      <c r="G250" s="41"/>
      <c r="H250" s="41"/>
      <c r="I250" s="41"/>
      <c r="J250" s="41"/>
      <c r="K250" s="41"/>
      <c r="L250" s="41"/>
      <c r="M250" s="41"/>
      <c r="N250" s="41"/>
      <c r="O250" s="41"/>
      <c r="P250" s="41"/>
      <c r="Q250" s="41"/>
      <c r="R250" s="41"/>
      <c r="S250" s="41"/>
      <c r="T250" s="41"/>
      <c r="U250" s="41"/>
      <c r="V250" s="41"/>
      <c r="W250" s="41"/>
      <c r="X250" s="41"/>
      <c r="Y250" s="41"/>
      <c r="Z250" s="41"/>
      <c r="AA250" s="41"/>
      <c r="AB250" s="41"/>
      <c r="AC250" s="41"/>
      <c r="AD250" s="41"/>
      <c r="AE250" s="41"/>
      <c r="AF250" s="41"/>
      <c r="AG250" s="41"/>
      <c r="AH250" s="41"/>
      <c r="AI250" s="41"/>
      <c r="AJ250" s="41"/>
      <c r="AK250" s="41"/>
      <c r="AL250" s="41"/>
      <c r="AM250" s="41"/>
      <c r="AN250" s="41"/>
      <c r="AO250" s="41"/>
      <c r="AP250" s="41"/>
      <c r="AQ250" s="41"/>
      <c r="AR250" s="41"/>
      <c r="AS250" s="41"/>
      <c r="AT250" s="41"/>
      <c r="AU250" s="41"/>
      <c r="AV250" s="41"/>
      <c r="AW250" s="41"/>
      <c r="AX250" s="41"/>
      <c r="AY250" s="211"/>
      <c r="AZ250" s="41"/>
      <c r="BA250" s="41"/>
      <c r="BB250" s="41"/>
      <c r="BC250" s="41"/>
      <c r="BD250" s="41"/>
      <c r="BE250" s="41"/>
      <c r="BF250" s="41"/>
      <c r="BG250" s="41"/>
      <c r="BH250" s="41"/>
      <c r="BI250" s="41"/>
      <c r="BJ250" s="41"/>
      <c r="BK250" s="41"/>
      <c r="BL250" s="41"/>
      <c r="BM250" s="41"/>
      <c r="BN250" s="41"/>
      <c r="BO250" s="41"/>
      <c r="BP250" s="41"/>
      <c r="BQ250" s="41"/>
      <c r="BR250" s="41"/>
      <c r="BS250" s="41"/>
      <c r="BT250" s="41"/>
      <c r="BU250" s="41"/>
      <c r="BV250" s="41"/>
      <c r="BW250" s="41"/>
      <c r="BX250" s="41"/>
      <c r="BY250" s="41"/>
      <c r="BZ250" s="41"/>
      <c r="CA250" s="41"/>
      <c r="CB250" s="41"/>
      <c r="CC250" s="41"/>
      <c r="CD250" s="41"/>
      <c r="CE250" s="41"/>
      <c r="CF250" s="41"/>
      <c r="CG250" s="41"/>
      <c r="CH250" s="41"/>
      <c r="CI250" s="41"/>
      <c r="CJ250" s="41"/>
      <c r="CK250" s="41"/>
      <c r="CL250" s="41"/>
      <c r="CM250" s="41"/>
      <c r="CN250" s="41"/>
      <c r="CO250" s="41"/>
      <c r="CP250" s="41"/>
      <c r="CQ250" s="41"/>
      <c r="CR250" s="41"/>
      <c r="CS250" s="41"/>
      <c r="CT250" s="41"/>
      <c r="CU250" s="41"/>
      <c r="CV250" s="41"/>
      <c r="CW250" s="41"/>
      <c r="CX250" s="41"/>
      <c r="CY250" s="41"/>
      <c r="CZ250" s="211"/>
      <c r="DA250" s="41"/>
      <c r="DB250" s="41"/>
      <c r="DC250" s="41"/>
      <c r="DD250" s="41"/>
      <c r="DE250" s="41"/>
      <c r="DF250" s="41"/>
      <c r="DG250" s="41"/>
      <c r="DH250" s="41"/>
      <c r="DI250" s="41"/>
    </row>
    <row r="251" spans="1:113" s="17" customFormat="1" ht="12" outlineLevel="1">
      <c r="A251" s="1"/>
      <c r="B251" s="17" t="s">
        <v>494</v>
      </c>
      <c r="C251" s="62"/>
      <c r="D251" s="62"/>
      <c r="E251" s="62"/>
      <c r="F251" s="62"/>
      <c r="G251" s="62"/>
      <c r="H251" s="62"/>
      <c r="I251" s="62"/>
      <c r="J251" s="62"/>
      <c r="K251" s="62"/>
      <c r="L251" s="62"/>
      <c r="M251" s="62"/>
      <c r="N251" s="62"/>
      <c r="O251" s="62"/>
      <c r="P251" s="62"/>
      <c r="Q251" s="62"/>
      <c r="R251" s="62"/>
      <c r="S251" s="62"/>
      <c r="T251" s="62"/>
      <c r="U251" s="62"/>
      <c r="V251" s="62"/>
      <c r="W251" s="62"/>
      <c r="X251" s="62"/>
      <c r="Y251" s="62"/>
      <c r="Z251" s="62"/>
      <c r="AA251" s="62"/>
      <c r="AB251" s="62"/>
      <c r="AC251" s="62"/>
      <c r="AD251" s="62"/>
      <c r="AE251" s="62"/>
      <c r="AF251" s="62"/>
      <c r="AG251" s="62"/>
      <c r="AH251" s="62"/>
      <c r="AI251" s="62"/>
      <c r="AJ251" s="62"/>
      <c r="AK251" s="62"/>
      <c r="AL251" s="62"/>
      <c r="AM251" s="62"/>
      <c r="AN251" s="62"/>
      <c r="AO251" s="62"/>
      <c r="AP251" s="62"/>
      <c r="AQ251" s="62"/>
      <c r="AR251" s="62"/>
      <c r="AS251" s="62"/>
      <c r="AT251" s="62"/>
      <c r="AU251" s="62"/>
      <c r="AV251" s="62"/>
      <c r="AW251" s="62"/>
      <c r="AX251" s="62"/>
      <c r="AY251" s="220"/>
      <c r="AZ251" s="62"/>
      <c r="BA251" s="62"/>
      <c r="BB251" s="62"/>
      <c r="BC251" s="62"/>
      <c r="BD251" s="62"/>
      <c r="BE251" s="62"/>
      <c r="BF251" s="62"/>
      <c r="BG251" s="62"/>
      <c r="BH251" s="62"/>
      <c r="BI251" s="62"/>
      <c r="BJ251" s="62"/>
      <c r="BK251" s="62"/>
      <c r="BL251" s="62"/>
      <c r="BM251" s="62"/>
      <c r="BN251" s="62"/>
      <c r="BO251" s="62"/>
      <c r="BP251" s="62"/>
      <c r="BQ251" s="62"/>
      <c r="BR251" s="62"/>
      <c r="BS251" s="62"/>
      <c r="BT251" s="62"/>
      <c r="BU251" s="62"/>
      <c r="BV251" s="62"/>
      <c r="BW251" s="62"/>
      <c r="BX251" s="62"/>
      <c r="BY251" s="62"/>
      <c r="BZ251" s="62"/>
      <c r="CA251" s="62"/>
      <c r="CB251" s="62"/>
      <c r="CC251" s="62"/>
      <c r="CD251" s="62"/>
      <c r="CE251" s="62"/>
      <c r="CF251" s="62"/>
      <c r="CG251" s="62"/>
      <c r="CH251" s="62"/>
      <c r="CI251" s="62"/>
      <c r="CJ251" s="62"/>
      <c r="CK251" s="62"/>
      <c r="CL251" s="62"/>
      <c r="CM251" s="62"/>
      <c r="CN251" s="62"/>
      <c r="CO251" s="62"/>
      <c r="CP251" s="62"/>
      <c r="CQ251" s="62"/>
      <c r="CR251" s="62"/>
      <c r="CS251" s="62"/>
      <c r="CT251" s="62"/>
      <c r="CU251" s="62"/>
      <c r="CV251" s="62"/>
      <c r="CW251" s="62"/>
      <c r="CX251" s="62"/>
      <c r="CY251" s="62"/>
      <c r="CZ251" s="220"/>
      <c r="DA251" s="62"/>
      <c r="DB251" s="62"/>
      <c r="DC251" s="62"/>
      <c r="DD251" s="62"/>
      <c r="DE251" s="62"/>
      <c r="DF251" s="62"/>
      <c r="DG251" s="62"/>
      <c r="DH251" s="62"/>
      <c r="DI251" s="62"/>
    </row>
    <row r="252" spans="1:113" ht="12" outlineLevel="1">
      <c r="A252" s="1" t="s">
        <v>257</v>
      </c>
      <c r="B252" s="15" t="s">
        <v>592</v>
      </c>
      <c r="C252" s="40">
        <f>365+811+469</f>
        <v>1645</v>
      </c>
      <c r="D252" s="40">
        <f>399+701+604</f>
        <v>1704</v>
      </c>
      <c r="E252" s="40">
        <f>499+707+590</f>
        <v>1796</v>
      </c>
      <c r="F252" s="40">
        <f>466+660+689</f>
        <v>1815</v>
      </c>
      <c r="G252" s="40">
        <f>344+624+677</f>
        <v>1645</v>
      </c>
      <c r="H252" s="40">
        <f>381+634+826</f>
        <v>1841</v>
      </c>
      <c r="I252" s="40">
        <f>391+690+908</f>
        <v>1989</v>
      </c>
      <c r="J252" s="40">
        <f>415+783+881</f>
        <v>2079</v>
      </c>
      <c r="K252" s="40">
        <f>419+805+1071</f>
        <v>2295</v>
      </c>
      <c r="L252" s="40">
        <f>502+968+1104</f>
        <v>2574</v>
      </c>
      <c r="M252" s="40">
        <f>630+1038+1142</f>
        <v>2810</v>
      </c>
      <c r="N252" s="40">
        <f>492+1217+1149</f>
        <v>2858</v>
      </c>
      <c r="O252" s="40">
        <f>516+1115+1291</f>
        <v>2922</v>
      </c>
      <c r="P252" s="40">
        <f>590+1315+1187</f>
        <v>3092</v>
      </c>
      <c r="Q252" s="40">
        <f>579+1231+1214</f>
        <v>3024</v>
      </c>
      <c r="R252" s="40">
        <f>691+1764+1597</f>
        <v>4052</v>
      </c>
      <c r="S252" s="40">
        <f>589+1956+1484</f>
        <v>4029</v>
      </c>
      <c r="T252" s="40">
        <f>1864+2205+1577</f>
        <v>5646</v>
      </c>
      <c r="U252" s="40">
        <f>4023+4413+1981</f>
        <v>10417</v>
      </c>
      <c r="V252" s="40">
        <f>5845+4758+1828</f>
        <v>12431</v>
      </c>
      <c r="W252" s="40">
        <f>4354+9199+2239</f>
        <v>15792</v>
      </c>
      <c r="X252" s="40">
        <f>4311+9872+2293</f>
        <v>16476</v>
      </c>
      <c r="Y252" s="40">
        <f>4250+9763+2481</f>
        <v>16494</v>
      </c>
      <c r="Z252" s="141">
        <f>4968+10432+2771</f>
        <v>18171</v>
      </c>
      <c r="AA252" s="141">
        <f>5582+11397+3630</f>
        <v>20609</v>
      </c>
      <c r="AB252" s="141">
        <f>4996+13152+3893</f>
        <v>22041</v>
      </c>
      <c r="AC252" s="141">
        <f>3498+15811+3815</f>
        <v>23124</v>
      </c>
      <c r="AD252" s="41">
        <f t="shared" ref="AD252:AF253" si="2816">AD257-AD247-AD242</f>
        <v>24677.014122863155</v>
      </c>
      <c r="AE252" s="41">
        <f t="shared" si="2816"/>
        <v>28050.407176388486</v>
      </c>
      <c r="AF252" s="41">
        <f t="shared" si="2816"/>
        <v>28033.709249321662</v>
      </c>
      <c r="AG252" s="41">
        <f t="shared" ref="AG252:AH252" si="2817">AG257-AG247-AG242</f>
        <v>26786.279924464703</v>
      </c>
      <c r="AH252" s="41">
        <f t="shared" si="2817"/>
        <v>26027.782466124278</v>
      </c>
      <c r="AI252" s="41">
        <f t="shared" ref="AI252:AJ252" si="2818">AI257-AI247-AI242</f>
        <v>22350.183055210102</v>
      </c>
      <c r="AJ252" s="41">
        <f t="shared" si="2818"/>
        <v>16798.061773665191</v>
      </c>
      <c r="AK252" s="41">
        <f t="shared" ref="AK252:AL252" si="2819">AK257-AK247-AK242</f>
        <v>12201.041828999849</v>
      </c>
      <c r="AL252" s="41">
        <f t="shared" si="2819"/>
        <v>19880.036745982186</v>
      </c>
      <c r="AM252" s="41">
        <f t="shared" ref="AM252:AN252" si="2820">AM257-AM247-AM242</f>
        <v>22370.904584123928</v>
      </c>
      <c r="AN252" s="41">
        <f t="shared" si="2820"/>
        <v>24008.750356674951</v>
      </c>
      <c r="AO252" s="41">
        <f t="shared" ref="AO252" si="2821">AO257-AO247-AO242</f>
        <v>27195.792488126783</v>
      </c>
      <c r="AP252" s="41">
        <f t="shared" ref="AP252:AQ252" si="2822">AP257-AP247-AP242</f>
        <v>27956.000119719713</v>
      </c>
      <c r="AQ252" s="41">
        <f t="shared" si="2822"/>
        <v>33002.429083163966</v>
      </c>
      <c r="AR252" s="41">
        <f t="shared" ref="AR252:AS252" si="2823">AR257-AR247-AR242</f>
        <v>34091.10505365557</v>
      </c>
      <c r="AS252" s="41">
        <f t="shared" si="2823"/>
        <v>30546.76353142946</v>
      </c>
      <c r="AT252" s="41">
        <f t="shared" ref="AT252:AU252" si="2824">AT257-AT247-AT242</f>
        <v>28745.081678214949</v>
      </c>
      <c r="AU252" s="41">
        <f t="shared" si="2824"/>
        <v>22900.184383727552</v>
      </c>
      <c r="AV252" s="41">
        <f t="shared" ref="AV252:AW252" si="2825">AV257-AV247-AV242</f>
        <v>21011.640611586045</v>
      </c>
      <c r="AW252" s="41">
        <f t="shared" si="2825"/>
        <v>16627.631785671692</v>
      </c>
      <c r="AX252" s="41">
        <f t="shared" ref="AX252" si="2826">AX257-AX247-AX242</f>
        <v>15317.437237867969</v>
      </c>
      <c r="AY252" s="211">
        <f t="shared" ref="AY252:AY253" si="2827">AX252/AX$254*AY$254</f>
        <v>15605.240369529929</v>
      </c>
      <c r="AZ252" s="41">
        <f t="shared" ref="AZ252" si="2828">AY252/AY$254*AZ$254</f>
        <v>14967.091904073093</v>
      </c>
      <c r="BA252" s="41">
        <f t="shared" ref="BA252:BA253" si="2829">AZ252/AZ$254*BA$254</f>
        <v>15677.116141961436</v>
      </c>
      <c r="BB252" s="41">
        <f t="shared" ref="BB252:BB253" si="2830">BA252/BA$254*BB$254</f>
        <v>16222.365474771712</v>
      </c>
      <c r="BC252" s="41">
        <f t="shared" ref="BC252:BC253" si="2831">BB252/BB$254*BC$254</f>
        <v>16627.924611641007</v>
      </c>
      <c r="BD252" s="41">
        <f t="shared" ref="BD252:BD253" si="2832">BC252/BC$254*BD$254</f>
        <v>17043.622726932033</v>
      </c>
      <c r="BE252" s="41">
        <f t="shared" ref="BE252:BE253" si="2833">BD252/BD$254*BE$254</f>
        <v>17469.713295105332</v>
      </c>
      <c r="BF252" s="41">
        <f t="shared" ref="BF252:BF253" si="2834">BE252/BE$254*BF$254</f>
        <v>17906.456127482965</v>
      </c>
      <c r="BG252" s="41">
        <f t="shared" ref="BG252:BK253" si="2835">BF252/BF$254*BG$254</f>
        <v>18354.117530670035</v>
      </c>
      <c r="BH252" s="41">
        <f t="shared" si="2835"/>
        <v>18812.970468936786</v>
      </c>
      <c r="BI252" s="41">
        <f t="shared" si="2835"/>
        <v>19126.783242502035</v>
      </c>
      <c r="BJ252" s="41">
        <f t="shared" si="2835"/>
        <v>19443.794157070595</v>
      </c>
      <c r="BK252" s="41">
        <f t="shared" si="2835"/>
        <v>19635.847541204857</v>
      </c>
      <c r="BL252" s="41">
        <f t="shared" ref="BL252:BL253" si="2836">BK252/BK$254*BL$254</f>
        <v>19549.489035425417</v>
      </c>
      <c r="BM252" s="41">
        <f t="shared" ref="BM252:BM253" si="2837">BL252/BL$254*BM$254</f>
        <v>19464.035151451932</v>
      </c>
      <c r="BN252" s="41">
        <f t="shared" ref="BN252:BN253" si="2838">BM252/BM$254*BN$254</f>
        <v>19618.648370901115</v>
      </c>
      <c r="BO252" s="41">
        <f t="shared" ref="BO252:BO253" si="2839">BN252/BN$254*BO$254</f>
        <v>20016.930989784858</v>
      </c>
      <c r="BP252" s="41">
        <f t="shared" ref="BP252:BP253" si="2840">BO252/BO$254*BP$254</f>
        <v>20622.463386667663</v>
      </c>
      <c r="BQ252" s="41">
        <f t="shared" ref="BQ252:BQ253" si="2841">BP252/BP$254*BQ$254</f>
        <v>21447.361922134372</v>
      </c>
      <c r="BR252" s="41"/>
      <c r="BS252" s="41"/>
      <c r="BT252" s="41"/>
      <c r="BU252" s="41"/>
      <c r="BV252" s="41"/>
      <c r="BW252" s="41"/>
      <c r="BX252" s="41"/>
      <c r="BY252" s="41"/>
      <c r="BZ252" s="41"/>
      <c r="CA252" s="41"/>
      <c r="CB252" s="41"/>
      <c r="CC252" s="41">
        <f>SUMPRODUCT(D252:E252,D$5:E$5)/SUM(D$5:E$5)</f>
        <v>1749.8739726027397</v>
      </c>
      <c r="CD252" s="41">
        <f>SUMPRODUCT(F252:G252,F$5:G$5)/SUM(F$5:G$5)</f>
        <v>1730.232876712329</v>
      </c>
      <c r="CE252" s="41">
        <f>SUMPRODUCT(H252:I252,H$5:I$5)/SUM(H$5:I$5)</f>
        <v>1915</v>
      </c>
      <c r="CF252" s="41">
        <f>SUMPRODUCT(J252:K252,J$5:K$5)/SUM(J$5:K$5)</f>
        <v>2186.7041095890409</v>
      </c>
      <c r="CG252" s="141">
        <f>566+1003+1123</f>
        <v>2692</v>
      </c>
      <c r="CH252" s="141">
        <f>504+1166+1220</f>
        <v>2890</v>
      </c>
      <c r="CI252" s="141">
        <f>584+1273+1200</f>
        <v>3057</v>
      </c>
      <c r="CJ252" s="141">
        <f>640+1860+1540</f>
        <v>4040</v>
      </c>
      <c r="CK252" s="141">
        <f>2947+3312+1780</f>
        <v>8039</v>
      </c>
      <c r="CL252" s="141">
        <f>5097+6985+2034</f>
        <v>14116</v>
      </c>
      <c r="CM252" s="141">
        <f>4280+9817+2387</f>
        <v>16484</v>
      </c>
      <c r="CN252" s="141">
        <f>5276+10916+3202</f>
        <v>19394</v>
      </c>
      <c r="CO252" s="141">
        <f>4245+14485+3854</f>
        <v>22584</v>
      </c>
      <c r="CP252" s="41">
        <f>CP257-CP247-CP242</f>
        <v>26368.411188055325</v>
      </c>
      <c r="CQ252" s="41">
        <f t="shared" ref="CQ252" si="2842">CQ257-CQ247-CQ242</f>
        <v>27409.994586893183</v>
      </c>
      <c r="CR252" s="41">
        <f t="shared" ref="CR252:CS252" si="2843">CR257-CR247-CR242</f>
        <v>24183.040843665891</v>
      </c>
      <c r="CS252" s="41">
        <f t="shared" si="2843"/>
        <v>14493.262732915202</v>
      </c>
      <c r="CT252" s="41">
        <f t="shared" ref="CT252:CU252" si="2844">CT257-CT247-CT242</f>
        <v>21128.466374420415</v>
      </c>
      <c r="CU252" s="41">
        <f t="shared" si="2844"/>
        <v>4137.5449821691145</v>
      </c>
      <c r="CV252" s="41">
        <f t="shared" ref="CV252" si="2845">CV257-CV247-CV242</f>
        <v>30486.135737008241</v>
      </c>
      <c r="CW252" s="41">
        <f>(AR252*(AR$3-AQ$3)+AS252*(AS$3-AR$3))/(AS$3-AQ$3)</f>
        <v>32314.0790301833</v>
      </c>
      <c r="CX252" s="41">
        <f>(AT252*(AT$3-AS$3)+AU252*(AU$3-AT$3))/(AU$3-AS$3)</f>
        <v>25814.626322348668</v>
      </c>
      <c r="CY252" s="41">
        <f>(AV252*(AV$3-AU$3)+AW252*(AW$3-AV$3))/(AW$3-AU$3)</f>
        <v>18819.636198628868</v>
      </c>
      <c r="CZ252" s="211">
        <f>(AX252*(AX$3-AW$3)+AY252*(AY$3-AX$3))/(AY$3-AW$3)</f>
        <v>15461.73305456424</v>
      </c>
      <c r="DA252" s="41">
        <f>(AZ252*(AZ$3-AY$3)+BA252*(BA$3-AZ$3))/(BA$3-AY$3)</f>
        <v>15323.076658959579</v>
      </c>
      <c r="DB252" s="41">
        <f>(BB252*(BB$3-BA$3)+BC252*(BC$3-BB$3))/(BC$3-BA$3)</f>
        <v>16425.700603667825</v>
      </c>
      <c r="DC252" s="41">
        <f>(BD252*(BD$3-BC$3)+BE252*(BE$3-BD$3))/(BE$3-BC$3)</f>
        <v>17256.668011018679</v>
      </c>
      <c r="DD252" s="41">
        <f>(BF252*(BF$3-BE$3)+BG252*(BG$3-BF$3))/(BG$3-BE$3)</f>
        <v>18130.900063875386</v>
      </c>
      <c r="DE252" s="41">
        <f>(BH252*(BH$3-BG$3)+BI252*(BI$3-BH$3))/(BI$3-BG$3)</f>
        <v>18970.306736231145</v>
      </c>
      <c r="DF252" s="41">
        <f>(BJ252*(BJ$3-BI$3)+BK252*(BK$3-BJ$3))/(BK$3-BI$3)</f>
        <v>19540.083935965307</v>
      </c>
      <c r="DG252" s="41">
        <f>(BL252*(BL$3-BK$3)+BM252*(BM$3-BL$3))/(BM$3-BK$3)</f>
        <v>19506.762093438676</v>
      </c>
      <c r="DH252" s="41">
        <f>(BN252*(BN$3-BM$3)+BO252*(BO$3-BN$3))/(BO$3-BM$3)</f>
        <v>19818.335272971595</v>
      </c>
      <c r="DI252" s="41">
        <f>(BP252*(BP$3-BO$3)+BQ252*(BQ$3-BP$3))/(BQ$3-BO$3)</f>
        <v>21036.042652394804</v>
      </c>
    </row>
    <row r="253" spans="1:113" ht="12" outlineLevel="1">
      <c r="A253" s="1" t="s">
        <v>158</v>
      </c>
      <c r="B253" s="15" t="s">
        <v>473</v>
      </c>
      <c r="C253" s="40">
        <v>13923</v>
      </c>
      <c r="D253" s="40">
        <v>15688</v>
      </c>
      <c r="E253" s="40">
        <v>14541</v>
      </c>
      <c r="F253" s="40">
        <v>15077</v>
      </c>
      <c r="G253" s="40">
        <v>14401</v>
      </c>
      <c r="H253" s="40">
        <v>12967</v>
      </c>
      <c r="I253" s="40">
        <v>12577</v>
      </c>
      <c r="J253" s="40">
        <v>10965</v>
      </c>
      <c r="K253" s="40">
        <v>11185</v>
      </c>
      <c r="L253" s="40">
        <v>12802</v>
      </c>
      <c r="M253" s="40">
        <v>14591</v>
      </c>
      <c r="N253" s="40">
        <v>14477</v>
      </c>
      <c r="O253" s="40">
        <v>15763</v>
      </c>
      <c r="P253" s="40">
        <v>22336</v>
      </c>
      <c r="Q253" s="40">
        <v>28213</v>
      </c>
      <c r="R253" s="40">
        <f>37338</f>
        <v>37338</v>
      </c>
      <c r="S253" s="40">
        <f>37179</f>
        <v>37179</v>
      </c>
      <c r="T253" s="40">
        <v>41425</v>
      </c>
      <c r="U253" s="40">
        <v>47262</v>
      </c>
      <c r="V253" s="40">
        <v>44739</v>
      </c>
      <c r="W253" s="40">
        <v>47980</v>
      </c>
      <c r="X253" s="40">
        <v>55915</v>
      </c>
      <c r="Y253" s="40">
        <v>65372</v>
      </c>
      <c r="Z253" s="141">
        <v>70817</v>
      </c>
      <c r="AA253" s="141">
        <f>79280</f>
        <v>79280</v>
      </c>
      <c r="AB253" s="141">
        <v>82570</v>
      </c>
      <c r="AC253" s="141">
        <v>82567</v>
      </c>
      <c r="AD253" s="41">
        <f t="shared" si="2816"/>
        <v>95210.468186898288</v>
      </c>
      <c r="AE253" s="41">
        <f t="shared" si="2816"/>
        <v>101111.91315594621</v>
      </c>
      <c r="AF253" s="41">
        <f t="shared" si="2816"/>
        <v>100673.00052365364</v>
      </c>
      <c r="AG253" s="41">
        <f t="shared" ref="AG253:AH253" si="2846">AG258-AG248-AG243</f>
        <v>96418.939932923968</v>
      </c>
      <c r="AH253" s="41">
        <f t="shared" si="2846"/>
        <v>96051.278446397992</v>
      </c>
      <c r="AI253" s="41">
        <f t="shared" ref="AI253:AJ253" si="2847">AI258-AI248-AI243</f>
        <v>87472.681955390741</v>
      </c>
      <c r="AJ253" s="41">
        <f t="shared" si="2847"/>
        <v>83487.557001594963</v>
      </c>
      <c r="AK253" s="41">
        <f t="shared" ref="AK253:AL253" si="2848">AK258-AK248-AK243</f>
        <v>89610.083871315495</v>
      </c>
      <c r="AL253" s="41">
        <f t="shared" si="2848"/>
        <v>95808.466906362242</v>
      </c>
      <c r="AM253" s="41">
        <f t="shared" ref="AM253:AN253" si="2849">AM258-AM248-AM243</f>
        <v>102713.92864079593</v>
      </c>
      <c r="AN253" s="41">
        <f t="shared" si="2849"/>
        <v>112204.11635640015</v>
      </c>
      <c r="AO253" s="41">
        <f t="shared" ref="AO253" si="2850">AO258-AO248-AO243</f>
        <v>103366.98092682187</v>
      </c>
      <c r="AP253" s="41">
        <f t="shared" ref="AP253:AQ253" si="2851">AP258-AP248-AP243</f>
        <v>90453.252239369031</v>
      </c>
      <c r="AQ253" s="41">
        <f t="shared" si="2851"/>
        <v>85497.106032125579</v>
      </c>
      <c r="AR253" s="41">
        <f t="shared" ref="AR253:AS253" si="2852">AR258-AR248-AR243</f>
        <v>89540.962992028537</v>
      </c>
      <c r="AS253" s="41">
        <f t="shared" si="2852"/>
        <v>99534.420583248473</v>
      </c>
      <c r="AT253" s="41">
        <f t="shared" ref="AT253:AU253" si="2853">AT258-AT248-AT243</f>
        <v>123191.49432898669</v>
      </c>
      <c r="AU253" s="41">
        <f t="shared" si="2853"/>
        <v>127377.92195136941</v>
      </c>
      <c r="AV253" s="41">
        <f t="shared" ref="AV253:AW253" si="2854">AV258-AV248-AV243</f>
        <v>125458.70866369885</v>
      </c>
      <c r="AW253" s="41">
        <f t="shared" si="2854"/>
        <v>116854.68558927027</v>
      </c>
      <c r="AX253" s="41">
        <f t="shared" ref="AX253" si="2855">AX258-AX248-AX243</f>
        <v>140600.99469371827</v>
      </c>
      <c r="AY253" s="211">
        <f t="shared" si="2827"/>
        <v>143242.78169497979</v>
      </c>
      <c r="AZ253" s="41">
        <f>AY253/AY$254*AZ$254</f>
        <v>137385.12367998995</v>
      </c>
      <c r="BA253" s="41">
        <f t="shared" si="2829"/>
        <v>143902.53991310165</v>
      </c>
      <c r="BB253" s="41">
        <f t="shared" si="2830"/>
        <v>148907.46321448035</v>
      </c>
      <c r="BC253" s="41">
        <f t="shared" si="2831"/>
        <v>152630.14979484235</v>
      </c>
      <c r="BD253" s="41">
        <f t="shared" si="2832"/>
        <v>156445.90353971341</v>
      </c>
      <c r="BE253" s="41">
        <f t="shared" si="2833"/>
        <v>160357.05112820622</v>
      </c>
      <c r="BF253" s="41">
        <f t="shared" si="2834"/>
        <v>164365.97740641137</v>
      </c>
      <c r="BG253" s="41">
        <f t="shared" si="2835"/>
        <v>168475.12684157162</v>
      </c>
      <c r="BH253" s="41">
        <f t="shared" si="2835"/>
        <v>172687.00501261093</v>
      </c>
      <c r="BI253" s="41">
        <f t="shared" si="2835"/>
        <v>175567.53831760719</v>
      </c>
      <c r="BJ253" s="41">
        <f t="shared" si="2835"/>
        <v>178477.42782620681</v>
      </c>
      <c r="BK253" s="41">
        <f t="shared" si="2835"/>
        <v>180240.31390331214</v>
      </c>
      <c r="BL253" s="41">
        <f t="shared" si="2836"/>
        <v>179447.61655947482</v>
      </c>
      <c r="BM253" s="41">
        <f t="shared" si="2837"/>
        <v>178663.22287138386</v>
      </c>
      <c r="BN253" s="41">
        <f t="shared" si="2838"/>
        <v>180082.44020583524</v>
      </c>
      <c r="BO253" s="41">
        <f t="shared" si="2839"/>
        <v>183738.33456431396</v>
      </c>
      <c r="BP253" s="41">
        <f t="shared" si="2840"/>
        <v>189296.60491978267</v>
      </c>
      <c r="BQ253" s="41">
        <f t="shared" si="2841"/>
        <v>196868.46911657401</v>
      </c>
      <c r="BR253" s="41"/>
      <c r="BS253" s="41"/>
      <c r="BT253" s="41"/>
      <c r="BU253" s="41"/>
      <c r="BV253" s="41"/>
      <c r="BW253" s="41"/>
      <c r="BX253" s="41"/>
      <c r="BY253" s="41"/>
      <c r="BZ253" s="41"/>
      <c r="CA253" s="41"/>
      <c r="CB253" s="41"/>
      <c r="CC253" s="41">
        <f>SUMPRODUCT(D253:E253,D$5:E$5)/SUM(D$5:E$5)</f>
        <v>15116.071232876713</v>
      </c>
      <c r="CD253" s="41">
        <f>SUMPRODUCT(F253:G253,F$5:G$5)/SUM(F$5:G$5)</f>
        <v>14739.926027397261</v>
      </c>
      <c r="CE253" s="41">
        <f>SUMPRODUCT(H253:I253,H$5:I$5)/SUM(H$5:I$5)</f>
        <v>12772</v>
      </c>
      <c r="CF253" s="41">
        <f>SUMPRODUCT(J253:K253,J$5:K$5)/SUM(J$5:K$5)</f>
        <v>11074.698630136987</v>
      </c>
      <c r="CG253" s="141">
        <v>13699</v>
      </c>
      <c r="CH253" s="141">
        <v>15122</v>
      </c>
      <c r="CI253" s="141">
        <v>25274</v>
      </c>
      <c r="CJ253" s="141">
        <v>37258</v>
      </c>
      <c r="CK253" s="141">
        <v>46364</v>
      </c>
      <c r="CL253" s="141">
        <v>46364</v>
      </c>
      <c r="CM253" s="141">
        <v>60643</v>
      </c>
      <c r="CN253" s="141">
        <v>75059</v>
      </c>
      <c r="CO253" s="141">
        <v>82568</v>
      </c>
      <c r="CP253" s="41">
        <f>CP258-CP248-CP243</f>
        <v>98169.083061790792</v>
      </c>
      <c r="CQ253" s="41">
        <f>CQ258-CQ248-CQ243</f>
        <v>98545.970228288803</v>
      </c>
      <c r="CR253" s="41">
        <f t="shared" ref="CR253:CS253" si="2856">CR258-CR248-CR243</f>
        <v>91751.132808440947</v>
      </c>
      <c r="CS253" s="41">
        <f t="shared" si="2856"/>
        <v>86557.19924038637</v>
      </c>
      <c r="CT253" s="41">
        <f t="shared" ref="CT253:CU253" si="2857">CT258-CT248-CT243</f>
        <v>99271.073748557741</v>
      </c>
      <c r="CU253" s="41">
        <f t="shared" si="2857"/>
        <v>107785.54864161101</v>
      </c>
      <c r="CV253" s="41">
        <f t="shared" ref="CV253" si="2858">CV258-CV248-CV243</f>
        <v>87968.381675189448</v>
      </c>
      <c r="CW253" s="41">
        <f>(AR253*(AR$3-AQ$3)+AS253*(AS$3-AR$3))/(AS$3-AQ$3)</f>
        <v>94551.381455571682</v>
      </c>
      <c r="CX253" s="41">
        <f>(AT253*(AT$3-AS$3)+AU253*(AU$3-AT$3))/(AU$3-AS$3)</f>
        <v>125290.44297253746</v>
      </c>
      <c r="CY253" s="41">
        <f>(AV253*(AV$3-AU$3)+AW253*(AW$3-AV$3))/(AW$3-AU$3)</f>
        <v>121156.69712648455</v>
      </c>
      <c r="CZ253" s="211">
        <f>(AX253*(AX$3-AW$3)+AY253*(AY$3-AX$3))/(AY$3-AW$3)</f>
        <v>141925.50708065214</v>
      </c>
      <c r="DA253" s="41">
        <f>(AZ253*(AZ$3-AY$3)+BA253*(BA$3-AZ$3))/(BA$3-AY$3)</f>
        <v>140652.7597639884</v>
      </c>
      <c r="DB253" s="41">
        <f>(BB253*(BB$3-BA$3)+BC253*(BC$3-BB$3))/(BC$3-BA$3)</f>
        <v>150773.90607531939</v>
      </c>
      <c r="DC253" s="41">
        <f>(BD253*(BD$3-BC$3)+BE253*(BE$3-BD$3))/(BE$3-BC$3)</f>
        <v>158401.47733395983</v>
      </c>
      <c r="DD253" s="41">
        <f>(BF253*(BF$3-BE$3)+BG253*(BG$3-BF$3))/(BG$3-BE$3)</f>
        <v>166426.18109582047</v>
      </c>
      <c r="DE253" s="41">
        <f>(BH253*(BH$3-BG$3)+BI253*(BI$3-BH$3))/(BI$3-BG$3)</f>
        <v>174131.21760114329</v>
      </c>
      <c r="DF253" s="41">
        <f>(BJ253*(BJ$3-BI$3)+BK253*(BK$3-BJ$3))/(BK$3-BI$3)</f>
        <v>179361.28577719387</v>
      </c>
      <c r="DG253" s="41">
        <f>(BL253*(BL$3-BK$3)+BM253*(BM$3-BL$3))/(BM$3-BK$3)</f>
        <v>179055.41971542934</v>
      </c>
      <c r="DH253" s="41">
        <f>(BN253*(BN$3-BM$3)+BO253*(BO$3-BN$3))/(BO$3-BM$3)</f>
        <v>181915.39545953824</v>
      </c>
      <c r="DI253" s="41">
        <f>(BP253*(BP$3-BO$3)+BQ253*(BQ$3-BP$3))/(BQ$3-BO$3)</f>
        <v>193092.90943488624</v>
      </c>
    </row>
    <row r="254" spans="1:113" s="17" customFormat="1" ht="12" outlineLevel="1">
      <c r="A254" s="1" t="s">
        <v>159</v>
      </c>
      <c r="B254" s="17" t="s">
        <v>168</v>
      </c>
      <c r="C254" s="62">
        <f t="shared" ref="C254:L254" si="2859">C252+C253</f>
        <v>15568</v>
      </c>
      <c r="D254" s="62">
        <f t="shared" si="2859"/>
        <v>17392</v>
      </c>
      <c r="E254" s="62">
        <f t="shared" si="2859"/>
        <v>16337</v>
      </c>
      <c r="F254" s="62">
        <f t="shared" si="2859"/>
        <v>16892</v>
      </c>
      <c r="G254" s="62">
        <f t="shared" si="2859"/>
        <v>16046</v>
      </c>
      <c r="H254" s="62">
        <f t="shared" si="2859"/>
        <v>14808</v>
      </c>
      <c r="I254" s="62">
        <f t="shared" si="2859"/>
        <v>14566</v>
      </c>
      <c r="J254" s="62">
        <f t="shared" si="2859"/>
        <v>13044</v>
      </c>
      <c r="K254" s="62">
        <f t="shared" si="2859"/>
        <v>13480</v>
      </c>
      <c r="L254" s="62">
        <f t="shared" si="2859"/>
        <v>15376</v>
      </c>
      <c r="M254" s="62">
        <f t="shared" ref="M254:X254" si="2860">M252+M253</f>
        <v>17401</v>
      </c>
      <c r="N254" s="62">
        <f t="shared" si="2860"/>
        <v>17335</v>
      </c>
      <c r="O254" s="62">
        <f t="shared" si="2860"/>
        <v>18685</v>
      </c>
      <c r="P254" s="62">
        <f t="shared" si="2860"/>
        <v>25428</v>
      </c>
      <c r="Q254" s="62">
        <f t="shared" si="2860"/>
        <v>31237</v>
      </c>
      <c r="R254" s="62">
        <f t="shared" si="2860"/>
        <v>41390</v>
      </c>
      <c r="S254" s="62">
        <f t="shared" si="2860"/>
        <v>41208</v>
      </c>
      <c r="T254" s="62">
        <f t="shared" si="2860"/>
        <v>47071</v>
      </c>
      <c r="U254" s="62">
        <f t="shared" si="2860"/>
        <v>57679</v>
      </c>
      <c r="V254" s="62">
        <f t="shared" si="2860"/>
        <v>57170</v>
      </c>
      <c r="W254" s="62">
        <f t="shared" si="2860"/>
        <v>63772</v>
      </c>
      <c r="X254" s="62">
        <f t="shared" si="2860"/>
        <v>72391</v>
      </c>
      <c r="Y254" s="62">
        <f t="shared" ref="Y254:AD254" si="2861">Y252+Y253</f>
        <v>81866</v>
      </c>
      <c r="Z254" s="62">
        <f t="shared" si="2861"/>
        <v>88988</v>
      </c>
      <c r="AA254" s="62">
        <f t="shared" si="2861"/>
        <v>99889</v>
      </c>
      <c r="AB254" s="62">
        <f t="shared" si="2861"/>
        <v>104611</v>
      </c>
      <c r="AC254" s="62">
        <f t="shared" si="2861"/>
        <v>105691</v>
      </c>
      <c r="AD254" s="62">
        <f t="shared" si="2861"/>
        <v>119887.48230976144</v>
      </c>
      <c r="AE254" s="62">
        <f t="shared" ref="AE254:AF254" si="2862">AE252+AE253</f>
        <v>129162.3203323347</v>
      </c>
      <c r="AF254" s="62">
        <f t="shared" si="2862"/>
        <v>128706.7097729753</v>
      </c>
      <c r="AG254" s="62">
        <f t="shared" ref="AG254:AH254" si="2863">AG252+AG253</f>
        <v>123205.21985738867</v>
      </c>
      <c r="AH254" s="62">
        <f t="shared" si="2863"/>
        <v>122079.06091252227</v>
      </c>
      <c r="AI254" s="62">
        <f t="shared" ref="AI254:AJ254" si="2864">AI252+AI253</f>
        <v>109822.86501060084</v>
      </c>
      <c r="AJ254" s="62">
        <f t="shared" si="2864"/>
        <v>100285.61877526015</v>
      </c>
      <c r="AK254" s="62">
        <f t="shared" ref="AK254:AL254" si="2865">AK252+AK253</f>
        <v>101811.12570031534</v>
      </c>
      <c r="AL254" s="62">
        <f t="shared" si="2865"/>
        <v>115688.50365234443</v>
      </c>
      <c r="AM254" s="62">
        <f t="shared" ref="AM254:AN254" si="2866">AM252+AM253</f>
        <v>125084.83322491986</v>
      </c>
      <c r="AN254" s="62">
        <f t="shared" si="2866"/>
        <v>136212.86671307508</v>
      </c>
      <c r="AO254" s="62">
        <f t="shared" ref="AO254" si="2867">AO252+AO253</f>
        <v>130562.77341494865</v>
      </c>
      <c r="AP254" s="62">
        <f t="shared" ref="AP254:AQ254" si="2868">AP252+AP253</f>
        <v>118409.25235908874</v>
      </c>
      <c r="AQ254" s="62">
        <f t="shared" si="2868"/>
        <v>118499.53511528955</v>
      </c>
      <c r="AR254" s="62">
        <f t="shared" ref="AR254:AS254" si="2869">AR252+AR253</f>
        <v>123632.06804568411</v>
      </c>
      <c r="AS254" s="62">
        <f t="shared" si="2869"/>
        <v>130081.18411467793</v>
      </c>
      <c r="AT254" s="62">
        <f t="shared" ref="AT254:AU254" si="2870">AT252+AT253</f>
        <v>151936.57600720163</v>
      </c>
      <c r="AU254" s="62">
        <f t="shared" si="2870"/>
        <v>150278.10633509696</v>
      </c>
      <c r="AV254" s="62">
        <f t="shared" ref="AV254:AW254" si="2871">AV252+AV253</f>
        <v>146470.34927528491</v>
      </c>
      <c r="AW254" s="62">
        <f t="shared" si="2871"/>
        <v>133482.31737494195</v>
      </c>
      <c r="AX254" s="62">
        <f t="shared" ref="AX254" si="2872">AX252+AX253</f>
        <v>155918.43193158624</v>
      </c>
      <c r="AY254" s="220">
        <f t="shared" ref="AY254" si="2873">AX254*AVERAGE(AX198:AY198)/AVERAGE(AW198:AX198)</f>
        <v>158848.02206450971</v>
      </c>
      <c r="AZ254" s="62">
        <f>AY254*AVERAGE(AY198:AZ198)/AVERAGE(AX198:AY198)</f>
        <v>152352.21558406306</v>
      </c>
      <c r="BA254" s="62">
        <f t="shared" ref="BA254" si="2874">AZ254*AVERAGE(AZ198:BA198)/AVERAGE(AY198:AZ198)</f>
        <v>159579.6560550631</v>
      </c>
      <c r="BB254" s="62">
        <f t="shared" ref="BB254" si="2875">BA254*AVERAGE(BA198:BB198)/AVERAGE(AZ198:BA198)</f>
        <v>165129.82868925206</v>
      </c>
      <c r="BC254" s="62">
        <f t="shared" ref="BC254" si="2876">BB254*AVERAGE(BB198:BC198)/AVERAGE(BA198:BB198)</f>
        <v>169258.07440648336</v>
      </c>
      <c r="BD254" s="62">
        <f t="shared" ref="BD254" si="2877">BC254*AVERAGE(BC198:BD198)/AVERAGE(BB198:BC198)</f>
        <v>173489.52626664544</v>
      </c>
      <c r="BE254" s="62">
        <f t="shared" ref="BE254" si="2878">BD254*AVERAGE(BD198:BE198)/AVERAGE(BC198:BD198)</f>
        <v>177826.76442331154</v>
      </c>
      <c r="BF254" s="62">
        <f t="shared" ref="BF254" si="2879">BE254*AVERAGE(BE198:BF198)/AVERAGE(BD198:BE198)</f>
        <v>182272.43353389433</v>
      </c>
      <c r="BG254" s="62">
        <f t="shared" ref="BG254:BK254" si="2880">BF254*AVERAGE(BF198:BG198)/AVERAGE(BE198:BF198)</f>
        <v>186829.24437224166</v>
      </c>
      <c r="BH254" s="62">
        <f t="shared" si="2880"/>
        <v>191499.97548154771</v>
      </c>
      <c r="BI254" s="62">
        <f t="shared" si="2880"/>
        <v>194694.32156010921</v>
      </c>
      <c r="BJ254" s="62">
        <f t="shared" si="2880"/>
        <v>197921.22198327738</v>
      </c>
      <c r="BK254" s="62">
        <f t="shared" si="2880"/>
        <v>199876.16144451697</v>
      </c>
      <c r="BL254" s="62">
        <f t="shared" ref="BL254" si="2881">BK254*AVERAGE(BK198:BL198)/AVERAGE(BJ198:BK198)</f>
        <v>198997.1055949002</v>
      </c>
      <c r="BM254" s="62">
        <f t="shared" ref="BM254" si="2882">BL254*AVERAGE(BL198:BM198)/AVERAGE(BK198:BL198)</f>
        <v>198127.25802283574</v>
      </c>
      <c r="BN254" s="62">
        <f t="shared" ref="BN254" si="2883">BM254*AVERAGE(BM198:BN198)/AVERAGE(BL198:BM198)</f>
        <v>199701.08857673631</v>
      </c>
      <c r="BO254" s="62">
        <f t="shared" ref="BO254" si="2884">BN254*AVERAGE(BN198:BO198)/AVERAGE(BM198:BN198)</f>
        <v>203755.26555409876</v>
      </c>
      <c r="BP254" s="62">
        <f t="shared" ref="BP254" si="2885">BO254*AVERAGE(BO198:BP198)/AVERAGE(BN198:BO198)</f>
        <v>209919.06830645027</v>
      </c>
      <c r="BQ254" s="62">
        <f t="shared" ref="BQ254" si="2886">BP254*AVERAGE(BP198:BQ198)/AVERAGE(BO198:BP198)</f>
        <v>218315.8310387083</v>
      </c>
      <c r="BR254" s="62"/>
      <c r="BS254" s="384">
        <f>13285.6+2117.5+2031.8-BS249</f>
        <v>10279.400135226506</v>
      </c>
      <c r="BT254" s="384">
        <f>13713+2715+1764-BT249</f>
        <v>10725.776876267748</v>
      </c>
      <c r="BU254" s="61">
        <f>9154+1038+272</f>
        <v>10464</v>
      </c>
      <c r="BV254" s="61">
        <f>9885+1158+628+1139</f>
        <v>12810</v>
      </c>
      <c r="BW254" s="61">
        <f>11722+1142+810+1249</f>
        <v>14923</v>
      </c>
      <c r="BX254" s="61">
        <f>15904+1266+1009+1529</f>
        <v>19708</v>
      </c>
      <c r="BY254" s="61">
        <f>17971+1562+1482+1636</f>
        <v>22651</v>
      </c>
      <c r="BZ254" s="61">
        <f>14569+1599+1525+1481</f>
        <v>19174</v>
      </c>
      <c r="CA254" s="61">
        <f>15234+1359+1371+1280</f>
        <v>19244</v>
      </c>
      <c r="CB254" s="61">
        <f>13156+353+809+432</f>
        <v>14750</v>
      </c>
      <c r="CC254" s="62">
        <f>SUMPRODUCT(D254:E254,D$5:E$5)/SUM(D$5:E$5)</f>
        <v>16865.945205479453</v>
      </c>
      <c r="CD254" s="62">
        <f>SUMPRODUCT(F254:G254,F$5:G$5)/SUM(F$5:G$5)</f>
        <v>16470.158904109594</v>
      </c>
      <c r="CE254" s="62">
        <f>SUMPRODUCT(H254:I254,H$5:I$5)/SUM(H$5:I$5)</f>
        <v>14687</v>
      </c>
      <c r="CF254" s="62">
        <f>SUMPRODUCT(J254:K254,J$5:K$5)/SUM(J$5:K$5)</f>
        <v>13261.402739726029</v>
      </c>
      <c r="CG254" s="62">
        <f t="shared" ref="CG254:CL254" si="2887">CG252+CG253</f>
        <v>16391</v>
      </c>
      <c r="CH254" s="62">
        <f t="shared" si="2887"/>
        <v>18012</v>
      </c>
      <c r="CI254" s="62">
        <f t="shared" si="2887"/>
        <v>28331</v>
      </c>
      <c r="CJ254" s="62">
        <f t="shared" si="2887"/>
        <v>41298</v>
      </c>
      <c r="CK254" s="62">
        <f t="shared" si="2887"/>
        <v>54403</v>
      </c>
      <c r="CL254" s="62">
        <f t="shared" si="2887"/>
        <v>60480</v>
      </c>
      <c r="CM254" s="62">
        <f>CM252+CM253</f>
        <v>77127</v>
      </c>
      <c r="CN254" s="62">
        <f>CN252+CN253</f>
        <v>94453</v>
      </c>
      <c r="CO254" s="62">
        <f>CO252+CO253</f>
        <v>105152</v>
      </c>
      <c r="CP254" s="62">
        <f t="shared" ref="CP254:CQ254" si="2888">CP252+CP253</f>
        <v>124537.49424984612</v>
      </c>
      <c r="CQ254" s="62">
        <f t="shared" si="2888"/>
        <v>125955.96481518199</v>
      </c>
      <c r="CR254" s="62">
        <f t="shared" ref="CR254:CS254" si="2889">CR252+CR253</f>
        <v>115934.17365210684</v>
      </c>
      <c r="CS254" s="62">
        <f t="shared" si="2889"/>
        <v>101050.46197330157</v>
      </c>
      <c r="CT254" s="62">
        <f t="shared" ref="CT254:CU254" si="2890">CT252+CT253</f>
        <v>120399.54012297816</v>
      </c>
      <c r="CU254" s="62">
        <f t="shared" si="2890"/>
        <v>111923.09362378012</v>
      </c>
      <c r="CV254" s="62">
        <f t="shared" ref="CV254" si="2891">CV252+CV253</f>
        <v>118454.51741219769</v>
      </c>
      <c r="CW254" s="62">
        <f>(AR254*(AR$3-AQ$3)+AS254*(AS$3-AR$3))/(AS$3-AQ$3)</f>
        <v>126865.46048575499</v>
      </c>
      <c r="CX254" s="62">
        <f>(AT254*(AT$3-AS$3)+AU254*(AU$3-AT$3))/(AU$3-AS$3)</f>
        <v>151105.06929488614</v>
      </c>
      <c r="CY254" s="62">
        <f>(AV254*(AV$3-AU$3)+AW254*(AW$3-AV$3))/(AW$3-AU$3)</f>
        <v>139976.33332511343</v>
      </c>
      <c r="CZ254" s="220">
        <f>(AX254*(AX$3-AW$3)+AY254*(AY$3-AX$3))/(AY$3-AW$3)</f>
        <v>157387.24013521636</v>
      </c>
      <c r="DA254" s="62">
        <f>(AZ254*(AZ$3-AY$3)+BA254*(BA$3-AZ$3))/(BA$3-AY$3)</f>
        <v>155975.83642294802</v>
      </c>
      <c r="DB254" s="62">
        <f>(BB254*(BB$3-BA$3)+BC254*(BC$3-BB$3))/(BC$3-BA$3)</f>
        <v>167199.60667898721</v>
      </c>
      <c r="DC254" s="62">
        <f>(BD254*(BD$3-BC$3)+BE254*(BE$3-BD$3))/(BE$3-BC$3)</f>
        <v>175658.14534497849</v>
      </c>
      <c r="DD254" s="62">
        <f>(BF254*(BF$3-BE$3)+BG254*(BG$3-BF$3))/(BG$3-BE$3)</f>
        <v>184557.08115969587</v>
      </c>
      <c r="DE254" s="62">
        <f>(BH254*(BH$3-BG$3)+BI254*(BI$3-BH$3))/(BI$3-BG$3)</f>
        <v>193101.52433737443</v>
      </c>
      <c r="DF254" s="62">
        <f>(BJ254*(BJ$3-BI$3)+BK254*(BK$3-BJ$3))/(BK$3-BI$3)</f>
        <v>198901.36971315913</v>
      </c>
      <c r="DG254" s="62">
        <f>(BL254*(BL$3-BK$3)+BM254*(BM$3-BL$3))/(BM$3-BK$3)</f>
        <v>198562.18180886799</v>
      </c>
      <c r="DH254" s="62">
        <f>(BN254*(BN$3-BM$3)+BO254*(BO$3-BN$3))/(BO$3-BM$3)</f>
        <v>201733.73073250981</v>
      </c>
      <c r="DI254" s="62">
        <f>(BP254*(BP$3-BO$3)+BQ254*(BQ$3-BP$3))/(BQ$3-BO$3)</f>
        <v>214128.95208728101</v>
      </c>
    </row>
    <row r="255" spans="1:113" ht="12" outlineLevel="1">
      <c r="C255" s="41"/>
      <c r="D255" s="41"/>
      <c r="E255" s="41"/>
      <c r="F255" s="41"/>
      <c r="G255" s="41"/>
      <c r="H255" s="41"/>
      <c r="I255" s="41"/>
      <c r="J255" s="41"/>
      <c r="K255" s="41"/>
      <c r="L255" s="41"/>
      <c r="M255" s="41"/>
      <c r="N255" s="41"/>
      <c r="O255" s="41"/>
      <c r="P255" s="41"/>
      <c r="Q255" s="41"/>
      <c r="R255" s="41"/>
      <c r="S255" s="41"/>
      <c r="T255" s="41"/>
      <c r="U255" s="41"/>
      <c r="V255" s="41"/>
      <c r="W255" s="41"/>
      <c r="X255" s="41"/>
      <c r="Y255" s="41"/>
      <c r="Z255" s="41"/>
      <c r="AA255" s="41"/>
      <c r="AB255" s="41"/>
      <c r="AC255" s="361"/>
      <c r="AD255" s="41"/>
      <c r="AE255" s="41"/>
      <c r="AF255" s="41"/>
      <c r="AG255" s="41"/>
      <c r="AH255" s="41"/>
      <c r="AI255" s="41"/>
      <c r="AJ255" s="41"/>
      <c r="AK255" s="41"/>
      <c r="AL255" s="41"/>
      <c r="AM255" s="41"/>
      <c r="AN255" s="41"/>
      <c r="AO255" s="41"/>
      <c r="AP255" s="41"/>
      <c r="AQ255" s="41"/>
      <c r="AR255" s="41"/>
      <c r="AS255" s="41"/>
      <c r="AT255" s="41"/>
      <c r="AU255" s="41"/>
      <c r="AV255" s="41"/>
      <c r="AW255" s="41"/>
      <c r="AX255" s="41"/>
      <c r="AY255" s="211"/>
      <c r="AZ255" s="41"/>
      <c r="BA255" s="41"/>
      <c r="BB255" s="41"/>
      <c r="BC255" s="41"/>
      <c r="BD255" s="41"/>
      <c r="BE255" s="41"/>
      <c r="BF255" s="41"/>
      <c r="BG255" s="41"/>
      <c r="BH255" s="41"/>
      <c r="BI255" s="41"/>
      <c r="BJ255" s="41"/>
      <c r="BK255" s="41"/>
      <c r="BL255" s="41"/>
      <c r="BM255" s="41"/>
      <c r="BN255" s="41"/>
      <c r="BO255" s="41"/>
      <c r="BP255" s="41"/>
      <c r="BQ255" s="41"/>
      <c r="BR255" s="41"/>
      <c r="BS255" s="41"/>
      <c r="BT255" s="41"/>
      <c r="BU255" s="41"/>
      <c r="BV255" s="41"/>
      <c r="BW255" s="41"/>
      <c r="BX255" s="41"/>
      <c r="BY255" s="41"/>
      <c r="BZ255" s="41"/>
      <c r="CA255" s="41"/>
      <c r="CB255" s="41"/>
      <c r="CC255" s="41"/>
      <c r="CD255" s="41"/>
      <c r="CE255" s="41"/>
      <c r="CF255" s="41"/>
      <c r="CG255" s="41"/>
      <c r="CH255" s="41"/>
      <c r="CI255" s="41"/>
      <c r="CJ255" s="41"/>
      <c r="CK255" s="41"/>
      <c r="CL255" s="41"/>
      <c r="CM255" s="41"/>
      <c r="CN255" s="41"/>
      <c r="CO255" s="41"/>
      <c r="CP255" s="41"/>
      <c r="CQ255" s="41"/>
      <c r="CR255" s="41"/>
      <c r="CS255" s="41"/>
      <c r="CT255" s="41"/>
      <c r="CU255" s="41"/>
      <c r="CV255" s="41"/>
      <c r="CW255" s="41"/>
      <c r="CX255" s="41"/>
      <c r="CY255" s="41"/>
      <c r="CZ255" s="211"/>
      <c r="DA255" s="41"/>
      <c r="DB255" s="41"/>
      <c r="DC255" s="41"/>
      <c r="DD255" s="41"/>
      <c r="DE255" s="41"/>
      <c r="DF255" s="41"/>
      <c r="DG255" s="41"/>
      <c r="DH255" s="41"/>
      <c r="DI255" s="41"/>
    </row>
    <row r="256" spans="1:113" s="17" customFormat="1" ht="12" outlineLevel="1">
      <c r="A256" s="15"/>
      <c r="B256" s="17" t="s">
        <v>499</v>
      </c>
      <c r="C256" s="62"/>
      <c r="D256" s="62"/>
      <c r="E256" s="62"/>
      <c r="F256" s="62"/>
      <c r="G256" s="62"/>
      <c r="H256" s="62"/>
      <c r="I256" s="62"/>
      <c r="J256" s="62"/>
      <c r="K256" s="62"/>
      <c r="L256" s="62"/>
      <c r="M256" s="62"/>
      <c r="N256" s="62"/>
      <c r="O256" s="62"/>
      <c r="P256" s="62"/>
      <c r="Q256" s="62"/>
      <c r="R256" s="62"/>
      <c r="S256" s="62"/>
      <c r="T256" s="62"/>
      <c r="U256" s="62"/>
      <c r="V256" s="62"/>
      <c r="W256" s="62"/>
      <c r="X256" s="62"/>
      <c r="Y256" s="62"/>
      <c r="Z256" s="62"/>
      <c r="AA256" s="62"/>
      <c r="AB256" s="62"/>
      <c r="AC256" s="41"/>
      <c r="AD256" s="415"/>
      <c r="AE256" s="415"/>
      <c r="AF256" s="415"/>
      <c r="AG256" s="415"/>
      <c r="AH256" s="415"/>
      <c r="AI256" s="62"/>
      <c r="AJ256" s="62"/>
      <c r="AK256" s="62"/>
      <c r="AL256" s="62"/>
      <c r="AM256" s="62"/>
      <c r="AN256" s="62"/>
      <c r="AO256" s="62"/>
      <c r="AP256" s="62"/>
      <c r="AQ256" s="62"/>
      <c r="AR256" s="62"/>
      <c r="AS256" s="62"/>
      <c r="AT256" s="62"/>
      <c r="AU256" s="62"/>
      <c r="AV256" s="62"/>
      <c r="AW256" s="62"/>
      <c r="AX256" s="62"/>
      <c r="AY256" s="220"/>
      <c r="AZ256" s="62"/>
      <c r="BA256" s="62"/>
      <c r="BB256" s="62"/>
      <c r="BC256" s="62"/>
      <c r="BD256" s="62"/>
      <c r="BE256" s="62"/>
      <c r="BF256" s="62"/>
      <c r="BG256" s="62"/>
      <c r="BH256" s="62"/>
      <c r="BI256" s="62"/>
      <c r="BJ256" s="62"/>
      <c r="BK256" s="62"/>
      <c r="BL256" s="62"/>
      <c r="BM256" s="62"/>
      <c r="BN256" s="62"/>
      <c r="BO256" s="62"/>
      <c r="BP256" s="62"/>
      <c r="BQ256" s="62"/>
      <c r="BR256" s="62"/>
      <c r="BS256" s="62"/>
      <c r="BT256" s="62"/>
      <c r="BU256" s="62"/>
      <c r="BV256" s="62"/>
      <c r="BW256" s="62"/>
      <c r="BX256" s="62"/>
      <c r="BY256" s="62"/>
      <c r="BZ256" s="62"/>
      <c r="CA256" s="62"/>
      <c r="CB256" s="62"/>
      <c r="CC256" s="62"/>
      <c r="CD256" s="62"/>
      <c r="CE256" s="62"/>
      <c r="CF256" s="62"/>
      <c r="CG256" s="62"/>
      <c r="CH256" s="62"/>
      <c r="CI256" s="62"/>
      <c r="CJ256" s="62"/>
      <c r="CK256" s="62"/>
      <c r="CL256" s="62"/>
      <c r="CM256" s="62"/>
      <c r="CN256" s="62"/>
      <c r="CO256" s="62"/>
      <c r="CP256" s="62"/>
      <c r="CQ256" s="62"/>
      <c r="CR256" s="62"/>
      <c r="CS256" s="62"/>
      <c r="CT256" s="62"/>
      <c r="CU256" s="62"/>
      <c r="CV256" s="62"/>
      <c r="CW256" s="62"/>
      <c r="CX256" s="62"/>
      <c r="CY256" s="62"/>
      <c r="CZ256" s="220"/>
      <c r="DA256" s="62"/>
      <c r="DB256" s="62"/>
      <c r="DC256" s="62"/>
      <c r="DD256" s="62"/>
      <c r="DE256" s="62"/>
      <c r="DF256" s="62"/>
      <c r="DG256" s="62"/>
      <c r="DH256" s="62"/>
      <c r="DI256" s="62"/>
    </row>
    <row r="257" spans="1:113" ht="12" outlineLevel="1">
      <c r="A257" s="1" t="s">
        <v>289</v>
      </c>
      <c r="B257" s="15" t="str">
        <f>B$184</f>
        <v>Core deposits</v>
      </c>
      <c r="C257" s="41">
        <f t="shared" ref="C257:L258" si="2892">C242+C247+C252</f>
        <v>41869</v>
      </c>
      <c r="D257" s="41">
        <f t="shared" si="2892"/>
        <v>44887</v>
      </c>
      <c r="E257" s="41">
        <f t="shared" si="2892"/>
        <v>46958</v>
      </c>
      <c r="F257" s="41">
        <f t="shared" si="2892"/>
        <v>50278</v>
      </c>
      <c r="G257" s="41">
        <f t="shared" si="2892"/>
        <v>50952</v>
      </c>
      <c r="H257" s="41">
        <f t="shared" si="2892"/>
        <v>61458</v>
      </c>
      <c r="I257" s="41">
        <f t="shared" si="2892"/>
        <v>66792</v>
      </c>
      <c r="J257" s="41">
        <f t="shared" si="2892"/>
        <v>70618</v>
      </c>
      <c r="K257" s="41">
        <f t="shared" si="2892"/>
        <v>75203</v>
      </c>
      <c r="L257" s="41">
        <f t="shared" si="2892"/>
        <v>78364</v>
      </c>
      <c r="M257" s="41">
        <f t="shared" ref="M257:AB258" si="2893">M242+M247+M252</f>
        <v>81913</v>
      </c>
      <c r="N257" s="41">
        <f t="shared" si="2893"/>
        <v>90484</v>
      </c>
      <c r="O257" s="41">
        <f t="shared" si="2893"/>
        <v>96334</v>
      </c>
      <c r="P257" s="41">
        <f t="shared" si="2893"/>
        <v>102148</v>
      </c>
      <c r="Q257" s="41">
        <f t="shared" si="2893"/>
        <v>101409</v>
      </c>
      <c r="R257" s="41">
        <f t="shared" si="2893"/>
        <v>110323</v>
      </c>
      <c r="S257" s="41">
        <f t="shared" si="2893"/>
        <v>115169</v>
      </c>
      <c r="T257" s="41">
        <f t="shared" si="2893"/>
        <v>113739</v>
      </c>
      <c r="U257" s="41">
        <f t="shared" si="2893"/>
        <v>116012</v>
      </c>
      <c r="V257" s="41">
        <f t="shared" si="2893"/>
        <v>119414</v>
      </c>
      <c r="W257" s="41">
        <f t="shared" si="2893"/>
        <v>129878</v>
      </c>
      <c r="X257" s="41">
        <f t="shared" si="2893"/>
        <v>141932</v>
      </c>
      <c r="Y257" s="41">
        <f>Y242+Y247+Y252</f>
        <v>145476</v>
      </c>
      <c r="Z257" s="41">
        <f t="shared" si="2893"/>
        <v>156336</v>
      </c>
      <c r="AA257" s="41">
        <f t="shared" si="2893"/>
        <v>167985</v>
      </c>
      <c r="AB257" s="41">
        <f t="shared" si="2893"/>
        <v>185571</v>
      </c>
      <c r="AC257" s="41">
        <f t="shared" ref="AC257" si="2894">AC242+AC247+AC252</f>
        <v>197492</v>
      </c>
      <c r="AD257" s="41">
        <f t="shared" ref="AD257:AI257" si="2895">AD259-AD258</f>
        <v>216827</v>
      </c>
      <c r="AE257" s="41">
        <f t="shared" si="2895"/>
        <v>233194</v>
      </c>
      <c r="AF257" s="41">
        <f t="shared" si="2895"/>
        <v>246359</v>
      </c>
      <c r="AG257" s="41">
        <f t="shared" si="2895"/>
        <v>251181</v>
      </c>
      <c r="AH257" s="41">
        <f t="shared" si="2895"/>
        <v>256462</v>
      </c>
      <c r="AI257" s="41">
        <f t="shared" si="2895"/>
        <v>275538.32412694267</v>
      </c>
      <c r="AJ257" s="41">
        <f t="shared" ref="AJ257:AK257" si="2896">AJ259-AJ258</f>
        <v>259541.71612450649</v>
      </c>
      <c r="AK257" s="41">
        <f t="shared" si="2896"/>
        <v>257789.12281531753</v>
      </c>
      <c r="AL257" s="41">
        <f t="shared" ref="AL257:AM257" si="2897">AL259-AL258</f>
        <v>255004.67394803528</v>
      </c>
      <c r="AM257" s="41">
        <f t="shared" si="2897"/>
        <v>273650.60550643306</v>
      </c>
      <c r="AN257" s="41">
        <f t="shared" ref="AN257:AO257" si="2898">AN259-AN258</f>
        <v>291632.8467921738</v>
      </c>
      <c r="AO257" s="41">
        <f t="shared" si="2898"/>
        <v>339011.05838689674</v>
      </c>
      <c r="AP257" s="41">
        <f t="shared" ref="AP257:AQ257" si="2899">AP259-AP258</f>
        <v>348602.09619672201</v>
      </c>
      <c r="AQ257" s="41">
        <f t="shared" si="2899"/>
        <v>362251.42871980602</v>
      </c>
      <c r="AR257" s="41">
        <f t="shared" ref="AR257:AS257" si="2900">AR259-AR258</f>
        <v>378614.22875134589</v>
      </c>
      <c r="AS257" s="41">
        <f t="shared" si="2900"/>
        <v>381014.63561073225</v>
      </c>
      <c r="AT257" s="41">
        <f t="shared" ref="AT257:AU257" si="2901">AT259-AT258</f>
        <v>364418.87313887349</v>
      </c>
      <c r="AU257" s="41">
        <f t="shared" si="2901"/>
        <v>352418.24927403824</v>
      </c>
      <c r="AV257" s="41">
        <f t="shared" ref="AV257:AW257" si="2902">AV259-AV258</f>
        <v>354660.8918996813</v>
      </c>
      <c r="AW257" s="41">
        <f t="shared" si="2902"/>
        <v>361787.97201648774</v>
      </c>
      <c r="AX257" s="41">
        <f t="shared" ref="AX257:AY257" si="2903">AX259-AX258</f>
        <v>335541</v>
      </c>
      <c r="AY257" s="211">
        <f t="shared" si="2903"/>
        <v>350549</v>
      </c>
      <c r="AZ257" s="41">
        <f>AZ242+AZ247+AZ252</f>
        <v>361702.08039951976</v>
      </c>
      <c r="BA257" s="41">
        <f t="shared" ref="BA257" si="2904">BA242+BA247+BA252</f>
        <v>378230.6845269606</v>
      </c>
      <c r="BB257" s="41">
        <f t="shared" ref="BB257:BC257" si="2905">BB242+BB247+BB252</f>
        <v>391930.28944751242</v>
      </c>
      <c r="BC257" s="41">
        <f t="shared" si="2905"/>
        <v>403607.08630356379</v>
      </c>
      <c r="BD257" s="41">
        <f t="shared" ref="BD257:BE257" si="2906">BD242+BD247+BD252</f>
        <v>415632.15926961257</v>
      </c>
      <c r="BE257" s="41">
        <f t="shared" si="2906"/>
        <v>428015.90593406622</v>
      </c>
      <c r="BF257" s="41">
        <f t="shared" ref="BF257:BG257" si="2907">BF242+BF247+BF252</f>
        <v>440769.03454561258</v>
      </c>
      <c r="BG257" s="41">
        <f t="shared" si="2907"/>
        <v>453902.57330134348</v>
      </c>
      <c r="BH257" s="41">
        <f t="shared" ref="BH257:BI257" si="2908">BH242+BH247+BH252</f>
        <v>467270.2969681648</v>
      </c>
      <c r="BI257" s="41">
        <f t="shared" si="2908"/>
        <v>480201.54472356389</v>
      </c>
      <c r="BJ257" s="41">
        <f t="shared" ref="BJ257:BK257" si="2909">BJ242+BJ247+BJ252</f>
        <v>493145.41238298116</v>
      </c>
      <c r="BK257" s="41">
        <f t="shared" si="2909"/>
        <v>506637.10401885014</v>
      </c>
      <c r="BL257" s="41">
        <f t="shared" ref="BL257:BM257" si="2910">BL242+BL247+BL252</f>
        <v>518257.66185790318</v>
      </c>
      <c r="BM257" s="41">
        <f t="shared" si="2910"/>
        <v>528047.4036237573</v>
      </c>
      <c r="BN257" s="41">
        <f t="shared" ref="BN257:BO257" si="2911">BN242+BN247+BN252</f>
        <v>538273.97607610363</v>
      </c>
      <c r="BO257" s="41">
        <f t="shared" si="2911"/>
        <v>548944.91629988817</v>
      </c>
      <c r="BP257" s="41">
        <f t="shared" ref="BP257:BQ257" si="2912">BP242+BP247+BP252</f>
        <v>560027.81831562193</v>
      </c>
      <c r="BQ257" s="41">
        <f t="shared" si="2912"/>
        <v>571538.89256101381</v>
      </c>
      <c r="BR257" s="41"/>
      <c r="BS257" s="41"/>
      <c r="BT257" s="41"/>
      <c r="BU257" s="41"/>
      <c r="BV257" s="41"/>
      <c r="BW257" s="41"/>
      <c r="BX257" s="41"/>
      <c r="BY257" s="41"/>
      <c r="BZ257" s="41"/>
      <c r="CA257" s="41"/>
      <c r="CB257" s="41"/>
      <c r="CC257" s="41">
        <f t="shared" ref="CC257:CC262" si="2913">SUMPRODUCT(D257:E257,D$5:E$5)/SUM(D$5:E$5)</f>
        <v>45919.663013698628</v>
      </c>
      <c r="CD257" s="41">
        <f t="shared" ref="CD257:CD262" si="2914">SUMPRODUCT(F257:G257,F$5:G$5)/SUM(F$5:G$5)</f>
        <v>50614.076712328766</v>
      </c>
      <c r="CE257" s="41">
        <f t="shared" ref="CE257:CE262" si="2915">SUMPRODUCT(H257:I257,H$5:I$5)/SUM(H$5:I$5)</f>
        <v>64125</v>
      </c>
      <c r="CF257" s="41">
        <f t="shared" ref="CF257:CF262" si="2916">SUMPRODUCT(J257:K257,J$5:K$5)/SUM(J$5:K$5)</f>
        <v>72904.219178082189</v>
      </c>
      <c r="CG257" s="41">
        <f t="shared" ref="CG257:CL257" si="2917">CG242+CG247+CG252</f>
        <v>80442</v>
      </c>
      <c r="CH257" s="41">
        <f t="shared" si="2917"/>
        <v>92876</v>
      </c>
      <c r="CI257" s="41">
        <f t="shared" si="2917"/>
        <v>101781</v>
      </c>
      <c r="CJ257" s="41">
        <f t="shared" si="2917"/>
        <v>112752</v>
      </c>
      <c r="CK257" s="41">
        <f t="shared" si="2917"/>
        <v>114880</v>
      </c>
      <c r="CL257" s="41">
        <f t="shared" si="2917"/>
        <v>124662</v>
      </c>
      <c r="CM257" s="41">
        <f t="shared" ref="CM257:CO258" si="2918">CM242+CM247+CM252</f>
        <v>143702</v>
      </c>
      <c r="CN257" s="41">
        <f t="shared" si="2918"/>
        <v>162178</v>
      </c>
      <c r="CO257" s="41">
        <f t="shared" si="2918"/>
        <v>191548</v>
      </c>
      <c r="CP257" s="41">
        <f t="shared" ref="CP257:CV257" si="2919">CP259-CP258</f>
        <v>225033</v>
      </c>
      <c r="CQ257" s="41">
        <f t="shared" si="2919"/>
        <v>248770</v>
      </c>
      <c r="CR257" s="41">
        <f t="shared" si="2919"/>
        <v>266025.38990474108</v>
      </c>
      <c r="CS257" s="41">
        <f t="shared" si="2919"/>
        <v>258663.02687633783</v>
      </c>
      <c r="CT257" s="41">
        <f t="shared" si="2919"/>
        <v>264352.76566087583</v>
      </c>
      <c r="CU257" s="41">
        <f t="shared" si="2919"/>
        <v>293857.22614930349</v>
      </c>
      <c r="CV257" s="41">
        <f t="shared" si="2919"/>
        <v>355445.4683932272</v>
      </c>
      <c r="CW257" s="41">
        <f>(AR257*(AR$3-AQ$3)+AS257*(AS$3-AR$3))/(AS$3-AQ$3)</f>
        <v>379817.72040961363</v>
      </c>
      <c r="CX257" s="41">
        <f>(AT257*(AT$3-AS$3)+AU257*(AU$3-AT$3))/(AU$3-AS$3)</f>
        <v>358402.12199568207</v>
      </c>
      <c r="CY257" s="41">
        <f>(AV257*(AV$3-AU$3)+AW257*(AW$3-AV$3))/(AW$3-AU$3)</f>
        <v>358224.43195808458</v>
      </c>
      <c r="CZ257" s="211">
        <f>(AX257*(AX$3-AW$3)+AY257*(AY$3-AX$3))/(AY$3-AW$3)</f>
        <v>343065.55890410958</v>
      </c>
      <c r="DA257" s="41">
        <f>(AZ257*(AZ$3-AY$3)+BA257*(BA$3-AZ$3))/(BA$3-AY$3)</f>
        <v>369989.0243867024</v>
      </c>
      <c r="DB257" s="41">
        <f>(BB257*(BB$3-BA$3)+BC257*(BC$3-BB$3))/(BC$3-BA$3)</f>
        <v>397784.68348766974</v>
      </c>
      <c r="DC257" s="41">
        <f>(BD257*(BD$3-BC$3)+BE257*(BE$3-BD$3))/(BE$3-BC$3)</f>
        <v>421824.0326018394</v>
      </c>
      <c r="DD257" s="41">
        <f>(BF257*(BF$3-BE$3)+BG257*(BG$3-BF$3))/(BG$3-BE$3)</f>
        <v>447353.79507245857</v>
      </c>
      <c r="DE257" s="41">
        <f>(BH257*(BH$3-BG$3)+BI257*(BI$3-BH$3))/(BI$3-BG$3)</f>
        <v>473753.63488388545</v>
      </c>
      <c r="DF257" s="41">
        <f>(BJ257*(BJ$3-BI$3)+BK257*(BK$3-BJ$3))/(BK$3-BI$3)</f>
        <v>499909.73997027986</v>
      </c>
      <c r="DG257" s="41">
        <f>(BL257*(BL$3-BK$3)+BM257*(BM$3-BL$3))/(BM$3-BK$3)</f>
        <v>523152.53274083021</v>
      </c>
      <c r="DH257" s="41">
        <f>(BN257*(BN$3-BM$3)+BO257*(BO$3-BN$3))/(BO$3-BM$3)</f>
        <v>543624.06391432986</v>
      </c>
      <c r="DI257" s="41">
        <f>(BP257*(BP$3-BO$3)+BQ257*(BQ$3-BP$3))/(BQ$3-BO$3)</f>
        <v>565799.12403317459</v>
      </c>
    </row>
    <row r="258" spans="1:113" ht="12" outlineLevel="1">
      <c r="A258" s="1" t="s">
        <v>290</v>
      </c>
      <c r="B258" s="15" t="str">
        <f>B$185</f>
        <v>Time deposits (includes CDs)</v>
      </c>
      <c r="C258" s="41">
        <f t="shared" si="2892"/>
        <v>41101</v>
      </c>
      <c r="D258" s="41">
        <f t="shared" si="2892"/>
        <v>43684</v>
      </c>
      <c r="E258" s="41">
        <f t="shared" si="2892"/>
        <v>45806</v>
      </c>
      <c r="F258" s="41">
        <f t="shared" si="2892"/>
        <v>50249</v>
      </c>
      <c r="G258" s="41">
        <f t="shared" si="2892"/>
        <v>50899</v>
      </c>
      <c r="H258" s="41">
        <f t="shared" si="2892"/>
        <v>60265</v>
      </c>
      <c r="I258" s="41">
        <f t="shared" si="2892"/>
        <v>68777</v>
      </c>
      <c r="J258" s="41">
        <f t="shared" si="2892"/>
        <v>75241</v>
      </c>
      <c r="K258" s="41">
        <f t="shared" si="2892"/>
        <v>76844</v>
      </c>
      <c r="L258" s="41">
        <f t="shared" si="2892"/>
        <v>80993</v>
      </c>
      <c r="M258" s="41">
        <f t="shared" si="2893"/>
        <v>84934</v>
      </c>
      <c r="N258" s="41">
        <f t="shared" si="2893"/>
        <v>88308</v>
      </c>
      <c r="O258" s="41">
        <f t="shared" si="2893"/>
        <v>96472</v>
      </c>
      <c r="P258" s="41">
        <f t="shared" si="2893"/>
        <v>118960</v>
      </c>
      <c r="Q258" s="41">
        <f t="shared" si="2893"/>
        <v>134290</v>
      </c>
      <c r="R258" s="41">
        <f t="shared" si="2893"/>
        <v>155655</v>
      </c>
      <c r="S258" s="41">
        <f t="shared" si="2893"/>
        <v>154972</v>
      </c>
      <c r="T258" s="41">
        <f t="shared" si="2893"/>
        <v>167124</v>
      </c>
      <c r="U258" s="41">
        <f t="shared" si="2893"/>
        <v>180731</v>
      </c>
      <c r="V258" s="41">
        <f t="shared" si="2893"/>
        <v>195383</v>
      </c>
      <c r="W258" s="41">
        <f t="shared" si="2893"/>
        <v>204103</v>
      </c>
      <c r="X258" s="41">
        <f t="shared" si="2893"/>
        <v>213735</v>
      </c>
      <c r="Y258" s="41">
        <f>Y243+Y248+Y253</f>
        <v>232524</v>
      </c>
      <c r="Z258" s="41">
        <f t="shared" si="2893"/>
        <v>234365</v>
      </c>
      <c r="AA258" s="41">
        <f t="shared" si="2893"/>
        <v>246481</v>
      </c>
      <c r="AB258" s="41">
        <f t="shared" si="2893"/>
        <v>251654</v>
      </c>
      <c r="AC258" s="41">
        <f t="shared" ref="AC258" si="2920">AC243+AC248+AC253</f>
        <v>249868</v>
      </c>
      <c r="AD258" s="141">
        <f>60740+196891</f>
        <v>257631</v>
      </c>
      <c r="AE258" s="141">
        <f>64616+192790</f>
        <v>257406</v>
      </c>
      <c r="AF258" s="141">
        <f>63722+197297</f>
        <v>261019</v>
      </c>
      <c r="AG258" s="141">
        <f>61712+199583</f>
        <v>261295</v>
      </c>
      <c r="AH258" s="141">
        <f>59500+205073</f>
        <v>264573</v>
      </c>
      <c r="AI258" s="141">
        <f>57610+194258</f>
        <v>251868</v>
      </c>
      <c r="AJ258" s="141">
        <f>51748+200255</f>
        <v>252003</v>
      </c>
      <c r="AK258" s="141">
        <f>47855+207804</f>
        <v>255659</v>
      </c>
      <c r="AL258" s="141">
        <f>43592+217887</f>
        <v>261479</v>
      </c>
      <c r="AM258" s="141">
        <f>41561+228739</f>
        <v>270300</v>
      </c>
      <c r="AN258" s="141">
        <f>37398+231163</f>
        <v>268561</v>
      </c>
      <c r="AO258" s="141">
        <f>34053+213816</f>
        <v>247869</v>
      </c>
      <c r="AP258" s="141">
        <f>37294+194655</f>
        <v>231949</v>
      </c>
      <c r="AQ258" s="141">
        <f>40278+182917</f>
        <v>223195</v>
      </c>
      <c r="AR258" s="141">
        <f>38148+176866</f>
        <v>215014</v>
      </c>
      <c r="AS258" s="141">
        <f>37232+191680</f>
        <v>228912</v>
      </c>
      <c r="AT258" s="141">
        <f>41710+226515</f>
        <v>268225</v>
      </c>
      <c r="AU258" s="141">
        <f>44616+245976</f>
        <v>290592</v>
      </c>
      <c r="AV258" s="141">
        <f>45046+263285</f>
        <v>308331</v>
      </c>
      <c r="AW258" s="141">
        <f>42503+258196</f>
        <v>300699</v>
      </c>
      <c r="AX258" s="141">
        <f>41830+294139</f>
        <v>335969</v>
      </c>
      <c r="AY258" s="226">
        <f>42600+299714</f>
        <v>342314</v>
      </c>
      <c r="AZ258" s="41">
        <f>AZ243+AZ248+AZ253</f>
        <v>342789.37108536565</v>
      </c>
      <c r="BA258" s="41">
        <f t="shared" ref="BA258" si="2921">BA243+BA248+BA253</f>
        <v>358320.92315346282</v>
      </c>
      <c r="BB258" s="41">
        <f t="shared" ref="BB258:BC258" si="2922">BB243+BB248+BB253</f>
        <v>370889.12199053593</v>
      </c>
      <c r="BC258" s="41">
        <f t="shared" si="2922"/>
        <v>381271.25833417958</v>
      </c>
      <c r="BD258" s="41">
        <f t="shared" ref="BD258:BE258" si="2923">BD243+BD248+BD253</f>
        <v>391946.24533523072</v>
      </c>
      <c r="BE258" s="41">
        <f t="shared" si="2923"/>
        <v>402922.40317758906</v>
      </c>
      <c r="BF258" s="41">
        <f t="shared" ref="BF258:BG258" si="2924">BF243+BF248+BF253</f>
        <v>414208.29001727561</v>
      </c>
      <c r="BG258" s="41">
        <f t="shared" si="2924"/>
        <v>425812.70883076172</v>
      </c>
      <c r="BH258" s="41">
        <f t="shared" ref="BH258:BI258" si="2925">BH243+BH248+BH253</f>
        <v>437562.16299319186</v>
      </c>
      <c r="BI258" s="41">
        <f t="shared" si="2925"/>
        <v>447420.15951664204</v>
      </c>
      <c r="BJ258" s="41">
        <f t="shared" ref="BJ258:BK258" si="2926">BJ243+BJ248+BJ253</f>
        <v>457089.25191169442</v>
      </c>
      <c r="BK258" s="41">
        <f t="shared" si="2926"/>
        <v>466154.67231132888</v>
      </c>
      <c r="BL258" s="41">
        <f t="shared" ref="BL258:BM258" si="2927">BL243+BL248+BL253</f>
        <v>471984.40160659282</v>
      </c>
      <c r="BM258" s="41">
        <f t="shared" si="2927"/>
        <v>476928.50374596391</v>
      </c>
      <c r="BN258" s="41">
        <f t="shared" ref="BN258:BO258" si="2928">BN243+BN248+BN253</f>
        <v>484189.56785623648</v>
      </c>
      <c r="BO258" s="41">
        <f t="shared" si="2928"/>
        <v>493802.91704301408</v>
      </c>
      <c r="BP258" s="41">
        <f t="shared" ref="BP258:BQ258" si="2929">BP243+BP248+BP253</f>
        <v>505436.5524985778</v>
      </c>
      <c r="BQ258" s="41">
        <f t="shared" si="2929"/>
        <v>519204.0403055863</v>
      </c>
      <c r="BR258" s="41"/>
      <c r="BS258" s="41"/>
      <c r="BT258" s="41"/>
      <c r="BU258" s="41"/>
      <c r="BV258" s="41"/>
      <c r="BW258" s="41"/>
      <c r="BX258" s="41"/>
      <c r="BY258" s="41"/>
      <c r="BZ258" s="41"/>
      <c r="CA258" s="41"/>
      <c r="CB258" s="41"/>
      <c r="CC258" s="41">
        <f t="shared" si="2913"/>
        <v>44742.09315068493</v>
      </c>
      <c r="CD258" s="41">
        <f t="shared" si="2914"/>
        <v>50573.109589041094</v>
      </c>
      <c r="CE258" s="41">
        <f t="shared" si="2915"/>
        <v>64521</v>
      </c>
      <c r="CF258" s="41">
        <f t="shared" si="2916"/>
        <v>76040.304109589051</v>
      </c>
      <c r="CG258" s="41">
        <f t="shared" ref="CG258:CL258" si="2930">CG243+CG248+CG253</f>
        <v>82670</v>
      </c>
      <c r="CH258" s="41">
        <f t="shared" si="2930"/>
        <v>92401</v>
      </c>
      <c r="CI258" s="41">
        <f t="shared" si="2930"/>
        <v>126625</v>
      </c>
      <c r="CJ258" s="41">
        <f t="shared" si="2930"/>
        <v>155312</v>
      </c>
      <c r="CK258" s="41">
        <f t="shared" si="2930"/>
        <v>175957</v>
      </c>
      <c r="CL258" s="41">
        <f t="shared" si="2930"/>
        <v>199754</v>
      </c>
      <c r="CM258" s="41">
        <f t="shared" si="2918"/>
        <v>223132</v>
      </c>
      <c r="CN258" s="41">
        <f t="shared" si="2918"/>
        <v>240439</v>
      </c>
      <c r="CO258" s="41">
        <f t="shared" si="2918"/>
        <v>250758</v>
      </c>
      <c r="CP258" s="141">
        <f>62683+194835</f>
        <v>257518</v>
      </c>
      <c r="CQ258" s="141">
        <f>62717+198440</f>
        <v>261157</v>
      </c>
      <c r="CR258" s="141">
        <f>58553+199651</f>
        <v>258204</v>
      </c>
      <c r="CS258" s="141">
        <f>49796+204040</f>
        <v>253836</v>
      </c>
      <c r="CT258" s="141">
        <f>42574+223328</f>
        <v>265902</v>
      </c>
      <c r="CU258" s="141">
        <f>35726+222489</f>
        <v>258215</v>
      </c>
      <c r="CV258" s="141">
        <f>38790+188770</f>
        <v>227560</v>
      </c>
      <c r="CW258" s="141">
        <f>37689+184293</f>
        <v>221982</v>
      </c>
      <c r="CX258" s="141">
        <f>43167+236272</f>
        <v>279439</v>
      </c>
      <c r="CY258" s="141">
        <f>43775+260740</f>
        <v>304515</v>
      </c>
      <c r="CZ258" s="226">
        <f>42216+296934</f>
        <v>339150</v>
      </c>
      <c r="DA258" s="41">
        <f>(AZ258*(AZ$3-AY$3)+BA258*(BA$3-AZ$3))/(BA$3-AY$3)</f>
        <v>350576.4232181377</v>
      </c>
      <c r="DB258" s="41">
        <f>(BB258*(BB$3-BA$3)+BC258*(BC$3-BB$3))/(BC$3-BA$3)</f>
        <v>376094.41226693807</v>
      </c>
      <c r="DC258" s="41">
        <f>(BD258*(BD$3-BC$3)+BE258*(BE$3-BD$3))/(BE$3-BC$3)</f>
        <v>397434.32425640989</v>
      </c>
      <c r="DD258" s="41">
        <f>(BF258*(BF$3-BE$3)+BG258*(BG$3-BF$3))/(BG$3-BE$3)</f>
        <v>420026.39588814671</v>
      </c>
      <c r="DE258" s="41">
        <f>(BH258*(BH$3-BG$3)+BI258*(BI$3-BH$3))/(BI$3-BG$3)</f>
        <v>442504.66535974364</v>
      </c>
      <c r="DF258" s="41">
        <f>(BJ258*(BJ$3-BI$3)+BK258*(BK$3-BJ$3))/(BK$3-BI$3)</f>
        <v>461634.38049562078</v>
      </c>
      <c r="DG258" s="41">
        <f>(BL258*(BL$3-BK$3)+BM258*(BM$3-BL$3))/(BM$3-BK$3)</f>
        <v>474456.45267627831</v>
      </c>
      <c r="DH258" s="41">
        <f>(BN258*(BN$3-BM$3)+BO258*(BO$3-BN$3))/(BO$3-BM$3)</f>
        <v>489009.41142111394</v>
      </c>
      <c r="DI258" s="41">
        <f>(BP258*(BP$3-BO$3)+BQ258*(BQ$3-BP$3))/(BQ$3-BO$3)</f>
        <v>512339.15597442043</v>
      </c>
    </row>
    <row r="259" spans="1:113" s="17" customFormat="1" ht="12" outlineLevel="1">
      <c r="A259" s="1" t="s">
        <v>291</v>
      </c>
      <c r="B259" s="17" t="s">
        <v>168</v>
      </c>
      <c r="C259" s="62">
        <f t="shared" ref="C259:L259" si="2931">C257+C258</f>
        <v>82970</v>
      </c>
      <c r="D259" s="62">
        <f t="shared" si="2931"/>
        <v>88571</v>
      </c>
      <c r="E259" s="62">
        <f t="shared" si="2931"/>
        <v>92764</v>
      </c>
      <c r="F259" s="62">
        <f t="shared" si="2931"/>
        <v>100527</v>
      </c>
      <c r="G259" s="62">
        <f t="shared" si="2931"/>
        <v>101851</v>
      </c>
      <c r="H259" s="62">
        <f t="shared" si="2931"/>
        <v>121723</v>
      </c>
      <c r="I259" s="62">
        <f t="shared" si="2931"/>
        <v>135569</v>
      </c>
      <c r="J259" s="62">
        <f t="shared" si="2931"/>
        <v>145859</v>
      </c>
      <c r="K259" s="62">
        <f t="shared" si="2931"/>
        <v>152047</v>
      </c>
      <c r="L259" s="62">
        <f t="shared" si="2931"/>
        <v>159357</v>
      </c>
      <c r="M259" s="62">
        <f t="shared" ref="M259:AC259" si="2932">M257+M258</f>
        <v>166847</v>
      </c>
      <c r="N259" s="62">
        <f t="shared" si="2932"/>
        <v>178792</v>
      </c>
      <c r="O259" s="62">
        <f t="shared" si="2932"/>
        <v>192806</v>
      </c>
      <c r="P259" s="62">
        <f t="shared" si="2932"/>
        <v>221108</v>
      </c>
      <c r="Q259" s="62">
        <f t="shared" si="2932"/>
        <v>235699</v>
      </c>
      <c r="R259" s="62">
        <f t="shared" si="2932"/>
        <v>265978</v>
      </c>
      <c r="S259" s="62">
        <f t="shared" si="2932"/>
        <v>270141</v>
      </c>
      <c r="T259" s="62">
        <f t="shared" si="2932"/>
        <v>280863</v>
      </c>
      <c r="U259" s="62">
        <f t="shared" si="2932"/>
        <v>296743</v>
      </c>
      <c r="V259" s="62">
        <f t="shared" si="2932"/>
        <v>314797</v>
      </c>
      <c r="W259" s="62">
        <f t="shared" si="2932"/>
        <v>333981</v>
      </c>
      <c r="X259" s="62">
        <f t="shared" si="2932"/>
        <v>355667</v>
      </c>
      <c r="Y259" s="62">
        <f t="shared" si="2932"/>
        <v>378000</v>
      </c>
      <c r="Z259" s="62">
        <f t="shared" si="2932"/>
        <v>390701</v>
      </c>
      <c r="AA259" s="62">
        <f t="shared" si="2932"/>
        <v>414466</v>
      </c>
      <c r="AB259" s="62">
        <f t="shared" si="2932"/>
        <v>437225</v>
      </c>
      <c r="AC259" s="62">
        <f t="shared" si="2932"/>
        <v>447360</v>
      </c>
      <c r="AD259" s="194">
        <f>60740+196891+199826+17001</f>
        <v>474458</v>
      </c>
      <c r="AE259" s="194">
        <f>64616+192790+215001+18193</f>
        <v>490600</v>
      </c>
      <c r="AF259" s="194">
        <f>63722+197297+204031+42328</f>
        <v>507378</v>
      </c>
      <c r="AG259" s="194">
        <f>61712+199583+207316+43865</f>
        <v>512476</v>
      </c>
      <c r="AH259" s="194">
        <f>59500+205073+209759+46703</f>
        <v>521035</v>
      </c>
      <c r="AI259" s="194">
        <f>57610+194258+230143+(46703/183894)*178745</f>
        <v>527406.32412694267</v>
      </c>
      <c r="AJ259" s="194">
        <f>51748+200255+222540+(46703/183894)*145695</f>
        <v>511544.71612450649</v>
      </c>
      <c r="AK259" s="194">
        <f>47855+207804+219609+(46703/183894)*150335</f>
        <v>513448.12281531753</v>
      </c>
      <c r="AL259" s="194">
        <f>43592+217887+215957+(46703/183894)*153751</f>
        <v>516483.67394803528</v>
      </c>
      <c r="AM259" s="194">
        <f>41561+228739+227405+(46703/183894)*182093</f>
        <v>543950.60550643306</v>
      </c>
      <c r="AN259" s="194">
        <f>37398+231163+239786+(46703/183894)*204148</f>
        <v>560193.8467921738</v>
      </c>
      <c r="AO259" s="194">
        <f>34053+213816+275739+(46703/183894)*249135</f>
        <v>586880.05838689674</v>
      </c>
      <c r="AP259" s="194">
        <f>37294+194655+289633+(46703/183894)*232192</f>
        <v>580551.09619672201</v>
      </c>
      <c r="AQ259" s="194">
        <f>40278+182917+312464+(46703/183894)*196039</f>
        <v>585446.42871980602</v>
      </c>
      <c r="AR259" s="194">
        <f>38148+176866+339419+(46703/183894)*154332</f>
        <v>593628.22875134589</v>
      </c>
      <c r="AS259" s="194">
        <f>37232+191680+334447+(46703/183894)*183361</f>
        <v>609926.63561073225</v>
      </c>
      <c r="AT259" s="194">
        <f>41710+226515+317740+(46703/183894)*183799</f>
        <v>632643.87313887349</v>
      </c>
      <c r="AU259" s="194">
        <f>44616+245976+307908+(46703/183894)*175260</f>
        <v>643010.24927403824</v>
      </c>
      <c r="AV259" s="194">
        <f>45046+263285+311662+(46703/183894)*169309</f>
        <v>662991.8918996813</v>
      </c>
      <c r="AW259" s="194">
        <f>42503+258196+315823+(46703/183894)*180988</f>
        <v>662486.97201648774</v>
      </c>
      <c r="AX259" s="194">
        <f>41830+294139+335541</f>
        <v>671510</v>
      </c>
      <c r="AY259" s="227">
        <f>42600+299714+350549</f>
        <v>692863</v>
      </c>
      <c r="AZ259" s="62">
        <f t="shared" ref="AZ259:BA259" si="2933">AZ257+AZ258</f>
        <v>704491.45148488542</v>
      </c>
      <c r="BA259" s="62">
        <f t="shared" si="2933"/>
        <v>736551.60768042342</v>
      </c>
      <c r="BB259" s="62">
        <f t="shared" ref="BB259:BC259" si="2934">BB257+BB258</f>
        <v>762819.41143804835</v>
      </c>
      <c r="BC259" s="62">
        <f t="shared" si="2934"/>
        <v>784878.34463774343</v>
      </c>
      <c r="BD259" s="62">
        <f t="shared" ref="BD259:BE259" si="2935">BD257+BD258</f>
        <v>807578.40460484335</v>
      </c>
      <c r="BE259" s="62">
        <f t="shared" si="2935"/>
        <v>830938.30911165522</v>
      </c>
      <c r="BF259" s="62">
        <f t="shared" ref="BF259:BG259" si="2936">BF257+BF258</f>
        <v>854977.32456288813</v>
      </c>
      <c r="BG259" s="62">
        <f t="shared" si="2936"/>
        <v>879715.2821321052</v>
      </c>
      <c r="BH259" s="62">
        <f t="shared" ref="BH259:BI259" si="2937">BH257+BH258</f>
        <v>904832.4599613566</v>
      </c>
      <c r="BI259" s="62">
        <f t="shared" si="2937"/>
        <v>927621.70424020593</v>
      </c>
      <c r="BJ259" s="62">
        <f t="shared" ref="BJ259:BK259" si="2938">BJ257+BJ258</f>
        <v>950234.66429467557</v>
      </c>
      <c r="BK259" s="62">
        <f t="shared" si="2938"/>
        <v>972791.77633017907</v>
      </c>
      <c r="BL259" s="62">
        <f t="shared" ref="BL259:BM259" si="2939">BL257+BL258</f>
        <v>990242.06346449605</v>
      </c>
      <c r="BM259" s="62">
        <f t="shared" si="2939"/>
        <v>1004975.9073697212</v>
      </c>
      <c r="BN259" s="62">
        <f t="shared" ref="BN259:BO259" si="2940">BN257+BN258</f>
        <v>1022463.5439323401</v>
      </c>
      <c r="BO259" s="62">
        <f t="shared" si="2940"/>
        <v>1042747.8333429022</v>
      </c>
      <c r="BP259" s="62">
        <f t="shared" ref="BP259:BQ259" si="2941">BP257+BP258</f>
        <v>1065464.3708141998</v>
      </c>
      <c r="BQ259" s="62">
        <f t="shared" si="2941"/>
        <v>1090742.9328666001</v>
      </c>
      <c r="BR259" s="62"/>
      <c r="BS259" s="62">
        <f t="shared" ref="BS259:CB259" si="2942">BS244+BS249+BS254</f>
        <v>45587.3</v>
      </c>
      <c r="BT259" s="62">
        <f t="shared" si="2942"/>
        <v>46844</v>
      </c>
      <c r="BU259" s="62">
        <f t="shared" si="2942"/>
        <v>46917</v>
      </c>
      <c r="BV259" s="62">
        <f t="shared" si="2942"/>
        <v>58974</v>
      </c>
      <c r="BW259" s="62">
        <f t="shared" si="2942"/>
        <v>64583</v>
      </c>
      <c r="BX259" s="62">
        <f t="shared" si="2942"/>
        <v>74316</v>
      </c>
      <c r="BY259" s="62">
        <f t="shared" si="2942"/>
        <v>81038</v>
      </c>
      <c r="BZ259" s="62">
        <f t="shared" si="2942"/>
        <v>81087</v>
      </c>
      <c r="CA259" s="62">
        <f t="shared" si="2942"/>
        <v>87180</v>
      </c>
      <c r="CB259" s="62">
        <f t="shared" si="2942"/>
        <v>81684</v>
      </c>
      <c r="CC259" s="62">
        <f t="shared" si="2913"/>
        <v>90661.75616438358</v>
      </c>
      <c r="CD259" s="62">
        <f t="shared" si="2914"/>
        <v>101187.18630136987</v>
      </c>
      <c r="CE259" s="62">
        <f t="shared" si="2915"/>
        <v>128646</v>
      </c>
      <c r="CF259" s="62">
        <f t="shared" si="2916"/>
        <v>148944.52328767124</v>
      </c>
      <c r="CG259" s="62">
        <f t="shared" ref="CG259:CL259" si="2943">CG257+CG258</f>
        <v>163112</v>
      </c>
      <c r="CH259" s="62">
        <f t="shared" si="2943"/>
        <v>185277</v>
      </c>
      <c r="CI259" s="62">
        <f t="shared" si="2943"/>
        <v>228406</v>
      </c>
      <c r="CJ259" s="62">
        <f t="shared" si="2943"/>
        <v>268064</v>
      </c>
      <c r="CK259" s="62">
        <f t="shared" si="2943"/>
        <v>290837</v>
      </c>
      <c r="CL259" s="62">
        <f t="shared" si="2943"/>
        <v>324416</v>
      </c>
      <c r="CM259" s="62">
        <f>CM257+CM258</f>
        <v>366834</v>
      </c>
      <c r="CN259" s="62">
        <f>CN257+CN258</f>
        <v>402617</v>
      </c>
      <c r="CO259" s="62">
        <f t="shared" ref="CO259" si="2944">CO257+CO258</f>
        <v>442306</v>
      </c>
      <c r="CP259" s="194">
        <f>62683+194835+207433+17600</f>
        <v>482551</v>
      </c>
      <c r="CQ259" s="62">
        <f>(AF259*(AF$3-AE$3)+AG259*(AG$3-AF$3))/(AG$3-AE$3)</f>
        <v>509927</v>
      </c>
      <c r="CR259" s="62">
        <f>(AH259*(AH$3-AG$3)+AI259*(AI$3-AH$3))/(AI$3-AG$3)</f>
        <v>524229.38990474108</v>
      </c>
      <c r="CS259" s="62">
        <f>(AJ259*(AJ$3-AI$3)+AK259*(AK$3-AJ$3))/(AK$3-AI$3)</f>
        <v>512499.02687633783</v>
      </c>
      <c r="CT259" s="62">
        <f>(AL259*(AL$3-AK$3)+AM259*(AM$3-AL$3))/(AM$3-AK$3)</f>
        <v>530254.76566087583</v>
      </c>
      <c r="CU259" s="62">
        <f>(AM259*(AM$3-AL$3)+AN259*(AN$3-AM$3))/(AN$3-AL$3)</f>
        <v>552072.22614930349</v>
      </c>
      <c r="CV259" s="62">
        <f>(AP259*(AP$3-AO$3)+AQ259*(AQ$3-AP$3))/(AQ$3-AO$3)</f>
        <v>583005.4683932272</v>
      </c>
      <c r="CW259" s="62">
        <f>(AR259*(AR$3-AQ$3)+AS259*(AS$3-AR$3))/(AS$3-AQ$3)</f>
        <v>601799.75876577804</v>
      </c>
      <c r="CX259" s="62">
        <f>(AT259*(AT$3-AS$3)+AU259*(AU$3-AT$3))/(AU$3-AS$3)</f>
        <v>637841.26172170951</v>
      </c>
      <c r="CY259" s="62">
        <f>(AV259*(AV$3-AU$3)+AW259*(AW$3-AV$3))/(AW$3-AU$3)</f>
        <v>662739.43195808458</v>
      </c>
      <c r="CZ259" s="220">
        <f>(AX259*(AX$3-AW$3)+AY259*(AY$3-AX$3))/(AY$3-AW$3)</f>
        <v>682215.75068493153</v>
      </c>
      <c r="DA259" s="62">
        <f>(AZ259*(AZ$3-AY$3)+BA259*(BA$3-AZ$3))/(BA$3-AY$3)</f>
        <v>720565.44760484004</v>
      </c>
      <c r="DB259" s="62">
        <f>(BB259*(BB$3-BA$3)+BC259*(BC$3-BB$3))/(BC$3-BA$3)</f>
        <v>773879.0957546077</v>
      </c>
      <c r="DC259" s="62">
        <f>(BD259*(BD$3-BC$3)+BE259*(BE$3-BD$3))/(BE$3-BC$3)</f>
        <v>819258.35685824929</v>
      </c>
      <c r="DD259" s="62">
        <f>(BF259*(BF$3-BE$3)+BG259*(BG$3-BF$3))/(BG$3-BE$3)</f>
        <v>867380.19096060516</v>
      </c>
      <c r="DE259" s="62">
        <f>(BH259*(BH$3-BG$3)+BI259*(BI$3-BH$3))/(BI$3-BG$3)</f>
        <v>916258.30024362903</v>
      </c>
      <c r="DF259" s="62">
        <f>(BJ259*(BJ$3-BI$3)+BK259*(BK$3-BJ$3))/(BK$3-BI$3)</f>
        <v>961544.12046590063</v>
      </c>
      <c r="DG259" s="62">
        <f>(BL259*(BL$3-BK$3)+BM259*(BM$3-BL$3))/(BM$3-BK$3)</f>
        <v>997608.98541710875</v>
      </c>
      <c r="DH259" s="62">
        <f>(BN259*(BN$3-BM$3)+BO259*(BO$3-BN$3))/(BO$3-BM$3)</f>
        <v>1032633.4753354439</v>
      </c>
      <c r="DI259" s="62">
        <f>(BP259*(BP$3-BO$3)+BQ259*(BQ$3-BP$3))/(BQ$3-BO$3)</f>
        <v>1078138.280007595</v>
      </c>
    </row>
    <row r="260" spans="1:113" ht="12" outlineLevel="1">
      <c r="A260" s="1" t="s">
        <v>924</v>
      </c>
      <c r="B260" s="15" t="s">
        <v>277</v>
      </c>
      <c r="C260" s="40">
        <f t="shared" ref="C260:I260" si="2945">270012+4387+3858+1104-C259</f>
        <v>196391</v>
      </c>
      <c r="D260" s="40">
        <f t="shared" si="2945"/>
        <v>190790</v>
      </c>
      <c r="E260" s="40">
        <f t="shared" si="2945"/>
        <v>186597</v>
      </c>
      <c r="F260" s="40">
        <f t="shared" si="2945"/>
        <v>178834</v>
      </c>
      <c r="G260" s="40">
        <f t="shared" si="2945"/>
        <v>177510</v>
      </c>
      <c r="H260" s="40">
        <f t="shared" si="2945"/>
        <v>157638</v>
      </c>
      <c r="I260" s="40">
        <f t="shared" si="2945"/>
        <v>143792</v>
      </c>
      <c r="J260" s="40">
        <f>221748+4121+3298+881-J259</f>
        <v>84189</v>
      </c>
      <c r="K260" s="40">
        <f>236647+4173+3771+1071-K259</f>
        <v>93615</v>
      </c>
      <c r="L260" s="40">
        <f>270012+4387+3858+1104-L259</f>
        <v>120004</v>
      </c>
      <c r="M260" s="40">
        <f>281862+4437+3507+1142-M259</f>
        <v>124101</v>
      </c>
      <c r="N260" s="40">
        <f>296478+4657+3860+1149-N259</f>
        <v>127352</v>
      </c>
      <c r="O260" s="40">
        <f>319183+4810+3796+1291-O259</f>
        <v>136274</v>
      </c>
      <c r="P260" s="40">
        <f>355787+4904+3772+1187-P259</f>
        <v>144542</v>
      </c>
      <c r="Q260" s="40">
        <f>377441+4669+3091+1214-Q259</f>
        <v>150716</v>
      </c>
      <c r="R260" s="40">
        <f>401182+4936+3201+1597-R259</f>
        <v>144938</v>
      </c>
      <c r="S260" s="40">
        <f>390253+4966+3305+1484-S259</f>
        <v>129867</v>
      </c>
      <c r="T260" s="40">
        <f>398640+5307+3512+1577-T259</f>
        <v>128173</v>
      </c>
      <c r="U260" s="40">
        <f>420100+4696+3659+1981-U259</f>
        <v>133693</v>
      </c>
      <c r="V260" s="40">
        <f>429227+4876+3653+1828-V259</f>
        <v>124787</v>
      </c>
      <c r="W260" s="40">
        <f>446958+5018+3782+2239-W259</f>
        <v>124016</v>
      </c>
      <c r="X260" s="40">
        <f>471610+5112+3976+2293-X259</f>
        <v>127324</v>
      </c>
      <c r="Y260" s="40">
        <f>495578+5094+3751+2481-Y259</f>
        <v>128904</v>
      </c>
      <c r="Z260" s="141">
        <f>511368+5416+2771+4143-Z259</f>
        <v>132997</v>
      </c>
      <c r="AA260" s="141">
        <f>545292+5605+3630+4615-AA259</f>
        <v>144676</v>
      </c>
      <c r="AB260" s="141">
        <f>577633+6134+3893+5186-AB259</f>
        <v>155621</v>
      </c>
      <c r="AC260" s="141">
        <f>604711+6419+3815+5314-AC259</f>
        <v>172899</v>
      </c>
      <c r="AD260" s="141">
        <f>645698+17001-AD259</f>
        <v>188241</v>
      </c>
      <c r="AE260" s="141">
        <f>664117+18193-AE259</f>
        <v>191710</v>
      </c>
      <c r="AF260" s="141">
        <f>661807+42328-AF259</f>
        <v>196757</v>
      </c>
      <c r="AG260" s="141">
        <f>665165+43865-AG259</f>
        <v>196554</v>
      </c>
      <c r="AH260" s="141">
        <f>676201+46703-AH259</f>
        <v>201869</v>
      </c>
      <c r="AI260" s="141">
        <f>682798+((46703/183894)*178745)-AI259</f>
        <v>200787</v>
      </c>
      <c r="AJ260" s="141">
        <f>686487+((46703/183894)*145695)-AJ259</f>
        <v>211944.00000000006</v>
      </c>
      <c r="AK260" s="141">
        <f>700374+((46703/183894)*150335)-AK259</f>
        <v>225105.99999999994</v>
      </c>
      <c r="AL260" s="141">
        <f>715833+((46703/183894)*153751)-AL259</f>
        <v>238396.99999999994</v>
      </c>
      <c r="AM260" s="141">
        <f>730495+((46703/183894)*182093)-AM259</f>
        <v>232790</v>
      </c>
      <c r="AN260" s="141">
        <f>757402+((46703/183894)*204148)-AN259</f>
        <v>249055</v>
      </c>
      <c r="AO260" s="141">
        <f>771672+((46703/183894)*249135)-AO259</f>
        <v>248064</v>
      </c>
      <c r="AP260" s="141">
        <f>751477+((46703/183894)*232192)-AP259</f>
        <v>229895</v>
      </c>
      <c r="AQ260" s="141">
        <f>767933+((46703/183894)*196039)-AQ259</f>
        <v>232274</v>
      </c>
      <c r="AR260" s="141">
        <f>792900+((46703/183894)*154332)-AR259</f>
        <v>238467</v>
      </c>
      <c r="AS260" s="141">
        <f>815539+((46703/183894)*183361)-AS259</f>
        <v>252180</v>
      </c>
      <c r="AT260" s="141">
        <f>860906+((46703/183894)*183799)-AT259</f>
        <v>274941</v>
      </c>
      <c r="AU260" s="141">
        <f>871374+((46703/183894)*175260)-AU259</f>
        <v>272874</v>
      </c>
      <c r="AV260" s="141">
        <f>922804+((46703/183894)*169309)-AV259</f>
        <v>302811</v>
      </c>
      <c r="AW260" s="141">
        <f>931029+((46703/183894)*180988)-AW259</f>
        <v>314507</v>
      </c>
      <c r="AX260" s="141">
        <f>1035376+((46703/183894)*211347)-AX259</f>
        <v>417541.15493164537</v>
      </c>
      <c r="AY260" s="226">
        <f>115777+54044+26564+162873+9239</f>
        <v>368497</v>
      </c>
      <c r="AZ260" s="41">
        <f t="shared" ref="AZ260:BA260" si="2946">AZ262-AZ261-AZ259</f>
        <v>372749.99111768941</v>
      </c>
      <c r="BA260" s="41">
        <f t="shared" si="2946"/>
        <v>358318.77263383986</v>
      </c>
      <c r="BB260" s="41">
        <f t="shared" ref="BB260:BC260" si="2947">BB262-BB261-BB259</f>
        <v>347336.466606776</v>
      </c>
      <c r="BC260" s="41">
        <f t="shared" si="2947"/>
        <v>344427.70003437903</v>
      </c>
      <c r="BD260" s="41">
        <f t="shared" ref="BD260:BE260" si="2948">BD262-BD261-BD259</f>
        <v>343705.11127780401</v>
      </c>
      <c r="BE260" s="41">
        <f t="shared" si="2948"/>
        <v>342115.5902967127</v>
      </c>
      <c r="BF260" s="41">
        <f t="shared" ref="BF260:BG260" si="2949">BF262-BF261-BF259</f>
        <v>339856.61455176631</v>
      </c>
      <c r="BG260" s="41">
        <f t="shared" si="2949"/>
        <v>335642.27545850375</v>
      </c>
      <c r="BH260" s="41">
        <f t="shared" ref="BH260:BI260" si="2950">BH262-BH261-BH259</f>
        <v>332539.3182888499</v>
      </c>
      <c r="BI260" s="41">
        <f t="shared" si="2950"/>
        <v>333411.13381796307</v>
      </c>
      <c r="BJ260" s="41">
        <f t="shared" ref="BJ260:BK260" si="2951">BJ262-BJ261-BJ259</f>
        <v>335462.60153819656</v>
      </c>
      <c r="BK260" s="41">
        <f t="shared" si="2951"/>
        <v>338210.77300463244</v>
      </c>
      <c r="BL260" s="41">
        <f t="shared" ref="BL260:BM260" si="2952">BL262-BL261-BL259</f>
        <v>346250.62719284068</v>
      </c>
      <c r="BM260" s="41">
        <f t="shared" si="2952"/>
        <v>357400.81754096015</v>
      </c>
      <c r="BN260" s="41">
        <f t="shared" ref="BN260:BO260" si="2953">BN262-BN261-BN259</f>
        <v>367409.26331822062</v>
      </c>
      <c r="BO260" s="41">
        <f t="shared" si="2953"/>
        <v>375903.2229769855</v>
      </c>
      <c r="BP260" s="41">
        <f t="shared" ref="BP260:BQ260" si="2954">BP262-BP261-BP259</f>
        <v>383444.98597368319</v>
      </c>
      <c r="BQ260" s="41">
        <f t="shared" si="2954"/>
        <v>389629.08848613151</v>
      </c>
      <c r="BR260" s="41"/>
      <c r="BS260" s="40">
        <f>72309.7+3227.3+1592-BS259</f>
        <v>31541.699999999997</v>
      </c>
      <c r="BT260" s="40">
        <f>73852+1323+1716-BT259</f>
        <v>30047</v>
      </c>
      <c r="BU260" s="40">
        <f>73929+3581+855+1082-BU259</f>
        <v>32530</v>
      </c>
      <c r="BV260" s="40">
        <f>80144+3340+1075+1139-BV259</f>
        <v>26724</v>
      </c>
      <c r="BW260" s="40">
        <f>88320+2736+1139+1249-BW259</f>
        <v>28861</v>
      </c>
      <c r="BX260" s="40">
        <f>101564+2817+1288+1529-BX259</f>
        <v>32882</v>
      </c>
      <c r="BY260" s="40">
        <f>106093+3041+836+1636-BY259</f>
        <v>30568</v>
      </c>
      <c r="BZ260" s="40">
        <f>105690+3204+730+1481-BZ259</f>
        <v>30018</v>
      </c>
      <c r="CA260" s="40">
        <f>117693+3636+794+1280-CA259</f>
        <v>36223</v>
      </c>
      <c r="CB260" s="40">
        <f>121409+3713+883+432-CB259</f>
        <v>44753</v>
      </c>
      <c r="CC260" s="41">
        <f t="shared" si="2913"/>
        <v>188699.24383561645</v>
      </c>
      <c r="CD260" s="41">
        <f t="shared" si="2914"/>
        <v>178173.81369863017</v>
      </c>
      <c r="CE260" s="41">
        <f t="shared" si="2915"/>
        <v>150715</v>
      </c>
      <c r="CF260" s="41">
        <f t="shared" si="2916"/>
        <v>88889.08767123289</v>
      </c>
      <c r="CG260" s="141">
        <f>275752+4412+3883+1123-CG259</f>
        <v>122058</v>
      </c>
      <c r="CH260" s="141">
        <f>307859+4734+3829+1220-CH259</f>
        <v>132365</v>
      </c>
      <c r="CI260" s="141">
        <f>366608+4787+3432+1200-CI259</f>
        <v>147621</v>
      </c>
      <c r="CJ260" s="141">
        <f>395701+4951+3253+1540-CJ259</f>
        <v>137381</v>
      </c>
      <c r="CK260" s="141">
        <f>409400+5000+3586+1780-CK259</f>
        <v>128929</v>
      </c>
      <c r="CL260" s="141">
        <f>440947+4947+2034+3718-CL259</f>
        <v>127230</v>
      </c>
      <c r="CM260" s="40">
        <f>483594+5103+2387+3863-CM259</f>
        <v>128113</v>
      </c>
      <c r="CN260" s="141">
        <f>528104+5511+3202+4380-CN259</f>
        <v>138580</v>
      </c>
      <c r="CO260" s="141">
        <f>591210+6277+3854+5250-CO259</f>
        <v>164285</v>
      </c>
      <c r="CP260" s="141">
        <f>654933+17600-CP259</f>
        <v>189982</v>
      </c>
      <c r="CQ260" s="41">
        <f>(AF260*(AF$3-AE$3)+AG260*(AG$3-AF$3))/(AG$3-AE$3)</f>
        <v>196655.5</v>
      </c>
      <c r="CR260" s="41">
        <f>(AH260*(AH$3-AG$3)+AI260*(AI$3-AH$3))/(AI$3-AG$3)</f>
        <v>201326.51780821919</v>
      </c>
      <c r="CS260" s="41">
        <f>(AJ260*(AJ$3-AI$3)+AK260*(AK$3-AJ$3))/(AK$3-AI$3)</f>
        <v>218543.03013698632</v>
      </c>
      <c r="CT260" s="41">
        <f>(AL260*(AL$3-AK$3)+AM260*(AM$3-AL$3))/(AM$3-AK$3)</f>
        <v>235585.81917808219</v>
      </c>
      <c r="CU260" s="41">
        <f>(AM260*(AM$3-AL$3)+AN260*(AN$3-AM$3))/(AN$3-AL$3)</f>
        <v>240922.5</v>
      </c>
      <c r="CV260" s="41">
        <f>(AP260*(AP$3-AO$3)+AQ260*(AQ$3-AP$3))/(AQ$3-AO$3)</f>
        <v>231087.75890410959</v>
      </c>
      <c r="CW260" s="41">
        <f>(AR260*(AR$3-AQ$3)+AS260*(AS$3-AR$3))/(AS$3-AQ$3)</f>
        <v>245342.28493150685</v>
      </c>
      <c r="CX260" s="41">
        <f>(AT260*(AT$3-AS$3)+AU260*(AU$3-AT$3))/(AU$3-AS$3)</f>
        <v>273904.66849315068</v>
      </c>
      <c r="CY260" s="41">
        <f>(AV260*(AV$3-AU$3)+AW260*(AW$3-AV$3))/(AW$3-AU$3)</f>
        <v>308659</v>
      </c>
      <c r="CZ260" s="211">
        <f>(AX260*(AX$3-AW$3)+AY260*(AY$3-AX$3))/(AY$3-AW$3)</f>
        <v>392951.89369194378</v>
      </c>
      <c r="DA260" s="41">
        <f>(AZ260*(AZ$3-AY$3)+BA260*(BA$3-AZ$3))/(BA$3-AY$3)</f>
        <v>365514.61308332102</v>
      </c>
      <c r="DB260" s="41">
        <f>(BB260*(BB$3-BA$3)+BC260*(BC$3-BB$3))/(BC$3-BA$3)</f>
        <v>345878.0987088345</v>
      </c>
      <c r="DC260" s="41">
        <f>(BD260*(BD$3-BC$3)+BE260*(BE$3-BD$3))/(BE$3-BC$3)</f>
        <v>342910.35078725836</v>
      </c>
      <c r="DD260" s="41">
        <f>(BF260*(BF$3-BE$3)+BG260*(BG$3-BF$3))/(BG$3-BE$3)</f>
        <v>337743.67193788395</v>
      </c>
      <c r="DE260" s="41">
        <f>(BH260*(BH$3-BG$3)+BI260*(BI$3-BH$3))/(BI$3-BG$3)</f>
        <v>332976.42032125458</v>
      </c>
      <c r="DF260" s="41">
        <f>(BJ260*(BJ$3-BI$3)+BK260*(BK$3-BJ$3))/(BK$3-BI$3)</f>
        <v>336840.45188986167</v>
      </c>
      <c r="DG260" s="41">
        <f>(BL260*(BL$3-BK$3)+BM260*(BM$3-BL$3))/(BM$3-BK$3)</f>
        <v>351825.72236690042</v>
      </c>
      <c r="DH260" s="41">
        <f>(BN260*(BN$3-BM$3)+BO260*(BO$3-BN$3))/(BO$3-BM$3)</f>
        <v>371667.87870877946</v>
      </c>
      <c r="DI260" s="41">
        <f>(BP260*(BP$3-BO$3)+BQ260*(BQ$3-BP$3))/(BQ$3-BO$3)</f>
        <v>386545.50860321213</v>
      </c>
    </row>
    <row r="261" spans="1:113" ht="12" outlineLevel="1">
      <c r="A261" s="1" t="s">
        <v>925</v>
      </c>
      <c r="B261" s="15" t="s">
        <v>278</v>
      </c>
      <c r="C261" s="41">
        <f t="shared" ref="C261:L261" si="2955">C262-C259-C260</f>
        <v>-137859</v>
      </c>
      <c r="D261" s="41">
        <f t="shared" si="2955"/>
        <v>-135413</v>
      </c>
      <c r="E261" s="41">
        <f t="shared" si="2955"/>
        <v>-131481</v>
      </c>
      <c r="F261" s="41">
        <f t="shared" si="2955"/>
        <v>-120209</v>
      </c>
      <c r="G261" s="41">
        <f t="shared" si="2955"/>
        <v>-114220</v>
      </c>
      <c r="H261" s="41">
        <f t="shared" si="2955"/>
        <v>-80275</v>
      </c>
      <c r="I261" s="41">
        <f t="shared" si="2955"/>
        <v>-54141</v>
      </c>
      <c r="J261" s="41">
        <f t="shared" si="2955"/>
        <v>14858</v>
      </c>
      <c r="K261" s="41">
        <f t="shared" si="2955"/>
        <v>15752</v>
      </c>
      <c r="L261" s="41">
        <f t="shared" si="2955"/>
        <v>15003</v>
      </c>
      <c r="M261" s="41">
        <f t="shared" ref="M261:X261" si="2956">M262-M259-M260</f>
        <v>15014</v>
      </c>
      <c r="N261" s="41">
        <f t="shared" si="2956"/>
        <v>17523</v>
      </c>
      <c r="O261" s="41">
        <f t="shared" si="2956"/>
        <v>13925</v>
      </c>
      <c r="P261" s="41">
        <f t="shared" si="2956"/>
        <v>13164</v>
      </c>
      <c r="Q261" s="41">
        <f t="shared" si="2956"/>
        <v>16321</v>
      </c>
      <c r="R261" s="41">
        <f t="shared" si="2956"/>
        <v>24187</v>
      </c>
      <c r="S261" s="41">
        <f t="shared" si="2956"/>
        <v>19859</v>
      </c>
      <c r="T261" s="41">
        <f t="shared" si="2956"/>
        <v>19600</v>
      </c>
      <c r="U261" s="41">
        <f t="shared" si="2956"/>
        <v>19425</v>
      </c>
      <c r="V261" s="41">
        <f t="shared" si="2956"/>
        <v>18445</v>
      </c>
      <c r="W261" s="41">
        <f t="shared" si="2956"/>
        <v>18817</v>
      </c>
      <c r="X261" s="41">
        <f t="shared" si="2956"/>
        <v>25771</v>
      </c>
      <c r="Y261" s="41">
        <f t="shared" ref="Y261:AD261" si="2957">Y262-Y259-Y260</f>
        <v>31257</v>
      </c>
      <c r="Z261" s="41">
        <f t="shared" si="2957"/>
        <v>32566</v>
      </c>
      <c r="AA261" s="41">
        <f t="shared" si="2957"/>
        <v>36856</v>
      </c>
      <c r="AB261" s="41">
        <f t="shared" si="2957"/>
        <v>39554</v>
      </c>
      <c r="AC261" s="41">
        <f t="shared" si="2957"/>
        <v>41256</v>
      </c>
      <c r="AD261" s="41">
        <f t="shared" si="2957"/>
        <v>39504</v>
      </c>
      <c r="AE261" s="41">
        <f t="shared" ref="AE261:AF261" si="2958">AE262-AE259-AE260</f>
        <v>49429</v>
      </c>
      <c r="AF261" s="41">
        <f t="shared" si="2958"/>
        <v>27260</v>
      </c>
      <c r="AG261" s="41">
        <f t="shared" ref="AG261:AH261" si="2959">AG262-AG259-AG260</f>
        <v>21245</v>
      </c>
      <c r="AH261" s="41">
        <f t="shared" si="2959"/>
        <v>21002</v>
      </c>
      <c r="AI261" s="41">
        <f t="shared" ref="AI261:AJ261" si="2960">AI262-AI259-AI260</f>
        <v>23879.675873057335</v>
      </c>
      <c r="AJ261" s="41">
        <f t="shared" si="2960"/>
        <v>41697.283875493449</v>
      </c>
      <c r="AK261" s="41">
        <f t="shared" ref="AK261:AL261" si="2961">AK262-AK259-AK260</f>
        <v>45946.877184682526</v>
      </c>
      <c r="AL261" s="41">
        <f t="shared" si="2961"/>
        <v>56647.326051964774</v>
      </c>
      <c r="AM261" s="41">
        <f t="shared" ref="AM261:AN261" si="2962">AM262-AM259-AM260</f>
        <v>38091.394493566942</v>
      </c>
      <c r="AN261" s="41">
        <f t="shared" si="2962"/>
        <v>47402.153207826195</v>
      </c>
      <c r="AO261" s="41">
        <f t="shared" ref="AO261" si="2963">AO262-AO259-AO260</f>
        <v>34165.941613103263</v>
      </c>
      <c r="AP261" s="41">
        <f t="shared" ref="AP261:AQ261" si="2964">AP262-AP259-AP260</f>
        <v>47077.903803277994</v>
      </c>
      <c r="AQ261" s="41">
        <f t="shared" si="2964"/>
        <v>52104.571280193981</v>
      </c>
      <c r="AR261" s="41">
        <f t="shared" ref="AR261:AS261" si="2965">AR262-AR259-AR260</f>
        <v>67582.771248654113</v>
      </c>
      <c r="AS261" s="41">
        <f t="shared" si="2965"/>
        <v>58233.36438926775</v>
      </c>
      <c r="AT261" s="41">
        <f t="shared" ref="AT261:AU261" si="2966">AT262-AT259-AT260</f>
        <v>65387.126861126511</v>
      </c>
      <c r="AU261" s="41">
        <f t="shared" si="2966"/>
        <v>61290.750725961756</v>
      </c>
      <c r="AV261" s="41">
        <f t="shared" ref="AV261:AW261" si="2967">AV262-AV259-AV260</f>
        <v>49818.108100318699</v>
      </c>
      <c r="AW261" s="41">
        <f t="shared" si="2967"/>
        <v>54617.027983512264</v>
      </c>
      <c r="AX261" s="41">
        <f t="shared" ref="AX261:AY261" si="2968">AX262-AX259-AX260</f>
        <v>53076.845068354625</v>
      </c>
      <c r="AY261" s="211">
        <f t="shared" si="2968"/>
        <v>115793</v>
      </c>
      <c r="AZ261" s="41">
        <f t="shared" ref="AZ261" si="2969">AY261+AY515-AZ635+SUM(AZ621,AZ623,AZ626:AZ628)</f>
        <v>116819.7495342083</v>
      </c>
      <c r="BA261" s="41">
        <f t="shared" ref="BA261" si="2970">AZ261+AZ515-BA635+SUM(BA621,BA623,BA626:BA628)</f>
        <v>118708.90625892789</v>
      </c>
      <c r="BB261" s="41">
        <f t="shared" ref="BB261" si="2971">BA261+BA515-BB635+SUM(BB621,BB623,BB626:BB628)</f>
        <v>119566.1617706244</v>
      </c>
      <c r="BC261" s="41">
        <f t="shared" ref="BC261" si="2972">BB261+BB515-BC635+SUM(BC621,BC623,BC626:BC628)</f>
        <v>119589.77456722091</v>
      </c>
      <c r="BD261" s="41">
        <f t="shared" ref="BD261" si="2973">BC261+BC515-BD635+SUM(BD621,BD623,BD626:BD628)</f>
        <v>119231.85722808633</v>
      </c>
      <c r="BE261" s="41">
        <f t="shared" ref="BE261" si="2974">BD261+BD515-BE635+SUM(BE621,BE623,BE626:BE628)</f>
        <v>119226.67792865097</v>
      </c>
      <c r="BF261" s="41">
        <f t="shared" ref="BF261" si="2975">BE261+BE515-BF635+SUM(BF621,BF623,BF626:BF628)</f>
        <v>118893.4850728187</v>
      </c>
      <c r="BG261" s="41">
        <f t="shared" ref="BG261:BK261" si="2976">BF261+BF515-BG635+SUM(BG621,BG623,BG626:BG628)</f>
        <v>118938.74825695012</v>
      </c>
      <c r="BH261" s="41">
        <f t="shared" si="2976"/>
        <v>119733.63775248597</v>
      </c>
      <c r="BI261" s="41">
        <f t="shared" si="2976"/>
        <v>120809.25345383355</v>
      </c>
      <c r="BJ261" s="41">
        <f t="shared" si="2976"/>
        <v>121661.29238420889</v>
      </c>
      <c r="BK261" s="41">
        <f t="shared" si="2976"/>
        <v>122963.14133869257</v>
      </c>
      <c r="BL261" s="41">
        <f t="shared" ref="BL261" si="2977">BK261+BK515-BL635+SUM(BL621,BL623,BL626:BL628)</f>
        <v>124127.95158658701</v>
      </c>
      <c r="BM261" s="41">
        <f t="shared" ref="BM261" si="2978">BL261+BL515-BM635+SUM(BM621,BM623,BM626:BM628)</f>
        <v>125438.23078643151</v>
      </c>
      <c r="BN261" s="41">
        <f t="shared" ref="BN261" si="2979">BM261+BM515-BN635+SUM(BN621,BN623,BN626:BN628)</f>
        <v>126523.98808467749</v>
      </c>
      <c r="BO261" s="41">
        <f t="shared" ref="BO261" si="2980">BN261+BN515-BO635+SUM(BO621,BO623,BO626:BO628)</f>
        <v>127738.64439573677</v>
      </c>
      <c r="BP261" s="41">
        <f t="shared" ref="BP261" si="2981">BO261+BO515-BP635+SUM(BP621,BP623,BP626:BP628)</f>
        <v>128767.932387586</v>
      </c>
      <c r="BQ261" s="41">
        <f t="shared" ref="BQ261" si="2982">BP261+BP515-BQ635+SUM(BQ621,BQ623,BQ626:BQ628)</f>
        <v>129941.33385297598</v>
      </c>
      <c r="BR261" s="41"/>
      <c r="BS261" s="41">
        <f t="shared" ref="BS261:CB261" si="2983">BS262-BS259-BS260</f>
        <v>4482.8000000000029</v>
      </c>
      <c r="BT261" s="41">
        <f t="shared" si="2983"/>
        <v>5704</v>
      </c>
      <c r="BU261" s="41">
        <f t="shared" si="2983"/>
        <v>4010</v>
      </c>
      <c r="BV261" s="41">
        <f t="shared" si="2983"/>
        <v>5214</v>
      </c>
      <c r="BW261" s="41">
        <f t="shared" si="2983"/>
        <v>6287</v>
      </c>
      <c r="BX261" s="41">
        <f t="shared" si="2983"/>
        <v>6044</v>
      </c>
      <c r="BY261" s="41">
        <f t="shared" si="2983"/>
        <v>8122</v>
      </c>
      <c r="BZ261" s="41">
        <f t="shared" si="2983"/>
        <v>9086</v>
      </c>
      <c r="CA261" s="41">
        <f t="shared" si="2983"/>
        <v>9755</v>
      </c>
      <c r="CB261" s="41">
        <f t="shared" si="2983"/>
        <v>12864</v>
      </c>
      <c r="CC261" s="41">
        <f t="shared" si="2913"/>
        <v>-133452.38630136987</v>
      </c>
      <c r="CD261" s="41">
        <f t="shared" si="2914"/>
        <v>-117222.70410958905</v>
      </c>
      <c r="CE261" s="41">
        <f t="shared" si="2915"/>
        <v>-67208</v>
      </c>
      <c r="CF261" s="41">
        <f t="shared" si="2916"/>
        <v>15303.775342465753</v>
      </c>
      <c r="CG261" s="41">
        <f t="shared" ref="CG261:CN261" si="2984">CG262-CG259-CG260</f>
        <v>15536</v>
      </c>
      <c r="CH261" s="41">
        <f t="shared" si="2984"/>
        <v>15719</v>
      </c>
      <c r="CI261" s="41">
        <f t="shared" si="2984"/>
        <v>14748</v>
      </c>
      <c r="CJ261" s="41">
        <f t="shared" si="2984"/>
        <v>22019</v>
      </c>
      <c r="CK261" s="41">
        <f t="shared" si="2984"/>
        <v>19511</v>
      </c>
      <c r="CL261" s="41">
        <f t="shared" si="2984"/>
        <v>22656</v>
      </c>
      <c r="CM261" s="41">
        <f t="shared" si="2984"/>
        <v>28514</v>
      </c>
      <c r="CN261" s="41">
        <f t="shared" si="2984"/>
        <v>34142</v>
      </c>
      <c r="CO261" s="41">
        <f t="shared" ref="CO261:CP261" si="2985">CO262-CO259-CO260</f>
        <v>40406</v>
      </c>
      <c r="CP261" s="41">
        <f t="shared" si="2985"/>
        <v>44479</v>
      </c>
      <c r="CQ261" s="41">
        <f t="shared" ref="CQ261:CS261" si="2986">CQ262-CQ259-CQ260</f>
        <v>24252.5</v>
      </c>
      <c r="CR261" s="41">
        <f t="shared" si="2986"/>
        <v>22444.092287039733</v>
      </c>
      <c r="CS261" s="41">
        <f t="shared" si="2986"/>
        <v>43841.942986675858</v>
      </c>
      <c r="CT261" s="41">
        <f t="shared" ref="CT261:DC261" si="2987">CT262-CT259-CT260</f>
        <v>47378.415161041979</v>
      </c>
      <c r="CU261" s="41">
        <f t="shared" ref="CU261" si="2988">CU262-CU259-CU260</f>
        <v>69887.273850696511</v>
      </c>
      <c r="CV261" s="41">
        <f t="shared" si="2987"/>
        <v>49597.772702663206</v>
      </c>
      <c r="CW261" s="41">
        <f t="shared" si="2987"/>
        <v>62894.956302715116</v>
      </c>
      <c r="CX261" s="41">
        <f t="shared" si="2987"/>
        <v>63333.069785139814</v>
      </c>
      <c r="CY261" s="41">
        <f t="shared" si="2987"/>
        <v>52217.568041915423</v>
      </c>
      <c r="CZ261" s="211">
        <f t="shared" si="2987"/>
        <v>84520.355623124691</v>
      </c>
      <c r="DA261" s="41">
        <f t="shared" si="2987"/>
        <v>117766.91578249238</v>
      </c>
      <c r="DB261" s="41">
        <f t="shared" si="2987"/>
        <v>119578.00051521941</v>
      </c>
      <c r="DC261" s="41">
        <f t="shared" si="2987"/>
        <v>119229.26757836866</v>
      </c>
      <c r="DD261" s="41">
        <f t="shared" ref="DD261" si="2989">DD262-DD259-DD260</f>
        <v>118916.17866924626</v>
      </c>
      <c r="DE261" s="41">
        <f>DE262-DE259-DE260</f>
        <v>120272.91904932592</v>
      </c>
      <c r="DF261" s="41">
        <f>DF262-DF259-DF260</f>
        <v>122314.00021618285</v>
      </c>
      <c r="DG261" s="41">
        <f>DG262-DG259-DG260</f>
        <v>124783.09118650947</v>
      </c>
      <c r="DH261" s="41">
        <f>DH262-DH259-DH260</f>
        <v>127132.98015296215</v>
      </c>
      <c r="DI261" s="41">
        <f>DI262-DI259-DI260</f>
        <v>129356.24051954859</v>
      </c>
    </row>
    <row r="262" spans="1:113" s="17" customFormat="1" ht="12" outlineLevel="1">
      <c r="A262" s="1" t="s">
        <v>926</v>
      </c>
      <c r="B262" s="17" t="s">
        <v>582</v>
      </c>
      <c r="C262" s="62">
        <f t="shared" ref="C262:AD262" si="2990">C239</f>
        <v>141502</v>
      </c>
      <c r="D262" s="62">
        <f t="shared" si="2990"/>
        <v>143948</v>
      </c>
      <c r="E262" s="62">
        <f t="shared" si="2990"/>
        <v>147880</v>
      </c>
      <c r="F262" s="62">
        <f t="shared" si="2990"/>
        <v>159152</v>
      </c>
      <c r="G262" s="62">
        <f t="shared" si="2990"/>
        <v>165141</v>
      </c>
      <c r="H262" s="62">
        <f t="shared" si="2990"/>
        <v>199086</v>
      </c>
      <c r="I262" s="62">
        <f t="shared" si="2990"/>
        <v>225220</v>
      </c>
      <c r="J262" s="62">
        <f t="shared" si="2990"/>
        <v>244906</v>
      </c>
      <c r="K262" s="62">
        <f t="shared" si="2990"/>
        <v>261414</v>
      </c>
      <c r="L262" s="62">
        <f t="shared" si="2990"/>
        <v>294364</v>
      </c>
      <c r="M262" s="62">
        <f t="shared" si="2990"/>
        <v>305962</v>
      </c>
      <c r="N262" s="62">
        <f t="shared" si="2990"/>
        <v>323667</v>
      </c>
      <c r="O262" s="62">
        <f t="shared" si="2990"/>
        <v>343005</v>
      </c>
      <c r="P262" s="62">
        <f t="shared" si="2990"/>
        <v>378814</v>
      </c>
      <c r="Q262" s="62">
        <f t="shared" si="2990"/>
        <v>402736</v>
      </c>
      <c r="R262" s="62">
        <f t="shared" si="2990"/>
        <v>435103</v>
      </c>
      <c r="S262" s="62">
        <f t="shared" si="2990"/>
        <v>419867</v>
      </c>
      <c r="T262" s="62">
        <f t="shared" si="2990"/>
        <v>428636</v>
      </c>
      <c r="U262" s="62">
        <f t="shared" si="2990"/>
        <v>449861</v>
      </c>
      <c r="V262" s="62">
        <f t="shared" si="2990"/>
        <v>458029</v>
      </c>
      <c r="W262" s="62">
        <f t="shared" si="2990"/>
        <v>476814</v>
      </c>
      <c r="X262" s="62">
        <f t="shared" si="2990"/>
        <v>508762</v>
      </c>
      <c r="Y262" s="62">
        <f t="shared" si="2990"/>
        <v>538161</v>
      </c>
      <c r="Z262" s="62">
        <f t="shared" si="2990"/>
        <v>556264</v>
      </c>
      <c r="AA262" s="62">
        <f t="shared" si="2990"/>
        <v>595998</v>
      </c>
      <c r="AB262" s="62">
        <f t="shared" si="2990"/>
        <v>632400</v>
      </c>
      <c r="AC262" s="62">
        <f t="shared" si="2990"/>
        <v>661515</v>
      </c>
      <c r="AD262" s="62">
        <f t="shared" si="2990"/>
        <v>702203</v>
      </c>
      <c r="AE262" s="62">
        <f t="shared" ref="AE262:AF262" si="2991">AE239</f>
        <v>731739</v>
      </c>
      <c r="AF262" s="62">
        <f t="shared" si="2991"/>
        <v>731395</v>
      </c>
      <c r="AG262" s="62">
        <f t="shared" ref="AG262:AH262" si="2992">AG239</f>
        <v>730275</v>
      </c>
      <c r="AH262" s="62">
        <f t="shared" si="2992"/>
        <v>743906</v>
      </c>
      <c r="AI262" s="62">
        <f t="shared" ref="AI262:AJ262" si="2993">AI239</f>
        <v>752073</v>
      </c>
      <c r="AJ262" s="62">
        <f t="shared" si="2993"/>
        <v>765186</v>
      </c>
      <c r="AK262" s="62">
        <f t="shared" ref="AK262:AL262" si="2994">AK239</f>
        <v>784501</v>
      </c>
      <c r="AL262" s="62">
        <f t="shared" si="2994"/>
        <v>811528</v>
      </c>
      <c r="AM262" s="62">
        <f t="shared" ref="AM262:AN262" si="2995">AM239</f>
        <v>814832</v>
      </c>
      <c r="AN262" s="62">
        <f t="shared" si="2995"/>
        <v>856651</v>
      </c>
      <c r="AO262" s="62">
        <f t="shared" ref="AO262" si="2996">AO239</f>
        <v>869110</v>
      </c>
      <c r="AP262" s="62">
        <f t="shared" ref="AP262:AQ262" si="2997">AP239</f>
        <v>857524</v>
      </c>
      <c r="AQ262" s="62">
        <f t="shared" si="2997"/>
        <v>869825</v>
      </c>
      <c r="AR262" s="62">
        <f t="shared" ref="AR262:AS262" si="2998">AR239</f>
        <v>899678</v>
      </c>
      <c r="AS262" s="62">
        <f t="shared" si="2998"/>
        <v>920340</v>
      </c>
      <c r="AT262" s="62">
        <f t="shared" ref="AT262:AU262" si="2999">AT239</f>
        <v>972972</v>
      </c>
      <c r="AU262" s="62">
        <f t="shared" si="2999"/>
        <v>977175</v>
      </c>
      <c r="AV262" s="62">
        <f t="shared" ref="AV262:AW262" si="3000">AV239</f>
        <v>1015621</v>
      </c>
      <c r="AW262" s="62">
        <f t="shared" si="3000"/>
        <v>1031611</v>
      </c>
      <c r="AX262" s="62">
        <f t="shared" ref="AX262:AY262" si="3001">AX239</f>
        <v>1142128</v>
      </c>
      <c r="AY262" s="220">
        <f t="shared" si="3001"/>
        <v>1177153</v>
      </c>
      <c r="AZ262" s="62">
        <f t="shared" ref="AZ262:BA262" si="3002">AZ239</f>
        <v>1194061.1921367832</v>
      </c>
      <c r="BA262" s="62">
        <f t="shared" si="3002"/>
        <v>1213579.2865731912</v>
      </c>
      <c r="BB262" s="62">
        <f t="shared" ref="BB262:BC262" si="3003">BB239</f>
        <v>1229722.0398154487</v>
      </c>
      <c r="BC262" s="62">
        <f t="shared" si="3003"/>
        <v>1248895.8192393433</v>
      </c>
      <c r="BD262" s="62">
        <f t="shared" ref="BD262:BE262" si="3004">BD239</f>
        <v>1270515.3731107337</v>
      </c>
      <c r="BE262" s="62">
        <f t="shared" si="3004"/>
        <v>1292280.5773370189</v>
      </c>
      <c r="BF262" s="62">
        <f t="shared" ref="BF262:BG262" si="3005">BF239</f>
        <v>1313727.4241874733</v>
      </c>
      <c r="BG262" s="62">
        <f t="shared" si="3005"/>
        <v>1334296.3058475591</v>
      </c>
      <c r="BH262" s="62">
        <f t="shared" ref="BH262:BI262" si="3006">BH239</f>
        <v>1357105.4160026924</v>
      </c>
      <c r="BI262" s="62">
        <f t="shared" si="3006"/>
        <v>1381842.0915120025</v>
      </c>
      <c r="BJ262" s="62">
        <f t="shared" ref="BJ262:BK262" si="3007">BJ239</f>
        <v>1407358.558217081</v>
      </c>
      <c r="BK262" s="62">
        <f t="shared" si="3007"/>
        <v>1433965.690673504</v>
      </c>
      <c r="BL262" s="62">
        <f t="shared" ref="BL262:BM262" si="3008">BL239</f>
        <v>1460620.6422439239</v>
      </c>
      <c r="BM262" s="62">
        <f t="shared" si="3008"/>
        <v>1487814.9556971129</v>
      </c>
      <c r="BN262" s="62">
        <f t="shared" ref="BN262:BO262" si="3009">BN239</f>
        <v>1516396.7953352381</v>
      </c>
      <c r="BO262" s="62">
        <f t="shared" si="3009"/>
        <v>1546389.7007156245</v>
      </c>
      <c r="BP262" s="62">
        <f t="shared" ref="BP262:BQ262" si="3010">BP239</f>
        <v>1577677.289175469</v>
      </c>
      <c r="BQ262" s="62">
        <f t="shared" si="3010"/>
        <v>1610313.3552057077</v>
      </c>
      <c r="BR262" s="62"/>
      <c r="BS262" s="62">
        <f t="shared" ref="BS262:CB262" si="3011">BS239</f>
        <v>81611.8</v>
      </c>
      <c r="BT262" s="62">
        <f t="shared" si="3011"/>
        <v>82595</v>
      </c>
      <c r="BU262" s="62">
        <f t="shared" si="3011"/>
        <v>83457</v>
      </c>
      <c r="BV262" s="62">
        <f t="shared" si="3011"/>
        <v>90912</v>
      </c>
      <c r="BW262" s="62">
        <f t="shared" si="3011"/>
        <v>99731</v>
      </c>
      <c r="BX262" s="62">
        <f t="shared" si="3011"/>
        <v>113242</v>
      </c>
      <c r="BY262" s="62">
        <f t="shared" si="3011"/>
        <v>119728</v>
      </c>
      <c r="BZ262" s="62">
        <f t="shared" si="3011"/>
        <v>120191</v>
      </c>
      <c r="CA262" s="62">
        <f t="shared" si="3011"/>
        <v>133158</v>
      </c>
      <c r="CB262" s="62">
        <f t="shared" si="3011"/>
        <v>139301</v>
      </c>
      <c r="CC262" s="62">
        <f t="shared" si="2913"/>
        <v>145908.61369863016</v>
      </c>
      <c r="CD262" s="62">
        <f t="shared" si="2914"/>
        <v>162138.29589041098</v>
      </c>
      <c r="CE262" s="62">
        <f t="shared" si="2915"/>
        <v>212153</v>
      </c>
      <c r="CF262" s="62">
        <f t="shared" si="2916"/>
        <v>253137.38630136987</v>
      </c>
      <c r="CG262" s="62">
        <f t="shared" ref="CG262:CP262" si="3012">CG239</f>
        <v>300706</v>
      </c>
      <c r="CH262" s="62">
        <f t="shared" si="3012"/>
        <v>333361</v>
      </c>
      <c r="CI262" s="62">
        <f t="shared" si="3012"/>
        <v>390775</v>
      </c>
      <c r="CJ262" s="62">
        <f t="shared" si="3012"/>
        <v>427464</v>
      </c>
      <c r="CK262" s="62">
        <f t="shared" si="3012"/>
        <v>439277</v>
      </c>
      <c r="CL262" s="62">
        <f t="shared" si="3012"/>
        <v>474302</v>
      </c>
      <c r="CM262" s="62">
        <f t="shared" si="3012"/>
        <v>523461</v>
      </c>
      <c r="CN262" s="62">
        <f t="shared" si="3012"/>
        <v>575339</v>
      </c>
      <c r="CO262" s="62">
        <f t="shared" si="3012"/>
        <v>646997</v>
      </c>
      <c r="CP262" s="62">
        <f t="shared" si="3012"/>
        <v>717012</v>
      </c>
      <c r="CQ262" s="62">
        <f t="shared" ref="CQ262:CS262" si="3013">CQ239</f>
        <v>730835</v>
      </c>
      <c r="CR262" s="62">
        <f t="shared" si="3013"/>
        <v>748000</v>
      </c>
      <c r="CS262" s="62">
        <f t="shared" si="3013"/>
        <v>774884</v>
      </c>
      <c r="CT262" s="62">
        <f t="shared" ref="CT262:DC262" si="3014">CT239</f>
        <v>813219</v>
      </c>
      <c r="CU262" s="62">
        <f t="shared" ref="CU262" si="3015">CU239</f>
        <v>862882</v>
      </c>
      <c r="CV262" s="62">
        <f t="shared" si="3014"/>
        <v>863691</v>
      </c>
      <c r="CW262" s="62">
        <f t="shared" si="3014"/>
        <v>910037</v>
      </c>
      <c r="CX262" s="62">
        <f t="shared" si="3014"/>
        <v>975079</v>
      </c>
      <c r="CY262" s="62">
        <f t="shared" si="3014"/>
        <v>1023616</v>
      </c>
      <c r="CZ262" s="220">
        <f t="shared" si="3014"/>
        <v>1159688</v>
      </c>
      <c r="DA262" s="62">
        <f t="shared" si="3014"/>
        <v>1203846.9764706534</v>
      </c>
      <c r="DB262" s="62">
        <f t="shared" si="3014"/>
        <v>1239335.1949786616</v>
      </c>
      <c r="DC262" s="62">
        <f t="shared" si="3014"/>
        <v>1281397.9752238763</v>
      </c>
      <c r="DD262" s="62">
        <f t="shared" ref="DD262" si="3016">DD239</f>
        <v>1324040.0415677354</v>
      </c>
      <c r="DE262" s="62">
        <f>DE239</f>
        <v>1369507.6396142095</v>
      </c>
      <c r="DF262" s="62">
        <f>DF239</f>
        <v>1420698.5725719451</v>
      </c>
      <c r="DG262" s="62">
        <f>DG239</f>
        <v>1474217.7989705186</v>
      </c>
      <c r="DH262" s="62">
        <f>DH239</f>
        <v>1531434.3341971855</v>
      </c>
      <c r="DI262" s="62">
        <f>DI239</f>
        <v>1594040.0291303557</v>
      </c>
    </row>
    <row r="263" spans="1:113" ht="12" outlineLevel="1">
      <c r="C263" s="41"/>
      <c r="D263" s="41"/>
      <c r="E263" s="41"/>
      <c r="F263" s="41"/>
      <c r="G263" s="41"/>
      <c r="H263" s="41"/>
      <c r="I263" s="41"/>
      <c r="J263" s="41"/>
      <c r="K263" s="41"/>
      <c r="L263" s="41"/>
      <c r="M263" s="41"/>
      <c r="N263" s="41"/>
      <c r="O263" s="41"/>
      <c r="P263" s="41"/>
      <c r="Q263" s="41"/>
      <c r="R263" s="41"/>
      <c r="S263" s="41"/>
      <c r="T263" s="41"/>
      <c r="U263" s="41"/>
      <c r="V263" s="41"/>
      <c r="W263" s="41"/>
      <c r="X263" s="41"/>
      <c r="Y263" s="41"/>
      <c r="Z263" s="41"/>
      <c r="AA263" s="41"/>
      <c r="AB263" s="41"/>
      <c r="AC263" s="41"/>
      <c r="AD263" s="41"/>
      <c r="AE263" s="41"/>
      <c r="AF263" s="41"/>
      <c r="AG263" s="41"/>
      <c r="AH263" s="41"/>
      <c r="AI263" s="41"/>
      <c r="AJ263" s="41"/>
      <c r="AK263" s="41"/>
      <c r="AL263" s="41"/>
      <c r="AM263" s="41"/>
      <c r="AN263" s="41"/>
      <c r="AO263" s="41"/>
      <c r="AP263" s="41"/>
      <c r="AQ263" s="41"/>
      <c r="AR263" s="41"/>
      <c r="AS263" s="41"/>
      <c r="AT263" s="41"/>
      <c r="AU263" s="41"/>
      <c r="AV263" s="41"/>
      <c r="AW263" s="41"/>
      <c r="AX263" s="41"/>
      <c r="AY263" s="211"/>
      <c r="AZ263" s="41"/>
      <c r="BA263" s="41"/>
      <c r="BB263" s="41"/>
      <c r="BC263" s="41"/>
      <c r="BD263" s="41"/>
      <c r="BE263" s="41"/>
      <c r="BF263" s="41"/>
      <c r="BG263" s="41"/>
      <c r="BH263" s="41"/>
      <c r="BI263" s="41"/>
      <c r="BJ263" s="41"/>
      <c r="BK263" s="41"/>
      <c r="BL263" s="41"/>
      <c r="BM263" s="41"/>
      <c r="BN263" s="41"/>
      <c r="BO263" s="41"/>
      <c r="BP263" s="41"/>
      <c r="BQ263" s="41"/>
      <c r="BR263" s="41"/>
      <c r="BS263" s="41"/>
      <c r="BT263" s="41"/>
      <c r="BU263" s="41"/>
      <c r="BV263" s="41"/>
      <c r="BW263" s="41"/>
      <c r="BX263" s="41"/>
      <c r="BY263" s="41"/>
      <c r="BZ263" s="41"/>
      <c r="CA263" s="41"/>
      <c r="CB263" s="41"/>
      <c r="CC263" s="41"/>
      <c r="CD263" s="41"/>
      <c r="CE263" s="41"/>
      <c r="CF263" s="41"/>
      <c r="CG263" s="41"/>
      <c r="CH263" s="41"/>
      <c r="CI263" s="41"/>
      <c r="CJ263" s="41"/>
      <c r="CK263" s="41"/>
      <c r="CL263" s="41"/>
      <c r="CM263" s="41"/>
      <c r="CN263" s="41"/>
      <c r="CO263" s="41"/>
      <c r="CP263" s="41"/>
      <c r="CQ263" s="41"/>
      <c r="CR263" s="41"/>
      <c r="CS263" s="41"/>
      <c r="CT263" s="41"/>
      <c r="CU263" s="41"/>
      <c r="CV263" s="41"/>
      <c r="CW263" s="41"/>
      <c r="CX263" s="41"/>
      <c r="CY263" s="41"/>
      <c r="CZ263" s="211"/>
      <c r="DA263" s="41"/>
      <c r="DB263" s="41"/>
      <c r="DC263" s="41"/>
      <c r="DD263" s="41"/>
      <c r="DE263" s="41"/>
      <c r="DF263" s="41"/>
      <c r="DG263" s="41"/>
      <c r="DH263" s="41"/>
      <c r="DI263" s="41"/>
    </row>
    <row r="264" spans="1:113" s="17" customFormat="1" ht="12" outlineLevel="1">
      <c r="A264" s="15"/>
      <c r="B264" s="17" t="s">
        <v>500</v>
      </c>
      <c r="C264" s="62"/>
      <c r="D264" s="62"/>
      <c r="E264" s="62"/>
      <c r="F264" s="62"/>
      <c r="G264" s="62"/>
      <c r="H264" s="62"/>
      <c r="I264" s="62"/>
      <c r="J264" s="62"/>
      <c r="K264" s="62"/>
      <c r="L264" s="62"/>
      <c r="M264" s="62"/>
      <c r="N264" s="62"/>
      <c r="O264" s="62"/>
      <c r="P264" s="62"/>
      <c r="Q264" s="62"/>
      <c r="R264" s="62"/>
      <c r="S264" s="62"/>
      <c r="T264" s="62"/>
      <c r="U264" s="62"/>
      <c r="V264" s="62"/>
      <c r="W264" s="62"/>
      <c r="X264" s="62"/>
      <c r="Y264" s="62"/>
      <c r="Z264" s="62"/>
      <c r="AA264" s="62"/>
      <c r="AB264" s="62"/>
      <c r="AC264" s="62"/>
      <c r="AD264" s="62"/>
      <c r="AE264" s="62"/>
      <c r="AF264" s="62"/>
      <c r="AG264" s="62"/>
      <c r="AH264" s="62"/>
      <c r="AI264" s="62"/>
      <c r="AJ264" s="62"/>
      <c r="AK264" s="62"/>
      <c r="AL264" s="62"/>
      <c r="AM264" s="62"/>
      <c r="AN264" s="62"/>
      <c r="AO264" s="62"/>
      <c r="AP264" s="62"/>
      <c r="AQ264" s="62"/>
      <c r="AR264" s="62"/>
      <c r="AS264" s="62"/>
      <c r="AT264" s="62"/>
      <c r="AU264" s="62"/>
      <c r="AV264" s="62"/>
      <c r="AW264" s="62"/>
      <c r="AX264" s="62"/>
      <c r="AY264" s="220"/>
      <c r="AZ264" s="62"/>
      <c r="BA264" s="62"/>
      <c r="BB264" s="62"/>
      <c r="BC264" s="62"/>
      <c r="BD264" s="62"/>
      <c r="BE264" s="62"/>
      <c r="BF264" s="62"/>
      <c r="BG264" s="62"/>
      <c r="BH264" s="62"/>
      <c r="BI264" s="62"/>
      <c r="BJ264" s="62"/>
      <c r="BK264" s="62"/>
      <c r="BL264" s="62"/>
      <c r="BM264" s="62"/>
      <c r="BN264" s="62"/>
      <c r="BO264" s="62"/>
      <c r="BP264" s="62"/>
      <c r="BQ264" s="62"/>
      <c r="BR264" s="62"/>
      <c r="BS264" s="62"/>
      <c r="BT264" s="62"/>
      <c r="BU264" s="62"/>
      <c r="BV264" s="62"/>
      <c r="BW264" s="62"/>
      <c r="BX264" s="62"/>
      <c r="BY264" s="62"/>
      <c r="BZ264" s="62"/>
      <c r="CA264" s="62"/>
      <c r="CB264" s="62"/>
      <c r="CC264" s="62"/>
      <c r="CD264" s="62"/>
      <c r="CE264" s="62"/>
      <c r="CF264" s="62"/>
      <c r="CG264" s="62"/>
      <c r="CH264" s="62"/>
      <c r="CI264" s="62"/>
      <c r="CJ264" s="62"/>
      <c r="CK264" s="62"/>
      <c r="CL264" s="62"/>
      <c r="CM264" s="62"/>
      <c r="CN264" s="62"/>
      <c r="CO264" s="62"/>
      <c r="CP264" s="62"/>
      <c r="CQ264" s="62"/>
      <c r="CR264" s="62"/>
      <c r="CS264" s="62"/>
      <c r="CT264" s="62"/>
      <c r="CU264" s="62"/>
      <c r="CV264" s="62"/>
      <c r="CW264" s="62"/>
      <c r="CX264" s="62"/>
      <c r="CY264" s="62"/>
      <c r="CZ264" s="220"/>
      <c r="DA264" s="62"/>
      <c r="DB264" s="62"/>
      <c r="DC264" s="62"/>
      <c r="DD264" s="62"/>
      <c r="DE264" s="62"/>
      <c r="DF264" s="62"/>
      <c r="DG264" s="62"/>
      <c r="DH264" s="62"/>
      <c r="DI264" s="62"/>
    </row>
    <row r="265" spans="1:113" ht="12" outlineLevel="1">
      <c r="A265" s="1" t="s">
        <v>292</v>
      </c>
      <c r="B265" s="15" t="s">
        <v>435</v>
      </c>
      <c r="C265" s="41">
        <f t="shared" ref="C265:S265" si="3017">AVERAGE(B208:C208)</f>
        <v>4774</v>
      </c>
      <c r="D265" s="41">
        <f t="shared" si="3017"/>
        <v>4919</v>
      </c>
      <c r="E265" s="41">
        <f t="shared" si="3017"/>
        <v>2532</v>
      </c>
      <c r="F265" s="41">
        <f t="shared" si="3017"/>
        <v>0</v>
      </c>
      <c r="G265" s="41">
        <f t="shared" si="3017"/>
        <v>0</v>
      </c>
      <c r="H265" s="41">
        <f t="shared" si="3017"/>
        <v>0</v>
      </c>
      <c r="I265" s="41">
        <f t="shared" si="3017"/>
        <v>0</v>
      </c>
      <c r="J265" s="41">
        <f t="shared" si="3017"/>
        <v>0</v>
      </c>
      <c r="K265" s="41">
        <f t="shared" si="3017"/>
        <v>0</v>
      </c>
      <c r="L265" s="41">
        <f t="shared" si="3017"/>
        <v>0</v>
      </c>
      <c r="M265" s="41">
        <f t="shared" si="3017"/>
        <v>9518.0049999999992</v>
      </c>
      <c r="N265" s="41">
        <f t="shared" si="3017"/>
        <v>20248.269999999997</v>
      </c>
      <c r="O265" s="41">
        <f t="shared" si="3017"/>
        <v>21998.55</v>
      </c>
      <c r="P265" s="41">
        <f t="shared" si="3017"/>
        <v>22034.32</v>
      </c>
      <c r="Q265" s="41">
        <f t="shared" si="3017"/>
        <v>21029.084999999999</v>
      </c>
      <c r="R265" s="41">
        <f t="shared" si="3017"/>
        <v>18599.174999999999</v>
      </c>
      <c r="S265" s="41">
        <f t="shared" si="3017"/>
        <v>18312.28</v>
      </c>
      <c r="T265" s="41">
        <f>2/6*S208+4/6*T208</f>
        <v>29278.77</v>
      </c>
      <c r="U265" s="41">
        <f t="shared" ref="U265:AY265" si="3018">AVERAGE(T208:U208)</f>
        <v>34185.5</v>
      </c>
      <c r="V265" s="41">
        <f t="shared" si="3018"/>
        <v>34824</v>
      </c>
      <c r="W265" s="41">
        <f t="shared" si="3018"/>
        <v>33877.5</v>
      </c>
      <c r="X265" s="41">
        <f t="shared" si="3018"/>
        <v>33033.5</v>
      </c>
      <c r="Y265" s="41">
        <f t="shared" si="3018"/>
        <v>33508.5</v>
      </c>
      <c r="Z265" s="41">
        <f t="shared" si="3018"/>
        <v>34151.5</v>
      </c>
      <c r="AA265" s="41">
        <f t="shared" si="3018"/>
        <v>35358</v>
      </c>
      <c r="AB265" s="41">
        <f t="shared" si="3018"/>
        <v>36317.5</v>
      </c>
      <c r="AC265" s="41">
        <f t="shared" si="3018"/>
        <v>37235.5</v>
      </c>
      <c r="AD265" s="41">
        <f t="shared" si="3018"/>
        <v>39022</v>
      </c>
      <c r="AE265" s="41">
        <f t="shared" si="3018"/>
        <v>39500.5</v>
      </c>
      <c r="AF265" s="41">
        <f t="shared" si="3018"/>
        <v>38558</v>
      </c>
      <c r="AG265" s="41">
        <f t="shared" si="3018"/>
        <v>38951</v>
      </c>
      <c r="AH265" s="41">
        <f t="shared" si="3018"/>
        <v>19739</v>
      </c>
      <c r="AI265" s="41">
        <f t="shared" si="3018"/>
        <v>0</v>
      </c>
      <c r="AJ265" s="41">
        <f t="shared" si="3018"/>
        <v>0</v>
      </c>
      <c r="AK265" s="41">
        <f t="shared" si="3018"/>
        <v>0</v>
      </c>
      <c r="AL265" s="41">
        <f t="shared" si="3018"/>
        <v>0</v>
      </c>
      <c r="AM265" s="41">
        <f t="shared" si="3018"/>
        <v>0</v>
      </c>
      <c r="AN265" s="41">
        <f t="shared" si="3018"/>
        <v>0</v>
      </c>
      <c r="AO265" s="41">
        <f t="shared" si="3018"/>
        <v>0</v>
      </c>
      <c r="AP265" s="41">
        <f t="shared" si="3018"/>
        <v>0</v>
      </c>
      <c r="AQ265" s="41">
        <f t="shared" si="3018"/>
        <v>0</v>
      </c>
      <c r="AR265" s="41">
        <f t="shared" si="3018"/>
        <v>0</v>
      </c>
      <c r="AS265" s="41">
        <f t="shared" si="3018"/>
        <v>0</v>
      </c>
      <c r="AT265" s="41">
        <f t="shared" si="3018"/>
        <v>0</v>
      </c>
      <c r="AU265" s="41">
        <f t="shared" si="3018"/>
        <v>0</v>
      </c>
      <c r="AV265" s="41">
        <f t="shared" si="3018"/>
        <v>0</v>
      </c>
      <c r="AW265" s="41">
        <f t="shared" si="3018"/>
        <v>0</v>
      </c>
      <c r="AX265" s="41">
        <f t="shared" si="3018"/>
        <v>0</v>
      </c>
      <c r="AY265" s="211">
        <f t="shared" si="3018"/>
        <v>0</v>
      </c>
      <c r="AZ265" s="41">
        <f t="shared" ref="AZ265:AZ266" si="3019">AVERAGE(AY208:AZ208)</f>
        <v>0</v>
      </c>
      <c r="BA265" s="41">
        <f t="shared" ref="BA265:BA266" si="3020">AVERAGE(AZ208:BA208)</f>
        <v>0</v>
      </c>
      <c r="BB265" s="41">
        <f t="shared" ref="BB265:BB266" si="3021">AVERAGE(BA208:BB208)</f>
        <v>0</v>
      </c>
      <c r="BC265" s="41">
        <f>AVERAGE(BB208:BC208)</f>
        <v>0</v>
      </c>
      <c r="BD265" s="41">
        <f t="shared" ref="BD265:BD266" si="3022">AVERAGE(BC208:BD208)</f>
        <v>0</v>
      </c>
      <c r="BE265" s="41">
        <f>AVERAGE(BD208:BE208)</f>
        <v>0</v>
      </c>
      <c r="BF265" s="41">
        <f t="shared" ref="BF265:BF266" si="3023">AVERAGE(BE208:BF208)</f>
        <v>0</v>
      </c>
      <c r="BG265" s="41">
        <f t="shared" ref="BG265:BM265" si="3024">AVERAGE(BF208:BG208)</f>
        <v>0</v>
      </c>
      <c r="BH265" s="41">
        <f t="shared" si="3024"/>
        <v>0</v>
      </c>
      <c r="BI265" s="41">
        <f t="shared" si="3024"/>
        <v>0</v>
      </c>
      <c r="BJ265" s="41">
        <f t="shared" si="3024"/>
        <v>0</v>
      </c>
      <c r="BK265" s="41">
        <f t="shared" si="3024"/>
        <v>0</v>
      </c>
      <c r="BL265" s="41">
        <f t="shared" si="3024"/>
        <v>0</v>
      </c>
      <c r="BM265" s="41">
        <f t="shared" si="3024"/>
        <v>0</v>
      </c>
      <c r="BN265" s="41">
        <f t="shared" ref="BN265:BN266" si="3025">AVERAGE(BM208:BN208)</f>
        <v>0</v>
      </c>
      <c r="BO265" s="41">
        <f t="shared" ref="BO265:BO266" si="3026">AVERAGE(BN208:BO208)</f>
        <v>0</v>
      </c>
      <c r="BP265" s="41">
        <f t="shared" ref="BP265:BP266" si="3027">AVERAGE(BO208:BP208)</f>
        <v>0</v>
      </c>
      <c r="BQ265" s="41">
        <f t="shared" ref="BQ265:BQ266" si="3028">AVERAGE(BP208:BQ208)</f>
        <v>0</v>
      </c>
      <c r="BR265" s="41"/>
      <c r="BS265" s="41">
        <f t="shared" ref="BS265:CB265" si="3029">AVERAGE(BR208:BS208)</f>
        <v>0</v>
      </c>
      <c r="BT265" s="41">
        <f t="shared" si="3029"/>
        <v>0</v>
      </c>
      <c r="BU265" s="41">
        <f t="shared" si="3029"/>
        <v>0</v>
      </c>
      <c r="BV265" s="41">
        <f t="shared" si="3029"/>
        <v>0</v>
      </c>
      <c r="BW265" s="41">
        <f t="shared" si="3029"/>
        <v>0</v>
      </c>
      <c r="BX265" s="41">
        <f t="shared" si="3029"/>
        <v>0</v>
      </c>
      <c r="BY265" s="41">
        <f t="shared" si="3029"/>
        <v>0</v>
      </c>
      <c r="BZ265" s="41">
        <f t="shared" si="3029"/>
        <v>2031.5</v>
      </c>
      <c r="CA265" s="41">
        <f t="shared" si="3029"/>
        <v>4401</v>
      </c>
      <c r="CB265" s="41">
        <f t="shared" si="3029"/>
        <v>4756.5</v>
      </c>
      <c r="CC265" s="41">
        <f>SUMPRODUCT(D265:E265,D$5:E$5)/SUM(D$5:E$5)</f>
        <v>3728.7698630136988</v>
      </c>
      <c r="CD265" s="41">
        <f>SUMPRODUCT(F265:G265,F$5:G$5)/SUM(F$5:G$5)</f>
        <v>0</v>
      </c>
      <c r="CE265" s="41">
        <f>SUMPRODUCT(H265:I265,H$5:I$5)/SUM(H$5:I$5)</f>
        <v>0</v>
      </c>
      <c r="CF265" s="41">
        <f>SUMPRODUCT(J265:K265,J$5:K$5)/SUM(J$5:K$5)</f>
        <v>0</v>
      </c>
      <c r="CG265" s="41">
        <f>SUMPRODUCT(L265:M265,L$5:M$5)/SUM(L$5:M$5)</f>
        <v>4745.9641369863011</v>
      </c>
      <c r="CH265" s="41">
        <f>SUMPRODUCT(N265:O265,N$5:O$5)/SUM(N$5:O$5)</f>
        <v>21121.012356164385</v>
      </c>
      <c r="CI265" s="41">
        <f>SUMPRODUCT(P265:Q265,P$5:Q$5)/SUM(P$5:Q$5)</f>
        <v>21531.702499999999</v>
      </c>
      <c r="CJ265" s="41">
        <f>SUMPRODUCT(R265:S265,R$5:S$5)/SUM(R$5:S$5)</f>
        <v>18456.120506849311</v>
      </c>
      <c r="CK265" s="41">
        <f>SUMPRODUCT(T265:U265,T$5:U$5)/SUM(T$5:U$5)</f>
        <v>31725.413452054796</v>
      </c>
      <c r="CL265" s="41">
        <f>SUMPRODUCT(V265:W265,V$5:W$5)/SUM(V$5:W$5)</f>
        <v>34352.046575342472</v>
      </c>
      <c r="CM265" s="41">
        <f>SUMPRODUCT(X265:Y265,X$5:Y$5)/SUM(X$5:Y$5)</f>
        <v>33271</v>
      </c>
      <c r="CN265" s="41">
        <f>SUMPRODUCT(Z265:AA265,Z$5:AA$5)/SUM(Z$5:AA$5)</f>
        <v>34753.097260273971</v>
      </c>
      <c r="CO265" s="41">
        <f>SUMPRODUCT(AB265:AC265,AB$5:AC$5)/SUM(AB$5:AC$5)</f>
        <v>36775.242465753428</v>
      </c>
      <c r="CP265" s="41">
        <f>SUMPRODUCT(AD265:AE265,AD$5:AE$5)/SUM(AD$5:AE$5)</f>
        <v>39260.594520547944</v>
      </c>
      <c r="CQ265" s="41">
        <f>(AF265*(AF$3-AE$3)+AG265*(AG$3-AF$3))/(AG$3-AE$3)</f>
        <v>38754.5</v>
      </c>
      <c r="CR265" s="41">
        <f>(AH265*(AH$3-AG$3)+AI265*(AI$3-AH$3))/(AI$3-AG$3)</f>
        <v>9842.4602739726033</v>
      </c>
      <c r="CS265" s="41">
        <f>(AJ265*(AJ$3-AI$3)+AK265*(AK$3-AJ$3))/(AK$3-AI$3)</f>
        <v>0</v>
      </c>
      <c r="CT265" s="41">
        <f>(AL265*(AL$3-AK$3)+AM265*(AM$3-AL$3))/(AM$3-AK$3)</f>
        <v>0</v>
      </c>
      <c r="CU265" s="41">
        <f>(AN265*(AN$3-AM$3)+AO265*(AO$3-AN$3))/(AO$3-AM$3)</f>
        <v>0</v>
      </c>
      <c r="CV265" s="41">
        <f>(AP265*(AP$3-AO$3)+AQ265*(AQ$3-AP$3))/(AQ$3-AO$3)</f>
        <v>0</v>
      </c>
      <c r="CW265" s="41">
        <f>(AR265*(AR$3-AQ$3)+AS265*(AS$3-AR$3))/(AS$3-AQ$3)</f>
        <v>0</v>
      </c>
      <c r="CX265" s="41">
        <f>(AT265*(AT$3-AS$3)+AU265*(AU$3-AT$3))/(AU$3-AS$3)</f>
        <v>0</v>
      </c>
      <c r="CY265" s="41">
        <f>(AV265*(AV$3-AU$3)+AW265*(AW$3-AV$3))/(AW$3-AU$3)</f>
        <v>0</v>
      </c>
      <c r="CZ265" s="211">
        <f>(AX265*(AX$3-AW$3)+AY265*(AY$3-AX$3))/(AY$3-AW$3)</f>
        <v>0</v>
      </c>
      <c r="DA265" s="41">
        <f>(AZ265*(AZ$3-AY$3)+BA265*(BA$3-AZ$3))/(BA$3-AY$3)</f>
        <v>0</v>
      </c>
      <c r="DB265" s="41">
        <f>(BB265*(BB$3-BA$3)+BC265*(BC$3-BB$3))/(BC$3-BA$3)</f>
        <v>0</v>
      </c>
      <c r="DC265" s="41">
        <f>(BD265*(BD$3-BC$3)+BE265*(BE$3-BD$3))/(BE$3-BC$3)</f>
        <v>0</v>
      </c>
      <c r="DD265" s="41">
        <f>(BF265*(BF$3-BE$3)+BG265*(BG$3-BF$3))/(BG$3-BE$3)</f>
        <v>0</v>
      </c>
      <c r="DE265" s="41">
        <f>(BH265*(BH$3-BG$3)+BI265*(BI$3-BH$3))/(BI$3-BG$3)</f>
        <v>0</v>
      </c>
      <c r="DF265" s="41">
        <f>(BJ265*(BJ$3-BI$3)+BK265*(BK$3-BJ$3))/(BK$3-BI$3)</f>
        <v>0</v>
      </c>
      <c r="DG265" s="41">
        <f>(BL265*(BL$3-BK$3)+BM265*(BM$3-BL$3))/(BM$3-BK$3)</f>
        <v>0</v>
      </c>
      <c r="DH265" s="41">
        <f>(BN265*(BN$3-BM$3)+BO265*(BO$3-BN$3))/(BO$3-BM$3)</f>
        <v>0</v>
      </c>
      <c r="DI265" s="41">
        <f>(BP265*(BP$3-BO$3)+BQ265*(BQ$3-BP$3))/(BQ$3-BO$3)</f>
        <v>0</v>
      </c>
    </row>
    <row r="266" spans="1:113" ht="12" outlineLevel="1">
      <c r="A266" s="1" t="s">
        <v>293</v>
      </c>
      <c r="B266" s="15" t="s">
        <v>436</v>
      </c>
      <c r="C266" s="40">
        <v>0</v>
      </c>
      <c r="D266" s="40">
        <v>0</v>
      </c>
      <c r="E266" s="40">
        <v>0</v>
      </c>
      <c r="F266" s="40">
        <v>0</v>
      </c>
      <c r="G266" s="40">
        <v>0</v>
      </c>
      <c r="H266" s="40">
        <v>0</v>
      </c>
      <c r="I266" s="40">
        <v>0</v>
      </c>
      <c r="J266" s="40">
        <v>0</v>
      </c>
      <c r="K266" s="40">
        <v>0</v>
      </c>
      <c r="L266" s="40">
        <v>0</v>
      </c>
      <c r="M266" s="40">
        <v>0</v>
      </c>
      <c r="N266" s="40">
        <v>0</v>
      </c>
      <c r="O266" s="40">
        <v>0</v>
      </c>
      <c r="P266" s="40">
        <v>0</v>
      </c>
      <c r="Q266" s="40">
        <v>0</v>
      </c>
      <c r="R266" s="40">
        <v>0</v>
      </c>
      <c r="S266" s="40">
        <v>0</v>
      </c>
      <c r="T266" s="41">
        <f>AVERAGE(S209:T209)</f>
        <v>5333</v>
      </c>
      <c r="U266" s="41">
        <f t="shared" ref="U266:AX266" si="3030">AVERAGE(T209:U209)</f>
        <v>10365</v>
      </c>
      <c r="V266" s="41">
        <f t="shared" si="3030"/>
        <v>10150.5</v>
      </c>
      <c r="W266" s="41">
        <f t="shared" si="3030"/>
        <v>13179</v>
      </c>
      <c r="X266" s="41">
        <f t="shared" si="3030"/>
        <v>16785.5</v>
      </c>
      <c r="Y266" s="41">
        <f t="shared" si="3030"/>
        <v>17815.5</v>
      </c>
      <c r="Z266" s="41">
        <f t="shared" si="3030"/>
        <v>19084.5</v>
      </c>
      <c r="AA266" s="41">
        <f t="shared" si="3030"/>
        <v>21333.5</v>
      </c>
      <c r="AB266" s="41">
        <f t="shared" si="3030"/>
        <v>23797.5</v>
      </c>
      <c r="AC266" s="41">
        <f t="shared" si="3030"/>
        <v>24296</v>
      </c>
      <c r="AD266" s="41">
        <f t="shared" si="3030"/>
        <v>25886</v>
      </c>
      <c r="AE266" s="41">
        <f t="shared" si="3030"/>
        <v>27398</v>
      </c>
      <c r="AF266" s="41">
        <f t="shared" si="3030"/>
        <v>17453</v>
      </c>
      <c r="AG266" s="41">
        <f t="shared" si="3030"/>
        <v>8489.5</v>
      </c>
      <c r="AH266" s="41">
        <f t="shared" si="3030"/>
        <v>18015.5</v>
      </c>
      <c r="AI266" s="41">
        <f t="shared" si="3030"/>
        <v>28091.5</v>
      </c>
      <c r="AJ266" s="41">
        <f t="shared" si="3030"/>
        <v>29760.5</v>
      </c>
      <c r="AK266" s="41">
        <f t="shared" si="3030"/>
        <v>30665</v>
      </c>
      <c r="AL266" s="41">
        <f t="shared" si="3030"/>
        <v>32275</v>
      </c>
      <c r="AM266" s="41">
        <f t="shared" si="3030"/>
        <v>34785</v>
      </c>
      <c r="AN266" s="41">
        <f t="shared" si="3030"/>
        <v>33703.5</v>
      </c>
      <c r="AO266" s="41">
        <f t="shared" si="3030"/>
        <v>32130.5</v>
      </c>
      <c r="AP266" s="41">
        <f t="shared" si="3030"/>
        <v>33051.5</v>
      </c>
      <c r="AQ266" s="41">
        <f t="shared" si="3030"/>
        <v>35387.5</v>
      </c>
      <c r="AR266" s="41">
        <f t="shared" si="3030"/>
        <v>35999.5</v>
      </c>
      <c r="AS266" s="41">
        <f t="shared" si="3030"/>
        <v>32521.5</v>
      </c>
      <c r="AT266" s="41">
        <f t="shared" si="3030"/>
        <v>32452</v>
      </c>
      <c r="AU266" s="41">
        <f t="shared" si="3030"/>
        <v>34562.5</v>
      </c>
      <c r="AV266" s="41">
        <f t="shared" si="3030"/>
        <v>35852</v>
      </c>
      <c r="AW266" s="41">
        <f t="shared" si="3030"/>
        <v>36803.5</v>
      </c>
      <c r="AX266" s="41">
        <f t="shared" si="3030"/>
        <v>35888</v>
      </c>
      <c r="AY266" s="211">
        <f>AVERAGE(AX209:AY209)</f>
        <v>36048</v>
      </c>
      <c r="AZ266" s="41">
        <f t="shared" si="3019"/>
        <v>37417.184999999998</v>
      </c>
      <c r="BA266" s="41">
        <f t="shared" si="3020"/>
        <v>38738.479345312488</v>
      </c>
      <c r="BB266" s="41">
        <f t="shared" si="3021"/>
        <v>40106.431897193834</v>
      </c>
      <c r="BC266" s="41">
        <f t="shared" ref="BC266" si="3031">AVERAGE(BB209:BC209)</f>
        <v>41522.690273563479</v>
      </c>
      <c r="BD266" s="41">
        <f t="shared" si="3022"/>
        <v>42988.960273848686</v>
      </c>
      <c r="BE266" s="41">
        <f t="shared" ref="BE266" si="3032">AVERAGE(BD209:BE209)</f>
        <v>44507.007933518958</v>
      </c>
      <c r="BF266" s="41">
        <f t="shared" si="3023"/>
        <v>46078.661651171336</v>
      </c>
      <c r="BG266" s="41">
        <f t="shared" ref="BG266:BK266" si="3033">AVERAGE(BF209:BG209)</f>
        <v>47705.814390728323</v>
      </c>
      <c r="BH266" s="41">
        <f t="shared" si="3033"/>
        <v>49390.425961400906</v>
      </c>
      <c r="BI266" s="41">
        <f t="shared" si="3033"/>
        <v>51134.525378162871</v>
      </c>
      <c r="BJ266" s="41">
        <f t="shared" si="3033"/>
        <v>52940.213305579236</v>
      </c>
      <c r="BK266" s="41">
        <f t="shared" si="3033"/>
        <v>54809.664587932493</v>
      </c>
      <c r="BL266" s="41">
        <f t="shared" ref="BL266" si="3034">AVERAGE(BK209:BL209)</f>
        <v>56745.130868693857</v>
      </c>
      <c r="BM266" s="41">
        <f t="shared" ref="BM266" si="3035">AVERAGE(BL209:BM209)</f>
        <v>58748.943302494597</v>
      </c>
      <c r="BN266" s="41">
        <f t="shared" si="3025"/>
        <v>60823.515362863931</v>
      </c>
      <c r="BO266" s="41">
        <f t="shared" si="3026"/>
        <v>62971.345749115055</v>
      </c>
      <c r="BP266" s="41">
        <f t="shared" si="3027"/>
        <v>65195.021395880671</v>
      </c>
      <c r="BQ266" s="41">
        <f t="shared" si="3028"/>
        <v>67497.220588922704</v>
      </c>
      <c r="BR266" s="41"/>
      <c r="BS266" s="41">
        <f t="shared" ref="BS266:CB266" si="3036">AVERAGE(BR209:BS209)</f>
        <v>9700</v>
      </c>
      <c r="BT266" s="41">
        <f t="shared" si="3036"/>
        <v>9700</v>
      </c>
      <c r="BU266" s="41">
        <f t="shared" si="3036"/>
        <v>9850</v>
      </c>
      <c r="BV266" s="41">
        <f t="shared" si="3036"/>
        <v>10000</v>
      </c>
      <c r="BW266" s="41">
        <f t="shared" si="3036"/>
        <v>10656</v>
      </c>
      <c r="BX266" s="41">
        <f t="shared" si="3036"/>
        <v>12395</v>
      </c>
      <c r="BY266" s="41">
        <f t="shared" si="3036"/>
        <v>13958.5</v>
      </c>
      <c r="BZ266" s="41">
        <f t="shared" si="3036"/>
        <v>12822</v>
      </c>
      <c r="CA266" s="41">
        <f t="shared" si="3036"/>
        <v>11006</v>
      </c>
      <c r="CB266" s="41">
        <f t="shared" si="3036"/>
        <v>12534.504999999999</v>
      </c>
      <c r="CC266" s="41">
        <f>SUMPRODUCT(D266:E266,D$5:E$5)/SUM(D$5:E$5)</f>
        <v>0</v>
      </c>
      <c r="CD266" s="41">
        <f>SUMPRODUCT(F266:G266,F$5:G$5)/SUM(F$5:G$5)</f>
        <v>0</v>
      </c>
      <c r="CE266" s="41">
        <f>SUMPRODUCT(H266:I266,H$5:I$5)/SUM(H$5:I$5)</f>
        <v>0</v>
      </c>
      <c r="CF266" s="41">
        <f>SUMPRODUCT(J266:K266,J$5:K$5)/SUM(J$5:K$5)</f>
        <v>0</v>
      </c>
      <c r="CG266" s="41">
        <f>SUMPRODUCT(L266:M266,L$5:M$5)/SUM(L$5:M$5)</f>
        <v>0</v>
      </c>
      <c r="CH266" s="41">
        <f>SUMPRODUCT(N266:O266,N$5:O$5)/SUM(N$5:O$5)</f>
        <v>0</v>
      </c>
      <c r="CI266" s="41">
        <f>SUMPRODUCT(P266:Q266,P$5:Q$5)/SUM(P$5:Q$5)</f>
        <v>0</v>
      </c>
      <c r="CJ266" s="41">
        <f>SUMPRODUCT(R266:S266,R$5:S$5)/SUM(R$5:S$5)</f>
        <v>0</v>
      </c>
      <c r="CK266" s="41">
        <f>SUMPRODUCT(T266:U266,T$5:U$5)/SUM(T$5:U$5)</f>
        <v>7842.1068493150688</v>
      </c>
      <c r="CL266" s="41">
        <f>SUMPRODUCT(V266:W266,V$5:W$5)/SUM(V$5:W$5)</f>
        <v>11660.601369863014</v>
      </c>
      <c r="CM266" s="41">
        <f>SUMPRODUCT(X266:Y266,X$5:Y$5)/SUM(X$5:Y$5)</f>
        <v>17300.5</v>
      </c>
      <c r="CN266" s="41">
        <f>SUMPRODUCT(Z266:AA266,Z$5:AA$5)/SUM(Z$5:AA$5)</f>
        <v>20205.919178082193</v>
      </c>
      <c r="CO266" s="41">
        <f>SUMPRODUCT(AB266:AC266,AB$5:AC$5)/SUM(AB$5:AC$5)</f>
        <v>24046.067123287674</v>
      </c>
      <c r="CP266" s="41">
        <f>SUMPRODUCT(AD266:AE266,AD$5:AE$5)/SUM(AD$5:AE$5)</f>
        <v>26639.928767123289</v>
      </c>
      <c r="CQ266" s="41">
        <f>(AF266*(AF$3-AE$3)+AG266*(AG$3-AF$3))/(AG$3-AE$3)</f>
        <v>12971.25</v>
      </c>
      <c r="CR266" s="41">
        <f>(AH266*(AH$3-AG$3)+AI266*(AI$3-AH$3))/(AI$3-AG$3)</f>
        <v>23067.302739726027</v>
      </c>
      <c r="CS266" s="41">
        <f>(AJ266*(AJ$3-AI$3)+AK266*(AK$3-AJ$3))/(AK$3-AI$3)</f>
        <v>30213.989041095891</v>
      </c>
      <c r="CT266" s="41">
        <f>(AL266*(AL$3-AK$3)+AM266*(AM$3-AL$3))/(AM$3-AK$3)</f>
        <v>33533.438356164384</v>
      </c>
      <c r="CU266" s="41">
        <f>(AN266*(AN$3-AM$3)+AO266*(AO$3-AN$3))/(AO$3-AM$3)</f>
        <v>32917</v>
      </c>
      <c r="CV266" s="41">
        <f>(AP266*(AP$3-AO$3)+AQ266*(AQ$3-AP$3))/(AQ$3-AO$3)</f>
        <v>34222.699999999997</v>
      </c>
      <c r="CW266" s="41">
        <f>(AR266*(AR$3-AQ$3)+AS266*(AS$3-AR$3))/(AS$3-AQ$3)</f>
        <v>34255.735616438353</v>
      </c>
      <c r="CX266" s="41">
        <f>(AT266*(AT$3-AS$3)+AU266*(AU$3-AT$3))/(AU$3-AS$3)</f>
        <v>33510.141095890409</v>
      </c>
      <c r="CY266" s="41">
        <f>(AV266*(AV$3-AU$3)+AW266*(AW$3-AV$3))/(AW$3-AU$3)</f>
        <v>36327.75</v>
      </c>
      <c r="CZ266" s="211">
        <f>(AX266*(AX$3-AW$3)+AY266*(AY$3-AX$3))/(AY$3-AW$3)</f>
        <v>35968.219178082189</v>
      </c>
      <c r="DA266" s="41">
        <f>(AZ266*(AZ$3-AY$3)+BA266*(BA$3-AZ$3))/(BA$3-AY$3)</f>
        <v>38079.642164910096</v>
      </c>
      <c r="DB266" s="41">
        <f>(BB266*(BB$3-BA$3)+BC266*(BC$3-BB$3))/(BC$3-BA$3)</f>
        <v>40816.501165346286</v>
      </c>
      <c r="DC266" s="41">
        <f>(BD266*(BD$3-BC$3)+BE266*(BE$3-BD$3))/(BE$3-BC$3)</f>
        <v>43747.984103683819</v>
      </c>
      <c r="DD266" s="41">
        <f>(BF266*(BF$3-BE$3)+BG266*(BG$3-BF$3))/(BG$3-BE$3)</f>
        <v>46894.466997305382</v>
      </c>
      <c r="DE266" s="41">
        <f>(BH266*(BH$3-BG$3)+BI266*(BI$3-BH$3))/(BI$3-BG$3)</f>
        <v>50264.864847065117</v>
      </c>
      <c r="DF266" s="41">
        <f>(BJ266*(BJ$3-BI$3)+BK266*(BK$3-BJ$3))/(BK$3-BI$3)</f>
        <v>53877.499838923468</v>
      </c>
      <c r="DG266" s="41">
        <f>(BL266*(BL$3-BK$3)+BM266*(BM$3-BL$3))/(BM$3-BK$3)</f>
        <v>57747.037085594231</v>
      </c>
      <c r="DH266" s="41">
        <f>(BN266*(BN$3-BM$3)+BO266*(BO$3-BN$3))/(BO$3-BM$3)</f>
        <v>61900.372789395318</v>
      </c>
      <c r="DI266" s="41">
        <f>(BP266*(BP$3-BO$3)+BQ266*(BQ$3-BP$3))/(BQ$3-BO$3)</f>
        <v>66349.274689926402</v>
      </c>
    </row>
    <row r="267" spans="1:113" s="17" customFormat="1" ht="12" outlineLevel="1">
      <c r="A267" s="1" t="s">
        <v>294</v>
      </c>
      <c r="B267" s="17" t="s">
        <v>387</v>
      </c>
      <c r="C267" s="62">
        <f t="shared" ref="C267:S267" si="3037">AVERAGE(B210:C210)</f>
        <v>15810</v>
      </c>
      <c r="D267" s="62">
        <f t="shared" si="3037"/>
        <v>15121.145</v>
      </c>
      <c r="E267" s="62">
        <f t="shared" si="3037"/>
        <v>13743.435000000001</v>
      </c>
      <c r="F267" s="62">
        <f t="shared" si="3037"/>
        <v>13301.172500000001</v>
      </c>
      <c r="G267" s="62">
        <f t="shared" si="3037"/>
        <v>13794.357499999998</v>
      </c>
      <c r="H267" s="62">
        <f t="shared" si="3037"/>
        <v>14288.89</v>
      </c>
      <c r="I267" s="62">
        <f t="shared" si="3037"/>
        <v>14784.769999999999</v>
      </c>
      <c r="J267" s="62">
        <f t="shared" si="3037"/>
        <v>15157.2925</v>
      </c>
      <c r="K267" s="62">
        <f t="shared" si="3037"/>
        <v>15406.4575</v>
      </c>
      <c r="L267" s="62">
        <f t="shared" si="3037"/>
        <v>16029.614999999998</v>
      </c>
      <c r="M267" s="62">
        <f t="shared" si="3037"/>
        <v>17782.099999999999</v>
      </c>
      <c r="N267" s="62">
        <f t="shared" si="3037"/>
        <v>20248.269999999997</v>
      </c>
      <c r="O267" s="62">
        <f t="shared" si="3037"/>
        <v>21998.55</v>
      </c>
      <c r="P267" s="62">
        <f t="shared" si="3037"/>
        <v>22034.32</v>
      </c>
      <c r="Q267" s="62">
        <f t="shared" si="3037"/>
        <v>21029.084999999999</v>
      </c>
      <c r="R267" s="62">
        <f t="shared" si="3037"/>
        <v>18599.174999999999</v>
      </c>
      <c r="S267" s="62">
        <f t="shared" si="3037"/>
        <v>18312.28</v>
      </c>
      <c r="T267" s="62">
        <f t="shared" ref="T267:AB267" si="3038">SUM(T265:T266)</f>
        <v>34611.770000000004</v>
      </c>
      <c r="U267" s="62">
        <f t="shared" si="3038"/>
        <v>44550.5</v>
      </c>
      <c r="V267" s="62">
        <f t="shared" si="3038"/>
        <v>44974.5</v>
      </c>
      <c r="W267" s="62">
        <f t="shared" si="3038"/>
        <v>47056.5</v>
      </c>
      <c r="X267" s="62">
        <f t="shared" si="3038"/>
        <v>49819</v>
      </c>
      <c r="Y267" s="62">
        <f t="shared" si="3038"/>
        <v>51324</v>
      </c>
      <c r="Z267" s="62">
        <f t="shared" si="3038"/>
        <v>53236</v>
      </c>
      <c r="AA267" s="62">
        <f t="shared" si="3038"/>
        <v>56691.5</v>
      </c>
      <c r="AB267" s="62">
        <f t="shared" si="3038"/>
        <v>60115</v>
      </c>
      <c r="AC267" s="62">
        <f t="shared" ref="AC267:AD267" si="3039">SUM(AC265:AC266)</f>
        <v>61531.5</v>
      </c>
      <c r="AD267" s="62">
        <f t="shared" si="3039"/>
        <v>64908</v>
      </c>
      <c r="AE267" s="62">
        <f t="shared" ref="AE267:AF267" si="3040">SUM(AE265:AE266)</f>
        <v>66898.5</v>
      </c>
      <c r="AF267" s="62">
        <f t="shared" si="3040"/>
        <v>56011</v>
      </c>
      <c r="AG267" s="62">
        <f t="shared" ref="AG267:AH267" si="3041">SUM(AG265:AG266)</f>
        <v>47440.5</v>
      </c>
      <c r="AH267" s="62">
        <f t="shared" si="3041"/>
        <v>37754.5</v>
      </c>
      <c r="AI267" s="62">
        <f t="shared" ref="AI267:AJ267" si="3042">SUM(AI265:AI266)</f>
        <v>28091.5</v>
      </c>
      <c r="AJ267" s="62">
        <f t="shared" si="3042"/>
        <v>29760.5</v>
      </c>
      <c r="AK267" s="62">
        <f t="shared" ref="AK267:AL267" si="3043">SUM(AK265:AK266)</f>
        <v>30665</v>
      </c>
      <c r="AL267" s="62">
        <f t="shared" si="3043"/>
        <v>32275</v>
      </c>
      <c r="AM267" s="62">
        <f t="shared" ref="AM267:AN267" si="3044">SUM(AM265:AM266)</f>
        <v>34785</v>
      </c>
      <c r="AN267" s="62">
        <f t="shared" si="3044"/>
        <v>33703.5</v>
      </c>
      <c r="AO267" s="62">
        <f t="shared" ref="AO267" si="3045">SUM(AO265:AO266)</f>
        <v>32130.5</v>
      </c>
      <c r="AP267" s="62">
        <f t="shared" ref="AP267:AQ267" si="3046">SUM(AP265:AP266)</f>
        <v>33051.5</v>
      </c>
      <c r="AQ267" s="62">
        <f t="shared" si="3046"/>
        <v>35387.5</v>
      </c>
      <c r="AR267" s="62">
        <f t="shared" ref="AR267:AS267" si="3047">SUM(AR265:AR266)</f>
        <v>35999.5</v>
      </c>
      <c r="AS267" s="62">
        <f t="shared" si="3047"/>
        <v>32521.5</v>
      </c>
      <c r="AT267" s="62">
        <f t="shared" ref="AT267:AU267" si="3048">SUM(AT265:AT266)</f>
        <v>32452</v>
      </c>
      <c r="AU267" s="62">
        <f t="shared" si="3048"/>
        <v>34562.5</v>
      </c>
      <c r="AV267" s="62">
        <f t="shared" ref="AV267:AW267" si="3049">SUM(AV265:AV266)</f>
        <v>35852</v>
      </c>
      <c r="AW267" s="62">
        <f t="shared" si="3049"/>
        <v>36803.5</v>
      </c>
      <c r="AX267" s="62">
        <f t="shared" ref="AX267:AY267" si="3050">SUM(AX265:AX266)</f>
        <v>35888</v>
      </c>
      <c r="AY267" s="220">
        <f t="shared" si="3050"/>
        <v>36048</v>
      </c>
      <c r="AZ267" s="62">
        <f t="shared" ref="AZ267:BA267" si="3051">SUM(AZ265:AZ266)</f>
        <v>37417.184999999998</v>
      </c>
      <c r="BA267" s="62">
        <f t="shared" si="3051"/>
        <v>38738.479345312488</v>
      </c>
      <c r="BB267" s="62">
        <f t="shared" ref="BB267:BC267" si="3052">SUM(BB265:BB266)</f>
        <v>40106.431897193834</v>
      </c>
      <c r="BC267" s="62">
        <f t="shared" si="3052"/>
        <v>41522.690273563479</v>
      </c>
      <c r="BD267" s="62">
        <f t="shared" ref="BD267:BE267" si="3053">SUM(BD265:BD266)</f>
        <v>42988.960273848686</v>
      </c>
      <c r="BE267" s="62">
        <f t="shared" si="3053"/>
        <v>44507.007933518958</v>
      </c>
      <c r="BF267" s="62">
        <f t="shared" ref="BF267:BG267" si="3054">SUM(BF265:BF266)</f>
        <v>46078.661651171336</v>
      </c>
      <c r="BG267" s="62">
        <f t="shared" si="3054"/>
        <v>47705.814390728323</v>
      </c>
      <c r="BH267" s="62">
        <f t="shared" ref="BH267:BI267" si="3055">SUM(BH265:BH266)</f>
        <v>49390.425961400906</v>
      </c>
      <c r="BI267" s="62">
        <f t="shared" si="3055"/>
        <v>51134.525378162871</v>
      </c>
      <c r="BJ267" s="62">
        <f t="shared" ref="BJ267:BK267" si="3056">SUM(BJ265:BJ266)</f>
        <v>52940.213305579236</v>
      </c>
      <c r="BK267" s="62">
        <f t="shared" si="3056"/>
        <v>54809.664587932493</v>
      </c>
      <c r="BL267" s="62">
        <f t="shared" ref="BL267:BM267" si="3057">SUM(BL265:BL266)</f>
        <v>56745.130868693857</v>
      </c>
      <c r="BM267" s="62">
        <f t="shared" si="3057"/>
        <v>58748.943302494597</v>
      </c>
      <c r="BN267" s="62">
        <f t="shared" ref="BN267:BO267" si="3058">SUM(BN265:BN266)</f>
        <v>60823.515362863931</v>
      </c>
      <c r="BO267" s="62">
        <f t="shared" si="3058"/>
        <v>62971.345749115055</v>
      </c>
      <c r="BP267" s="62">
        <f t="shared" ref="BP267:BQ267" si="3059">SUM(BP265:BP266)</f>
        <v>65195.021395880671</v>
      </c>
      <c r="BQ267" s="62">
        <f t="shared" si="3059"/>
        <v>67497.220588922704</v>
      </c>
      <c r="BR267" s="62"/>
      <c r="BS267" s="62">
        <f t="shared" ref="BS267:CB267" si="3060">AVERAGE(BR210:BS210)</f>
        <v>9700</v>
      </c>
      <c r="BT267" s="62">
        <f t="shared" si="3060"/>
        <v>9700</v>
      </c>
      <c r="BU267" s="62">
        <f t="shared" si="3060"/>
        <v>9850</v>
      </c>
      <c r="BV267" s="62">
        <f t="shared" si="3060"/>
        <v>10000</v>
      </c>
      <c r="BW267" s="62">
        <f t="shared" si="3060"/>
        <v>10656</v>
      </c>
      <c r="BX267" s="62">
        <f t="shared" si="3060"/>
        <v>12395</v>
      </c>
      <c r="BY267" s="62">
        <f t="shared" si="3060"/>
        <v>13958.5</v>
      </c>
      <c r="BZ267" s="62">
        <f t="shared" si="3060"/>
        <v>14853.5</v>
      </c>
      <c r="CA267" s="62">
        <f t="shared" si="3060"/>
        <v>15407</v>
      </c>
      <c r="CB267" s="62">
        <f t="shared" si="3060"/>
        <v>17291.004999999997</v>
      </c>
      <c r="CC267" s="62">
        <f>SUMPRODUCT(D267:E267,D$5:E$5)/SUM(D$5:E$5)</f>
        <v>14434.177273972606</v>
      </c>
      <c r="CD267" s="62">
        <f>SUMPRODUCT(F267:G267,F$5:G$5)/SUM(F$5:G$5)</f>
        <v>13547.089404109591</v>
      </c>
      <c r="CE267" s="62">
        <f>SUMPRODUCT(H267:I267,H$5:I$5)/SUM(H$5:I$5)</f>
        <v>14536.829999999998</v>
      </c>
      <c r="CF267" s="62">
        <f>SUMPRODUCT(J267:K267,J$5:K$5)/SUM(J$5:K$5)</f>
        <v>15281.533678082193</v>
      </c>
      <c r="CG267" s="62">
        <f>SUMPRODUCT(L267:M267,L$5:M$5)/SUM(L$5:M$5)</f>
        <v>16903.456835616438</v>
      </c>
      <c r="CH267" s="62">
        <f>SUMPRODUCT(N267:O267,N$5:O$5)/SUM(N$5:O$5)</f>
        <v>21121.012356164385</v>
      </c>
      <c r="CI267" s="62">
        <f>SUMPRODUCT(P267:Q267,P$5:Q$5)/SUM(P$5:Q$5)</f>
        <v>21531.702499999999</v>
      </c>
      <c r="CJ267" s="62">
        <f>SUMPRODUCT(R267:S267,R$5:S$5)/SUM(R$5:S$5)</f>
        <v>18456.120506849311</v>
      </c>
      <c r="CK267" s="62">
        <f>SUMPRODUCT(T267:U267,T$5:U$5)/SUM(T$5:U$5)</f>
        <v>39567.520301369863</v>
      </c>
      <c r="CL267" s="62">
        <f>SUMPRODUCT(V267:W267,V$5:W$5)/SUM(V$5:W$5)</f>
        <v>46012.647945205485</v>
      </c>
      <c r="CM267" s="62">
        <f>SUMPRODUCT(X267:Y267,X$5:Y$5)/SUM(X$5:Y$5)</f>
        <v>50571.5</v>
      </c>
      <c r="CN267" s="62">
        <f>SUMPRODUCT(Z267:AA267,Z$5:AA$5)/SUM(Z$5:AA$5)</f>
        <v>54959.016438356171</v>
      </c>
      <c r="CO267" s="62">
        <f>SUMPRODUCT(AB267:AC267,AB$5:AC$5)/SUM(AB$5:AC$5)</f>
        <v>60821.309589041099</v>
      </c>
      <c r="CP267" s="62">
        <f>SUMPRODUCT(AD267:AE267,AD$5:AE$5)/SUM(AD$5:AE$5)</f>
        <v>65900.52328767124</v>
      </c>
      <c r="CQ267" s="62">
        <f t="shared" ref="CQ267" si="3061">CQ265+CQ266</f>
        <v>51725.75</v>
      </c>
      <c r="CR267" s="62">
        <f t="shared" ref="CR267" si="3062">CR265+CR266</f>
        <v>32909.763013698626</v>
      </c>
      <c r="CS267" s="62">
        <f t="shared" ref="CS267" si="3063">CS265+CS266</f>
        <v>30213.989041095891</v>
      </c>
      <c r="CT267" s="62">
        <f>CT265+CT266</f>
        <v>33533.438356164384</v>
      </c>
      <c r="CU267" s="62">
        <f t="shared" ref="CU267:DC267" si="3064">CU265+CU266</f>
        <v>32917</v>
      </c>
      <c r="CV267" s="62">
        <f t="shared" si="3064"/>
        <v>34222.699999999997</v>
      </c>
      <c r="CW267" s="62">
        <f t="shared" si="3064"/>
        <v>34255.735616438353</v>
      </c>
      <c r="CX267" s="62">
        <f t="shared" si="3064"/>
        <v>33510.141095890409</v>
      </c>
      <c r="CY267" s="62">
        <f t="shared" si="3064"/>
        <v>36327.75</v>
      </c>
      <c r="CZ267" s="220">
        <f t="shared" si="3064"/>
        <v>35968.219178082189</v>
      </c>
      <c r="DA267" s="62">
        <f t="shared" si="3064"/>
        <v>38079.642164910096</v>
      </c>
      <c r="DB267" s="62">
        <f t="shared" si="3064"/>
        <v>40816.501165346286</v>
      </c>
      <c r="DC267" s="62">
        <f t="shared" si="3064"/>
        <v>43747.984103683819</v>
      </c>
      <c r="DD267" s="62">
        <f t="shared" ref="DD267" si="3065">DD265+DD266</f>
        <v>46894.466997305382</v>
      </c>
      <c r="DE267" s="62">
        <f>DE265+DE266</f>
        <v>50264.864847065117</v>
      </c>
      <c r="DF267" s="62">
        <f>DF265+DF266</f>
        <v>53877.499838923468</v>
      </c>
      <c r="DG267" s="62">
        <f>DG265+DG266</f>
        <v>57747.037085594231</v>
      </c>
      <c r="DH267" s="62">
        <f>DH265+DH266</f>
        <v>61900.372789395318</v>
      </c>
      <c r="DI267" s="62">
        <f>DI265+DI266</f>
        <v>66349.274689926402</v>
      </c>
    </row>
    <row r="268" spans="1:113" ht="12">
      <c r="AY268" s="200"/>
      <c r="CZ268" s="200"/>
      <c r="DB268" s="15"/>
      <c r="DC268" s="15"/>
      <c r="DD268" s="15"/>
      <c r="DE268" s="15"/>
      <c r="DF268" s="15"/>
      <c r="DG268" s="15"/>
      <c r="DH268" s="15"/>
      <c r="DI268" s="15"/>
    </row>
    <row r="269" spans="1:113" s="26" customFormat="1" ht="12" collapsed="1">
      <c r="A269" s="1" t="s">
        <v>927</v>
      </c>
      <c r="B269" s="2" t="s">
        <v>583</v>
      </c>
      <c r="C269" s="385">
        <f t="shared" ref="C269:L269" si="3066">C323</f>
        <v>2.7542525224884339E-2</v>
      </c>
      <c r="D269" s="385">
        <f t="shared" si="3066"/>
        <v>2.7376529741967255E-2</v>
      </c>
      <c r="E269" s="385">
        <f t="shared" si="3066"/>
        <v>2.7689893297031559E-2</v>
      </c>
      <c r="F269" s="385">
        <f t="shared" si="3066"/>
        <v>2.6966410989231943E-2</v>
      </c>
      <c r="G269" s="385">
        <f t="shared" si="3066"/>
        <v>2.6220845289915029E-2</v>
      </c>
      <c r="H269" s="385">
        <f t="shared" si="3066"/>
        <v>2.5185095888209122E-2</v>
      </c>
      <c r="I269" s="385">
        <f t="shared" si="3066"/>
        <v>2.4376165527040229E-2</v>
      </c>
      <c r="J269" s="385">
        <f t="shared" si="3066"/>
        <v>2.5712937809823963E-2</v>
      </c>
      <c r="K269" s="385">
        <f>K323</f>
        <v>2.4651871216901475E-2</v>
      </c>
      <c r="L269" s="385">
        <f t="shared" si="3066"/>
        <v>2.2946099028772184E-2</v>
      </c>
      <c r="M269" s="67">
        <f t="shared" ref="M269:AG269" si="3067">M323</f>
        <v>2.3305065599238846E-2</v>
      </c>
      <c r="N269" s="67">
        <f t="shared" si="3067"/>
        <v>2.2374355925505712E-2</v>
      </c>
      <c r="O269" s="67">
        <f t="shared" si="3067"/>
        <v>2.1462750108869839E-2</v>
      </c>
      <c r="P269" s="67">
        <f t="shared" si="3067"/>
        <v>1.9957023763641259E-2</v>
      </c>
      <c r="Q269" s="67">
        <f t="shared" si="3067"/>
        <v>2.0211751618926535E-2</v>
      </c>
      <c r="R269" s="67">
        <f t="shared" si="3067"/>
        <v>2.2221149959869305E-2</v>
      </c>
      <c r="S269" s="67">
        <f t="shared" si="3067"/>
        <v>2.4079769418525597E-2</v>
      </c>
      <c r="T269" s="68">
        <f t="shared" si="3067"/>
        <v>2.4516818953123881E-2</v>
      </c>
      <c r="U269" s="67">
        <f t="shared" si="3067"/>
        <v>2.4970433186508385E-2</v>
      </c>
      <c r="V269" s="67">
        <f>V323</f>
        <v>2.4747461285322424E-2</v>
      </c>
      <c r="W269" s="67">
        <f>W323</f>
        <v>2.4462460657294023E-2</v>
      </c>
      <c r="X269" s="67">
        <f>X323</f>
        <v>2.3523769463914365E-2</v>
      </c>
      <c r="Y269" s="68">
        <f>Y323</f>
        <v>2.2766421201090382E-2</v>
      </c>
      <c r="Z269" s="68">
        <f t="shared" si="3067"/>
        <v>2.2482604907496685E-2</v>
      </c>
      <c r="AA269" s="68">
        <f t="shared" si="3067"/>
        <v>2.1873033387705101E-2</v>
      </c>
      <c r="AB269" s="68">
        <f t="shared" si="3067"/>
        <v>2.1450292275719221E-2</v>
      </c>
      <c r="AC269" s="68">
        <f t="shared" si="3067"/>
        <v>2.12052157638314E-2</v>
      </c>
      <c r="AD269" s="68">
        <f t="shared" ref="AD269" si="3068">AD323</f>
        <v>2.0386155827046854E-2</v>
      </c>
      <c r="AE269" s="68">
        <f t="shared" ref="AE269:AF269" si="3069">AE323</f>
        <v>2.0383137446578433E-2</v>
      </c>
      <c r="AF269" s="68">
        <f t="shared" si="3069"/>
        <v>2.0694699854387849E-2</v>
      </c>
      <c r="AG269" s="68">
        <f t="shared" si="3067"/>
        <v>2.0614152202937247E-2</v>
      </c>
      <c r="AH269" s="68">
        <f t="shared" ref="AH269:AI269" si="3070">AH323</f>
        <v>2.0000865346245005E-2</v>
      </c>
      <c r="AI269" s="68">
        <f t="shared" si="3070"/>
        <v>1.9773687967259951E-2</v>
      </c>
      <c r="AJ269" s="68">
        <f t="shared" ref="AJ269" si="3071">AJ323</f>
        <v>1.9263792875698998E-2</v>
      </c>
      <c r="AK269" s="68">
        <f>AK323</f>
        <v>1.8213937852235233E-2</v>
      </c>
      <c r="AL269" s="68">
        <f>AL323</f>
        <v>1.8037707134694544E-2</v>
      </c>
      <c r="AM269" s="68">
        <f t="shared" ref="AM269" si="3072">AM323</f>
        <v>1.7232423437769762E-2</v>
      </c>
      <c r="AN269" s="68">
        <f t="shared" ref="AN269:AO269" si="3073">AN323</f>
        <v>1.6861008742183225E-2</v>
      </c>
      <c r="AO269" s="68">
        <f t="shared" si="3073"/>
        <v>1.5710324354799739E-2</v>
      </c>
      <c r="AP269" s="68">
        <f t="shared" ref="AP269:AQ269" si="3074">AP323</f>
        <v>1.6338183672275776E-2</v>
      </c>
      <c r="AQ269" s="68">
        <f t="shared" si="3074"/>
        <v>1.6452496019000118E-2</v>
      </c>
      <c r="AR269" s="68">
        <f t="shared" ref="AR269:AS269" si="3075">AR323</f>
        <v>1.5826785793373838E-2</v>
      </c>
      <c r="AS269" s="68">
        <f t="shared" si="3075"/>
        <v>1.6847598850080477E-2</v>
      </c>
      <c r="AT269" s="68">
        <f t="shared" ref="AT269:AU269" si="3076">AT323</f>
        <v>1.7520240352963186E-2</v>
      </c>
      <c r="AU269" s="68">
        <f t="shared" si="3076"/>
        <v>1.6480036617208552E-2</v>
      </c>
      <c r="AV269" s="68">
        <f t="shared" ref="AV269:AW269" si="3077">AV323</f>
        <v>1.5555015108982585E-2</v>
      </c>
      <c r="AW269" s="68">
        <f t="shared" si="3077"/>
        <v>1.5839303768571678E-2</v>
      </c>
      <c r="AX269" s="68">
        <f t="shared" ref="AX269" si="3078">AX323</f>
        <v>1.5573325204557439E-2</v>
      </c>
      <c r="AY269" s="69">
        <f t="shared" ref="AY269" si="3079">AY323</f>
        <v>1.5354854808742975E-2</v>
      </c>
      <c r="AZ269" s="67">
        <f t="shared" ref="AZ269:BA269" si="3080">AZ323</f>
        <v>1.5571544536685598E-2</v>
      </c>
      <c r="BA269" s="67">
        <f t="shared" si="3080"/>
        <v>1.5652534381261584E-2</v>
      </c>
      <c r="BB269" s="67">
        <f t="shared" ref="BB269:BC269" si="3081">BB323</f>
        <v>1.5536107259616641E-2</v>
      </c>
      <c r="BC269" s="67">
        <f t="shared" si="3081"/>
        <v>1.5428488662613784E-2</v>
      </c>
      <c r="BD269" s="67">
        <f t="shared" ref="BD269:BE269" si="3082">BD323</f>
        <v>1.5364400587753187E-2</v>
      </c>
      <c r="BE269" s="67">
        <f t="shared" si="3082"/>
        <v>1.5309726572993133E-2</v>
      </c>
      <c r="BF269" s="67">
        <f t="shared" ref="BF269:BG269" si="3083">BF323</f>
        <v>1.5270828803668117E-2</v>
      </c>
      <c r="BG269" s="67">
        <f t="shared" si="3083"/>
        <v>1.5224997640886428E-2</v>
      </c>
      <c r="BH269" s="67">
        <f t="shared" ref="BH269:BI269" si="3084">BH323</f>
        <v>1.5130764641043843E-2</v>
      </c>
      <c r="BI269" s="67">
        <f t="shared" si="3084"/>
        <v>1.505183049125179E-2</v>
      </c>
      <c r="BJ269" s="67">
        <f t="shared" ref="BJ269:BK269" si="3085">BJ323</f>
        <v>1.495183049125179E-2</v>
      </c>
      <c r="BK269" s="67">
        <f t="shared" si="3085"/>
        <v>1.4851830491251791E-2</v>
      </c>
      <c r="BL269" s="67">
        <f t="shared" ref="BL269:BM269" si="3086">BL323</f>
        <v>1.4751830491251791E-2</v>
      </c>
      <c r="BM269" s="67">
        <f t="shared" si="3086"/>
        <v>1.4651830491251792E-2</v>
      </c>
      <c r="BN269" s="67">
        <f t="shared" ref="BN269:BO269" si="3087">BN323</f>
        <v>1.4551830491251793E-2</v>
      </c>
      <c r="BO269" s="67">
        <f t="shared" si="3087"/>
        <v>1.4451830491251793E-2</v>
      </c>
      <c r="BP269" s="67">
        <f t="shared" ref="BP269:BQ269" si="3088">BP323</f>
        <v>1.4351830491251794E-2</v>
      </c>
      <c r="BQ269" s="67">
        <f t="shared" si="3088"/>
        <v>1.4251830491251795E-2</v>
      </c>
      <c r="BR269" s="67"/>
      <c r="BS269" s="385">
        <f t="shared" ref="BS269:CB269" si="3089">BS323</f>
        <v>2.9870680465324866E-2</v>
      </c>
      <c r="BT269" s="385">
        <f t="shared" si="3089"/>
        <v>3.0788788667594887E-2</v>
      </c>
      <c r="BU269" s="385">
        <f t="shared" si="3089"/>
        <v>3.3478318175827068E-2</v>
      </c>
      <c r="BV269" s="385">
        <f t="shared" si="3089"/>
        <v>3.3922914466737071E-2</v>
      </c>
      <c r="BW269" s="385">
        <f t="shared" si="3089"/>
        <v>3.3359737694397922E-2</v>
      </c>
      <c r="BX269" s="385">
        <f t="shared" si="3089"/>
        <v>3.0350929867010476E-2</v>
      </c>
      <c r="BY269" s="385">
        <f t="shared" si="3089"/>
        <v>2.9625484431377788E-2</v>
      </c>
      <c r="BZ269" s="385">
        <f t="shared" si="3089"/>
        <v>3.040993086004775E-2</v>
      </c>
      <c r="CA269" s="385">
        <f t="shared" si="3089"/>
        <v>2.8545036723291124E-2</v>
      </c>
      <c r="CB269" s="385">
        <f t="shared" si="3089"/>
        <v>2.7515954659334818E-2</v>
      </c>
      <c r="CC269" s="67">
        <f t="shared" ref="CC269:CO269" si="3090">CC323</f>
        <v>2.7537784769164186E-2</v>
      </c>
      <c r="CD269" s="67">
        <f t="shared" si="3090"/>
        <v>2.6588413158812267E-2</v>
      </c>
      <c r="CE269" s="67">
        <f t="shared" si="3090"/>
        <v>2.4755718750147301E-2</v>
      </c>
      <c r="CF269" s="67">
        <f t="shared" si="3090"/>
        <v>2.5168151149412107E-2</v>
      </c>
      <c r="CG269" s="67">
        <f t="shared" si="3090"/>
        <v>2.3088997226526894E-2</v>
      </c>
      <c r="CH269" s="67">
        <f t="shared" si="3090"/>
        <v>2.1904181952897908E-2</v>
      </c>
      <c r="CI269" s="67">
        <f t="shared" si="3090"/>
        <v>2.00882860981383E-2</v>
      </c>
      <c r="CJ269" s="67">
        <f t="shared" si="3090"/>
        <v>2.313645125671402E-2</v>
      </c>
      <c r="CK269" s="67">
        <f t="shared" si="3090"/>
        <v>2.47497592635171E-2</v>
      </c>
      <c r="CL269" s="67">
        <f t="shared" si="3090"/>
        <v>2.4246155403097595E-2</v>
      </c>
      <c r="CM269" s="68">
        <f t="shared" si="3090"/>
        <v>2.3134483753326419E-2</v>
      </c>
      <c r="CN269" s="68">
        <f t="shared" si="3090"/>
        <v>2.2199086104018679E-2</v>
      </c>
      <c r="CO269" s="68">
        <f t="shared" si="3090"/>
        <v>2.1324673839291371E-2</v>
      </c>
      <c r="CP269" s="68">
        <f t="shared" ref="CP269:CX269" si="3091">CP323</f>
        <v>2.038459607370588E-2</v>
      </c>
      <c r="CQ269" s="68">
        <f t="shared" si="3091"/>
        <v>2.0654456888353736E-2</v>
      </c>
      <c r="CR269" s="68">
        <f t="shared" si="3091"/>
        <v>1.9886363636363633E-2</v>
      </c>
      <c r="CS269" s="68">
        <f t="shared" si="3091"/>
        <v>1.8730545475193702E-2</v>
      </c>
      <c r="CT269" s="68">
        <f t="shared" si="3091"/>
        <v>1.7632396685271744E-2</v>
      </c>
      <c r="CU269" s="68">
        <f t="shared" si="3091"/>
        <v>1.6281484606238163E-2</v>
      </c>
      <c r="CV269" s="68">
        <f t="shared" si="3091"/>
        <v>1.6395910111370846E-2</v>
      </c>
      <c r="CW269" s="68">
        <f t="shared" si="3091"/>
        <v>1.6344390392918094E-2</v>
      </c>
      <c r="CX269" s="68">
        <f t="shared" si="3091"/>
        <v>1.6997597117771997E-2</v>
      </c>
      <c r="CY269" s="68">
        <f t="shared" ref="CY269:DD269" si="3092">CY323</f>
        <v>1.5698269663623858E-2</v>
      </c>
      <c r="CZ269" s="69">
        <f t="shared" si="3092"/>
        <v>1.54884207648836E-2</v>
      </c>
      <c r="DA269" s="67">
        <f t="shared" si="3092"/>
        <v>1.5612862066963083E-2</v>
      </c>
      <c r="DB269" s="67">
        <f t="shared" si="3092"/>
        <v>1.5482062526312431E-2</v>
      </c>
      <c r="DC269" s="67">
        <f t="shared" si="3092"/>
        <v>1.5336831657607306E-2</v>
      </c>
      <c r="DD269" s="67">
        <f t="shared" si="3092"/>
        <v>1.524799679763973E-2</v>
      </c>
      <c r="DE269" s="67">
        <f t="shared" ref="DE269" si="3093">DE323</f>
        <v>1.5091206395024669E-2</v>
      </c>
      <c r="DF269" s="67">
        <f t="shared" ref="DF269" si="3094">DF323</f>
        <v>1.4901830491251791E-2</v>
      </c>
      <c r="DG269" s="67">
        <f>DG323</f>
        <v>1.4801830491251791E-2</v>
      </c>
      <c r="DH269" s="67">
        <f>DH323</f>
        <v>1.4701830491251792E-2</v>
      </c>
      <c r="DI269" s="67">
        <f>DI323</f>
        <v>1.4601830491251792E-2</v>
      </c>
    </row>
    <row r="270" spans="1:113" ht="12" outlineLevel="1">
      <c r="AG270" s="189"/>
      <c r="AH270" s="189"/>
      <c r="AI270" s="189"/>
      <c r="AJ270" s="189"/>
      <c r="AM270" s="360"/>
      <c r="AN270" s="360"/>
      <c r="AO270" s="360"/>
      <c r="AP270" s="360"/>
      <c r="AQ270" s="360"/>
      <c r="AR270" s="360"/>
      <c r="AS270" s="360"/>
      <c r="AT270" s="360"/>
      <c r="AU270" s="360"/>
      <c r="AV270" s="360"/>
      <c r="AW270" s="360"/>
      <c r="AX270" s="360"/>
      <c r="AY270" s="504"/>
      <c r="CS270" s="189"/>
      <c r="CT270" s="10"/>
      <c r="CU270" s="10"/>
      <c r="CV270" s="10"/>
      <c r="CW270" s="10"/>
      <c r="CX270" s="10"/>
      <c r="CY270" s="10"/>
      <c r="CZ270" s="200"/>
      <c r="DB270" s="16"/>
      <c r="DC270" s="16"/>
      <c r="DD270" s="16"/>
      <c r="DE270" s="16"/>
      <c r="DF270" s="16"/>
      <c r="DG270" s="16"/>
      <c r="DH270" s="16"/>
      <c r="DI270" s="16"/>
    </row>
    <row r="271" spans="1:113" s="17" customFormat="1" ht="12" hidden="1" outlineLevel="2">
      <c r="A271" s="1"/>
      <c r="B271" s="17" t="s">
        <v>442</v>
      </c>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0"/>
      <c r="AH271" s="10"/>
      <c r="AI271" s="10"/>
      <c r="AJ271" s="10"/>
      <c r="AK271" s="10"/>
      <c r="AL271" s="10"/>
      <c r="AM271" s="10"/>
      <c r="AN271" s="10"/>
      <c r="AO271" s="10"/>
      <c r="AP271" s="10"/>
      <c r="AQ271" s="10"/>
      <c r="AR271" s="10"/>
      <c r="AS271" s="10"/>
      <c r="AT271" s="10"/>
      <c r="AU271" s="10"/>
      <c r="AV271" s="10"/>
      <c r="AW271" s="10"/>
      <c r="AX271" s="10"/>
      <c r="AY271" s="201"/>
      <c r="AZ271" s="10"/>
      <c r="BA271" s="10"/>
      <c r="BB271" s="10"/>
      <c r="BC271" s="10"/>
      <c r="BD271" s="10"/>
      <c r="BE271" s="10"/>
      <c r="BF271" s="10"/>
      <c r="BG271" s="10"/>
      <c r="BH271" s="10"/>
      <c r="BI271" s="10"/>
      <c r="BJ271" s="10"/>
      <c r="BK271" s="10"/>
      <c r="BL271" s="10"/>
      <c r="BM271" s="10"/>
      <c r="BN271" s="10"/>
      <c r="BO271" s="10"/>
      <c r="BP271" s="10"/>
      <c r="BQ271" s="10"/>
      <c r="BR271" s="10"/>
      <c r="BS271" s="10"/>
      <c r="BT271" s="10"/>
      <c r="BU271" s="10"/>
      <c r="BV271" s="10"/>
      <c r="BW271" s="10"/>
      <c r="BX271" s="10"/>
      <c r="BY271" s="10"/>
      <c r="BZ271" s="10"/>
      <c r="CA271" s="10"/>
      <c r="CB271" s="10"/>
      <c r="CC271" s="10"/>
      <c r="CD271" s="10"/>
      <c r="CE271" s="10"/>
      <c r="CF271" s="10"/>
      <c r="CG271" s="10"/>
      <c r="CH271" s="10"/>
      <c r="CI271" s="10"/>
      <c r="CJ271" s="10"/>
      <c r="CK271" s="10"/>
      <c r="CL271" s="10"/>
      <c r="CM271" s="10"/>
      <c r="CN271" s="10"/>
      <c r="CO271" s="10"/>
      <c r="CP271" s="10"/>
      <c r="CQ271" s="10"/>
      <c r="CR271" s="10"/>
      <c r="CS271" s="10"/>
      <c r="CT271" s="10"/>
      <c r="CU271" s="10"/>
      <c r="CV271" s="10"/>
      <c r="CW271" s="10"/>
      <c r="CX271" s="10"/>
      <c r="CY271" s="10"/>
      <c r="CZ271" s="201"/>
      <c r="DA271" s="10"/>
      <c r="DB271" s="10"/>
      <c r="DC271" s="10"/>
      <c r="DD271" s="10"/>
      <c r="DE271" s="10"/>
      <c r="DF271" s="10"/>
      <c r="DG271" s="10"/>
      <c r="DH271" s="10"/>
      <c r="DI271" s="10"/>
    </row>
    <row r="272" spans="1:113" ht="12" hidden="1" outlineLevel="2">
      <c r="A272" s="1" t="s">
        <v>175</v>
      </c>
      <c r="B272" s="15" t="s">
        <v>164</v>
      </c>
      <c r="C272" s="345">
        <f t="shared" ref="C272:AC272" si="3095">C67</f>
        <v>1.5428502777777704E-2</v>
      </c>
      <c r="D272" s="345">
        <f t="shared" si="3095"/>
        <v>1.4608225000000013E-2</v>
      </c>
      <c r="E272" s="345">
        <f t="shared" si="3095"/>
        <v>1.2194058333333356E-2</v>
      </c>
      <c r="F272" s="345">
        <f t="shared" si="3095"/>
        <v>1.4038988888888788E-2</v>
      </c>
      <c r="G272" s="345">
        <f t="shared" si="3095"/>
        <v>1.399159305555555E-2</v>
      </c>
      <c r="H272" s="345">
        <f t="shared" si="3095"/>
        <v>1.1687204166666708E-2</v>
      </c>
      <c r="I272" s="345">
        <f t="shared" si="3095"/>
        <v>6.9794333333333056E-3</v>
      </c>
      <c r="J272" s="345">
        <f t="shared" si="3095"/>
        <v>8.8399819444444153E-3</v>
      </c>
      <c r="K272" s="345">
        <f t="shared" si="3095"/>
        <v>9.0907319444444041E-3</v>
      </c>
      <c r="L272" s="345">
        <f t="shared" si="3095"/>
        <v>8.6306555555555331E-3</v>
      </c>
      <c r="M272" s="35">
        <f t="shared" si="3095"/>
        <v>7.5932944444444227E-3</v>
      </c>
      <c r="N272" s="35">
        <f t="shared" si="3095"/>
        <v>8.0042944444444104E-3</v>
      </c>
      <c r="O272" s="35">
        <f t="shared" si="3095"/>
        <v>7.3717180555555161E-3</v>
      </c>
      <c r="P272" s="35">
        <f t="shared" si="3095"/>
        <v>5.07039166666662E-3</v>
      </c>
      <c r="Q272" s="35">
        <f t="shared" si="3095"/>
        <v>1.043110694444443E-2</v>
      </c>
      <c r="R272" s="35">
        <f t="shared" si="3095"/>
        <v>1.8490780555555524E-2</v>
      </c>
      <c r="S272" s="35">
        <f t="shared" si="3095"/>
        <v>1.6079843055555511E-2</v>
      </c>
      <c r="T272" s="37">
        <f t="shared" si="3095"/>
        <v>1.5407926388888854E-2</v>
      </c>
      <c r="U272" s="35">
        <f t="shared" si="3095"/>
        <v>1.7582634722222209E-2</v>
      </c>
      <c r="V272" s="35">
        <f t="shared" si="3095"/>
        <v>2.0047843055555539E-2</v>
      </c>
      <c r="W272" s="35">
        <f t="shared" si="3095"/>
        <v>2.0428197222222177E-2</v>
      </c>
      <c r="X272" s="35">
        <f t="shared" si="3095"/>
        <v>2.1541308333333276E-2</v>
      </c>
      <c r="Y272" s="37">
        <f t="shared" si="3095"/>
        <v>2.4829683333333352E-2</v>
      </c>
      <c r="Z272" s="37">
        <f t="shared" si="3095"/>
        <v>2.4725933333333248E-2</v>
      </c>
      <c r="AA272" s="37">
        <f t="shared" si="3095"/>
        <v>2.3864336111111082E-2</v>
      </c>
      <c r="AB272" s="37">
        <f t="shared" si="3095"/>
        <v>2.2945099999999958E-2</v>
      </c>
      <c r="AC272" s="37">
        <f t="shared" si="3095"/>
        <v>2.2476488888888837E-2</v>
      </c>
      <c r="AD272" s="37">
        <f t="shared" ref="AD272" si="3096">AD67</f>
        <v>2.275336388888885E-2</v>
      </c>
      <c r="AE272" s="37">
        <f t="shared" ref="AE272:AF272" si="3097">AE67</f>
        <v>2.3239197222222171E-2</v>
      </c>
      <c r="AF272" s="37">
        <f t="shared" si="3097"/>
        <v>2.357780833333328E-2</v>
      </c>
      <c r="AG272" s="37">
        <f t="shared" ref="AG272:AH272" si="3098">AG67</f>
        <v>2.4674405555555532E-2</v>
      </c>
      <c r="AH272" s="37">
        <f t="shared" si="3098"/>
        <v>2.4835863888888823E-2</v>
      </c>
      <c r="AI272" s="37">
        <f t="shared" ref="AI272:AJ272" si="3099">AI67</f>
        <v>2.5204822222222079E-2</v>
      </c>
      <c r="AJ272" s="37">
        <f t="shared" si="3099"/>
        <v>2.4386349999999956E-2</v>
      </c>
      <c r="AK272" s="37">
        <f t="shared" ref="AK272:AL272" si="3100">AK67</f>
        <v>2.2852599999999938E-2</v>
      </c>
      <c r="AL272" s="37">
        <f t="shared" si="3100"/>
        <v>2.4508349999999936E-2</v>
      </c>
      <c r="AM272" s="37">
        <f t="shared" ref="AM272" si="3101">AM67</f>
        <v>2.8899999999999999E-2</v>
      </c>
      <c r="AN272" s="37">
        <f t="shared" ref="AN272:AS272" si="3102">AN67</f>
        <v>2.8065393242717618E-2</v>
      </c>
      <c r="AO272" s="37">
        <f t="shared" si="3102"/>
        <v>3.0314753095374888E-2</v>
      </c>
      <c r="AP272" s="37">
        <f t="shared" si="3102"/>
        <v>2.926148050862834E-2</v>
      </c>
      <c r="AQ272" s="37">
        <f t="shared" si="3102"/>
        <v>2.7664337659002766E-2</v>
      </c>
      <c r="AR272" s="37">
        <f t="shared" si="3102"/>
        <v>2.605436888822828E-2</v>
      </c>
      <c r="AS272" s="37">
        <f t="shared" si="3102"/>
        <v>2.0068221160826214E-2</v>
      </c>
      <c r="AT272" s="37">
        <f t="shared" ref="AT272:AU272" si="3103">AT67</f>
        <v>2.1328954863088116E-2</v>
      </c>
      <c r="AU272" s="37">
        <f t="shared" si="3103"/>
        <v>2.0941275720756852E-2</v>
      </c>
      <c r="AV272" s="37">
        <f t="shared" ref="AV272:AW272" si="3104">AV67</f>
        <v>2.0868098554208837E-2</v>
      </c>
      <c r="AW272" s="37">
        <f t="shared" si="3104"/>
        <v>2.0805326121862575E-2</v>
      </c>
      <c r="AX272" s="37">
        <f t="shared" ref="AX272" si="3105">AX67</f>
        <v>2.0805326121862575E-2</v>
      </c>
      <c r="AY272" s="36"/>
      <c r="AZ272" s="35"/>
      <c r="BA272" s="35"/>
      <c r="BB272" s="35"/>
      <c r="BC272" s="35"/>
      <c r="BD272" s="35"/>
      <c r="BE272" s="35"/>
      <c r="BF272" s="35"/>
      <c r="BG272" s="35"/>
      <c r="BH272" s="35"/>
      <c r="BI272" s="35"/>
      <c r="BJ272" s="35"/>
      <c r="BK272" s="35"/>
      <c r="BL272" s="35"/>
      <c r="BM272" s="35"/>
      <c r="BN272" s="35"/>
      <c r="BO272" s="35"/>
      <c r="BP272" s="35"/>
      <c r="BQ272" s="35"/>
      <c r="BR272" s="35"/>
      <c r="BS272" s="345"/>
      <c r="BT272" s="345"/>
      <c r="BU272" s="345"/>
      <c r="BV272" s="345"/>
      <c r="BW272" s="345"/>
      <c r="BX272" s="345"/>
      <c r="BY272" s="345"/>
      <c r="BZ272" s="345"/>
      <c r="CA272" s="345"/>
      <c r="CB272" s="345"/>
      <c r="CC272" s="35">
        <f t="shared" ref="CC272:CY272" si="3106">CC330/CC215*CC$5</f>
        <v>1.3351544000450504E-2</v>
      </c>
      <c r="CD272" s="35">
        <f t="shared" si="3106"/>
        <v>1.4017377922630315E-2</v>
      </c>
      <c r="CE272" s="35">
        <f t="shared" si="3106"/>
        <v>9.1984244215502064E-3</v>
      </c>
      <c r="CF272" s="35">
        <f t="shared" si="3106"/>
        <v>8.9709426301383833E-3</v>
      </c>
      <c r="CG272" s="35">
        <f t="shared" si="3106"/>
        <v>8.0795843429111083E-3</v>
      </c>
      <c r="CH272" s="35">
        <f t="shared" si="3106"/>
        <v>7.7111011296907318E-3</v>
      </c>
      <c r="CI272" s="35">
        <f t="shared" si="3106"/>
        <v>7.7797696542841127E-3</v>
      </c>
      <c r="CJ272" s="35">
        <f t="shared" si="3106"/>
        <v>1.719101727169951E-2</v>
      </c>
      <c r="CK272" s="35">
        <f t="shared" si="3106"/>
        <v>1.6465313654880638E-2</v>
      </c>
      <c r="CL272" s="35">
        <f t="shared" si="3106"/>
        <v>2.013598740880811E-2</v>
      </c>
      <c r="CM272" s="37">
        <f t="shared" si="3106"/>
        <v>2.3275259488290803E-2</v>
      </c>
      <c r="CN272" s="37">
        <f t="shared" si="3106"/>
        <v>2.4321019213611982E-2</v>
      </c>
      <c r="CO272" s="37">
        <f t="shared" si="3106"/>
        <v>2.2658196516539234E-2</v>
      </c>
      <c r="CP272" s="37">
        <f t="shared" si="3106"/>
        <v>2.3016095604838995E-2</v>
      </c>
      <c r="CQ272" s="37">
        <f t="shared" si="3106"/>
        <v>2.4362992830131512E-2</v>
      </c>
      <c r="CR272" s="37">
        <f t="shared" si="3106"/>
        <v>2.5028708657643433E-2</v>
      </c>
      <c r="CS272" s="37">
        <f t="shared" si="3106"/>
        <v>2.3749944697609635E-2</v>
      </c>
      <c r="CT272" s="37">
        <f t="shared" si="3106"/>
        <v>2.6928454738073263E-2</v>
      </c>
      <c r="CU272" s="37">
        <f t="shared" si="3106"/>
        <v>2.85075396485946E-2</v>
      </c>
      <c r="CV272" s="37">
        <f t="shared" si="3106"/>
        <v>2.8742422699662231E-2</v>
      </c>
      <c r="CW272" s="37">
        <f t="shared" si="3106"/>
        <v>2.3055942019367663E-2</v>
      </c>
      <c r="CX272" s="37">
        <f t="shared" si="3106"/>
        <v>2.1133326891659497E-2</v>
      </c>
      <c r="CY272" s="37">
        <f t="shared" si="3106"/>
        <v>2.0835118652363958E-2</v>
      </c>
      <c r="CZ272" s="36"/>
      <c r="DA272" s="35"/>
      <c r="DB272" s="35"/>
      <c r="DC272" s="35"/>
      <c r="DD272" s="35"/>
      <c r="DE272" s="35"/>
      <c r="DF272" s="35"/>
      <c r="DG272" s="35"/>
      <c r="DH272" s="35"/>
      <c r="DI272" s="35"/>
    </row>
    <row r="273" spans="1:113" ht="12" hidden="1" outlineLevel="2">
      <c r="A273" s="1" t="s">
        <v>228</v>
      </c>
      <c r="B273" s="15" t="s">
        <v>165</v>
      </c>
      <c r="C273" s="345">
        <f t="shared" ref="C273:AC273" si="3107">C68</f>
        <v>2.6197480827113595E-2</v>
      </c>
      <c r="D273" s="345">
        <f t="shared" si="3107"/>
        <v>2.3956810034853671E-2</v>
      </c>
      <c r="E273" s="345">
        <f t="shared" si="3107"/>
        <v>2.1905802315802636E-2</v>
      </c>
      <c r="F273" s="345">
        <f t="shared" si="3107"/>
        <v>2.2440773840474493E-2</v>
      </c>
      <c r="G273" s="345">
        <f t="shared" si="3107"/>
        <v>2.1877184802169825E-2</v>
      </c>
      <c r="H273" s="345">
        <f t="shared" si="3107"/>
        <v>1.9410123615064334E-2</v>
      </c>
      <c r="I273" s="345">
        <f t="shared" si="3107"/>
        <v>1.9572953769419033E-2</v>
      </c>
      <c r="J273" s="345">
        <f t="shared" si="3107"/>
        <v>1.7478928887580736E-2</v>
      </c>
      <c r="K273" s="345">
        <f t="shared" si="3107"/>
        <v>1.7565141392041683E-2</v>
      </c>
      <c r="L273" s="345">
        <f t="shared" si="3107"/>
        <v>1.687164535966923E-2</v>
      </c>
      <c r="M273" s="35">
        <f t="shared" si="3107"/>
        <v>1.4950871234944541E-2</v>
      </c>
      <c r="N273" s="35">
        <f t="shared" si="3107"/>
        <v>1.4397025036505973E-2</v>
      </c>
      <c r="O273" s="35">
        <f t="shared" si="3107"/>
        <v>1.3361674348231878E-2</v>
      </c>
      <c r="P273" s="35">
        <f t="shared" si="3107"/>
        <v>1.1405160783031998E-2</v>
      </c>
      <c r="Q273" s="35">
        <f t="shared" si="3107"/>
        <v>1.5099215944443412E-2</v>
      </c>
      <c r="R273" s="35">
        <f t="shared" si="3107"/>
        <v>2.6671259436659489E-2</v>
      </c>
      <c r="S273" s="35">
        <f t="shared" si="3107"/>
        <v>2.6726162840427059E-2</v>
      </c>
      <c r="T273" s="37">
        <f t="shared" si="3107"/>
        <v>2.6313070915424119E-2</v>
      </c>
      <c r="U273" s="35">
        <f t="shared" si="3107"/>
        <v>2.6908276271163101E-2</v>
      </c>
      <c r="V273" s="35">
        <f t="shared" si="3107"/>
        <v>3.0174631443157462E-2</v>
      </c>
      <c r="W273" s="35">
        <f t="shared" si="3107"/>
        <v>3.1848487022388072E-2</v>
      </c>
      <c r="X273" s="35">
        <f t="shared" si="3107"/>
        <v>3.2633245474479433E-2</v>
      </c>
      <c r="Y273" s="37">
        <f t="shared" si="3107"/>
        <v>3.5312886781760033E-2</v>
      </c>
      <c r="Z273" s="37">
        <f t="shared" si="3107"/>
        <v>3.4819712298446825E-2</v>
      </c>
      <c r="AA273" s="37">
        <f t="shared" si="3107"/>
        <v>3.5718445803580634E-2</v>
      </c>
      <c r="AB273" s="37">
        <f t="shared" si="3107"/>
        <v>3.5222716312464986E-2</v>
      </c>
      <c r="AC273" s="37">
        <f t="shared" si="3107"/>
        <v>3.4965744055591941E-2</v>
      </c>
      <c r="AD273" s="37">
        <f t="shared" ref="AD273" si="3108">AD68</f>
        <v>3.476672874466824E-2</v>
      </c>
      <c r="AE273" s="37">
        <f t="shared" ref="AE273:AF273" si="3109">AE68</f>
        <v>3.3973478780346955E-2</v>
      </c>
      <c r="AF273" s="37">
        <f t="shared" si="3109"/>
        <v>3.2424799556296069E-2</v>
      </c>
      <c r="AG273" s="37">
        <f t="shared" ref="AG273:AH273" si="3110">AG68</f>
        <v>3.3443217158303007E-2</v>
      </c>
      <c r="AH273" s="37">
        <f t="shared" si="3110"/>
        <v>3.2738938233455986E-2</v>
      </c>
      <c r="AI273" s="37">
        <f t="shared" ref="AI273:AJ273" si="3111">AI68</f>
        <v>3.2837831902301939E-2</v>
      </c>
      <c r="AJ273" s="37">
        <f t="shared" si="3111"/>
        <v>3.1513483474842729E-2</v>
      </c>
      <c r="AK273" s="37">
        <f t="shared" ref="AK273:AL273" si="3112">AK68</f>
        <v>3.054692454897312E-2</v>
      </c>
      <c r="AL273" s="37">
        <f t="shared" si="3112"/>
        <v>3.1203907504882E-2</v>
      </c>
      <c r="AM273" s="37">
        <f t="shared" ref="AM273:AN273" si="3113">AM68</f>
        <v>3.4299999999999997E-2</v>
      </c>
      <c r="AN273" s="37">
        <f t="shared" si="3113"/>
        <v>3.3532435182180353E-2</v>
      </c>
      <c r="AO273" s="37">
        <f t="shared" ref="AO273" si="3114">AO68</f>
        <v>3.4820726722394058E-2</v>
      </c>
      <c r="AP273" s="37">
        <f t="shared" ref="AP273:AQ273" si="3115">AP68</f>
        <v>3.3579290462787327E-2</v>
      </c>
      <c r="AQ273" s="37">
        <f t="shared" si="3115"/>
        <v>3.1926173758044803E-2</v>
      </c>
      <c r="AR273" s="37">
        <f t="shared" ref="AR273:AS273" si="3116">AR68</f>
        <v>2.9990526851627366E-2</v>
      </c>
      <c r="AS273" s="37">
        <f t="shared" si="3116"/>
        <v>2.0490667115181705E-2</v>
      </c>
      <c r="AT273" s="37">
        <f t="shared" ref="AT273:AU273" si="3117">AT68</f>
        <v>2.1599427785411147E-2</v>
      </c>
      <c r="AU273" s="37">
        <f t="shared" si="3117"/>
        <v>2.0455563257273882E-2</v>
      </c>
      <c r="AV273" s="37">
        <f t="shared" ref="AV273:AW273" si="3118">AV68</f>
        <v>2.1223941903063214E-2</v>
      </c>
      <c r="AW273" s="37">
        <f t="shared" si="3118"/>
        <v>2.1617185607577083E-2</v>
      </c>
      <c r="AX273" s="37">
        <f t="shared" ref="AX273" si="3119">AX68</f>
        <v>2.1617185607577083E-2</v>
      </c>
      <c r="AY273" s="36"/>
      <c r="AZ273" s="35"/>
      <c r="BA273" s="35"/>
      <c r="BB273" s="35"/>
      <c r="BC273" s="35"/>
      <c r="BD273" s="35"/>
      <c r="BE273" s="35"/>
      <c r="BF273" s="35"/>
      <c r="BG273" s="35"/>
      <c r="BH273" s="35"/>
      <c r="BI273" s="35"/>
      <c r="BJ273" s="35"/>
      <c r="BK273" s="35"/>
      <c r="BL273" s="35"/>
      <c r="BM273" s="35"/>
      <c r="BN273" s="35"/>
      <c r="BO273" s="35"/>
      <c r="BP273" s="35"/>
      <c r="BQ273" s="35"/>
      <c r="BR273" s="35"/>
      <c r="BS273" s="345"/>
      <c r="BT273" s="345"/>
      <c r="BU273" s="345"/>
      <c r="BV273" s="345"/>
      <c r="BW273" s="345"/>
      <c r="BX273" s="345"/>
      <c r="BY273" s="345"/>
      <c r="BZ273" s="345"/>
      <c r="CA273" s="345"/>
      <c r="CB273" s="345"/>
      <c r="CC273" s="35">
        <f t="shared" ref="CC273:CY273" si="3120">CC331/CC216*CC$5</f>
        <v>2.2931092761409217E-2</v>
      </c>
      <c r="CD273" s="35">
        <f t="shared" si="3120"/>
        <v>2.2155049440132954E-2</v>
      </c>
      <c r="CE273" s="35">
        <f t="shared" si="3120"/>
        <v>1.9491750523252086E-2</v>
      </c>
      <c r="CF273" s="35">
        <f t="shared" si="3120"/>
        <v>1.7525662400915604E-2</v>
      </c>
      <c r="CG273" s="35">
        <f t="shared" si="3120"/>
        <v>1.5847119161689117E-2</v>
      </c>
      <c r="CH273" s="35">
        <f t="shared" si="3120"/>
        <v>1.3919133637584817E-2</v>
      </c>
      <c r="CI273" s="35">
        <f t="shared" si="3120"/>
        <v>1.3234348710626344E-2</v>
      </c>
      <c r="CJ273" s="35">
        <f t="shared" si="3120"/>
        <v>2.6582456772242288E-2</v>
      </c>
      <c r="CK273" s="35">
        <f t="shared" si="3120"/>
        <v>2.6618519500424966E-2</v>
      </c>
      <c r="CL273" s="35">
        <f t="shared" si="3120"/>
        <v>2.8947478525244118E-2</v>
      </c>
      <c r="CM273" s="37">
        <f t="shared" si="3120"/>
        <v>3.4873092264894753E-2</v>
      </c>
      <c r="CN273" s="37">
        <f t="shared" si="3120"/>
        <v>3.5434126953999022E-2</v>
      </c>
      <c r="CO273" s="37">
        <f t="shared" si="3120"/>
        <v>3.4910783036292775E-2</v>
      </c>
      <c r="CP273" s="37">
        <f t="shared" si="3120"/>
        <v>3.434259220526481E-2</v>
      </c>
      <c r="CQ273" s="37">
        <f t="shared" si="3120"/>
        <v>3.2075012844794935E-2</v>
      </c>
      <c r="CR273" s="37">
        <f t="shared" si="3120"/>
        <v>3.1621412660336835E-2</v>
      </c>
      <c r="CS273" s="37">
        <f t="shared" si="3120"/>
        <v>3.0733542871808128E-2</v>
      </c>
      <c r="CT273" s="37">
        <f t="shared" si="3120"/>
        <v>3.2842975170933569E-2</v>
      </c>
      <c r="CU273" s="37">
        <f t="shared" si="3120"/>
        <v>3.3767242323140621E-2</v>
      </c>
      <c r="CV273" s="37">
        <f t="shared" si="3120"/>
        <v>3.2719341926043352E-2</v>
      </c>
      <c r="CW273" s="37">
        <f t="shared" si="3120"/>
        <v>2.5201012594412688E-2</v>
      </c>
      <c r="CX273" s="37">
        <f t="shared" si="3120"/>
        <v>2.1028515225874837E-2</v>
      </c>
      <c r="CY273" s="37">
        <f t="shared" si="3120"/>
        <v>2.1421570795084461E-2</v>
      </c>
      <c r="CZ273" s="36"/>
      <c r="DA273" s="35"/>
      <c r="DB273" s="35"/>
      <c r="DC273" s="35"/>
      <c r="DD273" s="35"/>
      <c r="DE273" s="35"/>
      <c r="DF273" s="35"/>
      <c r="DG273" s="35"/>
      <c r="DH273" s="35"/>
      <c r="DI273" s="35"/>
    </row>
    <row r="274" spans="1:113" ht="12" hidden="1" outlineLevel="2">
      <c r="A274" s="1" t="s">
        <v>229</v>
      </c>
      <c r="B274" s="15" t="s">
        <v>166</v>
      </c>
      <c r="C274" s="345">
        <f t="shared" ref="C274:AC274" si="3121">C332/C217*C$5</f>
        <v>-3.2140480227019777E-2</v>
      </c>
      <c r="D274" s="345">
        <f t="shared" si="3121"/>
        <v>-1.6545308437929764E-2</v>
      </c>
      <c r="E274" s="345">
        <f t="shared" si="3121"/>
        <v>-2.4593515866652853E-2</v>
      </c>
      <c r="F274" s="345">
        <f t="shared" si="3121"/>
        <v>-1.9938011350525895E-2</v>
      </c>
      <c r="G274" s="345">
        <f t="shared" si="3121"/>
        <v>-1.8002965742767944E-2</v>
      </c>
      <c r="H274" s="345">
        <f t="shared" si="3121"/>
        <v>-2.8453172074138115E-2</v>
      </c>
      <c r="I274" s="345">
        <f t="shared" si="3121"/>
        <v>-7.1054396083921507E-3</v>
      </c>
      <c r="J274" s="345">
        <f t="shared" si="3121"/>
        <v>3.0292916604888073E-2</v>
      </c>
      <c r="K274" s="345">
        <f t="shared" si="3121"/>
        <v>3.4975044839463135E-2</v>
      </c>
      <c r="L274" s="345">
        <f t="shared" si="3121"/>
        <v>3.6813072077601865E-2</v>
      </c>
      <c r="M274" s="35">
        <f t="shared" si="3121"/>
        <v>3.0118120782575634E-2</v>
      </c>
      <c r="N274" s="35">
        <f t="shared" si="3121"/>
        <v>2.9897958648081296E-2</v>
      </c>
      <c r="O274" s="35">
        <f t="shared" si="3121"/>
        <v>3.0305159051508001E-2</v>
      </c>
      <c r="P274" s="35">
        <f t="shared" si="3121"/>
        <v>2.0133676809485541E-2</v>
      </c>
      <c r="Q274" s="35">
        <f t="shared" si="3121"/>
        <v>1.1295435880496637E-2</v>
      </c>
      <c r="R274" s="35">
        <f t="shared" si="3121"/>
        <v>5.7486047924208597E-2</v>
      </c>
      <c r="S274" s="35">
        <f t="shared" si="3121"/>
        <v>6.1319012999291406E-2</v>
      </c>
      <c r="T274" s="37">
        <f t="shared" si="3121"/>
        <v>5.6076469635978329E-2</v>
      </c>
      <c r="U274" s="35">
        <f t="shared" si="3121"/>
        <v>5.5959223932312396E-2</v>
      </c>
      <c r="V274" s="35">
        <f t="shared" si="3121"/>
        <v>4.133886154303467E-2</v>
      </c>
      <c r="W274" s="35">
        <f t="shared" si="3121"/>
        <v>4.2398357419383921E-2</v>
      </c>
      <c r="X274" s="35">
        <f t="shared" si="3121"/>
        <v>4.1794040609325546E-2</v>
      </c>
      <c r="Y274" s="37">
        <f t="shared" si="3121"/>
        <v>4.4604226434103007E-2</v>
      </c>
      <c r="Z274" s="338">
        <f t="shared" si="3121"/>
        <v>4.8674037865008506E-2</v>
      </c>
      <c r="AA274" s="37">
        <f t="shared" si="3121"/>
        <v>4.4830041962631711E-2</v>
      </c>
      <c r="AB274" s="37">
        <f t="shared" si="3121"/>
        <v>3.9526562901294117E-2</v>
      </c>
      <c r="AC274" s="37">
        <f t="shared" si="3121"/>
        <v>3.1541712956034813E-2</v>
      </c>
      <c r="AD274" s="37">
        <f t="shared" ref="AD274" si="3122">AD332/AD217*AD$5</f>
        <v>2.6872607711036028E-2</v>
      </c>
      <c r="AE274" s="37">
        <f t="shared" ref="AE274:AF274" si="3123">AE332/AE217*AE$5</f>
        <v>2.7823752131666428E-2</v>
      </c>
      <c r="AF274" s="37">
        <f t="shared" si="3123"/>
        <v>3.9418445973248353E-2</v>
      </c>
      <c r="AG274" s="37">
        <f t="shared" ref="AG274:AH274" si="3124">AG332/AG217*AG$5</f>
        <v>4.6611220287466913E-2</v>
      </c>
      <c r="AH274" s="37">
        <f t="shared" si="3124"/>
        <v>4.1903755460564816E-2</v>
      </c>
      <c r="AI274" s="37">
        <f t="shared" ref="AI274:AJ274" si="3125">AI332/AI217*AI$5</f>
        <v>4.5139864025218732E-2</v>
      </c>
      <c r="AJ274" s="37">
        <f t="shared" si="3125"/>
        <v>4.247383111606564E-2</v>
      </c>
      <c r="AK274" s="37">
        <f t="shared" ref="AK274:AL274" si="3126">AK332/AK217*AK$5</f>
        <v>3.5933173711001E-2</v>
      </c>
      <c r="AL274" s="37">
        <f t="shared" si="3126"/>
        <v>3.2393193382504161E-2</v>
      </c>
      <c r="AM274" s="37">
        <f t="shared" ref="AM274:AN274" si="3127">AM332/AM217*AM$5</f>
        <v>3.4843565718053124E-2</v>
      </c>
      <c r="AN274" s="37">
        <f t="shared" si="3127"/>
        <v>3.7637190934565391E-2</v>
      </c>
      <c r="AO274" s="37">
        <f t="shared" ref="AO274" si="3128">AO332/AO217*AO$5</f>
        <v>3.0865352240662829E-2</v>
      </c>
      <c r="AP274" s="37">
        <f t="shared" ref="AP274:AQ274" si="3129">AP332/AP217*AP$5</f>
        <v>3.6625389714161904E-2</v>
      </c>
      <c r="AQ274" s="37">
        <f t="shared" si="3129"/>
        <v>4.0272632701632102E-2</v>
      </c>
      <c r="AR274" s="37">
        <f t="shared" ref="AR274" si="3130">AR332/AR217*AR$5</f>
        <v>3.7231954882069318E-2</v>
      </c>
      <c r="AS274" s="37">
        <f t="shared" ref="AS274:AX274" si="3131">AS332/AS217*AS$5</f>
        <v>1.9135211153411578E-2</v>
      </c>
      <c r="AT274" s="37">
        <f t="shared" si="3131"/>
        <v>2.0696580627127526E-2</v>
      </c>
      <c r="AU274" s="37">
        <f t="shared" si="3131"/>
        <v>2.0606233500436822E-2</v>
      </c>
      <c r="AV274" s="37">
        <f t="shared" si="3131"/>
        <v>2.6058993602260314E-2</v>
      </c>
      <c r="AW274" s="37">
        <f t="shared" si="3131"/>
        <v>2.6767769912733556E-2</v>
      </c>
      <c r="AX274" s="37">
        <f t="shared" si="3131"/>
        <v>3.2995842058262018E-2</v>
      </c>
      <c r="AY274" s="36"/>
      <c r="AZ274" s="35"/>
      <c r="BA274" s="35"/>
      <c r="BB274" s="35"/>
      <c r="BC274" s="35"/>
      <c r="BD274" s="35"/>
      <c r="BE274" s="35"/>
      <c r="BF274" s="35"/>
      <c r="BG274" s="35"/>
      <c r="BH274" s="35"/>
      <c r="BI274" s="35"/>
      <c r="BJ274" s="35"/>
      <c r="BK274" s="35"/>
      <c r="BL274" s="35"/>
      <c r="BM274" s="35"/>
      <c r="BN274" s="35"/>
      <c r="BO274" s="35"/>
      <c r="BP274" s="35"/>
      <c r="BQ274" s="35"/>
      <c r="BR274" s="35"/>
      <c r="BS274" s="345"/>
      <c r="BT274" s="345"/>
      <c r="BU274" s="345"/>
      <c r="BV274" s="345"/>
      <c r="BW274" s="345"/>
      <c r="BX274" s="345"/>
      <c r="BY274" s="345"/>
      <c r="BZ274" s="345"/>
      <c r="CA274" s="345"/>
      <c r="CB274" s="345"/>
      <c r="CC274" s="35">
        <f t="shared" ref="CC274:CY274" si="3132">CC332/CC217*CC$5</f>
        <v>-2.0593098167603414E-2</v>
      </c>
      <c r="CD274" s="35">
        <f t="shared" si="3132"/>
        <v>-1.8934734356817255E-2</v>
      </c>
      <c r="CE274" s="35">
        <f t="shared" si="3132"/>
        <v>-1.7666541793763323E-2</v>
      </c>
      <c r="CF274" s="35">
        <f t="shared" si="3132"/>
        <v>3.2717306039679706E-2</v>
      </c>
      <c r="CG274" s="35">
        <f t="shared" si="3132"/>
        <v>3.3170997678882298E-2</v>
      </c>
      <c r="CH274" s="35">
        <f t="shared" si="3132"/>
        <v>2.9528205568246566E-2</v>
      </c>
      <c r="CI274" s="35">
        <f t="shared" si="3132"/>
        <v>1.5938233077262959E-2</v>
      </c>
      <c r="CJ274" s="35">
        <f t="shared" si="3132"/>
        <v>6.0429079306672011E-2</v>
      </c>
      <c r="CK274" s="35">
        <f t="shared" si="3132"/>
        <v>5.6161906384661425E-2</v>
      </c>
      <c r="CL274" s="35">
        <f t="shared" si="3132"/>
        <v>4.5468666520464128E-2</v>
      </c>
      <c r="CM274" s="37">
        <f t="shared" si="3132"/>
        <v>4.184142738283305E-2</v>
      </c>
      <c r="CN274" s="37">
        <f t="shared" si="3132"/>
        <v>4.6962599326699273E-2</v>
      </c>
      <c r="CO274" s="37">
        <f t="shared" si="3132"/>
        <v>3.5868484474145666E-2</v>
      </c>
      <c r="CP274" s="37">
        <f t="shared" si="3132"/>
        <v>2.771442688271394E-2</v>
      </c>
      <c r="CQ274" s="37">
        <f t="shared" si="3132"/>
        <v>4.2710639972863049E-2</v>
      </c>
      <c r="CR274" s="37">
        <f t="shared" si="3132"/>
        <v>4.480852748014999E-2</v>
      </c>
      <c r="CS274" s="37">
        <f t="shared" si="3132"/>
        <v>3.8594509085023675E-2</v>
      </c>
      <c r="CT274" s="37">
        <f t="shared" si="3132"/>
        <v>3.2715037294787329E-2</v>
      </c>
      <c r="CU274" s="37">
        <f t="shared" si="3132"/>
        <v>3.6532874550111859E-2</v>
      </c>
      <c r="CV274" s="37">
        <f t="shared" si="3132"/>
        <v>3.7295186606510877E-2</v>
      </c>
      <c r="CW274" s="37">
        <f t="shared" si="3132"/>
        <v>2.7769521069047273E-2</v>
      </c>
      <c r="CX274" s="37">
        <f t="shared" si="3132"/>
        <v>2.0651481572558233E-2</v>
      </c>
      <c r="CY274" s="37">
        <f t="shared" si="3132"/>
        <v>2.6423604129758162E-2</v>
      </c>
      <c r="CZ274" s="36"/>
      <c r="DA274" s="35"/>
      <c r="DB274" s="35"/>
      <c r="DC274" s="35"/>
      <c r="DD274" s="35"/>
      <c r="DE274" s="35"/>
      <c r="DF274" s="35"/>
      <c r="DG274" s="35"/>
      <c r="DH274" s="35"/>
      <c r="DI274" s="35"/>
    </row>
    <row r="275" spans="1:113" ht="12" hidden="1" outlineLevel="2">
      <c r="A275" s="1" t="s">
        <v>230</v>
      </c>
      <c r="B275" s="15" t="s">
        <v>167</v>
      </c>
      <c r="C275" s="345">
        <f t="shared" ref="C275:AC275" si="3133">C70</f>
        <v>1.8730193848851322E-2</v>
      </c>
      <c r="D275" s="345">
        <f t="shared" si="3133"/>
        <v>2.1581375229213023E-2</v>
      </c>
      <c r="E275" s="345">
        <f t="shared" si="3133"/>
        <v>1.8717203925846228E-2</v>
      </c>
      <c r="F275" s="345">
        <f t="shared" si="3133"/>
        <v>2.1694437593833563E-2</v>
      </c>
      <c r="G275" s="345">
        <f t="shared" si="3133"/>
        <v>2.1055072497303456E-2</v>
      </c>
      <c r="H275" s="345">
        <f t="shared" si="3133"/>
        <v>1.4999862262611366E-2</v>
      </c>
      <c r="I275" s="345">
        <f t="shared" si="3133"/>
        <v>1.5766950521205317E-2</v>
      </c>
      <c r="J275" s="345">
        <f t="shared" si="3133"/>
        <v>1.4347605755451902E-2</v>
      </c>
      <c r="K275" s="345">
        <f t="shared" si="3133"/>
        <v>1.4931058796965616E-2</v>
      </c>
      <c r="L275" s="345">
        <f t="shared" si="3133"/>
        <v>1.4859737964153887E-2</v>
      </c>
      <c r="M275" s="35">
        <f t="shared" si="3133"/>
        <v>1.2057686892376289E-2</v>
      </c>
      <c r="N275" s="35">
        <f t="shared" si="3133"/>
        <v>1.0756606695925555E-2</v>
      </c>
      <c r="O275" s="35">
        <f t="shared" si="3133"/>
        <v>8.6252253791488515E-3</v>
      </c>
      <c r="P275" s="35">
        <f t="shared" si="3133"/>
        <v>7.9901286428591192E-3</v>
      </c>
      <c r="Q275" s="35">
        <f t="shared" si="3133"/>
        <v>1.5817441263599179E-2</v>
      </c>
      <c r="R275" s="35">
        <f t="shared" si="3133"/>
        <v>4.6217900993245145E-2</v>
      </c>
      <c r="S275" s="35">
        <f t="shared" si="3133"/>
        <v>4.9068265320456383E-2</v>
      </c>
      <c r="T275" s="37">
        <f t="shared" si="3133"/>
        <v>4.4920333623463371E-2</v>
      </c>
      <c r="U275" s="35">
        <f t="shared" si="3133"/>
        <v>4.5912143564777935E-2</v>
      </c>
      <c r="V275" s="35">
        <f t="shared" si="3133"/>
        <v>4.5818906078204741E-2</v>
      </c>
      <c r="W275" s="35">
        <f t="shared" si="3133"/>
        <v>4.5951908405942099E-2</v>
      </c>
      <c r="X275" s="35">
        <f t="shared" si="3133"/>
        <v>4.9110116765833503E-2</v>
      </c>
      <c r="Y275" s="37">
        <f t="shared" si="3133"/>
        <v>5.602576058690692E-2</v>
      </c>
      <c r="Z275" s="37">
        <f t="shared" si="3133"/>
        <v>5.949526133650658E-2</v>
      </c>
      <c r="AA275" s="37">
        <f t="shared" si="3133"/>
        <v>6.2473165828630009E-2</v>
      </c>
      <c r="AB275" s="37">
        <f t="shared" si="3133"/>
        <v>6.2953191456779869E-2</v>
      </c>
      <c r="AC275" s="37">
        <f t="shared" si="3133"/>
        <v>6.2076962662938634E-2</v>
      </c>
      <c r="AD275" s="37">
        <f t="shared" ref="AD275" si="3134">AD70</f>
        <v>6.1086688750458557E-2</v>
      </c>
      <c r="AE275" s="37">
        <f t="shared" ref="AE275:AF275" si="3135">AE70</f>
        <v>6.3456004858359144E-2</v>
      </c>
      <c r="AF275" s="37">
        <f t="shared" si="3135"/>
        <v>6.1618824051398541E-2</v>
      </c>
      <c r="AG275" s="37">
        <f t="shared" ref="AG275:AH275" si="3136">AG70</f>
        <v>6.472948790063851E-2</v>
      </c>
      <c r="AH275" s="37">
        <f t="shared" si="3136"/>
        <v>6.6715858764929387E-2</v>
      </c>
      <c r="AI275" s="37">
        <f t="shared" ref="AI275:AJ275" si="3137">AI70</f>
        <v>6.4933720663044106E-2</v>
      </c>
      <c r="AJ275" s="37">
        <f t="shared" si="3137"/>
        <v>6.2643651647930135E-2</v>
      </c>
      <c r="AK275" s="37">
        <f t="shared" ref="AK275:AL275" si="3138">AK70</f>
        <v>6.0102091070292296E-2</v>
      </c>
      <c r="AL275" s="37">
        <f t="shared" si="3138"/>
        <v>6.0771909715954614E-2</v>
      </c>
      <c r="AM275" s="37">
        <f t="shared" ref="AM275:AN275" si="3139">AM70</f>
        <v>6.7964945839474641E-2</v>
      </c>
      <c r="AN275" s="37">
        <f t="shared" si="3139"/>
        <v>6.4651928814098245E-2</v>
      </c>
      <c r="AO275" s="37">
        <f t="shared" ref="AO275" si="3140">AO70</f>
        <v>6.7364974378858841E-2</v>
      </c>
      <c r="AP275" s="37">
        <f t="shared" ref="AP275:AQ275" si="3141">AP70</f>
        <v>6.4945367625723019E-2</v>
      </c>
      <c r="AQ275" s="37">
        <f t="shared" si="3141"/>
        <v>6.3182258410767342E-2</v>
      </c>
      <c r="AR275" s="37">
        <f t="shared" ref="AR275:AS275" si="3142">AR70</f>
        <v>6.0273743392607299E-2</v>
      </c>
      <c r="AS275" s="37">
        <f t="shared" si="3142"/>
        <v>4.7778298419845988E-2</v>
      </c>
      <c r="AT275" s="37">
        <f t="shared" ref="AT275:AU275" si="3143">AT70</f>
        <v>4.2396244113031729E-2</v>
      </c>
      <c r="AU275" s="37">
        <f t="shared" si="3143"/>
        <v>3.9998182793032432E-2</v>
      </c>
      <c r="AV275" s="37">
        <f t="shared" ref="AV275:AW275" si="3144">AV70</f>
        <v>3.9969301790231088E-2</v>
      </c>
      <c r="AW275" s="37">
        <f t="shared" si="3144"/>
        <v>4.0862480625620173E-2</v>
      </c>
      <c r="AX275" s="37">
        <f t="shared" ref="AX275" si="3145">AX70</f>
        <v>4.0862480625620173E-2</v>
      </c>
      <c r="AY275" s="36"/>
      <c r="AZ275" s="35"/>
      <c r="BA275" s="35"/>
      <c r="BB275" s="35"/>
      <c r="BC275" s="35"/>
      <c r="BD275" s="35"/>
      <c r="BE275" s="35"/>
      <c r="BF275" s="35"/>
      <c r="BG275" s="35"/>
      <c r="BH275" s="35"/>
      <c r="BI275" s="35"/>
      <c r="BJ275" s="35"/>
      <c r="BK275" s="35"/>
      <c r="BL275" s="35"/>
      <c r="BM275" s="35"/>
      <c r="BN275" s="35"/>
      <c r="BO275" s="35"/>
      <c r="BP275" s="35"/>
      <c r="BQ275" s="35"/>
      <c r="BR275" s="35"/>
      <c r="BS275" s="345"/>
      <c r="BT275" s="345"/>
      <c r="BU275" s="345"/>
      <c r="BV275" s="345"/>
      <c r="BW275" s="345"/>
      <c r="BX275" s="345"/>
      <c r="BY275" s="345"/>
      <c r="BZ275" s="345"/>
      <c r="CA275" s="345"/>
      <c r="CB275" s="345"/>
      <c r="CC275" s="35">
        <f t="shared" ref="CC275:CY275" si="3146">CC333/CC218*CC$5</f>
        <v>2.0110239865575644E-2</v>
      </c>
      <c r="CD275" s="35">
        <f t="shared" si="3146"/>
        <v>2.1369957463882157E-2</v>
      </c>
      <c r="CE275" s="35">
        <f t="shared" si="3146"/>
        <v>1.5388808463728369E-2</v>
      </c>
      <c r="CF275" s="35">
        <f t="shared" si="3146"/>
        <v>1.4654934207252095E-2</v>
      </c>
      <c r="CG275" s="35">
        <f t="shared" si="3146"/>
        <v>1.3467078375114794E-2</v>
      </c>
      <c r="CH275" s="35">
        <f t="shared" si="3146"/>
        <v>9.758593523504033E-3</v>
      </c>
      <c r="CI275" s="35">
        <f t="shared" si="3146"/>
        <v>1.1125737184274542E-2</v>
      </c>
      <c r="CJ275" s="35">
        <f t="shared" si="3146"/>
        <v>4.6982496353034801E-2</v>
      </c>
      <c r="CK275" s="35">
        <f t="shared" si="3146"/>
        <v>4.6018124383388558E-2</v>
      </c>
      <c r="CL275" s="35">
        <f t="shared" si="3146"/>
        <v>4.584129118644039E-2</v>
      </c>
      <c r="CM275" s="37">
        <f t="shared" si="3146"/>
        <v>5.2793264095931131E-2</v>
      </c>
      <c r="CN275" s="37">
        <f t="shared" si="3146"/>
        <v>6.1234108705043241E-2</v>
      </c>
      <c r="CO275" s="37">
        <f t="shared" si="3146"/>
        <v>6.1855813123152172E-2</v>
      </c>
      <c r="CP275" s="37">
        <f t="shared" si="3146"/>
        <v>6.3447030909214081E-2</v>
      </c>
      <c r="CQ275" s="37">
        <f t="shared" si="3146"/>
        <v>6.364330019531704E-2</v>
      </c>
      <c r="CR275" s="37">
        <f t="shared" si="3146"/>
        <v>6.6158657687922673E-2</v>
      </c>
      <c r="CS275" s="37">
        <f t="shared" si="3146"/>
        <v>6.2076239294287842E-2</v>
      </c>
      <c r="CT275" s="37">
        <f t="shared" si="3146"/>
        <v>6.4891077420056814E-2</v>
      </c>
      <c r="CU275" s="37">
        <f t="shared" si="3146"/>
        <v>6.7349428723792404E-2</v>
      </c>
      <c r="CV275" s="37">
        <f t="shared" si="3146"/>
        <v>6.5951600961950282E-2</v>
      </c>
      <c r="CW275" s="37">
        <f t="shared" si="3146"/>
        <v>5.4058545938163394E-2</v>
      </c>
      <c r="CX275" s="37">
        <f t="shared" si="3146"/>
        <v>4.1216388450939979E-2</v>
      </c>
      <c r="CY275" s="37">
        <f t="shared" si="3146"/>
        <v>4.0410685303745829E-2</v>
      </c>
      <c r="CZ275" s="36"/>
      <c r="DA275" s="35"/>
      <c r="DB275" s="35"/>
      <c r="DC275" s="35"/>
      <c r="DD275" s="35"/>
      <c r="DE275" s="35"/>
      <c r="DF275" s="35"/>
      <c r="DG275" s="35"/>
      <c r="DH275" s="35"/>
      <c r="DI275" s="35"/>
    </row>
    <row r="276" spans="1:113" s="17" customFormat="1" ht="12" hidden="1" outlineLevel="2">
      <c r="A276" s="1" t="s">
        <v>231</v>
      </c>
      <c r="B276" s="17" t="s">
        <v>168</v>
      </c>
      <c r="C276" s="386">
        <f>((6694-3524)*C$5/C219)-C$318</f>
        <v>1.0799014835632822E-2</v>
      </c>
      <c r="D276" s="386">
        <f>(3001*D$5/D219)-D$318</f>
        <v>1.2096224870919617E-2</v>
      </c>
      <c r="E276" s="386">
        <f>((6273-3001)*E$5/E219)-E$318</f>
        <v>8.7818964619599191E-3</v>
      </c>
      <c r="F276" s="386">
        <f>(3507*F$5/F219)-F$318</f>
        <v>1.0680498964137544E-2</v>
      </c>
      <c r="G276" s="386">
        <f>((7263-3507)*G$5/G219)-G$318</f>
        <v>1.0674358454017957E-2</v>
      </c>
      <c r="H276" s="386">
        <f>(4235*H$5/H219)-H$318</f>
        <v>6.5110275201123308E-3</v>
      </c>
      <c r="I276" s="386">
        <f>((8893-4235)*I$5/I219)-I$318</f>
        <v>8.3344571653308289E-3</v>
      </c>
      <c r="J276" s="386">
        <f>((5232+434)*J$5/J219)-J$318</f>
        <v>1.5149004384324267E-2</v>
      </c>
      <c r="K276" s="386">
        <f>((10971+893-5232-434)*K$5/K219)-K$318</f>
        <v>1.614745208897056E-2</v>
      </c>
      <c r="L276" s="386">
        <f>((5987+464)*L$5/L219)-L$318</f>
        <v>1.5989899786079668E-2</v>
      </c>
      <c r="M276" s="71">
        <f>((6491+494)*M$5/M219)-M$318</f>
        <v>1.3601955595472663E-2</v>
      </c>
      <c r="N276" s="71">
        <f>((7104+512)*N$5/N219)-N$318</f>
        <v>1.3556431492332641E-2</v>
      </c>
      <c r="O276" s="71">
        <f>((7649+542)*O$5/O219)-O$318</f>
        <v>1.3056420326036683E-2</v>
      </c>
      <c r="P276" s="71">
        <f>((8814+642)*P$5/P219)-P$318</f>
        <v>9.7725515941675112E-3</v>
      </c>
      <c r="Q276" s="71">
        <f>((10071+706)*Q$5/Q219)-Q$318</f>
        <v>1.1919090067389948E-2</v>
      </c>
      <c r="R276" s="71">
        <f>((8657+488)*R$5/R219)-R$318</f>
        <v>2.9570974764665185E-2</v>
      </c>
      <c r="S276" s="71">
        <f>((7194+427)*S$5/S219)-S$318</f>
        <v>2.8267506640147863E-2</v>
      </c>
      <c r="T276" s="71">
        <f>(8424*T$5/T219)-T$318</f>
        <v>2.58959033427743E-2</v>
      </c>
      <c r="U276" s="71">
        <f>(9804*U$5/U219)-U$318</f>
        <v>2.6844417378476981E-2</v>
      </c>
      <c r="V276" s="71">
        <f>(10556*V$5/V219)-V$318</f>
        <v>2.6875642475935824E-2</v>
      </c>
      <c r="W276" s="71">
        <f>(10979*W$5/W219)-W$318</f>
        <v>2.7924854079806424E-2</v>
      </c>
      <c r="X276" s="71">
        <f>(10877*X$5/X219)-X$318</f>
        <v>2.8498402715238312E-2</v>
      </c>
      <c r="Y276" s="231">
        <f>(10523*Y$5/Y219)-Y$318</f>
        <v>3.1538111072528872E-2</v>
      </c>
      <c r="Z276" s="339">
        <f>(9856*Z$5/Z219)-Z$318</f>
        <v>3.2162481387400951E-2</v>
      </c>
      <c r="AA276" s="339">
        <f>(9490*AA$5/AA219)-AA$318</f>
        <v>3.1185689277531448E-2</v>
      </c>
      <c r="AB276" s="339">
        <f>(9249*AB$5/AB219)-AB$318</f>
        <v>2.9608532080723317E-2</v>
      </c>
      <c r="AC276" s="339">
        <f>(9631*AC$5/AC219)-AC$318</f>
        <v>2.7787810544885258E-2</v>
      </c>
      <c r="AD276" s="339">
        <f>(9480*AD$5/AD219)-AD$318</f>
        <v>2.6995944981765416E-2</v>
      </c>
      <c r="AE276" s="339">
        <f>(9257*AE$5/AE219)-AE$318</f>
        <v>2.7313269320393976E-2</v>
      </c>
      <c r="AF276" s="426">
        <f>(9429*AF$5/AF219)-AF$318</f>
        <v>2.9115882536199233E-2</v>
      </c>
      <c r="AG276" s="426">
        <f>(9357*AG$5/AG219)-AG$318</f>
        <v>3.1234375336097228E-2</v>
      </c>
      <c r="AH276" s="426">
        <f>(9024*AH$5/AH219)-AH$318</f>
        <v>3.0458539490212534E-2</v>
      </c>
      <c r="AI276" s="426">
        <f>(9299*AI$5/AI219)-AI$318</f>
        <v>3.1247743885648754E-2</v>
      </c>
      <c r="AJ276" s="426">
        <f>(9273*AJ$5/AJ219)-AJ$318</f>
        <v>2.9868169909324963E-2</v>
      </c>
      <c r="AK276" s="426">
        <f>(9404*AK$5/AK219)-AK$318</f>
        <v>2.7438940975522422E-2</v>
      </c>
      <c r="AL276" s="426">
        <f>(9507*AL$5/AL219)-AL$318</f>
        <v>2.7890114442393425E-2</v>
      </c>
      <c r="AM276" s="426">
        <f>(8926*AM$5/AM219)-AM$318</f>
        <v>3.1784394450643585E-2</v>
      </c>
      <c r="AN276" s="426">
        <f>(8219*AN$5/AN219)-AN$318</f>
        <v>3.189226837003685E-2</v>
      </c>
      <c r="AO276" s="426">
        <f>(6802*AO$5/AO219)-AO$318</f>
        <v>3.1660849546902951E-2</v>
      </c>
      <c r="AP276" s="426">
        <f>(6555*AP$5/AP219)-AP$318</f>
        <v>3.2016748247669091E-2</v>
      </c>
      <c r="AQ276" s="426">
        <f>(6340*AQ$5/AQ219)-AQ$318</f>
        <v>3.1439771051583472E-2</v>
      </c>
      <c r="AR276" s="426">
        <f>(6097*AR$5/AR219)-AR$318</f>
        <v>2.9548488136418267E-2</v>
      </c>
      <c r="AS276" s="426">
        <f>(7691*AS$5/AS219)-AS$318</f>
        <v>2.0267701464854789E-2</v>
      </c>
      <c r="AT276" s="426">
        <f>(11721*AT$5/AT219)-AT$318</f>
        <v>2.1475729725741785E-2</v>
      </c>
      <c r="AU276" s="426">
        <f>(13469*AU$5/AU219)-AU$318</f>
        <v>2.1030698732267171E-2</v>
      </c>
      <c r="AV276" s="426">
        <f>(14793*AV$5/AV219)-AV$318</f>
        <v>2.2372128774140264E-2</v>
      </c>
      <c r="AW276" s="426">
        <f>(16232*AW$5/AW219)-AW$318</f>
        <v>2.2502629237401317E-2</v>
      </c>
      <c r="AX276" s="426">
        <f>(18040*AX$5/AX219)-AX$318</f>
        <v>2.3874164804001397E-2</v>
      </c>
      <c r="AY276" s="417"/>
      <c r="AZ276" s="70"/>
      <c r="BA276" s="70"/>
      <c r="BB276" s="70"/>
      <c r="BC276" s="70"/>
      <c r="BD276" s="70"/>
      <c r="BE276" s="70"/>
      <c r="BF276" s="70"/>
      <c r="BG276" s="70"/>
      <c r="BH276" s="70"/>
      <c r="BI276" s="70"/>
      <c r="BJ276" s="70"/>
      <c r="BK276" s="70"/>
      <c r="BL276" s="70"/>
      <c r="BM276" s="70"/>
      <c r="BN276" s="70"/>
      <c r="BO276" s="70"/>
      <c r="BP276" s="70"/>
      <c r="BQ276" s="70"/>
      <c r="BR276" s="70"/>
      <c r="BS276" s="386">
        <f>(4530.2*BS$5/BS219)-BS$318</f>
        <v>4.0593433758443237E-2</v>
      </c>
      <c r="BT276" s="386">
        <f>(3927*BT$5/BT219)-BT$318</f>
        <v>4.1501710730948667E-2</v>
      </c>
      <c r="BU276" s="386">
        <f>(3648*BU$5/BU219)-BU$318</f>
        <v>3.6576702466333419E-2</v>
      </c>
      <c r="BV276" s="386">
        <f>(4471*BV$5/BV219)-BV$318</f>
        <v>2.311615838227303E-2</v>
      </c>
      <c r="BW276" s="386">
        <f>(4914*BW$5/BW219)-BW$318</f>
        <v>2.8197670439234698E-2</v>
      </c>
      <c r="BX276" s="386">
        <f>(4647*BX$5/BX219)-BX$318</f>
        <v>3.123718209905825E-2</v>
      </c>
      <c r="BY276" s="386">
        <f>(4575*BY$5/BY219)-BY$318</f>
        <v>2.6742967124955601E-2</v>
      </c>
      <c r="BZ276" s="386">
        <f>(4970*BZ$5/BZ219)-BZ$318</f>
        <v>2.2922166708783984E-2</v>
      </c>
      <c r="CA276" s="386">
        <f>(6156*CA$5/CA219)-CA$318</f>
        <v>1.5860475072529266E-2</v>
      </c>
      <c r="CB276" s="386">
        <f>(6694*CB$5/CB219)-CB$318</f>
        <v>2.0184645221486615E-2</v>
      </c>
      <c r="CC276" s="70">
        <f t="shared" ref="CC276:CY276" si="3147">CC334/CC219*CC$5</f>
        <v>1.040488067007268E-2</v>
      </c>
      <c r="CD276" s="70">
        <f t="shared" si="3147"/>
        <v>1.0679233699707278E-2</v>
      </c>
      <c r="CE276" s="70">
        <f t="shared" si="3147"/>
        <v>7.4508988414793229E-3</v>
      </c>
      <c r="CF276" s="70">
        <f t="shared" si="3147"/>
        <v>1.5666712215692182E-2</v>
      </c>
      <c r="CG276" s="70">
        <f t="shared" si="3147"/>
        <v>1.4723151952071309E-2</v>
      </c>
      <c r="CH276" s="70">
        <f t="shared" si="3147"/>
        <v>1.3299567308302642E-2</v>
      </c>
      <c r="CI276" s="70">
        <f t="shared" si="3147"/>
        <v>1.0883456278603616E-2</v>
      </c>
      <c r="CJ276" s="70">
        <f t="shared" si="3147"/>
        <v>2.892169885348218E-2</v>
      </c>
      <c r="CK276" s="70">
        <f t="shared" si="3147"/>
        <v>2.6342801831305669E-2</v>
      </c>
      <c r="CL276" s="70">
        <f t="shared" si="3147"/>
        <v>2.7407871467632839E-2</v>
      </c>
      <c r="CM276" s="232">
        <f t="shared" si="3147"/>
        <v>3.0051130095377451E-2</v>
      </c>
      <c r="CN276" s="232">
        <f t="shared" si="3147"/>
        <v>3.1750794087944532E-2</v>
      </c>
      <c r="CO276" s="232">
        <f t="shared" si="3147"/>
        <v>2.8669915636867906E-2</v>
      </c>
      <c r="CP276" s="232">
        <f t="shared" si="3147"/>
        <v>2.7242956966693595E-2</v>
      </c>
      <c r="CQ276" s="232">
        <f t="shared" si="3147"/>
        <v>3.018257984341614E-2</v>
      </c>
      <c r="CR276" s="232">
        <f t="shared" si="3147"/>
        <v>3.0857854451258718E-2</v>
      </c>
      <c r="CS276" s="232">
        <f t="shared" si="3147"/>
        <v>2.8639996079983947E-2</v>
      </c>
      <c r="CT276" s="232">
        <f t="shared" si="3147"/>
        <v>2.9840936456549373E-2</v>
      </c>
      <c r="CU276" s="232">
        <f t="shared" si="3147"/>
        <v>3.1775610697675927E-2</v>
      </c>
      <c r="CV276" s="232">
        <f t="shared" si="3147"/>
        <v>3.173083697916209E-2</v>
      </c>
      <c r="CW276" s="232">
        <f t="shared" si="3147"/>
        <v>2.4848917410936019E-2</v>
      </c>
      <c r="CX276" s="232">
        <f t="shared" si="3147"/>
        <v>2.1252156858924679E-2</v>
      </c>
      <c r="CY276" s="232">
        <f t="shared" si="3147"/>
        <v>2.243996995138918E-2</v>
      </c>
      <c r="CZ276" s="72"/>
      <c r="DA276" s="70"/>
      <c r="DB276" s="70"/>
      <c r="DC276" s="70"/>
      <c r="DD276" s="70"/>
      <c r="DE276" s="70"/>
      <c r="DF276" s="70"/>
      <c r="DG276" s="70"/>
      <c r="DH276" s="70"/>
      <c r="DI276" s="70"/>
    </row>
    <row r="277" spans="1:113" ht="12" hidden="1" outlineLevel="2">
      <c r="C277" s="345"/>
      <c r="D277" s="345"/>
      <c r="E277" s="345"/>
      <c r="F277" s="345"/>
      <c r="G277" s="345"/>
      <c r="H277" s="345"/>
      <c r="I277" s="345"/>
      <c r="J277" s="345"/>
      <c r="K277" s="345"/>
      <c r="L277" s="345"/>
      <c r="M277" s="35"/>
      <c r="N277" s="35"/>
      <c r="O277" s="35"/>
      <c r="P277" s="35"/>
      <c r="Q277" s="35"/>
      <c r="R277" s="35"/>
      <c r="S277" s="35"/>
      <c r="T277" s="35"/>
      <c r="U277" s="35"/>
      <c r="V277" s="35"/>
      <c r="W277" s="35"/>
      <c r="X277" s="35"/>
      <c r="Y277" s="37"/>
      <c r="Z277" s="37"/>
      <c r="AA277" s="37"/>
      <c r="AB277" s="37"/>
      <c r="AC277" s="37"/>
      <c r="AD277" s="37"/>
      <c r="AE277" s="37"/>
      <c r="AF277" s="357"/>
      <c r="AG277" s="357"/>
      <c r="AH277" s="357"/>
      <c r="AI277" s="357"/>
      <c r="AJ277" s="357"/>
      <c r="AK277" s="357"/>
      <c r="AL277" s="357"/>
      <c r="AM277" s="357"/>
      <c r="AN277" s="357"/>
      <c r="AO277" s="357"/>
      <c r="AP277" s="357"/>
      <c r="AQ277" s="357"/>
      <c r="AR277" s="357"/>
      <c r="AS277" s="357"/>
      <c r="AT277" s="357"/>
      <c r="AU277" s="357"/>
      <c r="AV277" s="357"/>
      <c r="AW277" s="357"/>
      <c r="AX277" s="357"/>
      <c r="AY277" s="348"/>
      <c r="AZ277" s="35"/>
      <c r="BA277" s="35"/>
      <c r="BB277" s="35"/>
      <c r="BC277" s="35"/>
      <c r="BD277" s="35"/>
      <c r="BE277" s="35"/>
      <c r="BF277" s="35"/>
      <c r="BG277" s="35"/>
      <c r="BH277" s="35"/>
      <c r="BI277" s="35"/>
      <c r="BJ277" s="35"/>
      <c r="BK277" s="35"/>
      <c r="BL277" s="35"/>
      <c r="BM277" s="35"/>
      <c r="BN277" s="35"/>
      <c r="BO277" s="35"/>
      <c r="BP277" s="35"/>
      <c r="BQ277" s="35"/>
      <c r="BR277" s="35"/>
      <c r="BS277" s="345"/>
      <c r="BT277" s="345"/>
      <c r="BU277" s="345"/>
      <c r="BV277" s="345"/>
      <c r="BW277" s="345"/>
      <c r="BX277" s="345"/>
      <c r="BY277" s="345"/>
      <c r="BZ277" s="345"/>
      <c r="CA277" s="345"/>
      <c r="CB277" s="345"/>
      <c r="CC277" s="35"/>
      <c r="CD277" s="35"/>
      <c r="CE277" s="35"/>
      <c r="CF277" s="35"/>
      <c r="CG277" s="35"/>
      <c r="CH277" s="35"/>
      <c r="CI277" s="35"/>
      <c r="CJ277" s="35"/>
      <c r="CK277" s="35"/>
      <c r="CL277" s="35"/>
      <c r="CM277" s="37"/>
      <c r="CN277" s="37"/>
      <c r="CO277" s="37"/>
      <c r="CP277" s="37"/>
      <c r="CQ277" s="37"/>
      <c r="CR277" s="37"/>
      <c r="CS277" s="37"/>
      <c r="CT277" s="37"/>
      <c r="CU277" s="37"/>
      <c r="CV277" s="37"/>
      <c r="CW277" s="37"/>
      <c r="CX277" s="37"/>
      <c r="CY277" s="37"/>
      <c r="CZ277" s="36"/>
      <c r="DA277" s="35"/>
      <c r="DB277" s="35"/>
      <c r="DC277" s="35"/>
      <c r="DD277" s="35"/>
      <c r="DE277" s="35"/>
      <c r="DF277" s="35"/>
      <c r="DG277" s="35"/>
      <c r="DH277" s="35"/>
      <c r="DI277" s="35"/>
    </row>
    <row r="278" spans="1:113" s="17" customFormat="1" ht="12" hidden="1" outlineLevel="2">
      <c r="A278" s="1"/>
      <c r="B278" s="17" t="s">
        <v>408</v>
      </c>
      <c r="C278" s="387"/>
      <c r="D278" s="387"/>
      <c r="E278" s="387"/>
      <c r="F278" s="387"/>
      <c r="G278" s="387"/>
      <c r="H278" s="387"/>
      <c r="I278" s="387"/>
      <c r="J278" s="387"/>
      <c r="K278" s="387"/>
      <c r="L278" s="387"/>
      <c r="M278" s="70"/>
      <c r="N278" s="70"/>
      <c r="O278" s="70"/>
      <c r="P278" s="70"/>
      <c r="Q278" s="70"/>
      <c r="R278" s="70"/>
      <c r="S278" s="70"/>
      <c r="T278" s="70"/>
      <c r="U278" s="70"/>
      <c r="V278" s="70"/>
      <c r="W278" s="70"/>
      <c r="X278" s="70"/>
      <c r="Y278" s="232"/>
      <c r="Z278" s="232"/>
      <c r="AA278" s="232"/>
      <c r="AB278" s="232"/>
      <c r="AC278" s="232"/>
      <c r="AD278" s="232"/>
      <c r="AE278" s="232"/>
      <c r="AF278" s="427"/>
      <c r="AG278" s="427"/>
      <c r="AH278" s="427"/>
      <c r="AI278" s="427"/>
      <c r="AJ278" s="427"/>
      <c r="AK278" s="427"/>
      <c r="AL278" s="427"/>
      <c r="AM278" s="427"/>
      <c r="AN278" s="427"/>
      <c r="AO278" s="427"/>
      <c r="AP278" s="427"/>
      <c r="AQ278" s="427"/>
      <c r="AR278" s="427"/>
      <c r="AS278" s="427"/>
      <c r="AT278" s="427"/>
      <c r="AU278" s="427"/>
      <c r="AV278" s="427"/>
      <c r="AW278" s="427"/>
      <c r="AX278" s="427"/>
      <c r="AY278" s="418"/>
      <c r="AZ278" s="70"/>
      <c r="BA278" s="70"/>
      <c r="BB278" s="70"/>
      <c r="BC278" s="70"/>
      <c r="BD278" s="70"/>
      <c r="BE278" s="70"/>
      <c r="BF278" s="70"/>
      <c r="BG278" s="70"/>
      <c r="BH278" s="70"/>
      <c r="BI278" s="70"/>
      <c r="BJ278" s="70"/>
      <c r="BK278" s="70"/>
      <c r="BL278" s="70"/>
      <c r="BM278" s="70"/>
      <c r="BN278" s="70"/>
      <c r="BO278" s="70"/>
      <c r="BP278" s="70"/>
      <c r="BQ278" s="70"/>
      <c r="BR278" s="70"/>
      <c r="BS278" s="387"/>
      <c r="BT278" s="387"/>
      <c r="BU278" s="387"/>
      <c r="BV278" s="387"/>
      <c r="BW278" s="387"/>
      <c r="BX278" s="387"/>
      <c r="BY278" s="387"/>
      <c r="BZ278" s="387"/>
      <c r="CA278" s="387"/>
      <c r="CB278" s="387"/>
      <c r="CC278" s="70"/>
      <c r="CD278" s="70"/>
      <c r="CE278" s="70"/>
      <c r="CF278" s="70"/>
      <c r="CG278" s="70"/>
      <c r="CH278" s="70"/>
      <c r="CI278" s="70"/>
      <c r="CJ278" s="70"/>
      <c r="CK278" s="70"/>
      <c r="CL278" s="70"/>
      <c r="CM278" s="232"/>
      <c r="CN278" s="232"/>
      <c r="CO278" s="232"/>
      <c r="CP278" s="232"/>
      <c r="CQ278" s="232"/>
      <c r="CR278" s="232"/>
      <c r="CS278" s="232"/>
      <c r="CT278" s="232"/>
      <c r="CU278" s="232"/>
      <c r="CV278" s="232"/>
      <c r="CW278" s="232"/>
      <c r="CX278" s="232"/>
      <c r="CY278" s="232"/>
      <c r="CZ278" s="72"/>
      <c r="DA278" s="70"/>
      <c r="DB278" s="70"/>
      <c r="DC278" s="70"/>
      <c r="DD278" s="70"/>
      <c r="DE278" s="70"/>
      <c r="DF278" s="70"/>
      <c r="DG278" s="70"/>
      <c r="DH278" s="70"/>
      <c r="DI278" s="70"/>
    </row>
    <row r="279" spans="1:113" ht="12" hidden="1" outlineLevel="2">
      <c r="A279" s="1" t="s">
        <v>144</v>
      </c>
      <c r="B279" s="15" t="s">
        <v>164</v>
      </c>
      <c r="C279" s="345"/>
      <c r="D279" s="345"/>
      <c r="E279" s="345"/>
      <c r="F279" s="345"/>
      <c r="G279" s="345"/>
      <c r="H279" s="345"/>
      <c r="I279" s="345"/>
      <c r="J279" s="345"/>
      <c r="K279" s="345"/>
      <c r="L279" s="345"/>
      <c r="M279" s="35"/>
      <c r="N279" s="35"/>
      <c r="O279" s="35"/>
      <c r="P279" s="35"/>
      <c r="Q279" s="35"/>
      <c r="R279" s="35"/>
      <c r="S279" s="35"/>
      <c r="T279" s="35"/>
      <c r="U279" s="35"/>
      <c r="V279" s="35"/>
      <c r="W279" s="35"/>
      <c r="X279" s="35"/>
      <c r="Y279" s="37"/>
      <c r="Z279" s="37"/>
      <c r="AA279" s="37"/>
      <c r="AB279" s="37"/>
      <c r="AC279" s="37"/>
      <c r="AD279" s="37"/>
      <c r="AE279" s="37"/>
      <c r="AF279" s="357"/>
      <c r="AG279" s="357"/>
      <c r="AH279" s="357"/>
      <c r="AI279" s="357"/>
      <c r="AJ279" s="357"/>
      <c r="AK279" s="357"/>
      <c r="AL279" s="357"/>
      <c r="AM279" s="357"/>
      <c r="AN279" s="357"/>
      <c r="AO279" s="357"/>
      <c r="AP279" s="357"/>
      <c r="AQ279" s="357"/>
      <c r="AR279" s="357"/>
      <c r="AS279" s="357"/>
      <c r="AT279" s="357"/>
      <c r="AU279" s="357"/>
      <c r="AV279" s="357"/>
      <c r="AW279" s="357"/>
      <c r="AX279" s="357"/>
      <c r="AY279" s="348"/>
      <c r="AZ279" s="35"/>
      <c r="BA279" s="35"/>
      <c r="BB279" s="35"/>
      <c r="BC279" s="35"/>
      <c r="BD279" s="35"/>
      <c r="BE279" s="35"/>
      <c r="BF279" s="35"/>
      <c r="BG279" s="35"/>
      <c r="BH279" s="35"/>
      <c r="BI279" s="35"/>
      <c r="BJ279" s="35"/>
      <c r="BK279" s="35"/>
      <c r="BL279" s="35"/>
      <c r="BM279" s="35"/>
      <c r="BN279" s="35"/>
      <c r="BO279" s="35"/>
      <c r="BP279" s="35"/>
      <c r="BQ279" s="35"/>
      <c r="BR279" s="35"/>
      <c r="BS279" s="345"/>
      <c r="BT279" s="345"/>
      <c r="BU279" s="345"/>
      <c r="BV279" s="345"/>
      <c r="BW279" s="345"/>
      <c r="BX279" s="345"/>
      <c r="BY279" s="345"/>
      <c r="BZ279" s="345"/>
      <c r="CA279" s="345"/>
      <c r="CB279" s="345"/>
      <c r="CC279" s="35"/>
      <c r="CD279" s="35"/>
      <c r="CE279" s="35"/>
      <c r="CF279" s="35"/>
      <c r="CG279" s="35"/>
      <c r="CH279" s="35"/>
      <c r="CI279" s="35"/>
      <c r="CJ279" s="35"/>
      <c r="CK279" s="35"/>
      <c r="CL279" s="35"/>
      <c r="CM279" s="37"/>
      <c r="CN279" s="37"/>
      <c r="CO279" s="37"/>
      <c r="CP279" s="37"/>
      <c r="CQ279" s="37"/>
      <c r="CR279" s="37"/>
      <c r="CS279" s="37"/>
      <c r="CT279" s="37"/>
      <c r="CU279" s="37"/>
      <c r="CV279" s="37"/>
      <c r="CW279" s="37"/>
      <c r="CX279" s="37"/>
      <c r="CY279" s="37"/>
      <c r="CZ279" s="36"/>
      <c r="DA279" s="35"/>
      <c r="DB279" s="35"/>
      <c r="DC279" s="35"/>
      <c r="DD279" s="35"/>
      <c r="DE279" s="35"/>
      <c r="DF279" s="35"/>
      <c r="DG279" s="35"/>
      <c r="DH279" s="35"/>
      <c r="DI279" s="35"/>
    </row>
    <row r="280" spans="1:113" ht="12" hidden="1" outlineLevel="2">
      <c r="A280" s="1" t="s">
        <v>145</v>
      </c>
      <c r="B280" s="15" t="s">
        <v>344</v>
      </c>
      <c r="C280" s="345"/>
      <c r="D280" s="345"/>
      <c r="E280" s="345"/>
      <c r="F280" s="345"/>
      <c r="G280" s="345"/>
      <c r="H280" s="345"/>
      <c r="I280" s="345"/>
      <c r="J280" s="345"/>
      <c r="K280" s="345"/>
      <c r="L280" s="345"/>
      <c r="M280" s="35"/>
      <c r="N280" s="35"/>
      <c r="O280" s="35"/>
      <c r="P280" s="35"/>
      <c r="Q280" s="35"/>
      <c r="R280" s="35"/>
      <c r="S280" s="35"/>
      <c r="T280" s="35"/>
      <c r="U280" s="35"/>
      <c r="V280" s="35"/>
      <c r="W280" s="35"/>
      <c r="X280" s="35"/>
      <c r="Y280" s="37"/>
      <c r="Z280" s="37"/>
      <c r="AA280" s="37"/>
      <c r="AB280" s="37"/>
      <c r="AC280" s="37"/>
      <c r="AD280" s="37"/>
      <c r="AE280" s="37"/>
      <c r="AF280" s="357"/>
      <c r="AG280" s="357"/>
      <c r="AH280" s="357"/>
      <c r="AI280" s="357"/>
      <c r="AJ280" s="357"/>
      <c r="AK280" s="357"/>
      <c r="AL280" s="357"/>
      <c r="AM280" s="357"/>
      <c r="AN280" s="357"/>
      <c r="AO280" s="357"/>
      <c r="AP280" s="357"/>
      <c r="AQ280" s="357"/>
      <c r="AR280" s="357"/>
      <c r="AS280" s="357"/>
      <c r="AT280" s="357"/>
      <c r="AU280" s="357"/>
      <c r="AV280" s="357"/>
      <c r="AW280" s="357"/>
      <c r="AX280" s="357"/>
      <c r="AY280" s="348"/>
      <c r="AZ280" s="35"/>
      <c r="BA280" s="35"/>
      <c r="BB280" s="35"/>
      <c r="BC280" s="35"/>
      <c r="BD280" s="35"/>
      <c r="BE280" s="35"/>
      <c r="BF280" s="35"/>
      <c r="BG280" s="35"/>
      <c r="BH280" s="35"/>
      <c r="BI280" s="35"/>
      <c r="BJ280" s="35"/>
      <c r="BK280" s="35"/>
      <c r="BL280" s="35"/>
      <c r="BM280" s="35"/>
      <c r="BN280" s="35"/>
      <c r="BO280" s="35"/>
      <c r="BP280" s="35"/>
      <c r="BQ280" s="35"/>
      <c r="BR280" s="35"/>
      <c r="BS280" s="345"/>
      <c r="BT280" s="345"/>
      <c r="BU280" s="345"/>
      <c r="BV280" s="345"/>
      <c r="BW280" s="345"/>
      <c r="BX280" s="345"/>
      <c r="BY280" s="345"/>
      <c r="BZ280" s="345"/>
      <c r="CA280" s="345"/>
      <c r="CB280" s="345"/>
      <c r="CC280" s="35"/>
      <c r="CD280" s="35"/>
      <c r="CE280" s="35"/>
      <c r="CF280" s="35"/>
      <c r="CG280" s="35"/>
      <c r="CH280" s="35"/>
      <c r="CI280" s="35"/>
      <c r="CJ280" s="35"/>
      <c r="CK280" s="35"/>
      <c r="CL280" s="35"/>
      <c r="CM280" s="37"/>
      <c r="CN280" s="37"/>
      <c r="CO280" s="37"/>
      <c r="CP280" s="37"/>
      <c r="CQ280" s="37"/>
      <c r="CR280" s="37"/>
      <c r="CS280" s="37"/>
      <c r="CT280" s="37"/>
      <c r="CU280" s="37"/>
      <c r="CV280" s="37"/>
      <c r="CW280" s="37"/>
      <c r="CX280" s="37"/>
      <c r="CY280" s="37"/>
      <c r="CZ280" s="36"/>
      <c r="DA280" s="35"/>
      <c r="DB280" s="35"/>
      <c r="DC280" s="35"/>
      <c r="DD280" s="35"/>
      <c r="DE280" s="35"/>
      <c r="DF280" s="35"/>
      <c r="DG280" s="35"/>
      <c r="DH280" s="35"/>
      <c r="DI280" s="35"/>
    </row>
    <row r="281" spans="1:113" s="17" customFormat="1" ht="12" hidden="1" outlineLevel="2">
      <c r="A281" s="1" t="s">
        <v>146</v>
      </c>
      <c r="B281" s="17" t="s">
        <v>168</v>
      </c>
      <c r="C281" s="386">
        <f>((1466-756)*C$5/C224)-C$318</f>
        <v>3.2352698212248919E-2</v>
      </c>
      <c r="D281" s="386">
        <f>(652*D$5/D224)-D$318</f>
        <v>3.0241524886294953E-2</v>
      </c>
      <c r="E281" s="386">
        <f>((1363-652)*E$5/E224)-E$318</f>
        <v>2.7346661738243329E-2</v>
      </c>
      <c r="F281" s="386">
        <f>(786*F$5/F224)-F$318</f>
        <v>2.9955929391517554E-2</v>
      </c>
      <c r="G281" s="386">
        <f>((1637-786)*G$5/G224)-G$318</f>
        <v>3.4644639408112111E-2</v>
      </c>
      <c r="H281" s="386">
        <f>(1570*H$5/H224)-H$318</f>
        <v>2.066049020312638E-2</v>
      </c>
      <c r="I281" s="386">
        <f>((3701-1570)*I$5/I224)-I$318</f>
        <v>2.2711307132459967E-2</v>
      </c>
      <c r="J281" s="386">
        <f>(2445*J$5/J224)-J$318</f>
        <v>2.706030906578711E-2</v>
      </c>
      <c r="K281" s="386">
        <f>((5115-2445)*K$5/K224)-K$318</f>
        <v>2.8205552361972003E-2</v>
      </c>
      <c r="L281" s="386">
        <f>(2849*L$5/L224)-L$318</f>
        <v>3.0390788622120891E-2</v>
      </c>
      <c r="M281" s="71">
        <f>(2804*M$5/M224)-M$318</f>
        <v>2.670496038492514E-2</v>
      </c>
      <c r="N281" s="71">
        <f>(3073*N$5/N224)-N$318</f>
        <v>2.3143919701818769E-2</v>
      </c>
      <c r="O281" s="71">
        <f>(3463*O$5/O224)-O$318</f>
        <v>2.5217607150833474E-2</v>
      </c>
      <c r="P281" s="71">
        <f>(3754*P$5/P224)-P$318</f>
        <v>2.2317888877344677E-2</v>
      </c>
      <c r="Q281" s="71">
        <f>(3737*Q$5/Q224)-Q$318</f>
        <v>1.9742769201854179E-2</v>
      </c>
      <c r="R281" s="71">
        <f>(3223*R$5/R224)-R$318</f>
        <v>3.6385254561142048E-2</v>
      </c>
      <c r="S281" s="71">
        <f>(2381*S$5/S224)-S$318</f>
        <v>2.843834529614158E-2</v>
      </c>
      <c r="T281" s="71">
        <f>(2235*T$5/T224)-T$318</f>
        <v>1.7307267591663136E-2</v>
      </c>
      <c r="U281" s="71">
        <f>(2357*U$5/U224)-U$318</f>
        <v>1.3468396691487035E-2</v>
      </c>
      <c r="V281" s="71">
        <f>(2366*V$5/V224)-V$318</f>
        <v>1.5069918394176388E-2</v>
      </c>
      <c r="W281" s="71">
        <f>(2288*W$5/W224)-W$318</f>
        <v>1.2616852313283383E-2</v>
      </c>
      <c r="X281" s="71">
        <f>(2271*X$5/X224)-X$318</f>
        <v>1.7075021910770843E-2</v>
      </c>
      <c r="Y281" s="231">
        <f>(2301*Y$5/Y224)-Y$318</f>
        <v>2.4740314807079077E-2</v>
      </c>
      <c r="Z281" s="339">
        <f>(2338*Z$5/Z224)-Z$318</f>
        <v>2.8894257399430388E-2</v>
      </c>
      <c r="AA281" s="339">
        <f>(2496*AA$5/AA224)-AA$318</f>
        <v>3.1081264344506043E-2</v>
      </c>
      <c r="AB281" s="339">
        <f>(2674*AB$5/AB224)-AB$318</f>
        <v>3.1328543793885111E-2</v>
      </c>
      <c r="AC281" s="339">
        <f>(2951*AC$5/AC224)-AC$318</f>
        <v>3.4449054901702802E-2</v>
      </c>
      <c r="AD281" s="339">
        <f>(3155*AD$5/AD224)-AD$318</f>
        <v>3.6700666525547362E-2</v>
      </c>
      <c r="AE281" s="339">
        <f>(3069*AE$5/AE224)-AE$318</f>
        <v>3.7416794001687445E-2</v>
      </c>
      <c r="AF281" s="426">
        <f>(2847*AF$5/AF224)-AF$318</f>
        <v>3.0152893769510185E-2</v>
      </c>
      <c r="AG281" s="426">
        <f>(2772*AG$5/AG224)-AG$318</f>
        <v>2.9794863837279986E-2</v>
      </c>
      <c r="AH281" s="426">
        <f>(2722*AH$5/AH224)-AH$318</f>
        <v>2.9569054019023249E-2</v>
      </c>
      <c r="AI281" s="426">
        <f>(2752*AI$5/AI224)-AI$318</f>
        <v>3.0143597109861569E-2</v>
      </c>
      <c r="AJ281" s="426">
        <f>(2729*AJ$5/AJ224)-AJ$318</f>
        <v>2.954974781466424E-2</v>
      </c>
      <c r="AK281" s="426">
        <f>(2817*AK$5/AK224)-AK$318</f>
        <v>2.7526790439737159E-2</v>
      </c>
      <c r="AL281" s="426">
        <f>(2890*AL$5/AL224)-AL$318</f>
        <v>2.7359251546154973E-2</v>
      </c>
      <c r="AM281" s="426">
        <f>(2828*AM$5/AM224)-AM$318</f>
        <v>3.2160107431378475E-2</v>
      </c>
      <c r="AN281" s="426">
        <f>(2643*AN$5/AN224)-AN$318</f>
        <v>3.2726301435612233E-2</v>
      </c>
      <c r="AO281" s="426">
        <f>(2211*AO$5/AO224)-AO$318</f>
        <v>3.3798581632939612E-2</v>
      </c>
      <c r="AP281" s="426">
        <f>(2001*AP$5/AP224)-AP$318</f>
        <v>3.1300818525046702E-2</v>
      </c>
      <c r="AQ281" s="426">
        <f>(1973*AQ$5/AQ224)-AQ$318</f>
        <v>2.9461927568303674E-2</v>
      </c>
      <c r="AR281" s="426">
        <f>(2147*AR$5/AR224)-AR$318</f>
        <v>3.0777787910852259E-2</v>
      </c>
      <c r="AS281" s="426">
        <f>(2787*AS$5/AS224)-AS$318</f>
        <v>2.4497219059234177E-2</v>
      </c>
      <c r="AT281" s="426">
        <f>(3767*AT$5/AT224)-AT$318</f>
        <v>2.2672875013340414E-2</v>
      </c>
      <c r="AU281" s="426">
        <f>(4336*AU$5/AU224)-AU$318</f>
        <v>2.1871628292047987E-2</v>
      </c>
      <c r="AV281" s="426">
        <f>(4664*AV$5/AV224)-AV$318</f>
        <v>2.3252769498993069E-2</v>
      </c>
      <c r="AW281" s="426">
        <f>(4715*AW$5/AW224)-AW$318</f>
        <v>2.3725069171516927E-2</v>
      </c>
      <c r="AX281" s="426">
        <f>(4345*AX$5/AX224)-AX$318</f>
        <v>1.9968293029824002E-2</v>
      </c>
      <c r="AY281" s="417"/>
      <c r="AZ281" s="70"/>
      <c r="BA281" s="70"/>
      <c r="BB281" s="70"/>
      <c r="BC281" s="70"/>
      <c r="BD281" s="70"/>
      <c r="BE281" s="70"/>
      <c r="BF281" s="70"/>
      <c r="BG281" s="70"/>
      <c r="BH281" s="70"/>
      <c r="BI281" s="70"/>
      <c r="BJ281" s="70"/>
      <c r="BK281" s="70"/>
      <c r="BL281" s="70"/>
      <c r="BM281" s="70"/>
      <c r="BN281" s="70"/>
      <c r="BO281" s="70"/>
      <c r="BP281" s="70"/>
      <c r="BQ281" s="70"/>
      <c r="BR281" s="70"/>
      <c r="BS281" s="396">
        <f>(1702.9*(714/(714+743))*BS$5/BS224)-BS$318</f>
        <v>3.1294461663151127E-2</v>
      </c>
      <c r="BT281" s="396">
        <f>(1463*(714/(714+743))*BT$5/BT224)-BT$318</f>
        <v>3.0817078494485901E-2</v>
      </c>
      <c r="BU281" s="386">
        <f>(714*BU$5/BU224)-BU$318</f>
        <v>2.959287960543755E-2</v>
      </c>
      <c r="BV281" s="386">
        <f>(1143*BV$5/BV224)-BV$318</f>
        <v>2.5937690108376737E-2</v>
      </c>
      <c r="BW281" s="386">
        <f>(1356*BW$5/BW224)-BW$318</f>
        <v>3.1986950396052441E-2</v>
      </c>
      <c r="BX281" s="386">
        <f>(1427*BX$5/BX224)-BX$318</f>
        <v>4.2763407147348567E-2</v>
      </c>
      <c r="BY281" s="386">
        <f>(1443*BY$5/BY224)-BY$318</f>
        <v>4.7424874295032941E-2</v>
      </c>
      <c r="BZ281" s="386">
        <f>(1178*BZ$5/BZ224)-BZ$318</f>
        <v>2.82081484824699E-2</v>
      </c>
      <c r="CA281" s="386">
        <f>(1368*CA$5/CA224)-CA$318</f>
        <v>2.2494560439560447E-2</v>
      </c>
      <c r="CB281" s="386">
        <f>(1466*CB$5/CB224)-CB$318</f>
        <v>3.0776111948082017E-2</v>
      </c>
      <c r="CC281" s="70">
        <f t="shared" ref="CC281:CY281" si="3148">CC339/CC224*CC$5</f>
        <v>2.8762807539399447E-2</v>
      </c>
      <c r="CD281" s="70">
        <f t="shared" si="3148"/>
        <v>3.2328436731658625E-2</v>
      </c>
      <c r="CE281" s="70">
        <f t="shared" si="3148"/>
        <v>2.1826192268842672E-2</v>
      </c>
      <c r="CF281" s="70">
        <f t="shared" si="3148"/>
        <v>2.7655763701525657E-2</v>
      </c>
      <c r="CG281" s="70">
        <f t="shared" si="3148"/>
        <v>2.8533253199372593E-2</v>
      </c>
      <c r="CH281" s="70">
        <f t="shared" si="3148"/>
        <v>2.4219599608038166E-2</v>
      </c>
      <c r="CI281" s="70">
        <f t="shared" si="3148"/>
        <v>2.1036346213597571E-2</v>
      </c>
      <c r="CJ281" s="70">
        <f t="shared" si="3148"/>
        <v>3.2492233522026348E-2</v>
      </c>
      <c r="CK281" s="70">
        <f t="shared" si="3148"/>
        <v>1.5372929294149159E-2</v>
      </c>
      <c r="CL281" s="70">
        <f t="shared" si="3148"/>
        <v>1.3837977780862733E-2</v>
      </c>
      <c r="CM281" s="232">
        <f t="shared" si="3148"/>
        <v>2.0957030632421336E-2</v>
      </c>
      <c r="CN281" s="232">
        <f t="shared" si="3148"/>
        <v>3.0033503574871546E-2</v>
      </c>
      <c r="CO281" s="232">
        <f t="shared" si="3148"/>
        <v>3.2916413384454751E-2</v>
      </c>
      <c r="CP281" s="232">
        <f t="shared" si="3148"/>
        <v>3.7064538508477074E-2</v>
      </c>
      <c r="CQ281" s="232">
        <f t="shared" si="3148"/>
        <v>2.9970113963871503E-2</v>
      </c>
      <c r="CR281" s="232">
        <f t="shared" si="3148"/>
        <v>2.9857543728875214E-2</v>
      </c>
      <c r="CS281" s="232">
        <f t="shared" si="3148"/>
        <v>2.8523669909538692E-2</v>
      </c>
      <c r="CT281" s="232">
        <f t="shared" si="3148"/>
        <v>2.9790406336623457E-2</v>
      </c>
      <c r="CU281" s="232">
        <f t="shared" si="3148"/>
        <v>3.3258058036515888E-2</v>
      </c>
      <c r="CV281" s="232">
        <f t="shared" si="3148"/>
        <v>3.0360790309457816E-2</v>
      </c>
      <c r="CW281" s="232">
        <f t="shared" si="3148"/>
        <v>2.7658388552744256E-2</v>
      </c>
      <c r="CX281" s="232">
        <f t="shared" si="3148"/>
        <v>2.2268172742403006E-2</v>
      </c>
      <c r="CY281" s="232">
        <f t="shared" si="3148"/>
        <v>2.3487963811769104E-2</v>
      </c>
      <c r="CZ281" s="72"/>
      <c r="DA281" s="70"/>
      <c r="DB281" s="70"/>
      <c r="DC281" s="70"/>
      <c r="DD281" s="70"/>
      <c r="DE281" s="70"/>
      <c r="DF281" s="70"/>
      <c r="DG281" s="70"/>
      <c r="DH281" s="70"/>
      <c r="DI281" s="70"/>
    </row>
    <row r="282" spans="1:113" ht="12" hidden="1" outlineLevel="2">
      <c r="C282" s="345"/>
      <c r="D282" s="345"/>
      <c r="E282" s="345"/>
      <c r="F282" s="345"/>
      <c r="G282" s="345"/>
      <c r="H282" s="345"/>
      <c r="I282" s="345"/>
      <c r="J282" s="345"/>
      <c r="K282" s="345"/>
      <c r="L282" s="345"/>
      <c r="M282" s="35"/>
      <c r="N282" s="35"/>
      <c r="O282" s="35"/>
      <c r="P282" s="35"/>
      <c r="Q282" s="35"/>
      <c r="R282" s="35"/>
      <c r="S282" s="35"/>
      <c r="T282" s="35"/>
      <c r="U282" s="35"/>
      <c r="V282" s="35"/>
      <c r="W282" s="35"/>
      <c r="X282" s="35"/>
      <c r="Y282" s="37"/>
      <c r="Z282" s="37"/>
      <c r="AA282" s="37"/>
      <c r="AB282" s="37"/>
      <c r="AC282" s="37"/>
      <c r="AD282" s="37"/>
      <c r="AE282" s="37"/>
      <c r="AF282" s="357"/>
      <c r="AG282" s="357"/>
      <c r="AH282" s="357"/>
      <c r="AI282" s="357"/>
      <c r="AJ282" s="357"/>
      <c r="AK282" s="357"/>
      <c r="AL282" s="357"/>
      <c r="AM282" s="357"/>
      <c r="AN282" s="357"/>
      <c r="AO282" s="357"/>
      <c r="AP282" s="357"/>
      <c r="AQ282" s="357"/>
      <c r="AR282" s="357"/>
      <c r="AS282" s="357"/>
      <c r="AT282" s="357"/>
      <c r="AU282" s="357"/>
      <c r="AV282" s="357"/>
      <c r="AW282" s="357"/>
      <c r="AX282" s="357"/>
      <c r="AY282" s="348"/>
      <c r="AZ282" s="35"/>
      <c r="BA282" s="35"/>
      <c r="BB282" s="35"/>
      <c r="BC282" s="35"/>
      <c r="BD282" s="35"/>
      <c r="BE282" s="35"/>
      <c r="BF282" s="35"/>
      <c r="BG282" s="35"/>
      <c r="BH282" s="35"/>
      <c r="BI282" s="35"/>
      <c r="BJ282" s="35"/>
      <c r="BK282" s="35"/>
      <c r="BL282" s="35"/>
      <c r="BM282" s="35"/>
      <c r="BN282" s="35"/>
      <c r="BO282" s="35"/>
      <c r="BP282" s="35"/>
      <c r="BQ282" s="35"/>
      <c r="BR282" s="35"/>
      <c r="BS282" s="345"/>
      <c r="BT282" s="345"/>
      <c r="BU282" s="345"/>
      <c r="BV282" s="345"/>
      <c r="BW282" s="345"/>
      <c r="BX282" s="345"/>
      <c r="BY282" s="345"/>
      <c r="BZ282" s="345"/>
      <c r="CA282" s="345"/>
      <c r="CB282" s="345"/>
      <c r="CC282" s="35"/>
      <c r="CD282" s="35"/>
      <c r="CE282" s="35"/>
      <c r="CF282" s="35"/>
      <c r="CG282" s="35"/>
      <c r="CH282" s="35"/>
      <c r="CI282" s="35"/>
      <c r="CJ282" s="35"/>
      <c r="CK282" s="35"/>
      <c r="CL282" s="35"/>
      <c r="CM282" s="37"/>
      <c r="CN282" s="37"/>
      <c r="CO282" s="37"/>
      <c r="CP282" s="37"/>
      <c r="CQ282" s="37"/>
      <c r="CR282" s="37"/>
      <c r="CS282" s="37"/>
      <c r="CT282" s="37"/>
      <c r="CU282" s="37"/>
      <c r="CV282" s="37"/>
      <c r="CW282" s="37"/>
      <c r="CX282" s="37"/>
      <c r="CY282" s="37"/>
      <c r="CZ282" s="36"/>
      <c r="DA282" s="35"/>
      <c r="DB282" s="35"/>
      <c r="DC282" s="35"/>
      <c r="DD282" s="35"/>
      <c r="DE282" s="35"/>
      <c r="DF282" s="35"/>
      <c r="DG282" s="35"/>
      <c r="DH282" s="35"/>
      <c r="DI282" s="35"/>
    </row>
    <row r="283" spans="1:113" s="17" customFormat="1" ht="12" hidden="1" outlineLevel="2">
      <c r="A283" s="1"/>
      <c r="B283" s="17" t="s">
        <v>342</v>
      </c>
      <c r="C283" s="387"/>
      <c r="D283" s="387"/>
      <c r="E283" s="387"/>
      <c r="F283" s="387"/>
      <c r="G283" s="387"/>
      <c r="H283" s="387"/>
      <c r="I283" s="387"/>
      <c r="J283" s="387"/>
      <c r="K283" s="387"/>
      <c r="L283" s="387"/>
      <c r="M283" s="70"/>
      <c r="N283" s="70"/>
      <c r="O283" s="70"/>
      <c r="P283" s="70"/>
      <c r="Q283" s="70"/>
      <c r="R283" s="70"/>
      <c r="S283" s="70"/>
      <c r="T283" s="70"/>
      <c r="U283" s="70"/>
      <c r="V283" s="70"/>
      <c r="W283" s="70"/>
      <c r="X283" s="70"/>
      <c r="Y283" s="232"/>
      <c r="Z283" s="232"/>
      <c r="AA283" s="232"/>
      <c r="AB283" s="232"/>
      <c r="AC283" s="232"/>
      <c r="AD283" s="232"/>
      <c r="AE283" s="232"/>
      <c r="AF283" s="427"/>
      <c r="AG283" s="427"/>
      <c r="AH283" s="427"/>
      <c r="AI283" s="427"/>
      <c r="AJ283" s="427"/>
      <c r="AK283" s="427"/>
      <c r="AL283" s="427"/>
      <c r="AM283" s="427"/>
      <c r="AN283" s="427"/>
      <c r="AO283" s="427"/>
      <c r="AP283" s="427"/>
      <c r="AQ283" s="427"/>
      <c r="AR283" s="427"/>
      <c r="AS283" s="427"/>
      <c r="AT283" s="427"/>
      <c r="AU283" s="427"/>
      <c r="AV283" s="427"/>
      <c r="AW283" s="427"/>
      <c r="AX283" s="427"/>
      <c r="AY283" s="418"/>
      <c r="AZ283" s="70"/>
      <c r="BA283" s="70"/>
      <c r="BB283" s="70"/>
      <c r="BC283" s="70"/>
      <c r="BD283" s="70"/>
      <c r="BE283" s="70"/>
      <c r="BF283" s="70"/>
      <c r="BG283" s="70"/>
      <c r="BH283" s="70"/>
      <c r="BI283" s="70"/>
      <c r="BJ283" s="70"/>
      <c r="BK283" s="70"/>
      <c r="BL283" s="70"/>
      <c r="BM283" s="70"/>
      <c r="BN283" s="70"/>
      <c r="BO283" s="70"/>
      <c r="BP283" s="70"/>
      <c r="BQ283" s="70"/>
      <c r="BR283" s="70"/>
      <c r="BS283" s="387"/>
      <c r="BT283" s="387"/>
      <c r="BU283" s="387"/>
      <c r="BV283" s="387"/>
      <c r="BW283" s="387"/>
      <c r="BX283" s="387"/>
      <c r="BY283" s="387"/>
      <c r="BZ283" s="387"/>
      <c r="CA283" s="387"/>
      <c r="CB283" s="387"/>
      <c r="CC283" s="70"/>
      <c r="CD283" s="70"/>
      <c r="CE283" s="70"/>
      <c r="CF283" s="70"/>
      <c r="CG283" s="70"/>
      <c r="CH283" s="70"/>
      <c r="CI283" s="70"/>
      <c r="CJ283" s="70"/>
      <c r="CK283" s="70"/>
      <c r="CL283" s="70"/>
      <c r="CM283" s="232"/>
      <c r="CN283" s="232"/>
      <c r="CO283" s="232"/>
      <c r="CP283" s="232"/>
      <c r="CQ283" s="232"/>
      <c r="CR283" s="232"/>
      <c r="CS283" s="232"/>
      <c r="CT283" s="232"/>
      <c r="CU283" s="232"/>
      <c r="CV283" s="232"/>
      <c r="CW283" s="232"/>
      <c r="CX283" s="232"/>
      <c r="CY283" s="232"/>
      <c r="CZ283" s="72"/>
      <c r="DA283" s="70"/>
      <c r="DB283" s="70"/>
      <c r="DC283" s="70"/>
      <c r="DD283" s="70"/>
      <c r="DE283" s="70"/>
      <c r="DF283" s="70"/>
      <c r="DG283" s="70"/>
      <c r="DH283" s="70"/>
      <c r="DI283" s="70"/>
    </row>
    <row r="284" spans="1:113" ht="12" hidden="1" outlineLevel="2">
      <c r="A284" s="1" t="s">
        <v>147</v>
      </c>
      <c r="B284" s="15" t="s">
        <v>164</v>
      </c>
      <c r="C284" s="345"/>
      <c r="D284" s="345"/>
      <c r="E284" s="345"/>
      <c r="F284" s="345"/>
      <c r="G284" s="345"/>
      <c r="H284" s="345"/>
      <c r="I284" s="345"/>
      <c r="J284" s="345"/>
      <c r="K284" s="345"/>
      <c r="L284" s="345"/>
      <c r="M284" s="35"/>
      <c r="N284" s="35"/>
      <c r="O284" s="35"/>
      <c r="P284" s="35"/>
      <c r="Q284" s="35"/>
      <c r="R284" s="35"/>
      <c r="S284" s="35"/>
      <c r="T284" s="35"/>
      <c r="U284" s="35"/>
      <c r="V284" s="35"/>
      <c r="W284" s="35"/>
      <c r="X284" s="35"/>
      <c r="Y284" s="37"/>
      <c r="Z284" s="37"/>
      <c r="AA284" s="37"/>
      <c r="AB284" s="37"/>
      <c r="AC284" s="37"/>
      <c r="AD284" s="37"/>
      <c r="AE284" s="37"/>
      <c r="AF284" s="357"/>
      <c r="AG284" s="357"/>
      <c r="AH284" s="357"/>
      <c r="AI284" s="357"/>
      <c r="AJ284" s="357"/>
      <c r="AK284" s="357"/>
      <c r="AL284" s="357"/>
      <c r="AM284" s="357"/>
      <c r="AN284" s="357"/>
      <c r="AO284" s="357"/>
      <c r="AP284" s="357"/>
      <c r="AQ284" s="357"/>
      <c r="AR284" s="357"/>
      <c r="AS284" s="357"/>
      <c r="AT284" s="357"/>
      <c r="AU284" s="357"/>
      <c r="AV284" s="357"/>
      <c r="AW284" s="357"/>
      <c r="AX284" s="357"/>
      <c r="AY284" s="348"/>
      <c r="AZ284" s="35"/>
      <c r="BA284" s="35"/>
      <c r="BB284" s="35"/>
      <c r="BC284" s="35"/>
      <c r="BD284" s="35"/>
      <c r="BE284" s="35"/>
      <c r="BF284" s="35"/>
      <c r="BG284" s="35"/>
      <c r="BH284" s="35"/>
      <c r="BI284" s="35"/>
      <c r="BJ284" s="35"/>
      <c r="BK284" s="35"/>
      <c r="BL284" s="35"/>
      <c r="BM284" s="35"/>
      <c r="BN284" s="35"/>
      <c r="BO284" s="35"/>
      <c r="BP284" s="35"/>
      <c r="BQ284" s="35"/>
      <c r="BR284" s="35"/>
      <c r="BS284" s="345"/>
      <c r="BT284" s="345"/>
      <c r="BU284" s="345"/>
      <c r="BV284" s="345"/>
      <c r="BW284" s="345"/>
      <c r="BX284" s="345"/>
      <c r="BY284" s="345"/>
      <c r="BZ284" s="345"/>
      <c r="CA284" s="345"/>
      <c r="CB284" s="345"/>
      <c r="CC284" s="35"/>
      <c r="CD284" s="35"/>
      <c r="CE284" s="35"/>
      <c r="CF284" s="35"/>
      <c r="CG284" s="35"/>
      <c r="CH284" s="35"/>
      <c r="CI284" s="35"/>
      <c r="CJ284" s="35"/>
      <c r="CK284" s="35"/>
      <c r="CL284" s="35"/>
      <c r="CM284" s="37"/>
      <c r="CN284" s="37"/>
      <c r="CO284" s="37"/>
      <c r="CP284" s="37"/>
      <c r="CQ284" s="37"/>
      <c r="CR284" s="37"/>
      <c r="CS284" s="37"/>
      <c r="CT284" s="37"/>
      <c r="CU284" s="37"/>
      <c r="CV284" s="37"/>
      <c r="CW284" s="37"/>
      <c r="CX284" s="37"/>
      <c r="CY284" s="37"/>
      <c r="CZ284" s="36"/>
      <c r="DA284" s="35"/>
      <c r="DB284" s="35"/>
      <c r="DC284" s="35"/>
      <c r="DD284" s="35"/>
      <c r="DE284" s="35"/>
      <c r="DF284" s="35"/>
      <c r="DG284" s="35"/>
      <c r="DH284" s="35"/>
      <c r="DI284" s="35"/>
    </row>
    <row r="285" spans="1:113" ht="12" hidden="1" outlineLevel="2">
      <c r="A285" s="1" t="s">
        <v>148</v>
      </c>
      <c r="B285" s="15" t="s">
        <v>344</v>
      </c>
      <c r="C285" s="345"/>
      <c r="D285" s="345"/>
      <c r="E285" s="345"/>
      <c r="F285" s="345"/>
      <c r="G285" s="345"/>
      <c r="H285" s="345"/>
      <c r="I285" s="345"/>
      <c r="J285" s="345"/>
      <c r="K285" s="345"/>
      <c r="L285" s="345"/>
      <c r="M285" s="35"/>
      <c r="N285" s="35"/>
      <c r="O285" s="35"/>
      <c r="P285" s="35"/>
      <c r="Q285" s="35"/>
      <c r="R285" s="35"/>
      <c r="S285" s="35"/>
      <c r="T285" s="35"/>
      <c r="U285" s="35"/>
      <c r="V285" s="35"/>
      <c r="W285" s="35"/>
      <c r="X285" s="35"/>
      <c r="Y285" s="37"/>
      <c r="Z285" s="37"/>
      <c r="AA285" s="37"/>
      <c r="AB285" s="37"/>
      <c r="AC285" s="37"/>
      <c r="AD285" s="37"/>
      <c r="AE285" s="37"/>
      <c r="AF285" s="357"/>
      <c r="AG285" s="357"/>
      <c r="AH285" s="357"/>
      <c r="AI285" s="357"/>
      <c r="AJ285" s="426"/>
      <c r="AK285" s="426"/>
      <c r="AL285" s="426"/>
      <c r="AM285" s="426"/>
      <c r="AN285" s="426"/>
      <c r="AO285" s="426"/>
      <c r="AP285" s="426"/>
      <c r="AQ285" s="426"/>
      <c r="AR285" s="426"/>
      <c r="AS285" s="426"/>
      <c r="AT285" s="426"/>
      <c r="AU285" s="426"/>
      <c r="AV285" s="426"/>
      <c r="AW285" s="426"/>
      <c r="AX285" s="426"/>
      <c r="AY285" s="417"/>
      <c r="AZ285" s="35"/>
      <c r="BA285" s="35"/>
      <c r="BB285" s="35"/>
      <c r="BC285" s="35"/>
      <c r="BD285" s="35"/>
      <c r="BE285" s="35"/>
      <c r="BF285" s="35"/>
      <c r="BG285" s="35"/>
      <c r="BH285" s="35"/>
      <c r="BI285" s="35"/>
      <c r="BJ285" s="35"/>
      <c r="BK285" s="35"/>
      <c r="BL285" s="35"/>
      <c r="BM285" s="35"/>
      <c r="BN285" s="35"/>
      <c r="BO285" s="35"/>
      <c r="BP285" s="35"/>
      <c r="BQ285" s="35"/>
      <c r="BR285" s="35"/>
      <c r="BS285" s="345"/>
      <c r="BT285" s="345"/>
      <c r="BU285" s="345"/>
      <c r="BV285" s="345"/>
      <c r="BW285" s="345"/>
      <c r="BX285" s="345"/>
      <c r="BY285" s="345"/>
      <c r="BZ285" s="345"/>
      <c r="CA285" s="345"/>
      <c r="CB285" s="345"/>
      <c r="CC285" s="35"/>
      <c r="CD285" s="35"/>
      <c r="CE285" s="35"/>
      <c r="CF285" s="35"/>
      <c r="CG285" s="35"/>
      <c r="CH285" s="35"/>
      <c r="CI285" s="35"/>
      <c r="CJ285" s="35"/>
      <c r="CK285" s="35"/>
      <c r="CL285" s="35"/>
      <c r="CM285" s="37"/>
      <c r="CN285" s="37"/>
      <c r="CO285" s="37"/>
      <c r="CP285" s="37"/>
      <c r="CQ285" s="37"/>
      <c r="CR285" s="37"/>
      <c r="CS285" s="37"/>
      <c r="CT285" s="37"/>
      <c r="CU285" s="37"/>
      <c r="CV285" s="37"/>
      <c r="CW285" s="37"/>
      <c r="CX285" s="37"/>
      <c r="CY285" s="37"/>
      <c r="CZ285" s="36"/>
      <c r="DA285" s="35"/>
      <c r="DB285" s="35"/>
      <c r="DC285" s="35"/>
      <c r="DD285" s="35"/>
      <c r="DE285" s="35"/>
      <c r="DF285" s="35"/>
      <c r="DG285" s="35"/>
      <c r="DH285" s="35"/>
      <c r="DI285" s="35"/>
    </row>
    <row r="286" spans="1:113" s="17" customFormat="1" ht="12" hidden="1" outlineLevel="2">
      <c r="A286" s="1" t="s">
        <v>149</v>
      </c>
      <c r="B286" s="17" t="s">
        <v>168</v>
      </c>
      <c r="C286" s="386">
        <f>((986-537)*C$5/C229)-C$318</f>
        <v>9.5885334255908089E-3</v>
      </c>
      <c r="D286" s="386">
        <f>(335*D$5/D229)-D$318</f>
        <v>3.7236379496832783E-4</v>
      </c>
      <c r="E286" s="386">
        <f>((627-335)*E$5/E229)-E$318</f>
        <v>-4.6810509694068594E-3</v>
      </c>
      <c r="F286" s="386">
        <f>(276*F$5/F229)-F$318</f>
        <v>-6.5356540057738416E-3</v>
      </c>
      <c r="G286" s="386">
        <f>((503-276)*G$5/G229)-G$318</f>
        <v>-7.2832003079605009E-3</v>
      </c>
      <c r="H286" s="386">
        <f>(213*H$5/H229)-H$318</f>
        <v>-1.0401628292885289E-2</v>
      </c>
      <c r="I286" s="386">
        <f>((421-213)*I$5/I229)-I$318</f>
        <v>-1.3144278212066547E-2</v>
      </c>
      <c r="J286" s="386">
        <f>((248+1)*J$5/J229)-J$318</f>
        <v>-2.3237954937958619E-3</v>
      </c>
      <c r="K286" s="386">
        <f>((522+2-248-1)*K$5/K229)-K$318</f>
        <v>5.8062197920437306E-3</v>
      </c>
      <c r="L286" s="386">
        <f>((308+4)*L$5/L229)-L$318</f>
        <v>1.0622775738070529E-2</v>
      </c>
      <c r="M286" s="71">
        <f>((363+7)*M$5/M229)-M$318</f>
        <v>1.2477289218315986E-2</v>
      </c>
      <c r="N286" s="71">
        <f>((377+7)*N$5/N229)-N$318</f>
        <v>1.0324431909701628E-2</v>
      </c>
      <c r="O286" s="71">
        <f>((384+11)*O$5/O229)-O$318</f>
        <v>6.10259330138406E-3</v>
      </c>
      <c r="P286" s="71">
        <f>((530+11)*P$5/P229)-P$318</f>
        <v>-9.2497083531606211E-3</v>
      </c>
      <c r="Q286" s="71">
        <f>((510+12)*Q$5/Q229)-Q$318</f>
        <v>-2.041613103834479E-2</v>
      </c>
      <c r="R286" s="71">
        <f>((649+9)*R$5/R229)-R$318</f>
        <v>1.1173555854634927E-2</v>
      </c>
      <c r="S286" s="71">
        <f>((440+3)*S$5/S229)-S$318</f>
        <v>1.1607317800999148E-2</v>
      </c>
      <c r="T286" s="71">
        <f>(457*T$5/T229)-T$318</f>
        <v>6.6482579059431932E-3</v>
      </c>
      <c r="U286" s="71">
        <f>(643*U$5/U229)-U$318</f>
        <v>2.4903265573122113E-3</v>
      </c>
      <c r="V286" s="71">
        <f>(702*V$5/V229)-V$318</f>
        <v>-2.9406400515149742E-3</v>
      </c>
      <c r="W286" s="71">
        <f>(724*W$5/W229)-W$318</f>
        <v>-8.3049601524219988E-3</v>
      </c>
      <c r="X286" s="71">
        <f>(850*X$5/X229)-X$318</f>
        <v>-2.2502871161361321E-3</v>
      </c>
      <c r="Y286" s="231">
        <f>(915*Y$5/Y229)-Y$318</f>
        <v>4.7912214119553778E-3</v>
      </c>
      <c r="Z286" s="339">
        <f>(965*Z$5/Z229)-Z$318</f>
        <v>2.6591672439657647E-3</v>
      </c>
      <c r="AA286" s="339">
        <f>(1058*AA$5/AA229)-AA$318</f>
        <v>3.128004222910815E-3</v>
      </c>
      <c r="AB286" s="339">
        <f>(1126*AB$5/AB229)-AB$318</f>
        <v>3.435093557892184E-3</v>
      </c>
      <c r="AC286" s="339">
        <f>(1119*AC$5/AC229)-AC$318</f>
        <v>1.527937461283168E-3</v>
      </c>
      <c r="AD286" s="339">
        <f>(1238*AD$5/AD229)-AD$318</f>
        <v>2.8162917373022803E-3</v>
      </c>
      <c r="AE286" s="339">
        <f>(1317*AE$5/AE229)-AE$318</f>
        <v>8.5831381498048601E-3</v>
      </c>
      <c r="AF286" s="426">
        <f>(1296*AF$5/AF229)-AF$318</f>
        <v>1.0069136505126454E-2</v>
      </c>
      <c r="AG286" s="426">
        <f>(1141*AG$5/AG229)-AG$318</f>
        <v>1.3454678002088556E-2</v>
      </c>
      <c r="AH286" s="426">
        <f>(1093*AH$5/AH229)-AH$318</f>
        <v>1.6160852156996159E-2</v>
      </c>
      <c r="AI286" s="426">
        <f>(1048*AI$5/AI229)-AI$318</f>
        <v>1.768563990970112E-2</v>
      </c>
      <c r="AJ286" s="426">
        <f>(977*AJ$5/AJ229)-AJ$318</f>
        <v>1.7149157187445627E-2</v>
      </c>
      <c r="AK286" s="426">
        <f>(1158*AK$5/AK229)-AK$318</f>
        <v>1.9269700269789164E-2</v>
      </c>
      <c r="AL286" s="426">
        <f>(1456*AL$5/AL229)-AL$318</f>
        <v>2.8053487661763483E-2</v>
      </c>
      <c r="AM286" s="426">
        <f>(1469*AM$5/AM229)-AM$318</f>
        <v>3.3487610386939003E-2</v>
      </c>
      <c r="AN286" s="426">
        <f>(1339*AN$5/AN229)-AN$318</f>
        <v>3.1728575902000844E-2</v>
      </c>
      <c r="AO286" s="426">
        <f>(1339*AO$5/AO229)-AO$318</f>
        <v>3.9716981235716264E-2</v>
      </c>
      <c r="AP286" s="426">
        <f>(581*AP$5/AP229)-AP$318</f>
        <v>2.1466187416678318E-2</v>
      </c>
      <c r="AQ286" s="426">
        <f>(557*AQ$5/AQ229)-AQ$318</f>
        <v>1.8736891958052421E-2</v>
      </c>
      <c r="AR286" s="426">
        <f>(689*AR$5/AR229)-AR$318</f>
        <v>1.9158116956915234E-2</v>
      </c>
      <c r="AS286" s="426">
        <f>(1260*AS$5/AS229)-AS$318</f>
        <v>1.6016208693711727E-2</v>
      </c>
      <c r="AT286" s="426">
        <f>(2588*AT$5/AT229)-AT$318</f>
        <v>3.1615302353130648E-2</v>
      </c>
      <c r="AU286" s="426">
        <f>(2670*AU$5/AU229)-AU$318</f>
        <v>2.7803620827931461E-2</v>
      </c>
      <c r="AV286" s="426">
        <f>(2553*AV$5/AV229)-AV$318</f>
        <v>2.541999970192891E-2</v>
      </c>
      <c r="AW286" s="426">
        <f>(2525*AW$5/AW229)-AW$318</f>
        <v>2.4155122060389486E-2</v>
      </c>
      <c r="AX286" s="426">
        <f>(2605*AX$5/AX229)-AX$318</f>
        <v>2.0503387348151048E-2</v>
      </c>
      <c r="AY286" s="417"/>
      <c r="AZ286" s="70"/>
      <c r="BA286" s="70"/>
      <c r="BB286" s="70"/>
      <c r="BC286" s="70"/>
      <c r="BD286" s="70"/>
      <c r="BE286" s="70"/>
      <c r="BF286" s="70"/>
      <c r="BG286" s="70"/>
      <c r="BH286" s="70"/>
      <c r="BI286" s="70"/>
      <c r="BJ286" s="70"/>
      <c r="BK286" s="70"/>
      <c r="BL286" s="70"/>
      <c r="BM286" s="70"/>
      <c r="BN286" s="70"/>
      <c r="BO286" s="70"/>
      <c r="BP286" s="70"/>
      <c r="BQ286" s="70"/>
      <c r="BR286" s="70"/>
      <c r="BS286" s="396">
        <f>(1702.9*(743/(714+743))*BS$5/BS229)-BS$318</f>
        <v>2.757688094330818E-2</v>
      </c>
      <c r="BT286" s="396">
        <f>(1463*(743/(714+743))*BT$5/BT229)-BT$318</f>
        <v>2.7703139643852841E-2</v>
      </c>
      <c r="BU286" s="386">
        <f>(743*BU$5/BU229)-BU$318</f>
        <v>2.661245268138801E-2</v>
      </c>
      <c r="BV286" s="386">
        <f>(922*BV$5/BV229)-BV$318</f>
        <v>1.2680892643589001E-2</v>
      </c>
      <c r="BW286" s="386">
        <f>(1080*BW$5/BW229)-BW$318</f>
        <v>1.8097041914471812E-2</v>
      </c>
      <c r="BX286" s="386">
        <f>(1249*BX$5/BX229)-BX$318</f>
        <v>2.8740880939314956E-2</v>
      </c>
      <c r="BY286" s="386">
        <f>(1484*BY$5/BY229)-BY$318</f>
        <v>3.3952681522854196E-2</v>
      </c>
      <c r="BZ286" s="386">
        <f>(1411*BZ$5/BZ229)-BZ$318</f>
        <v>3.4556543415297306E-2</v>
      </c>
      <c r="CA286" s="386">
        <f>(1428*CA$5/CA229)-CA$318</f>
        <v>2.3629806546415395E-2</v>
      </c>
      <c r="CB286" s="386">
        <f>(986*CB$5/CB229)-CB$318</f>
        <v>1.1184278517929309E-2</v>
      </c>
      <c r="CC286" s="70">
        <f t="shared" ref="CC286:CY286" si="3149">CC344/CC229*CC$5</f>
        <v>-1.9587356525240262E-3</v>
      </c>
      <c r="CD286" s="70">
        <f t="shared" si="3149"/>
        <v>-6.8735963192878384E-3</v>
      </c>
      <c r="CE286" s="70">
        <f t="shared" si="3149"/>
        <v>-1.1796437716615697E-2</v>
      </c>
      <c r="CF286" s="70">
        <f t="shared" si="3149"/>
        <v>1.6271712920302081E-3</v>
      </c>
      <c r="CG286" s="70">
        <f t="shared" si="3149"/>
        <v>1.1591793289030237E-2</v>
      </c>
      <c r="CH286" s="70">
        <f t="shared" si="3149"/>
        <v>8.1505392962037699E-3</v>
      </c>
      <c r="CI286" s="70">
        <f t="shared" si="3149"/>
        <v>-1.5111420160201337E-2</v>
      </c>
      <c r="CJ286" s="70">
        <f t="shared" si="3149"/>
        <v>1.1369466520655852E-2</v>
      </c>
      <c r="CK286" s="70">
        <f t="shared" si="3149"/>
        <v>3.974264537195976E-3</v>
      </c>
      <c r="CL286" s="70">
        <f t="shared" si="3149"/>
        <v>-5.8354979102367621E-3</v>
      </c>
      <c r="CM286" s="232">
        <f t="shared" si="3149"/>
        <v>1.4586663974374234E-3</v>
      </c>
      <c r="CN286" s="232">
        <f t="shared" si="3149"/>
        <v>2.9146238006446303E-3</v>
      </c>
      <c r="CO286" s="232">
        <f t="shared" si="3149"/>
        <v>2.4633164309144991E-3</v>
      </c>
      <c r="CP286" s="232">
        <f t="shared" si="3149"/>
        <v>5.7195094431976793E-3</v>
      </c>
      <c r="CQ286" s="232">
        <f t="shared" si="3149"/>
        <v>1.164855752113623E-2</v>
      </c>
      <c r="CR286" s="232">
        <f t="shared" si="3149"/>
        <v>1.6895888322293717E-2</v>
      </c>
      <c r="CS286" s="232">
        <f t="shared" si="3149"/>
        <v>1.8238356062139915E-2</v>
      </c>
      <c r="CT286" s="232">
        <f t="shared" si="3149"/>
        <v>3.0826680115332503E-2</v>
      </c>
      <c r="CU286" s="232">
        <f t="shared" si="3149"/>
        <v>3.5683646320458111E-2</v>
      </c>
      <c r="CV286" s="232">
        <f t="shared" si="3149"/>
        <v>2.0040498553544884E-2</v>
      </c>
      <c r="CW286" s="232">
        <f t="shared" si="3149"/>
        <v>1.7509204881122321E-2</v>
      </c>
      <c r="CX286" s="232">
        <f t="shared" si="3149"/>
        <v>2.9738747481636022E-2</v>
      </c>
      <c r="CY286" s="232">
        <f t="shared" si="3149"/>
        <v>2.4788755978294E-2</v>
      </c>
      <c r="CZ286" s="72"/>
      <c r="DA286" s="70"/>
      <c r="DB286" s="70"/>
      <c r="DC286" s="70"/>
      <c r="DD286" s="70"/>
      <c r="DE286" s="70"/>
      <c r="DF286" s="70"/>
      <c r="DG286" s="70"/>
      <c r="DH286" s="70"/>
      <c r="DI286" s="70"/>
    </row>
    <row r="287" spans="1:113" ht="12" hidden="1" outlineLevel="2">
      <c r="C287" s="345"/>
      <c r="D287" s="345"/>
      <c r="E287" s="345"/>
      <c r="F287" s="345"/>
      <c r="G287" s="345"/>
      <c r="H287" s="345"/>
      <c r="I287" s="345"/>
      <c r="J287" s="345"/>
      <c r="K287" s="345"/>
      <c r="L287" s="345"/>
      <c r="M287" s="35"/>
      <c r="N287" s="35"/>
      <c r="O287" s="35"/>
      <c r="P287" s="35"/>
      <c r="Q287" s="35"/>
      <c r="R287" s="35"/>
      <c r="S287" s="35"/>
      <c r="T287" s="35"/>
      <c r="U287" s="35"/>
      <c r="V287" s="35"/>
      <c r="W287" s="35"/>
      <c r="X287" s="35"/>
      <c r="Y287" s="37"/>
      <c r="Z287" s="37"/>
      <c r="AA287" s="37"/>
      <c r="AB287" s="37"/>
      <c r="AC287" s="37"/>
      <c r="AD287" s="37"/>
      <c r="AE287" s="37"/>
      <c r="AF287" s="37"/>
      <c r="AG287" s="37"/>
      <c r="AH287" s="357"/>
      <c r="AI287" s="357"/>
      <c r="AJ287" s="37"/>
      <c r="AK287" s="37"/>
      <c r="AL287" s="37"/>
      <c r="AM287" s="37"/>
      <c r="AN287" s="37"/>
      <c r="AO287" s="37"/>
      <c r="AP287" s="37"/>
      <c r="AQ287" s="37"/>
      <c r="AR287" s="37"/>
      <c r="AS287" s="37"/>
      <c r="AT287" s="37"/>
      <c r="AU287" s="37"/>
      <c r="AV287" s="37"/>
      <c r="AW287" s="37"/>
      <c r="AX287" s="37"/>
      <c r="AY287" s="36"/>
      <c r="AZ287" s="35"/>
      <c r="BA287" s="35"/>
      <c r="BB287" s="35"/>
      <c r="BC287" s="35"/>
      <c r="BD287" s="35"/>
      <c r="BE287" s="35"/>
      <c r="BF287" s="35"/>
      <c r="BG287" s="35"/>
      <c r="BH287" s="35"/>
      <c r="BI287" s="35"/>
      <c r="BJ287" s="35"/>
      <c r="BK287" s="35"/>
      <c r="BL287" s="35"/>
      <c r="BM287" s="35"/>
      <c r="BN287" s="35"/>
      <c r="BO287" s="35"/>
      <c r="BP287" s="35"/>
      <c r="BQ287" s="35"/>
      <c r="BR287" s="35"/>
      <c r="BS287" s="345"/>
      <c r="BT287" s="345"/>
      <c r="BU287" s="345"/>
      <c r="BV287" s="345"/>
      <c r="BW287" s="345"/>
      <c r="BX287" s="345"/>
      <c r="BY287" s="345"/>
      <c r="BZ287" s="345"/>
      <c r="CA287" s="345"/>
      <c r="CB287" s="345"/>
      <c r="CC287" s="35"/>
      <c r="CD287" s="35"/>
      <c r="CE287" s="35"/>
      <c r="CF287" s="35"/>
      <c r="CG287" s="35"/>
      <c r="CH287" s="35"/>
      <c r="CI287" s="35"/>
      <c r="CJ287" s="35"/>
      <c r="CK287" s="35"/>
      <c r="CL287" s="35"/>
      <c r="CM287" s="37"/>
      <c r="CN287" s="37"/>
      <c r="CO287" s="37"/>
      <c r="CP287" s="37"/>
      <c r="CQ287" s="37"/>
      <c r="CR287" s="37"/>
      <c r="CS287" s="37"/>
      <c r="CT287" s="37"/>
      <c r="CU287" s="37"/>
      <c r="CV287" s="37"/>
      <c r="CW287" s="37"/>
      <c r="CX287" s="37"/>
      <c r="CY287" s="37"/>
      <c r="CZ287" s="36"/>
      <c r="DA287" s="35"/>
      <c r="DB287" s="35"/>
      <c r="DC287" s="35"/>
      <c r="DD287" s="35"/>
      <c r="DE287" s="35"/>
      <c r="DF287" s="35"/>
      <c r="DG287" s="35"/>
      <c r="DH287" s="35"/>
      <c r="DI287" s="35"/>
    </row>
    <row r="288" spans="1:113" s="17" customFormat="1" ht="12" hidden="1" outlineLevel="2">
      <c r="A288" s="1"/>
      <c r="B288" s="17" t="s">
        <v>343</v>
      </c>
      <c r="C288" s="387"/>
      <c r="D288" s="387"/>
      <c r="E288" s="387"/>
      <c r="F288" s="387"/>
      <c r="G288" s="387"/>
      <c r="H288" s="387"/>
      <c r="I288" s="387"/>
      <c r="J288" s="387"/>
      <c r="K288" s="387"/>
      <c r="L288" s="387"/>
      <c r="M288" s="70"/>
      <c r="N288" s="70"/>
      <c r="O288" s="70"/>
      <c r="P288" s="70"/>
      <c r="Q288" s="70"/>
      <c r="R288" s="70"/>
      <c r="S288" s="70"/>
      <c r="T288" s="70"/>
      <c r="U288" s="70"/>
      <c r="V288" s="70"/>
      <c r="W288" s="70"/>
      <c r="X288" s="70"/>
      <c r="Y288" s="232"/>
      <c r="Z288" s="232"/>
      <c r="AA288" s="232"/>
      <c r="AB288" s="232"/>
      <c r="AC288" s="232"/>
      <c r="AD288" s="232"/>
      <c r="AE288" s="232"/>
      <c r="AF288" s="232"/>
      <c r="AG288" s="232"/>
      <c r="AH288" s="427"/>
      <c r="AI288" s="427"/>
      <c r="AJ288" s="232"/>
      <c r="AK288" s="232"/>
      <c r="AL288" s="232"/>
      <c r="AM288" s="232"/>
      <c r="AN288" s="232"/>
      <c r="AO288" s="232"/>
      <c r="AP288" s="232"/>
      <c r="AQ288" s="232"/>
      <c r="AR288" s="232"/>
      <c r="AS288" s="232"/>
      <c r="AT288" s="232"/>
      <c r="AU288" s="232"/>
      <c r="AV288" s="232"/>
      <c r="AW288" s="232"/>
      <c r="AX288" s="232"/>
      <c r="AY288" s="72"/>
      <c r="AZ288" s="70"/>
      <c r="BA288" s="70"/>
      <c r="BB288" s="70"/>
      <c r="BC288" s="70"/>
      <c r="BD288" s="70"/>
      <c r="BE288" s="70"/>
      <c r="BF288" s="70"/>
      <c r="BG288" s="70"/>
      <c r="BH288" s="70"/>
      <c r="BI288" s="70"/>
      <c r="BJ288" s="70"/>
      <c r="BK288" s="70"/>
      <c r="BL288" s="70"/>
      <c r="BM288" s="70"/>
      <c r="BN288" s="70"/>
      <c r="BO288" s="70"/>
      <c r="BP288" s="70"/>
      <c r="BQ288" s="70"/>
      <c r="BR288" s="70"/>
      <c r="BS288" s="387"/>
      <c r="BT288" s="387"/>
      <c r="BU288" s="387"/>
      <c r="BV288" s="387"/>
      <c r="BW288" s="387"/>
      <c r="BX288" s="387"/>
      <c r="BY288" s="387"/>
      <c r="BZ288" s="387"/>
      <c r="CA288" s="387"/>
      <c r="CB288" s="387"/>
      <c r="CC288" s="70"/>
      <c r="CD288" s="70"/>
      <c r="CE288" s="70"/>
      <c r="CF288" s="70"/>
      <c r="CG288" s="70"/>
      <c r="CH288" s="70"/>
      <c r="CI288" s="70"/>
      <c r="CJ288" s="70"/>
      <c r="CK288" s="70"/>
      <c r="CL288" s="70"/>
      <c r="CM288" s="232"/>
      <c r="CN288" s="232"/>
      <c r="CO288" s="232"/>
      <c r="CP288" s="232"/>
      <c r="CQ288" s="232"/>
      <c r="CR288" s="232"/>
      <c r="CS288" s="232"/>
      <c r="CT288" s="232"/>
      <c r="CU288" s="232"/>
      <c r="CV288" s="232"/>
      <c r="CW288" s="232"/>
      <c r="CX288" s="232"/>
      <c r="CY288" s="232"/>
      <c r="CZ288" s="72"/>
      <c r="DA288" s="70"/>
      <c r="DB288" s="70"/>
      <c r="DC288" s="70"/>
      <c r="DD288" s="70"/>
      <c r="DE288" s="70"/>
      <c r="DF288" s="70"/>
      <c r="DG288" s="70"/>
      <c r="DH288" s="70"/>
      <c r="DI288" s="70"/>
    </row>
    <row r="289" spans="1:113" ht="12" hidden="1" outlineLevel="2">
      <c r="A289" s="1" t="s">
        <v>150</v>
      </c>
      <c r="B289" s="15" t="s">
        <v>164</v>
      </c>
      <c r="C289" s="345"/>
      <c r="D289" s="345"/>
      <c r="E289" s="345"/>
      <c r="F289" s="345"/>
      <c r="G289" s="345"/>
      <c r="H289" s="345"/>
      <c r="I289" s="345"/>
      <c r="J289" s="345"/>
      <c r="K289" s="345"/>
      <c r="L289" s="345"/>
      <c r="M289" s="35"/>
      <c r="N289" s="35"/>
      <c r="O289" s="35"/>
      <c r="P289" s="35"/>
      <c r="Q289" s="35"/>
      <c r="R289" s="35"/>
      <c r="S289" s="35"/>
      <c r="T289" s="35"/>
      <c r="U289" s="35"/>
      <c r="V289" s="35"/>
      <c r="W289" s="35"/>
      <c r="X289" s="35"/>
      <c r="Y289" s="37"/>
      <c r="Z289" s="37"/>
      <c r="AA289" s="37"/>
      <c r="AB289" s="37"/>
      <c r="AC289" s="37"/>
      <c r="AD289" s="37"/>
      <c r="AE289" s="37"/>
      <c r="AF289" s="37"/>
      <c r="AG289" s="37"/>
      <c r="AH289" s="357"/>
      <c r="AI289" s="357"/>
      <c r="AJ289" s="37"/>
      <c r="AK289" s="37"/>
      <c r="AL289" s="37"/>
      <c r="AM289" s="37"/>
      <c r="AN289" s="37"/>
      <c r="AO289" s="37"/>
      <c r="AP289" s="37"/>
      <c r="AQ289" s="37"/>
      <c r="AR289" s="37"/>
      <c r="AS289" s="37"/>
      <c r="AT289" s="37"/>
      <c r="AU289" s="37"/>
      <c r="AV289" s="37"/>
      <c r="AW289" s="37"/>
      <c r="AX289" s="37"/>
      <c r="AY289" s="36"/>
      <c r="AZ289" s="35"/>
      <c r="BA289" s="35"/>
      <c r="BB289" s="35"/>
      <c r="BC289" s="35"/>
      <c r="BD289" s="35"/>
      <c r="BE289" s="35"/>
      <c r="BF289" s="35"/>
      <c r="BG289" s="35"/>
      <c r="BH289" s="35"/>
      <c r="BI289" s="35"/>
      <c r="BJ289" s="35"/>
      <c r="BK289" s="35"/>
      <c r="BL289" s="35"/>
      <c r="BM289" s="35"/>
      <c r="BN289" s="35"/>
      <c r="BO289" s="35"/>
      <c r="BP289" s="35"/>
      <c r="BQ289" s="35"/>
      <c r="BR289" s="35"/>
      <c r="BS289" s="345"/>
      <c r="BT289" s="345"/>
      <c r="BU289" s="345"/>
      <c r="BV289" s="345"/>
      <c r="BW289" s="345"/>
      <c r="BX289" s="345"/>
      <c r="BY289" s="345"/>
      <c r="BZ289" s="345"/>
      <c r="CA289" s="345"/>
      <c r="CB289" s="345"/>
      <c r="CC289" s="35"/>
      <c r="CD289" s="35"/>
      <c r="CE289" s="35"/>
      <c r="CF289" s="35"/>
      <c r="CG289" s="35"/>
      <c r="CH289" s="35"/>
      <c r="CI289" s="35"/>
      <c r="CJ289" s="35"/>
      <c r="CK289" s="35"/>
      <c r="CL289" s="35"/>
      <c r="CM289" s="37"/>
      <c r="CN289" s="37"/>
      <c r="CO289" s="37"/>
      <c r="CP289" s="37"/>
      <c r="CQ289" s="37"/>
      <c r="CR289" s="37"/>
      <c r="CS289" s="37"/>
      <c r="CT289" s="37"/>
      <c r="CU289" s="37"/>
      <c r="CV289" s="37"/>
      <c r="CW289" s="37"/>
      <c r="CX289" s="37"/>
      <c r="CY289" s="37"/>
      <c r="CZ289" s="36"/>
      <c r="DA289" s="35"/>
      <c r="DB289" s="35"/>
      <c r="DC289" s="35"/>
      <c r="DD289" s="35"/>
      <c r="DE289" s="35"/>
      <c r="DF289" s="35"/>
      <c r="DG289" s="35"/>
      <c r="DH289" s="35"/>
      <c r="DI289" s="35"/>
    </row>
    <row r="290" spans="1:113" ht="12" hidden="1" outlineLevel="2">
      <c r="A290" s="1" t="s">
        <v>151</v>
      </c>
      <c r="B290" s="15" t="s">
        <v>344</v>
      </c>
      <c r="C290" s="345"/>
      <c r="D290" s="345"/>
      <c r="E290" s="345"/>
      <c r="F290" s="345"/>
      <c r="G290" s="345"/>
      <c r="H290" s="345"/>
      <c r="I290" s="345"/>
      <c r="J290" s="345"/>
      <c r="K290" s="345"/>
      <c r="L290" s="345"/>
      <c r="M290" s="35"/>
      <c r="N290" s="35"/>
      <c r="O290" s="35"/>
      <c r="P290" s="35"/>
      <c r="Q290" s="35"/>
      <c r="R290" s="35"/>
      <c r="S290" s="35"/>
      <c r="T290" s="35"/>
      <c r="U290" s="35"/>
      <c r="V290" s="35"/>
      <c r="W290" s="35"/>
      <c r="X290" s="35"/>
      <c r="Y290" s="37"/>
      <c r="Z290" s="37"/>
      <c r="AA290" s="37"/>
      <c r="AB290" s="37"/>
      <c r="AC290" s="37"/>
      <c r="AD290" s="37"/>
      <c r="AE290" s="37"/>
      <c r="AF290" s="37"/>
      <c r="AG290" s="37"/>
      <c r="AH290" s="357"/>
      <c r="AI290" s="357"/>
      <c r="AJ290" s="37"/>
      <c r="AK290" s="37"/>
      <c r="AL290" s="37"/>
      <c r="AM290" s="37"/>
      <c r="AN290" s="37"/>
      <c r="AO290" s="37"/>
      <c r="AP290" s="37"/>
      <c r="AQ290" s="37"/>
      <c r="AR290" s="37"/>
      <c r="AS290" s="37"/>
      <c r="AT290" s="37"/>
      <c r="AU290" s="37"/>
      <c r="AV290" s="37"/>
      <c r="AW290" s="37"/>
      <c r="AX290" s="37"/>
      <c r="AY290" s="36"/>
      <c r="AZ290" s="35"/>
      <c r="BA290" s="35"/>
      <c r="BB290" s="35"/>
      <c r="BC290" s="35"/>
      <c r="BD290" s="35"/>
      <c r="BE290" s="35"/>
      <c r="BF290" s="35"/>
      <c r="BG290" s="35"/>
      <c r="BH290" s="35"/>
      <c r="BI290" s="35"/>
      <c r="BJ290" s="35"/>
      <c r="BK290" s="35"/>
      <c r="BL290" s="35"/>
      <c r="BM290" s="35"/>
      <c r="BN290" s="35"/>
      <c r="BO290" s="35"/>
      <c r="BP290" s="35"/>
      <c r="BQ290" s="35"/>
      <c r="BR290" s="35"/>
      <c r="BS290" s="345"/>
      <c r="BT290" s="345"/>
      <c r="BU290" s="345"/>
      <c r="BV290" s="345"/>
      <c r="BW290" s="345"/>
      <c r="BX290" s="345"/>
      <c r="BY290" s="345"/>
      <c r="BZ290" s="345"/>
      <c r="CA290" s="345"/>
      <c r="CB290" s="345"/>
      <c r="CC290" s="35"/>
      <c r="CD290" s="35"/>
      <c r="CE290" s="35"/>
      <c r="CF290" s="35"/>
      <c r="CG290" s="35"/>
      <c r="CH290" s="35"/>
      <c r="CI290" s="35"/>
      <c r="CJ290" s="35"/>
      <c r="CK290" s="35"/>
      <c r="CL290" s="35"/>
      <c r="CM290" s="37"/>
      <c r="CN290" s="37"/>
      <c r="CO290" s="37"/>
      <c r="CP290" s="37"/>
      <c r="CQ290" s="37"/>
      <c r="CR290" s="37"/>
      <c r="CS290" s="37"/>
      <c r="CT290" s="37"/>
      <c r="CU290" s="37"/>
      <c r="CV290" s="37"/>
      <c r="CW290" s="37"/>
      <c r="CX290" s="37"/>
      <c r="CY290" s="37"/>
      <c r="CZ290" s="36"/>
      <c r="DA290" s="35"/>
      <c r="DB290" s="35"/>
      <c r="DC290" s="35"/>
      <c r="DD290" s="35"/>
      <c r="DE290" s="35"/>
      <c r="DF290" s="35"/>
      <c r="DG290" s="35"/>
      <c r="DH290" s="35"/>
      <c r="DI290" s="35"/>
    </row>
    <row r="291" spans="1:113" s="17" customFormat="1" ht="12" hidden="1" outlineLevel="2">
      <c r="A291" s="1" t="s">
        <v>69</v>
      </c>
      <c r="B291" s="17" t="s">
        <v>584</v>
      </c>
      <c r="C291" s="387">
        <f t="shared" ref="C291:AC291" si="3150">SUM(C276*C219,C281*C224,C286*C229)/C234</f>
        <v>1.3371065614339596E-2</v>
      </c>
      <c r="D291" s="387">
        <f t="shared" si="3150"/>
        <v>1.3101921767652966E-2</v>
      </c>
      <c r="E291" s="387">
        <f t="shared" si="3150"/>
        <v>9.9468725524746587E-3</v>
      </c>
      <c r="F291" s="387">
        <f t="shared" si="3150"/>
        <v>1.1725550260739622E-2</v>
      </c>
      <c r="G291" s="387">
        <f t="shared" si="3150"/>
        <v>1.251062501095148E-2</v>
      </c>
      <c r="H291" s="387">
        <f t="shared" si="3150"/>
        <v>8.7603678208103761E-3</v>
      </c>
      <c r="I291" s="387">
        <f t="shared" si="3150"/>
        <v>1.1045400297534971E-2</v>
      </c>
      <c r="J291" s="387">
        <f t="shared" si="3150"/>
        <v>1.7517689454254061E-2</v>
      </c>
      <c r="K291" s="387">
        <f t="shared" si="3150"/>
        <v>1.8906413384826584E-2</v>
      </c>
      <c r="L291" s="387">
        <f t="shared" si="3150"/>
        <v>1.9526364189621646E-2</v>
      </c>
      <c r="M291" s="70">
        <f t="shared" si="3150"/>
        <v>1.6761000602595593E-2</v>
      </c>
      <c r="N291" s="70">
        <f t="shared" si="3150"/>
        <v>1.5874229591118595E-2</v>
      </c>
      <c r="O291" s="70">
        <f t="shared" si="3150"/>
        <v>1.5935711274833519E-2</v>
      </c>
      <c r="P291" s="70">
        <f t="shared" si="3150"/>
        <v>1.1827503726181353E-2</v>
      </c>
      <c r="Q291" s="70">
        <f t="shared" si="3150"/>
        <v>1.1934394094858771E-2</v>
      </c>
      <c r="R291" s="70">
        <f t="shared" si="3150"/>
        <v>2.9863869873265537E-2</v>
      </c>
      <c r="S291" s="70">
        <f t="shared" si="3150"/>
        <v>2.7345068012285645E-2</v>
      </c>
      <c r="T291" s="70">
        <f t="shared" si="3150"/>
        <v>2.2940554155859924E-2</v>
      </c>
      <c r="U291" s="70">
        <f t="shared" si="3150"/>
        <v>2.2320288734818637E-2</v>
      </c>
      <c r="V291" s="70">
        <f t="shared" si="3150"/>
        <v>2.222892883190173E-2</v>
      </c>
      <c r="W291" s="70">
        <f t="shared" si="3150"/>
        <v>2.1793843823261973E-2</v>
      </c>
      <c r="X291" s="70">
        <f t="shared" si="3150"/>
        <v>2.3467068814843509E-2</v>
      </c>
      <c r="Y291" s="232">
        <f t="shared" si="3150"/>
        <v>2.7586044497427728E-2</v>
      </c>
      <c r="Z291" s="340">
        <f t="shared" si="3150"/>
        <v>2.7807550031509809E-2</v>
      </c>
      <c r="AA291" s="232">
        <f t="shared" si="3150"/>
        <v>2.7114922383336952E-2</v>
      </c>
      <c r="AB291" s="232">
        <f t="shared" si="3150"/>
        <v>2.5948993523050589E-2</v>
      </c>
      <c r="AC291" s="232">
        <f t="shared" si="3150"/>
        <v>2.5071768599634541E-2</v>
      </c>
      <c r="AD291" s="232">
        <f t="shared" ref="AD291:AE291" si="3151">SUM(AD276*AD219,AD281*AD224,AD286*AD229)/AD234</f>
        <v>2.4973088491008703E-2</v>
      </c>
      <c r="AE291" s="232">
        <f t="shared" si="3151"/>
        <v>2.6290861987896923E-2</v>
      </c>
      <c r="AF291" s="232">
        <f t="shared" ref="AF291:AG291" si="3152">SUM(AF276*AF219,AF281*AF224,AF286*AF229)/AF234</f>
        <v>2.6582978766917304E-2</v>
      </c>
      <c r="AG291" s="232">
        <f t="shared" si="3152"/>
        <v>2.8703295321973018E-2</v>
      </c>
      <c r="AH291" s="232">
        <f t="shared" ref="AH291:AI291" si="3153">SUM(AH276*AH219,AH281*AH224,AH286*AH229)/AH234</f>
        <v>2.8609378983527601E-2</v>
      </c>
      <c r="AI291" s="232">
        <f t="shared" si="3153"/>
        <v>2.9564379826969394E-2</v>
      </c>
      <c r="AJ291" s="232">
        <f t="shared" ref="AJ291:AK291" si="3154">SUM(AJ276*AJ219,AJ281*AJ224,AJ286*AJ229)/AJ234</f>
        <v>2.8533595417397757E-2</v>
      </c>
      <c r="AK291" s="232">
        <f t="shared" si="3154"/>
        <v>2.661767880898221E-2</v>
      </c>
      <c r="AL291" s="232">
        <f t="shared" ref="AL291:AM291" si="3155">SUM(AL276*AL219,AL281*AL224,AL286*AL229)/AL234</f>
        <v>2.7795416305679364E-2</v>
      </c>
      <c r="AM291" s="232">
        <f t="shared" si="3155"/>
        <v>3.2047860934736848E-2</v>
      </c>
      <c r="AN291" s="232">
        <f t="shared" ref="AN291:AO291" si="3156">SUM(AN276*AN219,AN281*AN224,AN286*AN229)/AN234</f>
        <v>3.2051858791926416E-2</v>
      </c>
      <c r="AO291" s="232">
        <f t="shared" si="3156"/>
        <v>3.2976682393889629E-2</v>
      </c>
      <c r="AP291" s="232">
        <f t="shared" ref="AP291:AQ291" si="3157">SUM(AP276*AP219,AP281*AP224,AP286*AP229)/AP234</f>
        <v>3.0900856619614826E-2</v>
      </c>
      <c r="AQ291" s="232">
        <f t="shared" si="3157"/>
        <v>2.9739054095029645E-2</v>
      </c>
      <c r="AR291" s="232">
        <f t="shared" ref="AR291:AS291" si="3158">SUM(AR276*AR219,AR281*AR224,AR286*AR229)/AR234</f>
        <v>2.864301717411577E-2</v>
      </c>
      <c r="AS291" s="232">
        <f t="shared" si="3158"/>
        <v>2.0659056653572601E-2</v>
      </c>
      <c r="AT291" s="232">
        <f t="shared" ref="AT291:AU291" si="3159">SUM(AT276*AT219,AT281*AT224,AT286*AT229)/AT234</f>
        <v>2.2983958070019028E-2</v>
      </c>
      <c r="AU291" s="232">
        <f t="shared" si="3159"/>
        <v>2.2017914775694244E-2</v>
      </c>
      <c r="AV291" s="232">
        <f t="shared" ref="AV291:AW291" si="3160">SUM(AV276*AV219,AV281*AV224,AV286*AV229)/AV234</f>
        <v>2.2898324083970766E-2</v>
      </c>
      <c r="AW291" s="232">
        <f t="shared" si="3160"/>
        <v>2.291983361215251E-2</v>
      </c>
      <c r="AX291" s="232">
        <f t="shared" ref="AX291" si="3161">SUM(AX276*AX219,AX281*AX224,AX286*AX229)/AX234</f>
        <v>2.2800370270866351E-2</v>
      </c>
      <c r="AY291" s="72"/>
      <c r="AZ291" s="70"/>
      <c r="BA291" s="70"/>
      <c r="BB291" s="70"/>
      <c r="BC291" s="70"/>
      <c r="BD291" s="70"/>
      <c r="BE291" s="70"/>
      <c r="BF291" s="70"/>
      <c r="BG291" s="70"/>
      <c r="BH291" s="70"/>
      <c r="BI291" s="70"/>
      <c r="BJ291" s="70"/>
      <c r="BK291" s="70"/>
      <c r="BL291" s="70"/>
      <c r="BM291" s="70"/>
      <c r="BN291" s="70"/>
      <c r="BO291" s="70"/>
      <c r="BP291" s="70"/>
      <c r="BQ291" s="70"/>
      <c r="BR291" s="70"/>
      <c r="BS291" s="387">
        <f t="shared" ref="BS291:CY291" si="3162">SUM(BS276*BS219,BS281*BS224,BS286*BS229)/BS234</f>
        <v>3.7280750697111474E-2</v>
      </c>
      <c r="BT291" s="387">
        <f t="shared" si="3162"/>
        <v>3.7816557734204781E-2</v>
      </c>
      <c r="BU291" s="387">
        <f t="shared" si="3162"/>
        <v>3.3960692016609735E-2</v>
      </c>
      <c r="BV291" s="387">
        <f t="shared" si="3162"/>
        <v>2.1965562559766467E-2</v>
      </c>
      <c r="BW291" s="387">
        <f t="shared" si="3162"/>
        <v>2.723334760963466E-2</v>
      </c>
      <c r="BX291" s="387">
        <f t="shared" si="3162"/>
        <v>3.2813079601441288E-2</v>
      </c>
      <c r="BY291" s="387">
        <f t="shared" si="3162"/>
        <v>3.1457366843187874E-2</v>
      </c>
      <c r="BZ291" s="387">
        <f t="shared" si="3162"/>
        <v>2.5658719873936739E-2</v>
      </c>
      <c r="CA291" s="387">
        <f t="shared" si="3162"/>
        <v>1.7973883159996484E-2</v>
      </c>
      <c r="CB291" s="387">
        <f t="shared" si="3162"/>
        <v>2.0568708702082942E-2</v>
      </c>
      <c r="CC291" s="70">
        <f t="shared" si="3162"/>
        <v>1.1506323286135127E-2</v>
      </c>
      <c r="CD291" s="70">
        <f t="shared" si="3162"/>
        <v>1.2128346336455861E-2</v>
      </c>
      <c r="CE291" s="70">
        <f t="shared" si="3162"/>
        <v>9.9664825767910841E-3</v>
      </c>
      <c r="CF291" s="70">
        <f t="shared" si="3162"/>
        <v>1.823537640140421E-2</v>
      </c>
      <c r="CG291" s="70">
        <f t="shared" si="3162"/>
        <v>1.8077772165894762E-2</v>
      </c>
      <c r="CH291" s="70">
        <f t="shared" si="3162"/>
        <v>1.5905914319090542E-2</v>
      </c>
      <c r="CI291" s="70">
        <f t="shared" si="3162"/>
        <v>1.1882313939685063E-2</v>
      </c>
      <c r="CJ291" s="70">
        <f t="shared" si="3162"/>
        <v>2.8621265056972937E-2</v>
      </c>
      <c r="CK291" s="70">
        <f t="shared" si="3162"/>
        <v>2.2490839473611073E-2</v>
      </c>
      <c r="CL291" s="70">
        <f t="shared" si="3162"/>
        <v>2.2007521988680428E-2</v>
      </c>
      <c r="CM291" s="232">
        <f t="shared" si="3162"/>
        <v>2.5574464783879869E-2</v>
      </c>
      <c r="CN291" s="232">
        <f t="shared" si="3162"/>
        <v>2.7500840142571512E-2</v>
      </c>
      <c r="CO291" s="232">
        <f t="shared" si="3162"/>
        <v>2.549866414964002E-2</v>
      </c>
      <c r="CP291" s="232">
        <f t="shared" si="3162"/>
        <v>2.5699001596666098E-2</v>
      </c>
      <c r="CQ291" s="232">
        <f t="shared" si="3162"/>
        <v>2.7642788393833072E-2</v>
      </c>
      <c r="CR291" s="232">
        <f t="shared" si="3162"/>
        <v>2.9089292642734164E-2</v>
      </c>
      <c r="CS291" s="232">
        <f t="shared" si="3162"/>
        <v>2.7562558675341207E-2</v>
      </c>
      <c r="CT291" s="232">
        <f t="shared" si="3162"/>
        <v>2.9934805928910985E-2</v>
      </c>
      <c r="CU291" s="232">
        <f t="shared" si="3162"/>
        <v>3.2515294846551988E-2</v>
      </c>
      <c r="CV291" s="232">
        <f t="shared" si="3162"/>
        <v>3.0318023651387273E-2</v>
      </c>
      <c r="CW291" s="232">
        <f t="shared" si="3162"/>
        <v>2.4599734975688133E-2</v>
      </c>
      <c r="CX291" s="232">
        <f t="shared" si="3162"/>
        <v>2.2499272583218106E-2</v>
      </c>
      <c r="CY291" s="232">
        <f t="shared" si="3162"/>
        <v>2.2909358066778459E-2</v>
      </c>
      <c r="CZ291" s="72"/>
      <c r="DA291" s="70"/>
      <c r="DB291" s="70"/>
      <c r="DC291" s="70"/>
      <c r="DD291" s="70"/>
      <c r="DE291" s="70"/>
      <c r="DF291" s="70"/>
      <c r="DG291" s="70"/>
      <c r="DH291" s="70"/>
      <c r="DI291" s="70"/>
    </row>
    <row r="292" spans="1:113" ht="12" hidden="1" outlineLevel="2">
      <c r="A292" s="1" t="s">
        <v>70</v>
      </c>
      <c r="B292" s="15" t="s">
        <v>345</v>
      </c>
      <c r="C292" s="376">
        <v>0</v>
      </c>
      <c r="D292" s="376">
        <v>0</v>
      </c>
      <c r="E292" s="376">
        <v>0</v>
      </c>
      <c r="F292" s="376">
        <v>0</v>
      </c>
      <c r="G292" s="376">
        <v>0</v>
      </c>
      <c r="H292" s="376">
        <v>0</v>
      </c>
      <c r="I292" s="376">
        <v>0</v>
      </c>
      <c r="J292" s="376">
        <v>0</v>
      </c>
      <c r="K292" s="376">
        <v>0</v>
      </c>
      <c r="L292" s="376">
        <v>0</v>
      </c>
      <c r="M292" s="38">
        <v>0</v>
      </c>
      <c r="N292" s="38">
        <v>0</v>
      </c>
      <c r="O292" s="38">
        <v>0</v>
      </c>
      <c r="P292" s="38">
        <v>0</v>
      </c>
      <c r="Q292" s="38">
        <v>0</v>
      </c>
      <c r="R292" s="38">
        <v>0</v>
      </c>
      <c r="S292" s="38">
        <v>0</v>
      </c>
      <c r="T292" s="38">
        <v>0</v>
      </c>
      <c r="U292" s="38">
        <v>0</v>
      </c>
      <c r="V292" s="38">
        <v>0</v>
      </c>
      <c r="W292" s="38">
        <v>0</v>
      </c>
      <c r="X292" s="38">
        <v>0</v>
      </c>
      <c r="Y292" s="73">
        <v>0</v>
      </c>
      <c r="Z292" s="144">
        <v>0</v>
      </c>
      <c r="AA292" s="144">
        <v>0</v>
      </c>
      <c r="AB292" s="144">
        <v>0</v>
      </c>
      <c r="AC292" s="144">
        <v>0</v>
      </c>
      <c r="AD292" s="144">
        <v>0</v>
      </c>
      <c r="AE292" s="144">
        <v>0</v>
      </c>
      <c r="AF292" s="144">
        <v>0</v>
      </c>
      <c r="AG292" s="144">
        <v>0</v>
      </c>
      <c r="AH292" s="144">
        <v>0</v>
      </c>
      <c r="AI292" s="144">
        <v>0</v>
      </c>
      <c r="AJ292" s="144">
        <v>0</v>
      </c>
      <c r="AK292" s="144">
        <v>0</v>
      </c>
      <c r="AL292" s="144">
        <v>0</v>
      </c>
      <c r="AM292" s="144">
        <v>0</v>
      </c>
      <c r="AN292" s="144">
        <v>0</v>
      </c>
      <c r="AO292" s="144">
        <v>0</v>
      </c>
      <c r="AP292" s="144">
        <v>0</v>
      </c>
      <c r="AQ292" s="144">
        <v>0</v>
      </c>
      <c r="AR292" s="144">
        <v>0</v>
      </c>
      <c r="AS292" s="144">
        <v>0</v>
      </c>
      <c r="AT292" s="144">
        <v>0</v>
      </c>
      <c r="AU292" s="144">
        <v>0</v>
      </c>
      <c r="AV292" s="144">
        <v>0</v>
      </c>
      <c r="AW292" s="144">
        <v>0</v>
      </c>
      <c r="AX292" s="144">
        <v>0</v>
      </c>
      <c r="AY292" s="145"/>
      <c r="AZ292" s="35"/>
      <c r="BA292" s="35"/>
      <c r="BB292" s="35"/>
      <c r="BC292" s="35"/>
      <c r="BD292" s="35"/>
      <c r="BE292" s="35"/>
      <c r="BF292" s="35"/>
      <c r="BG292" s="35"/>
      <c r="BH292" s="35"/>
      <c r="BI292" s="35"/>
      <c r="BJ292" s="35"/>
      <c r="BK292" s="35"/>
      <c r="BL292" s="35"/>
      <c r="BM292" s="35"/>
      <c r="BN292" s="35"/>
      <c r="BO292" s="35"/>
      <c r="BP292" s="35"/>
      <c r="BQ292" s="35"/>
      <c r="BR292" s="35"/>
      <c r="BS292" s="376">
        <v>0</v>
      </c>
      <c r="BT292" s="376">
        <v>0</v>
      </c>
      <c r="BU292" s="376">
        <v>0</v>
      </c>
      <c r="BV292" s="376">
        <v>0</v>
      </c>
      <c r="BW292" s="376">
        <v>0</v>
      </c>
      <c r="BX292" s="376">
        <v>0</v>
      </c>
      <c r="BY292" s="376">
        <v>0</v>
      </c>
      <c r="BZ292" s="376">
        <v>0</v>
      </c>
      <c r="CA292" s="376">
        <v>0</v>
      </c>
      <c r="CB292" s="376">
        <v>0</v>
      </c>
      <c r="CC292" s="35">
        <v>0</v>
      </c>
      <c r="CD292" s="35">
        <v>0</v>
      </c>
      <c r="CE292" s="35">
        <v>0</v>
      </c>
      <c r="CF292" s="35">
        <v>0</v>
      </c>
      <c r="CG292" s="35">
        <v>0</v>
      </c>
      <c r="CH292" s="35">
        <v>0</v>
      </c>
      <c r="CI292" s="35">
        <v>0</v>
      </c>
      <c r="CJ292" s="35">
        <v>0</v>
      </c>
      <c r="CK292" s="35">
        <v>0</v>
      </c>
      <c r="CL292" s="35">
        <v>0</v>
      </c>
      <c r="CM292" s="37">
        <v>0</v>
      </c>
      <c r="CN292" s="37">
        <v>0</v>
      </c>
      <c r="CO292" s="37">
        <v>0</v>
      </c>
      <c r="CP292" s="37">
        <v>0</v>
      </c>
      <c r="CQ292" s="37">
        <v>0</v>
      </c>
      <c r="CR292" s="37">
        <v>0</v>
      </c>
      <c r="CS292" s="37">
        <v>0</v>
      </c>
      <c r="CT292" s="37">
        <v>0</v>
      </c>
      <c r="CU292" s="37">
        <v>0</v>
      </c>
      <c r="CV292" s="37">
        <v>0</v>
      </c>
      <c r="CW292" s="37">
        <v>0</v>
      </c>
      <c r="CX292" s="37">
        <v>0</v>
      </c>
      <c r="CY292" s="37">
        <v>0</v>
      </c>
      <c r="CZ292" s="36"/>
      <c r="DA292" s="35"/>
      <c r="DB292" s="35"/>
      <c r="DC292" s="35"/>
      <c r="DD292" s="35"/>
      <c r="DE292" s="35"/>
      <c r="DF292" s="35"/>
      <c r="DG292" s="35"/>
      <c r="DH292" s="35"/>
      <c r="DI292" s="35"/>
    </row>
    <row r="293" spans="1:113" ht="12" hidden="1" outlineLevel="2">
      <c r="A293" s="1" t="s">
        <v>71</v>
      </c>
      <c r="B293" s="15" t="s">
        <v>589</v>
      </c>
      <c r="C293" s="376">
        <v>0</v>
      </c>
      <c r="D293" s="376">
        <v>0</v>
      </c>
      <c r="E293" s="376">
        <v>0</v>
      </c>
      <c r="F293" s="376">
        <v>0</v>
      </c>
      <c r="G293" s="376">
        <v>0</v>
      </c>
      <c r="H293" s="376">
        <v>0</v>
      </c>
      <c r="I293" s="376">
        <v>0</v>
      </c>
      <c r="J293" s="376">
        <v>0</v>
      </c>
      <c r="K293" s="376">
        <v>0</v>
      </c>
      <c r="L293" s="376">
        <v>0</v>
      </c>
      <c r="M293" s="38">
        <v>0</v>
      </c>
      <c r="N293" s="38">
        <v>0</v>
      </c>
      <c r="O293" s="38">
        <v>0</v>
      </c>
      <c r="P293" s="38">
        <v>0</v>
      </c>
      <c r="Q293" s="38">
        <v>0</v>
      </c>
      <c r="R293" s="38">
        <v>0</v>
      </c>
      <c r="S293" s="38">
        <v>0</v>
      </c>
      <c r="T293" s="38">
        <v>0</v>
      </c>
      <c r="U293" s="38">
        <v>0</v>
      </c>
      <c r="V293" s="38">
        <v>0</v>
      </c>
      <c r="W293" s="38">
        <v>0</v>
      </c>
      <c r="X293" s="38">
        <v>0</v>
      </c>
      <c r="Y293" s="73">
        <v>0</v>
      </c>
      <c r="Z293" s="144">
        <v>0</v>
      </c>
      <c r="AA293" s="144">
        <v>0</v>
      </c>
      <c r="AB293" s="144">
        <v>0</v>
      </c>
      <c r="AC293" s="144">
        <v>0</v>
      </c>
      <c r="AD293" s="144">
        <v>0</v>
      </c>
      <c r="AE293" s="144">
        <v>0</v>
      </c>
      <c r="AF293" s="144">
        <v>0</v>
      </c>
      <c r="AG293" s="144">
        <v>0</v>
      </c>
      <c r="AH293" s="144">
        <v>0</v>
      </c>
      <c r="AI293" s="144">
        <v>0</v>
      </c>
      <c r="AJ293" s="144">
        <v>0</v>
      </c>
      <c r="AK293" s="144">
        <v>0</v>
      </c>
      <c r="AL293" s="144">
        <v>0</v>
      </c>
      <c r="AM293" s="144">
        <v>0</v>
      </c>
      <c r="AN293" s="144">
        <v>0</v>
      </c>
      <c r="AO293" s="144">
        <v>0</v>
      </c>
      <c r="AP293" s="144">
        <v>0</v>
      </c>
      <c r="AQ293" s="144">
        <v>0</v>
      </c>
      <c r="AR293" s="144">
        <v>0</v>
      </c>
      <c r="AS293" s="144">
        <v>0</v>
      </c>
      <c r="AT293" s="144">
        <v>0</v>
      </c>
      <c r="AU293" s="144">
        <v>0</v>
      </c>
      <c r="AV293" s="144">
        <v>0</v>
      </c>
      <c r="AW293" s="144">
        <v>0</v>
      </c>
      <c r="AX293" s="144">
        <v>0</v>
      </c>
      <c r="AY293" s="145"/>
      <c r="AZ293" s="35"/>
      <c r="BA293" s="35"/>
      <c r="BB293" s="35"/>
      <c r="BC293" s="35"/>
      <c r="BD293" s="35"/>
      <c r="BE293" s="35"/>
      <c r="BF293" s="35"/>
      <c r="BG293" s="35"/>
      <c r="BH293" s="35"/>
      <c r="BI293" s="35"/>
      <c r="BJ293" s="35"/>
      <c r="BK293" s="35"/>
      <c r="BL293" s="35"/>
      <c r="BM293" s="35"/>
      <c r="BN293" s="35"/>
      <c r="BO293" s="35"/>
      <c r="BP293" s="35"/>
      <c r="BQ293" s="35"/>
      <c r="BR293" s="35"/>
      <c r="BS293" s="376">
        <v>0</v>
      </c>
      <c r="BT293" s="376">
        <v>0</v>
      </c>
      <c r="BU293" s="376">
        <v>0</v>
      </c>
      <c r="BV293" s="376">
        <v>0</v>
      </c>
      <c r="BW293" s="376">
        <v>0</v>
      </c>
      <c r="BX293" s="376">
        <v>0</v>
      </c>
      <c r="BY293" s="376">
        <v>0</v>
      </c>
      <c r="BZ293" s="376">
        <v>0</v>
      </c>
      <c r="CA293" s="376">
        <v>0</v>
      </c>
      <c r="CB293" s="376">
        <v>0</v>
      </c>
      <c r="CC293" s="35">
        <v>0</v>
      </c>
      <c r="CD293" s="35">
        <v>0</v>
      </c>
      <c r="CE293" s="35">
        <v>0</v>
      </c>
      <c r="CF293" s="35">
        <v>0</v>
      </c>
      <c r="CG293" s="35">
        <v>0</v>
      </c>
      <c r="CH293" s="35">
        <v>0</v>
      </c>
      <c r="CI293" s="35">
        <v>0</v>
      </c>
      <c r="CJ293" s="35">
        <v>0</v>
      </c>
      <c r="CK293" s="35">
        <v>0</v>
      </c>
      <c r="CL293" s="35">
        <v>0</v>
      </c>
      <c r="CM293" s="37">
        <v>0</v>
      </c>
      <c r="CN293" s="37">
        <v>0</v>
      </c>
      <c r="CO293" s="37">
        <v>0</v>
      </c>
      <c r="CP293" s="37">
        <v>0</v>
      </c>
      <c r="CQ293" s="37">
        <v>0</v>
      </c>
      <c r="CR293" s="37">
        <v>0</v>
      </c>
      <c r="CS293" s="37">
        <v>0</v>
      </c>
      <c r="CT293" s="37">
        <v>0</v>
      </c>
      <c r="CU293" s="37">
        <v>0</v>
      </c>
      <c r="CV293" s="37">
        <v>0</v>
      </c>
      <c r="CW293" s="37">
        <v>0</v>
      </c>
      <c r="CX293" s="37">
        <v>0</v>
      </c>
      <c r="CY293" s="37">
        <v>0</v>
      </c>
      <c r="CZ293" s="36"/>
      <c r="DA293" s="35"/>
      <c r="DB293" s="35"/>
      <c r="DC293" s="35"/>
      <c r="DD293" s="35"/>
      <c r="DE293" s="35"/>
      <c r="DF293" s="35"/>
      <c r="DG293" s="35"/>
      <c r="DH293" s="35"/>
      <c r="DI293" s="35"/>
    </row>
    <row r="294" spans="1:113" s="17" customFormat="1" ht="12" hidden="1" outlineLevel="2">
      <c r="A294" s="1" t="s">
        <v>72</v>
      </c>
      <c r="B294" s="17" t="s">
        <v>590</v>
      </c>
      <c r="C294" s="387">
        <f t="shared" ref="C294:AC294" si="3163">SUM(C291*C234,C292*C235,C293*C236)/C237</f>
        <v>1.3371065614339596E-2</v>
      </c>
      <c r="D294" s="387">
        <f t="shared" si="3163"/>
        <v>1.3101921767652966E-2</v>
      </c>
      <c r="E294" s="387">
        <f t="shared" si="3163"/>
        <v>9.9468725524746587E-3</v>
      </c>
      <c r="F294" s="387">
        <f t="shared" si="3163"/>
        <v>1.1725550260739622E-2</v>
      </c>
      <c r="G294" s="387">
        <f t="shared" si="3163"/>
        <v>1.251062501095148E-2</v>
      </c>
      <c r="H294" s="387">
        <f t="shared" si="3163"/>
        <v>8.7603678208103761E-3</v>
      </c>
      <c r="I294" s="387">
        <f t="shared" si="3163"/>
        <v>1.1045400297534971E-2</v>
      </c>
      <c r="J294" s="387">
        <f t="shared" si="3163"/>
        <v>1.7517689454254061E-2</v>
      </c>
      <c r="K294" s="387">
        <f t="shared" si="3163"/>
        <v>1.8906413384826584E-2</v>
      </c>
      <c r="L294" s="387">
        <f t="shared" si="3163"/>
        <v>1.9526364189621646E-2</v>
      </c>
      <c r="M294" s="70">
        <f t="shared" si="3163"/>
        <v>1.6761000602595593E-2</v>
      </c>
      <c r="N294" s="70">
        <f t="shared" si="3163"/>
        <v>1.5874229591118595E-2</v>
      </c>
      <c r="O294" s="70">
        <f t="shared" si="3163"/>
        <v>1.5935711274833519E-2</v>
      </c>
      <c r="P294" s="70">
        <f t="shared" si="3163"/>
        <v>1.1827503726181353E-2</v>
      </c>
      <c r="Q294" s="70">
        <f t="shared" si="3163"/>
        <v>1.1934394094858771E-2</v>
      </c>
      <c r="R294" s="70">
        <f t="shared" si="3163"/>
        <v>2.9863869873265537E-2</v>
      </c>
      <c r="S294" s="70">
        <f t="shared" si="3163"/>
        <v>2.7345068012285645E-2</v>
      </c>
      <c r="T294" s="70">
        <f t="shared" si="3163"/>
        <v>2.2940554155859924E-2</v>
      </c>
      <c r="U294" s="70">
        <f t="shared" si="3163"/>
        <v>2.2320288734818637E-2</v>
      </c>
      <c r="V294" s="70">
        <f t="shared" si="3163"/>
        <v>2.222892883190173E-2</v>
      </c>
      <c r="W294" s="70">
        <f t="shared" si="3163"/>
        <v>2.1793843823261973E-2</v>
      </c>
      <c r="X294" s="70">
        <f t="shared" si="3163"/>
        <v>2.3467068814843509E-2</v>
      </c>
      <c r="Y294" s="232">
        <f t="shared" si="3163"/>
        <v>2.7586044497427728E-2</v>
      </c>
      <c r="Z294" s="340">
        <f t="shared" si="3163"/>
        <v>2.7807550031509809E-2</v>
      </c>
      <c r="AA294" s="232">
        <f t="shared" si="3163"/>
        <v>2.7114922383336952E-2</v>
      </c>
      <c r="AB294" s="232">
        <f t="shared" si="3163"/>
        <v>2.5948993523050589E-2</v>
      </c>
      <c r="AC294" s="232">
        <f t="shared" si="3163"/>
        <v>2.5071768599634541E-2</v>
      </c>
      <c r="AD294" s="232">
        <f t="shared" ref="AD294:AE294" si="3164">SUM(AD291*AD234,AD292*AD235,AD293*AD236)/AD237</f>
        <v>2.4973088491008703E-2</v>
      </c>
      <c r="AE294" s="232">
        <f t="shared" si="3164"/>
        <v>2.6290861987896923E-2</v>
      </c>
      <c r="AF294" s="232">
        <f t="shared" ref="AF294:AG294" si="3165">SUM(AF291*AF234,AF292*AF235,AF293*AF236)/AF237</f>
        <v>2.6582978766917304E-2</v>
      </c>
      <c r="AG294" s="232">
        <f t="shared" si="3165"/>
        <v>2.8703295321973018E-2</v>
      </c>
      <c r="AH294" s="232">
        <f t="shared" ref="AH294:AI294" si="3166">SUM(AH291*AH234,AH292*AH235,AH293*AH236)/AH237</f>
        <v>2.8609378983527601E-2</v>
      </c>
      <c r="AI294" s="232">
        <f t="shared" si="3166"/>
        <v>2.9564379826969394E-2</v>
      </c>
      <c r="AJ294" s="232">
        <f t="shared" ref="AJ294:AK294" si="3167">SUM(AJ291*AJ234,AJ292*AJ235,AJ293*AJ236)/AJ237</f>
        <v>2.8533595417397757E-2</v>
      </c>
      <c r="AK294" s="232">
        <f t="shared" si="3167"/>
        <v>2.661767880898221E-2</v>
      </c>
      <c r="AL294" s="232">
        <f t="shared" ref="AL294:AM294" si="3168">SUM(AL291*AL234,AL292*AL235,AL293*AL236)/AL237</f>
        <v>2.7795416305679364E-2</v>
      </c>
      <c r="AM294" s="232">
        <f t="shared" si="3168"/>
        <v>3.2047860934736848E-2</v>
      </c>
      <c r="AN294" s="232">
        <f t="shared" ref="AN294:AO294" si="3169">SUM(AN291*AN234,AN292*AN235,AN293*AN236)/AN237</f>
        <v>3.2051858791926416E-2</v>
      </c>
      <c r="AO294" s="232">
        <f t="shared" si="3169"/>
        <v>3.2976682393889629E-2</v>
      </c>
      <c r="AP294" s="232">
        <f t="shared" ref="AP294:AQ294" si="3170">SUM(AP291*AP234,AP292*AP235,AP293*AP236)/AP237</f>
        <v>3.0900856619614826E-2</v>
      </c>
      <c r="AQ294" s="232">
        <f t="shared" si="3170"/>
        <v>2.9739054095029645E-2</v>
      </c>
      <c r="AR294" s="232">
        <f t="shared" ref="AR294:AS294" si="3171">SUM(AR291*AR234,AR292*AR235,AR293*AR236)/AR237</f>
        <v>2.864301717411577E-2</v>
      </c>
      <c r="AS294" s="232">
        <f t="shared" si="3171"/>
        <v>2.0659056653572601E-2</v>
      </c>
      <c r="AT294" s="232">
        <f t="shared" ref="AT294:AU294" si="3172">SUM(AT291*AT234,AT292*AT235,AT293*AT236)/AT237</f>
        <v>2.2983958070019028E-2</v>
      </c>
      <c r="AU294" s="232">
        <f t="shared" si="3172"/>
        <v>2.2017914775694244E-2</v>
      </c>
      <c r="AV294" s="232">
        <f t="shared" ref="AV294:AW294" si="3173">SUM(AV291*AV234,AV292*AV235,AV293*AV236)/AV237</f>
        <v>2.2898324083970766E-2</v>
      </c>
      <c r="AW294" s="232">
        <f t="shared" si="3173"/>
        <v>2.291983361215251E-2</v>
      </c>
      <c r="AX294" s="232">
        <f t="shared" ref="AX294" si="3174">SUM(AX291*AX234,AX292*AX235,AX293*AX236)/AX237</f>
        <v>2.2800370270866351E-2</v>
      </c>
      <c r="AY294" s="72"/>
      <c r="AZ294" s="70"/>
      <c r="BA294" s="70"/>
      <c r="BB294" s="70"/>
      <c r="BC294" s="70"/>
      <c r="BD294" s="70"/>
      <c r="BE294" s="70"/>
      <c r="BF294" s="70"/>
      <c r="BG294" s="70"/>
      <c r="BH294" s="70"/>
      <c r="BI294" s="70"/>
      <c r="BJ294" s="70"/>
      <c r="BK294" s="70"/>
      <c r="BL294" s="70"/>
      <c r="BM294" s="70"/>
      <c r="BN294" s="70"/>
      <c r="BO294" s="70"/>
      <c r="BP294" s="70"/>
      <c r="BQ294" s="70"/>
      <c r="BR294" s="70"/>
      <c r="BS294" s="387">
        <f t="shared" ref="BS294:CY294" si="3175">SUM(BS291*BS234,BS292*BS235,BS293*BS236)/BS237</f>
        <v>3.7280750697111474E-2</v>
      </c>
      <c r="BT294" s="387">
        <f t="shared" si="3175"/>
        <v>3.7816557734204781E-2</v>
      </c>
      <c r="BU294" s="387">
        <f t="shared" si="3175"/>
        <v>3.3960692016609735E-2</v>
      </c>
      <c r="BV294" s="387">
        <f t="shared" si="3175"/>
        <v>2.1965562559766467E-2</v>
      </c>
      <c r="BW294" s="387">
        <f t="shared" si="3175"/>
        <v>2.723334760963466E-2</v>
      </c>
      <c r="BX294" s="387">
        <f t="shared" si="3175"/>
        <v>3.2813079601441288E-2</v>
      </c>
      <c r="BY294" s="387">
        <f t="shared" si="3175"/>
        <v>3.1457366843187874E-2</v>
      </c>
      <c r="BZ294" s="387">
        <f t="shared" si="3175"/>
        <v>2.5658719873936739E-2</v>
      </c>
      <c r="CA294" s="387">
        <f t="shared" si="3175"/>
        <v>1.7973883159996484E-2</v>
      </c>
      <c r="CB294" s="387">
        <f t="shared" si="3175"/>
        <v>2.0568708702082942E-2</v>
      </c>
      <c r="CC294" s="70">
        <f t="shared" si="3175"/>
        <v>1.1506323286135127E-2</v>
      </c>
      <c r="CD294" s="70">
        <f t="shared" si="3175"/>
        <v>1.2128346336455861E-2</v>
      </c>
      <c r="CE294" s="70">
        <f t="shared" si="3175"/>
        <v>9.9664825767910841E-3</v>
      </c>
      <c r="CF294" s="70">
        <f t="shared" si="3175"/>
        <v>1.823537640140421E-2</v>
      </c>
      <c r="CG294" s="70">
        <f t="shared" si="3175"/>
        <v>1.8077772165894762E-2</v>
      </c>
      <c r="CH294" s="70">
        <f t="shared" si="3175"/>
        <v>1.5905914319090542E-2</v>
      </c>
      <c r="CI294" s="70">
        <f t="shared" si="3175"/>
        <v>1.1882313939685063E-2</v>
      </c>
      <c r="CJ294" s="70">
        <f t="shared" si="3175"/>
        <v>2.8621265056972937E-2</v>
      </c>
      <c r="CK294" s="70">
        <f t="shared" si="3175"/>
        <v>2.2490839473611073E-2</v>
      </c>
      <c r="CL294" s="70">
        <f t="shared" si="3175"/>
        <v>2.2007521988680428E-2</v>
      </c>
      <c r="CM294" s="232">
        <f t="shared" si="3175"/>
        <v>2.5574464783879869E-2</v>
      </c>
      <c r="CN294" s="232">
        <f t="shared" si="3175"/>
        <v>2.7500840142571512E-2</v>
      </c>
      <c r="CO294" s="232">
        <f t="shared" si="3175"/>
        <v>2.549866414964002E-2</v>
      </c>
      <c r="CP294" s="232">
        <f t="shared" si="3175"/>
        <v>2.5699001596666098E-2</v>
      </c>
      <c r="CQ294" s="232">
        <f t="shared" si="3175"/>
        <v>2.7642788393833072E-2</v>
      </c>
      <c r="CR294" s="232">
        <f t="shared" si="3175"/>
        <v>2.9089292642734164E-2</v>
      </c>
      <c r="CS294" s="232">
        <f t="shared" si="3175"/>
        <v>2.7562558675341207E-2</v>
      </c>
      <c r="CT294" s="232">
        <f t="shared" si="3175"/>
        <v>2.9934805928910985E-2</v>
      </c>
      <c r="CU294" s="232">
        <f t="shared" si="3175"/>
        <v>3.2515294846551988E-2</v>
      </c>
      <c r="CV294" s="232">
        <f t="shared" si="3175"/>
        <v>3.0318023651387273E-2</v>
      </c>
      <c r="CW294" s="232">
        <f t="shared" si="3175"/>
        <v>2.4599734975688133E-2</v>
      </c>
      <c r="CX294" s="232">
        <f t="shared" si="3175"/>
        <v>2.2499272583218106E-2</v>
      </c>
      <c r="CY294" s="232">
        <f t="shared" si="3175"/>
        <v>2.2909358066778459E-2</v>
      </c>
      <c r="CZ294" s="72"/>
      <c r="DA294" s="70"/>
      <c r="DB294" s="70"/>
      <c r="DC294" s="70"/>
      <c r="DD294" s="70"/>
      <c r="DE294" s="70"/>
      <c r="DF294" s="70"/>
      <c r="DG294" s="70"/>
      <c r="DH294" s="70"/>
      <c r="DI294" s="70"/>
    </row>
    <row r="295" spans="1:113" ht="12" hidden="1" outlineLevel="2">
      <c r="A295" s="1" t="s">
        <v>73</v>
      </c>
      <c r="B295" s="15" t="s">
        <v>389</v>
      </c>
      <c r="C295" s="345">
        <f t="shared" ref="C295:AC295" si="3176">(C296*C239-C294*C237)/C238</f>
        <v>0.44148934870806245</v>
      </c>
      <c r="D295" s="345">
        <f t="shared" si="3176"/>
        <v>0.28178681710834752</v>
      </c>
      <c r="E295" s="345">
        <f t="shared" si="3176"/>
        <v>0.15060821307655023</v>
      </c>
      <c r="F295" s="345">
        <f t="shared" si="3176"/>
        <v>0.10183375003862979</v>
      </c>
      <c r="G295" s="345">
        <f t="shared" si="3176"/>
        <v>8.412647650613457E-2</v>
      </c>
      <c r="H295" s="345">
        <f t="shared" si="3176"/>
        <v>6.4204545454545348E-2</v>
      </c>
      <c r="I295" s="345">
        <f t="shared" si="3176"/>
        <v>3.7918528419737661E-2</v>
      </c>
      <c r="J295" s="345">
        <f t="shared" si="3176"/>
        <v>3.5906162437331489E-2</v>
      </c>
      <c r="K295" s="345">
        <f t="shared" si="3176"/>
        <v>2.9076072966923907E-2</v>
      </c>
      <c r="L295" s="345">
        <f t="shared" si="3176"/>
        <v>1.5791146401704405E-3</v>
      </c>
      <c r="M295" s="35">
        <f t="shared" si="3176"/>
        <v>4.022095412755694E-3</v>
      </c>
      <c r="N295" s="35">
        <f t="shared" si="3176"/>
        <v>6.5725225080773243E-4</v>
      </c>
      <c r="O295" s="35">
        <f t="shared" si="3176"/>
        <v>1.6065404558549528E-3</v>
      </c>
      <c r="P295" s="35">
        <f t="shared" si="3176"/>
        <v>-6.8882710244059005E-3</v>
      </c>
      <c r="Q295" s="35">
        <f t="shared" si="3176"/>
        <v>-1.3612788780384133E-2</v>
      </c>
      <c r="R295" s="35">
        <f t="shared" si="3176"/>
        <v>3.2330517433556191E-3</v>
      </c>
      <c r="S295" s="35">
        <f t="shared" si="3176"/>
        <v>-1.8269360126884242E-3</v>
      </c>
      <c r="T295" s="35">
        <f t="shared" si="3176"/>
        <v>-9.9848462118656955E-3</v>
      </c>
      <c r="U295" s="35">
        <f t="shared" si="3176"/>
        <v>-1.3924984940595186E-2</v>
      </c>
      <c r="V295" s="35">
        <f t="shared" si="3176"/>
        <v>-1.477867470270453E-2</v>
      </c>
      <c r="W295" s="35">
        <f t="shared" si="3176"/>
        <v>-1.4984468373677491E-2</v>
      </c>
      <c r="X295" s="35">
        <f t="shared" si="3176"/>
        <v>-1.6417281228859125E-2</v>
      </c>
      <c r="Y295" s="37">
        <f t="shared" si="3176"/>
        <v>-1.2061784404838625E-2</v>
      </c>
      <c r="Z295" s="228">
        <f t="shared" si="3176"/>
        <v>-8.9807677199629839E-3</v>
      </c>
      <c r="AA295" s="37">
        <f t="shared" si="3176"/>
        <v>-6.8000203866445206E-3</v>
      </c>
      <c r="AB295" s="37">
        <f t="shared" si="3176"/>
        <v>-4.7812241119538695E-3</v>
      </c>
      <c r="AC295" s="37">
        <f t="shared" si="3176"/>
        <v>-6.0230442988836097E-3</v>
      </c>
      <c r="AD295" s="37">
        <f t="shared" ref="AD295:AE295" si="3177">(AD296*AD239-AD294*AD237)/AD238</f>
        <v>-6.4844551684241957E-3</v>
      </c>
      <c r="AE295" s="37">
        <f t="shared" si="3177"/>
        <v>-3.5550384876846912E-3</v>
      </c>
      <c r="AF295" s="37">
        <f t="shared" ref="AF295:AG295" si="3178">(AF296*AF239-AF294*AF237)/AF238</f>
        <v>-5.8628663810597502E-3</v>
      </c>
      <c r="AG295" s="37">
        <f t="shared" si="3178"/>
        <v>-1.7022867696262971E-3</v>
      </c>
      <c r="AH295" s="37">
        <f t="shared" ref="AH295:AI295" si="3179">(AH296*AH239-AH294*AH237)/AH238</f>
        <v>-8.0108821145631105E-4</v>
      </c>
      <c r="AI295" s="37">
        <f t="shared" si="3179"/>
        <v>-8.0498179439354701E-4</v>
      </c>
      <c r="AJ295" s="37">
        <f t="shared" ref="AJ295:AK295" si="3180">(AJ296*AJ239-AJ294*AJ237)/AJ238</f>
        <v>5.7937708567831834E-4</v>
      </c>
      <c r="AK295" s="37">
        <f t="shared" si="3180"/>
        <v>-2.4492103973568132E-4</v>
      </c>
      <c r="AL295" s="37">
        <f t="shared" ref="AL295:AM295" si="3181">(AL296*AL239-AL294*AL237)/AL238</f>
        <v>-7.9477734585412635E-4</v>
      </c>
      <c r="AM295" s="37">
        <f t="shared" si="3181"/>
        <v>4.0493351743632012E-3</v>
      </c>
      <c r="AN295" s="37">
        <f t="shared" ref="AN295:AS295" si="3182">(AN296*AN239-AN294*AN237)/AN238</f>
        <v>4.3837650406323599E-3</v>
      </c>
      <c r="AO295" s="37">
        <f t="shared" si="3182"/>
        <v>9.8394908343627549E-4</v>
      </c>
      <c r="AP295" s="37">
        <f t="shared" si="3182"/>
        <v>5.1447333609436433E-3</v>
      </c>
      <c r="AQ295" s="37">
        <f t="shared" si="3182"/>
        <v>5.123308747982969E-3</v>
      </c>
      <c r="AR295" s="37">
        <f t="shared" si="3182"/>
        <v>4.4383041858866035E-3</v>
      </c>
      <c r="AS295" s="37">
        <f t="shared" si="3182"/>
        <v>-2.7864907608131768E-3</v>
      </c>
      <c r="AT295" s="37">
        <f t="shared" ref="AT295:AU295" si="3183">(AT296*AT239-AT294*AT237)/AT238</f>
        <v>-3.3996271111504219E-3</v>
      </c>
      <c r="AU295" s="37">
        <f t="shared" si="3183"/>
        <v>-5.5597967077112458E-4</v>
      </c>
      <c r="AV295" s="37">
        <f t="shared" ref="AV295:AW295" si="3184">(AV296*AV239-AV294*AV237)/AV238</f>
        <v>9.7071360171172699E-4</v>
      </c>
      <c r="AW295" s="37">
        <f t="shared" si="3184"/>
        <v>7.9508794530737018E-5</v>
      </c>
      <c r="AX295" s="37">
        <f t="shared" ref="AX295" si="3185">(AX296*AX239-AX294*AX237)/AX238</f>
        <v>-2.0062742810099E-3</v>
      </c>
      <c r="AY295" s="36"/>
      <c r="AZ295" s="34"/>
      <c r="BA295" s="34"/>
      <c r="BB295" s="34"/>
      <c r="BC295" s="34"/>
      <c r="BD295" s="34"/>
      <c r="BE295" s="34"/>
      <c r="BF295" s="34"/>
      <c r="BG295" s="34"/>
      <c r="BH295" s="34"/>
      <c r="BI295" s="34"/>
      <c r="BJ295" s="34"/>
      <c r="BK295" s="34"/>
      <c r="BL295" s="34"/>
      <c r="BM295" s="34"/>
      <c r="BN295" s="34"/>
      <c r="BO295" s="34"/>
      <c r="BP295" s="34"/>
      <c r="BQ295" s="34"/>
      <c r="BR295" s="35"/>
      <c r="BS295" s="345">
        <f t="shared" ref="BS295:CY295" si="3186">(BS296*BS239-BS294*BS237)/BS238</f>
        <v>-3.795529620529621E-2</v>
      </c>
      <c r="BT295" s="345">
        <f t="shared" si="3186"/>
        <v>1.2819956591032987E-2</v>
      </c>
      <c r="BU295" s="345">
        <f t="shared" si="3186"/>
        <v>8.4007385286310222E-3</v>
      </c>
      <c r="BV295" s="345">
        <f t="shared" si="3186"/>
        <v>-3.7121630472949059E-3</v>
      </c>
      <c r="BW295" s="345">
        <f t="shared" si="3186"/>
        <v>-7.531371126734826E-4</v>
      </c>
      <c r="BX295" s="345">
        <f t="shared" si="3186"/>
        <v>1.0651042635658923E-2</v>
      </c>
      <c r="BY295" s="345">
        <f t="shared" si="3186"/>
        <v>2.0107740364252422E-2</v>
      </c>
      <c r="BZ295" s="345">
        <f t="shared" si="3186"/>
        <v>1.2059555861001318E-2</v>
      </c>
      <c r="CA295" s="345">
        <f t="shared" si="3186"/>
        <v>1.3094335567436666E-2</v>
      </c>
      <c r="CB295" s="345">
        <f t="shared" si="3186"/>
        <v>1.246516068052925E-2</v>
      </c>
      <c r="CC295" s="35">
        <f t="shared" si="3186"/>
        <v>0.20249141484442723</v>
      </c>
      <c r="CD295" s="35">
        <f t="shared" si="3186"/>
        <v>9.3141398036838505E-2</v>
      </c>
      <c r="CE295" s="35">
        <f t="shared" si="3186"/>
        <v>4.8819483708814997E-2</v>
      </c>
      <c r="CF295" s="35">
        <f t="shared" si="3186"/>
        <v>3.2138802924952942E-2</v>
      </c>
      <c r="CG295" s="35">
        <f t="shared" si="3186"/>
        <v>2.8350620209717683E-3</v>
      </c>
      <c r="CH295" s="35">
        <f t="shared" si="3186"/>
        <v>1.1520787297964431E-3</v>
      </c>
      <c r="CI295" s="35">
        <f t="shared" si="3186"/>
        <v>-1.0430283532430936E-2</v>
      </c>
      <c r="CJ295" s="35">
        <f t="shared" si="3186"/>
        <v>7.634104102664242E-4</v>
      </c>
      <c r="CK295" s="35">
        <f t="shared" si="3186"/>
        <v>-1.233450158150424E-2</v>
      </c>
      <c r="CL295" s="35">
        <f t="shared" si="3186"/>
        <v>-1.3712182071263403E-2</v>
      </c>
      <c r="CM295" s="37">
        <f t="shared" si="3186"/>
        <v>-1.4136671933456161E-2</v>
      </c>
      <c r="CN295" s="37">
        <f t="shared" si="3186"/>
        <v>-7.8214643067203177E-3</v>
      </c>
      <c r="CO295" s="37">
        <f t="shared" si="3186"/>
        <v>-5.4139390903810737E-3</v>
      </c>
      <c r="CP295" s="37">
        <f t="shared" si="3186"/>
        <v>-4.9450978993501099E-3</v>
      </c>
      <c r="CQ295" s="37">
        <f t="shared" si="3186"/>
        <v>-3.790023933307891E-3</v>
      </c>
      <c r="CR295" s="37">
        <f t="shared" si="3186"/>
        <v>-8.0307162281658816E-4</v>
      </c>
      <c r="CS295" s="37">
        <f t="shared" si="3186"/>
        <v>1.5792228866672511E-4</v>
      </c>
      <c r="CT295" s="37">
        <f t="shared" si="3186"/>
        <v>1.6298158246186804E-3</v>
      </c>
      <c r="CU295" s="37">
        <f t="shared" si="3186"/>
        <v>2.6517365420365836E-3</v>
      </c>
      <c r="CV295" s="37">
        <f t="shared" si="3186"/>
        <v>5.1337456880125075E-3</v>
      </c>
      <c r="CW295" s="37">
        <f t="shared" si="3186"/>
        <v>7.6573779497611993E-4</v>
      </c>
      <c r="CX295" s="37">
        <f t="shared" si="3186"/>
        <v>-1.9667260943662507E-3</v>
      </c>
      <c r="CY295" s="37">
        <f t="shared" si="3186"/>
        <v>5.3775590392008809E-4</v>
      </c>
      <c r="CZ295" s="36"/>
      <c r="DA295" s="35"/>
      <c r="DB295" s="35"/>
      <c r="DC295" s="35"/>
      <c r="DD295" s="35"/>
      <c r="DE295" s="35"/>
      <c r="DF295" s="35"/>
      <c r="DG295" s="35"/>
      <c r="DH295" s="35"/>
      <c r="DI295" s="35"/>
    </row>
    <row r="296" spans="1:113" s="17" customFormat="1" ht="12" outlineLevel="1" collapsed="1">
      <c r="A296" s="1" t="s">
        <v>74</v>
      </c>
      <c r="B296" s="17" t="s">
        <v>472</v>
      </c>
      <c r="C296" s="386">
        <f>((10274-5431)*C$5/C239)-C$318</f>
        <v>1.9700470486582168E-2</v>
      </c>
      <c r="D296" s="386">
        <f>(4397*D$5/D239)-D$318</f>
        <v>1.7809339071465674E-2</v>
      </c>
      <c r="E296" s="386">
        <f>((9059-4397)*E$5/E239)-E$318</f>
        <v>1.3620351705192942E-2</v>
      </c>
      <c r="F296" s="386">
        <f>(5021*F$5/F239)-F$318</f>
        <v>1.5148090144984534E-2</v>
      </c>
      <c r="G296" s="386">
        <f>((10238-5021)*G$5/G239)-G$318</f>
        <v>1.5018075331254425E-2</v>
      </c>
      <c r="H296" s="386">
        <f>(6557*H$5/H239)-H$318</f>
        <v>1.1287697276553849E-2</v>
      </c>
      <c r="I296" s="386">
        <f>((14148-6557)*I$5/I239)-I$318</f>
        <v>1.2573643903738559E-2</v>
      </c>
      <c r="J296" s="386">
        <f>(9098*J$5/J239)-J$318</f>
        <v>1.8729842312243665E-2</v>
      </c>
      <c r="K296" s="386">
        <f>((19099-9098)*K$5/K239)-K$318</f>
        <v>1.968325751786805E-2</v>
      </c>
      <c r="L296" s="386">
        <f>(10777*L$5/L239)-L$318</f>
        <v>1.7067582953362227E-2</v>
      </c>
      <c r="M296" s="71">
        <f>(11524*M$5/M239)-M$318</f>
        <v>1.4994028242133785E-2</v>
      </c>
      <c r="N296" s="71">
        <f>(12518*N$5/N239)-N$318</f>
        <v>1.37606077196014E-2</v>
      </c>
      <c r="O296" s="71">
        <f>(13692*O$5/O239)-O$318</f>
        <v>1.3902210165650214E-2</v>
      </c>
      <c r="P296" s="71">
        <f>(15612*P$5/P239)-P$318</f>
        <v>9.0612484444721753E-3</v>
      </c>
      <c r="Q296" s="71">
        <f>(16992*Q$5/Q239)-Q$318</f>
        <v>7.9821344780328374E-3</v>
      </c>
      <c r="R296" s="71">
        <f>(14700*R$5/R239)-R$318</f>
        <v>2.5360532260000672E-2</v>
      </c>
      <c r="S296" s="71">
        <f>(11506*S$5/S239)-S$318</f>
        <v>2.2497854821436361E-2</v>
      </c>
      <c r="T296" s="71">
        <f>(12356*T$5/T239)-T$318</f>
        <v>1.6786418009430149E-2</v>
      </c>
      <c r="U296" s="71">
        <f>(14252*U$5/U239)-U$318</f>
        <v>1.5440582717635029E-2</v>
      </c>
      <c r="V296" s="71">
        <f>(14945*V$5/V239)-V$318</f>
        <v>1.6044848873358289E-2</v>
      </c>
      <c r="W296" s="71">
        <f>(15423*W$5/W239)-W$318</f>
        <v>1.5348726417833719E-2</v>
      </c>
      <c r="X296" s="71">
        <f>(15440*X$5/X239)-X$318</f>
        <v>1.5587126270013484E-2</v>
      </c>
      <c r="Y296" s="231">
        <f>(15098*Y$5/Y239)-Y$318</f>
        <v>1.9446525965278072E-2</v>
      </c>
      <c r="Z296" s="231">
        <f>(14326*Z$5/Z239)-Z$318</f>
        <v>2.0746883909339871E-2</v>
      </c>
      <c r="AA296" s="339">
        <f>(14301*AA$5/AA239)-AA$318</f>
        <v>2.0256683374944798E-2</v>
      </c>
      <c r="AB296" s="339">
        <f>(14430*AB$5/AB239)-AB$318</f>
        <v>1.9641815584794678E-2</v>
      </c>
      <c r="AC296" s="339">
        <f>(15094*AC$5/AC239)-AC$318</f>
        <v>1.8768290213650576E-2</v>
      </c>
      <c r="AD296" s="339">
        <f>(15394*AD$5/AD239)-AD$318</f>
        <v>1.7969447089469886E-2</v>
      </c>
      <c r="AE296" s="339">
        <f>(15132*AE$5/AE239)-AE$318</f>
        <v>1.9596388077039076E-2</v>
      </c>
      <c r="AF296" s="426">
        <f>(15090*AF$5/AF239)-AF$318</f>
        <v>1.8577353143363159E-2</v>
      </c>
      <c r="AG296" s="426">
        <f>(14861*AG$5/AG239)-AG$318</f>
        <v>2.1241744034258783E-2</v>
      </c>
      <c r="AH296" s="426">
        <f>(14426*AH$5/AH239)-AH$318</f>
        <v>2.1171820822877805E-2</v>
      </c>
      <c r="AI296" s="426">
        <f>(14694*AI$5/AI239)-AI$318</f>
        <v>2.174191894191493E-2</v>
      </c>
      <c r="AJ296" s="426">
        <f>(14849*AJ$5/AJ239)-AJ$318</f>
        <v>2.1090411149621228E-2</v>
      </c>
      <c r="AK296" s="426">
        <f>(15478*AK$5/AK239)-AK$318</f>
        <v>1.9358588358455317E-2</v>
      </c>
      <c r="AL296" s="426">
        <f>(15971*AL$5/AL239)-AL$318</f>
        <v>1.9846912099936578E-2</v>
      </c>
      <c r="AM296" s="426">
        <f>(15107*AM$5/AM239)-AM$318</f>
        <v>2.431994593006679E-2</v>
      </c>
      <c r="AN296" s="426">
        <f>(13800*AN$5/AN239)-AN$318</f>
        <v>2.3912381172159304E-2</v>
      </c>
      <c r="AO296" s="426">
        <f>(10626*AO$5/AO239)-AO$80</f>
        <v>2.3342677272468165E-2</v>
      </c>
      <c r="AP296" s="426">
        <f>(9879*AP$5/AP239)-AP$80</f>
        <v>2.2759145913292908E-2</v>
      </c>
      <c r="AQ296" s="426">
        <f>(9650*AQ$5/AQ239)-AQ$80</f>
        <v>2.1744175830432214E-2</v>
      </c>
      <c r="AR296" s="426">
        <f>(9707*AR$5/AR239)-AR$80</f>
        <v>2.0771221734037251E-2</v>
      </c>
      <c r="AS296" s="426">
        <f>(13902*AS$5/AS239)-AS$80</f>
        <v>1.2994940197026149E-2</v>
      </c>
      <c r="AT296" s="426">
        <f>(22830*AT$5/AT239)-AT$80</f>
        <v>1.4205835152542479E-2</v>
      </c>
      <c r="AU296" s="426">
        <f>(27072*AU$5/AU239)-AU$80</f>
        <v>1.4463690683427399E-2</v>
      </c>
      <c r="AV296" s="426">
        <f>(29811*AV$5/AV239)-AV$80</f>
        <v>1.5306315822649776E-2</v>
      </c>
      <c r="AW296" s="426">
        <f>(30828*AW$5/AW239)-AW$80</f>
        <v>1.5564047724707597E-2</v>
      </c>
      <c r="AX296" s="426">
        <f>(32734*AX$5/AX239)-AX$80</f>
        <v>1.4556212979214084E-2</v>
      </c>
      <c r="AY296" s="417">
        <f>(31189*AY$5/AY239)-AY$80</f>
        <v>1.6122779865498309E-2</v>
      </c>
      <c r="AZ296" s="571">
        <f>AY296+[3]ANZ!K$16</f>
        <v>1.5992512379870469E-2</v>
      </c>
      <c r="BA296" s="571">
        <f>AZ296+[3]ANZ!L$16</f>
        <v>1.596206591320419E-2</v>
      </c>
      <c r="BB296" s="571">
        <f>BA296+[3]ANZ!M$16</f>
        <v>1.5831382605000735E-2</v>
      </c>
      <c r="BC296" s="571">
        <f>BB296+[3]ANZ!N$16</f>
        <v>1.5700438304724857E-2</v>
      </c>
      <c r="BD296" s="571">
        <f>BC296+[3]ANZ!O$16</f>
        <v>1.5569131688377577E-2</v>
      </c>
      <c r="BE296" s="571">
        <f>BD296+[3]ANZ!P$16</f>
        <v>1.5437452715778838E-2</v>
      </c>
      <c r="BF296" s="571">
        <f>BE296+[3]ANZ!Q$16</f>
        <v>1.535538006413086E-2</v>
      </c>
      <c r="BG296" s="571">
        <f>BF296+[3]ANZ!R$16</f>
        <v>1.527294302519629E-2</v>
      </c>
      <c r="BH296" s="571">
        <f>BG296+[3]ANZ!S$16</f>
        <v>1.519024844819503E-2</v>
      </c>
      <c r="BI296" s="571">
        <f>BH296+[3]ANZ!T$16</f>
        <v>1.5107412260272596E-2</v>
      </c>
      <c r="BJ296" s="572">
        <f>BI296-0.01%</f>
        <v>1.5007412260272596E-2</v>
      </c>
      <c r="BK296" s="572">
        <f t="shared" ref="BK296:BQ296" si="3187">BJ296-0.01%</f>
        <v>1.4907412260272597E-2</v>
      </c>
      <c r="BL296" s="572">
        <f t="shared" si="3187"/>
        <v>1.4807412260272598E-2</v>
      </c>
      <c r="BM296" s="572">
        <f t="shared" si="3187"/>
        <v>1.4707412260272598E-2</v>
      </c>
      <c r="BN296" s="572">
        <f t="shared" si="3187"/>
        <v>1.4607412260272599E-2</v>
      </c>
      <c r="BO296" s="572">
        <f t="shared" si="3187"/>
        <v>1.4507412260272599E-2</v>
      </c>
      <c r="BP296" s="572">
        <f t="shared" si="3187"/>
        <v>1.44074122602726E-2</v>
      </c>
      <c r="BQ296" s="572">
        <f t="shared" si="3187"/>
        <v>1.4307412260272601E-2</v>
      </c>
      <c r="BR296" s="70"/>
      <c r="BS296" s="386">
        <f>(6981.4*BS$5/BS239)-BS$318</f>
        <v>1.5669002215365893E-2</v>
      </c>
      <c r="BT296" s="386">
        <f>(6981.4*BT$5/BT239)-BT$318</f>
        <v>3.0600697681457699E-2</v>
      </c>
      <c r="BU296" s="386">
        <f>(6527*BU$5/BU239)-BU$318</f>
        <v>2.6692106084570497E-2</v>
      </c>
      <c r="BV296" s="386">
        <f>(8338*BV$5/BV239)-BV$318</f>
        <v>1.4994231784582895E-2</v>
      </c>
      <c r="BW296" s="386">
        <f>(9310*BW$5/BW239)-BW$318</f>
        <v>1.9689447831332932E-2</v>
      </c>
      <c r="BX296" s="386">
        <f>(9462*BX$5/BX239)-BX$318</f>
        <v>2.6619404587814893E-2</v>
      </c>
      <c r="BY296" s="386">
        <f>(9506*BY$5/BY239)-BY$318</f>
        <v>2.8771632366697837E-2</v>
      </c>
      <c r="BZ296" s="386">
        <f>(8700*BZ$5/BZ239)-BZ$318</f>
        <v>2.3539037546488492E-2</v>
      </c>
      <c r="CA296" s="386">
        <f>(10267*CA$5/CA239)-CA$318</f>
        <v>1.7312737771323146E-2</v>
      </c>
      <c r="CB296" s="386">
        <f>(10274*CB$5/CB239)-CB$318</f>
        <v>1.9583957258023955E-2</v>
      </c>
      <c r="CC296" s="70">
        <f t="shared" ref="CC296:CY296" si="3188">CC354/CC239*CC$5</f>
        <v>1.5682045482625594E-2</v>
      </c>
      <c r="CD296" s="70">
        <f t="shared" si="3188"/>
        <v>1.5083230409297013E-2</v>
      </c>
      <c r="CE296" s="70">
        <f t="shared" si="3188"/>
        <v>1.1970272821972815E-2</v>
      </c>
      <c r="CF296" s="70">
        <f t="shared" si="3188"/>
        <v>1.922683157341044E-2</v>
      </c>
      <c r="CG296" s="70">
        <f t="shared" si="3188"/>
        <v>1.5979875732940553E-2</v>
      </c>
      <c r="CH296" s="70">
        <f t="shared" si="3188"/>
        <v>1.3833718302980861E-2</v>
      </c>
      <c r="CI296" s="70">
        <f t="shared" si="3188"/>
        <v>8.5051764818492928E-3</v>
      </c>
      <c r="CJ296" s="70">
        <f t="shared" si="3188"/>
        <v>2.3950787517084505E-2</v>
      </c>
      <c r="CK296" s="70">
        <f t="shared" si="3188"/>
        <v>1.6095420949727164E-2</v>
      </c>
      <c r="CL296" s="70">
        <f t="shared" si="3188"/>
        <v>1.5462100213183174E-2</v>
      </c>
      <c r="CM296" s="232">
        <f t="shared" si="3188"/>
        <v>1.7571031457343157E-2</v>
      </c>
      <c r="CN296" s="232">
        <f t="shared" si="3188"/>
        <v>2.0522809583707068E-2</v>
      </c>
      <c r="CO296" s="232">
        <f t="shared" si="3188"/>
        <v>1.9194040541590858E-2</v>
      </c>
      <c r="CP296" s="232">
        <f t="shared" si="3188"/>
        <v>1.8801886719136015E-2</v>
      </c>
      <c r="CQ296" s="232">
        <f t="shared" si="3188"/>
        <v>1.9908527798277609E-2</v>
      </c>
      <c r="CR296" s="232">
        <f t="shared" si="3188"/>
        <v>2.1459226700898504E-2</v>
      </c>
      <c r="CS296" s="232">
        <f t="shared" si="3188"/>
        <v>2.0210969056334478E-2</v>
      </c>
      <c r="CT296" s="232">
        <f t="shared" si="3188"/>
        <v>2.2093163338727361E-2</v>
      </c>
      <c r="CU296" s="232">
        <f t="shared" si="3188"/>
        <v>2.3625431685784525E-2</v>
      </c>
      <c r="CV296" s="232">
        <f t="shared" si="3188"/>
        <v>2.224666567043122E-2</v>
      </c>
      <c r="CW296" s="232">
        <f t="shared" si="3188"/>
        <v>1.6828295209936388E-2</v>
      </c>
      <c r="CX296" s="232">
        <f t="shared" si="3188"/>
        <v>1.4335397795199383E-2</v>
      </c>
      <c r="CY296" s="232">
        <f t="shared" si="3188"/>
        <v>1.5436188287135369E-2</v>
      </c>
      <c r="CZ296" s="418">
        <f>AVERAGE(AX296:AY296)</f>
        <v>1.5339496422356196E-2</v>
      </c>
      <c r="DA296" s="387">
        <f>AVERAGE(AZ296:BA296)</f>
        <v>1.597728914653733E-2</v>
      </c>
      <c r="DB296" s="387">
        <f>AVERAGE(BB296:BC296)</f>
        <v>1.5765910454862794E-2</v>
      </c>
      <c r="DC296" s="387">
        <f>AVERAGE(BD296:BE296)</f>
        <v>1.5503292202078207E-2</v>
      </c>
      <c r="DD296" s="387">
        <f>AVERAGE(BF296:BG296)</f>
        <v>1.5314161544663574E-2</v>
      </c>
      <c r="DE296" s="387">
        <f>AVERAGE(BH296:BI296)</f>
        <v>1.5148830354233813E-2</v>
      </c>
      <c r="DF296" s="564">
        <f>AVERAGE(BJ296:BK296)</f>
        <v>1.4957412260272597E-2</v>
      </c>
      <c r="DG296" s="564">
        <f>AVERAGE(BL296:BM296)</f>
        <v>1.4757412260272598E-2</v>
      </c>
      <c r="DH296" s="564">
        <f>AVERAGE(BN296:BO296)</f>
        <v>1.4557412260272599E-2</v>
      </c>
      <c r="DI296" s="564">
        <f>AVERAGE(BP296:BQ296)</f>
        <v>1.43574122602726E-2</v>
      </c>
    </row>
    <row r="297" spans="1:113" ht="12" outlineLevel="1">
      <c r="C297" s="345"/>
      <c r="D297" s="345"/>
      <c r="E297" s="345"/>
      <c r="F297" s="345"/>
      <c r="G297" s="345"/>
      <c r="H297" s="345"/>
      <c r="I297" s="345"/>
      <c r="J297" s="345"/>
      <c r="K297" s="345"/>
      <c r="L297" s="345"/>
      <c r="M297" s="35"/>
      <c r="N297" s="35"/>
      <c r="O297" s="35"/>
      <c r="P297" s="35"/>
      <c r="Q297" s="35"/>
      <c r="R297" s="35"/>
      <c r="S297" s="35"/>
      <c r="T297" s="35"/>
      <c r="U297" s="35"/>
      <c r="V297" s="35"/>
      <c r="W297" s="35"/>
      <c r="X297" s="35"/>
      <c r="Y297" s="37"/>
      <c r="Z297" s="37"/>
      <c r="AA297" s="37"/>
      <c r="AB297" s="37"/>
      <c r="AC297" s="37"/>
      <c r="AD297" s="37"/>
      <c r="AE297" s="37"/>
      <c r="AF297" s="357"/>
      <c r="AG297" s="37"/>
      <c r="AH297" s="37"/>
      <c r="AI297" s="37"/>
      <c r="AJ297" s="37"/>
      <c r="AK297" s="37"/>
      <c r="AL297" s="37"/>
      <c r="AM297" s="37"/>
      <c r="AN297" s="37"/>
      <c r="AO297" s="37"/>
      <c r="AP297" s="37"/>
      <c r="AQ297" s="37"/>
      <c r="AR297" s="37"/>
      <c r="AS297" s="37"/>
      <c r="AT297" s="37"/>
      <c r="AU297" s="37"/>
      <c r="AV297" s="37"/>
      <c r="AW297" s="37"/>
      <c r="AX297" s="37"/>
      <c r="AY297" s="36"/>
      <c r="AZ297" s="35"/>
      <c r="BA297" s="35"/>
      <c r="BB297" s="35"/>
      <c r="BC297" s="35"/>
      <c r="BD297" s="35"/>
      <c r="BE297" s="35"/>
      <c r="BF297" s="35"/>
      <c r="BG297" s="35"/>
      <c r="BH297" s="35"/>
      <c r="BI297" s="35"/>
      <c r="BJ297" s="35"/>
      <c r="BK297" s="35"/>
      <c r="BL297" s="35"/>
      <c r="BM297" s="35"/>
      <c r="BN297" s="35"/>
      <c r="BO297" s="35"/>
      <c r="BP297" s="35"/>
      <c r="BQ297" s="35"/>
      <c r="BR297" s="35"/>
      <c r="BS297" s="345"/>
      <c r="BT297" s="345"/>
      <c r="BU297" s="345"/>
      <c r="BV297" s="345"/>
      <c r="BW297" s="345"/>
      <c r="BX297" s="345"/>
      <c r="BY297" s="345"/>
      <c r="BZ297" s="345"/>
      <c r="CA297" s="345"/>
      <c r="CB297" s="345"/>
      <c r="CC297" s="35"/>
      <c r="CD297" s="35"/>
      <c r="CE297" s="35"/>
      <c r="CF297" s="35"/>
      <c r="CG297" s="35"/>
      <c r="CH297" s="35"/>
      <c r="CI297" s="35"/>
      <c r="CJ297" s="35"/>
      <c r="CK297" s="35"/>
      <c r="CL297" s="35"/>
      <c r="CM297" s="37"/>
      <c r="CN297" s="37"/>
      <c r="CO297" s="37"/>
      <c r="CP297" s="37"/>
      <c r="CQ297" s="37"/>
      <c r="CR297" s="37"/>
      <c r="CS297" s="37"/>
      <c r="CT297" s="37"/>
      <c r="CU297" s="37"/>
      <c r="CV297" s="37"/>
      <c r="CW297" s="37"/>
      <c r="CX297" s="37"/>
      <c r="CY297" s="37"/>
      <c r="CZ297" s="348"/>
      <c r="DA297" s="345"/>
      <c r="DB297" s="345"/>
      <c r="DC297" s="15"/>
      <c r="DD297" s="15"/>
      <c r="DE297" s="15"/>
      <c r="DF297" s="565"/>
      <c r="DG297" s="565"/>
      <c r="DH297" s="565"/>
      <c r="DI297" s="565"/>
    </row>
    <row r="298" spans="1:113" s="17" customFormat="1" ht="12" hidden="1" outlineLevel="2">
      <c r="A298" s="15"/>
      <c r="B298" s="17" t="s">
        <v>591</v>
      </c>
      <c r="C298" s="387"/>
      <c r="D298" s="387"/>
      <c r="E298" s="387"/>
      <c r="F298" s="387"/>
      <c r="G298" s="387"/>
      <c r="H298" s="387"/>
      <c r="I298" s="387"/>
      <c r="J298" s="387"/>
      <c r="K298" s="387"/>
      <c r="L298" s="387"/>
      <c r="M298" s="70"/>
      <c r="N298" s="70"/>
      <c r="O298" s="70"/>
      <c r="P298" s="70"/>
      <c r="Q298" s="70"/>
      <c r="R298" s="70"/>
      <c r="S298" s="70"/>
      <c r="T298" s="70"/>
      <c r="U298" s="70"/>
      <c r="V298" s="70"/>
      <c r="W298" s="70"/>
      <c r="X298" s="70"/>
      <c r="Y298" s="232"/>
      <c r="Z298" s="232"/>
      <c r="AA298" s="232"/>
      <c r="AB298" s="232"/>
      <c r="AC298" s="410"/>
      <c r="AD298" s="410"/>
      <c r="AE298" s="410"/>
      <c r="AF298" s="428"/>
      <c r="AG298" s="232"/>
      <c r="AH298" s="232"/>
      <c r="AI298" s="232"/>
      <c r="AJ298" s="232"/>
      <c r="AK298" s="232"/>
      <c r="AL298" s="232"/>
      <c r="AM298" s="232"/>
      <c r="AN298" s="232"/>
      <c r="AO298" s="232"/>
      <c r="AP298" s="232"/>
      <c r="AQ298" s="232"/>
      <c r="AR298" s="232"/>
      <c r="AS298" s="232"/>
      <c r="AT298" s="232"/>
      <c r="AU298" s="232"/>
      <c r="AV298" s="232"/>
      <c r="AW298" s="232"/>
      <c r="AX298" s="232"/>
      <c r="AY298" s="72"/>
      <c r="AZ298" s="70"/>
      <c r="BA298" s="70"/>
      <c r="BB298" s="70"/>
      <c r="BC298" s="70"/>
      <c r="BD298" s="70"/>
      <c r="BE298" s="70"/>
      <c r="BF298" s="70"/>
      <c r="BG298" s="70"/>
      <c r="BH298" s="70"/>
      <c r="BI298" s="70"/>
      <c r="BJ298" s="70"/>
      <c r="BK298" s="70"/>
      <c r="BL298" s="70"/>
      <c r="BM298" s="70"/>
      <c r="BN298" s="70"/>
      <c r="BO298" s="70"/>
      <c r="BP298" s="70"/>
      <c r="BQ298" s="70"/>
      <c r="BR298" s="70"/>
      <c r="BS298" s="387"/>
      <c r="BT298" s="387"/>
      <c r="BU298" s="387"/>
      <c r="BV298" s="387"/>
      <c r="BW298" s="387"/>
      <c r="BX298" s="387"/>
      <c r="BY298" s="387"/>
      <c r="BZ298" s="387"/>
      <c r="CA298" s="387"/>
      <c r="CB298" s="387"/>
      <c r="CC298" s="70"/>
      <c r="CD298" s="70"/>
      <c r="CE298" s="70"/>
      <c r="CF298" s="70"/>
      <c r="CG298" s="70"/>
      <c r="CH298" s="70"/>
      <c r="CI298" s="70"/>
      <c r="CJ298" s="70"/>
      <c r="CK298" s="70"/>
      <c r="CL298" s="70"/>
      <c r="CM298" s="232"/>
      <c r="CN298" s="232"/>
      <c r="CO298" s="232"/>
      <c r="CP298" s="232"/>
      <c r="CQ298" s="232"/>
      <c r="CR298" s="232"/>
      <c r="CS298" s="232"/>
      <c r="CT298" s="232"/>
      <c r="CU298" s="232"/>
      <c r="CV298" s="232"/>
      <c r="CW298" s="232"/>
      <c r="CX298" s="232"/>
      <c r="CY298" s="232"/>
      <c r="CZ298" s="418"/>
      <c r="DA298" s="387"/>
      <c r="DB298" s="387"/>
      <c r="DF298" s="566"/>
      <c r="DG298" s="566"/>
      <c r="DH298" s="566"/>
      <c r="DI298" s="566"/>
    </row>
    <row r="299" spans="1:113" ht="12" hidden="1" outlineLevel="2">
      <c r="A299" s="1" t="s">
        <v>75</v>
      </c>
      <c r="B299" s="15" t="s">
        <v>592</v>
      </c>
      <c r="C299" s="388">
        <f t="shared" ref="C299:K299" si="3189">C$318-((0+0)*C$5/C242)</f>
        <v>4.8563833333333327E-2</v>
      </c>
      <c r="D299" s="388">
        <f t="shared" si="3189"/>
        <v>4.3449999999999996E-2</v>
      </c>
      <c r="E299" s="388">
        <f t="shared" si="3189"/>
        <v>4.9258500000000004E-2</v>
      </c>
      <c r="F299" s="388">
        <f t="shared" si="3189"/>
        <v>4.8122166666666667E-2</v>
      </c>
      <c r="G299" s="388">
        <f t="shared" si="3189"/>
        <v>4.7991666666666676E-2</v>
      </c>
      <c r="H299" s="388">
        <f t="shared" si="3189"/>
        <v>5.4583333333333331E-2</v>
      </c>
      <c r="I299" s="388">
        <f t="shared" si="3189"/>
        <v>5.4836000000000003E-2</v>
      </c>
      <c r="J299" s="388">
        <f t="shared" si="3189"/>
        <v>5.5772166666666657E-2</v>
      </c>
      <c r="K299" s="388">
        <f t="shared" si="3189"/>
        <v>5.662233333333333E-2</v>
      </c>
      <c r="L299" s="388">
        <f>L$318-((228+812)*L$5/L242)</f>
        <v>1.946405533535376E-2</v>
      </c>
      <c r="M299" s="73">
        <f>M$318-((252+939)*M$5/M242)</f>
        <v>2.0749579527531849E-2</v>
      </c>
      <c r="N299" s="73">
        <f>N$318-((285+1132)*N$5/N242)</f>
        <v>2.0566142222473369E-2</v>
      </c>
      <c r="O299" s="73">
        <f>O$318-((312+1279)*O$5/O242)</f>
        <v>2.0857142660086689E-2</v>
      </c>
      <c r="P299" s="73">
        <f>P$318-((366+1532)*P$5/P242)</f>
        <v>2.4276739490330088E-2</v>
      </c>
      <c r="Q299" s="73">
        <f>Q$318-((412+1662)*Q$5/Q242)</f>
        <v>2.3334815235573639E-2</v>
      </c>
      <c r="R299" s="73">
        <f>R$318-((320+1103)*R$5/R242)</f>
        <v>8.493116130157477E-3</v>
      </c>
      <c r="S299" s="73">
        <f>S$318-((257+849)*S$5/S242)</f>
        <v>7.6580432699098443E-3</v>
      </c>
      <c r="T299" s="38">
        <f>T$318-((299+979)*T$5/T242)</f>
        <v>1.1963761843916065E-2</v>
      </c>
      <c r="U299" s="38">
        <f>U$318-((1135+362)*U$5/U242)</f>
        <v>1.321197834030232E-2</v>
      </c>
      <c r="V299" s="38">
        <f>V$318-((1236+404)*V$5/V242)</f>
        <v>1.2163559486265567E-2</v>
      </c>
      <c r="W299" s="38">
        <f>W$318-((1411+417)*W$5/W242)</f>
        <v>1.0319551821631821E-2</v>
      </c>
      <c r="X299" s="38">
        <f>X$318-((1505+433)*X$5/X242)</f>
        <v>7.6950199330096739E-3</v>
      </c>
      <c r="Y299" s="73">
        <f>Y$318-((1341+428)*Y$5/Y242)</f>
        <v>3.07308746148513E-3</v>
      </c>
      <c r="Z299" s="144">
        <f>Z$318-((1217+424)*Z$5/Z242)</f>
        <v>1.5483410953176582E-3</v>
      </c>
      <c r="AA299" s="144">
        <f>AA$318-((1180+132)*AA$5/AA242)</f>
        <v>5.3896169039461123E-3</v>
      </c>
      <c r="AB299" s="144">
        <f>AB$318-((1198+199)*AB$5/AB242)</f>
        <v>4.5905661759496896E-3</v>
      </c>
      <c r="AC299" s="144">
        <f>AC$318-((1296+249)*AC$5/AC242)</f>
        <v>4.5461613111117301E-3</v>
      </c>
      <c r="AD299" s="330">
        <f>AC299+AD314-AC314</f>
        <v>2.5123844103106001E-3</v>
      </c>
      <c r="AE299" s="330">
        <f t="shared" ref="AE299:AX300" si="3190">AD299+AE314-AD314</f>
        <v>1.0222306898509141E-3</v>
      </c>
      <c r="AF299" s="330">
        <f t="shared" si="3190"/>
        <v>3.2092916677265567E-3</v>
      </c>
      <c r="AG299" s="330">
        <f t="shared" si="3190"/>
        <v>2.0984117557833496E-3</v>
      </c>
      <c r="AH299" s="330">
        <f t="shared" si="3190"/>
        <v>2.1496448146941299E-3</v>
      </c>
      <c r="AI299" s="330">
        <f t="shared" si="3190"/>
        <v>2.3068330894004162E-3</v>
      </c>
      <c r="AJ299" s="330">
        <f t="shared" si="3190"/>
        <v>1.9130392695417752E-3</v>
      </c>
      <c r="AK299" s="330">
        <f t="shared" si="3190"/>
        <v>3.7504711744993759E-3</v>
      </c>
      <c r="AL299" s="330">
        <f t="shared" si="3190"/>
        <v>3.0681476311746354E-3</v>
      </c>
      <c r="AM299" s="330">
        <f t="shared" si="3190"/>
        <v>-2.0323790801516483E-3</v>
      </c>
      <c r="AN299" s="330">
        <f t="shared" si="3190"/>
        <v>-3.1538515448611953E-3</v>
      </c>
      <c r="AO299" s="330">
        <f t="shared" si="3190"/>
        <v>-6.4160736057021581E-3</v>
      </c>
      <c r="AP299" s="330">
        <f t="shared" si="3190"/>
        <v>-6.2705674881466241E-3</v>
      </c>
      <c r="AQ299" s="330">
        <f t="shared" si="3190"/>
        <v>-5.7609346425245159E-3</v>
      </c>
      <c r="AR299" s="330">
        <f t="shared" si="3190"/>
        <v>-5.3515576941729412E-3</v>
      </c>
      <c r="AS299" s="330">
        <f t="shared" si="3190"/>
        <v>5.5185250802401017E-3</v>
      </c>
      <c r="AT299" s="330">
        <f t="shared" si="3190"/>
        <v>7.6898431544754862E-3</v>
      </c>
      <c r="AU299" s="330">
        <f t="shared" si="3190"/>
        <v>6.8603970266314374E-3</v>
      </c>
      <c r="AV299" s="330">
        <f t="shared" si="3190"/>
        <v>4.8672300611491554E-3</v>
      </c>
      <c r="AW299" s="330">
        <f t="shared" si="3190"/>
        <v>4.2358388522350174E-3</v>
      </c>
      <c r="AX299" s="330">
        <f t="shared" si="3190"/>
        <v>-1.7790398962074377E-3</v>
      </c>
      <c r="AY299" s="439"/>
      <c r="AZ299" s="35"/>
      <c r="BA299" s="35"/>
      <c r="BB299" s="35"/>
      <c r="BC299" s="35"/>
      <c r="BD299" s="35"/>
      <c r="BE299" s="35"/>
      <c r="BF299" s="35"/>
      <c r="BG299" s="35"/>
      <c r="BH299" s="35"/>
      <c r="BI299" s="35"/>
      <c r="BJ299" s="35"/>
      <c r="BK299" s="35"/>
      <c r="BL299" s="35"/>
      <c r="BM299" s="35"/>
      <c r="BN299" s="35"/>
      <c r="BO299" s="35"/>
      <c r="BP299" s="35"/>
      <c r="BQ299" s="35"/>
      <c r="BR299" s="35"/>
      <c r="BS299" s="345"/>
      <c r="BT299" s="345"/>
      <c r="BU299" s="345"/>
      <c r="BV299" s="345"/>
      <c r="BW299" s="345"/>
      <c r="BX299" s="345"/>
      <c r="BY299" s="345"/>
      <c r="BZ299" s="345"/>
      <c r="CA299" s="345"/>
      <c r="CB299" s="345"/>
      <c r="CC299" s="35">
        <f>CC357/CC242*CC$5</f>
        <v>4.6435097414159465E-2</v>
      </c>
      <c r="CD299" s="35">
        <f t="shared" ref="CD299:CQ301" si="3191">CD357/CD242*CD$5</f>
        <v>4.8058422370064184E-2</v>
      </c>
      <c r="CE299" s="35">
        <f t="shared" si="3191"/>
        <v>5.471123568879372E-2</v>
      </c>
      <c r="CF299" s="35">
        <f t="shared" si="3191"/>
        <v>5.6222668342512598E-2</v>
      </c>
      <c r="CG299" s="35">
        <f t="shared" si="3191"/>
        <v>2.0129464992446177E-2</v>
      </c>
      <c r="CH299" s="35">
        <f t="shared" si="3191"/>
        <v>2.0883058574461291E-2</v>
      </c>
      <c r="CI299" s="35">
        <f t="shared" si="3191"/>
        <v>2.3803245341070627E-2</v>
      </c>
      <c r="CJ299" s="35">
        <f t="shared" si="3191"/>
        <v>8.0603643330489309E-3</v>
      </c>
      <c r="CK299" s="35">
        <f t="shared" si="3191"/>
        <v>1.2583450830423048E-2</v>
      </c>
      <c r="CL299" s="35">
        <f t="shared" si="3191"/>
        <v>1.1211094042740177E-2</v>
      </c>
      <c r="CM299" s="37">
        <f t="shared" si="3191"/>
        <v>5.3648957488812805E-3</v>
      </c>
      <c r="CN299" s="37">
        <f t="shared" si="3191"/>
        <v>3.5217957553602855E-3</v>
      </c>
      <c r="CO299" s="37">
        <f t="shared" si="3191"/>
        <v>4.567582052094509E-3</v>
      </c>
      <c r="CP299" s="37">
        <f t="shared" si="3191"/>
        <v>1.7431124988229723E-3</v>
      </c>
      <c r="CQ299" s="37">
        <f t="shared" si="3191"/>
        <v>2.6471453015088106E-3</v>
      </c>
      <c r="CR299" s="37">
        <f t="shared" ref="CR299:CS301" si="3192">CR357/CR242*CR$5</f>
        <v>2.2322914264900481E-3</v>
      </c>
      <c r="CS299" s="37">
        <f t="shared" si="3192"/>
        <v>2.8344940018317044E-3</v>
      </c>
      <c r="CT299" s="37">
        <f t="shared" ref="CT299:CU299" si="3193">CT357/CT242*CT$5</f>
        <v>4.2514364916823523E-4</v>
      </c>
      <c r="CU299" s="37">
        <f t="shared" si="3193"/>
        <v>-4.907104851346795E-3</v>
      </c>
      <c r="CV299" s="37">
        <f t="shared" ref="CV299:CW299" si="3194">CV357/CV242*CV$5</f>
        <v>-6.0123941225752545E-3</v>
      </c>
      <c r="CW299" s="37">
        <f t="shared" si="3194"/>
        <v>1.7711023355407039E-4</v>
      </c>
      <c r="CX299" s="37">
        <f t="shared" ref="CX299" si="3195">CX357/CX242*CX$5</f>
        <v>7.2785957629708615E-3</v>
      </c>
      <c r="CY299" s="37">
        <f t="shared" ref="CY299:CY301" si="3196">CY357/CY242*CY$5</f>
        <v>4.5456209534788629E-3</v>
      </c>
      <c r="CZ299" s="348"/>
      <c r="DA299" s="345"/>
      <c r="DB299" s="345"/>
      <c r="DC299" s="345"/>
      <c r="DD299" s="345"/>
      <c r="DE299" s="345"/>
      <c r="DF299" s="567"/>
      <c r="DG299" s="567"/>
      <c r="DH299" s="567"/>
      <c r="DI299" s="567"/>
    </row>
    <row r="300" spans="1:113" ht="12" hidden="1" outlineLevel="2">
      <c r="A300" s="1" t="s">
        <v>38</v>
      </c>
      <c r="B300" s="15" t="s">
        <v>473</v>
      </c>
      <c r="C300" s="388">
        <f t="shared" ref="C300:K300" si="3197">C$318-((0)*C$5/C243)</f>
        <v>4.8563833333333327E-2</v>
      </c>
      <c r="D300" s="388">
        <f t="shared" si="3197"/>
        <v>4.3449999999999996E-2</v>
      </c>
      <c r="E300" s="388">
        <f t="shared" si="3197"/>
        <v>4.9258500000000004E-2</v>
      </c>
      <c r="F300" s="388">
        <f t="shared" si="3197"/>
        <v>4.8122166666666667E-2</v>
      </c>
      <c r="G300" s="388">
        <f t="shared" si="3197"/>
        <v>4.7991666666666676E-2</v>
      </c>
      <c r="H300" s="388">
        <f t="shared" si="3197"/>
        <v>5.4583333333333331E-2</v>
      </c>
      <c r="I300" s="388">
        <f t="shared" si="3197"/>
        <v>5.4836000000000003E-2</v>
      </c>
      <c r="J300" s="388">
        <f t="shared" si="3197"/>
        <v>5.5772166666666657E-2</v>
      </c>
      <c r="K300" s="388">
        <f t="shared" si="3197"/>
        <v>5.662233333333333E-2</v>
      </c>
      <c r="L300" s="388">
        <f>L$318-((1151)*L$5/L243)</f>
        <v>4.9532838349609226E-4</v>
      </c>
      <c r="M300" s="73">
        <f>M$318-((1294)*M$5/M243)</f>
        <v>2.1078960742422909E-3</v>
      </c>
      <c r="N300" s="73">
        <f>N$318-((1430)*N$5/N243)</f>
        <v>2.1922510342626267E-3</v>
      </c>
      <c r="O300" s="73">
        <f>O$318-((1640)*O$5/O243)</f>
        <v>2.1246039808771877E-3</v>
      </c>
      <c r="P300" s="73">
        <f>P$318-((2310)*P$5/P243)</f>
        <v>4.2369006603333592E-3</v>
      </c>
      <c r="Q300" s="73">
        <f>Q$318-((2914)*Q$5/Q243)</f>
        <v>2.7937357758847647E-4</v>
      </c>
      <c r="R300" s="73">
        <f>R$318-((2577)*R$5/R243)</f>
        <v>-1.6655873073909623E-2</v>
      </c>
      <c r="S300" s="73">
        <f>S$318-((1732)*S$5/S243)</f>
        <v>-7.278709698249182E-3</v>
      </c>
      <c r="T300" s="38">
        <f>T$318-((2151)*T$5/T243)</f>
        <v>-3.884798720892646E-3</v>
      </c>
      <c r="U300" s="38">
        <f>U$318-((2725)*U$5/U243)</f>
        <v>-4.5810050003653249E-3</v>
      </c>
      <c r="V300" s="38">
        <f>V$318-((3330)*V$5/V243)</f>
        <v>-5.6723496183734151E-3</v>
      </c>
      <c r="W300" s="38">
        <f>W$318-((3534)*W$5/W243)</f>
        <v>-6.3941326535607163E-3</v>
      </c>
      <c r="X300" s="38">
        <f>X$318-((3468)*X$5/X243)</f>
        <v>-8.2257430092783426E-3</v>
      </c>
      <c r="Y300" s="73">
        <f>Y$318-((3354)*Y$5/Y243)</f>
        <v>-1.1608417852548437E-2</v>
      </c>
      <c r="Z300" s="144">
        <f>Z$318-((2803)*Z$5/Z243)</f>
        <v>-1.0770190487866951E-2</v>
      </c>
      <c r="AA300" s="144">
        <f>AA$318-((2509)*AA$5/AA243)</f>
        <v>-9.0336747648833184E-3</v>
      </c>
      <c r="AB300" s="144">
        <f>AB$318-((2255)*AB$5/AB243)</f>
        <v>-7.0957823400204859E-3</v>
      </c>
      <c r="AC300" s="144">
        <f>AC$318-((2160)*AC$5/AC243)</f>
        <v>-5.5135234364394881E-3</v>
      </c>
      <c r="AD300" s="330">
        <f>AC300+AD315-AC315</f>
        <v>-5.3736166495961593E-3</v>
      </c>
      <c r="AE300" s="330">
        <f t="shared" si="3190"/>
        <v>-6.6164903499321241E-3</v>
      </c>
      <c r="AF300" s="330">
        <f t="shared" si="3190"/>
        <v>-5.0813470087096996E-3</v>
      </c>
      <c r="AG300" s="330">
        <f t="shared" si="3190"/>
        <v>-7.4915404771712588E-3</v>
      </c>
      <c r="AH300" s="330">
        <f t="shared" si="3190"/>
        <v>-9.006033065666174E-3</v>
      </c>
      <c r="AI300" s="330">
        <f t="shared" si="3190"/>
        <v>-1.1001705337424256E-2</v>
      </c>
      <c r="AJ300" s="330">
        <f t="shared" si="3190"/>
        <v>-1.067413308840268E-2</v>
      </c>
      <c r="AK300" s="330">
        <f t="shared" si="3190"/>
        <v>-1.0658054968663233E-2</v>
      </c>
      <c r="AL300" s="330">
        <f t="shared" si="3190"/>
        <v>-1.2500025074484278E-2</v>
      </c>
      <c r="AM300" s="330">
        <f t="shared" si="3190"/>
        <v>-1.7835012644520375E-2</v>
      </c>
      <c r="AN300" s="330">
        <f t="shared" si="3190"/>
        <v>-1.7378698508944797E-2</v>
      </c>
      <c r="AO300" s="330">
        <f t="shared" si="3190"/>
        <v>-1.6766839808129888E-2</v>
      </c>
      <c r="AP300" s="330">
        <f t="shared" si="3190"/>
        <v>-1.2515600104599954E-2</v>
      </c>
      <c r="AQ300" s="330">
        <f t="shared" si="3190"/>
        <v>-1.0523112069121317E-2</v>
      </c>
      <c r="AR300" s="330">
        <f t="shared" si="3190"/>
        <v>-1.0513424273374291E-2</v>
      </c>
      <c r="AS300" s="330">
        <f t="shared" si="3190"/>
        <v>-4.6346997046431424E-3</v>
      </c>
      <c r="AT300" s="330">
        <f t="shared" si="3190"/>
        <v>-8.9838849066018432E-3</v>
      </c>
      <c r="AU300" s="330">
        <f t="shared" si="3190"/>
        <v>-1.1732597754047187E-2</v>
      </c>
      <c r="AV300" s="330">
        <f t="shared" si="3190"/>
        <v>-1.3184947144023188E-2</v>
      </c>
      <c r="AW300" s="330">
        <f t="shared" si="3190"/>
        <v>-1.2285026553027861E-2</v>
      </c>
      <c r="AX300" s="330">
        <f t="shared" si="3190"/>
        <v>-1.0177183551615256E-2</v>
      </c>
      <c r="AY300" s="439"/>
      <c r="AZ300" s="35"/>
      <c r="BA300" s="35"/>
      <c r="BB300" s="35"/>
      <c r="BC300" s="35"/>
      <c r="BD300" s="35"/>
      <c r="BE300" s="35"/>
      <c r="BF300" s="35"/>
      <c r="BG300" s="35"/>
      <c r="BH300" s="35"/>
      <c r="BI300" s="35"/>
      <c r="BJ300" s="35"/>
      <c r="BK300" s="35"/>
      <c r="BL300" s="35"/>
      <c r="BM300" s="35"/>
      <c r="BN300" s="35"/>
      <c r="BO300" s="35"/>
      <c r="BP300" s="35"/>
      <c r="BQ300" s="35"/>
      <c r="BR300" s="35"/>
      <c r="BS300" s="345"/>
      <c r="BT300" s="345"/>
      <c r="BU300" s="345"/>
      <c r="BV300" s="345"/>
      <c r="BW300" s="345"/>
      <c r="BX300" s="345"/>
      <c r="BY300" s="345"/>
      <c r="BZ300" s="345"/>
      <c r="CA300" s="345"/>
      <c r="CB300" s="345"/>
      <c r="CC300" s="35">
        <f>CC358/CC243*CC$5</f>
        <v>4.6561522475848258E-2</v>
      </c>
      <c r="CD300" s="35">
        <f t="shared" si="3191"/>
        <v>4.8063648247345069E-2</v>
      </c>
      <c r="CE300" s="35">
        <f t="shared" si="3191"/>
        <v>5.4717189848516784E-2</v>
      </c>
      <c r="CF300" s="35">
        <f t="shared" si="3191"/>
        <v>5.621211308048131E-2</v>
      </c>
      <c r="CG300" s="35">
        <f t="shared" si="3191"/>
        <v>1.333496820164643E-3</v>
      </c>
      <c r="CH300" s="35">
        <f t="shared" si="3191"/>
        <v>2.1566555924818816E-3</v>
      </c>
      <c r="CI300" s="35">
        <f t="shared" si="3191"/>
        <v>2.1238680415031686E-3</v>
      </c>
      <c r="CJ300" s="35">
        <f t="shared" si="3191"/>
        <v>-1.1952531655034539E-2</v>
      </c>
      <c r="CK300" s="35">
        <f t="shared" si="3191"/>
        <v>-4.2475214504031434E-3</v>
      </c>
      <c r="CL300" s="35">
        <f t="shared" si="3191"/>
        <v>-6.0423820370905336E-3</v>
      </c>
      <c r="CM300" s="37">
        <f t="shared" si="3191"/>
        <v>-9.9729278327168359E-3</v>
      </c>
      <c r="CN300" s="37">
        <f t="shared" si="3191"/>
        <v>-9.8941015674140261E-3</v>
      </c>
      <c r="CO300" s="37">
        <f t="shared" si="3191"/>
        <v>-6.310077273125725E-3</v>
      </c>
      <c r="CP300" s="37">
        <f t="shared" si="3191"/>
        <v>-5.9833847347089165E-3</v>
      </c>
      <c r="CQ300" s="37">
        <f t="shared" si="3191"/>
        <v>-6.2881646065850189E-3</v>
      </c>
      <c r="CR300" s="37">
        <f t="shared" si="3192"/>
        <v>-9.9893523283085348E-3</v>
      </c>
      <c r="CS300" s="37">
        <f t="shared" si="3192"/>
        <v>-1.0666220809011853E-2</v>
      </c>
      <c r="CT300" s="37">
        <f t="shared" ref="CT300:CU300" si="3198">CT358/CT243*CT$5</f>
        <v>-1.5158137163095477E-2</v>
      </c>
      <c r="CU300" s="37">
        <f t="shared" si="3198"/>
        <v>-1.708644458053013E-2</v>
      </c>
      <c r="CV300" s="37">
        <f t="shared" ref="CV300:CW300" si="3199">CV358/CV243*CV$5</f>
        <v>-1.1515768823820832E-2</v>
      </c>
      <c r="CW300" s="37">
        <f t="shared" si="3199"/>
        <v>-7.5592505882730188E-3</v>
      </c>
      <c r="CX300" s="37">
        <f t="shared" ref="CX300" si="3200">CX358/CX243*CX$5</f>
        <v>-1.0453860589811244E-2</v>
      </c>
      <c r="CY300" s="37">
        <f t="shared" si="3196"/>
        <v>-1.2728983734078504E-2</v>
      </c>
      <c r="CZ300" s="348"/>
      <c r="DA300" s="345"/>
      <c r="DB300" s="345"/>
      <c r="DC300" s="345"/>
      <c r="DD300" s="345"/>
      <c r="DE300" s="345"/>
      <c r="DF300" s="567"/>
      <c r="DG300" s="567"/>
      <c r="DH300" s="567"/>
      <c r="DI300" s="567"/>
    </row>
    <row r="301" spans="1:113" s="17" customFormat="1" ht="12" hidden="1" outlineLevel="2">
      <c r="A301" s="1" t="s">
        <v>39</v>
      </c>
      <c r="B301" s="17" t="s">
        <v>168</v>
      </c>
      <c r="C301" s="387">
        <f t="shared" ref="C301:L301" si="3201">(C299*C242+C300*C243)/C244</f>
        <v>4.8563833333333327E-2</v>
      </c>
      <c r="D301" s="387">
        <f t="shared" si="3201"/>
        <v>4.3449999999999996E-2</v>
      </c>
      <c r="E301" s="387">
        <f t="shared" si="3201"/>
        <v>4.9258500000000004E-2</v>
      </c>
      <c r="F301" s="387">
        <f t="shared" si="3201"/>
        <v>4.8122166666666667E-2</v>
      </c>
      <c r="G301" s="387">
        <f t="shared" si="3201"/>
        <v>4.7991666666666682E-2</v>
      </c>
      <c r="H301" s="387">
        <f t="shared" si="3201"/>
        <v>5.4583333333333331E-2</v>
      </c>
      <c r="I301" s="387">
        <f t="shared" si="3201"/>
        <v>5.4836000000000003E-2</v>
      </c>
      <c r="J301" s="387">
        <f t="shared" si="3201"/>
        <v>5.5772166666666657E-2</v>
      </c>
      <c r="K301" s="387">
        <f t="shared" si="3201"/>
        <v>5.662233333333333E-2</v>
      </c>
      <c r="L301" s="387">
        <f t="shared" si="3201"/>
        <v>1.1454115484838075E-2</v>
      </c>
      <c r="M301" s="70">
        <f t="shared" ref="M301:X301" si="3202">(M299*M242+M300*M243)/M244</f>
        <v>1.283748301051698E-2</v>
      </c>
      <c r="N301" s="70">
        <f t="shared" si="3202"/>
        <v>1.2948457923091199E-2</v>
      </c>
      <c r="O301" s="70">
        <f t="shared" si="3202"/>
        <v>1.297055682672724E-2</v>
      </c>
      <c r="P301" s="70">
        <f t="shared" si="3202"/>
        <v>1.4986469044690599E-2</v>
      </c>
      <c r="Q301" s="70">
        <f t="shared" si="3202"/>
        <v>1.1926671162913309E-2</v>
      </c>
      <c r="R301" s="70">
        <f t="shared" si="3202"/>
        <v>-4.3261335707123786E-3</v>
      </c>
      <c r="S301" s="70">
        <f t="shared" si="3202"/>
        <v>2.9221752669536505E-4</v>
      </c>
      <c r="T301" s="70">
        <f t="shared" si="3202"/>
        <v>3.7013951071642138E-3</v>
      </c>
      <c r="U301" s="70">
        <f t="shared" si="3202"/>
        <v>3.5017002193837351E-3</v>
      </c>
      <c r="V301" s="70">
        <f t="shared" si="3202"/>
        <v>1.8444837368643905E-3</v>
      </c>
      <c r="W301" s="70">
        <f t="shared" si="3202"/>
        <v>7.1293722245321467E-4</v>
      </c>
      <c r="X301" s="70">
        <f t="shared" si="3202"/>
        <v>-1.1664975855669038E-3</v>
      </c>
      <c r="Y301" s="232">
        <f t="shared" ref="Y301:AD301" si="3203">(Y299*Y242+Y300*Y243)/Y244</f>
        <v>-5.2783622503746481E-3</v>
      </c>
      <c r="Z301" s="232">
        <f t="shared" si="3203"/>
        <v>-5.1789551840826231E-3</v>
      </c>
      <c r="AA301" s="232">
        <f t="shared" si="3203"/>
        <v>-2.3545902221638634E-3</v>
      </c>
      <c r="AB301" s="232">
        <f t="shared" si="3203"/>
        <v>-1.3846594492734462E-3</v>
      </c>
      <c r="AC301" s="232">
        <f t="shared" si="3203"/>
        <v>-3.8635357672513665E-4</v>
      </c>
      <c r="AD301" s="340">
        <f t="shared" si="3203"/>
        <v>-1.0422012475427469E-3</v>
      </c>
      <c r="AE301" s="340">
        <f t="shared" ref="AE301:AF301" si="3204">(AE299*AE242+AE300*AE243)/AE244</f>
        <v>-2.228141131317678E-3</v>
      </c>
      <c r="AF301" s="340">
        <f t="shared" si="3204"/>
        <v>-2.3262151542862894E-4</v>
      </c>
      <c r="AG301" s="340">
        <f t="shared" ref="AG301:AH301" si="3205">(AG299*AG242+AG300*AG243)/AG244</f>
        <v>-1.8334307751642622E-3</v>
      </c>
      <c r="AH301" s="340">
        <f t="shared" si="3205"/>
        <v>-2.3445976449889979E-3</v>
      </c>
      <c r="AI301" s="340">
        <f t="shared" ref="AI301:AJ301" si="3206">(AI299*AI242+AI300*AI243)/AI244</f>
        <v>-2.6370866820503054E-3</v>
      </c>
      <c r="AJ301" s="340">
        <f t="shared" si="3206"/>
        <v>-2.9040377626180607E-3</v>
      </c>
      <c r="AK301" s="340">
        <f t="shared" ref="AK301:AL301" si="3207">(AK299*AK242+AK300*AK243)/AK244</f>
        <v>-1.6365416891778509E-3</v>
      </c>
      <c r="AL301" s="340">
        <f t="shared" si="3207"/>
        <v>-2.761958357595874E-3</v>
      </c>
      <c r="AM301" s="340">
        <f t="shared" ref="AM301:AN301" si="3208">(AM299*AM242+AM300*AM243)/AM244</f>
        <v>-7.6579866612264975E-3</v>
      </c>
      <c r="AN301" s="340">
        <f t="shared" si="3208"/>
        <v>-7.7089780620307876E-3</v>
      </c>
      <c r="AO301" s="340">
        <f t="shared" ref="AO301" si="3209">(AO299*AO242+AO300*AO243)/AO244</f>
        <v>-9.2156136549710645E-3</v>
      </c>
      <c r="AP301" s="340">
        <f t="shared" ref="AP301:AQ301" si="3210">(AP299*AP242+AP300*AP243)/AP244</f>
        <v>-7.9374575945159089E-3</v>
      </c>
      <c r="AQ301" s="340">
        <f t="shared" si="3210"/>
        <v>-7.0142665678997922E-3</v>
      </c>
      <c r="AR301" s="340">
        <f t="shared" ref="AR301:AS301" si="3211">(AR299*AR242+AR300*AR243)/AR244</f>
        <v>-6.5405512484238912E-3</v>
      </c>
      <c r="AS301" s="340">
        <f t="shared" si="3211"/>
        <v>3.2234055688251553E-3</v>
      </c>
      <c r="AT301" s="340">
        <f t="shared" ref="AT301:AU301" si="3212">(AT299*AT242+AT300*AT243)/AT244</f>
        <v>3.3389252684354097E-3</v>
      </c>
      <c r="AU301" s="340">
        <f t="shared" si="3212"/>
        <v>1.4283217074076194E-3</v>
      </c>
      <c r="AV301" s="340">
        <f t="shared" ref="AV301:AW301" si="3213">(AV299*AV242+AV300*AV243)/AV244</f>
        <v>-7.2546029329024185E-4</v>
      </c>
      <c r="AW301" s="340">
        <f t="shared" si="3213"/>
        <v>-8.4442581362022848E-4</v>
      </c>
      <c r="AX301" s="340">
        <f t="shared" ref="AX301" si="3214">(AX299*AX242+AX300*AX243)/AX244</f>
        <v>-4.6152596300582391E-3</v>
      </c>
      <c r="AY301" s="509"/>
      <c r="AZ301" s="70"/>
      <c r="BA301" s="70"/>
      <c r="BB301" s="70"/>
      <c r="BC301" s="70"/>
      <c r="BD301" s="70"/>
      <c r="BE301" s="70"/>
      <c r="BF301" s="70"/>
      <c r="BG301" s="70"/>
      <c r="BH301" s="70"/>
      <c r="BI301" s="70"/>
      <c r="BJ301" s="70"/>
      <c r="BK301" s="70"/>
      <c r="BL301" s="70"/>
      <c r="BM301" s="70"/>
      <c r="BN301" s="70"/>
      <c r="BO301" s="70"/>
      <c r="BP301" s="70"/>
      <c r="BQ301" s="70"/>
      <c r="BR301" s="70"/>
      <c r="BS301" s="386">
        <f>BS$318-((1388.3+312.7+300.2)*BS$5/BS244)</f>
        <v>-1.2095256532302506E-3</v>
      </c>
      <c r="BT301" s="386">
        <f>BT$318-((967+234+289)*BT$5/BT244)</f>
        <v>1.9216494485550795E-3</v>
      </c>
      <c r="BU301" s="386">
        <f>BU$318-((757+209+289)*BU$5/BU244)</f>
        <v>8.4907039151153607E-3</v>
      </c>
      <c r="BV301" s="386">
        <f>BV$318-((1251+239+408)*BV$5/BV244)</f>
        <v>2.3346255155605553E-2</v>
      </c>
      <c r="BW301" s="386">
        <f>BW$318-((1340+264+519)*BW$5/BW244)</f>
        <v>1.7034742871622537E-2</v>
      </c>
      <c r="BX301" s="386">
        <f>BX$318-((1097+22+518)*BX$5/BX244)</f>
        <v>1.6779169242405655E-2</v>
      </c>
      <c r="BY301" s="386">
        <f>BY$318-((975+186+476)*BY$5/BY244)</f>
        <v>1.3753139288690687E-2</v>
      </c>
      <c r="BZ301" s="386">
        <f>BZ$318-((1008+202+522)*BZ$5/BZ244)</f>
        <v>1.2900953901629146E-2</v>
      </c>
      <c r="CA301" s="386">
        <f>CA$318-((1387+247+781)*CA$5/CA244)</f>
        <v>1.5576580429822823E-2</v>
      </c>
      <c r="CB301" s="386">
        <f>CB$318-((1081+269+872)*CB$5/CB244)</f>
        <v>1.2392874010566525E-2</v>
      </c>
      <c r="CC301" s="70">
        <f>CC359/CC244*CC$5</f>
        <v>4.6479514710354775E-2</v>
      </c>
      <c r="CD301" s="70">
        <f t="shared" si="3191"/>
        <v>4.8060370818158324E-2</v>
      </c>
      <c r="CE301" s="70">
        <f t="shared" si="3191"/>
        <v>5.4713603814829863E-2</v>
      </c>
      <c r="CF301" s="70">
        <f t="shared" si="3191"/>
        <v>5.621811848280113E-2</v>
      </c>
      <c r="CG301" s="70">
        <f t="shared" si="3191"/>
        <v>1.2171396625565213E-2</v>
      </c>
      <c r="CH301" s="70">
        <f t="shared" si="3191"/>
        <v>1.3020148471401358E-2</v>
      </c>
      <c r="CI301" s="70">
        <f t="shared" si="3191"/>
        <v>1.3402447776553524E-2</v>
      </c>
      <c r="CJ301" s="70">
        <f t="shared" si="3191"/>
        <v>-1.9714622711718313E-3</v>
      </c>
      <c r="CK301" s="70">
        <f t="shared" si="3191"/>
        <v>3.5997011150501073E-3</v>
      </c>
      <c r="CL301" s="70">
        <f t="shared" si="3191"/>
        <v>1.2625775665941166E-3</v>
      </c>
      <c r="CM301" s="232">
        <f t="shared" si="3191"/>
        <v>-3.2682018835243228E-3</v>
      </c>
      <c r="CN301" s="232">
        <f t="shared" si="3191"/>
        <v>-3.7420717835069768E-3</v>
      </c>
      <c r="CO301" s="232">
        <f t="shared" si="3191"/>
        <v>-8.7847633762476549E-4</v>
      </c>
      <c r="CP301" s="232">
        <f t="shared" si="3191"/>
        <v>-1.6411159776083522E-3</v>
      </c>
      <c r="CQ301" s="232">
        <f t="shared" si="3191"/>
        <v>-1.0391748124139288E-3</v>
      </c>
      <c r="CR301" s="232">
        <f t="shared" si="3192"/>
        <v>-2.4946434519190516E-3</v>
      </c>
      <c r="CS301" s="232">
        <f t="shared" si="3192"/>
        <v>-2.2728961749934476E-3</v>
      </c>
      <c r="CT301" s="232">
        <f t="shared" ref="CT301:CU301" si="3215">CT359/CT244*CT$5</f>
        <v>-5.2633553469428954E-3</v>
      </c>
      <c r="CU301" s="232">
        <f t="shared" si="3215"/>
        <v>-8.4921892763553473E-3</v>
      </c>
      <c r="CV301" s="232">
        <f t="shared" ref="CV301:CW301" si="3216">CV359/CV244*CV$5</f>
        <v>-7.4709521873816869E-3</v>
      </c>
      <c r="CW301" s="232">
        <f t="shared" si="3216"/>
        <v>-1.5880491528137983E-3</v>
      </c>
      <c r="CX301" s="232">
        <f t="shared" ref="CX301" si="3217">CX359/CX244*CX$5</f>
        <v>2.371019486348607E-3</v>
      </c>
      <c r="CY301" s="232">
        <f t="shared" si="3196"/>
        <v>-7.8595830746672093E-4</v>
      </c>
      <c r="CZ301" s="418"/>
      <c r="DA301" s="387"/>
      <c r="DB301" s="387"/>
      <c r="DC301" s="387"/>
      <c r="DD301" s="387"/>
      <c r="DE301" s="387"/>
      <c r="DF301" s="564"/>
      <c r="DG301" s="564"/>
      <c r="DH301" s="564"/>
      <c r="DI301" s="564"/>
    </row>
    <row r="302" spans="1:113" ht="12" hidden="1" outlineLevel="2">
      <c r="C302" s="345"/>
      <c r="D302" s="345"/>
      <c r="E302" s="345"/>
      <c r="F302" s="345"/>
      <c r="G302" s="345"/>
      <c r="H302" s="345"/>
      <c r="I302" s="345"/>
      <c r="J302" s="345"/>
      <c r="K302" s="345"/>
      <c r="L302" s="345"/>
      <c r="M302" s="35"/>
      <c r="N302" s="35"/>
      <c r="O302" s="35"/>
      <c r="P302" s="35"/>
      <c r="Q302" s="35"/>
      <c r="R302" s="35"/>
      <c r="S302" s="35"/>
      <c r="T302" s="35"/>
      <c r="U302" s="35"/>
      <c r="V302" s="35"/>
      <c r="W302" s="35"/>
      <c r="X302" s="35"/>
      <c r="Y302" s="37"/>
      <c r="Z302" s="37"/>
      <c r="AA302" s="37"/>
      <c r="AB302" s="37"/>
      <c r="AC302" s="37"/>
      <c r="AD302" s="228"/>
      <c r="AE302" s="228"/>
      <c r="AF302" s="228"/>
      <c r="AG302" s="228"/>
      <c r="AH302" s="228"/>
      <c r="AI302" s="228"/>
      <c r="AJ302" s="228"/>
      <c r="AK302" s="228"/>
      <c r="AL302" s="228"/>
      <c r="AM302" s="228"/>
      <c r="AN302" s="228"/>
      <c r="AO302" s="228"/>
      <c r="AP302" s="228"/>
      <c r="AQ302" s="228"/>
      <c r="AR302" s="228"/>
      <c r="AS302" s="228"/>
      <c r="AT302" s="228"/>
      <c r="AU302" s="228"/>
      <c r="AV302" s="228"/>
      <c r="AW302" s="228"/>
      <c r="AX302" s="228"/>
      <c r="AY302" s="39"/>
      <c r="AZ302" s="35"/>
      <c r="BA302" s="35"/>
      <c r="BB302" s="35"/>
      <c r="BC302" s="35"/>
      <c r="BD302" s="35"/>
      <c r="BE302" s="35"/>
      <c r="BF302" s="35"/>
      <c r="BG302" s="35"/>
      <c r="BH302" s="35"/>
      <c r="BI302" s="35"/>
      <c r="BJ302" s="35"/>
      <c r="BK302" s="35"/>
      <c r="BL302" s="35"/>
      <c r="BM302" s="35"/>
      <c r="BN302" s="35"/>
      <c r="BO302" s="35"/>
      <c r="BP302" s="35"/>
      <c r="BQ302" s="35"/>
      <c r="BR302" s="35"/>
      <c r="BS302" s="345"/>
      <c r="BT302" s="345"/>
      <c r="BU302" s="345"/>
      <c r="BV302" s="345"/>
      <c r="BW302" s="345"/>
      <c r="BX302" s="345"/>
      <c r="BY302" s="345"/>
      <c r="BZ302" s="345"/>
      <c r="CA302" s="345"/>
      <c r="CB302" s="345"/>
      <c r="CC302" s="35"/>
      <c r="CD302" s="35"/>
      <c r="CE302" s="35"/>
      <c r="CF302" s="35"/>
      <c r="CG302" s="35"/>
      <c r="CH302" s="35"/>
      <c r="CI302" s="35"/>
      <c r="CJ302" s="35"/>
      <c r="CK302" s="35"/>
      <c r="CL302" s="35"/>
      <c r="CM302" s="37"/>
      <c r="CN302" s="37"/>
      <c r="CO302" s="37"/>
      <c r="CP302" s="37"/>
      <c r="CQ302" s="37"/>
      <c r="CR302" s="37"/>
      <c r="CS302" s="37"/>
      <c r="CT302" s="37"/>
      <c r="CU302" s="37"/>
      <c r="CV302" s="37"/>
      <c r="CW302" s="37"/>
      <c r="CX302" s="37"/>
      <c r="CY302" s="37"/>
      <c r="CZ302" s="348"/>
      <c r="DA302" s="345"/>
      <c r="DB302" s="345"/>
      <c r="DC302" s="345"/>
      <c r="DD302" s="345"/>
      <c r="DE302" s="345"/>
      <c r="DF302" s="567"/>
      <c r="DG302" s="567"/>
      <c r="DH302" s="567"/>
      <c r="DI302" s="567"/>
    </row>
    <row r="303" spans="1:113" s="17" customFormat="1" ht="12" hidden="1" outlineLevel="2">
      <c r="A303" s="15"/>
      <c r="B303" s="17" t="s">
        <v>594</v>
      </c>
      <c r="C303" s="387"/>
      <c r="D303" s="387"/>
      <c r="E303" s="387"/>
      <c r="F303" s="387"/>
      <c r="G303" s="387"/>
      <c r="H303" s="387"/>
      <c r="I303" s="387"/>
      <c r="J303" s="387"/>
      <c r="K303" s="387"/>
      <c r="L303" s="387"/>
      <c r="M303" s="70"/>
      <c r="N303" s="70"/>
      <c r="O303" s="70"/>
      <c r="P303" s="70"/>
      <c r="Q303" s="70"/>
      <c r="R303" s="70"/>
      <c r="S303" s="70"/>
      <c r="T303" s="70"/>
      <c r="U303" s="70"/>
      <c r="V303" s="70"/>
      <c r="W303" s="70"/>
      <c r="X303" s="70"/>
      <c r="Y303" s="232"/>
      <c r="Z303" s="232"/>
      <c r="AA303" s="232"/>
      <c r="AB303" s="232"/>
      <c r="AC303" s="232"/>
      <c r="AD303" s="340"/>
      <c r="AE303" s="340"/>
      <c r="AF303" s="340"/>
      <c r="AG303" s="340"/>
      <c r="AH303" s="340"/>
      <c r="AI303" s="340"/>
      <c r="AJ303" s="340"/>
      <c r="AK303" s="340"/>
      <c r="AL303" s="340"/>
      <c r="AM303" s="340"/>
      <c r="AN303" s="340"/>
      <c r="AO303" s="340"/>
      <c r="AP303" s="340"/>
      <c r="AQ303" s="340"/>
      <c r="AR303" s="340"/>
      <c r="AS303" s="340"/>
      <c r="AT303" s="340"/>
      <c r="AU303" s="340"/>
      <c r="AV303" s="340"/>
      <c r="AW303" s="340"/>
      <c r="AX303" s="340"/>
      <c r="AY303" s="509"/>
      <c r="AZ303" s="70"/>
      <c r="BA303" s="70"/>
      <c r="BB303" s="70"/>
      <c r="BC303" s="70"/>
      <c r="BD303" s="70"/>
      <c r="BE303" s="70"/>
      <c r="BF303" s="70"/>
      <c r="BG303" s="70"/>
      <c r="BH303" s="70"/>
      <c r="BI303" s="70"/>
      <c r="BJ303" s="70"/>
      <c r="BK303" s="70"/>
      <c r="BL303" s="70"/>
      <c r="BM303" s="70"/>
      <c r="BN303" s="70"/>
      <c r="BO303" s="70"/>
      <c r="BP303" s="70"/>
      <c r="BQ303" s="70"/>
      <c r="BR303" s="70"/>
      <c r="BS303" s="387"/>
      <c r="BT303" s="387"/>
      <c r="BU303" s="387"/>
      <c r="BV303" s="387"/>
      <c r="BW303" s="387"/>
      <c r="BX303" s="387"/>
      <c r="BY303" s="387"/>
      <c r="BZ303" s="387"/>
      <c r="CA303" s="387"/>
      <c r="CB303" s="387"/>
      <c r="CC303" s="70"/>
      <c r="CD303" s="70"/>
      <c r="CE303" s="70"/>
      <c r="CF303" s="70"/>
      <c r="CG303" s="70"/>
      <c r="CH303" s="70"/>
      <c r="CI303" s="70"/>
      <c r="CJ303" s="70"/>
      <c r="CK303" s="70"/>
      <c r="CL303" s="70"/>
      <c r="CM303" s="232"/>
      <c r="CN303" s="232"/>
      <c r="CO303" s="232"/>
      <c r="CP303" s="232"/>
      <c r="CQ303" s="232"/>
      <c r="CR303" s="232"/>
      <c r="CS303" s="232"/>
      <c r="CT303" s="232"/>
      <c r="CU303" s="232"/>
      <c r="CV303" s="232"/>
      <c r="CW303" s="232"/>
      <c r="CX303" s="232"/>
      <c r="CY303" s="232"/>
      <c r="CZ303" s="418"/>
      <c r="DA303" s="387"/>
      <c r="DB303" s="387"/>
      <c r="DC303" s="387"/>
      <c r="DD303" s="387"/>
      <c r="DE303" s="387"/>
      <c r="DF303" s="564"/>
      <c r="DG303" s="564"/>
      <c r="DH303" s="564"/>
      <c r="DI303" s="564"/>
    </row>
    <row r="304" spans="1:113" ht="12" hidden="1" outlineLevel="2">
      <c r="A304" s="1" t="s">
        <v>78</v>
      </c>
      <c r="B304" s="15" t="s">
        <v>592</v>
      </c>
      <c r="C304" s="388">
        <f t="shared" ref="C304:K304" si="3218">C$318-((0+0)*C$5/C247)</f>
        <v>4.8563833333333327E-2</v>
      </c>
      <c r="D304" s="388">
        <f t="shared" si="3218"/>
        <v>4.3449999999999996E-2</v>
      </c>
      <c r="E304" s="388">
        <f t="shared" si="3218"/>
        <v>4.9258500000000004E-2</v>
      </c>
      <c r="F304" s="388">
        <f t="shared" si="3218"/>
        <v>4.8122166666666667E-2</v>
      </c>
      <c r="G304" s="388">
        <f t="shared" si="3218"/>
        <v>4.7991666666666676E-2</v>
      </c>
      <c r="H304" s="388">
        <f t="shared" si="3218"/>
        <v>5.4583333333333331E-2</v>
      </c>
      <c r="I304" s="388">
        <f t="shared" si="3218"/>
        <v>5.4836000000000003E-2</v>
      </c>
      <c r="J304" s="388">
        <f t="shared" si="3218"/>
        <v>5.5772166666666657E-2</v>
      </c>
      <c r="K304" s="388">
        <f t="shared" si="3218"/>
        <v>5.662233333333333E-2</v>
      </c>
      <c r="L304" s="388">
        <f>L$318-((151+242)*L$5/L247)</f>
        <v>1.542100972197015E-2</v>
      </c>
      <c r="M304" s="73">
        <f>M$318-((154+260)*M$5/M247)</f>
        <v>1.6163116500987444E-2</v>
      </c>
      <c r="N304" s="73">
        <f>N$318-((43+462)*N$5/N247)</f>
        <v>1.7557578754578737E-2</v>
      </c>
      <c r="O304" s="73">
        <f>O$318-((38+536)*O$5/O247)</f>
        <v>1.5216206113144053E-2</v>
      </c>
      <c r="P304" s="73">
        <f>P$318-((31+546)*P$5/P247)</f>
        <v>2.0245900438338335E-2</v>
      </c>
      <c r="Q304" s="73">
        <f>Q$318-((28+516)*Q$5/Q247)</f>
        <v>2.2587253448857841E-2</v>
      </c>
      <c r="R304" s="73">
        <f>R$318-((38+374)*R$5/R247)</f>
        <v>4.9959623673750814E-3</v>
      </c>
      <c r="S304" s="73">
        <f>S$318-((24+194)*S$5/S247)</f>
        <v>1.1561965557474931E-2</v>
      </c>
      <c r="T304" s="38">
        <f>T$318-((19+163)*T$5/T247)</f>
        <v>2.268106326882487E-2</v>
      </c>
      <c r="U304" s="38">
        <f>U$318-((22+180)*U$5/U247)</f>
        <v>2.6698134713639226E-2</v>
      </c>
      <c r="V304" s="38">
        <f>V$318-((24+192)*V$5/V247)</f>
        <v>2.6148930904905481E-2</v>
      </c>
      <c r="W304" s="38">
        <f>W$318-((23+187)*W$5/W247)</f>
        <v>2.8461891253958285E-2</v>
      </c>
      <c r="X304" s="38">
        <f>X$318-((40+197)*X$5/X247)</f>
        <v>2.3424798727508852E-2</v>
      </c>
      <c r="Y304" s="73">
        <f>Y$318-((79+194)*Y$5/Y247)</f>
        <v>1.3579324333553376E-2</v>
      </c>
      <c r="Z304" s="144">
        <f>Z$318-((106+195)*Z$5/Z247)</f>
        <v>7.730535615050986E-3</v>
      </c>
      <c r="AA304" s="144">
        <f>AA$318-((127+203)*AA$5/AA247)</f>
        <v>5.3418490146653341E-3</v>
      </c>
      <c r="AB304" s="144">
        <f>AB$318-((143+220)*AB$5/AB247)</f>
        <v>4.3184190573598881E-3</v>
      </c>
      <c r="AC304" s="144">
        <f>AC$318-((193+262)*AC$5/AC247)</f>
        <v>1.2002053736497008E-3</v>
      </c>
      <c r="AD304" s="330">
        <f>AC304+AD314-AC314</f>
        <v>-8.3357152715142924E-4</v>
      </c>
      <c r="AE304" s="330">
        <f t="shared" ref="AE304:AX304" si="3219">AD304+AE314-AD314</f>
        <v>-2.3237252476111152E-3</v>
      </c>
      <c r="AF304" s="330">
        <f t="shared" si="3219"/>
        <v>-1.3666426973547256E-4</v>
      </c>
      <c r="AG304" s="330">
        <f t="shared" si="3219"/>
        <v>-1.2475441816786796E-3</v>
      </c>
      <c r="AH304" s="330">
        <f t="shared" si="3219"/>
        <v>-1.1963111227678994E-3</v>
      </c>
      <c r="AI304" s="330">
        <f t="shared" si="3219"/>
        <v>-1.0391228480616131E-3</v>
      </c>
      <c r="AJ304" s="330">
        <f t="shared" si="3219"/>
        <v>-1.4329166679202541E-3</v>
      </c>
      <c r="AK304" s="330">
        <f t="shared" si="3219"/>
        <v>4.045152370373466E-4</v>
      </c>
      <c r="AL304" s="330">
        <f t="shared" si="3219"/>
        <v>-2.778083062873948E-4</v>
      </c>
      <c r="AM304" s="330">
        <f t="shared" si="3219"/>
        <v>-5.3783350176136785E-3</v>
      </c>
      <c r="AN304" s="330">
        <f t="shared" si="3219"/>
        <v>-6.4998074823232254E-3</v>
      </c>
      <c r="AO304" s="330">
        <f t="shared" si="3219"/>
        <v>-9.7620295431641874E-3</v>
      </c>
      <c r="AP304" s="330">
        <f t="shared" si="3219"/>
        <v>-9.6165234256086543E-3</v>
      </c>
      <c r="AQ304" s="330">
        <f t="shared" si="3219"/>
        <v>-9.1068905799865443E-3</v>
      </c>
      <c r="AR304" s="330">
        <f t="shared" si="3219"/>
        <v>-8.6975136316349705E-3</v>
      </c>
      <c r="AS304" s="330">
        <f t="shared" si="3219"/>
        <v>2.1725691427780724E-3</v>
      </c>
      <c r="AT304" s="330">
        <f t="shared" si="3219"/>
        <v>4.343887217013457E-3</v>
      </c>
      <c r="AU304" s="330">
        <f t="shared" si="3219"/>
        <v>3.5144410891694081E-3</v>
      </c>
      <c r="AV304" s="330">
        <f t="shared" si="3219"/>
        <v>1.5212741236871261E-3</v>
      </c>
      <c r="AW304" s="330">
        <f t="shared" si="3219"/>
        <v>8.8988291477298809E-4</v>
      </c>
      <c r="AX304" s="330">
        <f t="shared" si="3219"/>
        <v>-5.124995833669467E-3</v>
      </c>
      <c r="AY304" s="439"/>
      <c r="AZ304" s="35"/>
      <c r="BA304" s="35"/>
      <c r="BB304" s="35"/>
      <c r="BC304" s="35"/>
      <c r="BD304" s="35"/>
      <c r="BE304" s="35"/>
      <c r="BF304" s="35"/>
      <c r="BG304" s="35"/>
      <c r="BH304" s="35"/>
      <c r="BI304" s="35"/>
      <c r="BJ304" s="35"/>
      <c r="BK304" s="35"/>
      <c r="BL304" s="35"/>
      <c r="BM304" s="35"/>
      <c r="BN304" s="35"/>
      <c r="BO304" s="35"/>
      <c r="BP304" s="35"/>
      <c r="BQ304" s="35"/>
      <c r="BR304" s="35"/>
      <c r="BS304" s="345"/>
      <c r="BT304" s="345"/>
      <c r="BU304" s="345"/>
      <c r="BV304" s="345"/>
      <c r="BW304" s="345"/>
      <c r="BX304" s="345"/>
      <c r="BY304" s="345"/>
      <c r="BZ304" s="345"/>
      <c r="CA304" s="345"/>
      <c r="CB304" s="345"/>
      <c r="CC304" s="35">
        <f>CC362/CC247*CC$5</f>
        <v>4.6419057398671887E-2</v>
      </c>
      <c r="CD304" s="35">
        <f t="shared" ref="CD304:CQ306" si="3220">CD362/CD247*CD$5</f>
        <v>4.8058612284984613E-2</v>
      </c>
      <c r="CE304" s="35">
        <f t="shared" si="3220"/>
        <v>5.4726063120567374E-2</v>
      </c>
      <c r="CF304" s="35">
        <f t="shared" si="3220"/>
        <v>5.6216589166489826E-2</v>
      </c>
      <c r="CG304" s="35">
        <f t="shared" si="3220"/>
        <v>1.5543948364181482E-2</v>
      </c>
      <c r="CH304" s="35">
        <f t="shared" si="3220"/>
        <v>1.6363109498536733E-2</v>
      </c>
      <c r="CI304" s="35">
        <f t="shared" si="3220"/>
        <v>2.1370948206243343E-2</v>
      </c>
      <c r="CJ304" s="35">
        <f t="shared" si="3220"/>
        <v>8.2134263118918034E-3</v>
      </c>
      <c r="CK304" s="35">
        <f t="shared" si="3220"/>
        <v>2.4654788716675369E-2</v>
      </c>
      <c r="CL304" s="35">
        <f t="shared" si="3220"/>
        <v>2.7354118545601994E-2</v>
      </c>
      <c r="CM304" s="37">
        <f t="shared" si="3220"/>
        <v>1.8308820783259811E-2</v>
      </c>
      <c r="CN304" s="37">
        <f t="shared" si="3220"/>
        <v>6.457252565193165E-3</v>
      </c>
      <c r="CO304" s="37">
        <f t="shared" si="3220"/>
        <v>2.7066765827552042E-3</v>
      </c>
      <c r="CP304" s="37">
        <f t="shared" si="3220"/>
        <v>-1.6144940862761891E-3</v>
      </c>
      <c r="CQ304" s="37">
        <f t="shared" si="3220"/>
        <v>-7.0361922218373533E-4</v>
      </c>
      <c r="CR304" s="37">
        <f t="shared" ref="CR304:CS306" si="3221">CR362/CR247*CR$5</f>
        <v>-1.1144289732576208E-3</v>
      </c>
      <c r="CS304" s="37">
        <f t="shared" si="3221"/>
        <v>-4.8440117903173261E-4</v>
      </c>
      <c r="CT304" s="37">
        <f t="shared" ref="CT304:CU304" si="3222">CT362/CT247*CT$5</f>
        <v>-2.9147840925531996E-3</v>
      </c>
      <c r="CU304" s="37">
        <f t="shared" si="3222"/>
        <v>-8.2662413616462552E-3</v>
      </c>
      <c r="CV304" s="37">
        <f t="shared" ref="CV304:CW304" si="3223">CV362/CV247*CV$5</f>
        <v>-9.3543428063183279E-3</v>
      </c>
      <c r="CW304" s="37">
        <f t="shared" si="3223"/>
        <v>-3.3568154194509297E-3</v>
      </c>
      <c r="CX304" s="37">
        <f t="shared" ref="CX304" si="3224">CX362/CX247*CX$5</f>
        <v>3.9280605174354883E-3</v>
      </c>
      <c r="CY304" s="37">
        <f t="shared" ref="CY304:CY306" si="3225">CY362/CY247*CY$5</f>
        <v>1.2030604819221063E-3</v>
      </c>
      <c r="CZ304" s="348"/>
      <c r="DA304" s="345"/>
      <c r="DB304" s="345"/>
      <c r="DC304" s="345"/>
      <c r="DD304" s="345"/>
      <c r="DE304" s="345"/>
      <c r="DF304" s="567"/>
      <c r="DG304" s="567"/>
      <c r="DH304" s="567"/>
      <c r="DI304" s="567"/>
    </row>
    <row r="305" spans="1:113" ht="12" hidden="1" outlineLevel="2">
      <c r="A305" s="1" t="s">
        <v>79</v>
      </c>
      <c r="B305" s="15" t="s">
        <v>473</v>
      </c>
      <c r="C305" s="388">
        <f t="shared" ref="C305:K305" si="3226">C$318-((0)*C$5/C248)</f>
        <v>4.8563833333333327E-2</v>
      </c>
      <c r="D305" s="388">
        <f t="shared" si="3226"/>
        <v>4.3449999999999996E-2</v>
      </c>
      <c r="E305" s="388">
        <f t="shared" si="3226"/>
        <v>4.9258500000000004E-2</v>
      </c>
      <c r="F305" s="388">
        <f t="shared" si="3226"/>
        <v>4.8122166666666667E-2</v>
      </c>
      <c r="G305" s="388">
        <f t="shared" si="3226"/>
        <v>4.7991666666666676E-2</v>
      </c>
      <c r="H305" s="388">
        <f t="shared" si="3226"/>
        <v>5.4583333333333331E-2</v>
      </c>
      <c r="I305" s="388">
        <f t="shared" si="3226"/>
        <v>5.4836000000000003E-2</v>
      </c>
      <c r="J305" s="388">
        <f t="shared" si="3226"/>
        <v>5.5772166666666657E-2</v>
      </c>
      <c r="K305" s="388">
        <f t="shared" si="3226"/>
        <v>5.662233333333333E-2</v>
      </c>
      <c r="L305" s="388">
        <f>L$318-((927)*L$5/L248)</f>
        <v>-1.2837744980343464E-2</v>
      </c>
      <c r="M305" s="73">
        <f>M$318-((912)*M$5/M248)</f>
        <v>-1.0208438628270304E-2</v>
      </c>
      <c r="N305" s="73">
        <f>N$318-((985)*N$5/N248)</f>
        <v>-8.6015041935303405E-3</v>
      </c>
      <c r="O305" s="73">
        <f>O$318-((1110)*O$5/O248)</f>
        <v>-9.9231165566834034E-3</v>
      </c>
      <c r="P305" s="73">
        <f>P$318-((1214)*P$5/P248)</f>
        <v>-8.1366970197721128E-3</v>
      </c>
      <c r="Q305" s="73">
        <f>Q$318-((1230)*Q$5/Q248)</f>
        <v>-6.9467634260235028E-3</v>
      </c>
      <c r="R305" s="73">
        <f>R$318-((1034)*R$5/R248)</f>
        <v>-2.4938566343517828E-2</v>
      </c>
      <c r="S305" s="73">
        <f>S$318-((661)*S$5/S248)</f>
        <v>-1.149355656708502E-2</v>
      </c>
      <c r="T305" s="38">
        <f>T$318-((620)*T$5/T248)</f>
        <v>-9.2142899033292869E-4</v>
      </c>
      <c r="U305" s="38">
        <f>U$318-((647)*U$5/U248)</f>
        <v>4.1586816765438253E-3</v>
      </c>
      <c r="V305" s="38">
        <f>V$318-((681)*V$5/V248)</f>
        <v>2.8799704569515971E-3</v>
      </c>
      <c r="W305" s="38">
        <f>W$318-((625)*W$5/W248)</f>
        <v>6.5597849851687304E-3</v>
      </c>
      <c r="X305" s="38">
        <f>X$318-((560)*X$5/X248)</f>
        <v>4.7837465033706422E-3</v>
      </c>
      <c r="Y305" s="73">
        <f>Y$318-((571)*Y$5/Y248)</f>
        <v>-3.8506168473218458E-3</v>
      </c>
      <c r="Z305" s="144">
        <f>Z$318-((569)*Z$5/Z248)</f>
        <v>-8.9217922994852157E-3</v>
      </c>
      <c r="AA305" s="144">
        <f>AA$318-((590)*AA$5/AA248)</f>
        <v>-1.0846901464020658E-2</v>
      </c>
      <c r="AB305" s="144">
        <f>AB$318-((623)*AB$5/AB248)</f>
        <v>-1.1823709402747601E-2</v>
      </c>
      <c r="AC305" s="144">
        <f>AC$318-((684)*AC$5/AC248)</f>
        <v>-1.3698893436548613E-2</v>
      </c>
      <c r="AD305" s="330">
        <f t="shared" ref="AD305:AX305" si="3227">AC305+AD315-AC315</f>
        <v>-1.3558986649705285E-2</v>
      </c>
      <c r="AE305" s="330">
        <f t="shared" si="3227"/>
        <v>-1.4801860350041249E-2</v>
      </c>
      <c r="AF305" s="330">
        <f t="shared" si="3227"/>
        <v>-1.3266717008818825E-2</v>
      </c>
      <c r="AG305" s="330">
        <f t="shared" si="3227"/>
        <v>-1.5676910477280384E-2</v>
      </c>
      <c r="AH305" s="330">
        <f t="shared" si="3227"/>
        <v>-1.7191403065775299E-2</v>
      </c>
      <c r="AI305" s="330">
        <f t="shared" si="3227"/>
        <v>-1.9187075337533381E-2</v>
      </c>
      <c r="AJ305" s="330">
        <f t="shared" si="3227"/>
        <v>-1.8859503088511805E-2</v>
      </c>
      <c r="AK305" s="330">
        <f t="shared" si="3227"/>
        <v>-1.8843424968772358E-2</v>
      </c>
      <c r="AL305" s="330">
        <f t="shared" si="3227"/>
        <v>-2.0685395074593403E-2</v>
      </c>
      <c r="AM305" s="330">
        <f t="shared" si="3227"/>
        <v>-2.6020382644629504E-2</v>
      </c>
      <c r="AN305" s="330">
        <f t="shared" si="3227"/>
        <v>-2.5564068509053923E-2</v>
      </c>
      <c r="AO305" s="330">
        <f t="shared" si="3227"/>
        <v>-2.4952209808239013E-2</v>
      </c>
      <c r="AP305" s="330">
        <f t="shared" si="3227"/>
        <v>-2.0700970104709081E-2</v>
      </c>
      <c r="AQ305" s="330">
        <f t="shared" si="3227"/>
        <v>-1.8708482069230443E-2</v>
      </c>
      <c r="AR305" s="330">
        <f t="shared" si="3227"/>
        <v>-1.8698794273483418E-2</v>
      </c>
      <c r="AS305" s="330">
        <f t="shared" si="3227"/>
        <v>-1.2820069704752267E-2</v>
      </c>
      <c r="AT305" s="330">
        <f t="shared" si="3227"/>
        <v>-1.7169254906710965E-2</v>
      </c>
      <c r="AU305" s="330">
        <f t="shared" si="3227"/>
        <v>-1.9917967754156309E-2</v>
      </c>
      <c r="AV305" s="330">
        <f t="shared" si="3227"/>
        <v>-2.137031714413231E-2</v>
      </c>
      <c r="AW305" s="330">
        <f t="shared" si="3227"/>
        <v>-2.0470396553136982E-2</v>
      </c>
      <c r="AX305" s="330">
        <f t="shared" si="3227"/>
        <v>-1.8362553551724378E-2</v>
      </c>
      <c r="AY305" s="439"/>
      <c r="AZ305" s="35"/>
      <c r="BA305" s="35"/>
      <c r="BB305" s="35"/>
      <c r="BC305" s="35"/>
      <c r="BD305" s="35"/>
      <c r="BE305" s="35"/>
      <c r="BF305" s="35"/>
      <c r="BG305" s="35"/>
      <c r="BH305" s="35"/>
      <c r="BI305" s="35"/>
      <c r="BJ305" s="35"/>
      <c r="BK305" s="35"/>
      <c r="BL305" s="35"/>
      <c r="BM305" s="35"/>
      <c r="BN305" s="35"/>
      <c r="BO305" s="35"/>
      <c r="BP305" s="35"/>
      <c r="BQ305" s="35"/>
      <c r="BR305" s="35"/>
      <c r="BS305" s="345"/>
      <c r="BT305" s="345"/>
      <c r="BU305" s="345"/>
      <c r="BV305" s="345"/>
      <c r="BW305" s="345"/>
      <c r="BX305" s="345"/>
      <c r="BY305" s="345"/>
      <c r="BZ305" s="345"/>
      <c r="CA305" s="345"/>
      <c r="CB305" s="345"/>
      <c r="CC305" s="35">
        <f>CC363/CC248*CC$5</f>
        <v>4.6477994399373418E-2</v>
      </c>
      <c r="CD305" s="35">
        <f t="shared" si="3220"/>
        <v>4.8052745419637041E-2</v>
      </c>
      <c r="CE305" s="35">
        <f t="shared" si="3220"/>
        <v>5.4725463242385843E-2</v>
      </c>
      <c r="CF305" s="35">
        <f t="shared" si="3220"/>
        <v>5.619713950736465E-2</v>
      </c>
      <c r="CG305" s="35">
        <f t="shared" si="3220"/>
        <v>-1.1677088198903732E-2</v>
      </c>
      <c r="CH305" s="35">
        <f t="shared" si="3220"/>
        <v>-9.2874088219182561E-3</v>
      </c>
      <c r="CI305" s="35">
        <f t="shared" si="3220"/>
        <v>-7.5444990968049552E-3</v>
      </c>
      <c r="CJ305" s="35">
        <f t="shared" si="3220"/>
        <v>-1.8263439155004446E-2</v>
      </c>
      <c r="CK305" s="35">
        <f t="shared" si="3220"/>
        <v>1.6239534345751439E-3</v>
      </c>
      <c r="CL305" s="35">
        <f t="shared" si="3220"/>
        <v>4.7216803657248877E-3</v>
      </c>
      <c r="CM305" s="37">
        <f t="shared" si="3220"/>
        <v>4.346268484383695E-4</v>
      </c>
      <c r="CN305" s="37">
        <f t="shared" si="3220"/>
        <v>-9.9185779430494385E-3</v>
      </c>
      <c r="CO305" s="37">
        <f t="shared" si="3220"/>
        <v>-1.2775245546291067E-2</v>
      </c>
      <c r="CP305" s="37">
        <f t="shared" si="3220"/>
        <v>-1.41754523907635E-2</v>
      </c>
      <c r="CQ305" s="37">
        <f t="shared" si="3220"/>
        <v>-1.4540617780073026E-2</v>
      </c>
      <c r="CR305" s="37">
        <f t="shared" si="3221"/>
        <v>-1.8194150009077269E-2</v>
      </c>
      <c r="CS305" s="37">
        <f t="shared" si="3221"/>
        <v>-1.8851271205234603E-2</v>
      </c>
      <c r="CT305" s="37">
        <f t="shared" ref="CT305:CU305" si="3228">CT363/CT248*CT$5</f>
        <v>-2.3447366148891799E-2</v>
      </c>
      <c r="CU305" s="37">
        <f t="shared" si="3228"/>
        <v>-2.5266962655913765E-2</v>
      </c>
      <c r="CV305" s="37">
        <f t="shared" ref="CV305:CW305" si="3229">CV363/CV248*CV$5</f>
        <v>-1.97476005089538E-2</v>
      </c>
      <c r="CW305" s="37">
        <f t="shared" si="3229"/>
        <v>-1.5629397090213167E-2</v>
      </c>
      <c r="CX305" s="37">
        <f t="shared" ref="CX305" si="3230">CX363/CX248*CX$5</f>
        <v>-1.860480312913269E-2</v>
      </c>
      <c r="CY305" s="37">
        <f t="shared" si="3225"/>
        <v>-2.0929873907554315E-2</v>
      </c>
      <c r="CZ305" s="348"/>
      <c r="DA305" s="345"/>
      <c r="DB305" s="345"/>
      <c r="DC305" s="345"/>
      <c r="DD305" s="345"/>
      <c r="DE305" s="345"/>
      <c r="DF305" s="567"/>
      <c r="DG305" s="567"/>
      <c r="DH305" s="567"/>
      <c r="DI305" s="567"/>
    </row>
    <row r="306" spans="1:113" s="17" customFormat="1" ht="12" hidden="1" outlineLevel="2">
      <c r="A306" s="1" t="s">
        <v>80</v>
      </c>
      <c r="B306" s="17" t="s">
        <v>168</v>
      </c>
      <c r="C306" s="387">
        <f t="shared" ref="C306:L306" si="3231">(C304*C247+C305*C248)/C249</f>
        <v>4.8563833333333327E-2</v>
      </c>
      <c r="D306" s="387">
        <f t="shared" si="3231"/>
        <v>4.3449999999999996E-2</v>
      </c>
      <c r="E306" s="387">
        <f t="shared" si="3231"/>
        <v>4.9258499999999997E-2</v>
      </c>
      <c r="F306" s="387">
        <f t="shared" si="3231"/>
        <v>4.8122166666666667E-2</v>
      </c>
      <c r="G306" s="387">
        <f t="shared" si="3231"/>
        <v>4.7991666666666676E-2</v>
      </c>
      <c r="H306" s="387">
        <f t="shared" si="3231"/>
        <v>5.4583333333333331E-2</v>
      </c>
      <c r="I306" s="387">
        <f t="shared" si="3231"/>
        <v>5.4836000000000003E-2</v>
      </c>
      <c r="J306" s="387">
        <f t="shared" si="3231"/>
        <v>5.577216666666665E-2</v>
      </c>
      <c r="K306" s="387">
        <f t="shared" si="3231"/>
        <v>5.662233333333333E-2</v>
      </c>
      <c r="L306" s="387">
        <f t="shared" si="3231"/>
        <v>-1.040900458459194E-3</v>
      </c>
      <c r="M306" s="70">
        <f t="shared" ref="M306:X306" si="3232">(M304*M247+M305*M248)/M249</f>
        <v>8.8613994980840584E-4</v>
      </c>
      <c r="N306" s="70">
        <f t="shared" si="3232"/>
        <v>3.0465025682285766E-3</v>
      </c>
      <c r="O306" s="70">
        <f t="shared" si="3232"/>
        <v>1.0495944856080098E-3</v>
      </c>
      <c r="P306" s="70">
        <f t="shared" si="3232"/>
        <v>3.832631534025726E-3</v>
      </c>
      <c r="Q306" s="70">
        <f t="shared" si="3232"/>
        <v>5.0597262926009726E-3</v>
      </c>
      <c r="R306" s="70">
        <f t="shared" si="3232"/>
        <v>-1.2434434318375891E-2</v>
      </c>
      <c r="S306" s="70">
        <f t="shared" si="3232"/>
        <v>-2.008485108746762E-3</v>
      </c>
      <c r="T306" s="70">
        <f t="shared" si="3232"/>
        <v>8.5584440637580649E-3</v>
      </c>
      <c r="U306" s="70">
        <f t="shared" si="3232"/>
        <v>1.3008925417030153E-2</v>
      </c>
      <c r="V306" s="70">
        <f t="shared" si="3232"/>
        <v>1.1914629120879025E-2</v>
      </c>
      <c r="W306" s="70">
        <f t="shared" si="3232"/>
        <v>1.5513058704405974E-2</v>
      </c>
      <c r="X306" s="70">
        <f t="shared" si="3232"/>
        <v>1.2993501315037017E-2</v>
      </c>
      <c r="Y306" s="232">
        <f t="shared" ref="Y306:AD306" si="3233">(Y304*Y247+Y305*Y248)/Y249</f>
        <v>4.1019766356596094E-3</v>
      </c>
      <c r="Z306" s="232">
        <f t="shared" si="3233"/>
        <v>-9.9180793788056199E-4</v>
      </c>
      <c r="AA306" s="232">
        <f t="shared" si="3233"/>
        <v>-2.8921539957820928E-3</v>
      </c>
      <c r="AB306" s="232">
        <f t="shared" si="3233"/>
        <v>-3.6961786336458043E-3</v>
      </c>
      <c r="AC306" s="232">
        <f t="shared" si="3233"/>
        <v>-6.0561844620855825E-3</v>
      </c>
      <c r="AD306" s="232">
        <f t="shared" si="3233"/>
        <v>-7.0401597282683552E-3</v>
      </c>
      <c r="AE306" s="232">
        <f t="shared" ref="AE306:AF306" si="3234">(AE304*AE247+AE305*AE248)/AE249</f>
        <v>-8.0604624941472986E-3</v>
      </c>
      <c r="AF306" s="232">
        <f t="shared" si="3234"/>
        <v>-6.1342967821923656E-3</v>
      </c>
      <c r="AG306" s="232">
        <f t="shared" ref="AG306:AH306" si="3235">(AG304*AG247+AG305*AG248)/AG249</f>
        <v>-8.1002043224655609E-3</v>
      </c>
      <c r="AH306" s="232">
        <f t="shared" si="3235"/>
        <v>-9.120134250632567E-3</v>
      </c>
      <c r="AI306" s="232">
        <f t="shared" ref="AI306:AJ306" si="3236">(AI304*AI247+AI305*AI248)/AI249</f>
        <v>-9.6945713201200944E-3</v>
      </c>
      <c r="AJ306" s="232">
        <f t="shared" si="3236"/>
        <v>-1.0238387198709765E-2</v>
      </c>
      <c r="AK306" s="232">
        <f t="shared" ref="AK306:AL306" si="3237">(AK304*AK247+AK305*AK248)/AK249</f>
        <v>-9.2398796690969752E-3</v>
      </c>
      <c r="AL306" s="232">
        <f t="shared" si="3237"/>
        <v>-1.1409775175749575E-2</v>
      </c>
      <c r="AM306" s="232">
        <f t="shared" ref="AM306:AN306" si="3238">(AM304*AM247+AM305*AM248)/AM249</f>
        <v>-1.6652711765086446E-2</v>
      </c>
      <c r="AN306" s="232">
        <f t="shared" si="3238"/>
        <v>-1.664457505195318E-2</v>
      </c>
      <c r="AO306" s="232">
        <f t="shared" ref="AO306" si="3239">(AO304*AO247+AO305*AO248)/AO249</f>
        <v>-1.6995525897853813E-2</v>
      </c>
      <c r="AP306" s="232">
        <f t="shared" ref="AP306:AQ306" si="3240">(AP304*AP247+AP305*AP248)/AP249</f>
        <v>-1.4553108227152884E-2</v>
      </c>
      <c r="AQ306" s="232">
        <f t="shared" si="3240"/>
        <v>-1.3044921255080803E-2</v>
      </c>
      <c r="AR306" s="232">
        <f t="shared" ref="AR306:AS306" si="3241">(AR304*AR247+AR305*AR248)/AR249</f>
        <v>-1.2699257562694355E-2</v>
      </c>
      <c r="AS306" s="232">
        <f t="shared" si="3241"/>
        <v>-4.2748364960103549E-3</v>
      </c>
      <c r="AT306" s="232">
        <f t="shared" ref="AT306:AU306" si="3242">(AT304*AT247+AT305*AT248)/AT249</f>
        <v>-5.3794986736524558E-3</v>
      </c>
      <c r="AU306" s="232">
        <f t="shared" si="3242"/>
        <v>-7.5643722180612182E-3</v>
      </c>
      <c r="AV306" s="232">
        <f t="shared" ref="AV306:AW306" si="3243">(AV304*AV247+AV305*AV248)/AV249</f>
        <v>-1.0176696878613516E-2</v>
      </c>
      <c r="AW306" s="232">
        <f t="shared" si="3243"/>
        <v>-9.7144861290172774E-3</v>
      </c>
      <c r="AX306" s="232">
        <f t="shared" ref="AX306" si="3244">(AX304*AX247+AX305*AX248)/AX249</f>
        <v>-1.2238240421116316E-2</v>
      </c>
      <c r="AY306" s="72"/>
      <c r="AZ306" s="70"/>
      <c r="BA306" s="70"/>
      <c r="BB306" s="70"/>
      <c r="BC306" s="70"/>
      <c r="BD306" s="70"/>
      <c r="BE306" s="70"/>
      <c r="BF306" s="70"/>
      <c r="BG306" s="70"/>
      <c r="BH306" s="70"/>
      <c r="BI306" s="70"/>
      <c r="BJ306" s="70"/>
      <c r="BK306" s="70"/>
      <c r="BL306" s="70"/>
      <c r="BM306" s="70"/>
      <c r="BN306" s="70"/>
      <c r="BO306" s="70"/>
      <c r="BP306" s="70"/>
      <c r="BQ306" s="70"/>
      <c r="BR306" s="70"/>
      <c r="BS306" s="396">
        <f>BS$318-((1078.6+84.5+116.5)*(239+41+61)/(239+41+61+481+48+21)*BS$5/BS249)</f>
        <v>1.4348538124456661E-3</v>
      </c>
      <c r="BT306" s="396">
        <f>BT$318-((870+92+84)*(239+41+61)/(239+41+61+481+48+21)*BT$5/BT249)</f>
        <v>3.0739696027104468E-4</v>
      </c>
      <c r="BU306" s="386">
        <f>BU$318-((239+41+61)*BU$5/BU249)</f>
        <v>4.7008964854475532E-3</v>
      </c>
      <c r="BV306" s="386">
        <f>BV$318-((491+52+103)*BV$5/BV249)</f>
        <v>1.5800425939896896E-2</v>
      </c>
      <c r="BW306" s="386">
        <f>BW$318-((622+83+121)*BW$5/BW249)</f>
        <v>5.7842732900539734E-3</v>
      </c>
      <c r="BX306" s="386">
        <f>BX$318-((658+96+122)*BX$5/BX249)</f>
        <v>-6.3449140239350832E-3</v>
      </c>
      <c r="BY306" s="386">
        <f>BY$318-((657+109+476)*BY$5/BY249)</f>
        <v>-3.8152698355968538E-2</v>
      </c>
      <c r="BZ306" s="386">
        <f>BZ$318-((406+90+58)*BZ$5/BZ249)</f>
        <v>8.4902721445221513E-3</v>
      </c>
      <c r="CA306" s="386">
        <f>CA$318-((476+85+66)*CA$5/CA249)</f>
        <v>1.2704941770455426E-2</v>
      </c>
      <c r="CB306" s="386">
        <f>CB$318-((519+89+82)*CB$5/CB249)</f>
        <v>3.9772306685095238E-3</v>
      </c>
      <c r="CC306" s="70">
        <f>CC364/CC249*CC$5</f>
        <v>4.6454513769421224E-2</v>
      </c>
      <c r="CD306" s="70">
        <f t="shared" si="3220"/>
        <v>4.8054977837421527E-2</v>
      </c>
      <c r="CE306" s="70">
        <f t="shared" si="3220"/>
        <v>5.4725718712960544E-2</v>
      </c>
      <c r="CF306" s="70">
        <f t="shared" si="3220"/>
        <v>5.6205361720015001E-2</v>
      </c>
      <c r="CG306" s="70">
        <f t="shared" si="3220"/>
        <v>-9.0452186286851702E-5</v>
      </c>
      <c r="CH306" s="70">
        <f t="shared" si="3220"/>
        <v>2.0180751358395334E-3</v>
      </c>
      <c r="CI306" s="70">
        <f t="shared" si="3220"/>
        <v>4.4350676880065719E-3</v>
      </c>
      <c r="CJ306" s="70">
        <f t="shared" si="3220"/>
        <v>-7.2863422546168592E-3</v>
      </c>
      <c r="CK306" s="70">
        <f t="shared" si="3220"/>
        <v>1.0771520206471739E-2</v>
      </c>
      <c r="CL306" s="70">
        <f t="shared" si="3220"/>
        <v>1.3745962904184105E-2</v>
      </c>
      <c r="CM306" s="232">
        <f t="shared" si="3220"/>
        <v>8.4511690075928549E-3</v>
      </c>
      <c r="CN306" s="232">
        <f t="shared" si="3220"/>
        <v>-1.9897775394362928E-3</v>
      </c>
      <c r="CO306" s="232">
        <f t="shared" si="3220"/>
        <v>-4.9050363044612225E-3</v>
      </c>
      <c r="CP306" s="232">
        <f t="shared" si="3220"/>
        <v>-7.5613027519642433E-3</v>
      </c>
      <c r="CQ306" s="232">
        <f t="shared" si="3220"/>
        <v>-7.1542915242149095E-3</v>
      </c>
      <c r="CR306" s="232">
        <f t="shared" si="3221"/>
        <v>-9.4142165210492294E-3</v>
      </c>
      <c r="CS306" s="232">
        <f t="shared" si="3221"/>
        <v>-9.7250621587636251E-3</v>
      </c>
      <c r="CT306" s="232">
        <f t="shared" ref="CT306:CU306" si="3245">CT364/CT249*CT$5</f>
        <v>-1.4122404052672446E-2</v>
      </c>
      <c r="CU306" s="232">
        <f t="shared" si="3245"/>
        <v>-1.6824731931374973E-2</v>
      </c>
      <c r="CV306" s="232">
        <f t="shared" ref="CV306:CW306" si="3246">CV364/CV249*CV$5</f>
        <v>-1.3800427307649962E-2</v>
      </c>
      <c r="CW306" s="232">
        <f t="shared" si="3246"/>
        <v>-8.4524345819026753E-3</v>
      </c>
      <c r="CX306" s="232">
        <f t="shared" ref="CX306" si="3247">CX364/CX249*CX$5</f>
        <v>-6.4959991469334009E-3</v>
      </c>
      <c r="CY306" s="232">
        <f t="shared" si="3225"/>
        <v>-9.9471393453882274E-3</v>
      </c>
      <c r="CZ306" s="418"/>
      <c r="DA306" s="387"/>
      <c r="DB306" s="387"/>
      <c r="DC306" s="387"/>
      <c r="DD306" s="387"/>
      <c r="DE306" s="387"/>
      <c r="DF306" s="564"/>
      <c r="DG306" s="564"/>
      <c r="DH306" s="564"/>
      <c r="DI306" s="564"/>
    </row>
    <row r="307" spans="1:113" ht="12" hidden="1" outlineLevel="2">
      <c r="C307" s="345"/>
      <c r="D307" s="345"/>
      <c r="E307" s="345"/>
      <c r="F307" s="345"/>
      <c r="G307" s="345"/>
      <c r="H307" s="345"/>
      <c r="I307" s="345"/>
      <c r="J307" s="345"/>
      <c r="K307" s="345"/>
      <c r="L307" s="345"/>
      <c r="M307" s="35"/>
      <c r="N307" s="35"/>
      <c r="O307" s="35"/>
      <c r="P307" s="35"/>
      <c r="Q307" s="35"/>
      <c r="R307" s="35"/>
      <c r="S307" s="35"/>
      <c r="T307" s="35"/>
      <c r="U307" s="35"/>
      <c r="V307" s="35"/>
      <c r="W307" s="35"/>
      <c r="X307" s="35"/>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6"/>
      <c r="AZ307" s="35"/>
      <c r="BA307" s="35"/>
      <c r="BB307" s="35"/>
      <c r="BC307" s="35"/>
      <c r="BD307" s="35"/>
      <c r="BE307" s="35"/>
      <c r="BF307" s="35"/>
      <c r="BG307" s="35"/>
      <c r="BH307" s="35"/>
      <c r="BI307" s="35"/>
      <c r="BJ307" s="35"/>
      <c r="BK307" s="35"/>
      <c r="BL307" s="35"/>
      <c r="BM307" s="35"/>
      <c r="BN307" s="35"/>
      <c r="BO307" s="35"/>
      <c r="BP307" s="35"/>
      <c r="BQ307" s="35"/>
      <c r="BR307" s="35"/>
      <c r="BS307" s="395"/>
      <c r="BT307" s="395"/>
      <c r="BU307" s="345"/>
      <c r="BV307" s="345"/>
      <c r="BW307" s="345"/>
      <c r="BX307" s="345"/>
      <c r="BY307" s="345"/>
      <c r="BZ307" s="345"/>
      <c r="CA307" s="345"/>
      <c r="CB307" s="345"/>
      <c r="CC307" s="35"/>
      <c r="CD307" s="35"/>
      <c r="CE307" s="35"/>
      <c r="CF307" s="35"/>
      <c r="CG307" s="35"/>
      <c r="CH307" s="35"/>
      <c r="CI307" s="35"/>
      <c r="CJ307" s="35"/>
      <c r="CK307" s="35"/>
      <c r="CL307" s="35"/>
      <c r="CM307" s="37"/>
      <c r="CN307" s="37"/>
      <c r="CO307" s="37"/>
      <c r="CP307" s="37"/>
      <c r="CQ307" s="37"/>
      <c r="CR307" s="37"/>
      <c r="CS307" s="37"/>
      <c r="CT307" s="37"/>
      <c r="CU307" s="37"/>
      <c r="CV307" s="37"/>
      <c r="CW307" s="37"/>
      <c r="CX307" s="37"/>
      <c r="CY307" s="37"/>
      <c r="CZ307" s="348"/>
      <c r="DA307" s="345"/>
      <c r="DB307" s="345"/>
      <c r="DC307" s="345"/>
      <c r="DD307" s="345"/>
      <c r="DE307" s="345"/>
      <c r="DF307" s="567"/>
      <c r="DG307" s="567"/>
      <c r="DH307" s="567"/>
      <c r="DI307" s="567"/>
    </row>
    <row r="308" spans="1:113" s="17" customFormat="1" ht="12" hidden="1" outlineLevel="2">
      <c r="A308" s="1"/>
      <c r="B308" s="17" t="s">
        <v>494</v>
      </c>
      <c r="C308" s="387"/>
      <c r="D308" s="387"/>
      <c r="E308" s="387"/>
      <c r="F308" s="387"/>
      <c r="G308" s="387"/>
      <c r="H308" s="387"/>
      <c r="I308" s="387"/>
      <c r="J308" s="387"/>
      <c r="K308" s="387"/>
      <c r="L308" s="387"/>
      <c r="M308" s="70"/>
      <c r="N308" s="70"/>
      <c r="O308" s="70"/>
      <c r="P308" s="70"/>
      <c r="Q308" s="70"/>
      <c r="R308" s="70"/>
      <c r="S308" s="70"/>
      <c r="T308" s="70"/>
      <c r="U308" s="70"/>
      <c r="V308" s="70"/>
      <c r="W308" s="70"/>
      <c r="X308" s="70"/>
      <c r="Y308" s="232"/>
      <c r="Z308" s="232"/>
      <c r="AA308" s="232"/>
      <c r="AB308" s="232"/>
      <c r="AC308" s="232"/>
      <c r="AD308" s="232"/>
      <c r="AE308" s="232"/>
      <c r="AF308" s="232"/>
      <c r="AG308" s="232"/>
      <c r="AH308" s="232"/>
      <c r="AI308" s="232"/>
      <c r="AJ308" s="232"/>
      <c r="AK308" s="232"/>
      <c r="AL308" s="232"/>
      <c r="AM308" s="232"/>
      <c r="AN308" s="232"/>
      <c r="AO308" s="232"/>
      <c r="AP308" s="232"/>
      <c r="AQ308" s="232"/>
      <c r="AR308" s="232"/>
      <c r="AS308" s="232"/>
      <c r="AT308" s="232"/>
      <c r="AU308" s="232"/>
      <c r="AV308" s="232"/>
      <c r="AW308" s="232"/>
      <c r="AX308" s="232"/>
      <c r="AY308" s="72"/>
      <c r="AZ308" s="70"/>
      <c r="BA308" s="70"/>
      <c r="BB308" s="70"/>
      <c r="BC308" s="70"/>
      <c r="BD308" s="70"/>
      <c r="BE308" s="70"/>
      <c r="BF308" s="70"/>
      <c r="BG308" s="70"/>
      <c r="BH308" s="70"/>
      <c r="BI308" s="70"/>
      <c r="BJ308" s="70"/>
      <c r="BK308" s="70"/>
      <c r="BL308" s="70"/>
      <c r="BM308" s="70"/>
      <c r="BN308" s="70"/>
      <c r="BO308" s="70"/>
      <c r="BP308" s="70"/>
      <c r="BQ308" s="70"/>
      <c r="BR308" s="70"/>
      <c r="BS308" s="397"/>
      <c r="BT308" s="397"/>
      <c r="BU308" s="387"/>
      <c r="BV308" s="387"/>
      <c r="BW308" s="387"/>
      <c r="BX308" s="387"/>
      <c r="BY308" s="387"/>
      <c r="BZ308" s="387"/>
      <c r="CA308" s="387"/>
      <c r="CB308" s="387"/>
      <c r="CC308" s="70"/>
      <c r="CD308" s="70"/>
      <c r="CE308" s="70"/>
      <c r="CF308" s="70"/>
      <c r="CG308" s="70"/>
      <c r="CH308" s="70"/>
      <c r="CI308" s="70"/>
      <c r="CJ308" s="70"/>
      <c r="CK308" s="70"/>
      <c r="CL308" s="70"/>
      <c r="CM308" s="232"/>
      <c r="CN308" s="232"/>
      <c r="CO308" s="232"/>
      <c r="CP308" s="232"/>
      <c r="CQ308" s="232"/>
      <c r="CR308" s="232"/>
      <c r="CS308" s="232"/>
      <c r="CT308" s="232"/>
      <c r="CU308" s="232"/>
      <c r="CV308" s="232"/>
      <c r="CW308" s="232"/>
      <c r="CX308" s="232"/>
      <c r="CY308" s="232"/>
      <c r="CZ308" s="418"/>
      <c r="DA308" s="387"/>
      <c r="DB308" s="387"/>
      <c r="DC308" s="387"/>
      <c r="DD308" s="387"/>
      <c r="DE308" s="387"/>
      <c r="DF308" s="564"/>
      <c r="DG308" s="564"/>
      <c r="DH308" s="564"/>
      <c r="DI308" s="564"/>
    </row>
    <row r="309" spans="1:113" ht="12" hidden="1" outlineLevel="2">
      <c r="A309" s="1" t="s">
        <v>81</v>
      </c>
      <c r="B309" s="15" t="s">
        <v>592</v>
      </c>
      <c r="C309" s="388">
        <f t="shared" ref="C309:K309" si="3248">C$318-((0+0)*C$5/C252)</f>
        <v>4.8563833333333327E-2</v>
      </c>
      <c r="D309" s="388">
        <f t="shared" si="3248"/>
        <v>4.3449999999999996E-2</v>
      </c>
      <c r="E309" s="388">
        <f t="shared" si="3248"/>
        <v>4.9258500000000004E-2</v>
      </c>
      <c r="F309" s="388">
        <f t="shared" si="3248"/>
        <v>4.8122166666666667E-2</v>
      </c>
      <c r="G309" s="388">
        <f t="shared" si="3248"/>
        <v>4.7991666666666676E-2</v>
      </c>
      <c r="H309" s="388">
        <f t="shared" si="3248"/>
        <v>5.4583333333333331E-2</v>
      </c>
      <c r="I309" s="388">
        <f t="shared" si="3248"/>
        <v>5.4836000000000003E-2</v>
      </c>
      <c r="J309" s="388">
        <f t="shared" si="3248"/>
        <v>5.5772166666666657E-2</v>
      </c>
      <c r="K309" s="388">
        <f t="shared" si="3248"/>
        <v>5.662233333333333E-2</v>
      </c>
      <c r="L309" s="388">
        <f>L$318-((3+9)*L$5/L252)</f>
        <v>4.7006221419606031E-2</v>
      </c>
      <c r="M309" s="73">
        <f>M$318-((7+13)*M$5/M252)</f>
        <v>4.5933786888237738E-2</v>
      </c>
      <c r="N309" s="73">
        <f>N$318-((2+16)*N$5/N252)</f>
        <v>5.1172173863225631E-2</v>
      </c>
      <c r="O309" s="73">
        <f>O$318-((2+13)*O$5/O252)</f>
        <v>5.5476342067353551E-2</v>
      </c>
      <c r="P309" s="73">
        <f>P$318-((4+11)*P$5/P252)</f>
        <v>6.3661969524900483E-2</v>
      </c>
      <c r="Q309" s="73">
        <f>Q$318-((4+8)*Q$5/Q252)</f>
        <v>6.8464179086392837E-2</v>
      </c>
      <c r="R309" s="73">
        <f>R$318-((3+7)*R$5/R252)</f>
        <v>3.744591355239036E-2</v>
      </c>
      <c r="S309" s="73">
        <f>S$318-((3+7)*S$5/S252)</f>
        <v>2.7209780958177925E-2</v>
      </c>
      <c r="T309" s="38">
        <f>T$318-((5+7)*T$5/T252)</f>
        <v>3.6762140346369904E-2</v>
      </c>
      <c r="U309" s="38">
        <f>U$318-((10+8)*U$5/U252)</f>
        <v>4.430164451231116E-2</v>
      </c>
      <c r="V309" s="38">
        <f>V$318-((14+11)*V$5/V252)</f>
        <v>4.5359055127158966E-2</v>
      </c>
      <c r="W309" s="38">
        <f>W$318-((10+17)*W$5/W252)</f>
        <v>4.5756302093654756E-2</v>
      </c>
      <c r="X309" s="38">
        <f>X$318-((12+15)*X$5/X252)</f>
        <v>4.1831736231721692E-2</v>
      </c>
      <c r="Y309" s="73">
        <f>Y$318-((12+14)*Y$5/Y252)</f>
        <v>3.3510415349171242E-2</v>
      </c>
      <c r="Z309" s="144">
        <f>Z$318-((12+16)*Z$5/Z252)</f>
        <v>2.7812238194418023E-2</v>
      </c>
      <c r="AA309" s="144">
        <f>AA$318-((13+17)*AA$5/AA252)</f>
        <v>2.4698895172470092E-2</v>
      </c>
      <c r="AB309" s="144">
        <f>AB$318-((11+21)*AB$5/AB252)</f>
        <v>2.3207574121355292E-2</v>
      </c>
      <c r="AC309" s="144">
        <f>AC$318-((8+24)*AC$5/AC252)</f>
        <v>2.3981541402351585E-2</v>
      </c>
      <c r="AD309" s="37">
        <f t="shared" ref="AD309:AF310" si="3249">AD367/AD252*AD$5</f>
        <v>2.2099612094853588E-2</v>
      </c>
      <c r="AE309" s="37">
        <f t="shared" si="3249"/>
        <v>1.9638668567683659E-2</v>
      </c>
      <c r="AF309" s="37">
        <f t="shared" si="3249"/>
        <v>2.2804870364242093E-2</v>
      </c>
      <c r="AG309" s="37">
        <f t="shared" ref="AG309:AH309" si="3250">AG367/AG252*AG$5</f>
        <v>2.3124411655381052E-2</v>
      </c>
      <c r="AH309" s="37">
        <f t="shared" si="3250"/>
        <v>2.410682441756935E-2</v>
      </c>
      <c r="AI309" s="37">
        <f t="shared" ref="AI309:AJ309" si="3251">AI367/AI252*AI$5</f>
        <v>2.9823471420393523E-2</v>
      </c>
      <c r="AJ309" s="37">
        <f t="shared" si="3251"/>
        <v>3.6717039685967921E-2</v>
      </c>
      <c r="AK309" s="37">
        <f t="shared" ref="AK309:AL309" si="3252">AK367/AK252*AK$5</f>
        <v>5.2181102622413267E-2</v>
      </c>
      <c r="AL309" s="37">
        <f t="shared" si="3252"/>
        <v>3.1505676915480708E-2</v>
      </c>
      <c r="AM309" s="37">
        <f t="shared" ref="AM309:AN309" si="3253">AM367/AM252*AM$5</f>
        <v>2.5033535804309236E-2</v>
      </c>
      <c r="AN309" s="37">
        <f t="shared" si="3253"/>
        <v>2.3511093829875481E-2</v>
      </c>
      <c r="AO309" s="37">
        <f t="shared" ref="AO309" si="3254">AO367/AO252*AO$5</f>
        <v>2.1051677914313918E-2</v>
      </c>
      <c r="AP309" s="37">
        <f t="shared" ref="AP309:AQ309" si="3255">AP367/AP252*AP$5</f>
        <v>2.1349064089941226E-2</v>
      </c>
      <c r="AQ309" s="37">
        <f t="shared" si="3255"/>
        <v>1.8634761021326909E-2</v>
      </c>
      <c r="AR309" s="37">
        <f t="shared" ref="AR309:AS309" si="3256">AR367/AR252*AR$5</f>
        <v>1.9205446914074047E-2</v>
      </c>
      <c r="AS309" s="37">
        <f t="shared" si="3256"/>
        <v>3.2793909731349456E-2</v>
      </c>
      <c r="AT309" s="37">
        <f t="shared" ref="AT309:AU309" si="3257">AT367/AT252*AT$5</f>
        <v>3.545168102096645E-2</v>
      </c>
      <c r="AU309" s="37">
        <f t="shared" si="3257"/>
        <v>4.0829622275536895E-2</v>
      </c>
      <c r="AV309" s="37">
        <f t="shared" ref="AV309:AW309" si="3258">AV367/AV252*AV$5</f>
        <v>4.1960715535285062E-2</v>
      </c>
      <c r="AW309" s="37">
        <f t="shared" si="3258"/>
        <v>5.2006400399529237E-2</v>
      </c>
      <c r="AX309" s="37">
        <f t="shared" ref="AX309" si="3259">AX367/AX252*AX$5</f>
        <v>4.56379632498468E-2</v>
      </c>
      <c r="AY309" s="36"/>
      <c r="AZ309" s="35"/>
      <c r="BA309" s="35"/>
      <c r="BB309" s="35"/>
      <c r="BC309" s="35"/>
      <c r="BD309" s="35"/>
      <c r="BE309" s="35"/>
      <c r="BF309" s="35"/>
      <c r="BG309" s="35"/>
      <c r="BH309" s="35"/>
      <c r="BI309" s="35"/>
      <c r="BJ309" s="35"/>
      <c r="BK309" s="35"/>
      <c r="BL309" s="35"/>
      <c r="BM309" s="35"/>
      <c r="BN309" s="35"/>
      <c r="BO309" s="35"/>
      <c r="BP309" s="35"/>
      <c r="BQ309" s="35"/>
      <c r="BR309" s="35"/>
      <c r="BS309" s="395"/>
      <c r="BT309" s="395"/>
      <c r="BU309" s="345"/>
      <c r="BV309" s="345"/>
      <c r="BW309" s="345"/>
      <c r="BX309" s="345"/>
      <c r="BY309" s="345"/>
      <c r="BZ309" s="345"/>
      <c r="CA309" s="345"/>
      <c r="CB309" s="345"/>
      <c r="CC309" s="35">
        <f>CC367/CC252*CC$5</f>
        <v>4.6445230150429624E-2</v>
      </c>
      <c r="CD309" s="35">
        <f t="shared" ref="CD309:CQ311" si="3260">CD367/CD252*CD$5</f>
        <v>4.8047007196750771E-2</v>
      </c>
      <c r="CE309" s="35">
        <f t="shared" si="3260"/>
        <v>5.4714548476936464E-2</v>
      </c>
      <c r="CF309" s="35">
        <f t="shared" si="3260"/>
        <v>5.6234617863626629E-2</v>
      </c>
      <c r="CG309" s="35">
        <f t="shared" si="3260"/>
        <v>4.6450611418447849E-2</v>
      </c>
      <c r="CH309" s="35">
        <f t="shared" si="3260"/>
        <v>5.3355601039301974E-2</v>
      </c>
      <c r="CI309" s="35">
        <f t="shared" si="3260"/>
        <v>6.6057979608806702E-2</v>
      </c>
      <c r="CJ309" s="35">
        <f t="shared" si="3260"/>
        <v>3.2332141028706969E-2</v>
      </c>
      <c r="CK309" s="35">
        <f t="shared" si="3260"/>
        <v>4.1655988130435508E-2</v>
      </c>
      <c r="CL309" s="35">
        <f t="shared" si="3260"/>
        <v>4.5582204599721302E-2</v>
      </c>
      <c r="CM309" s="37">
        <f t="shared" si="3260"/>
        <v>3.7671089448042865E-2</v>
      </c>
      <c r="CN309" s="37">
        <f t="shared" si="3260"/>
        <v>2.6152565036146883E-2</v>
      </c>
      <c r="CO309" s="37">
        <f t="shared" si="3260"/>
        <v>2.3604879512225913E-2</v>
      </c>
      <c r="CP309" s="37">
        <f t="shared" si="3260"/>
        <v>2.0786997850284507E-2</v>
      </c>
      <c r="CQ309" s="37">
        <f t="shared" si="3260"/>
        <v>2.2961005427398321E-2</v>
      </c>
      <c r="CR309" s="37">
        <f t="shared" ref="CR309:CS311" si="3261">CR367/CR252*CR$5</f>
        <v>2.6756651373452255E-2</v>
      </c>
      <c r="CS309" s="37">
        <f t="shared" si="3261"/>
        <v>4.3244003413866861E-2</v>
      </c>
      <c r="CT309" s="37">
        <f t="shared" ref="CT309:CU309" si="3262">CT367/CT252*CT$5</f>
        <v>2.807054615793746E-2</v>
      </c>
      <c r="CU309" s="37">
        <f t="shared" si="3262"/>
        <v>0.13739899522038981</v>
      </c>
      <c r="CV309" s="37">
        <f t="shared" ref="CV309:CW309" si="3263">CV367/CV252*CV$5</f>
        <v>1.9875863828394538E-2</v>
      </c>
      <c r="CW309" s="37">
        <f t="shared" si="3263"/>
        <v>2.5645685784571125E-2</v>
      </c>
      <c r="CX309" s="37">
        <f t="shared" ref="CX309" si="3264">CX367/CX252*CX$5</f>
        <v>3.7843605236139652E-2</v>
      </c>
      <c r="CY309" s="37">
        <f t="shared" ref="CY309:CY311" si="3265">CY367/CY252*CY$5</f>
        <v>4.6398525788219631E-2</v>
      </c>
      <c r="CZ309" s="348"/>
      <c r="DA309" s="345"/>
      <c r="DB309" s="345"/>
      <c r="DC309" s="345"/>
      <c r="DD309" s="345"/>
      <c r="DE309" s="345"/>
      <c r="DF309" s="567"/>
      <c r="DG309" s="567"/>
      <c r="DH309" s="567"/>
      <c r="DI309" s="567"/>
    </row>
    <row r="310" spans="1:113" ht="12" hidden="1" outlineLevel="2">
      <c r="A310" s="1" t="s">
        <v>82</v>
      </c>
      <c r="B310" s="15" t="s">
        <v>473</v>
      </c>
      <c r="C310" s="388">
        <f t="shared" ref="C310:K310" si="3266">C$318-((0)*C$5/C253)</f>
        <v>4.8563833333333327E-2</v>
      </c>
      <c r="D310" s="388">
        <f t="shared" si="3266"/>
        <v>4.3449999999999996E-2</v>
      </c>
      <c r="E310" s="388">
        <f t="shared" si="3266"/>
        <v>4.9258500000000004E-2</v>
      </c>
      <c r="F310" s="388">
        <f t="shared" si="3266"/>
        <v>4.8122166666666667E-2</v>
      </c>
      <c r="G310" s="388">
        <f t="shared" si="3266"/>
        <v>4.7991666666666676E-2</v>
      </c>
      <c r="H310" s="388">
        <f t="shared" si="3266"/>
        <v>5.4583333333333331E-2</v>
      </c>
      <c r="I310" s="388">
        <f t="shared" si="3266"/>
        <v>5.4836000000000003E-2</v>
      </c>
      <c r="J310" s="388">
        <f t="shared" si="3266"/>
        <v>5.5772166666666657E-2</v>
      </c>
      <c r="K310" s="388">
        <f t="shared" si="3266"/>
        <v>5.662233333333333E-2</v>
      </c>
      <c r="L310" s="388">
        <f>L$318-((283)*L$5/L253)</f>
        <v>1.2022543150022914E-2</v>
      </c>
      <c r="M310" s="73">
        <f>M$318-((363)*M$5/M253)</f>
        <v>1.0509017161505839E-2</v>
      </c>
      <c r="N310" s="73">
        <f>N$318-((379)*N$5/N253)</f>
        <v>1.1300242689616789E-2</v>
      </c>
      <c r="O310" s="73">
        <f>O$318-((402)*O$5/O253)</f>
        <v>1.4849070857505559E-2</v>
      </c>
      <c r="P310" s="73">
        <f>P$318-((524)*P$5/P253)</f>
        <v>2.6444656707277039E-2</v>
      </c>
      <c r="Q310" s="73">
        <f>Q$318-((492)*Q$5/Q253)</f>
        <v>4.1523148299617181E-2</v>
      </c>
      <c r="R310" s="73">
        <f>R$318-((428)*R$5/R253)</f>
        <v>1.9406619268941466E-2</v>
      </c>
      <c r="S310" s="73">
        <f>S$318-((211)*S$5/S253)</f>
        <v>2.0840747726923525E-2</v>
      </c>
      <c r="T310" s="38">
        <f>T$318-((201)*T$5/T253)</f>
        <v>3.1293670409252808E-2</v>
      </c>
      <c r="U310" s="38">
        <f>U$318-((255)*U$5/U253)</f>
        <v>3.6986664719361476E-2</v>
      </c>
      <c r="V310" s="38">
        <f>V$318-((256)*V$5/V253)</f>
        <v>3.7916713838922554E-2</v>
      </c>
      <c r="W310" s="38">
        <f>W$318-((293)*W$5/W253)</f>
        <v>3.6986359960638648E-2</v>
      </c>
      <c r="X310" s="38">
        <f>X$318-((368)*X$5/X253)</f>
        <v>3.1946394321050522E-2</v>
      </c>
      <c r="Y310" s="73">
        <f>Y$318-((373)*Y$5/Y253)</f>
        <v>2.5251463388230179E-2</v>
      </c>
      <c r="Z310" s="144">
        <f>Z$318-((333)*Z$5/Z253)</f>
        <v>2.1472180350778788E-2</v>
      </c>
      <c r="AA310" s="144">
        <f>AA$318-((333)*AA$5/AA253)</f>
        <v>1.9224637101199014E-2</v>
      </c>
      <c r="AB310" s="144">
        <f>AB$318-((348)*AB$5/AB253)</f>
        <v>1.7666862016510833E-2</v>
      </c>
      <c r="AC310" s="144">
        <f>AC$318-((332)*AC$5/AC253)</f>
        <v>1.8721685410841373E-2</v>
      </c>
      <c r="AD310" s="37">
        <f t="shared" si="3249"/>
        <v>1.6252633925855079E-2</v>
      </c>
      <c r="AE310" s="37">
        <f t="shared" si="3249"/>
        <v>1.3673210105351349E-2</v>
      </c>
      <c r="AF310" s="37">
        <f t="shared" si="3249"/>
        <v>1.5616562881529085E-2</v>
      </c>
      <c r="AG310" s="37">
        <f t="shared" ref="AG310:AH310" si="3267">AG368/AG253*AG$5</f>
        <v>1.4493336191549572E-2</v>
      </c>
      <c r="AH310" s="37">
        <f t="shared" si="3267"/>
        <v>1.3565967877318388E-2</v>
      </c>
      <c r="AI310" s="37">
        <f t="shared" ref="AI310:AJ310" si="3268">AI368/AI253*AI$5</f>
        <v>1.2798390173319798E-2</v>
      </c>
      <c r="AJ310" s="37">
        <f t="shared" si="3268"/>
        <v>1.465966009434152E-2</v>
      </c>
      <c r="AK310" s="37">
        <f t="shared" ref="AK310:AL310" si="3269">AK368/AK253*AK$5</f>
        <v>1.3408372890232957E-2</v>
      </c>
      <c r="AL310" s="37">
        <f t="shared" si="3269"/>
        <v>1.0585631079705855E-2</v>
      </c>
      <c r="AM310" s="37">
        <f t="shared" ref="AM310:AN310" si="3270">AM368/AM253*AM$5</f>
        <v>4.5590237944566937E-3</v>
      </c>
      <c r="AN310" s="37">
        <f t="shared" si="3270"/>
        <v>2.9157213856866896E-3</v>
      </c>
      <c r="AO310" s="37">
        <f t="shared" ref="AO310" si="3271">AO368/AO253*AO$5</f>
        <v>3.651187140749555E-3</v>
      </c>
      <c r="AP310" s="37">
        <f t="shared" ref="AP310:AQ310" si="3272">AP368/AP253*AP$5</f>
        <v>9.2839758662094617E-3</v>
      </c>
      <c r="AQ310" s="37">
        <f t="shared" si="3272"/>
        <v>1.1453859116273486E-2</v>
      </c>
      <c r="AR310" s="37">
        <f t="shared" ref="AR310:AS310" si="3273">AR368/AR253*AR$5</f>
        <v>9.7716122476990026E-3</v>
      </c>
      <c r="AS310" s="37">
        <f t="shared" si="3273"/>
        <v>1.4866488919058941E-2</v>
      </c>
      <c r="AT310" s="37">
        <f t="shared" ref="AT310:AU310" si="3274">AT368/AT253*AT$5</f>
        <v>9.1270661829721891E-3</v>
      </c>
      <c r="AU310" s="37">
        <f t="shared" si="3274"/>
        <v>7.2551570180807868E-3</v>
      </c>
      <c r="AV310" s="37">
        <f t="shared" ref="AV310:AW310" si="3275">AV368/AV253*AV$5</f>
        <v>7.566935353754493E-3</v>
      </c>
      <c r="AW310" s="37">
        <f t="shared" si="3275"/>
        <v>9.3755574488570866E-3</v>
      </c>
      <c r="AX310" s="37">
        <f t="shared" ref="AX310" si="3276">AX368/AX253*AX$5</f>
        <v>9.6469746135176768E-3</v>
      </c>
      <c r="AY310" s="36"/>
      <c r="AZ310" s="35"/>
      <c r="BA310" s="35"/>
      <c r="BB310" s="35"/>
      <c r="BC310" s="35"/>
      <c r="BD310" s="35"/>
      <c r="BE310" s="35"/>
      <c r="BF310" s="35"/>
      <c r="BG310" s="35"/>
      <c r="BH310" s="35"/>
      <c r="BI310" s="35"/>
      <c r="BJ310" s="35"/>
      <c r="BK310" s="35"/>
      <c r="BL310" s="35"/>
      <c r="BM310" s="35"/>
      <c r="BN310" s="35"/>
      <c r="BO310" s="35"/>
      <c r="BP310" s="35"/>
      <c r="BQ310" s="35"/>
      <c r="BR310" s="35"/>
      <c r="BS310" s="395"/>
      <c r="BT310" s="395"/>
      <c r="BU310" s="345"/>
      <c r="BV310" s="345"/>
      <c r="BW310" s="345"/>
      <c r="BX310" s="345"/>
      <c r="BY310" s="345"/>
      <c r="BZ310" s="345"/>
      <c r="CA310" s="345"/>
      <c r="CB310" s="345"/>
      <c r="CC310" s="35">
        <f>CC368/CC253*CC$5</f>
        <v>4.6242382955109372E-2</v>
      </c>
      <c r="CD310" s="35">
        <f t="shared" si="3260"/>
        <v>4.8052195856574192E-2</v>
      </c>
      <c r="CE310" s="35">
        <f t="shared" si="3260"/>
        <v>5.4707737837978908E-2</v>
      </c>
      <c r="CF310" s="35">
        <f t="shared" si="3260"/>
        <v>5.6205695336649118E-2</v>
      </c>
      <c r="CG310" s="35">
        <f t="shared" si="3260"/>
        <v>1.1214252500951731E-2</v>
      </c>
      <c r="CH310" s="35">
        <f t="shared" si="3260"/>
        <v>1.3154761014183339E-2</v>
      </c>
      <c r="CI310" s="35">
        <f t="shared" si="3260"/>
        <v>3.4861130711221801E-2</v>
      </c>
      <c r="CJ310" s="35">
        <f t="shared" si="3260"/>
        <v>2.0124270450350285E-2</v>
      </c>
      <c r="CK310" s="35">
        <f t="shared" si="3260"/>
        <v>3.2844897368285428E-2</v>
      </c>
      <c r="CL310" s="35">
        <f t="shared" si="3260"/>
        <v>3.74339551598721E-2</v>
      </c>
      <c r="CM310" s="37">
        <f t="shared" si="3260"/>
        <v>2.8338153645737541E-2</v>
      </c>
      <c r="CN310" s="37">
        <f t="shared" si="3260"/>
        <v>2.0282273325115754E-2</v>
      </c>
      <c r="CO310" s="37">
        <f t="shared" si="3260"/>
        <v>1.8195818376517903E-2</v>
      </c>
      <c r="CP310" s="37">
        <f t="shared" si="3260"/>
        <v>1.4920652488621322E-2</v>
      </c>
      <c r="CQ310" s="37">
        <f t="shared" si="3260"/>
        <v>1.5067071479185049E-2</v>
      </c>
      <c r="CR310" s="37">
        <f t="shared" si="3261"/>
        <v>1.3198939376062912E-2</v>
      </c>
      <c r="CS310" s="37">
        <f t="shared" si="3261"/>
        <v>1.4010176797863197E-2</v>
      </c>
      <c r="CT310" s="37">
        <f t="shared" ref="CT310:CU310" si="3277">CT368/CT253*CT$5</f>
        <v>7.4592356486127649E-3</v>
      </c>
      <c r="CU310" s="37">
        <f t="shared" si="3277"/>
        <v>3.2683793979805796E-3</v>
      </c>
      <c r="CV310" s="37">
        <f t="shared" ref="CV310:CW310" si="3278">CV368/CV253*CV$5</f>
        <v>1.0341328280194692E-2</v>
      </c>
      <c r="CW310" s="37">
        <f t="shared" si="3278"/>
        <v>1.2460652573709626E-2</v>
      </c>
      <c r="CX310" s="37">
        <f t="shared" ref="CX310" si="3279">CX368/CX253*CX$5</f>
        <v>8.1729105673014769E-3</v>
      </c>
      <c r="CY310" s="37">
        <f t="shared" si="3265"/>
        <v>8.43913627737484E-3</v>
      </c>
      <c r="CZ310" s="348"/>
      <c r="DA310" s="345"/>
      <c r="DB310" s="345"/>
      <c r="DC310" s="345"/>
      <c r="DD310" s="345"/>
      <c r="DE310" s="345"/>
      <c r="DF310" s="567"/>
      <c r="DG310" s="567"/>
      <c r="DH310" s="567"/>
      <c r="DI310" s="567"/>
    </row>
    <row r="311" spans="1:113" s="17" customFormat="1" ht="12" hidden="1" outlineLevel="2">
      <c r="A311" s="1" t="s">
        <v>83</v>
      </c>
      <c r="B311" s="17" t="s">
        <v>168</v>
      </c>
      <c r="C311" s="387">
        <f t="shared" ref="C311:L311" si="3280">(C309*C252+C310*C253)/C254</f>
        <v>4.8563833333333327E-2</v>
      </c>
      <c r="D311" s="387">
        <f t="shared" si="3280"/>
        <v>4.3449999999999996E-2</v>
      </c>
      <c r="E311" s="387">
        <f t="shared" si="3280"/>
        <v>4.9258499999999997E-2</v>
      </c>
      <c r="F311" s="387">
        <f t="shared" si="3280"/>
        <v>4.8122166666666667E-2</v>
      </c>
      <c r="G311" s="387">
        <f t="shared" si="3280"/>
        <v>4.7991666666666676E-2</v>
      </c>
      <c r="H311" s="387">
        <f t="shared" si="3280"/>
        <v>5.4583333333333331E-2</v>
      </c>
      <c r="I311" s="387">
        <f t="shared" si="3280"/>
        <v>5.4836000000000003E-2</v>
      </c>
      <c r="J311" s="387">
        <f t="shared" si="3280"/>
        <v>5.577216666666665E-2</v>
      </c>
      <c r="K311" s="387">
        <f t="shared" si="3280"/>
        <v>5.662233333333333E-2</v>
      </c>
      <c r="L311" s="387">
        <f t="shared" si="3280"/>
        <v>1.7878941944631847E-2</v>
      </c>
      <c r="M311" s="70">
        <f t="shared" ref="M311:X311" si="3281">(M309*M252+M310*M253)/M254</f>
        <v>1.6229585113469325E-2</v>
      </c>
      <c r="N311" s="70">
        <f t="shared" si="3281"/>
        <v>1.7873878645438771E-2</v>
      </c>
      <c r="O311" s="70">
        <f t="shared" si="3281"/>
        <v>2.1202449850022325E-2</v>
      </c>
      <c r="P311" s="70">
        <f t="shared" si="3281"/>
        <v>3.0970216375048459E-2</v>
      </c>
      <c r="Q311" s="70">
        <f t="shared" si="3281"/>
        <v>4.4131262942483325E-2</v>
      </c>
      <c r="R311" s="70">
        <f t="shared" si="3281"/>
        <v>2.1172630876492442E-2</v>
      </c>
      <c r="S311" s="70">
        <f t="shared" si="3281"/>
        <v>2.1463462609682311E-2</v>
      </c>
      <c r="T311" s="70">
        <f t="shared" si="3281"/>
        <v>3.1949594040893585E-2</v>
      </c>
      <c r="U311" s="70">
        <f t="shared" si="3281"/>
        <v>3.8307771959486252E-2</v>
      </c>
      <c r="V311" s="70">
        <f t="shared" si="3281"/>
        <v>3.953497069661132E-2</v>
      </c>
      <c r="W311" s="70">
        <f t="shared" si="3281"/>
        <v>3.9158079934366777E-2</v>
      </c>
      <c r="X311" s="70">
        <f t="shared" si="3281"/>
        <v>3.4196271976010648E-2</v>
      </c>
      <c r="Y311" s="232">
        <f t="shared" ref="Y311:AD311" si="3282">(Y309*Y252+Y310*Y253)/Y254</f>
        <v>2.6915440541673146E-2</v>
      </c>
      <c r="Z311" s="232">
        <f t="shared" si="3282"/>
        <v>2.2766795254774479E-2</v>
      </c>
      <c r="AA311" s="232">
        <f t="shared" si="3282"/>
        <v>2.03540806294236E-2</v>
      </c>
      <c r="AB311" s="232">
        <f t="shared" si="3282"/>
        <v>1.8834261577769944E-2</v>
      </c>
      <c r="AC311" s="232">
        <f t="shared" si="3282"/>
        <v>1.9872482640006413E-2</v>
      </c>
      <c r="AD311" s="232">
        <f t="shared" si="3282"/>
        <v>1.745614541907042E-2</v>
      </c>
      <c r="AE311" s="232">
        <f t="shared" ref="AE311:AF311" si="3283">(AE309*AE252+AE310*AE253)/AE254</f>
        <v>1.4968739160819727E-2</v>
      </c>
      <c r="AF311" s="232">
        <f t="shared" si="3283"/>
        <v>1.7182253763694828E-2</v>
      </c>
      <c r="AG311" s="232">
        <f t="shared" ref="AG311:AH311" si="3284">(AG309*AG252+AG310*AG253)/AG254</f>
        <v>1.636983463610394E-2</v>
      </c>
      <c r="AH311" s="232">
        <f t="shared" si="3284"/>
        <v>1.5813323967589013E-2</v>
      </c>
      <c r="AI311" s="232">
        <f t="shared" ref="AI311:AJ311" si="3285">(AI309*AI252+AI310*AI253)/AI254</f>
        <v>1.6263184889476517E-2</v>
      </c>
      <c r="AJ311" s="232">
        <f t="shared" si="3285"/>
        <v>1.8354319702272536E-2</v>
      </c>
      <c r="AK311" s="232">
        <f t="shared" ref="AK311:AL311" si="3286">(AK309*AK252+AK310*AK253)/AK254</f>
        <v>1.8054895497981442E-2</v>
      </c>
      <c r="AL311" s="232">
        <f t="shared" si="3286"/>
        <v>1.4180554229482523E-2</v>
      </c>
      <c r="AM311" s="232">
        <f t="shared" ref="AM311:AN311" si="3287">(AM309*AM252+AM310*AM253)/AM254</f>
        <v>8.2208055050762632E-3</v>
      </c>
      <c r="AN311" s="232">
        <f t="shared" si="3287"/>
        <v>6.5458421477498164E-3</v>
      </c>
      <c r="AO311" s="232">
        <f t="shared" ref="AO311" si="3288">(AO309*AO252+AO310*AO253)/AO254</f>
        <v>7.2756516331317321E-3</v>
      </c>
      <c r="AP311" s="232">
        <f t="shared" ref="AP311:AQ311" si="3289">(AP309*AP252+AP310*AP253)/AP254</f>
        <v>1.2132499956237504E-2</v>
      </c>
      <c r="AQ311" s="232">
        <f t="shared" si="3289"/>
        <v>1.3453758994733896E-2</v>
      </c>
      <c r="AR311" s="232">
        <f t="shared" ref="AR311:AS311" si="3290">(AR309*AR252+AR310*AR253)/AR254</f>
        <v>1.2372958757177184E-2</v>
      </c>
      <c r="AS311" s="232">
        <f t="shared" si="3290"/>
        <v>1.9076357456223287E-2</v>
      </c>
      <c r="AT311" s="232">
        <f t="shared" ref="AT311:AU311" si="3291">(AT309*AT252+AT310*AT253)/AT254</f>
        <v>1.4107454865877793E-2</v>
      </c>
      <c r="AU311" s="232">
        <f t="shared" si="3291"/>
        <v>1.2371414227672965E-2</v>
      </c>
      <c r="AV311" s="232">
        <f t="shared" ref="AV311:AW311" si="3292">(AV309*AV252+AV310*AV253)/AV254</f>
        <v>1.250083325202456E-2</v>
      </c>
      <c r="AW311" s="232">
        <f t="shared" si="3292"/>
        <v>1.4685998361457273E-2</v>
      </c>
      <c r="AX311" s="232">
        <f t="shared" ref="AX311" si="3293">(AX309*AX252+AX310*AX253)/AX254</f>
        <v>1.318273175740484E-2</v>
      </c>
      <c r="AY311" s="72"/>
      <c r="AZ311" s="70"/>
      <c r="BA311" s="70"/>
      <c r="BB311" s="70"/>
      <c r="BC311" s="70"/>
      <c r="BD311" s="70"/>
      <c r="BE311" s="70"/>
      <c r="BF311" s="70"/>
      <c r="BG311" s="70"/>
      <c r="BH311" s="70"/>
      <c r="BI311" s="70"/>
      <c r="BJ311" s="70"/>
      <c r="BK311" s="70"/>
      <c r="BL311" s="70"/>
      <c r="BM311" s="70"/>
      <c r="BN311" s="70"/>
      <c r="BO311" s="70"/>
      <c r="BP311" s="70"/>
      <c r="BQ311" s="70"/>
      <c r="BR311" s="70"/>
      <c r="BS311" s="396">
        <f>BS$318-((1078.6+84.5+116.5)*(481+48+21)/(239+41+61+481+48+21)*BS$5/BS254)</f>
        <v>-6.965723468195989E-3</v>
      </c>
      <c r="BT311" s="396">
        <f>BT$318-((870+92+84)*(481+48+21)/(239+41+61+481+48+21)*BT$5/BT254)</f>
        <v>-6.2738107522852041E-3</v>
      </c>
      <c r="BU311" s="386">
        <f>BU$318-((481+48+21)*BU$5/BU254)</f>
        <v>-1.045328746177375E-3</v>
      </c>
      <c r="BV311" s="386">
        <f>BV$318-((644+55+30)*BV$5/BV254)</f>
        <v>1.9812168227946916E-2</v>
      </c>
      <c r="BW311" s="386">
        <f>BW$318-((785+57+35)*BW$5/BW254)</f>
        <v>1.489332249994417E-2</v>
      </c>
      <c r="BX311" s="386">
        <f>BX$318-((1015+69+41)*BX$5/BX254)</f>
        <v>-1.4725123469318951E-4</v>
      </c>
      <c r="BY311" s="386">
        <f>BY$318-((1243+87+62)*BY$5/BY254)</f>
        <v>-1.0829240430886046E-2</v>
      </c>
      <c r="BZ311" s="386">
        <f>BZ$318-((872+84+58)*BZ$5/BZ254)</f>
        <v>-4.0383639042453276E-3</v>
      </c>
      <c r="CA311" s="386">
        <f>CA$318-((931+57+52)*CA$5/CA254)</f>
        <v>5.7483353053099373E-3</v>
      </c>
      <c r="CB311" s="386">
        <f>CB$318-((658+7+20)*CB$5/CB254)</f>
        <v>7.7293220338983323E-3</v>
      </c>
      <c r="CC311" s="70">
        <f>CC369/CC254*CC$5</f>
        <v>4.6263428738383412E-2</v>
      </c>
      <c r="CD311" s="70">
        <f t="shared" si="3260"/>
        <v>4.8051650774412875E-2</v>
      </c>
      <c r="CE311" s="70">
        <f t="shared" si="3260"/>
        <v>5.4708625859603732E-2</v>
      </c>
      <c r="CF311" s="70">
        <f t="shared" si="3260"/>
        <v>5.6210464440630242E-2</v>
      </c>
      <c r="CG311" s="70">
        <f t="shared" si="3260"/>
        <v>1.7001347748703519E-2</v>
      </c>
      <c r="CH311" s="70">
        <f t="shared" si="3260"/>
        <v>1.960492910615496E-2</v>
      </c>
      <c r="CI311" s="70">
        <f t="shared" si="3260"/>
        <v>3.822736441564159E-2</v>
      </c>
      <c r="CJ311" s="70">
        <f t="shared" si="3260"/>
        <v>2.1318512232919924E-2</v>
      </c>
      <c r="CK311" s="70">
        <f t="shared" si="3260"/>
        <v>3.4146890983286889E-2</v>
      </c>
      <c r="CL311" s="70">
        <f t="shared" si="3260"/>
        <v>3.9335752267889816E-2</v>
      </c>
      <c r="CM311" s="232">
        <f t="shared" si="3260"/>
        <v>3.0332839213245689E-2</v>
      </c>
      <c r="CN311" s="232">
        <f t="shared" si="3260"/>
        <v>2.1487618178574485E-2</v>
      </c>
      <c r="CO311" s="232">
        <f t="shared" si="3260"/>
        <v>1.9357548411979231E-2</v>
      </c>
      <c r="CP311" s="232">
        <f t="shared" si="3260"/>
        <v>1.6162737915176844E-2</v>
      </c>
      <c r="CQ311" s="232">
        <f t="shared" si="3260"/>
        <v>1.6784915386834097E-2</v>
      </c>
      <c r="CR311" s="232">
        <f t="shared" si="3261"/>
        <v>1.6026981295466092E-2</v>
      </c>
      <c r="CS311" s="232">
        <f t="shared" si="3261"/>
        <v>1.8203067375109384E-2</v>
      </c>
      <c r="CT311" s="232">
        <f t="shared" ref="CT311:CU311" si="3294">CT369/CT254*CT$5</f>
        <v>1.1076237678555674E-2</v>
      </c>
      <c r="CU311" s="232">
        <f t="shared" si="3294"/>
        <v>8.2268865164198852E-3</v>
      </c>
      <c r="CV311" s="232">
        <f t="shared" ref="CV311:CW311" si="3295">CV369/CV254*CV$5</f>
        <v>1.2795191174256166E-2</v>
      </c>
      <c r="CW311" s="232">
        <f t="shared" si="3295"/>
        <v>1.5819030839630242E-2</v>
      </c>
      <c r="CX311" s="232">
        <f t="shared" ref="CX311" si="3296">CX369/CX254*CX$5</f>
        <v>1.3241819897575561E-2</v>
      </c>
      <c r="CY311" s="232">
        <f t="shared" si="3265"/>
        <v>1.3542726891203121E-2</v>
      </c>
      <c r="CZ311" s="418"/>
      <c r="DA311" s="387"/>
      <c r="DB311" s="387"/>
      <c r="DC311" s="387"/>
      <c r="DD311" s="387"/>
      <c r="DE311" s="387"/>
      <c r="DF311" s="564"/>
      <c r="DG311" s="564"/>
      <c r="DH311" s="564"/>
      <c r="DI311" s="564"/>
    </row>
    <row r="312" spans="1:113" ht="12" hidden="1" outlineLevel="2">
      <c r="C312" s="345"/>
      <c r="D312" s="345"/>
      <c r="E312" s="345"/>
      <c r="F312" s="345"/>
      <c r="G312" s="345"/>
      <c r="H312" s="345"/>
      <c r="I312" s="345"/>
      <c r="J312" s="345"/>
      <c r="K312" s="345"/>
      <c r="L312" s="345"/>
      <c r="M312" s="35"/>
      <c r="N312" s="35"/>
      <c r="O312" s="35"/>
      <c r="P312" s="35"/>
      <c r="Q312" s="35"/>
      <c r="R312" s="35"/>
      <c r="S312" s="35"/>
      <c r="T312" s="35"/>
      <c r="U312" s="35"/>
      <c r="V312" s="35"/>
      <c r="W312" s="35"/>
      <c r="X312" s="35"/>
      <c r="Y312" s="37"/>
      <c r="Z312" s="37"/>
      <c r="AA312" s="37"/>
      <c r="AB312" s="37"/>
      <c r="AC312" s="37"/>
      <c r="AD312" s="37"/>
      <c r="AE312" s="37"/>
      <c r="AF312" s="37"/>
      <c r="AG312" s="37"/>
      <c r="AH312" s="37"/>
      <c r="AI312" s="37"/>
      <c r="AJ312" s="37"/>
      <c r="AK312" s="37"/>
      <c r="AL312" s="37"/>
      <c r="AM312" s="37"/>
      <c r="AN312" s="37"/>
      <c r="AO312" s="37"/>
      <c r="AP312" s="37"/>
      <c r="AQ312" s="37"/>
      <c r="AR312" s="37"/>
      <c r="AS312" s="37"/>
      <c r="AT312" s="37"/>
      <c r="AU312" s="37"/>
      <c r="AV312" s="37"/>
      <c r="AW312" s="37"/>
      <c r="AX312" s="37"/>
      <c r="AY312" s="36"/>
      <c r="AZ312" s="35"/>
      <c r="BA312" s="35"/>
      <c r="BB312" s="35"/>
      <c r="BC312" s="35"/>
      <c r="BD312" s="35"/>
      <c r="BE312" s="35"/>
      <c r="BF312" s="35"/>
      <c r="BG312" s="35"/>
      <c r="BH312" s="35"/>
      <c r="BI312" s="35"/>
      <c r="BJ312" s="35"/>
      <c r="BK312" s="35"/>
      <c r="BL312" s="35"/>
      <c r="BM312" s="35"/>
      <c r="BN312" s="35"/>
      <c r="BO312" s="35"/>
      <c r="BP312" s="35"/>
      <c r="BQ312" s="35"/>
      <c r="BR312" s="35"/>
      <c r="BS312" s="345"/>
      <c r="BT312" s="345"/>
      <c r="BU312" s="345"/>
      <c r="BV312" s="345"/>
      <c r="BW312" s="345"/>
      <c r="BX312" s="345"/>
      <c r="BY312" s="345"/>
      <c r="BZ312" s="345"/>
      <c r="CA312" s="345"/>
      <c r="CB312" s="345"/>
      <c r="CC312" s="35"/>
      <c r="CD312" s="35"/>
      <c r="CE312" s="35"/>
      <c r="CF312" s="35"/>
      <c r="CG312" s="35"/>
      <c r="CH312" s="35"/>
      <c r="CI312" s="35"/>
      <c r="CJ312" s="35"/>
      <c r="CK312" s="35"/>
      <c r="CL312" s="35"/>
      <c r="CM312" s="37"/>
      <c r="CN312" s="37"/>
      <c r="CO312" s="37"/>
      <c r="CP312" s="37"/>
      <c r="CQ312" s="37"/>
      <c r="CR312" s="37"/>
      <c r="CS312" s="37"/>
      <c r="CT312" s="37"/>
      <c r="CU312" s="37"/>
      <c r="CV312" s="37"/>
      <c r="CW312" s="37"/>
      <c r="CX312" s="37"/>
      <c r="CY312" s="37"/>
      <c r="CZ312" s="348"/>
      <c r="DA312" s="345"/>
      <c r="DB312" s="345"/>
      <c r="DC312" s="345"/>
      <c r="DD312" s="345"/>
      <c r="DE312" s="345"/>
      <c r="DF312" s="567"/>
      <c r="DG312" s="567"/>
      <c r="DH312" s="567"/>
      <c r="DI312" s="567"/>
    </row>
    <row r="313" spans="1:113" s="17" customFormat="1" ht="12" hidden="1" outlineLevel="2">
      <c r="A313" s="15"/>
      <c r="B313" s="17" t="s">
        <v>499</v>
      </c>
      <c r="C313" s="387"/>
      <c r="D313" s="387"/>
      <c r="E313" s="387"/>
      <c r="F313" s="387"/>
      <c r="G313" s="387"/>
      <c r="H313" s="387"/>
      <c r="I313" s="387"/>
      <c r="J313" s="387"/>
      <c r="K313" s="387"/>
      <c r="L313" s="387"/>
      <c r="M313" s="70"/>
      <c r="N313" s="70"/>
      <c r="O313" s="70"/>
      <c r="P313" s="70"/>
      <c r="Q313" s="70"/>
      <c r="R313" s="70"/>
      <c r="S313" s="70"/>
      <c r="T313" s="70"/>
      <c r="U313" s="70"/>
      <c r="V313" s="70"/>
      <c r="W313" s="70"/>
      <c r="X313" s="70"/>
      <c r="Y313" s="232"/>
      <c r="Z313" s="232"/>
      <c r="AA313" s="232"/>
      <c r="AB313" s="232"/>
      <c r="AC313" s="232"/>
      <c r="AD313" s="232"/>
      <c r="AE313" s="232"/>
      <c r="AF313" s="232"/>
      <c r="AG313" s="232"/>
      <c r="AH313" s="232"/>
      <c r="AI313" s="232"/>
      <c r="AJ313" s="232"/>
      <c r="AK313" s="232"/>
      <c r="AL313" s="232"/>
      <c r="AM313" s="232"/>
      <c r="AN313" s="232"/>
      <c r="AO313" s="232"/>
      <c r="AP313" s="232"/>
      <c r="AQ313" s="232"/>
      <c r="AR313" s="232"/>
      <c r="AS313" s="232"/>
      <c r="AT313" s="232"/>
      <c r="AU313" s="232"/>
      <c r="AV313" s="232"/>
      <c r="AW313" s="232"/>
      <c r="AX313" s="232"/>
      <c r="AY313" s="72"/>
      <c r="AZ313" s="70"/>
      <c r="BA313" s="70"/>
      <c r="BB313" s="70"/>
      <c r="BC313" s="70"/>
      <c r="BD313" s="70"/>
      <c r="BE313" s="70"/>
      <c r="BF313" s="70"/>
      <c r="BG313" s="70"/>
      <c r="BH313" s="70"/>
      <c r="BI313" s="70"/>
      <c r="BJ313" s="70"/>
      <c r="BK313" s="70"/>
      <c r="BL313" s="70"/>
      <c r="BM313" s="70"/>
      <c r="BN313" s="70"/>
      <c r="BO313" s="70"/>
      <c r="BP313" s="70"/>
      <c r="BQ313" s="70"/>
      <c r="BR313" s="70"/>
      <c r="BS313" s="387"/>
      <c r="BT313" s="387"/>
      <c r="BU313" s="387"/>
      <c r="BV313" s="387"/>
      <c r="BW313" s="387"/>
      <c r="BX313" s="387"/>
      <c r="BY313" s="387"/>
      <c r="BZ313" s="387"/>
      <c r="CA313" s="387"/>
      <c r="CB313" s="387"/>
      <c r="CC313" s="70"/>
      <c r="CD313" s="70"/>
      <c r="CE313" s="70"/>
      <c r="CF313" s="70"/>
      <c r="CG313" s="70"/>
      <c r="CH313" s="70"/>
      <c r="CI313" s="70"/>
      <c r="CJ313" s="70"/>
      <c r="CK313" s="70"/>
      <c r="CL313" s="70"/>
      <c r="CM313" s="232"/>
      <c r="CN313" s="232"/>
      <c r="CO313" s="232"/>
      <c r="CP313" s="232"/>
      <c r="CQ313" s="232"/>
      <c r="CR313" s="232"/>
      <c r="CS313" s="232"/>
      <c r="CT313" s="232"/>
      <c r="CU313" s="232"/>
      <c r="CV313" s="232"/>
      <c r="CW313" s="232"/>
      <c r="CX313" s="232"/>
      <c r="CY313" s="232"/>
      <c r="CZ313" s="418"/>
      <c r="DA313" s="387"/>
      <c r="DB313" s="387"/>
      <c r="DC313" s="387"/>
      <c r="DD313" s="387"/>
      <c r="DE313" s="387"/>
      <c r="DF313" s="564"/>
      <c r="DG313" s="564"/>
      <c r="DH313" s="564"/>
      <c r="DI313" s="564"/>
    </row>
    <row r="314" spans="1:113" ht="12" hidden="1" outlineLevel="2">
      <c r="A314" s="1" t="s">
        <v>169</v>
      </c>
      <c r="B314" s="15" t="str">
        <f>B$184</f>
        <v>Core deposits</v>
      </c>
      <c r="C314" s="345">
        <f t="shared" ref="C314:L316" si="3297">SUM(C299*C242,C304*C247,C309*C252)/C257</f>
        <v>4.8563833333333327E-2</v>
      </c>
      <c r="D314" s="345">
        <f t="shared" si="3297"/>
        <v>4.3449999999999996E-2</v>
      </c>
      <c r="E314" s="345">
        <f t="shared" si="3297"/>
        <v>4.9258500000000004E-2</v>
      </c>
      <c r="F314" s="345">
        <f t="shared" si="3297"/>
        <v>4.8122166666666667E-2</v>
      </c>
      <c r="G314" s="345">
        <f t="shared" si="3297"/>
        <v>4.7991666666666676E-2</v>
      </c>
      <c r="H314" s="345">
        <f t="shared" si="3297"/>
        <v>5.4583333333333324E-2</v>
      </c>
      <c r="I314" s="345">
        <f t="shared" si="3297"/>
        <v>5.4835999999999996E-2</v>
      </c>
      <c r="J314" s="345">
        <f t="shared" si="3297"/>
        <v>5.577216666666665E-2</v>
      </c>
      <c r="K314" s="345">
        <f t="shared" si="3297"/>
        <v>5.6622333333333337E-2</v>
      </c>
      <c r="L314" s="345">
        <f t="shared" si="3297"/>
        <v>1.9375350512485824E-2</v>
      </c>
      <c r="M314" s="35">
        <f t="shared" ref="M314:Y316" si="3298">SUM(M299*M242,M304*M247,M309*M252)/M257</f>
        <v>2.056193239682064E-2</v>
      </c>
      <c r="N314" s="35">
        <f t="shared" si="3298"/>
        <v>2.0804687141822396E-2</v>
      </c>
      <c r="O314" s="35">
        <f t="shared" si="3298"/>
        <v>2.0579687433606914E-2</v>
      </c>
      <c r="P314" s="35">
        <f t="shared" si="3298"/>
        <v>2.4611637411604815E-2</v>
      </c>
      <c r="Q314" s="35">
        <f t="shared" si="3298"/>
        <v>2.4531523536425213E-2</v>
      </c>
      <c r="R314" s="35">
        <f t="shared" si="3298"/>
        <v>8.8561783843903764E-3</v>
      </c>
      <c r="S314" s="35">
        <f t="shared" si="3298"/>
        <v>9.0575678530376239E-3</v>
      </c>
      <c r="T314" s="35">
        <f t="shared" si="3298"/>
        <v>1.5069684252040718E-2</v>
      </c>
      <c r="U314" s="35">
        <f t="shared" si="3298"/>
        <v>1.822858080814603E-2</v>
      </c>
      <c r="V314" s="35">
        <f t="shared" si="3298"/>
        <v>1.7801914900548128E-2</v>
      </c>
      <c r="W314" s="35">
        <f t="shared" si="3298"/>
        <v>1.7454221950612487E-2</v>
      </c>
      <c r="X314" s="35">
        <f t="shared" si="3298"/>
        <v>1.4080287331528238E-2</v>
      </c>
      <c r="Y314" s="37">
        <f t="shared" si="3298"/>
        <v>8.2322704670291704E-3</v>
      </c>
      <c r="Z314" s="37">
        <f t="shared" ref="Z314:AB316" si="3299">SUM(Z299*Z242,Z304*Z247,Z309*Z252)/Z257</f>
        <v>5.6311730957610984E-3</v>
      </c>
      <c r="AA314" s="37">
        <f t="shared" si="3299"/>
        <v>7.7501402535651645E-3</v>
      </c>
      <c r="AB314" s="37">
        <f t="shared" ref="AB314:AC314" si="3300">SUM(AB299*AB242,AB304*AB247,AB309*AB252)/AB257</f>
        <v>6.7528095404496141E-3</v>
      </c>
      <c r="AC314" s="37">
        <f t="shared" si="3300"/>
        <v>6.2198421124397179E-3</v>
      </c>
      <c r="AD314" s="330">
        <f>AD$318-((2358)*AD$5/AD257)</f>
        <v>4.1860652116385878E-3</v>
      </c>
      <c r="AE314" s="144">
        <f>AE$318-((2216)*AE$5/AE257)</f>
        <v>2.6959114911789019E-3</v>
      </c>
      <c r="AF314" s="414">
        <f>AF$318-((2193)*AF$5/AF257)</f>
        <v>4.8829724690545445E-3</v>
      </c>
      <c r="AG314" s="414">
        <f>AG$318-((1970)*AG$5/AG257)</f>
        <v>3.7720925571113374E-3</v>
      </c>
      <c r="AH314" s="414">
        <f>AH$318-((1777)*AH$5/AH257)</f>
        <v>3.8233256160221177E-3</v>
      </c>
      <c r="AI314" s="414">
        <f>AI$318-((1830)*AI$5/AI257)</f>
        <v>3.980513890728404E-3</v>
      </c>
      <c r="AJ314" s="414">
        <f>AJ$318-((1843)*AJ$5/AJ257)</f>
        <v>3.586720070869763E-3</v>
      </c>
      <c r="AK314" s="414">
        <f>AK$318-((1883)*AK$5/AK257)</f>
        <v>5.4241519758273637E-3</v>
      </c>
      <c r="AL314" s="414">
        <f>AL$318-((1892)*AL$5/AL257)</f>
        <v>4.7418284325026223E-3</v>
      </c>
      <c r="AM314" s="414">
        <f>AM$318-((1786)*AM$5/AM257)</f>
        <v>-3.5869827882366138E-4</v>
      </c>
      <c r="AN314" s="414">
        <f>AN$318-((1427)*AN$5/AN257)</f>
        <v>-1.4801707435332084E-3</v>
      </c>
      <c r="AO314" s="414">
        <f>AO$318-((992)*AO$5/AO257)</f>
        <v>-4.7423928043741704E-3</v>
      </c>
      <c r="AP314" s="414">
        <f>AP$318-((859)*AP$5/AP257)</f>
        <v>-4.5968866868186372E-3</v>
      </c>
      <c r="AQ314" s="414">
        <f>AQ$318-((812)*AQ$5/AQ257)</f>
        <v>-4.0872538411965281E-3</v>
      </c>
      <c r="AR314" s="414">
        <f>AR$318-((858)*AR$5/AR257)</f>
        <v>-3.6778768928449534E-3</v>
      </c>
      <c r="AS314" s="414">
        <f>AS$318-((1899)*AS$5/AS257)</f>
        <v>7.1922058815680895E-3</v>
      </c>
      <c r="AT314" s="414">
        <f>AT$318-((4268)*AT$5/AT257)</f>
        <v>9.3635239558034732E-3</v>
      </c>
      <c r="AU314" s="414">
        <f>AU$318-((5700)*AU$5/AU257)</f>
        <v>8.5340778279594243E-3</v>
      </c>
      <c r="AV314" s="414">
        <f>AV$318-((6536)*AV$5/AV257)</f>
        <v>6.5409108624771423E-3</v>
      </c>
      <c r="AW314" s="414">
        <f>AW$318-((6927)*AW$5/AW257)</f>
        <v>5.9095196535630043E-3</v>
      </c>
      <c r="AX314" s="414">
        <f>AX$318-((7199)*AX$5/AX257)</f>
        <v>-1.0535909487945083E-4</v>
      </c>
      <c r="AY314" s="419"/>
      <c r="AZ314" s="35"/>
      <c r="BA314" s="35"/>
      <c r="BB314" s="35"/>
      <c r="BC314" s="35"/>
      <c r="BD314" s="35"/>
      <c r="BE314" s="35"/>
      <c r="BF314" s="35"/>
      <c r="BG314" s="35"/>
      <c r="BH314" s="35"/>
      <c r="BI314" s="35"/>
      <c r="BJ314" s="35"/>
      <c r="BK314" s="35"/>
      <c r="BL314" s="35"/>
      <c r="BM314" s="35"/>
      <c r="BN314" s="35"/>
      <c r="BO314" s="35"/>
      <c r="BP314" s="35"/>
      <c r="BQ314" s="35"/>
      <c r="BR314" s="35"/>
      <c r="BS314" s="345"/>
      <c r="BT314" s="345"/>
      <c r="BU314" s="345"/>
      <c r="BV314" s="345"/>
      <c r="BW314" s="345"/>
      <c r="BX314" s="345"/>
      <c r="BY314" s="345"/>
      <c r="BZ314" s="345"/>
      <c r="CA314" s="345"/>
      <c r="CB314" s="345"/>
      <c r="CC314" s="35">
        <f t="shared" ref="CC314:CR319" si="3301">CC372/CC257*CC$5</f>
        <v>4.6433426583484663E-2</v>
      </c>
      <c r="CD314" s="35">
        <f t="shared" si="3301"/>
        <v>4.805805672834821E-2</v>
      </c>
      <c r="CE314" s="35">
        <f t="shared" si="3301"/>
        <v>5.4714920951267058E-2</v>
      </c>
      <c r="CF314" s="35">
        <f t="shared" si="3301"/>
        <v>5.6221464590520458E-2</v>
      </c>
      <c r="CG314" s="35">
        <f t="shared" si="3301"/>
        <v>1.9909215458461884E-2</v>
      </c>
      <c r="CH314" s="35">
        <f t="shared" si="3301"/>
        <v>2.0808868715598491E-2</v>
      </c>
      <c r="CI314" s="35">
        <f t="shared" si="3301"/>
        <v>2.4571122354004934E-2</v>
      </c>
      <c r="CJ314" s="35">
        <f t="shared" si="3301"/>
        <v>8.9593635838957943E-3</v>
      </c>
      <c r="CK314" s="35">
        <f t="shared" si="3301"/>
        <v>1.6668884078652153E-2</v>
      </c>
      <c r="CL314" s="35">
        <f t="shared" si="3301"/>
        <v>1.7620060398842844E-2</v>
      </c>
      <c r="CM314" s="37">
        <f t="shared" si="3301"/>
        <v>1.1120378004481502E-2</v>
      </c>
      <c r="CN314" s="37">
        <f t="shared" si="3301"/>
        <v>6.731545971771123E-3</v>
      </c>
      <c r="CO314" s="37">
        <f t="shared" si="3301"/>
        <v>6.4772977308738674E-3</v>
      </c>
      <c r="CP314" s="37">
        <f t="shared" si="3301"/>
        <v>3.4118507348461073E-3</v>
      </c>
      <c r="CQ314" s="37">
        <f t="shared" si="3301"/>
        <v>4.3221493650592744E-3</v>
      </c>
      <c r="CR314" s="37">
        <f t="shared" si="3301"/>
        <v>3.9049662604810327E-3</v>
      </c>
      <c r="CS314" s="37">
        <f t="shared" ref="CS314:CT319" si="3302">CS372/CS257*CS$5</f>
        <v>4.5048405144890403E-3</v>
      </c>
      <c r="CT314" s="37">
        <f t="shared" si="3302"/>
        <v>2.0946416777337337E-3</v>
      </c>
      <c r="CU314" s="37">
        <f t="shared" ref="CU314:CV314" si="3303">CU372/CU257*CU$5</f>
        <v>-3.4700354969936864E-3</v>
      </c>
      <c r="CV314" s="37">
        <f t="shared" si="3303"/>
        <v>-4.3364795166383596E-3</v>
      </c>
      <c r="CW314" s="37">
        <f t="shared" ref="CW314:CX314" si="3304">CW372/CW257*CW$5</f>
        <v>1.7892293262778435E-3</v>
      </c>
      <c r="CX314" s="37">
        <f t="shared" si="3304"/>
        <v>8.9546078404726375E-3</v>
      </c>
      <c r="CY314" s="37">
        <f t="shared" ref="CY314:CY319" si="3305">CY372/CY257*CY$5</f>
        <v>6.2220747856447092E-3</v>
      </c>
      <c r="CZ314" s="348"/>
      <c r="DA314" s="345"/>
      <c r="DB314" s="345"/>
      <c r="DC314" s="345"/>
      <c r="DD314" s="345"/>
      <c r="DE314" s="345"/>
      <c r="DF314" s="567"/>
      <c r="DG314" s="567"/>
      <c r="DH314" s="567"/>
      <c r="DI314" s="567"/>
    </row>
    <row r="315" spans="1:113" ht="12" hidden="1" outlineLevel="2">
      <c r="A315" s="1" t="s">
        <v>170</v>
      </c>
      <c r="B315" s="15" t="str">
        <f>B$185</f>
        <v>Time deposits (includes CDs)</v>
      </c>
      <c r="C315" s="345">
        <f t="shared" si="3297"/>
        <v>4.856383333333332E-2</v>
      </c>
      <c r="D315" s="345">
        <f t="shared" si="3297"/>
        <v>4.3449999999999996E-2</v>
      </c>
      <c r="E315" s="345">
        <f t="shared" si="3297"/>
        <v>4.9258500000000004E-2</v>
      </c>
      <c r="F315" s="345">
        <f t="shared" si="3297"/>
        <v>4.8122166666666667E-2</v>
      </c>
      <c r="G315" s="345">
        <f t="shared" si="3297"/>
        <v>4.7991666666666676E-2</v>
      </c>
      <c r="H315" s="345">
        <f t="shared" si="3297"/>
        <v>5.4583333333333331E-2</v>
      </c>
      <c r="I315" s="345">
        <f t="shared" si="3297"/>
        <v>5.4835999999999996E-2</v>
      </c>
      <c r="J315" s="345">
        <f t="shared" si="3297"/>
        <v>5.5772166666666657E-2</v>
      </c>
      <c r="K315" s="345">
        <f t="shared" si="3297"/>
        <v>5.6622333333333337E-2</v>
      </c>
      <c r="L315" s="345">
        <f t="shared" si="3297"/>
        <v>-2.1056570312751204E-3</v>
      </c>
      <c r="M315" s="35">
        <f t="shared" si="3298"/>
        <v>-1.9897719155722118E-4</v>
      </c>
      <c r="N315" s="35">
        <f t="shared" si="3298"/>
        <v>3.5063273597353225E-4</v>
      </c>
      <c r="O315" s="35">
        <f t="shared" si="3298"/>
        <v>5.4838488354215281E-4</v>
      </c>
      <c r="P315" s="35">
        <f t="shared" si="3298"/>
        <v>5.3079379045878313E-3</v>
      </c>
      <c r="Q315" s="35">
        <f t="shared" si="3298"/>
        <v>7.3560820634845847E-3</v>
      </c>
      <c r="R315" s="35">
        <f t="shared" si="3298"/>
        <v>-9.6440890999078214E-3</v>
      </c>
      <c r="S315" s="35">
        <f t="shared" si="3298"/>
        <v>-1.354021900938797E-3</v>
      </c>
      <c r="T315" s="35">
        <f t="shared" si="3298"/>
        <v>5.360499696086706E-3</v>
      </c>
      <c r="U315" s="35">
        <f t="shared" si="3298"/>
        <v>7.7207563486208662E-3</v>
      </c>
      <c r="V315" s="35">
        <f t="shared" si="3298"/>
        <v>5.5939984486934879E-3</v>
      </c>
      <c r="W315" s="35">
        <f t="shared" si="3298"/>
        <v>5.6605738323960396E-3</v>
      </c>
      <c r="X315" s="35">
        <f t="shared" si="3298"/>
        <v>3.9741803563363275E-3</v>
      </c>
      <c r="Y315" s="37">
        <f t="shared" si="3298"/>
        <v>-3.0515001263725893E-4</v>
      </c>
      <c r="Z315" s="37">
        <f t="shared" si="3299"/>
        <v>-8.0167139427249042E-4</v>
      </c>
      <c r="AA315" s="37">
        <f t="shared" si="3299"/>
        <v>-1.6961080705610345E-4</v>
      </c>
      <c r="AB315" s="37">
        <f t="shared" ref="AB315:AC315" si="3306">SUM(AB300*AB243,AB305*AB248,AB310*AB253)/AB258</f>
        <v>4.1041916788421605E-4</v>
      </c>
      <c r="AC315" s="37">
        <f t="shared" si="3306"/>
        <v>1.3897015941356852E-3</v>
      </c>
      <c r="AD315" s="144">
        <f>AD$318-((2259+884)*AD$5/AD258)</f>
        <v>1.529608380979014E-3</v>
      </c>
      <c r="AE315" s="144">
        <f>AE$318-((1951+806)*AE$5/AE258)</f>
        <v>2.8673468064304916E-4</v>
      </c>
      <c r="AF315" s="414">
        <f>AF$318-((1942+781)*AF$5/AF258)</f>
        <v>1.8218780218654737E-3</v>
      </c>
      <c r="AG315" s="414">
        <f>AG$318-((1895+724)*AG$5/AG258)</f>
        <v>-5.8831544659608548E-4</v>
      </c>
      <c r="AH315" s="414">
        <f>AH$318-((1951+664)*AH$5/AH258)</f>
        <v>-2.1028080350910007E-3</v>
      </c>
      <c r="AI315" s="414">
        <f>AI$318-((2090+603)*AI$5/AI258)</f>
        <v>-4.0984803068490824E-3</v>
      </c>
      <c r="AJ315" s="414">
        <f>AJ$318-((2185+529)*AJ$5/AJ258)</f>
        <v>-3.7709080578275066E-3</v>
      </c>
      <c r="AK315" s="414">
        <f>AK$318-((2503+541)*AK$5/AK258)</f>
        <v>-3.7548299380880598E-3</v>
      </c>
      <c r="AL315" s="414">
        <f>AL$318-((2783+505)*AL$5/AL258)</f>
        <v>-5.5968000439091045E-3</v>
      </c>
      <c r="AM315" s="414">
        <f>AM$318-((2886+311)*AM$5/AM258)</f>
        <v>-1.0931787613945202E-2</v>
      </c>
      <c r="AN315" s="414">
        <f>AN$318-((2286+236)*AN$5/AN258)</f>
        <v>-1.0475473478369622E-2</v>
      </c>
      <c r="AO315" s="414">
        <f>AO$318-((1261+99)*AO$5/AO258)</f>
        <v>-9.863614777554713E-3</v>
      </c>
      <c r="AP315" s="414">
        <f>AP$318-((659+30)*AP$5/AP258)</f>
        <v>-5.6123750740247787E-3</v>
      </c>
      <c r="AQ315" s="414">
        <f>AQ$318-((423+25)*AQ$5/AQ258)</f>
        <v>-3.619887038546142E-3</v>
      </c>
      <c r="AR315" s="414">
        <f>AR$318-((440+40)*AR$5/AR258)</f>
        <v>-3.6101992427991147E-3</v>
      </c>
      <c r="AS315" s="414">
        <f>AS$318-((1471+235)*AS$5/AS258)</f>
        <v>2.2685253259320335E-3</v>
      </c>
      <c r="AT315" s="414">
        <f>AT$318-((3998+674)*AT$5/AT258)</f>
        <v>-2.0806598760266665E-3</v>
      </c>
      <c r="AU315" s="414">
        <f>AU$318-((5712+935)*AU$5/AU258)</f>
        <v>-4.8293727234720099E-3</v>
      </c>
      <c r="AV315" s="414">
        <f>AV$318-((6595+1064)*AV$5/AV258)</f>
        <v>-6.2817221134480114E-3</v>
      </c>
      <c r="AW315" s="414">
        <f>AW$318-((6436+1019)*AW$5/AW258)</f>
        <v>-5.3818015224526838E-3</v>
      </c>
      <c r="AX315" s="414">
        <f>AX$318-((6761+978)*AX$5/AX258)</f>
        <v>-3.2739585210400796E-3</v>
      </c>
      <c r="AY315" s="419"/>
      <c r="AZ315" s="35"/>
      <c r="BA315" s="35"/>
      <c r="BB315" s="35"/>
      <c r="BC315" s="35"/>
      <c r="BD315" s="35"/>
      <c r="BE315" s="35"/>
      <c r="BF315" s="35"/>
      <c r="BG315" s="35"/>
      <c r="BH315" s="35"/>
      <c r="BI315" s="35"/>
      <c r="BJ315" s="35"/>
      <c r="BK315" s="35"/>
      <c r="BL315" s="35"/>
      <c r="BM315" s="35"/>
      <c r="BN315" s="35"/>
      <c r="BO315" s="35"/>
      <c r="BP315" s="35"/>
      <c r="BQ315" s="35"/>
      <c r="BR315" s="35"/>
      <c r="BS315" s="345"/>
      <c r="BT315" s="345"/>
      <c r="BU315" s="345"/>
      <c r="BV315" s="345"/>
      <c r="BW315" s="345"/>
      <c r="BX315" s="345"/>
      <c r="BY315" s="345"/>
      <c r="BZ315" s="345"/>
      <c r="CA315" s="345"/>
      <c r="CB315" s="345"/>
      <c r="CC315" s="35">
        <f t="shared" si="3301"/>
        <v>4.643710102129317E-2</v>
      </c>
      <c r="CD315" s="35">
        <f t="shared" si="3301"/>
        <v>4.8058010797370897E-2</v>
      </c>
      <c r="CE315" s="35">
        <f t="shared" si="3301"/>
        <v>5.4717999994833726E-2</v>
      </c>
      <c r="CF315" s="35">
        <f t="shared" si="3301"/>
        <v>5.6206140946750742E-2</v>
      </c>
      <c r="CG315" s="35">
        <f t="shared" si="3301"/>
        <v>-1.1311386687176091E-3</v>
      </c>
      <c r="CH315" s="35">
        <f t="shared" si="3301"/>
        <v>4.5414861325165652E-4</v>
      </c>
      <c r="CI315" s="35">
        <f t="shared" si="3301"/>
        <v>6.3940002109974855E-3</v>
      </c>
      <c r="CJ315" s="35">
        <f t="shared" si="3301"/>
        <v>-5.4968332163540402E-3</v>
      </c>
      <c r="CK315" s="35">
        <f t="shared" si="3301"/>
        <v>6.5147072651482348E-3</v>
      </c>
      <c r="CL315" s="35">
        <f t="shared" si="3301"/>
        <v>5.6281305274963863E-3</v>
      </c>
      <c r="CM315" s="37">
        <f t="shared" si="3301"/>
        <v>1.7444085494753756E-3</v>
      </c>
      <c r="CN315" s="37">
        <f t="shared" si="3301"/>
        <v>-4.7681396174610873E-4</v>
      </c>
      <c r="CO315" s="37">
        <f t="shared" si="3301"/>
        <v>8.9966015479424019E-4</v>
      </c>
      <c r="CP315" s="37">
        <f t="shared" si="3301"/>
        <v>9.0674111969219395E-4</v>
      </c>
      <c r="CQ315" s="37">
        <f t="shared" si="3301"/>
        <v>6.161444931037268E-4</v>
      </c>
      <c r="CR315" s="37">
        <f t="shared" si="3301"/>
        <v>-3.0788178832916006E-3</v>
      </c>
      <c r="CS315" s="37">
        <f t="shared" si="3302"/>
        <v>-3.7627892021201829E-3</v>
      </c>
      <c r="CT315" s="37">
        <f t="shared" si="3302"/>
        <v>-8.3158342986703031E-3</v>
      </c>
      <c r="CU315" s="37">
        <f t="shared" ref="CU315:CV315" si="3307">CU373/CU258*CU$5</f>
        <v>-1.0181801917243639E-2</v>
      </c>
      <c r="CV315" s="37">
        <f t="shared" si="3307"/>
        <v>-4.6325638866303535E-3</v>
      </c>
      <c r="CW315" s="37">
        <f t="shared" ref="CW315:CX315" si="3308">CW373/CW258*CW$5</f>
        <v>-5.7076991996531231E-4</v>
      </c>
      <c r="CX315" s="37">
        <f t="shared" si="3308"/>
        <v>-3.5137864478966062E-3</v>
      </c>
      <c r="CY315" s="37">
        <f t="shared" si="3305"/>
        <v>-5.8374004514745387E-3</v>
      </c>
      <c r="CZ315" s="348"/>
      <c r="DA315" s="345"/>
      <c r="DB315" s="345"/>
      <c r="DC315" s="345"/>
      <c r="DD315" s="345"/>
      <c r="DE315" s="345"/>
      <c r="DF315" s="567"/>
      <c r="DG315" s="567"/>
      <c r="DH315" s="567"/>
      <c r="DI315" s="567"/>
    </row>
    <row r="316" spans="1:113" s="17" customFormat="1" ht="12" hidden="1" outlineLevel="2">
      <c r="A316" s="1" t="s">
        <v>171</v>
      </c>
      <c r="B316" s="17" t="s">
        <v>168</v>
      </c>
      <c r="C316" s="387">
        <f t="shared" si="3297"/>
        <v>4.856383333333332E-2</v>
      </c>
      <c r="D316" s="387">
        <f t="shared" si="3297"/>
        <v>4.3449999999999989E-2</v>
      </c>
      <c r="E316" s="387">
        <f t="shared" si="3297"/>
        <v>4.9258500000000011E-2</v>
      </c>
      <c r="F316" s="387">
        <f t="shared" si="3297"/>
        <v>4.8122166666666667E-2</v>
      </c>
      <c r="G316" s="387">
        <f t="shared" si="3297"/>
        <v>4.7991666666666682E-2</v>
      </c>
      <c r="H316" s="387">
        <f t="shared" si="3297"/>
        <v>5.4583333333333331E-2</v>
      </c>
      <c r="I316" s="387">
        <f t="shared" si="3297"/>
        <v>5.4836000000000003E-2</v>
      </c>
      <c r="J316" s="387">
        <f t="shared" si="3297"/>
        <v>5.5772166666666657E-2</v>
      </c>
      <c r="K316" s="387">
        <f t="shared" si="3297"/>
        <v>5.6622333333333323E-2</v>
      </c>
      <c r="L316" s="387">
        <f t="shared" si="3297"/>
        <v>8.4576547476820831E-3</v>
      </c>
      <c r="M316" s="70">
        <f t="shared" si="3298"/>
        <v>9.9935248439171707E-3</v>
      </c>
      <c r="N316" s="70">
        <f t="shared" si="3298"/>
        <v>1.0702128657820307E-2</v>
      </c>
      <c r="O316" s="70">
        <f t="shared" si="3298"/>
        <v>1.0556867502640824E-2</v>
      </c>
      <c r="P316" s="70">
        <f t="shared" si="3298"/>
        <v>1.4225906938918433E-2</v>
      </c>
      <c r="Q316" s="70">
        <f t="shared" si="3298"/>
        <v>1.4745779704668621E-2</v>
      </c>
      <c r="R316" s="70">
        <f t="shared" si="3298"/>
        <v>-1.9705032782600545E-3</v>
      </c>
      <c r="S316" s="70">
        <f t="shared" si="3298"/>
        <v>3.0847429676879967E-3</v>
      </c>
      <c r="T316" s="70">
        <f t="shared" si="3298"/>
        <v>9.2923559470334434E-3</v>
      </c>
      <c r="U316" s="70">
        <f t="shared" si="3298"/>
        <v>1.1828801799392859E-2</v>
      </c>
      <c r="V316" s="70">
        <f t="shared" si="3298"/>
        <v>1.0224907050687059E-2</v>
      </c>
      <c r="W316" s="70">
        <f t="shared" si="3298"/>
        <v>1.0246868951872044E-2</v>
      </c>
      <c r="X316" s="70">
        <f t="shared" si="3298"/>
        <v>8.0071099652203066E-3</v>
      </c>
      <c r="Y316" s="232">
        <f t="shared" si="3298"/>
        <v>2.9805372405372209E-3</v>
      </c>
      <c r="Z316" s="232">
        <f t="shared" si="3299"/>
        <v>1.7723818489848626E-3</v>
      </c>
      <c r="AA316" s="232">
        <f t="shared" si="3299"/>
        <v>3.0403011807027575E-3</v>
      </c>
      <c r="AB316" s="232">
        <f t="shared" si="3299"/>
        <v>3.1023140133924418E-3</v>
      </c>
      <c r="AC316" s="232">
        <f t="shared" ref="AC316:AD316" si="3309">SUM(AC301*AC244,AC306*AC249,AC311*AC254)/AC259</f>
        <v>3.5220203334974973E-3</v>
      </c>
      <c r="AD316" s="232">
        <f t="shared" si="3309"/>
        <v>2.7436074393180528E-3</v>
      </c>
      <c r="AE316" s="232">
        <f t="shared" ref="AE316:AF316" si="3310">SUM(AE301*AE244,AE306*AE249,AE311*AE254)/AE259</f>
        <v>1.4318744628609406E-3</v>
      </c>
      <c r="AF316" s="232">
        <f t="shared" si="3310"/>
        <v>3.3082021567610595E-3</v>
      </c>
      <c r="AG316" s="232">
        <f t="shared" ref="AG316:AH316" si="3311">SUM(AG301*AG244,AG306*AG249,AG311*AG254)/AG259</f>
        <v>1.5488610119682841E-3</v>
      </c>
      <c r="AH316" s="232">
        <f t="shared" si="3311"/>
        <v>8.1413245534010846E-4</v>
      </c>
      <c r="AI316" s="232">
        <f t="shared" ref="AI316:AJ316" si="3312">SUM(AI301*AI244,AI306*AI249,AI311*AI254)/AI259</f>
        <v>1.2231193624126792E-4</v>
      </c>
      <c r="AJ316" s="232">
        <f t="shared" si="3312"/>
        <v>-3.7878723470656178E-5</v>
      </c>
      <c r="AK316" s="232">
        <f t="shared" ref="AK316:AL316" si="3313">SUM(AK301*AK244,AK306*AK249,AK311*AK254)/AK259</f>
        <v>8.5370126648903093E-4</v>
      </c>
      <c r="AL316" s="232">
        <f t="shared" si="3313"/>
        <v>-4.9228519343098463E-4</v>
      </c>
      <c r="AM316" s="232">
        <f t="shared" ref="AM316:AN316" si="3314">SUM(AM301*AM244,AM306*AM249,AM311*AM254)/AM259</f>
        <v>-5.6126790968476859E-3</v>
      </c>
      <c r="AN316" s="232">
        <f t="shared" si="3314"/>
        <v>-5.7925842261229848E-3</v>
      </c>
      <c r="AO316" s="232">
        <f t="shared" ref="AO316" si="3315">SUM(AO301*AO244,AO306*AO249,AO311*AO254)/AO259</f>
        <v>-6.9053427140360352E-3</v>
      </c>
      <c r="AP316" s="232">
        <f t="shared" ref="AP316:AQ316" si="3316">SUM(AP301*AP244,AP306*AP249,AP311*AP254)/AP259</f>
        <v>-5.0026072469332343E-3</v>
      </c>
      <c r="AQ316" s="232">
        <f t="shared" si="3316"/>
        <v>-3.9090753975331927E-3</v>
      </c>
      <c r="AR316" s="232">
        <f t="shared" ref="AR316:AS316" si="3317">SUM(AR301*AR244,AR306*AR249,AR311*AR254)/AR259</f>
        <v>-3.6533638364534739E-3</v>
      </c>
      <c r="AS316" s="232">
        <f t="shared" si="3317"/>
        <v>5.3442958255935985E-3</v>
      </c>
      <c r="AT316" s="232">
        <f t="shared" ref="AT316:AU316" si="3318">SUM(AT301*AT244,AT306*AT249,AT311*AT254)/AT259</f>
        <v>4.511479482405374E-3</v>
      </c>
      <c r="AU316" s="232">
        <f t="shared" si="3318"/>
        <v>2.4948088940258801E-3</v>
      </c>
      <c r="AV316" s="232">
        <f t="shared" ref="AV316:AW316" si="3319">SUM(AV301*AV244,AV306*AV249,AV311*AV254)/AV259</f>
        <v>5.7761734953293232E-4</v>
      </c>
      <c r="AW316" s="232">
        <f t="shared" si="3319"/>
        <v>7.8445436213227617E-4</v>
      </c>
      <c r="AX316" s="232">
        <f t="shared" ref="AX316" si="3320">SUM(AX301*AX244,AX306*AX249,AX311*AX254)/AX259</f>
        <v>-1.6906685922923863E-3</v>
      </c>
      <c r="AY316" s="72"/>
      <c r="AZ316" s="70"/>
      <c r="BA316" s="70"/>
      <c r="BB316" s="70"/>
      <c r="BC316" s="70"/>
      <c r="BD316" s="70"/>
      <c r="BE316" s="70"/>
      <c r="BF316" s="70"/>
      <c r="BG316" s="70"/>
      <c r="BH316" s="70"/>
      <c r="BI316" s="70"/>
      <c r="BJ316" s="70"/>
      <c r="BK316" s="70"/>
      <c r="BL316" s="70"/>
      <c r="BM316" s="70"/>
      <c r="BN316" s="70"/>
      <c r="BO316" s="70"/>
      <c r="BP316" s="70"/>
      <c r="BQ316" s="70"/>
      <c r="BR316" s="70"/>
      <c r="BS316" s="387">
        <f t="shared" ref="BS316:CB316" si="3321">SUM(BS301*BS244,BS306*BS249,BS311*BS254)/BS259</f>
        <v>-2.0924119765811729E-3</v>
      </c>
      <c r="BT316" s="387">
        <f t="shared" si="3321"/>
        <v>-2.1213602595849631E-4</v>
      </c>
      <c r="BU316" s="387">
        <f t="shared" si="3321"/>
        <v>5.7754833535818544E-3</v>
      </c>
      <c r="BV316" s="387">
        <f t="shared" si="3321"/>
        <v>2.1221799860955678E-2</v>
      </c>
      <c r="BW316" s="387">
        <f t="shared" si="3321"/>
        <v>1.4420070581009463E-2</v>
      </c>
      <c r="BX316" s="387">
        <f t="shared" si="3321"/>
        <v>7.9830475536896463E-3</v>
      </c>
      <c r="BY316" s="387">
        <f t="shared" si="3321"/>
        <v>-2.0786698832646311E-3</v>
      </c>
      <c r="BZ316" s="387">
        <f t="shared" si="3321"/>
        <v>8.1487208831255379E-3</v>
      </c>
      <c r="CA316" s="387">
        <f t="shared" si="3321"/>
        <v>1.2968488097128831E-2</v>
      </c>
      <c r="CB316" s="387">
        <f t="shared" si="3321"/>
        <v>1.0134448361980346E-2</v>
      </c>
      <c r="CC316" s="70">
        <f t="shared" si="3301"/>
        <v>4.6435239939475757E-2</v>
      </c>
      <c r="CD316" s="70">
        <f t="shared" si="3301"/>
        <v>4.8058033772157463E-2</v>
      </c>
      <c r="CE316" s="70">
        <f t="shared" si="3301"/>
        <v>5.4716465212028872E-2</v>
      </c>
      <c r="CF316" s="70">
        <f t="shared" si="3301"/>
        <v>5.6213641445992571E-2</v>
      </c>
      <c r="CG316" s="70">
        <f t="shared" si="3301"/>
        <v>9.2453398656549262E-3</v>
      </c>
      <c r="CH316" s="70">
        <f t="shared" si="3301"/>
        <v>1.0657600656546641E-2</v>
      </c>
      <c r="CI316" s="70">
        <f t="shared" si="3301"/>
        <v>1.4493987377873318E-2</v>
      </c>
      <c r="CJ316" s="70">
        <f t="shared" si="3301"/>
        <v>5.8367405661722551E-4</v>
      </c>
      <c r="CK316" s="70">
        <f t="shared" si="3301"/>
        <v>1.0525585634596858E-2</v>
      </c>
      <c r="CL316" s="70">
        <f t="shared" si="3301"/>
        <v>1.0236220022532981E-2</v>
      </c>
      <c r="CM316" s="232">
        <f t="shared" si="3301"/>
        <v>5.4173111774305002E-3</v>
      </c>
      <c r="CN316" s="232">
        <f t="shared" si="3301"/>
        <v>2.4267827500121073E-3</v>
      </c>
      <c r="CO316" s="232">
        <f t="shared" si="3301"/>
        <v>3.3151492560564897E-3</v>
      </c>
      <c r="CP316" s="232">
        <f t="shared" si="3301"/>
        <v>2.0749748028198434E-3</v>
      </c>
      <c r="CQ316" s="232">
        <f t="shared" si="3301"/>
        <v>2.424134326935592E-3</v>
      </c>
      <c r="CR316" s="232">
        <f t="shared" si="3301"/>
        <v>4.6517246832767777E-4</v>
      </c>
      <c r="CS316" s="232">
        <f t="shared" si="3302"/>
        <v>4.0996043337700232E-4</v>
      </c>
      <c r="CT316" s="232">
        <f t="shared" si="3302"/>
        <v>-3.125804346221788E-3</v>
      </c>
      <c r="CU316" s="232">
        <f t="shared" ref="CU316:CV316" si="3322">CU374/CU259*CU$5</f>
        <v>-6.6092601928148184E-3</v>
      </c>
      <c r="CV316" s="232">
        <f t="shared" si="3322"/>
        <v>-4.4520478309820833E-3</v>
      </c>
      <c r="CW316" s="232">
        <f t="shared" ref="CW316:CX316" si="3323">CW374/CW259*CW$5</f>
        <v>9.1871149426352931E-4</v>
      </c>
      <c r="CX316" s="232">
        <f t="shared" si="3323"/>
        <v>3.4921878124319719E-3</v>
      </c>
      <c r="CY316" s="232">
        <f t="shared" si="3305"/>
        <v>6.8099646021375069E-4</v>
      </c>
      <c r="CZ316" s="418"/>
      <c r="DA316" s="387"/>
      <c r="DB316" s="387"/>
      <c r="DC316" s="387"/>
      <c r="DD316" s="387"/>
      <c r="DE316" s="387"/>
      <c r="DF316" s="564"/>
      <c r="DG316" s="564"/>
      <c r="DH316" s="564"/>
      <c r="DI316" s="564"/>
    </row>
    <row r="317" spans="1:113" ht="12" hidden="1" outlineLevel="2">
      <c r="A317" s="1" t="s">
        <v>172</v>
      </c>
      <c r="B317" s="15" t="s">
        <v>277</v>
      </c>
      <c r="C317" s="345">
        <f t="shared" ref="C317:L317" si="3324">(C319*C262-C316*C259-C318*C261)/C260</f>
        <v>1.9223318163319947E-2</v>
      </c>
      <c r="D317" s="345">
        <f t="shared" si="3324"/>
        <v>1.7885962904960227E-2</v>
      </c>
      <c r="E317" s="345">
        <f t="shared" si="3324"/>
        <v>2.1370896397589965E-2</v>
      </c>
      <c r="F317" s="345">
        <f t="shared" si="3324"/>
        <v>1.581382669591351E-2</v>
      </c>
      <c r="G317" s="345">
        <f t="shared" si="3324"/>
        <v>1.3766241669444934E-2</v>
      </c>
      <c r="H317" s="345">
        <f t="shared" si="3324"/>
        <v>3.1997836815996273E-3</v>
      </c>
      <c r="I317" s="345">
        <f t="shared" si="3324"/>
        <v>-1.2566915322131951E-2</v>
      </c>
      <c r="J317" s="345">
        <f t="shared" si="3324"/>
        <v>-8.6155356688359094E-2</v>
      </c>
      <c r="K317" s="345">
        <f t="shared" si="3324"/>
        <v>-8.7617430213970782E-2</v>
      </c>
      <c r="L317" s="345">
        <f t="shared" si="3324"/>
        <v>-3.8571192747787661E-3</v>
      </c>
      <c r="M317" s="35">
        <f t="shared" ref="M317:Y317" si="3325">(M319*M262-M316*M259-M318*M261)/M260</f>
        <v>-2.201141248599078E-4</v>
      </c>
      <c r="N317" s="35">
        <f t="shared" si="3325"/>
        <v>-1.9119363294536186E-3</v>
      </c>
      <c r="O317" s="35">
        <f t="shared" si="3325"/>
        <v>-2.6212555656373025E-3</v>
      </c>
      <c r="P317" s="35">
        <f t="shared" si="3325"/>
        <v>1.1236233722075149E-4</v>
      </c>
      <c r="Q317" s="35">
        <f t="shared" si="3325"/>
        <v>1.3456165592472724E-3</v>
      </c>
      <c r="R317" s="35">
        <f t="shared" si="3325"/>
        <v>-1.2883159993534142E-2</v>
      </c>
      <c r="S317" s="35">
        <f t="shared" si="3325"/>
        <v>-6.2201467790950135E-3</v>
      </c>
      <c r="T317" s="35">
        <f t="shared" si="3325"/>
        <v>-7.8357603386835519E-4</v>
      </c>
      <c r="U317" s="35">
        <f t="shared" si="3325"/>
        <v>-1.1258087556469745E-3</v>
      </c>
      <c r="V317" s="35">
        <f t="shared" si="3325"/>
        <v>-1.1520616713297611E-3</v>
      </c>
      <c r="W317" s="35">
        <f t="shared" si="3325"/>
        <v>-1.5061285536595375E-5</v>
      </c>
      <c r="X317" s="35">
        <f t="shared" si="3325"/>
        <v>2.1588780168344186E-4</v>
      </c>
      <c r="Y317" s="37">
        <f t="shared" si="3325"/>
        <v>-3.7701136683709986E-3</v>
      </c>
      <c r="Z317" s="37">
        <f t="shared" ref="Z317:AD317" si="3326">(Z319*Z262-Z316*Z259-Z318*Z261)/Z260</f>
        <v>-5.5138410866410201E-3</v>
      </c>
      <c r="AA317" s="37">
        <f t="shared" si="3326"/>
        <v>-9.0828478621849534E-3</v>
      </c>
      <c r="AB317" s="37">
        <f t="shared" si="3326"/>
        <v>-8.0056588700174423E-3</v>
      </c>
      <c r="AC317" s="37">
        <f t="shared" si="3326"/>
        <v>-6.1700901165742568E-3</v>
      </c>
      <c r="AD317" s="37">
        <f t="shared" si="3326"/>
        <v>-3.3555256015450198E-3</v>
      </c>
      <c r="AE317" s="37">
        <f t="shared" ref="AE317:AF317" si="3327">(AE319*AE262-AE316*AE259-AE318*AE261)/AE260</f>
        <v>-6.2432914221046531E-3</v>
      </c>
      <c r="AF317" s="37">
        <f t="shared" si="3327"/>
        <v>-3.8032681495332463E-3</v>
      </c>
      <c r="AG317" s="37">
        <f t="shared" ref="AG317:AH317" si="3328">(AG319*AG262-AG316*AG259-AG318*AG261)/AG260</f>
        <v>-8.4732631664184918E-3</v>
      </c>
      <c r="AH317" s="37">
        <f t="shared" si="3328"/>
        <v>-8.2598662849082006E-3</v>
      </c>
      <c r="AI317" s="37">
        <f t="shared" ref="AI317:AJ317" si="3329">(AI319*AI262-AI316*AI259-AI318*AI261)/AI260</f>
        <v>-9.7423839265302539E-3</v>
      </c>
      <c r="AJ317" s="37">
        <f t="shared" si="3329"/>
        <v>-1.0010627414332543E-2</v>
      </c>
      <c r="AK317" s="37">
        <f t="shared" ref="AK317:AL317" si="3330">(AK319*AK262-AK316*AK259-AK318*AK261)/AK260</f>
        <v>-1.001719291992457E-2</v>
      </c>
      <c r="AL317" s="37">
        <f t="shared" si="3330"/>
        <v>-9.754614817180679E-3</v>
      </c>
      <c r="AM317" s="37">
        <f t="shared" ref="AM317:AN317" si="3331">(AM319*AM262-AM316*AM259-AM318*AM261)/AM260</f>
        <v>-1.3764811480938735E-2</v>
      </c>
      <c r="AN317" s="37">
        <f t="shared" si="3331"/>
        <v>-1.280569574365145E-2</v>
      </c>
      <c r="AO317" s="37">
        <f t="shared" ref="AO317" si="3332">(AO319*AO262-AO316*AO259-AO318*AO261)/AO260</f>
        <v>-1.0556420505124503E-2</v>
      </c>
      <c r="AP317" s="37">
        <f t="shared" ref="AP317:AQ317" si="3333">(AP319*AP262-AP316*AP259-AP318*AP261)/AP260</f>
        <v>-1.1388232112330343E-2</v>
      </c>
      <c r="AQ317" s="37">
        <f t="shared" si="3333"/>
        <v>-1.004962667254064E-2</v>
      </c>
      <c r="AR317" s="37">
        <f t="shared" ref="AR317:AS317" si="3334">(AR319*AR262-AR316*AR259-AR318*AR261)/AR260</f>
        <v>-9.8053287018080738E-3</v>
      </c>
      <c r="AS317" s="37">
        <f t="shared" si="3334"/>
        <v>-2.8217545970976284E-3</v>
      </c>
      <c r="AT317" s="37">
        <f t="shared" ref="AT317:AU317" si="3335">(AT319*AT262-AT316*AT259-AT318*AT261)/AT260</f>
        <v>-6.46465817334796E-3</v>
      </c>
      <c r="AU317" s="37">
        <f t="shared" si="3335"/>
        <v>-7.8209599823090715E-3</v>
      </c>
      <c r="AV317" s="37">
        <f t="shared" ref="AV317:AW317" si="3336">(AV319*AV262-AV316*AV259-AV318*AV261)/AV260</f>
        <v>-7.5704324816215649E-3</v>
      </c>
      <c r="AW317" s="37">
        <f t="shared" si="3336"/>
        <v>-8.4257327012329363E-3</v>
      </c>
      <c r="AX317" s="37">
        <f t="shared" ref="AX317" si="3337">(AX319*AX262-AX316*AX259-AX318*AX261)/AX260</f>
        <v>4.5004382417552694E-5</v>
      </c>
      <c r="AY317" s="36"/>
      <c r="AZ317" s="35"/>
      <c r="BA317" s="35"/>
      <c r="BB317" s="35"/>
      <c r="BC317" s="35"/>
      <c r="BD317" s="35"/>
      <c r="BE317" s="35"/>
      <c r="BF317" s="35"/>
      <c r="BG317" s="35"/>
      <c r="BH317" s="35"/>
      <c r="BI317" s="35"/>
      <c r="BJ317" s="35"/>
      <c r="BK317" s="35"/>
      <c r="BL317" s="35"/>
      <c r="BM317" s="35"/>
      <c r="BN317" s="35"/>
      <c r="BO317" s="35"/>
      <c r="BP317" s="35"/>
      <c r="BQ317" s="35"/>
      <c r="BR317" s="35"/>
      <c r="BS317" s="345">
        <f t="shared" ref="BS317:CB317" si="3338">(BS319*BS262-BS316*BS259-BS318*BS261)/BS260</f>
        <v>2.9839111002260509E-2</v>
      </c>
      <c r="BT317" s="345">
        <f t="shared" si="3338"/>
        <v>-9.389141178819822E-3</v>
      </c>
      <c r="BU317" s="345">
        <f t="shared" si="3338"/>
        <v>2.7300970898657606E-3</v>
      </c>
      <c r="BV317" s="345">
        <f t="shared" si="3338"/>
        <v>2.5927088010776959E-3</v>
      </c>
      <c r="BW317" s="345">
        <f t="shared" si="3338"/>
        <v>-1.0758684152778139E-3</v>
      </c>
      <c r="BX317" s="345">
        <f t="shared" si="3338"/>
        <v>-1.565674130730086E-2</v>
      </c>
      <c r="BY317" s="345">
        <f t="shared" si="3338"/>
        <v>-4.5961462967809381E-3</v>
      </c>
      <c r="BZ317" s="345">
        <f t="shared" si="3338"/>
        <v>-9.2860375941101938E-3</v>
      </c>
      <c r="CA317" s="345">
        <f t="shared" si="3338"/>
        <v>-6.0233838784962664E-3</v>
      </c>
      <c r="CB317" s="345">
        <f t="shared" si="3338"/>
        <v>-9.3788123701204051E-3</v>
      </c>
      <c r="CC317" s="35">
        <f t="shared" si="3301"/>
        <v>1.961264916370363E-2</v>
      </c>
      <c r="CD317" s="35">
        <f t="shared" si="3301"/>
        <v>1.479073206700844E-2</v>
      </c>
      <c r="CE317" s="35">
        <f t="shared" si="3301"/>
        <v>-4.3214490528480755E-3</v>
      </c>
      <c r="CF317" s="35">
        <f t="shared" si="3301"/>
        <v>-8.6952399800126479E-2</v>
      </c>
      <c r="CG317" s="35">
        <f t="shared" si="3301"/>
        <v>-2.003116664156993E-3</v>
      </c>
      <c r="CH317" s="35">
        <f t="shared" si="3301"/>
        <v>-2.2702733283103006E-3</v>
      </c>
      <c r="CI317" s="35">
        <f t="shared" si="3301"/>
        <v>7.4192365005681363E-4</v>
      </c>
      <c r="CJ317" s="35">
        <f t="shared" si="3301"/>
        <v>-9.7253208006613141E-3</v>
      </c>
      <c r="CK317" s="35">
        <f t="shared" si="3301"/>
        <v>-9.7372679907128858E-4</v>
      </c>
      <c r="CL317" s="35">
        <f t="shared" si="3301"/>
        <v>-5.7078286634047E-4</v>
      </c>
      <c r="CM317" s="37">
        <f t="shared" si="3301"/>
        <v>-1.7894165067017112E-3</v>
      </c>
      <c r="CN317" s="37">
        <f t="shared" si="3301"/>
        <v>-7.3927893802231311E-3</v>
      </c>
      <c r="CO317" s="37">
        <f t="shared" si="3301"/>
        <v>-7.0370408511603241E-3</v>
      </c>
      <c r="CP317" s="37">
        <f t="shared" si="3301"/>
        <v>-4.8165024426639605E-3</v>
      </c>
      <c r="CQ317" s="37">
        <f t="shared" si="3301"/>
        <v>-6.1370604933753013E-3</v>
      </c>
      <c r="CR317" s="37">
        <f t="shared" si="3301"/>
        <v>-9.0011640730570091E-3</v>
      </c>
      <c r="CS317" s="37">
        <f t="shared" si="3302"/>
        <v>-1.0014018013971065E-2</v>
      </c>
      <c r="CT317" s="37">
        <f t="shared" si="3302"/>
        <v>-1.1741345833390312E-2</v>
      </c>
      <c r="CU317" s="37">
        <f t="shared" ref="CU317:CV317" si="3339">CU375/CU260*CU$5</f>
        <v>-1.2053648890448831E-2</v>
      </c>
      <c r="CV317" s="37">
        <f t="shared" si="3339"/>
        <v>-1.0713650546666318E-2</v>
      </c>
      <c r="CW317" s="37">
        <f t="shared" ref="CW317:CX317" si="3340">CW375/CW260*CW$5</f>
        <v>-6.2063920198018527E-3</v>
      </c>
      <c r="CX317" s="37">
        <f t="shared" si="3340"/>
        <v>-7.1421082385338952E-3</v>
      </c>
      <c r="CY317" s="37">
        <f t="shared" si="3305"/>
        <v>-8.0061850535039884E-3</v>
      </c>
      <c r="CZ317" s="348"/>
      <c r="DA317" s="345"/>
      <c r="DB317" s="345"/>
      <c r="DC317" s="345"/>
      <c r="DD317" s="345"/>
      <c r="DE317" s="345"/>
      <c r="DF317" s="567"/>
      <c r="DG317" s="567"/>
      <c r="DH317" s="567"/>
      <c r="DI317" s="567"/>
    </row>
    <row r="318" spans="1:113" ht="12" hidden="1" outlineLevel="2">
      <c r="A318" s="1" t="s">
        <v>173</v>
      </c>
      <c r="B318" s="15" t="s">
        <v>278</v>
      </c>
      <c r="C318" s="345">
        <f t="shared" ref="C318:AC318" si="3341">C80</f>
        <v>4.8563833333333327E-2</v>
      </c>
      <c r="D318" s="345">
        <f t="shared" si="3341"/>
        <v>4.3449999999999996E-2</v>
      </c>
      <c r="E318" s="345">
        <f t="shared" si="3341"/>
        <v>4.9258500000000004E-2</v>
      </c>
      <c r="F318" s="345">
        <f t="shared" si="3341"/>
        <v>4.8122166666666667E-2</v>
      </c>
      <c r="G318" s="345">
        <f t="shared" si="3341"/>
        <v>4.7991666666666676E-2</v>
      </c>
      <c r="H318" s="345">
        <f t="shared" si="3341"/>
        <v>5.4583333333333331E-2</v>
      </c>
      <c r="I318" s="345">
        <f t="shared" si="3341"/>
        <v>5.4836000000000003E-2</v>
      </c>
      <c r="J318" s="345">
        <f t="shared" si="3341"/>
        <v>5.5772166666666657E-2</v>
      </c>
      <c r="K318" s="345">
        <f t="shared" si="3341"/>
        <v>5.662233333333333E-2</v>
      </c>
      <c r="L318" s="345">
        <f t="shared" si="3341"/>
        <v>5.6355846153846152E-2</v>
      </c>
      <c r="M318" s="35">
        <f t="shared" si="3341"/>
        <v>6.0129769230769285E-2</v>
      </c>
      <c r="N318" s="35">
        <f t="shared" si="3341"/>
        <v>6.3802999999999985E-2</v>
      </c>
      <c r="O318" s="35">
        <f t="shared" si="3341"/>
        <v>6.5715230769230776E-2</v>
      </c>
      <c r="P318" s="35">
        <f t="shared" si="3341"/>
        <v>7.3364427480916011E-2</v>
      </c>
      <c r="Q318" s="35">
        <f t="shared" si="3341"/>
        <v>7.6400687022900773E-2</v>
      </c>
      <c r="R318" s="35">
        <f t="shared" si="3341"/>
        <v>4.2395307692307697E-2</v>
      </c>
      <c r="S318" s="35">
        <f t="shared" si="3341"/>
        <v>3.216022900763358E-2</v>
      </c>
      <c r="T318" s="35">
        <f t="shared" si="3341"/>
        <v>4.1024615384615402E-2</v>
      </c>
      <c r="U318" s="35">
        <f t="shared" si="3341"/>
        <v>4.7748091603053433E-2</v>
      </c>
      <c r="V318" s="35">
        <f t="shared" si="3341"/>
        <v>4.9392307692307597E-2</v>
      </c>
      <c r="W318" s="35">
        <f t="shared" si="3341"/>
        <v>4.9166412213740462E-2</v>
      </c>
      <c r="X318" s="35">
        <f t="shared" si="3341"/>
        <v>4.5109230769230797E-2</v>
      </c>
      <c r="Y318" s="37">
        <f t="shared" si="3341"/>
        <v>3.6663076923076902E-2</v>
      </c>
      <c r="Z318" s="37">
        <f t="shared" si="3341"/>
        <v>3.0902538461538499E-2</v>
      </c>
      <c r="AA318" s="37">
        <f t="shared" si="3341"/>
        <v>2.7602290076335901E-2</v>
      </c>
      <c r="AB318" s="37">
        <f t="shared" si="3341"/>
        <v>2.6119230769230804E-2</v>
      </c>
      <c r="AC318" s="37">
        <f t="shared" si="3341"/>
        <v>2.6741666666666664E-2</v>
      </c>
      <c r="AD318" s="37">
        <f t="shared" ref="AD318" si="3342">AD80</f>
        <v>2.5995876923076939E-2</v>
      </c>
      <c r="AE318" s="37">
        <f t="shared" ref="AE318:AF318" si="3343">AE80</f>
        <v>2.1649618320610679E-2</v>
      </c>
      <c r="AF318" s="37">
        <f t="shared" si="3343"/>
        <v>2.26862595419847E-2</v>
      </c>
      <c r="AG318" s="37">
        <f t="shared" ref="AG318:AH318" si="3344">AG80</f>
        <v>1.94579923664122E-2</v>
      </c>
      <c r="AH318" s="37">
        <f t="shared" si="3344"/>
        <v>1.7719200000000001E-2</v>
      </c>
      <c r="AI318" s="37">
        <f t="shared" ref="AI318:AJ318" si="3345">AI80</f>
        <v>1.7227309999999999E-2</v>
      </c>
      <c r="AJ318" s="37">
        <f t="shared" si="3345"/>
        <v>1.7827692307692301E-2</v>
      </c>
      <c r="AK318" s="37">
        <f t="shared" ref="AK318:AL318" si="3346">AK80</f>
        <v>1.9993076923076926E-2</v>
      </c>
      <c r="AL318" s="37">
        <f t="shared" si="3346"/>
        <v>1.9621538461538499E-2</v>
      </c>
      <c r="AM318" s="37">
        <f t="shared" ref="AM318:AN318" si="3347">AM80</f>
        <v>1.2658778625954201E-2</v>
      </c>
      <c r="AN318" s="37">
        <f t="shared" si="3347"/>
        <v>8.3061068702290197E-3</v>
      </c>
      <c r="AO318" s="37">
        <f t="shared" ref="AO318" si="3348">AO80</f>
        <v>1.1099236641221399E-3</v>
      </c>
      <c r="AP318" s="37">
        <f t="shared" ref="AP318:AQ318" si="3349">AP80</f>
        <v>3.4490740740740738E-4</v>
      </c>
      <c r="AQ318" s="37">
        <f t="shared" si="3349"/>
        <v>3.83571428571428E-4</v>
      </c>
      <c r="AR318" s="37">
        <f t="shared" ref="AR318:AS318" si="3350">AR80</f>
        <v>8.6689230769230769E-4</v>
      </c>
      <c r="AS318" s="37">
        <f t="shared" si="3350"/>
        <v>1.713309160305344E-2</v>
      </c>
      <c r="AT318" s="37">
        <f t="shared" ref="AT318:AU318" si="3351">AT80</f>
        <v>3.2851469230769231E-2</v>
      </c>
      <c r="AU318" s="37">
        <f t="shared" si="3351"/>
        <v>4.0793623076923094E-2</v>
      </c>
      <c r="AV318" s="37">
        <f t="shared" ref="AV318:AW318" si="3352">AV80</f>
        <v>4.3398653846153844E-2</v>
      </c>
      <c r="AW318" s="37">
        <f t="shared" si="3352"/>
        <v>4.4202666666666668E-2</v>
      </c>
      <c r="AX318" s="37">
        <f t="shared" ref="AX318" si="3353">AX80</f>
        <v>4.2922333333333326E-2</v>
      </c>
      <c r="AY318" s="36"/>
      <c r="AZ318" s="35"/>
      <c r="BA318" s="35"/>
      <c r="BB318" s="35"/>
      <c r="BC318" s="35"/>
      <c r="BD318" s="35"/>
      <c r="BE318" s="35"/>
      <c r="BF318" s="35"/>
      <c r="BG318" s="35"/>
      <c r="BH318" s="35"/>
      <c r="BI318" s="35"/>
      <c r="BJ318" s="35"/>
      <c r="BK318" s="35"/>
      <c r="BL318" s="35"/>
      <c r="BM318" s="35"/>
      <c r="BN318" s="35"/>
      <c r="BO318" s="35"/>
      <c r="BP318" s="35"/>
      <c r="BQ318" s="35"/>
      <c r="BR318" s="35"/>
      <c r="BS318" s="345">
        <f t="shared" ref="BS318:CB318" si="3354">BS80</f>
        <v>6.987500000000002E-2</v>
      </c>
      <c r="BT318" s="345">
        <f t="shared" si="3354"/>
        <v>5.3925000000000008E-2</v>
      </c>
      <c r="BU318" s="345">
        <f t="shared" si="3354"/>
        <v>5.151583333333333E-2</v>
      </c>
      <c r="BV318" s="345">
        <f t="shared" si="3354"/>
        <v>7.6720833333333335E-2</v>
      </c>
      <c r="BW318" s="345">
        <f t="shared" si="3354"/>
        <v>7.3661666666666681E-2</v>
      </c>
      <c r="BX318" s="345">
        <f t="shared" si="3354"/>
        <v>5.6936166666666663E-2</v>
      </c>
      <c r="BY318" s="345">
        <f t="shared" si="3354"/>
        <v>5.062500000000001E-2</v>
      </c>
      <c r="BZ318" s="345">
        <f t="shared" si="3354"/>
        <v>4.8845750000000007E-2</v>
      </c>
      <c r="CA318" s="345">
        <f t="shared" si="3354"/>
        <v>5.9791153846153834E-2</v>
      </c>
      <c r="CB318" s="345">
        <f t="shared" si="3354"/>
        <v>5.4170000000000031E-2</v>
      </c>
      <c r="CC318" s="35">
        <f t="shared" si="3301"/>
        <v>4.6315679736157904E-2</v>
      </c>
      <c r="CD318" s="35">
        <f t="shared" si="3301"/>
        <v>4.8051677993831685E-2</v>
      </c>
      <c r="CE318" s="35">
        <f t="shared" si="3301"/>
        <v>5.468510414930762E-2</v>
      </c>
      <c r="CF318" s="35">
        <f t="shared" si="3301"/>
        <v>5.621982491358863E-2</v>
      </c>
      <c r="CG318" s="35">
        <f t="shared" si="3301"/>
        <v>5.6270985162033021E-2</v>
      </c>
      <c r="CH318" s="35">
        <f t="shared" si="3301"/>
        <v>6.4652604177034084E-2</v>
      </c>
      <c r="CI318" s="35">
        <f t="shared" si="3301"/>
        <v>7.5017118804568128E-2</v>
      </c>
      <c r="CJ318" s="35">
        <f t="shared" si="3301"/>
        <v>3.7763425196403223E-2</v>
      </c>
      <c r="CK318" s="35">
        <f t="shared" si="3301"/>
        <v>4.4383355273174926E-2</v>
      </c>
      <c r="CL318" s="35">
        <f t="shared" si="3301"/>
        <v>4.0524456830033147E-2</v>
      </c>
      <c r="CM318" s="37">
        <f t="shared" si="3301"/>
        <v>4.0479900777485825E-2</v>
      </c>
      <c r="CN318" s="37">
        <f t="shared" si="3301"/>
        <v>2.9636694357953765E-2</v>
      </c>
      <c r="CO318" s="37">
        <f t="shared" si="3301"/>
        <v>2.643872694886628E-2</v>
      </c>
      <c r="CP318" s="37">
        <f t="shared" si="3301"/>
        <v>2.3574927510184873E-2</v>
      </c>
      <c r="CQ318" s="37">
        <f t="shared" si="3301"/>
        <v>2.1272291164600145E-2</v>
      </c>
      <c r="CR318" s="37">
        <f t="shared" si="3301"/>
        <v>1.7457349688910474E-2</v>
      </c>
      <c r="CS318" s="37">
        <f t="shared" si="3302"/>
        <v>1.8959765799157743E-2</v>
      </c>
      <c r="CT318" s="37">
        <f t="shared" si="3302"/>
        <v>1.6800625931827171E-2</v>
      </c>
      <c r="CU318" s="37">
        <f t="shared" ref="CU318:CV318" si="3355">CU376/CU261*CU$5</f>
        <v>3.0881798197531962E-3</v>
      </c>
      <c r="CV318" s="37">
        <f t="shared" si="3355"/>
        <v>3.6527458742687116E-4</v>
      </c>
      <c r="CW318" s="37">
        <f t="shared" ref="CW318:CX318" si="3356">CW376/CW261*CW$5</f>
        <v>8.417825321042214E-3</v>
      </c>
      <c r="CX318" s="37">
        <f t="shared" si="3356"/>
        <v>3.670515214418469E-2</v>
      </c>
      <c r="CY318" s="37">
        <f t="shared" si="3305"/>
        <v>4.3819132933592457E-2</v>
      </c>
      <c r="CZ318" s="348"/>
      <c r="DA318" s="345"/>
      <c r="DB318" s="345"/>
      <c r="DC318" s="345"/>
      <c r="DD318" s="345"/>
      <c r="DE318" s="345"/>
      <c r="DF318" s="567"/>
      <c r="DG318" s="567"/>
      <c r="DH318" s="567"/>
      <c r="DI318" s="567"/>
    </row>
    <row r="319" spans="1:113" s="17" customFormat="1" ht="12" outlineLevel="1" collapsed="1">
      <c r="A319" s="1" t="s">
        <v>174</v>
      </c>
      <c r="B319" s="17" t="s">
        <v>582</v>
      </c>
      <c r="C319" s="387">
        <f t="shared" ref="C319:AC319" si="3357">C$318-((C379-C381)*C$5/C262)</f>
        <v>7.8420547383021705E-3</v>
      </c>
      <c r="D319" s="387">
        <f t="shared" si="3357"/>
        <v>9.5671906705015811E-3</v>
      </c>
      <c r="E319" s="387">
        <f t="shared" si="3357"/>
        <v>1.4069541591838618E-2</v>
      </c>
      <c r="F319" s="387">
        <f t="shared" si="3357"/>
        <v>1.1818320844247408E-2</v>
      </c>
      <c r="G319" s="387">
        <f t="shared" si="3357"/>
        <v>1.1202769958660604E-2</v>
      </c>
      <c r="H319" s="387">
        <f t="shared" si="3357"/>
        <v>1.3897398611655273E-2</v>
      </c>
      <c r="I319" s="387">
        <f t="shared" si="3357"/>
        <v>1.1802521623301671E-2</v>
      </c>
      <c r="J319" s="387">
        <f t="shared" si="3357"/>
        <v>6.9830954975802981E-3</v>
      </c>
      <c r="K319" s="387">
        <f t="shared" si="3357"/>
        <v>4.9686136990334251E-3</v>
      </c>
      <c r="L319" s="387">
        <f t="shared" si="3357"/>
        <v>5.8785160754099564E-3</v>
      </c>
      <c r="M319" s="70">
        <f t="shared" si="3357"/>
        <v>8.3110373571050611E-3</v>
      </c>
      <c r="N319" s="70">
        <f t="shared" si="3357"/>
        <v>8.6137482059043119E-3</v>
      </c>
      <c r="O319" s="70">
        <f t="shared" si="3357"/>
        <v>7.5605399432196255E-3</v>
      </c>
      <c r="P319" s="70">
        <f t="shared" si="3357"/>
        <v>1.0895775319169083E-2</v>
      </c>
      <c r="Q319" s="70">
        <f t="shared" si="3357"/>
        <v>1.2229617140893698E-2</v>
      </c>
      <c r="R319" s="70">
        <f t="shared" si="3357"/>
        <v>-3.1393823001313673E-3</v>
      </c>
      <c r="S319" s="70">
        <f t="shared" si="3357"/>
        <v>1.5819145970892359E-3</v>
      </c>
      <c r="T319" s="70">
        <f t="shared" si="3357"/>
        <v>7.7304009436937327E-3</v>
      </c>
      <c r="U319" s="70">
        <f t="shared" si="3357"/>
        <v>9.5298504688733562E-3</v>
      </c>
      <c r="V319" s="70">
        <f t="shared" si="3357"/>
        <v>8.7026124119641349E-3</v>
      </c>
      <c r="W319" s="70">
        <f t="shared" si="3357"/>
        <v>9.1137342394603041E-3</v>
      </c>
      <c r="X319" s="70">
        <f t="shared" si="3357"/>
        <v>7.9366431939008816E-3</v>
      </c>
      <c r="Y319" s="232">
        <f t="shared" si="3357"/>
        <v>3.3198952358123104E-3</v>
      </c>
      <c r="Z319" s="232">
        <f t="shared" si="3357"/>
        <v>1.7357209981568138E-3</v>
      </c>
      <c r="AA319" s="232">
        <f t="shared" si="3357"/>
        <v>1.6163500127603023E-3</v>
      </c>
      <c r="AB319" s="232">
        <f t="shared" si="3357"/>
        <v>1.8084766909245431E-3</v>
      </c>
      <c r="AC319" s="232">
        <f t="shared" si="3357"/>
        <v>2.436925550180824E-3</v>
      </c>
      <c r="AD319" s="232">
        <f t="shared" ref="AD319:AI319" si="3358">AD$318-((AD379-AD381)*AD$5/AD262)</f>
        <v>2.4167087375769683E-3</v>
      </c>
      <c r="AE319" s="232">
        <f t="shared" si="3358"/>
        <v>7.8674936953935723E-4</v>
      </c>
      <c r="AF319" s="232">
        <f t="shared" si="3358"/>
        <v>2.1173467110246896E-3</v>
      </c>
      <c r="AG319" s="232">
        <f t="shared" si="3358"/>
        <v>-6.2759183132153618E-4</v>
      </c>
      <c r="AH319" s="232">
        <f t="shared" si="3358"/>
        <v>-1.1709554766328005E-3</v>
      </c>
      <c r="AI319" s="232">
        <f t="shared" si="3358"/>
        <v>-1.9682309746549796E-3</v>
      </c>
      <c r="AJ319" s="232">
        <f t="shared" ref="AJ319:AK319" si="3359">AJ$318-((AJ379-AJ381)*AJ$5/AJ262)</f>
        <v>-1.8266182739222307E-3</v>
      </c>
      <c r="AK319" s="232">
        <f t="shared" si="3359"/>
        <v>-1.1446505062200837E-3</v>
      </c>
      <c r="AL319" s="232">
        <f t="shared" ref="AL319:AM319" si="3360">AL$318-((AL379-AL381)*AL$5/AL262)</f>
        <v>-1.8092049652420339E-3</v>
      </c>
      <c r="AM319" s="232">
        <f t="shared" si="3360"/>
        <v>-7.0875224922970284E-3</v>
      </c>
      <c r="AN319" s="232">
        <f t="shared" ref="AN319:AO319" si="3361">AN$318-((AN379-AN381)*AN$5/AN262)</f>
        <v>-7.051372429976081E-3</v>
      </c>
      <c r="AO319" s="232">
        <f t="shared" si="3361"/>
        <v>-7.6323529176684276E-3</v>
      </c>
      <c r="AP319" s="232">
        <f t="shared" ref="AP319:AQ319" si="3362">AP$318-((AP379-AP381)*AP$5/AP262)</f>
        <v>-6.4209622410171313E-3</v>
      </c>
      <c r="AQ319" s="232">
        <f t="shared" si="3362"/>
        <v>-5.2916798114320956E-3</v>
      </c>
      <c r="AR319" s="232">
        <f t="shared" ref="AR319:AS319" si="3363">AR$318-((AR379-AR381)*AR$5/AR262)</f>
        <v>-4.9444359406634105E-3</v>
      </c>
      <c r="AS319" s="232">
        <f t="shared" si="3363"/>
        <v>3.852658653054326E-3</v>
      </c>
      <c r="AT319" s="232">
        <f t="shared" ref="AT319:AU319" si="3364">AT$318-((AT379-AT381)*AT$5/AT262)</f>
        <v>3.3144052004207072E-3</v>
      </c>
      <c r="AU319" s="232">
        <f t="shared" si="3364"/>
        <v>2.0163459337811523E-3</v>
      </c>
      <c r="AV319" s="232">
        <f t="shared" ref="AV319:AW319" si="3365">AV$318-((AV379-AV381)*AV$5/AV262)</f>
        <v>2.4869928633280969E-4</v>
      </c>
      <c r="AW319" s="232">
        <f t="shared" si="3365"/>
        <v>2.7525604386408054E-4</v>
      </c>
      <c r="AX319" s="232">
        <f>AX$80-((AX379-AX381)*AX$5/AX262)</f>
        <v>1.0171122253433557E-3</v>
      </c>
      <c r="AY319" s="72">
        <f>AY323-AY296</f>
        <v>-7.6792505675533397E-4</v>
      </c>
      <c r="AZ319" s="70">
        <f t="shared" ref="AZ319:BQ319" si="3366">AZ323-AZ296</f>
        <v>-4.209678431848704E-4</v>
      </c>
      <c r="BA319" s="70">
        <f t="shared" si="3366"/>
        <v>-3.0953153194260632E-4</v>
      </c>
      <c r="BB319" s="70">
        <f t="shared" si="3366"/>
        <v>-2.9527534538409395E-4</v>
      </c>
      <c r="BC319" s="70">
        <f t="shared" si="3366"/>
        <v>-2.7194964211107314E-4</v>
      </c>
      <c r="BD319" s="70">
        <f t="shared" si="3366"/>
        <v>-2.0473110062439043E-4</v>
      </c>
      <c r="BE319" s="70">
        <f t="shared" si="3366"/>
        <v>-1.2772614278570502E-4</v>
      </c>
      <c r="BF319" s="70">
        <f t="shared" si="3366"/>
        <v>-8.4551260462743805E-5</v>
      </c>
      <c r="BG319" s="70">
        <f t="shared" si="3366"/>
        <v>-4.7945384309862338E-5</v>
      </c>
      <c r="BH319" s="70">
        <f t="shared" si="3366"/>
        <v>-5.9483807151186965E-5</v>
      </c>
      <c r="BI319" s="70">
        <f t="shared" si="3366"/>
        <v>-5.5581769020806096E-5</v>
      </c>
      <c r="BJ319" s="70">
        <f t="shared" si="3366"/>
        <v>-5.5581769020806096E-5</v>
      </c>
      <c r="BK319" s="70">
        <f t="shared" si="3366"/>
        <v>-5.5581769020806096E-5</v>
      </c>
      <c r="BL319" s="70">
        <f t="shared" si="3366"/>
        <v>-5.5581769020806096E-5</v>
      </c>
      <c r="BM319" s="70">
        <f t="shared" si="3366"/>
        <v>-5.5581769020806096E-5</v>
      </c>
      <c r="BN319" s="70">
        <f t="shared" si="3366"/>
        <v>-5.5581769020806096E-5</v>
      </c>
      <c r="BO319" s="70">
        <f t="shared" si="3366"/>
        <v>-5.5581769020806096E-5</v>
      </c>
      <c r="BP319" s="70">
        <f t="shared" si="3366"/>
        <v>-5.5581769020806096E-5</v>
      </c>
      <c r="BQ319" s="70">
        <f t="shared" si="3366"/>
        <v>-5.5581769020806096E-5</v>
      </c>
      <c r="BR319" s="70"/>
      <c r="BS319" s="387">
        <f t="shared" ref="BS319:CB319" si="3367">BS$318-((BS379-BS381)*BS$5/BS262)</f>
        <v>1.4201678249958972E-2</v>
      </c>
      <c r="BT319" s="387">
        <f t="shared" si="3367"/>
        <v>1.8809098613718767E-4</v>
      </c>
      <c r="BU319" s="387">
        <f t="shared" si="3367"/>
        <v>6.7862120912565715E-3</v>
      </c>
      <c r="BV319" s="387">
        <f t="shared" si="3367"/>
        <v>1.8928682682154176E-2</v>
      </c>
      <c r="BW319" s="387">
        <f t="shared" si="3367"/>
        <v>1.367028986306499E-2</v>
      </c>
      <c r="BX319" s="387">
        <f t="shared" si="3367"/>
        <v>3.7315252791955827E-3</v>
      </c>
      <c r="BY319" s="387">
        <f t="shared" si="3367"/>
        <v>8.5385206467995106E-4</v>
      </c>
      <c r="BZ319" s="387">
        <f t="shared" si="3367"/>
        <v>6.8708933135592579E-3</v>
      </c>
      <c r="CA319" s="387">
        <f t="shared" si="3367"/>
        <v>1.1232298951967978E-2</v>
      </c>
      <c r="CB319" s="387">
        <f t="shared" si="3367"/>
        <v>7.9319974013108627E-3</v>
      </c>
      <c r="CC319" s="70">
        <f t="shared" si="3301"/>
        <v>1.1855739286538597E-2</v>
      </c>
      <c r="CD319" s="70">
        <f t="shared" si="3301"/>
        <v>1.1505182749515253E-2</v>
      </c>
      <c r="CE319" s="70">
        <f t="shared" si="3301"/>
        <v>1.2785445928174488E-2</v>
      </c>
      <c r="CF319" s="70">
        <f>CF377/CF262*CF$5</f>
        <v>5.9413195760016713E-3</v>
      </c>
      <c r="CG319" s="70">
        <f t="shared" si="3301"/>
        <v>7.1091214935863501E-3</v>
      </c>
      <c r="CH319" s="70">
        <f t="shared" si="3301"/>
        <v>8.0704636499170507E-3</v>
      </c>
      <c r="CI319" s="70">
        <f t="shared" si="3301"/>
        <v>1.1583109616289018E-2</v>
      </c>
      <c r="CJ319" s="70">
        <f t="shared" si="3301"/>
        <v>-8.1433626037048616E-4</v>
      </c>
      <c r="CK319" s="70">
        <f>CK377/CK262*CK$5</f>
        <v>8.6543383137899325E-3</v>
      </c>
      <c r="CL319" s="70">
        <f t="shared" si="3301"/>
        <v>8.7840551899144269E-3</v>
      </c>
      <c r="CM319" s="232">
        <f t="shared" si="3301"/>
        <v>5.5634522959832631E-3</v>
      </c>
      <c r="CN319" s="232">
        <f t="shared" si="3301"/>
        <v>1.6762765203116091E-3</v>
      </c>
      <c r="CO319" s="232">
        <f t="shared" si="3301"/>
        <v>2.1306332977005134E-3</v>
      </c>
      <c r="CP319" s="232">
        <f t="shared" si="3301"/>
        <v>1.5827093545698636E-3</v>
      </c>
      <c r="CQ319" s="232">
        <f t="shared" si="3301"/>
        <v>7.4592909007612385E-4</v>
      </c>
      <c r="CR319" s="232">
        <f t="shared" si="3301"/>
        <v>-1.5728630645348697E-3</v>
      </c>
      <c r="CS319" s="232">
        <f t="shared" si="3302"/>
        <v>-1.4804235811407729E-3</v>
      </c>
      <c r="CT319" s="232">
        <f t="shared" si="3302"/>
        <v>-4.4607666534556192E-3</v>
      </c>
      <c r="CU319" s="232">
        <f t="shared" ref="CU319:CV319" si="3368">CU377/CU262*CU$5</f>
        <v>-7.3439470795463608E-3</v>
      </c>
      <c r="CV319" s="232">
        <f t="shared" si="3368"/>
        <v>-5.8507555590603718E-3</v>
      </c>
      <c r="CW319" s="232">
        <f t="shared" ref="CW319:CX319" si="3369">CW377/CW262*CW$5</f>
        <v>-4.839048170182952E-4</v>
      </c>
      <c r="CX319" s="232">
        <f t="shared" si="3369"/>
        <v>2.6621993225726141E-3</v>
      </c>
      <c r="CY319" s="232">
        <f t="shared" si="3305"/>
        <v>2.6208137648848909E-4</v>
      </c>
      <c r="CZ319" s="418">
        <f>CZ323-CZ296</f>
        <v>1.4892434252740394E-4</v>
      </c>
      <c r="DA319" s="387">
        <f t="shared" ref="DA319:DI319" si="3370">DA323-DA296</f>
        <v>-3.64427079574247E-4</v>
      </c>
      <c r="DB319" s="387">
        <f t="shared" si="3370"/>
        <v>-2.838479285503636E-4</v>
      </c>
      <c r="DC319" s="387">
        <f t="shared" si="3370"/>
        <v>-1.6646054447090088E-4</v>
      </c>
      <c r="DD319" s="387">
        <f t="shared" si="3370"/>
        <v>-6.6164747023844325E-5</v>
      </c>
      <c r="DE319" s="387">
        <f t="shared" si="3370"/>
        <v>-5.7623959209144107E-5</v>
      </c>
      <c r="DF319" s="564">
        <f t="shared" si="3370"/>
        <v>-5.5581769020806096E-5</v>
      </c>
      <c r="DG319" s="564">
        <f t="shared" si="3370"/>
        <v>4.4418230979193299E-5</v>
      </c>
      <c r="DH319" s="564">
        <f t="shared" si="3370"/>
        <v>1.4441823097919269E-4</v>
      </c>
      <c r="DI319" s="564">
        <f t="shared" si="3370"/>
        <v>2.4441823097919209E-4</v>
      </c>
    </row>
    <row r="320" spans="1:113" ht="12" outlineLevel="1">
      <c r="C320" s="345"/>
      <c r="D320" s="345"/>
      <c r="E320" s="345"/>
      <c r="F320" s="345"/>
      <c r="G320" s="345"/>
      <c r="H320" s="345"/>
      <c r="I320" s="345"/>
      <c r="J320" s="345"/>
      <c r="K320" s="345"/>
      <c r="L320" s="345"/>
      <c r="M320" s="35"/>
      <c r="N320" s="35"/>
      <c r="O320" s="35"/>
      <c r="P320" s="35"/>
      <c r="Q320" s="35"/>
      <c r="R320" s="35"/>
      <c r="S320" s="35"/>
      <c r="T320" s="35"/>
      <c r="U320" s="35"/>
      <c r="V320" s="35"/>
      <c r="W320" s="35"/>
      <c r="X320" s="35"/>
      <c r="Y320" s="37"/>
      <c r="Z320" s="37"/>
      <c r="AA320" s="37"/>
      <c r="AB320" s="37"/>
      <c r="AC320" s="37"/>
      <c r="AD320" s="37"/>
      <c r="AE320" s="37"/>
      <c r="AF320" s="37"/>
      <c r="AG320" s="37"/>
      <c r="AH320" s="37"/>
      <c r="AI320" s="37"/>
      <c r="AJ320" s="37"/>
      <c r="AK320" s="37"/>
      <c r="AL320" s="37"/>
      <c r="AM320" s="37"/>
      <c r="AN320" s="37"/>
      <c r="AO320" s="37"/>
      <c r="AP320" s="37"/>
      <c r="AQ320" s="37"/>
      <c r="AR320" s="37"/>
      <c r="AS320" s="37"/>
      <c r="AT320" s="37"/>
      <c r="AU320" s="37"/>
      <c r="AV320" s="37"/>
      <c r="AW320" s="37"/>
      <c r="AX320" s="37"/>
      <c r="AY320" s="36"/>
      <c r="AZ320" s="35"/>
      <c r="BA320" s="35"/>
      <c r="BB320" s="35"/>
      <c r="BC320" s="35"/>
      <c r="BD320" s="35"/>
      <c r="BE320" s="35"/>
      <c r="BF320" s="35"/>
      <c r="BG320" s="35"/>
      <c r="BH320" s="35"/>
      <c r="BI320" s="35"/>
      <c r="BJ320" s="35"/>
      <c r="BK320" s="35"/>
      <c r="BL320" s="35"/>
      <c r="BM320" s="35"/>
      <c r="BN320" s="35"/>
      <c r="BO320" s="35"/>
      <c r="BP320" s="35"/>
      <c r="BQ320" s="35"/>
      <c r="BR320" s="35"/>
      <c r="BS320" s="345"/>
      <c r="BT320" s="345"/>
      <c r="BU320" s="345"/>
      <c r="BV320" s="345"/>
      <c r="BW320" s="345"/>
      <c r="BX320" s="345"/>
      <c r="BY320" s="345"/>
      <c r="BZ320" s="345"/>
      <c r="CA320" s="345"/>
      <c r="CB320" s="345"/>
      <c r="CC320" s="35"/>
      <c r="CD320" s="35"/>
      <c r="CE320" s="35"/>
      <c r="CF320" s="35"/>
      <c r="CG320" s="35"/>
      <c r="CH320" s="35"/>
      <c r="CI320" s="35"/>
      <c r="CJ320" s="35"/>
      <c r="CK320" s="35"/>
      <c r="CL320" s="35"/>
      <c r="CM320" s="37"/>
      <c r="CN320" s="37"/>
      <c r="CO320" s="37"/>
      <c r="CP320" s="37"/>
      <c r="CQ320" s="37"/>
      <c r="CR320" s="37"/>
      <c r="CS320" s="37"/>
      <c r="CT320" s="37"/>
      <c r="CU320" s="37"/>
      <c r="CV320" s="37"/>
      <c r="CW320" s="37"/>
      <c r="CX320" s="37"/>
      <c r="CY320" s="37"/>
      <c r="CZ320" s="348"/>
      <c r="DA320" s="345"/>
      <c r="DB320" s="345"/>
      <c r="DC320" s="345"/>
      <c r="DD320" s="345"/>
      <c r="DE320" s="345"/>
      <c r="DF320" s="567"/>
      <c r="DG320" s="567"/>
      <c r="DH320" s="567"/>
      <c r="DI320" s="567"/>
    </row>
    <row r="321" spans="1:113" ht="12" outlineLevel="1">
      <c r="A321" s="1" t="s">
        <v>928</v>
      </c>
      <c r="B321" s="15" t="s">
        <v>585</v>
      </c>
      <c r="C321" s="345">
        <f>(C296+C318)</f>
        <v>6.8264303819915495E-2</v>
      </c>
      <c r="D321" s="345">
        <f>(D296+D318)</f>
        <v>6.125933907146567E-2</v>
      </c>
      <c r="E321" s="345">
        <f>(E296+E318)</f>
        <v>6.2878851705192945E-2</v>
      </c>
      <c r="F321" s="345">
        <f t="shared" ref="F321:L321" si="3371">(F296+F318)</f>
        <v>6.3270256811651202E-2</v>
      </c>
      <c r="G321" s="345">
        <f t="shared" si="3371"/>
        <v>6.3009741997921101E-2</v>
      </c>
      <c r="H321" s="345">
        <f t="shared" si="3371"/>
        <v>6.587103060988718E-2</v>
      </c>
      <c r="I321" s="345">
        <f t="shared" si="3371"/>
        <v>6.7409643903738561E-2</v>
      </c>
      <c r="J321" s="345">
        <f t="shared" si="3371"/>
        <v>7.4502008978910322E-2</v>
      </c>
      <c r="K321" s="345">
        <f t="shared" si="3371"/>
        <v>7.630559085120138E-2</v>
      </c>
      <c r="L321" s="345">
        <f t="shared" si="3371"/>
        <v>7.3423429107208379E-2</v>
      </c>
      <c r="M321" s="35">
        <f t="shared" ref="M321:X321" si="3372">(M296+M318)</f>
        <v>7.512379747290307E-2</v>
      </c>
      <c r="N321" s="35">
        <f t="shared" si="3372"/>
        <v>7.7563607719601385E-2</v>
      </c>
      <c r="O321" s="35">
        <f t="shared" si="3372"/>
        <v>7.961744093488099E-2</v>
      </c>
      <c r="P321" s="35">
        <f t="shared" si="3372"/>
        <v>8.2425675925388187E-2</v>
      </c>
      <c r="Q321" s="35">
        <f t="shared" si="3372"/>
        <v>8.4382821500933611E-2</v>
      </c>
      <c r="R321" s="35">
        <f t="shared" si="3372"/>
        <v>6.7755839952308369E-2</v>
      </c>
      <c r="S321" s="35">
        <f t="shared" si="3372"/>
        <v>5.4658083829069941E-2</v>
      </c>
      <c r="T321" s="35">
        <f t="shared" si="3372"/>
        <v>5.7811033394045551E-2</v>
      </c>
      <c r="U321" s="35">
        <f t="shared" si="3372"/>
        <v>6.3188674320688462E-2</v>
      </c>
      <c r="V321" s="35">
        <f t="shared" si="3372"/>
        <v>6.5437156565665885E-2</v>
      </c>
      <c r="W321" s="35">
        <f t="shared" si="3372"/>
        <v>6.4515138631574181E-2</v>
      </c>
      <c r="X321" s="35">
        <f t="shared" si="3372"/>
        <v>6.0696357039244281E-2</v>
      </c>
      <c r="Y321" s="37">
        <f t="shared" ref="Y321:AD321" si="3373">(Y296+Y318)</f>
        <v>5.6109602888354974E-2</v>
      </c>
      <c r="Z321" s="37">
        <f t="shared" si="3373"/>
        <v>5.164942237087837E-2</v>
      </c>
      <c r="AA321" s="37">
        <f t="shared" si="3373"/>
        <v>4.7858973451280699E-2</v>
      </c>
      <c r="AB321" s="37">
        <f t="shared" si="3373"/>
        <v>4.5761046354025482E-2</v>
      </c>
      <c r="AC321" s="37">
        <f t="shared" si="3373"/>
        <v>4.550995688031724E-2</v>
      </c>
      <c r="AD321" s="37">
        <f t="shared" si="3373"/>
        <v>4.3965324012546825E-2</v>
      </c>
      <c r="AE321" s="37">
        <f t="shared" ref="AE321:AF321" si="3374">(AE296+AE318)</f>
        <v>4.1246006397649755E-2</v>
      </c>
      <c r="AF321" s="37">
        <f t="shared" si="3374"/>
        <v>4.126361268534786E-2</v>
      </c>
      <c r="AG321" s="37">
        <f t="shared" ref="AG321:AH321" si="3375">(AG296+AG318)</f>
        <v>4.0699736400670983E-2</v>
      </c>
      <c r="AH321" s="37">
        <f t="shared" si="3375"/>
        <v>3.8891020822877806E-2</v>
      </c>
      <c r="AI321" s="37">
        <f t="shared" ref="AI321:AJ321" si="3376">(AI296+AI318)</f>
        <v>3.896922894191493E-2</v>
      </c>
      <c r="AJ321" s="37">
        <f t="shared" si="3376"/>
        <v>3.891810345731353E-2</v>
      </c>
      <c r="AK321" s="37">
        <f t="shared" ref="AK321:AL321" si="3377">(AK296+AK318)</f>
        <v>3.9351665281532243E-2</v>
      </c>
      <c r="AL321" s="37">
        <f t="shared" si="3377"/>
        <v>3.9468450561475077E-2</v>
      </c>
      <c r="AM321" s="37">
        <f t="shared" ref="AM321:AN321" si="3378">(AM296+AM318)</f>
        <v>3.6978724556020991E-2</v>
      </c>
      <c r="AN321" s="37">
        <f t="shared" si="3378"/>
        <v>3.2218488042388325E-2</v>
      </c>
      <c r="AO321" s="37">
        <f t="shared" ref="AO321" si="3379">(AO296+AO318)</f>
        <v>2.4452600936590307E-2</v>
      </c>
      <c r="AP321" s="37">
        <f t="shared" ref="AP321:AQ321" si="3380">(AP296+AP318)</f>
        <v>2.3104053320700316E-2</v>
      </c>
      <c r="AQ321" s="37">
        <f t="shared" si="3380"/>
        <v>2.2127747259003641E-2</v>
      </c>
      <c r="AR321" s="37">
        <f t="shared" ref="AR321:AS321" si="3381">(AR296+AR318)</f>
        <v>2.1638114041729557E-2</v>
      </c>
      <c r="AS321" s="37">
        <f t="shared" si="3381"/>
        <v>3.0128031800079589E-2</v>
      </c>
      <c r="AT321" s="37">
        <f t="shared" ref="AT321:AU321" si="3382">(AT296+AT318)</f>
        <v>4.705730438331171E-2</v>
      </c>
      <c r="AU321" s="37">
        <f t="shared" si="3382"/>
        <v>5.5257313760350493E-2</v>
      </c>
      <c r="AV321" s="37">
        <f t="shared" ref="AV321:AW321" si="3383">(AV296+AV318)</f>
        <v>5.8704969668803619E-2</v>
      </c>
      <c r="AW321" s="37">
        <f t="shared" si="3383"/>
        <v>5.9766714391374265E-2</v>
      </c>
      <c r="AX321" s="37">
        <f t="shared" ref="AX321" si="3384">(AX296+AX318)</f>
        <v>5.747854631254741E-2</v>
      </c>
      <c r="AY321" s="36">
        <f>AX321+(AY80-AX80)+(AY296-AX296)</f>
        <v>5.2845779865498307E-2</v>
      </c>
      <c r="AZ321" s="345">
        <f t="shared" ref="AZ321:BI321" si="3385">AY321+(AZ80-AY80)+(AZ296-AY296)</f>
        <v>5.4430012379870468E-2</v>
      </c>
      <c r="BA321" s="345">
        <f t="shared" si="3385"/>
        <v>5.8712065913204187E-2</v>
      </c>
      <c r="BB321" s="345">
        <f t="shared" si="3385"/>
        <v>5.8081382605000731E-2</v>
      </c>
      <c r="BC321" s="345">
        <f t="shared" si="3385"/>
        <v>5.420043830472486E-2</v>
      </c>
      <c r="BD321" s="345">
        <f t="shared" si="3385"/>
        <v>5.4069131688377584E-2</v>
      </c>
      <c r="BE321" s="345">
        <f t="shared" si="3385"/>
        <v>5.3937452715778843E-2</v>
      </c>
      <c r="BF321" s="345">
        <f t="shared" si="3385"/>
        <v>5.3855380064130862E-2</v>
      </c>
      <c r="BG321" s="345">
        <f t="shared" si="3385"/>
        <v>5.3772943025196293E-2</v>
      </c>
      <c r="BH321" s="345">
        <f t="shared" si="3385"/>
        <v>5.3690248448195033E-2</v>
      </c>
      <c r="BI321" s="345">
        <f t="shared" si="3385"/>
        <v>5.3607412260272602E-2</v>
      </c>
      <c r="BJ321" s="345">
        <f t="shared" ref="BJ321" si="3386">BI321+(BJ80-BI80)+(BJ296-BI296)</f>
        <v>5.3507412260272599E-2</v>
      </c>
      <c r="BK321" s="345">
        <f t="shared" ref="BK321" si="3387">BJ321+(BK80-BJ80)+(BK296-BJ296)</f>
        <v>5.3407412260272596E-2</v>
      </c>
      <c r="BL321" s="345">
        <f t="shared" ref="BL321" si="3388">BK321+(BL80-BK80)+(BL296-BK296)</f>
        <v>5.3307412260272594E-2</v>
      </c>
      <c r="BM321" s="345">
        <f t="shared" ref="BM321" si="3389">BL321+(BM80-BL80)+(BM296-BL296)</f>
        <v>5.3207412260272591E-2</v>
      </c>
      <c r="BN321" s="345">
        <f t="shared" ref="BN321" si="3390">BM321+(BN80-BM80)+(BN296-BM296)</f>
        <v>5.3107412260272588E-2</v>
      </c>
      <c r="BO321" s="345">
        <f t="shared" ref="BO321" si="3391">BN321+(BO80-BN80)+(BO296-BN296)</f>
        <v>5.3007412260272585E-2</v>
      </c>
      <c r="BP321" s="345">
        <f t="shared" ref="BP321" si="3392">BO321+(BP80-BO80)+(BP296-BO296)</f>
        <v>5.2907412260272582E-2</v>
      </c>
      <c r="BQ321" s="345">
        <f t="shared" ref="BQ321" si="3393">BP321+(BQ80-BP80)+(BQ296-BP296)</f>
        <v>5.2807412260272579E-2</v>
      </c>
      <c r="BR321" s="35"/>
      <c r="BS321" s="345">
        <f t="shared" ref="BS321:CB321" si="3394">(BS296+BS318)</f>
        <v>8.5544002215365914E-2</v>
      </c>
      <c r="BT321" s="345">
        <f t="shared" si="3394"/>
        <v>8.4525697681457707E-2</v>
      </c>
      <c r="BU321" s="345">
        <f t="shared" si="3394"/>
        <v>7.8207939417903827E-2</v>
      </c>
      <c r="BV321" s="345">
        <f t="shared" si="3394"/>
        <v>9.1715065117916231E-2</v>
      </c>
      <c r="BW321" s="345">
        <f t="shared" si="3394"/>
        <v>9.3351114497999613E-2</v>
      </c>
      <c r="BX321" s="345">
        <f t="shared" si="3394"/>
        <v>8.3555571254481556E-2</v>
      </c>
      <c r="BY321" s="345">
        <f t="shared" si="3394"/>
        <v>7.9396632366697847E-2</v>
      </c>
      <c r="BZ321" s="345">
        <f t="shared" si="3394"/>
        <v>7.2384787546488499E-2</v>
      </c>
      <c r="CA321" s="345">
        <f t="shared" si="3394"/>
        <v>7.710389161747698E-2</v>
      </c>
      <c r="CB321" s="345">
        <f t="shared" si="3394"/>
        <v>7.3753957258023986E-2</v>
      </c>
      <c r="CC321" s="35">
        <f t="shared" ref="CC321:CO321" si="3395">(CC296+CC318)</f>
        <v>6.1997725218783495E-2</v>
      </c>
      <c r="CD321" s="35">
        <f t="shared" si="3395"/>
        <v>6.3134908403128701E-2</v>
      </c>
      <c r="CE321" s="35">
        <f t="shared" si="3395"/>
        <v>6.6655376971280433E-2</v>
      </c>
      <c r="CF321" s="35">
        <f t="shared" si="3395"/>
        <v>7.5446656486999067E-2</v>
      </c>
      <c r="CG321" s="35">
        <f t="shared" si="3395"/>
        <v>7.2250860894973568E-2</v>
      </c>
      <c r="CH321" s="35">
        <f t="shared" si="3395"/>
        <v>7.8486322480014942E-2</v>
      </c>
      <c r="CI321" s="35">
        <f t="shared" si="3395"/>
        <v>8.3522295286417414E-2</v>
      </c>
      <c r="CJ321" s="35">
        <f t="shared" si="3395"/>
        <v>6.1714212713487732E-2</v>
      </c>
      <c r="CK321" s="35">
        <f t="shared" si="3395"/>
        <v>6.0478776222902091E-2</v>
      </c>
      <c r="CL321" s="35">
        <f t="shared" si="3395"/>
        <v>5.5986557043216319E-2</v>
      </c>
      <c r="CM321" s="37">
        <f t="shared" si="3395"/>
        <v>5.8050932234828982E-2</v>
      </c>
      <c r="CN321" s="37">
        <f t="shared" si="3395"/>
        <v>5.0159503941660834E-2</v>
      </c>
      <c r="CO321" s="37">
        <f t="shared" si="3395"/>
        <v>4.5632767490457138E-2</v>
      </c>
      <c r="CP321" s="37">
        <f t="shared" ref="CP321:CX321" si="3396">(CP296+CP318)</f>
        <v>4.2376814229320887E-2</v>
      </c>
      <c r="CQ321" s="37">
        <f t="shared" si="3396"/>
        <v>4.1180818962877758E-2</v>
      </c>
      <c r="CR321" s="37">
        <f t="shared" si="3396"/>
        <v>3.8916576389808978E-2</v>
      </c>
      <c r="CS321" s="37">
        <f t="shared" si="3396"/>
        <v>3.9170734855492217E-2</v>
      </c>
      <c r="CT321" s="37">
        <f t="shared" si="3396"/>
        <v>3.8893789270554535E-2</v>
      </c>
      <c r="CU321" s="37">
        <f t="shared" si="3396"/>
        <v>2.6713611505537721E-2</v>
      </c>
      <c r="CV321" s="37">
        <f t="shared" si="3396"/>
        <v>2.261194025785809E-2</v>
      </c>
      <c r="CW321" s="37">
        <f t="shared" si="3396"/>
        <v>2.5246120530978602E-2</v>
      </c>
      <c r="CX321" s="37">
        <f t="shared" si="3396"/>
        <v>5.1040549939384075E-2</v>
      </c>
      <c r="CY321" s="37">
        <f t="shared" ref="CY321" si="3397">(CY296+CY318)</f>
        <v>5.9255321220727825E-2</v>
      </c>
      <c r="CZ321" s="348">
        <f>AVERAGE(AX321:AY321)</f>
        <v>5.5162163089022859E-2</v>
      </c>
      <c r="DA321" s="345">
        <f>AVERAGE(AZ321:BA321)</f>
        <v>5.6571039146537327E-2</v>
      </c>
      <c r="DB321" s="345">
        <f>AVERAGE(BB321:BC321)</f>
        <v>5.6140910454862795E-2</v>
      </c>
      <c r="DC321" s="345">
        <f>AVERAGE(BD321:BE321)</f>
        <v>5.400329220207821E-2</v>
      </c>
      <c r="DD321" s="345">
        <f>AVERAGE(BF321:BG321)</f>
        <v>5.3814161544663577E-2</v>
      </c>
      <c r="DE321" s="345">
        <f>AVERAGE(BH321:BI321)</f>
        <v>5.3648830354233817E-2</v>
      </c>
      <c r="DF321" s="567">
        <f>AVERAGE(BJ321:BK321)</f>
        <v>5.3457412260272598E-2</v>
      </c>
      <c r="DG321" s="567">
        <f>AVERAGE(BL321:BM321)</f>
        <v>5.3257412260272592E-2</v>
      </c>
      <c r="DH321" s="567">
        <f>AVERAGE(BN321:BO321)</f>
        <v>5.3057412260272586E-2</v>
      </c>
      <c r="DI321" s="567">
        <f>AVERAGE(BP321:BQ321)</f>
        <v>5.2857412260272581E-2</v>
      </c>
    </row>
    <row r="322" spans="1:113" ht="12" outlineLevel="1">
      <c r="A322" s="1" t="s">
        <v>929</v>
      </c>
      <c r="B322" s="15" t="s">
        <v>484</v>
      </c>
      <c r="C322" s="345">
        <f>-(C318-C319)</f>
        <v>-4.0721778595031156E-2</v>
      </c>
      <c r="D322" s="345">
        <f>-(D318-D319)</f>
        <v>-3.3882809329498415E-2</v>
      </c>
      <c r="E322" s="345">
        <f>-(E318-E319)</f>
        <v>-3.5188958408161386E-2</v>
      </c>
      <c r="F322" s="345">
        <f t="shared" ref="F322:L322" si="3398">-(F318-F319)</f>
        <v>-3.6303845822419259E-2</v>
      </c>
      <c r="G322" s="345">
        <f t="shared" si="3398"/>
        <v>-3.6788896708006072E-2</v>
      </c>
      <c r="H322" s="345">
        <f t="shared" si="3398"/>
        <v>-4.0685934721678058E-2</v>
      </c>
      <c r="I322" s="345">
        <f t="shared" si="3398"/>
        <v>-4.3033478376698332E-2</v>
      </c>
      <c r="J322" s="345">
        <f t="shared" si="3398"/>
        <v>-4.8789071169086359E-2</v>
      </c>
      <c r="K322" s="345">
        <f t="shared" si="3398"/>
        <v>-5.1653719634299905E-2</v>
      </c>
      <c r="L322" s="345">
        <f t="shared" si="3398"/>
        <v>-5.0477330078436196E-2</v>
      </c>
      <c r="M322" s="35">
        <f t="shared" ref="M322:X322" si="3399">-(M318-M319)</f>
        <v>-5.1818731873664224E-2</v>
      </c>
      <c r="N322" s="35">
        <f t="shared" si="3399"/>
        <v>-5.5189251794095673E-2</v>
      </c>
      <c r="O322" s="35">
        <f t="shared" si="3399"/>
        <v>-5.815469082601115E-2</v>
      </c>
      <c r="P322" s="35">
        <f t="shared" si="3399"/>
        <v>-6.2468652161746928E-2</v>
      </c>
      <c r="Q322" s="35">
        <f t="shared" si="3399"/>
        <v>-6.4171069882007076E-2</v>
      </c>
      <c r="R322" s="35">
        <f t="shared" si="3399"/>
        <v>-4.5534689992439065E-2</v>
      </c>
      <c r="S322" s="35">
        <f t="shared" si="3399"/>
        <v>-3.0578314410544344E-2</v>
      </c>
      <c r="T322" s="35">
        <f t="shared" si="3399"/>
        <v>-3.329421444092167E-2</v>
      </c>
      <c r="U322" s="35">
        <f t="shared" si="3399"/>
        <v>-3.8218241134180077E-2</v>
      </c>
      <c r="V322" s="35">
        <f t="shared" si="3399"/>
        <v>-4.0689695280343462E-2</v>
      </c>
      <c r="W322" s="35">
        <f t="shared" si="3399"/>
        <v>-4.0052677974280158E-2</v>
      </c>
      <c r="X322" s="35">
        <f t="shared" si="3399"/>
        <v>-3.7172587575329916E-2</v>
      </c>
      <c r="Y322" s="37">
        <f t="shared" ref="Y322:AD322" si="3400">-(Y318-Y319)</f>
        <v>-3.3343181687264592E-2</v>
      </c>
      <c r="Z322" s="37">
        <f t="shared" si="3400"/>
        <v>-2.9166817463381685E-2</v>
      </c>
      <c r="AA322" s="37">
        <f t="shared" si="3400"/>
        <v>-2.5985940063575599E-2</v>
      </c>
      <c r="AB322" s="37">
        <f t="shared" si="3400"/>
        <v>-2.4310754078306261E-2</v>
      </c>
      <c r="AC322" s="37">
        <f t="shared" si="3400"/>
        <v>-2.430474111648584E-2</v>
      </c>
      <c r="AD322" s="37">
        <f t="shared" si="3400"/>
        <v>-2.3579168185499971E-2</v>
      </c>
      <c r="AE322" s="37">
        <f t="shared" ref="AE322:AF322" si="3401">-(AE318-AE319)</f>
        <v>-2.0862868951071322E-2</v>
      </c>
      <c r="AF322" s="37">
        <f t="shared" si="3401"/>
        <v>-2.0568912830960011E-2</v>
      </c>
      <c r="AG322" s="37">
        <f t="shared" ref="AG322:AH322" si="3402">-(AG318-AG319)</f>
        <v>-2.0085584197733736E-2</v>
      </c>
      <c r="AH322" s="37">
        <f t="shared" si="3402"/>
        <v>-1.8890155476632801E-2</v>
      </c>
      <c r="AI322" s="37">
        <f t="shared" ref="AI322:AJ322" si="3403">-(AI318-AI319)</f>
        <v>-1.9195540974654979E-2</v>
      </c>
      <c r="AJ322" s="37">
        <f t="shared" si="3403"/>
        <v>-1.9654310581614532E-2</v>
      </c>
      <c r="AK322" s="37">
        <f t="shared" ref="AK322:AL322" si="3404">-(AK318-AK319)</f>
        <v>-2.113772742929701E-2</v>
      </c>
      <c r="AL322" s="37">
        <f t="shared" si="3404"/>
        <v>-2.1430743426780533E-2</v>
      </c>
      <c r="AM322" s="37">
        <f t="shared" ref="AM322:AN322" si="3405">-(AM318-AM319)</f>
        <v>-1.9746301118251229E-2</v>
      </c>
      <c r="AN322" s="37">
        <f t="shared" si="3405"/>
        <v>-1.5357479300205101E-2</v>
      </c>
      <c r="AO322" s="37">
        <f t="shared" ref="AO322" si="3406">-(AO318-AO319)</f>
        <v>-8.7422765817905673E-3</v>
      </c>
      <c r="AP322" s="37">
        <f t="shared" ref="AP322:AQ322" si="3407">-(AP318-AP319)</f>
        <v>-6.7658696484245388E-3</v>
      </c>
      <c r="AQ322" s="37">
        <f t="shared" si="3407"/>
        <v>-5.6752512400035232E-3</v>
      </c>
      <c r="AR322" s="37">
        <f t="shared" ref="AR322:AS322" si="3408">-(AR318-AR319)</f>
        <v>-5.8113282483557181E-3</v>
      </c>
      <c r="AS322" s="37">
        <f t="shared" si="3408"/>
        <v>-1.3280432949999114E-2</v>
      </c>
      <c r="AT322" s="37">
        <f t="shared" ref="AT322:AU322" si="3409">-(AT318-AT319)</f>
        <v>-2.9537064030348524E-2</v>
      </c>
      <c r="AU322" s="37">
        <f t="shared" si="3409"/>
        <v>-3.8777277143141942E-2</v>
      </c>
      <c r="AV322" s="37">
        <f t="shared" ref="AV322:AW322" si="3410">-(AV318-AV319)</f>
        <v>-4.3149954559821034E-2</v>
      </c>
      <c r="AW322" s="37">
        <f t="shared" si="3410"/>
        <v>-4.3927410622802587E-2</v>
      </c>
      <c r="AX322" s="37">
        <f t="shared" ref="AX322" si="3411">-(AX318-AX319)</f>
        <v>-4.1905221107989971E-2</v>
      </c>
      <c r="AY322" s="36">
        <f>AY323-AY321</f>
        <v>-3.7490925056755331E-2</v>
      </c>
      <c r="AZ322" s="35">
        <f t="shared" ref="AZ322:BI322" si="3412">AZ323-AZ321</f>
        <v>-3.885846784318487E-2</v>
      </c>
      <c r="BA322" s="35">
        <f t="shared" si="3412"/>
        <v>-4.3059531531942599E-2</v>
      </c>
      <c r="BB322" s="35">
        <f t="shared" si="3412"/>
        <v>-4.254527534538409E-2</v>
      </c>
      <c r="BC322" s="35">
        <f t="shared" si="3412"/>
        <v>-3.8771949642111073E-2</v>
      </c>
      <c r="BD322" s="35">
        <f t="shared" si="3412"/>
        <v>-3.8704731100624397E-2</v>
      </c>
      <c r="BE322" s="35">
        <f t="shared" si="3412"/>
        <v>-3.8627726142785708E-2</v>
      </c>
      <c r="BF322" s="35">
        <f t="shared" si="3412"/>
        <v>-3.8584551260462743E-2</v>
      </c>
      <c r="BG322" s="35">
        <f t="shared" si="3412"/>
        <v>-3.8547945384309862E-2</v>
      </c>
      <c r="BH322" s="35">
        <f t="shared" si="3412"/>
        <v>-3.8559483807151192E-2</v>
      </c>
      <c r="BI322" s="35">
        <f t="shared" si="3412"/>
        <v>-3.8555581769020811E-2</v>
      </c>
      <c r="BJ322" s="35">
        <f t="shared" ref="BJ322" si="3413">BJ323-BJ321</f>
        <v>-3.8555581769020811E-2</v>
      </c>
      <c r="BK322" s="35">
        <f t="shared" ref="BK322" si="3414">BK323-BK321</f>
        <v>-3.8555581769020804E-2</v>
      </c>
      <c r="BL322" s="35">
        <f t="shared" ref="BL322" si="3415">BL323-BL321</f>
        <v>-3.8555581769020804E-2</v>
      </c>
      <c r="BM322" s="35">
        <f t="shared" ref="BM322" si="3416">BM323-BM321</f>
        <v>-3.8555581769020797E-2</v>
      </c>
      <c r="BN322" s="35">
        <f t="shared" ref="BN322" si="3417">BN323-BN321</f>
        <v>-3.8555581769020797E-2</v>
      </c>
      <c r="BO322" s="35">
        <f t="shared" ref="BO322" si="3418">BO323-BO321</f>
        <v>-3.855558176902079E-2</v>
      </c>
      <c r="BP322" s="35">
        <f t="shared" ref="BP322" si="3419">BP323-BP321</f>
        <v>-3.855558176902079E-2</v>
      </c>
      <c r="BQ322" s="35">
        <f t="shared" ref="BQ322" si="3420">BQ323-BQ321</f>
        <v>-3.8555581769020783E-2</v>
      </c>
      <c r="BR322" s="35"/>
      <c r="BS322" s="345">
        <f t="shared" ref="BS322:CB322" si="3421">-(BS318-BS319)</f>
        <v>-5.5673321750041048E-2</v>
      </c>
      <c r="BT322" s="345">
        <f t="shared" si="3421"/>
        <v>-5.373690901386282E-2</v>
      </c>
      <c r="BU322" s="345">
        <f t="shared" si="3421"/>
        <v>-4.4729621242076759E-2</v>
      </c>
      <c r="BV322" s="345">
        <f t="shared" si="3421"/>
        <v>-5.779215065117916E-2</v>
      </c>
      <c r="BW322" s="345">
        <f t="shared" si="3421"/>
        <v>-5.9991376803601691E-2</v>
      </c>
      <c r="BX322" s="345">
        <f t="shared" si="3421"/>
        <v>-5.320464138747108E-2</v>
      </c>
      <c r="BY322" s="345">
        <f t="shared" si="3421"/>
        <v>-4.9771147935320059E-2</v>
      </c>
      <c r="BZ322" s="345">
        <f t="shared" si="3421"/>
        <v>-4.1974856686440749E-2</v>
      </c>
      <c r="CA322" s="345">
        <f t="shared" si="3421"/>
        <v>-4.8558854894185856E-2</v>
      </c>
      <c r="CB322" s="345">
        <f t="shared" si="3421"/>
        <v>-4.6238002598689168E-2</v>
      </c>
      <c r="CC322" s="35">
        <f t="shared" ref="CC322:CO322" si="3422">-(CC318-CC319)</f>
        <v>-3.4459940449619308E-2</v>
      </c>
      <c r="CD322" s="35">
        <f t="shared" si="3422"/>
        <v>-3.6546495244316433E-2</v>
      </c>
      <c r="CE322" s="35">
        <f t="shared" si="3422"/>
        <v>-4.1899658221133132E-2</v>
      </c>
      <c r="CF322" s="35">
        <f>-(CF318-CF319)</f>
        <v>-5.027850533758696E-2</v>
      </c>
      <c r="CG322" s="35">
        <f t="shared" si="3422"/>
        <v>-4.9161863668446673E-2</v>
      </c>
      <c r="CH322" s="35">
        <f t="shared" si="3422"/>
        <v>-5.6582140527117034E-2</v>
      </c>
      <c r="CI322" s="35">
        <f t="shared" si="3422"/>
        <v>-6.3434009188279114E-2</v>
      </c>
      <c r="CJ322" s="35">
        <f t="shared" si="3422"/>
        <v>-3.8577761456773711E-2</v>
      </c>
      <c r="CK322" s="35">
        <f>-(CK318-CK319)</f>
        <v>-3.572901695938499E-2</v>
      </c>
      <c r="CL322" s="35">
        <f t="shared" si="3422"/>
        <v>-3.1740401640118723E-2</v>
      </c>
      <c r="CM322" s="37">
        <f t="shared" si="3422"/>
        <v>-3.4916448481502563E-2</v>
      </c>
      <c r="CN322" s="37">
        <f t="shared" si="3422"/>
        <v>-2.7960417837642155E-2</v>
      </c>
      <c r="CO322" s="37">
        <f t="shared" si="3422"/>
        <v>-2.4308093651165767E-2</v>
      </c>
      <c r="CP322" s="37">
        <f t="shared" ref="CP322:CX322" si="3423">-(CP318-CP319)</f>
        <v>-2.1992218155615008E-2</v>
      </c>
      <c r="CQ322" s="37">
        <f t="shared" si="3423"/>
        <v>-2.0526362074524022E-2</v>
      </c>
      <c r="CR322" s="37">
        <f t="shared" si="3423"/>
        <v>-1.9030212753445346E-2</v>
      </c>
      <c r="CS322" s="37">
        <f t="shared" si="3423"/>
        <v>-2.0440189380298516E-2</v>
      </c>
      <c r="CT322" s="37">
        <f t="shared" si="3423"/>
        <v>-2.1261392585282791E-2</v>
      </c>
      <c r="CU322" s="37">
        <f t="shared" si="3423"/>
        <v>-1.0432126899299557E-2</v>
      </c>
      <c r="CV322" s="37">
        <f t="shared" si="3423"/>
        <v>-6.2160301464872433E-3</v>
      </c>
      <c r="CW322" s="37">
        <f t="shared" si="3423"/>
        <v>-8.9017301380605093E-3</v>
      </c>
      <c r="CX322" s="37">
        <f t="shared" si="3423"/>
        <v>-3.4042952821612078E-2</v>
      </c>
      <c r="CY322" s="37">
        <f t="shared" ref="CY322" si="3424">-(CY318-CY319)</f>
        <v>-4.3557051557103967E-2</v>
      </c>
      <c r="CZ322" s="348">
        <f>CZ323-CZ321</f>
        <v>-3.9673742324139255E-2</v>
      </c>
      <c r="DA322" s="345">
        <f t="shared" ref="DA322:DI322" si="3425">DA323-DA321</f>
        <v>-4.0958177079574248E-2</v>
      </c>
      <c r="DB322" s="345">
        <f t="shared" si="3425"/>
        <v>-4.0658847928550367E-2</v>
      </c>
      <c r="DC322" s="345">
        <f t="shared" si="3425"/>
        <v>-3.8666460544470906E-2</v>
      </c>
      <c r="DD322" s="345">
        <f t="shared" si="3425"/>
        <v>-3.8566164747023846E-2</v>
      </c>
      <c r="DE322" s="345">
        <f t="shared" si="3425"/>
        <v>-3.8557623959209149E-2</v>
      </c>
      <c r="DF322" s="345">
        <f t="shared" si="3425"/>
        <v>-3.8555581769020811E-2</v>
      </c>
      <c r="DG322" s="345">
        <f t="shared" si="3425"/>
        <v>-3.8455581769020801E-2</v>
      </c>
      <c r="DH322" s="345">
        <f t="shared" si="3425"/>
        <v>-3.8355581769020791E-2</v>
      </c>
      <c r="DI322" s="345">
        <f t="shared" si="3425"/>
        <v>-3.8255581769020788E-2</v>
      </c>
    </row>
    <row r="323" spans="1:113" s="17" customFormat="1" ht="12" outlineLevel="1">
      <c r="A323" s="1" t="s">
        <v>930</v>
      </c>
      <c r="B323" s="17" t="s">
        <v>485</v>
      </c>
      <c r="C323" s="387">
        <f t="shared" ref="C323:L323" si="3426">C321+C322</f>
        <v>2.7542525224884339E-2</v>
      </c>
      <c r="D323" s="387">
        <f t="shared" si="3426"/>
        <v>2.7376529741967255E-2</v>
      </c>
      <c r="E323" s="387">
        <f t="shared" si="3426"/>
        <v>2.7689893297031559E-2</v>
      </c>
      <c r="F323" s="387">
        <f t="shared" si="3426"/>
        <v>2.6966410989231943E-2</v>
      </c>
      <c r="G323" s="387">
        <f t="shared" si="3426"/>
        <v>2.6220845289915029E-2</v>
      </c>
      <c r="H323" s="387">
        <f t="shared" si="3426"/>
        <v>2.5185095888209122E-2</v>
      </c>
      <c r="I323" s="387">
        <f t="shared" si="3426"/>
        <v>2.4376165527040229E-2</v>
      </c>
      <c r="J323" s="387">
        <f t="shared" si="3426"/>
        <v>2.5712937809823963E-2</v>
      </c>
      <c r="K323" s="387">
        <f t="shared" si="3426"/>
        <v>2.4651871216901475E-2</v>
      </c>
      <c r="L323" s="387">
        <f t="shared" si="3426"/>
        <v>2.2946099028772184E-2</v>
      </c>
      <c r="M323" s="70">
        <f t="shared" ref="M323:Y323" si="3427">M321+M322</f>
        <v>2.3305065599238846E-2</v>
      </c>
      <c r="N323" s="70">
        <f t="shared" si="3427"/>
        <v>2.2374355925505712E-2</v>
      </c>
      <c r="O323" s="70">
        <f t="shared" si="3427"/>
        <v>2.1462750108869839E-2</v>
      </c>
      <c r="P323" s="70">
        <f t="shared" si="3427"/>
        <v>1.9957023763641259E-2</v>
      </c>
      <c r="Q323" s="70">
        <f t="shared" si="3427"/>
        <v>2.0211751618926535E-2</v>
      </c>
      <c r="R323" s="70">
        <f t="shared" si="3427"/>
        <v>2.2221149959869305E-2</v>
      </c>
      <c r="S323" s="70">
        <f t="shared" si="3427"/>
        <v>2.4079769418525597E-2</v>
      </c>
      <c r="T323" s="70">
        <f t="shared" si="3427"/>
        <v>2.4516818953123881E-2</v>
      </c>
      <c r="U323" s="70">
        <f t="shared" si="3427"/>
        <v>2.4970433186508385E-2</v>
      </c>
      <c r="V323" s="70">
        <f t="shared" si="3427"/>
        <v>2.4747461285322424E-2</v>
      </c>
      <c r="W323" s="70">
        <f t="shared" si="3427"/>
        <v>2.4462460657294023E-2</v>
      </c>
      <c r="X323" s="70">
        <f t="shared" si="3427"/>
        <v>2.3523769463914365E-2</v>
      </c>
      <c r="Y323" s="232">
        <f t="shared" si="3427"/>
        <v>2.2766421201090382E-2</v>
      </c>
      <c r="Z323" s="232">
        <f t="shared" ref="Z323:AD323" si="3428">Z321+Z322</f>
        <v>2.2482604907496685E-2</v>
      </c>
      <c r="AA323" s="232">
        <f t="shared" si="3428"/>
        <v>2.1873033387705101E-2</v>
      </c>
      <c r="AB323" s="232">
        <f t="shared" si="3428"/>
        <v>2.1450292275719221E-2</v>
      </c>
      <c r="AC323" s="232">
        <f t="shared" si="3428"/>
        <v>2.12052157638314E-2</v>
      </c>
      <c r="AD323" s="232">
        <f t="shared" si="3428"/>
        <v>2.0386155827046854E-2</v>
      </c>
      <c r="AE323" s="232">
        <f t="shared" ref="AE323:AF323" si="3429">AE321+AE322</f>
        <v>2.0383137446578433E-2</v>
      </c>
      <c r="AF323" s="232">
        <f t="shared" si="3429"/>
        <v>2.0694699854387849E-2</v>
      </c>
      <c r="AG323" s="232">
        <f t="shared" ref="AG323:AH323" si="3430">AG321+AG322</f>
        <v>2.0614152202937247E-2</v>
      </c>
      <c r="AH323" s="232">
        <f t="shared" si="3430"/>
        <v>2.0000865346245005E-2</v>
      </c>
      <c r="AI323" s="232">
        <f t="shared" ref="AI323:AJ323" si="3431">AI321+AI322</f>
        <v>1.9773687967259951E-2</v>
      </c>
      <c r="AJ323" s="232">
        <f t="shared" si="3431"/>
        <v>1.9263792875698998E-2</v>
      </c>
      <c r="AK323" s="232">
        <f t="shared" ref="AK323:AL323" si="3432">AK321+AK322</f>
        <v>1.8213937852235233E-2</v>
      </c>
      <c r="AL323" s="232">
        <f t="shared" si="3432"/>
        <v>1.8037707134694544E-2</v>
      </c>
      <c r="AM323" s="232">
        <f t="shared" ref="AM323:AN323" si="3433">AM321+AM322</f>
        <v>1.7232423437769762E-2</v>
      </c>
      <c r="AN323" s="232">
        <f t="shared" si="3433"/>
        <v>1.6861008742183225E-2</v>
      </c>
      <c r="AO323" s="232">
        <f t="shared" ref="AO323" si="3434">AO321+AO322</f>
        <v>1.5710324354799739E-2</v>
      </c>
      <c r="AP323" s="232">
        <f t="shared" ref="AP323:AQ323" si="3435">AP321+AP322</f>
        <v>1.6338183672275776E-2</v>
      </c>
      <c r="AQ323" s="232">
        <f t="shared" si="3435"/>
        <v>1.6452496019000118E-2</v>
      </c>
      <c r="AR323" s="232">
        <f t="shared" ref="AR323:AS323" si="3436">AR321+AR322</f>
        <v>1.5826785793373838E-2</v>
      </c>
      <c r="AS323" s="232">
        <f t="shared" si="3436"/>
        <v>1.6847598850080477E-2</v>
      </c>
      <c r="AT323" s="232">
        <f t="shared" ref="AT323:AU323" si="3437">AT321+AT322</f>
        <v>1.7520240352963186E-2</v>
      </c>
      <c r="AU323" s="232">
        <f t="shared" si="3437"/>
        <v>1.6480036617208552E-2</v>
      </c>
      <c r="AV323" s="232">
        <f t="shared" ref="AV323:AW323" si="3438">AV321+AV322</f>
        <v>1.5555015108982585E-2</v>
      </c>
      <c r="AW323" s="232">
        <f t="shared" si="3438"/>
        <v>1.5839303768571678E-2</v>
      </c>
      <c r="AX323" s="232">
        <f t="shared" ref="AX323" si="3439">AX321+AX322</f>
        <v>1.5573325204557439E-2</v>
      </c>
      <c r="AY323" s="72">
        <f>[3]ANZ!J$9</f>
        <v>1.5354854808742975E-2</v>
      </c>
      <c r="AZ323" s="571">
        <f>[3]ANZ!K$9</f>
        <v>1.5571544536685598E-2</v>
      </c>
      <c r="BA323" s="571">
        <f>[3]ANZ!L$9</f>
        <v>1.5652534381261584E-2</v>
      </c>
      <c r="BB323" s="571">
        <f>[3]ANZ!M$9</f>
        <v>1.5536107259616641E-2</v>
      </c>
      <c r="BC323" s="571">
        <f>[3]ANZ!N$9</f>
        <v>1.5428488662613784E-2</v>
      </c>
      <c r="BD323" s="571">
        <f>[3]ANZ!O$9</f>
        <v>1.5364400587753187E-2</v>
      </c>
      <c r="BE323" s="571">
        <f>[3]ANZ!P$9</f>
        <v>1.5309726572993133E-2</v>
      </c>
      <c r="BF323" s="571">
        <f>[3]ANZ!Q$9</f>
        <v>1.5270828803668117E-2</v>
      </c>
      <c r="BG323" s="571">
        <f>[3]ANZ!R$9</f>
        <v>1.5224997640886428E-2</v>
      </c>
      <c r="BH323" s="571">
        <f>[3]ANZ!S$9</f>
        <v>1.5130764641043843E-2</v>
      </c>
      <c r="BI323" s="571">
        <f>[3]ANZ!T$9</f>
        <v>1.505183049125179E-2</v>
      </c>
      <c r="BJ323" s="572">
        <f>BI323-0.01%</f>
        <v>1.495183049125179E-2</v>
      </c>
      <c r="BK323" s="572">
        <f t="shared" ref="BK323:BQ323" si="3440">BJ323-0.01%</f>
        <v>1.4851830491251791E-2</v>
      </c>
      <c r="BL323" s="572">
        <f t="shared" si="3440"/>
        <v>1.4751830491251791E-2</v>
      </c>
      <c r="BM323" s="572">
        <f t="shared" si="3440"/>
        <v>1.4651830491251792E-2</v>
      </c>
      <c r="BN323" s="572">
        <f t="shared" si="3440"/>
        <v>1.4551830491251793E-2</v>
      </c>
      <c r="BO323" s="572">
        <f t="shared" si="3440"/>
        <v>1.4451830491251793E-2</v>
      </c>
      <c r="BP323" s="572">
        <f t="shared" si="3440"/>
        <v>1.4351830491251794E-2</v>
      </c>
      <c r="BQ323" s="572">
        <f t="shared" si="3440"/>
        <v>1.4251830491251795E-2</v>
      </c>
      <c r="BR323" s="70"/>
      <c r="BS323" s="387">
        <f t="shared" ref="BS323:CB323" si="3441">BS321+BS322</f>
        <v>2.9870680465324866E-2</v>
      </c>
      <c r="BT323" s="387">
        <f t="shared" si="3441"/>
        <v>3.0788788667594887E-2</v>
      </c>
      <c r="BU323" s="387">
        <f t="shared" si="3441"/>
        <v>3.3478318175827068E-2</v>
      </c>
      <c r="BV323" s="387">
        <f t="shared" si="3441"/>
        <v>3.3922914466737071E-2</v>
      </c>
      <c r="BW323" s="387">
        <f t="shared" si="3441"/>
        <v>3.3359737694397922E-2</v>
      </c>
      <c r="BX323" s="387">
        <f t="shared" si="3441"/>
        <v>3.0350929867010476E-2</v>
      </c>
      <c r="BY323" s="387">
        <f t="shared" si="3441"/>
        <v>2.9625484431377788E-2</v>
      </c>
      <c r="BZ323" s="387">
        <f t="shared" si="3441"/>
        <v>3.040993086004775E-2</v>
      </c>
      <c r="CA323" s="387">
        <f t="shared" si="3441"/>
        <v>2.8545036723291124E-2</v>
      </c>
      <c r="CB323" s="387">
        <f t="shared" si="3441"/>
        <v>2.7515954659334818E-2</v>
      </c>
      <c r="CC323" s="70">
        <f t="shared" ref="CC323:CR323" si="3442">CC321+CC322</f>
        <v>2.7537784769164186E-2</v>
      </c>
      <c r="CD323" s="70">
        <f t="shared" si="3442"/>
        <v>2.6588413158812267E-2</v>
      </c>
      <c r="CE323" s="70">
        <f t="shared" si="3442"/>
        <v>2.4755718750147301E-2</v>
      </c>
      <c r="CF323" s="70">
        <f t="shared" si="3442"/>
        <v>2.5168151149412107E-2</v>
      </c>
      <c r="CG323" s="70">
        <f t="shared" si="3442"/>
        <v>2.3088997226526894E-2</v>
      </c>
      <c r="CH323" s="70">
        <f t="shared" si="3442"/>
        <v>2.1904181952897908E-2</v>
      </c>
      <c r="CI323" s="70">
        <f t="shared" si="3442"/>
        <v>2.00882860981383E-2</v>
      </c>
      <c r="CJ323" s="70">
        <f t="shared" si="3442"/>
        <v>2.313645125671402E-2</v>
      </c>
      <c r="CK323" s="70">
        <f>CK321+CK322</f>
        <v>2.47497592635171E-2</v>
      </c>
      <c r="CL323" s="70">
        <f t="shared" si="3442"/>
        <v>2.4246155403097595E-2</v>
      </c>
      <c r="CM323" s="232">
        <f t="shared" si="3442"/>
        <v>2.3134483753326419E-2</v>
      </c>
      <c r="CN323" s="232">
        <f t="shared" si="3442"/>
        <v>2.2199086104018679E-2</v>
      </c>
      <c r="CO323" s="232">
        <f t="shared" si="3442"/>
        <v>2.1324673839291371E-2</v>
      </c>
      <c r="CP323" s="232">
        <f t="shared" si="3442"/>
        <v>2.038459607370588E-2</v>
      </c>
      <c r="CQ323" s="232">
        <f t="shared" si="3442"/>
        <v>2.0654456888353736E-2</v>
      </c>
      <c r="CR323" s="232">
        <f t="shared" si="3442"/>
        <v>1.9886363636363633E-2</v>
      </c>
      <c r="CS323" s="232">
        <f t="shared" ref="CS323:CX323" si="3443">CS321+CS322</f>
        <v>1.8730545475193702E-2</v>
      </c>
      <c r="CT323" s="232">
        <f t="shared" si="3443"/>
        <v>1.7632396685271744E-2</v>
      </c>
      <c r="CU323" s="232">
        <f t="shared" si="3443"/>
        <v>1.6281484606238163E-2</v>
      </c>
      <c r="CV323" s="232">
        <f t="shared" si="3443"/>
        <v>1.6395910111370846E-2</v>
      </c>
      <c r="CW323" s="232">
        <f t="shared" si="3443"/>
        <v>1.6344390392918094E-2</v>
      </c>
      <c r="CX323" s="232">
        <f t="shared" si="3443"/>
        <v>1.6997597117771997E-2</v>
      </c>
      <c r="CY323" s="232">
        <f t="shared" ref="CY323" si="3444">CY321+CY322</f>
        <v>1.5698269663623858E-2</v>
      </c>
      <c r="CZ323" s="418">
        <f>[3]ANZ!Y$9</f>
        <v>1.54884207648836E-2</v>
      </c>
      <c r="DA323" s="387">
        <f>[3]ANZ!Z$9</f>
        <v>1.5612862066963083E-2</v>
      </c>
      <c r="DB323" s="387">
        <f>[3]ANZ!AA$9</f>
        <v>1.5482062526312431E-2</v>
      </c>
      <c r="DC323" s="387">
        <f>[3]ANZ!AB$9</f>
        <v>1.5336831657607306E-2</v>
      </c>
      <c r="DD323" s="387">
        <f>[3]ANZ!AC$9</f>
        <v>1.524799679763973E-2</v>
      </c>
      <c r="DE323" s="387">
        <f>[3]ANZ!AD$9</f>
        <v>1.5091206395024669E-2</v>
      </c>
      <c r="DF323" s="387">
        <f>AVERAGE(BJ323:BK323)</f>
        <v>1.4901830491251791E-2</v>
      </c>
      <c r="DG323" s="387">
        <f t="shared" ref="DG323:DI323" si="3445">AVERAGE(BK323:BL323)</f>
        <v>1.4801830491251791E-2</v>
      </c>
      <c r="DH323" s="387">
        <f t="shared" si="3445"/>
        <v>1.4701830491251792E-2</v>
      </c>
      <c r="DI323" s="387">
        <f t="shared" si="3445"/>
        <v>1.4601830491251792E-2</v>
      </c>
    </row>
    <row r="324" spans="1:113" ht="12" outlineLevel="1">
      <c r="AY324" s="200"/>
      <c r="CP324" s="28"/>
      <c r="CZ324" s="200"/>
      <c r="DB324" s="16"/>
      <c r="DC324" s="16"/>
      <c r="DD324" s="16"/>
      <c r="DE324" s="16"/>
      <c r="DF324" s="16"/>
      <c r="DG324" s="16"/>
      <c r="DH324" s="16"/>
      <c r="DI324" s="16"/>
    </row>
    <row r="325" spans="1:113" s="4" customFormat="1" ht="12.95" customHeight="1" outlineLevel="1">
      <c r="A325" s="74"/>
      <c r="B325" s="5" t="s">
        <v>486</v>
      </c>
      <c r="C325" s="389" t="str">
        <f>IF(ROUND(C323,5)=ROUND(C319+C296,5),"Ok","Error")</f>
        <v>Ok</v>
      </c>
      <c r="D325" s="389" t="str">
        <f>IF(ROUND(D323,5)=ROUND(D319+D296,5),"Ok","Error")</f>
        <v>Ok</v>
      </c>
      <c r="E325" s="389" t="str">
        <f>IF(ROUND(E323,5)=ROUND(E319+E296,5),"Ok","Error")</f>
        <v>Ok</v>
      </c>
      <c r="F325" s="389" t="str">
        <f>IF(ROUND(F323,5)=ROUND(F319+F296,5),"Ok","Error")</f>
        <v>Ok</v>
      </c>
      <c r="G325" s="389" t="str">
        <f>IF(ROUND(G323,5)=ROUND(G319+G296,5),"Ok","Error")</f>
        <v>Ok</v>
      </c>
      <c r="H325" s="389" t="str">
        <f t="shared" ref="H325:L325" si="3446">IF(ROUND(H323,5)=ROUND(H319+H296,5),"Ok","Error")</f>
        <v>Ok</v>
      </c>
      <c r="I325" s="389" t="str">
        <f t="shared" si="3446"/>
        <v>Ok</v>
      </c>
      <c r="J325" s="389" t="str">
        <f t="shared" si="3446"/>
        <v>Ok</v>
      </c>
      <c r="K325" s="389" t="str">
        <f t="shared" si="3446"/>
        <v>Ok</v>
      </c>
      <c r="L325" s="389" t="str">
        <f t="shared" si="3446"/>
        <v>Ok</v>
      </c>
      <c r="M325" s="75" t="str">
        <f t="shared" ref="M325:AC325" si="3447">IF(ROUND(M323,5)=ROUND(M319+M296,5),"Ok","Error")</f>
        <v>Ok</v>
      </c>
      <c r="N325" s="75" t="str">
        <f t="shared" si="3447"/>
        <v>Ok</v>
      </c>
      <c r="O325" s="75" t="str">
        <f t="shared" si="3447"/>
        <v>Ok</v>
      </c>
      <c r="P325" s="75" t="str">
        <f t="shared" si="3447"/>
        <v>Ok</v>
      </c>
      <c r="Q325" s="75" t="str">
        <f t="shared" si="3447"/>
        <v>Ok</v>
      </c>
      <c r="R325" s="75" t="str">
        <f t="shared" si="3447"/>
        <v>Ok</v>
      </c>
      <c r="S325" s="75" t="str">
        <f t="shared" si="3447"/>
        <v>Ok</v>
      </c>
      <c r="T325" s="75" t="str">
        <f t="shared" si="3447"/>
        <v>Ok</v>
      </c>
      <c r="U325" s="75" t="str">
        <f>IF(ROUND(U323,5)=ROUND(U319+U296,5),"Ok","Error")</f>
        <v>Ok</v>
      </c>
      <c r="V325" s="75" t="str">
        <f>IF(ROUND(V323,5)=ROUND(V319+V296,5),"Ok","Error")</f>
        <v>Ok</v>
      </c>
      <c r="W325" s="75" t="str">
        <f>IF(ROUND(W323,5)=ROUND(W319+W296,5),"Ok","Error")</f>
        <v>Ok</v>
      </c>
      <c r="X325" s="75" t="str">
        <f>IF(ROUND(X323,5)=ROUND(X319+X296,5),"Ok","Error")</f>
        <v>Ok</v>
      </c>
      <c r="Y325" s="78" t="str">
        <f>IF(ROUND(Y323,5)=ROUND(Y319+Y296,5),"Ok","Error")</f>
        <v>Ok</v>
      </c>
      <c r="Z325" s="78" t="str">
        <f t="shared" si="3447"/>
        <v>Ok</v>
      </c>
      <c r="AA325" s="78" t="str">
        <f t="shared" si="3447"/>
        <v>Ok</v>
      </c>
      <c r="AB325" s="78" t="str">
        <f t="shared" si="3447"/>
        <v>Ok</v>
      </c>
      <c r="AC325" s="78" t="str">
        <f t="shared" si="3447"/>
        <v>Ok</v>
      </c>
      <c r="AD325" s="78" t="str">
        <f t="shared" ref="AD325" si="3448">IF(ROUND(AD323,5)=ROUND(AD319+AD296,5),"Ok","Error")</f>
        <v>Ok</v>
      </c>
      <c r="AE325" s="78" t="str">
        <f t="shared" ref="AE325:AF325" si="3449">IF(ROUND(AE323,5)=ROUND(AE319+AE296,5),"Ok","Error")</f>
        <v>Ok</v>
      </c>
      <c r="AF325" s="78" t="str">
        <f t="shared" si="3449"/>
        <v>Ok</v>
      </c>
      <c r="AG325" s="78" t="str">
        <f t="shared" ref="AG325:AH325" si="3450">IF(ROUND(AG323,5)=ROUND(AG319+AG296,5),"Ok","Error")</f>
        <v>Ok</v>
      </c>
      <c r="AH325" s="78" t="str">
        <f t="shared" si="3450"/>
        <v>Ok</v>
      </c>
      <c r="AI325" s="78" t="str">
        <f t="shared" ref="AI325:AJ325" si="3451">IF(ROUND(AI323,5)=ROUND(AI319+AI296,5),"Ok","Error")</f>
        <v>Ok</v>
      </c>
      <c r="AJ325" s="78" t="str">
        <f t="shared" si="3451"/>
        <v>Ok</v>
      </c>
      <c r="AK325" s="78" t="str">
        <f t="shared" ref="AK325:AL325" si="3452">IF(ROUND(AK323,5)=ROUND(AK319+AK296,5),"Ok","Error")</f>
        <v>Ok</v>
      </c>
      <c r="AL325" s="78" t="str">
        <f t="shared" si="3452"/>
        <v>Ok</v>
      </c>
      <c r="AM325" s="78" t="str">
        <f t="shared" ref="AM325:AN325" si="3453">IF(ROUND(AM323,5)=ROUND(AM319+AM296,5),"Ok","Error")</f>
        <v>Ok</v>
      </c>
      <c r="AN325" s="78" t="str">
        <f t="shared" si="3453"/>
        <v>Ok</v>
      </c>
      <c r="AO325" s="78" t="str">
        <f t="shared" ref="AO325" si="3454">IF(ROUND(AO323,5)=ROUND(AO319+AO296,5),"Ok","Error")</f>
        <v>Ok</v>
      </c>
      <c r="AP325" s="78" t="str">
        <f t="shared" ref="AP325:AQ325" si="3455">IF(ROUND(AP323,5)=ROUND(AP319+AP296,5),"Ok","Error")</f>
        <v>Ok</v>
      </c>
      <c r="AQ325" s="78" t="str">
        <f t="shared" si="3455"/>
        <v>Ok</v>
      </c>
      <c r="AR325" s="78" t="str">
        <f t="shared" ref="AR325:AS325" si="3456">IF(ROUND(AR323,5)=ROUND(AR319+AR296,5),"Ok","Error")</f>
        <v>Ok</v>
      </c>
      <c r="AS325" s="78" t="str">
        <f t="shared" si="3456"/>
        <v>Ok</v>
      </c>
      <c r="AT325" s="78" t="str">
        <f t="shared" ref="AT325:AU325" si="3457">IF(ROUND(AT323,5)=ROUND(AT319+AT296,5),"Ok","Error")</f>
        <v>Ok</v>
      </c>
      <c r="AU325" s="78" t="str">
        <f t="shared" si="3457"/>
        <v>Ok</v>
      </c>
      <c r="AV325" s="78" t="str">
        <f t="shared" ref="AV325:AW325" si="3458">IF(ROUND(AV323,5)=ROUND(AV319+AV296,5),"Ok","Error")</f>
        <v>Ok</v>
      </c>
      <c r="AW325" s="78" t="str">
        <f t="shared" si="3458"/>
        <v>Ok</v>
      </c>
      <c r="AX325" s="78" t="str">
        <f t="shared" ref="AX325" si="3459">IF(ROUND(AX323,5)=ROUND(AX319+AX296,5),"Ok","Error")</f>
        <v>Ok</v>
      </c>
      <c r="AY325" s="76" t="str">
        <f t="shared" ref="AY325" si="3460">IF(ROUND(AY323,5)=ROUND(AY319+AY296,5),"Ok","Error")</f>
        <v>Ok</v>
      </c>
      <c r="AZ325" s="75" t="str">
        <f t="shared" ref="AZ325:BA325" si="3461">IF(ROUND(AZ323,5)=ROUND(AZ319+AZ296,5),"Ok","Error")</f>
        <v>Ok</v>
      </c>
      <c r="BA325" s="75" t="str">
        <f t="shared" si="3461"/>
        <v>Ok</v>
      </c>
      <c r="BB325" s="75" t="str">
        <f t="shared" ref="BB325:BC325" si="3462">IF(ROUND(BB323,5)=ROUND(BB319+BB296,5),"Ok","Error")</f>
        <v>Ok</v>
      </c>
      <c r="BC325" s="75" t="str">
        <f t="shared" si="3462"/>
        <v>Ok</v>
      </c>
      <c r="BD325" s="75" t="str">
        <f t="shared" ref="BD325:BE325" si="3463">IF(ROUND(BD323,5)=ROUND(BD319+BD296,5),"Ok","Error")</f>
        <v>Ok</v>
      </c>
      <c r="BE325" s="75" t="str">
        <f t="shared" si="3463"/>
        <v>Ok</v>
      </c>
      <c r="BF325" s="75" t="str">
        <f t="shared" ref="BF325:BG325" si="3464">IF(ROUND(BF323,5)=ROUND(BF319+BF296,5),"Ok","Error")</f>
        <v>Ok</v>
      </c>
      <c r="BG325" s="75" t="str">
        <f t="shared" si="3464"/>
        <v>Ok</v>
      </c>
      <c r="BH325" s="75" t="str">
        <f t="shared" ref="BH325:BI325" si="3465">IF(ROUND(BH323,5)=ROUND(BH319+BH296,5),"Ok","Error")</f>
        <v>Ok</v>
      </c>
      <c r="BI325" s="75" t="str">
        <f t="shared" si="3465"/>
        <v>Ok</v>
      </c>
      <c r="BJ325" s="75" t="str">
        <f t="shared" ref="BJ325:BK325" si="3466">IF(ROUND(BJ323,5)=ROUND(BJ319+BJ296,5),"Ok","Error")</f>
        <v>Ok</v>
      </c>
      <c r="BK325" s="75" t="str">
        <f t="shared" si="3466"/>
        <v>Ok</v>
      </c>
      <c r="BL325" s="75" t="str">
        <f t="shared" ref="BL325:BM325" si="3467">IF(ROUND(BL323,5)=ROUND(BL319+BL296,5),"Ok","Error")</f>
        <v>Ok</v>
      </c>
      <c r="BM325" s="75" t="str">
        <f t="shared" si="3467"/>
        <v>Ok</v>
      </c>
      <c r="BN325" s="75" t="str">
        <f t="shared" ref="BN325:BO325" si="3468">IF(ROUND(BN323,5)=ROUND(BN319+BN296,5),"Ok","Error")</f>
        <v>Ok</v>
      </c>
      <c r="BO325" s="75" t="str">
        <f t="shared" si="3468"/>
        <v>Ok</v>
      </c>
      <c r="BP325" s="75" t="str">
        <f t="shared" ref="BP325:BQ325" si="3469">IF(ROUND(BP323,5)=ROUND(BP319+BP296,5),"Ok","Error")</f>
        <v>Ok</v>
      </c>
      <c r="BQ325" s="75" t="str">
        <f t="shared" si="3469"/>
        <v>Ok</v>
      </c>
      <c r="BR325" s="77"/>
      <c r="BS325" s="389" t="str">
        <f t="shared" ref="BS325:CB325" si="3470">IF(ROUND(BS323,5)=ROUND(BS319+BS296,5),"Ok","Error")</f>
        <v>Ok</v>
      </c>
      <c r="BT325" s="389" t="str">
        <f t="shared" si="3470"/>
        <v>Ok</v>
      </c>
      <c r="BU325" s="389" t="str">
        <f t="shared" si="3470"/>
        <v>Ok</v>
      </c>
      <c r="BV325" s="389" t="str">
        <f t="shared" si="3470"/>
        <v>Ok</v>
      </c>
      <c r="BW325" s="389" t="str">
        <f t="shared" si="3470"/>
        <v>Ok</v>
      </c>
      <c r="BX325" s="389" t="str">
        <f t="shared" si="3470"/>
        <v>Ok</v>
      </c>
      <c r="BY325" s="389" t="str">
        <f t="shared" si="3470"/>
        <v>Ok</v>
      </c>
      <c r="BZ325" s="389" t="str">
        <f t="shared" si="3470"/>
        <v>Ok</v>
      </c>
      <c r="CA325" s="389" t="str">
        <f t="shared" si="3470"/>
        <v>Ok</v>
      </c>
      <c r="CB325" s="389" t="str">
        <f t="shared" si="3470"/>
        <v>Ok</v>
      </c>
      <c r="CC325" s="75" t="str">
        <f>IF(ROUND(CC323,5)=ROUND(CC319+CC296,5),"Ok","Drror")</f>
        <v>Ok</v>
      </c>
      <c r="CD325" s="75" t="str">
        <f>IF(ROUND(CD323,5)=ROUND(CD319+CD296,5),"Ok","Error")</f>
        <v>Ok</v>
      </c>
      <c r="CE325" s="75" t="str">
        <f>IF(ROUND(CE323,5)=ROUND(CE319+CE296,5),"Ok","Error")</f>
        <v>Ok</v>
      </c>
      <c r="CF325" s="75" t="str">
        <f>IF(ROUND(CF323,5)=ROUND(CF319+CF296,5),"Ok","Error")</f>
        <v>Ok</v>
      </c>
      <c r="CG325" s="75" t="str">
        <f>IF(ROUND(CG323,5)=ROUND(CG319+CG296,5),"Ok","Error")</f>
        <v>Ok</v>
      </c>
      <c r="CH325" s="75" t="str">
        <f>IF(ROUND(CH323,5)=ROUND(CH319+CH296,5),"Ok","Error")</f>
        <v>Ok</v>
      </c>
      <c r="CI325" s="75" t="str">
        <f t="shared" ref="CI325:CO325" si="3471">IF(ROUND(CI323,5)=ROUND(CI319+CI296,5),"Ok","Error")</f>
        <v>Ok</v>
      </c>
      <c r="CJ325" s="75" t="str">
        <f t="shared" si="3471"/>
        <v>Ok</v>
      </c>
      <c r="CK325" s="75" t="str">
        <f t="shared" si="3471"/>
        <v>Ok</v>
      </c>
      <c r="CL325" s="75" t="str">
        <f t="shared" si="3471"/>
        <v>Ok</v>
      </c>
      <c r="CM325" s="78" t="str">
        <f t="shared" si="3471"/>
        <v>Ok</v>
      </c>
      <c r="CN325" s="78" t="str">
        <f t="shared" si="3471"/>
        <v>Ok</v>
      </c>
      <c r="CO325" s="78" t="str">
        <f t="shared" si="3471"/>
        <v>Ok</v>
      </c>
      <c r="CP325" s="78" t="str">
        <f t="shared" ref="CP325:CX325" si="3472">IF(ROUND(CP323,5)=ROUND(CP319+CP296,5),"Ok","Error")</f>
        <v>Ok</v>
      </c>
      <c r="CQ325" s="78" t="str">
        <f t="shared" si="3472"/>
        <v>Ok</v>
      </c>
      <c r="CR325" s="78" t="str">
        <f t="shared" si="3472"/>
        <v>Ok</v>
      </c>
      <c r="CS325" s="78" t="str">
        <f t="shared" si="3472"/>
        <v>Ok</v>
      </c>
      <c r="CT325" s="78" t="str">
        <f t="shared" si="3472"/>
        <v>Ok</v>
      </c>
      <c r="CU325" s="78" t="str">
        <f t="shared" si="3472"/>
        <v>Ok</v>
      </c>
      <c r="CV325" s="78" t="str">
        <f t="shared" si="3472"/>
        <v>Ok</v>
      </c>
      <c r="CW325" s="78" t="str">
        <f t="shared" si="3472"/>
        <v>Ok</v>
      </c>
      <c r="CX325" s="78" t="str">
        <f t="shared" si="3472"/>
        <v>Ok</v>
      </c>
      <c r="CY325" s="78" t="str">
        <f t="shared" ref="CY325:DD325" si="3473">IF(ROUND(CY323,5)=ROUND(CY319+CY296,5),"Ok","Error")</f>
        <v>Ok</v>
      </c>
      <c r="CZ325" s="76" t="str">
        <f t="shared" si="3473"/>
        <v>Ok</v>
      </c>
      <c r="DA325" s="75" t="str">
        <f t="shared" si="3473"/>
        <v>Ok</v>
      </c>
      <c r="DB325" s="75" t="str">
        <f t="shared" si="3473"/>
        <v>Ok</v>
      </c>
      <c r="DC325" s="75" t="str">
        <f t="shared" si="3473"/>
        <v>Ok</v>
      </c>
      <c r="DD325" s="75" t="str">
        <f t="shared" si="3473"/>
        <v>Ok</v>
      </c>
      <c r="DE325" s="75" t="str">
        <f t="shared" ref="DE325" si="3474">IF(ROUND(DE323,5)=ROUND(DE319+DE296,5),"Ok","Error")</f>
        <v>Ok</v>
      </c>
      <c r="DF325" s="75" t="str">
        <f t="shared" ref="DF325" si="3475">IF(ROUND(DF323,5)=ROUND(DF319+DF296,5),"Ok","Error")</f>
        <v>Ok</v>
      </c>
      <c r="DG325" s="75" t="str">
        <f>IF(ROUND(DG323,5)=ROUND(DG319+DG296,5),"Ok","Error")</f>
        <v>Ok</v>
      </c>
      <c r="DH325" s="75" t="str">
        <f>IF(ROUND(DH323,5)=ROUND(DH319+DH296,5),"Ok","Error")</f>
        <v>Ok</v>
      </c>
      <c r="DI325" s="75" t="str">
        <f>IF(ROUND(DI323,5)=ROUND(DI319+DI296,5),"Ok","Error")</f>
        <v>Ok</v>
      </c>
    </row>
    <row r="326" spans="1:113" ht="12">
      <c r="AG326" s="35"/>
      <c r="AH326" s="35"/>
      <c r="AI326" s="35"/>
      <c r="AJ326" s="37"/>
      <c r="AK326" s="37"/>
      <c r="AL326" s="37"/>
      <c r="AM326" s="37"/>
      <c r="AN326" s="37"/>
      <c r="AO326" s="37"/>
      <c r="AP326" s="37"/>
      <c r="AQ326" s="37"/>
      <c r="AR326" s="37"/>
      <c r="AS326" s="37"/>
      <c r="AT326" s="37"/>
      <c r="AU326" s="37"/>
      <c r="AV326" s="37"/>
      <c r="AW326" s="37"/>
      <c r="AX326" s="37"/>
      <c r="AY326" s="36"/>
      <c r="CQ326" s="37"/>
      <c r="CR326" s="37"/>
      <c r="CS326" s="500"/>
      <c r="CT326" s="37"/>
      <c r="CU326" s="37"/>
      <c r="CV326" s="37"/>
      <c r="CW326" s="37"/>
      <c r="CX326" s="37"/>
      <c r="CY326" s="37"/>
      <c r="CZ326" s="200"/>
      <c r="DB326" s="16"/>
      <c r="DC326" s="16"/>
      <c r="DD326" s="16"/>
      <c r="DE326" s="16"/>
      <c r="DF326" s="16"/>
      <c r="DG326" s="16"/>
      <c r="DH326" s="16"/>
      <c r="DI326" s="16"/>
    </row>
    <row r="327" spans="1:113" s="26" customFormat="1" ht="12" collapsed="1">
      <c r="A327" s="1" t="s">
        <v>241</v>
      </c>
      <c r="B327" s="2" t="s">
        <v>487</v>
      </c>
      <c r="C327" s="60">
        <f>C381</f>
        <v>1954</v>
      </c>
      <c r="D327" s="60">
        <f>D381</f>
        <v>1965</v>
      </c>
      <c r="E327" s="60">
        <f>E381</f>
        <v>2053</v>
      </c>
      <c r="F327" s="60">
        <f t="shared" ref="F327:L327" si="3476">F381</f>
        <v>2140</v>
      </c>
      <c r="G327" s="60">
        <f t="shared" si="3476"/>
        <v>2171</v>
      </c>
      <c r="H327" s="60">
        <f t="shared" si="3476"/>
        <v>2507</v>
      </c>
      <c r="I327" s="60">
        <f t="shared" si="3476"/>
        <v>2745</v>
      </c>
      <c r="J327" s="60">
        <f t="shared" si="3476"/>
        <v>3140</v>
      </c>
      <c r="K327" s="60">
        <f t="shared" si="3476"/>
        <v>3231</v>
      </c>
      <c r="L327" s="60">
        <f t="shared" si="3476"/>
        <v>3368</v>
      </c>
      <c r="M327" s="60">
        <f t="shared" ref="M327:AC327" si="3477">M381</f>
        <v>3575</v>
      </c>
      <c r="N327" s="60">
        <f t="shared" si="3477"/>
        <v>3611</v>
      </c>
      <c r="O327" s="60">
        <f t="shared" si="3477"/>
        <v>3691</v>
      </c>
      <c r="P327" s="60">
        <f t="shared" si="3477"/>
        <v>3780</v>
      </c>
      <c r="Q327" s="60">
        <f t="shared" si="3477"/>
        <v>4070</v>
      </c>
      <c r="R327" s="60">
        <f t="shared" si="3477"/>
        <v>4821</v>
      </c>
      <c r="S327" s="60">
        <f t="shared" si="3477"/>
        <v>5069</v>
      </c>
      <c r="T327" s="60">
        <f t="shared" si="3477"/>
        <v>5240</v>
      </c>
      <c r="U327" s="60">
        <f t="shared" si="3477"/>
        <v>5632</v>
      </c>
      <c r="V327" s="60">
        <f t="shared" si="3477"/>
        <v>5652</v>
      </c>
      <c r="W327" s="60">
        <f t="shared" si="3477"/>
        <v>5848</v>
      </c>
      <c r="X327" s="60">
        <f t="shared" si="3477"/>
        <v>5984</v>
      </c>
      <c r="Y327" s="60">
        <f>Y381</f>
        <v>6126</v>
      </c>
      <c r="Z327" s="60">
        <f t="shared" si="3477"/>
        <v>6236</v>
      </c>
      <c r="AA327" s="60">
        <f t="shared" si="3477"/>
        <v>6536</v>
      </c>
      <c r="AB327" s="60">
        <f t="shared" si="3477"/>
        <v>6764</v>
      </c>
      <c r="AC327" s="60">
        <f t="shared" si="3477"/>
        <v>7033</v>
      </c>
      <c r="AD327" s="60">
        <f t="shared" ref="AD327" si="3478">AD381</f>
        <v>7138</v>
      </c>
      <c r="AE327" s="60">
        <f t="shared" ref="AE327:AF327" si="3479">AE381</f>
        <v>7478</v>
      </c>
      <c r="AF327" s="60">
        <f t="shared" si="3479"/>
        <v>7568</v>
      </c>
      <c r="AG327" s="60">
        <f t="shared" ref="AG327:AH327" si="3480">AG381</f>
        <v>7527</v>
      </c>
      <c r="AH327" s="60">
        <f t="shared" si="3480"/>
        <v>7419</v>
      </c>
      <c r="AI327" s="60">
        <f t="shared" ref="AI327:AJ327" si="3481">AI381</f>
        <v>7456</v>
      </c>
      <c r="AJ327" s="60">
        <f t="shared" si="3481"/>
        <v>7350</v>
      </c>
      <c r="AK327" s="60">
        <f>AK381</f>
        <v>7164</v>
      </c>
      <c r="AL327" s="60">
        <f>AL381</f>
        <v>7299</v>
      </c>
      <c r="AM327" s="60">
        <f t="shared" ref="AM327" si="3482">AM381</f>
        <v>7040</v>
      </c>
      <c r="AN327" s="60">
        <f t="shared" ref="AN327:AO327" si="3483">AN381</f>
        <v>7222</v>
      </c>
      <c r="AO327" s="60">
        <f t="shared" si="3483"/>
        <v>6827</v>
      </c>
      <c r="AP327" s="60">
        <f t="shared" ref="AP327:AQ327" si="3484">AP381</f>
        <v>6986</v>
      </c>
      <c r="AQ327" s="60">
        <f t="shared" si="3484"/>
        <v>7175</v>
      </c>
      <c r="AR327" s="60">
        <f t="shared" ref="AR327:AS327" si="3485">AR381</f>
        <v>7100</v>
      </c>
      <c r="AS327" s="60">
        <f t="shared" si="3485"/>
        <v>7774</v>
      </c>
      <c r="AT327" s="60">
        <f t="shared" ref="AT327:AU327" si="3486">AT381</f>
        <v>8500</v>
      </c>
      <c r="AU327" s="60">
        <f t="shared" si="3486"/>
        <v>8074</v>
      </c>
      <c r="AV327" s="60">
        <f t="shared" ref="AV327:AW327" si="3487">AV381</f>
        <v>7899</v>
      </c>
      <c r="AW327" s="60">
        <f t="shared" si="3487"/>
        <v>8170</v>
      </c>
      <c r="AX327" s="60">
        <f t="shared" ref="AX327" si="3488">AX381</f>
        <v>8869</v>
      </c>
      <c r="AY327" s="219">
        <f t="shared" ref="AY327" si="3489">AY381</f>
        <v>9092</v>
      </c>
      <c r="AZ327" s="60">
        <f t="shared" ref="AZ327:BA327" si="3490">AZ381</f>
        <v>9271.2181369458049</v>
      </c>
      <c r="BA327" s="60">
        <f t="shared" si="3490"/>
        <v>9523.8171119663057</v>
      </c>
      <c r="BB327" s="60">
        <f t="shared" ref="BB327:BC327" si="3491">BB381</f>
        <v>9526.3753940709648</v>
      </c>
      <c r="BC327" s="60">
        <f t="shared" si="3491"/>
        <v>9660.6828021626116</v>
      </c>
      <c r="BD327" s="60">
        <f t="shared" ref="BD327:BE327" si="3492">BD381</f>
        <v>9760.3535726860082</v>
      </c>
      <c r="BE327" s="60">
        <f t="shared" si="3492"/>
        <v>9892.2311473097325</v>
      </c>
      <c r="BF327" s="60">
        <f t="shared" ref="BF327:BG327" si="3493">BF381</f>
        <v>10003.37150487683</v>
      </c>
      <c r="BG327" s="60">
        <f t="shared" si="3493"/>
        <v>10185.157353165423</v>
      </c>
      <c r="BH327" s="60">
        <f t="shared" ref="BH327:BI327" si="3494">BH381</f>
        <v>10238.892495773478</v>
      </c>
      <c r="BI327" s="60">
        <f t="shared" si="3494"/>
        <v>10428.118590855171</v>
      </c>
      <c r="BJ327" s="60">
        <f t="shared" ref="BJ327:BK327" si="3495">BJ381</f>
        <v>10492.467840337327</v>
      </c>
      <c r="BK327" s="60">
        <f t="shared" si="3495"/>
        <v>10677.681677731845</v>
      </c>
      <c r="BL327" s="60">
        <f t="shared" ref="BL327:BM327" si="3496">BL381</f>
        <v>10773.414063202845</v>
      </c>
      <c r="BM327" s="60">
        <f t="shared" si="3496"/>
        <v>10899.606266611698</v>
      </c>
      <c r="BN327" s="60">
        <f t="shared" ref="BN327:BO327" si="3497">BN381</f>
        <v>11002.946686086683</v>
      </c>
      <c r="BO327" s="60">
        <f t="shared" si="3497"/>
        <v>11204.694834392447</v>
      </c>
      <c r="BP327" s="60">
        <f t="shared" ref="BP327:BQ327" si="3498">BP381</f>
        <v>11290.261310669048</v>
      </c>
      <c r="BQ327" s="60">
        <f t="shared" si="3498"/>
        <v>11506.394725049029</v>
      </c>
      <c r="BR327" s="60"/>
      <c r="BS327" s="60">
        <f t="shared" ref="BS327:CB327" si="3499">BS381</f>
        <v>2437.8000000000002</v>
      </c>
      <c r="BT327" s="60">
        <f t="shared" si="3499"/>
        <v>2543</v>
      </c>
      <c r="BU327" s="60">
        <f t="shared" si="3499"/>
        <v>2794</v>
      </c>
      <c r="BV327" s="60">
        <f t="shared" si="3499"/>
        <v>3084</v>
      </c>
      <c r="BW327" s="60">
        <f t="shared" si="3499"/>
        <v>3327</v>
      </c>
      <c r="BX327" s="60">
        <f t="shared" si="3499"/>
        <v>3437</v>
      </c>
      <c r="BY327" s="60">
        <f t="shared" si="3499"/>
        <v>3547</v>
      </c>
      <c r="BZ327" s="60">
        <f t="shared" si="3499"/>
        <v>3655</v>
      </c>
      <c r="CA327" s="60">
        <f t="shared" si="3499"/>
        <v>3801</v>
      </c>
      <c r="CB327" s="60">
        <f t="shared" si="3499"/>
        <v>3833</v>
      </c>
      <c r="CC327" s="60">
        <f t="shared" ref="CC327:CO327" si="3500">CC381</f>
        <v>4018</v>
      </c>
      <c r="CD327" s="60">
        <f t="shared" si="3500"/>
        <v>4311</v>
      </c>
      <c r="CE327" s="60">
        <f t="shared" si="3500"/>
        <v>5252</v>
      </c>
      <c r="CF327" s="60">
        <f t="shared" si="3500"/>
        <v>6371</v>
      </c>
      <c r="CG327" s="60">
        <f t="shared" si="3500"/>
        <v>6943</v>
      </c>
      <c r="CH327" s="60">
        <f t="shared" si="3500"/>
        <v>7302</v>
      </c>
      <c r="CI327" s="60">
        <f t="shared" si="3500"/>
        <v>7850</v>
      </c>
      <c r="CJ327" s="60">
        <f t="shared" si="3500"/>
        <v>9890</v>
      </c>
      <c r="CK327" s="60">
        <f t="shared" si="3500"/>
        <v>10872</v>
      </c>
      <c r="CL327" s="60">
        <f t="shared" si="3500"/>
        <v>11500</v>
      </c>
      <c r="CM327" s="60">
        <f t="shared" si="3500"/>
        <v>12110</v>
      </c>
      <c r="CN327" s="60">
        <f t="shared" si="3500"/>
        <v>12772</v>
      </c>
      <c r="CO327" s="60">
        <f t="shared" si="3500"/>
        <v>13797</v>
      </c>
      <c r="CP327" s="60">
        <f t="shared" ref="CP327:CX327" si="3501">CP381</f>
        <v>14616</v>
      </c>
      <c r="CQ327" s="60">
        <f t="shared" si="3501"/>
        <v>15095</v>
      </c>
      <c r="CR327" s="60">
        <f t="shared" si="3501"/>
        <v>14875</v>
      </c>
      <c r="CS327" s="60">
        <f t="shared" si="3501"/>
        <v>14514</v>
      </c>
      <c r="CT327" s="60">
        <f t="shared" si="3501"/>
        <v>14339</v>
      </c>
      <c r="CU327" s="60">
        <f t="shared" si="3501"/>
        <v>14049</v>
      </c>
      <c r="CV327" s="60">
        <f t="shared" si="3501"/>
        <v>14161</v>
      </c>
      <c r="CW327" s="60">
        <f t="shared" si="3501"/>
        <v>14874</v>
      </c>
      <c r="CX327" s="60">
        <f t="shared" si="3501"/>
        <v>16574</v>
      </c>
      <c r="CY327" s="60">
        <f t="shared" ref="CY327:DD327" si="3502">CY381</f>
        <v>16069</v>
      </c>
      <c r="CZ327" s="219">
        <f t="shared" si="3502"/>
        <v>17961</v>
      </c>
      <c r="DA327" s="60">
        <f t="shared" si="3502"/>
        <v>18795.035248912111</v>
      </c>
      <c r="DB327" s="60">
        <f t="shared" si="3502"/>
        <v>19187.058196233578</v>
      </c>
      <c r="DC327" s="60">
        <f t="shared" si="3502"/>
        <v>19652.584719995742</v>
      </c>
      <c r="DD327" s="60">
        <f t="shared" si="3502"/>
        <v>20188.528858042253</v>
      </c>
      <c r="DE327" s="60">
        <f t="shared" ref="DE327" si="3503">DE381</f>
        <v>20667.011086628649</v>
      </c>
      <c r="DF327" s="60">
        <f t="shared" ref="DF327" si="3504">DF381</f>
        <v>21170.149518069171</v>
      </c>
      <c r="DG327" s="60">
        <f>DG381</f>
        <v>21673.020329814542</v>
      </c>
      <c r="DH327" s="60">
        <f>DH381</f>
        <v>22207.64152047913</v>
      </c>
      <c r="DI327" s="60">
        <f>DI381</f>
        <v>22796.656035718079</v>
      </c>
    </row>
    <row r="328" spans="1:113" ht="12" outlineLevel="1">
      <c r="AY328" s="200"/>
      <c r="CZ328" s="200"/>
      <c r="DB328" s="15"/>
      <c r="DC328" s="15"/>
      <c r="DD328" s="15"/>
      <c r="DE328" s="15"/>
      <c r="DF328" s="15"/>
      <c r="DG328" s="15"/>
      <c r="DH328" s="15"/>
      <c r="DI328" s="15"/>
    </row>
    <row r="329" spans="1:113" s="17" customFormat="1" ht="12" hidden="1" outlineLevel="2">
      <c r="A329" s="1"/>
      <c r="B329" s="17" t="s">
        <v>442</v>
      </c>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0"/>
      <c r="AH329" s="10"/>
      <c r="AI329" s="10"/>
      <c r="AJ329" s="10"/>
      <c r="AK329" s="10"/>
      <c r="AL329" s="10"/>
      <c r="AM329" s="10"/>
      <c r="AN329" s="10"/>
      <c r="AO329" s="10"/>
      <c r="AP329" s="10"/>
      <c r="AQ329" s="10"/>
      <c r="AR329" s="10"/>
      <c r="AS329" s="10"/>
      <c r="AT329" s="10"/>
      <c r="AU329" s="10"/>
      <c r="AV329" s="10"/>
      <c r="AW329" s="10"/>
      <c r="AX329" s="10"/>
      <c r="AY329" s="201"/>
      <c r="AZ329" s="10"/>
      <c r="BA329" s="10"/>
      <c r="BB329" s="10"/>
      <c r="BC329" s="10"/>
      <c r="BD329" s="10"/>
      <c r="BE329" s="10"/>
      <c r="BF329" s="10"/>
      <c r="BG329" s="10"/>
      <c r="BH329" s="10"/>
      <c r="BI329" s="10"/>
      <c r="BJ329" s="10"/>
      <c r="BK329" s="10"/>
      <c r="BL329" s="10"/>
      <c r="BM329" s="10"/>
      <c r="BN329" s="10"/>
      <c r="BO329" s="10"/>
      <c r="BP329" s="10"/>
      <c r="BQ329" s="10"/>
      <c r="BR329" s="10"/>
      <c r="BS329" s="10"/>
      <c r="BT329" s="10"/>
      <c r="BU329" s="10"/>
      <c r="BV329" s="10"/>
      <c r="BW329" s="10"/>
      <c r="BX329" s="10"/>
      <c r="BY329" s="10"/>
      <c r="BZ329" s="10"/>
      <c r="CA329" s="10"/>
      <c r="CB329" s="10"/>
      <c r="CC329" s="10"/>
      <c r="CD329" s="10"/>
      <c r="CE329" s="10"/>
      <c r="CF329" s="10"/>
      <c r="CG329" s="10"/>
      <c r="CH329" s="10"/>
      <c r="CI329" s="10"/>
      <c r="CJ329" s="10"/>
      <c r="CK329" s="10"/>
      <c r="CL329" s="10"/>
      <c r="CM329" s="10"/>
      <c r="CN329" s="10"/>
      <c r="CO329" s="10"/>
      <c r="CP329" s="10"/>
      <c r="CQ329" s="10"/>
      <c r="CR329" s="10"/>
      <c r="CS329" s="10"/>
      <c r="CT329" s="10"/>
      <c r="CU329" s="10"/>
      <c r="CV329" s="10"/>
      <c r="CW329" s="10"/>
      <c r="CX329" s="10"/>
      <c r="CY329" s="10"/>
      <c r="CZ329" s="201"/>
      <c r="DA329" s="10"/>
    </row>
    <row r="330" spans="1:113" ht="12" hidden="1" outlineLevel="2">
      <c r="A330" s="1" t="s">
        <v>227</v>
      </c>
      <c r="B330" s="15" t="s">
        <v>164</v>
      </c>
      <c r="C330" s="41">
        <f t="shared" ref="C330:AC330" si="3505">C215*C272/C$5</f>
        <v>678.51437065467087</v>
      </c>
      <c r="D330" s="41">
        <f t="shared" si="3505"/>
        <v>333.44321746887067</v>
      </c>
      <c r="E330" s="41">
        <f t="shared" si="3505"/>
        <v>303.69322096369876</v>
      </c>
      <c r="F330" s="41">
        <f t="shared" si="3505"/>
        <v>380.14517288638433</v>
      </c>
      <c r="G330" s="41">
        <f t="shared" si="3505"/>
        <v>413.12050514277854</v>
      </c>
      <c r="H330" s="41">
        <f t="shared" si="3505"/>
        <v>378.85231512557408</v>
      </c>
      <c r="I330" s="41">
        <f t="shared" si="3505"/>
        <v>253.75253143812037</v>
      </c>
      <c r="J330" s="41">
        <f t="shared" si="3505"/>
        <v>363.88210648193132</v>
      </c>
      <c r="K330" s="41">
        <f t="shared" si="3505"/>
        <v>399.56447970154005</v>
      </c>
      <c r="L330" s="41">
        <f t="shared" si="3505"/>
        <v>399.32095712721411</v>
      </c>
      <c r="M330" s="41">
        <f t="shared" si="3505"/>
        <v>376.61665580441144</v>
      </c>
      <c r="N330" s="41">
        <f t="shared" si="3505"/>
        <v>414.48496589945466</v>
      </c>
      <c r="O330" s="41">
        <f t="shared" si="3505"/>
        <v>400.85833864909381</v>
      </c>
      <c r="P330" s="41">
        <f t="shared" si="3505"/>
        <v>296.25344252499076</v>
      </c>
      <c r="Q330" s="41">
        <f t="shared" si="3505"/>
        <v>649.39146409899979</v>
      </c>
      <c r="R330" s="41">
        <f t="shared" si="3505"/>
        <v>1227.6647412829011</v>
      </c>
      <c r="S330" s="41">
        <f t="shared" si="3505"/>
        <v>1109.4449187440339</v>
      </c>
      <c r="T330" s="41">
        <f t="shared" si="3505"/>
        <v>1102.5136518576076</v>
      </c>
      <c r="U330" s="41">
        <f t="shared" si="3505"/>
        <v>1350.4404747741264</v>
      </c>
      <c r="V330" s="41">
        <f t="shared" si="3505"/>
        <v>1632.6682238276678</v>
      </c>
      <c r="W330" s="41">
        <f t="shared" si="3505"/>
        <v>1701.2681982890613</v>
      </c>
      <c r="X330" s="41">
        <f t="shared" si="3505"/>
        <v>1870.4831536169306</v>
      </c>
      <c r="Y330" s="41">
        <f t="shared" si="3505"/>
        <v>2253.0562022264835</v>
      </c>
      <c r="Z330" s="41">
        <f t="shared" si="3505"/>
        <v>2272.9499815800959</v>
      </c>
      <c r="AA330" s="41">
        <f t="shared" si="3505"/>
        <v>2280.3239986995072</v>
      </c>
      <c r="AB330" s="41">
        <f t="shared" si="3505"/>
        <v>2258.9840261954</v>
      </c>
      <c r="AC330" s="41">
        <f t="shared" si="3505"/>
        <v>2354.7649442220754</v>
      </c>
      <c r="AD330" s="41">
        <f t="shared" ref="AD330" si="3506">AD215*AD272/AD$5</f>
        <v>2419.3732039181195</v>
      </c>
      <c r="AE330" s="41">
        <f t="shared" ref="AE330:AF330" si="3507">AE215*AE272/AE$5</f>
        <v>2625.2151844895125</v>
      </c>
      <c r="AF330" s="41">
        <f t="shared" si="3507"/>
        <v>2623.9381472251621</v>
      </c>
      <c r="AG330" s="41">
        <f t="shared" ref="AG330:AH330" si="3508">AG215*AG272/AG$5</f>
        <v>2830.1769054562883</v>
      </c>
      <c r="AH330" s="41">
        <f t="shared" si="3508"/>
        <v>2909.5675653618073</v>
      </c>
      <c r="AI330" s="41">
        <f t="shared" ref="AI330:AJ330" si="3509">AI215*AI272/AI$5</f>
        <v>3068.8126731974498</v>
      </c>
      <c r="AJ330" s="41">
        <f t="shared" si="3509"/>
        <v>3040.9969171670759</v>
      </c>
      <c r="AK330" s="41">
        <f t="shared" ref="AK330:AL330" si="3510">AK215*AK272/AK$5</f>
        <v>2893.1736520416539</v>
      </c>
      <c r="AL330" s="41">
        <f t="shared" si="3510"/>
        <v>3109.6775461547977</v>
      </c>
      <c r="AM330" s="41">
        <f t="shared" ref="AM330" si="3511">AM215*AM272/AM$5</f>
        <v>3621.8362635244666</v>
      </c>
      <c r="AN330" s="41">
        <f t="shared" ref="AN330:AS330" si="3512">AN215*AN272/AN$5</f>
        <v>3446.0492658791713</v>
      </c>
      <c r="AO330" s="41">
        <f t="shared" si="3512"/>
        <v>3801.595539756443</v>
      </c>
      <c r="AP330" s="41">
        <f t="shared" si="3512"/>
        <v>3741.086151470437</v>
      </c>
      <c r="AQ330" s="41">
        <f t="shared" si="3512"/>
        <v>3530.2775092901952</v>
      </c>
      <c r="AR330" s="41">
        <f t="shared" si="3512"/>
        <v>3296.981669980511</v>
      </c>
      <c r="AS330" s="41">
        <f t="shared" si="3512"/>
        <v>2548.580144049824</v>
      </c>
      <c r="AT330" s="41">
        <f t="shared" ref="AT330:AU330" si="3513">AT215*AT272/AT$5</f>
        <v>2827.8882028881635</v>
      </c>
      <c r="AU330" s="41">
        <f t="shared" si="3513"/>
        <v>2828.1978520456241</v>
      </c>
      <c r="AV330" s="41">
        <f t="shared" ref="AV330:AW330" si="3514">AV215*AV272/AV$5</f>
        <v>2928.1767002321976</v>
      </c>
      <c r="AW330" s="41">
        <f t="shared" si="3514"/>
        <v>3231.6989364035212</v>
      </c>
      <c r="AX330" s="41">
        <f t="shared" ref="AX330" si="3515">AX215*AX272/AX$5</f>
        <v>3660.0197939173954</v>
      </c>
      <c r="AY330" s="211"/>
      <c r="AZ330" s="41"/>
      <c r="BA330" s="41"/>
      <c r="BB330" s="41"/>
      <c r="BC330" s="41"/>
      <c r="BD330" s="41"/>
      <c r="BE330" s="41"/>
      <c r="BF330" s="41"/>
      <c r="BG330" s="41"/>
      <c r="BH330" s="41"/>
      <c r="BI330" s="41"/>
      <c r="BJ330" s="41"/>
      <c r="BK330" s="41"/>
      <c r="BL330" s="41"/>
      <c r="BM330" s="41"/>
      <c r="BN330" s="41"/>
      <c r="BO330" s="41"/>
      <c r="BP330" s="41"/>
      <c r="BQ330" s="41"/>
      <c r="BR330" s="41"/>
      <c r="BS330" s="41"/>
      <c r="BT330" s="41"/>
      <c r="BU330" s="41"/>
      <c r="BV330" s="41"/>
      <c r="BW330" s="41"/>
      <c r="BX330" s="41"/>
      <c r="BY330" s="41"/>
      <c r="BZ330" s="41"/>
      <c r="CA330" s="41"/>
      <c r="CB330" s="41"/>
      <c r="CC330" s="41">
        <f>SUM(D330:E330)</f>
        <v>637.13643843256943</v>
      </c>
      <c r="CD330" s="41">
        <f>SUM(F330:G330)</f>
        <v>793.26567802916293</v>
      </c>
      <c r="CE330" s="41">
        <f>SUM(H330:I330)</f>
        <v>632.60484656369442</v>
      </c>
      <c r="CF330" s="41">
        <f>SUM(J330:K330)</f>
        <v>763.44658618347137</v>
      </c>
      <c r="CG330" s="41">
        <f>SUM(L330:M330)</f>
        <v>775.93761293162561</v>
      </c>
      <c r="CH330" s="41">
        <f>SUM(N330:O330)</f>
        <v>815.34330454854853</v>
      </c>
      <c r="CI330" s="41">
        <f>SUM(P330:Q330)</f>
        <v>945.64490662399055</v>
      </c>
      <c r="CJ330" s="41">
        <f>SUM(R330:S330)</f>
        <v>2337.1096600269348</v>
      </c>
      <c r="CK330" s="41">
        <f>SUM(T330:U330)</f>
        <v>2452.9541266317337</v>
      </c>
      <c r="CL330" s="41">
        <f>SUM(V330:W330)</f>
        <v>3333.9364221167289</v>
      </c>
      <c r="CM330" s="41">
        <f>SUM(X330:Y330)</f>
        <v>4123.5393558434143</v>
      </c>
      <c r="CN330" s="41">
        <f>SUM(Z330:AA330)</f>
        <v>4553.2739802796032</v>
      </c>
      <c r="CO330" s="41">
        <f>SUM(AB330:AC330)</f>
        <v>4613.748970417475</v>
      </c>
      <c r="CP330" s="41">
        <f>SUM(AD330:AE330)</f>
        <v>5044.588388407632</v>
      </c>
      <c r="CQ330" s="41">
        <f>SUM(AF330:AG330)</f>
        <v>5454.1150526814508</v>
      </c>
      <c r="CR330" s="41">
        <f>SUM(AH330:AI330)</f>
        <v>5978.3802385592571</v>
      </c>
      <c r="CS330" s="41">
        <f>SUM(AJ330:AK330)</f>
        <v>5934.1705692087298</v>
      </c>
      <c r="CT330" s="41">
        <f>SUM(AL330:AM330)</f>
        <v>6731.5138096792643</v>
      </c>
      <c r="CU330" s="41">
        <f>SUM(AN330:AO330)</f>
        <v>7247.6448056356148</v>
      </c>
      <c r="CV330" s="41">
        <f>SUM(AP330:AQ330)</f>
        <v>7271.3636607606322</v>
      </c>
      <c r="CW330" s="41">
        <f>SUM(AR330:AS330)</f>
        <v>5845.561814030335</v>
      </c>
      <c r="CX330" s="41">
        <f>SUM(AT330:AU330)</f>
        <v>5656.0860549337876</v>
      </c>
      <c r="CY330" s="41">
        <f>SUM(AV330:AW330)</f>
        <v>6159.8756366357193</v>
      </c>
      <c r="CZ330" s="211"/>
      <c r="DA330" s="41"/>
      <c r="DB330" s="41"/>
      <c r="DC330" s="41"/>
      <c r="DD330" s="41"/>
      <c r="DE330" s="41"/>
      <c r="DF330" s="41"/>
      <c r="DG330" s="41"/>
      <c r="DH330" s="41"/>
      <c r="DI330" s="41"/>
    </row>
    <row r="331" spans="1:113" ht="12" hidden="1" outlineLevel="2">
      <c r="A331" s="1" t="s">
        <v>192</v>
      </c>
      <c r="B331" s="15" t="s">
        <v>165</v>
      </c>
      <c r="C331" s="41">
        <f t="shared" ref="C331:AC331" si="3516">C216*C273/C$5</f>
        <v>482.11647296313186</v>
      </c>
      <c r="D331" s="41">
        <f t="shared" si="3516"/>
        <v>437.89592220299113</v>
      </c>
      <c r="E331" s="41">
        <f t="shared" si="3516"/>
        <v>400.290042506421</v>
      </c>
      <c r="F331" s="41">
        <f t="shared" si="3516"/>
        <v>417.10828698266988</v>
      </c>
      <c r="G331" s="41">
        <f t="shared" si="3516"/>
        <v>425.29078172984106</v>
      </c>
      <c r="H331" s="41">
        <f t="shared" si="3516"/>
        <v>401.04436533800362</v>
      </c>
      <c r="I331" s="41">
        <f t="shared" si="3516"/>
        <v>406.51862127500056</v>
      </c>
      <c r="J331" s="41">
        <f t="shared" si="3516"/>
        <v>372.72249132489492</v>
      </c>
      <c r="K331" s="41">
        <f t="shared" si="3516"/>
        <v>396.1091817130868</v>
      </c>
      <c r="L331" s="41">
        <f t="shared" si="3516"/>
        <v>393.30647443309056</v>
      </c>
      <c r="M331" s="41">
        <f t="shared" si="3516"/>
        <v>363.91306962536532</v>
      </c>
      <c r="N331" s="41">
        <f t="shared" si="3516"/>
        <v>359.81163684419755</v>
      </c>
      <c r="O331" s="41">
        <f t="shared" si="3516"/>
        <v>347.60859797591689</v>
      </c>
      <c r="P331" s="41">
        <f t="shared" si="3516"/>
        <v>315.28422635944258</v>
      </c>
      <c r="Q331" s="41">
        <f t="shared" si="3516"/>
        <v>436.25754013340315</v>
      </c>
      <c r="R331" s="41">
        <f t="shared" si="3516"/>
        <v>784.48664571966401</v>
      </c>
      <c r="S331" s="41">
        <f t="shared" si="3516"/>
        <v>764.1567209852866</v>
      </c>
      <c r="T331" s="41">
        <f t="shared" si="3516"/>
        <v>737.30448277879088</v>
      </c>
      <c r="U331" s="41">
        <f t="shared" si="3516"/>
        <v>766.36993848672569</v>
      </c>
      <c r="V331" s="41">
        <f t="shared" si="3516"/>
        <v>788.08699733515914</v>
      </c>
      <c r="W331" s="41">
        <f t="shared" si="3516"/>
        <v>756.34930453889388</v>
      </c>
      <c r="X331" s="41">
        <f t="shared" si="3516"/>
        <v>875.05342434409283</v>
      </c>
      <c r="Y331" s="41">
        <f t="shared" si="3516"/>
        <v>1077.7088640169725</v>
      </c>
      <c r="Z331" s="41">
        <f t="shared" si="3516"/>
        <v>1098.6036079419671</v>
      </c>
      <c r="AA331" s="41">
        <f t="shared" si="3516"/>
        <v>1165.2979132872865</v>
      </c>
      <c r="AB331" s="41">
        <f t="shared" si="3516"/>
        <v>1164.0061972080073</v>
      </c>
      <c r="AC331" s="41">
        <f t="shared" si="3516"/>
        <v>1209.8326237409408</v>
      </c>
      <c r="AD331" s="41">
        <f t="shared" ref="AD331" si="3517">AD216*AD273/AD$5</f>
        <v>1200.1877910847577</v>
      </c>
      <c r="AE331" s="41">
        <f t="shared" ref="AE331:AF331" si="3518">AE216*AE273/AE$5</f>
        <v>1219.5440158164815</v>
      </c>
      <c r="AF331" s="41">
        <f t="shared" si="3518"/>
        <v>1062.7178767369467</v>
      </c>
      <c r="AG331" s="41">
        <f t="shared" ref="AG331:AH331" si="3519">AG216*AG273/AG$5</f>
        <v>1059.7280727828584</v>
      </c>
      <c r="AH331" s="41">
        <f t="shared" si="3519"/>
        <v>972.44698262943348</v>
      </c>
      <c r="AI331" s="41">
        <f t="shared" ref="AI331:AJ331" si="3520">AI216*AI273/AI$5</f>
        <v>902.02748169217489</v>
      </c>
      <c r="AJ331" s="41">
        <f t="shared" si="3520"/>
        <v>848.3057035420361</v>
      </c>
      <c r="AK331" s="41">
        <f t="shared" ref="AK331:AL331" si="3521">AK216*AK273/AK$5</f>
        <v>822.57367916550936</v>
      </c>
      <c r="AL331" s="41">
        <f t="shared" si="3521"/>
        <v>845.03588926162433</v>
      </c>
      <c r="AM331" s="41">
        <f t="shared" ref="AM331:AN331" si="3522">AM216*AM273/AM$5</f>
        <v>919.85496779831362</v>
      </c>
      <c r="AN331" s="41">
        <f t="shared" si="3522"/>
        <v>889.80635369138281</v>
      </c>
      <c r="AO331" s="41">
        <f t="shared" ref="AO331" si="3523">AO216*AO273/AO$5</f>
        <v>925.97297011253158</v>
      </c>
      <c r="AP331" s="41">
        <f t="shared" ref="AP331:AQ331" si="3524">AP216*AP273/AP$5</f>
        <v>880.11289290029765</v>
      </c>
      <c r="AQ331" s="41">
        <f t="shared" si="3524"/>
        <v>832.23972409854889</v>
      </c>
      <c r="AR331" s="41">
        <f t="shared" ref="AR331:AS331" si="3525">AR216*AR273/AR$5</f>
        <v>784.60940716833932</v>
      </c>
      <c r="AS331" s="41">
        <f t="shared" si="3525"/>
        <v>545.0849893124863</v>
      </c>
      <c r="AT331" s="41">
        <f t="shared" ref="AT331:AU331" si="3526">AT216*AT273/AT$5</f>
        <v>595.91117062658225</v>
      </c>
      <c r="AU331" s="41">
        <f t="shared" si="3526"/>
        <v>562.34405009869909</v>
      </c>
      <c r="AV331" s="41">
        <f t="shared" ref="AV331:AW331" si="3527">AV216*AV273/AV$5</f>
        <v>604.21436161775148</v>
      </c>
      <c r="AW331" s="41">
        <f t="shared" si="3527"/>
        <v>621.74577866071775</v>
      </c>
      <c r="AX331" s="41">
        <f t="shared" ref="AX331" si="3528">AX216*AX273/AX$5</f>
        <v>643.94022090417457</v>
      </c>
      <c r="AY331" s="211"/>
      <c r="AZ331" s="41"/>
      <c r="BA331" s="41"/>
      <c r="BB331" s="41"/>
      <c r="BC331" s="41"/>
      <c r="BD331" s="41"/>
      <c r="BE331" s="41"/>
      <c r="BF331" s="41"/>
      <c r="BG331" s="41"/>
      <c r="BH331" s="41"/>
      <c r="BI331" s="41"/>
      <c r="BJ331" s="41"/>
      <c r="BK331" s="41"/>
      <c r="BL331" s="41"/>
      <c r="BM331" s="41"/>
      <c r="BN331" s="41"/>
      <c r="BO331" s="41"/>
      <c r="BP331" s="41"/>
      <c r="BQ331" s="41"/>
      <c r="BR331" s="41"/>
      <c r="BS331" s="41"/>
      <c r="BT331" s="41"/>
      <c r="BU331" s="41"/>
      <c r="BV331" s="41"/>
      <c r="BW331" s="41"/>
      <c r="BX331" s="41"/>
      <c r="BY331" s="41"/>
      <c r="BZ331" s="41"/>
      <c r="CA331" s="41"/>
      <c r="CB331" s="41"/>
      <c r="CC331" s="41">
        <f>SUM(D331:E331)</f>
        <v>838.18596470941213</v>
      </c>
      <c r="CD331" s="41">
        <f>SUM(F331:G331)</f>
        <v>842.39906871251094</v>
      </c>
      <c r="CE331" s="41">
        <f>SUM(H331:I331)</f>
        <v>807.56298661300411</v>
      </c>
      <c r="CF331" s="41">
        <f>SUM(J331:K331)</f>
        <v>768.83167303798177</v>
      </c>
      <c r="CG331" s="41">
        <f>SUM(L331:M331)</f>
        <v>757.21954405845588</v>
      </c>
      <c r="CH331" s="41">
        <f>SUM(N331:O331)</f>
        <v>707.4202348201145</v>
      </c>
      <c r="CI331" s="41">
        <f>SUM(P331:Q331)</f>
        <v>751.54176649284568</v>
      </c>
      <c r="CJ331" s="41">
        <f>SUM(R331:S331)</f>
        <v>1548.6433667049505</v>
      </c>
      <c r="CK331" s="41">
        <f>SUM(T331:U331)</f>
        <v>1503.6744212655167</v>
      </c>
      <c r="CL331" s="41">
        <f>SUM(V331:W331)</f>
        <v>1544.436301874053</v>
      </c>
      <c r="CM331" s="41">
        <f>SUM(X331:Y331)</f>
        <v>1952.7622883610652</v>
      </c>
      <c r="CN331" s="41">
        <f>SUM(Z331:AA331)</f>
        <v>2263.9015212292534</v>
      </c>
      <c r="CO331" s="41">
        <f>SUM(AB331:AC331)</f>
        <v>2373.8388209489481</v>
      </c>
      <c r="CP331" s="41">
        <f>SUM(AD331:AE331)</f>
        <v>2419.731806901239</v>
      </c>
      <c r="CQ331" s="41">
        <f>SUM(AF331:AG331)</f>
        <v>2122.4459495198053</v>
      </c>
      <c r="CR331" s="41">
        <f>SUM(AH331:AI331)</f>
        <v>1874.4744643216084</v>
      </c>
      <c r="CS331" s="41">
        <f>SUM(AJ331:AK331)</f>
        <v>1670.8793827075456</v>
      </c>
      <c r="CT331" s="41">
        <f>SUM(AL331:AM331)</f>
        <v>1764.8908570599378</v>
      </c>
      <c r="CU331" s="41">
        <f>SUM(AN331:AO331)</f>
        <v>1815.7793238039144</v>
      </c>
      <c r="CV331" s="41">
        <f>SUM(AP331:AQ331)</f>
        <v>1712.3526169988465</v>
      </c>
      <c r="CW331" s="41">
        <f>SUM(AR331:AS331)</f>
        <v>1329.6943964808256</v>
      </c>
      <c r="CX331" s="41">
        <f>SUM(AT331:AU331)</f>
        <v>1158.2552207252813</v>
      </c>
      <c r="CY331" s="41">
        <f>SUM(AV331:AW331)</f>
        <v>1225.9601402784692</v>
      </c>
      <c r="CZ331" s="211"/>
      <c r="DA331" s="41"/>
      <c r="DB331" s="41"/>
      <c r="DC331" s="41"/>
      <c r="DD331" s="41"/>
      <c r="DE331" s="41"/>
      <c r="DF331" s="41"/>
      <c r="DG331" s="41"/>
      <c r="DH331" s="41"/>
      <c r="DI331" s="41"/>
    </row>
    <row r="332" spans="1:113" ht="12" hidden="1" outlineLevel="2">
      <c r="A332" s="1" t="s">
        <v>193</v>
      </c>
      <c r="B332" s="15" t="s">
        <v>166</v>
      </c>
      <c r="C332" s="41">
        <f>C334-SUM(C330:C331,C333)</f>
        <v>-676.82598305789315</v>
      </c>
      <c r="D332" s="41">
        <f>D334-SUM(D330:D331,D333)</f>
        <v>-172.15356109398647</v>
      </c>
      <c r="E332" s="41">
        <f t="shared" ref="E332:L332" si="3529">E334-SUM(E330:E331,E333)</f>
        <v>-258.88078844580355</v>
      </c>
      <c r="F332" s="41">
        <f t="shared" si="3529"/>
        <v>-221.94991088086226</v>
      </c>
      <c r="G332" s="41">
        <f t="shared" si="3529"/>
        <v>-217.57303990146534</v>
      </c>
      <c r="H332" s="41">
        <f t="shared" si="3529"/>
        <v>-374.66349438349226</v>
      </c>
      <c r="I332" s="41">
        <f t="shared" si="3529"/>
        <v>-95.560450860235051</v>
      </c>
      <c r="J332" s="41">
        <f t="shared" si="3529"/>
        <v>425.48666716695823</v>
      </c>
      <c r="K332" s="41">
        <f t="shared" si="3529"/>
        <v>525.04875606266887</v>
      </c>
      <c r="L332" s="41">
        <f t="shared" si="3529"/>
        <v>573.62668484626965</v>
      </c>
      <c r="M332" s="41">
        <f t="shared" ref="M332:Y332" si="3530">M334-SUM(M330:M331,M333)</f>
        <v>495.79063171000189</v>
      </c>
      <c r="N332" s="41">
        <f t="shared" si="3530"/>
        <v>511.04452989469894</v>
      </c>
      <c r="O332" s="41">
        <f t="shared" si="3530"/>
        <v>567.12833939296047</v>
      </c>
      <c r="P332" s="41">
        <f t="shared" si="3530"/>
        <v>462.44582700560659</v>
      </c>
      <c r="Q332" s="41">
        <f t="shared" si="3530"/>
        <v>298.76499456188185</v>
      </c>
      <c r="R332" s="41">
        <f t="shared" si="3530"/>
        <v>1532.7561470116584</v>
      </c>
      <c r="S332" s="41">
        <f t="shared" si="3530"/>
        <v>1459.229331452826</v>
      </c>
      <c r="T332" s="41">
        <f t="shared" si="3530"/>
        <v>1197.9958824894275</v>
      </c>
      <c r="U332" s="41">
        <f t="shared" si="3530"/>
        <v>1174.9514362928553</v>
      </c>
      <c r="V332" s="41">
        <f t="shared" si="3530"/>
        <v>1056.775465124997</v>
      </c>
      <c r="W332" s="41">
        <f t="shared" si="3530"/>
        <v>1273.9764230493911</v>
      </c>
      <c r="X332" s="41">
        <f t="shared" si="3530"/>
        <v>1200.2458960414806</v>
      </c>
      <c r="Y332" s="41">
        <f t="shared" si="3530"/>
        <v>1231.7486703642662</v>
      </c>
      <c r="Z332" s="41">
        <f t="shared" ref="Z332:AD332" si="3531">Z334-SUM(Z330:Z331,Z333)</f>
        <v>1335.5207227667388</v>
      </c>
      <c r="AA332" s="41">
        <f t="shared" si="3531"/>
        <v>1241.4670303647681</v>
      </c>
      <c r="AB332" s="41">
        <f t="shared" si="3531"/>
        <v>1145.4008457018381</v>
      </c>
      <c r="AC332" s="41">
        <f t="shared" si="3531"/>
        <v>1001.268717032297</v>
      </c>
      <c r="AD332" s="41">
        <f t="shared" si="3531"/>
        <v>875.03468003501484</v>
      </c>
      <c r="AE332" s="41">
        <f t="shared" ref="AE332:AF332" si="3532">AE334-SUM(AE330:AE331,AE333)</f>
        <v>961.84531714696459</v>
      </c>
      <c r="AF332" s="41">
        <f t="shared" si="3532"/>
        <v>1288.7359490199265</v>
      </c>
      <c r="AG332" s="41">
        <f t="shared" ref="AG332:AH332" si="3533">AG334-SUM(AG330:AG331,AG333)</f>
        <v>1535.6602519761782</v>
      </c>
      <c r="AH332" s="41">
        <f t="shared" si="3533"/>
        <v>1478.9044569012985</v>
      </c>
      <c r="AI332" s="41">
        <f t="shared" ref="AI332:AJ332" si="3534">AI334-SUM(AI330:AI331,AI333)</f>
        <v>1694.7841110111258</v>
      </c>
      <c r="AJ332" s="41">
        <f t="shared" si="3534"/>
        <v>1607.7575160557444</v>
      </c>
      <c r="AK332" s="41">
        <f t="shared" ref="AK332:AL332" si="3535">AK334-SUM(AK330:AK331,AK333)</f>
        <v>1433.4888495295054</v>
      </c>
      <c r="AL332" s="41">
        <f t="shared" si="3535"/>
        <v>1344.2418727661689</v>
      </c>
      <c r="AM332" s="41">
        <f t="shared" ref="AM332:AN332" si="3536">AM334-SUM(AM330:AM331,AM333)</f>
        <v>1544.2951151662501</v>
      </c>
      <c r="AN332" s="41">
        <f t="shared" si="3536"/>
        <v>1922.5815303818745</v>
      </c>
      <c r="AO332" s="41">
        <f t="shared" ref="AO332" si="3537">AO334-SUM(AO330:AO331,AO333)</f>
        <v>1606.0031492330963</v>
      </c>
      <c r="AP332" s="41">
        <f t="shared" ref="AP332:AQ332" si="3538">AP334-SUM(AP330:AP331,AP333)</f>
        <v>1662.5564861876319</v>
      </c>
      <c r="AQ332" s="41">
        <f t="shared" si="3538"/>
        <v>1716.8224437268318</v>
      </c>
      <c r="AR332" s="41">
        <f t="shared" ref="AR332:AS332" si="3539">AR334-SUM(AR330:AR331,AR333)</f>
        <v>1675.0643092120145</v>
      </c>
      <c r="AS332" s="41">
        <f t="shared" si="3539"/>
        <v>943.46137773501277</v>
      </c>
      <c r="AT332" s="41">
        <f t="shared" ref="AT332:AU332" si="3540">AT334-SUM(AT330:AT331,AT333)</f>
        <v>1093.599423711767</v>
      </c>
      <c r="AU332" s="41">
        <f t="shared" si="3540"/>
        <v>1085.2396369761732</v>
      </c>
      <c r="AV332" s="41">
        <f t="shared" ref="AV332:AW332" si="3541">AV334-SUM(AV330:AV331,AV333)</f>
        <v>1393.798323442139</v>
      </c>
      <c r="AW332" s="41">
        <f t="shared" si="3541"/>
        <v>1516.7569813717719</v>
      </c>
      <c r="AX332" s="41">
        <f t="shared" ref="AX332" si="3542">AX334-SUM(AX330:AX331,AX333)</f>
        <v>2040.2164648546031</v>
      </c>
      <c r="AY332" s="211"/>
      <c r="AZ332" s="41"/>
      <c r="BA332" s="41"/>
      <c r="BB332" s="41"/>
      <c r="BC332" s="41"/>
      <c r="BD332" s="41"/>
      <c r="BE332" s="41"/>
      <c r="BF332" s="41"/>
      <c r="BG332" s="41"/>
      <c r="BH332" s="41"/>
      <c r="BI332" s="41"/>
      <c r="BJ332" s="41"/>
      <c r="BK332" s="41"/>
      <c r="BL332" s="41"/>
      <c r="BM332" s="41"/>
      <c r="BN332" s="41"/>
      <c r="BO332" s="41"/>
      <c r="BP332" s="41"/>
      <c r="BQ332" s="41"/>
      <c r="BR332" s="41"/>
      <c r="BS332" s="41"/>
      <c r="BT332" s="41"/>
      <c r="BU332" s="41"/>
      <c r="BV332" s="41"/>
      <c r="BW332" s="41"/>
      <c r="BX332" s="41"/>
      <c r="BY332" s="41"/>
      <c r="BZ332" s="41"/>
      <c r="CA332" s="41"/>
      <c r="CB332" s="41"/>
      <c r="CC332" s="41">
        <f>SUM(D332:E332)</f>
        <v>-431.03434953979001</v>
      </c>
      <c r="CD332" s="41">
        <f>SUM(F332:G332)</f>
        <v>-439.5229507823276</v>
      </c>
      <c r="CE332" s="41">
        <f>SUM(H332:I332)</f>
        <v>-470.22394524372731</v>
      </c>
      <c r="CF332" s="41">
        <f>SUM(J332:K332)</f>
        <v>950.5354232296271</v>
      </c>
      <c r="CG332" s="41">
        <f>SUM(L332:M332)</f>
        <v>1069.4173165562715</v>
      </c>
      <c r="CH332" s="41">
        <f>SUM(N332:O332)</f>
        <v>1078.1728692876595</v>
      </c>
      <c r="CI332" s="41">
        <f>SUM(P332:Q332)</f>
        <v>761.21082156748844</v>
      </c>
      <c r="CJ332" s="41">
        <f>SUM(R332:S332)</f>
        <v>2991.9854784644845</v>
      </c>
      <c r="CK332" s="41">
        <f>SUM(T332:U332)</f>
        <v>2372.9473187822828</v>
      </c>
      <c r="CL332" s="41">
        <f>SUM(V332:W332)</f>
        <v>2330.7518881743881</v>
      </c>
      <c r="CM332" s="41">
        <f>SUM(X332:Y332)</f>
        <v>2431.9945664057468</v>
      </c>
      <c r="CN332" s="41">
        <f>SUM(Z332:AA332)</f>
        <v>2576.9877531315069</v>
      </c>
      <c r="CO332" s="41">
        <f>SUM(AB332:AC332)</f>
        <v>2146.6695627341351</v>
      </c>
      <c r="CP332" s="41">
        <f>SUM(AD332:AE332)</f>
        <v>1836.8799971819794</v>
      </c>
      <c r="CQ332" s="41">
        <f>SUM(AF332:AG332)</f>
        <v>2824.3962009961047</v>
      </c>
      <c r="CR332" s="41">
        <f>SUM(AH332:AI332)</f>
        <v>3173.6885679124243</v>
      </c>
      <c r="CS332" s="41">
        <f>SUM(AJ332:AK332)</f>
        <v>3041.2463655852498</v>
      </c>
      <c r="CT332" s="41">
        <f>SUM(AL332:AM332)</f>
        <v>2888.5369879324189</v>
      </c>
      <c r="CU332" s="41">
        <f>SUM(AN332:AO332)</f>
        <v>3528.5846796149708</v>
      </c>
      <c r="CV332" s="41">
        <f>SUM(AP332:AQ332)</f>
        <v>3379.3789299144637</v>
      </c>
      <c r="CW332" s="41">
        <f>SUM(AR332:AS332)</f>
        <v>2618.5256869470272</v>
      </c>
      <c r="CX332" s="41">
        <f>SUM(AT332:AU332)</f>
        <v>2178.8390606879402</v>
      </c>
      <c r="CY332" s="41">
        <f>SUM(AV332:AW332)</f>
        <v>2910.5553048139109</v>
      </c>
      <c r="CZ332" s="211"/>
      <c r="DA332" s="41"/>
      <c r="DB332" s="41"/>
      <c r="DC332" s="41"/>
      <c r="DD332" s="41"/>
      <c r="DE332" s="41"/>
      <c r="DF332" s="41"/>
      <c r="DG332" s="41"/>
      <c r="DH332" s="41"/>
      <c r="DI332" s="41"/>
    </row>
    <row r="333" spans="1:113" ht="12" hidden="1" outlineLevel="2">
      <c r="A333" s="1" t="s">
        <v>194</v>
      </c>
      <c r="B333" s="15" t="s">
        <v>167</v>
      </c>
      <c r="C333" s="41">
        <f t="shared" ref="C333:AC333" si="3543">C218*C275/C$5</f>
        <v>92.866880855159366</v>
      </c>
      <c r="D333" s="41">
        <f t="shared" si="3543"/>
        <v>54.338057312535689</v>
      </c>
      <c r="E333" s="41">
        <f t="shared" si="3543"/>
        <v>49.972799700341454</v>
      </c>
      <c r="F333" s="41">
        <f t="shared" si="3543"/>
        <v>61.683047884867101</v>
      </c>
      <c r="G333" s="41">
        <f t="shared" si="3543"/>
        <v>62.570766521995907</v>
      </c>
      <c r="H333" s="41">
        <f t="shared" si="3543"/>
        <v>46.104730586581198</v>
      </c>
      <c r="I333" s="41">
        <f t="shared" si="3543"/>
        <v>49.847166147113349</v>
      </c>
      <c r="J333" s="41">
        <f t="shared" si="3543"/>
        <v>48.185688573248278</v>
      </c>
      <c r="K333" s="41">
        <f t="shared" si="3543"/>
        <v>54.59987413914331</v>
      </c>
      <c r="L333" s="41">
        <f t="shared" si="3543"/>
        <v>59.549739505754523</v>
      </c>
      <c r="M333" s="41">
        <f t="shared" si="3543"/>
        <v>52.265527135663248</v>
      </c>
      <c r="N333" s="41">
        <f t="shared" si="3543"/>
        <v>49.283233827403798</v>
      </c>
      <c r="O333" s="41">
        <f t="shared" si="3543"/>
        <v>42.06496600521087</v>
      </c>
      <c r="P333" s="41">
        <f t="shared" si="3543"/>
        <v>37.5465224305729</v>
      </c>
      <c r="Q333" s="41">
        <f t="shared" si="3543"/>
        <v>69.983168953804949</v>
      </c>
      <c r="R333" s="41">
        <f t="shared" si="3543"/>
        <v>212.77668962961187</v>
      </c>
      <c r="S333" s="41">
        <f t="shared" si="3543"/>
        <v>232.19865958602335</v>
      </c>
      <c r="T333" s="41">
        <f t="shared" si="3543"/>
        <v>221.97974879197901</v>
      </c>
      <c r="U333" s="41">
        <f t="shared" si="3543"/>
        <v>236.5102460229952</v>
      </c>
      <c r="V333" s="41">
        <f t="shared" si="3543"/>
        <v>242.23995590396939</v>
      </c>
      <c r="W333" s="41">
        <f t="shared" si="3543"/>
        <v>245.34130534298112</v>
      </c>
      <c r="X333" s="41">
        <f t="shared" si="3543"/>
        <v>265.42649522826127</v>
      </c>
      <c r="Y333" s="41">
        <f t="shared" si="3543"/>
        <v>303.61180416151092</v>
      </c>
      <c r="Z333" s="41">
        <f t="shared" si="3543"/>
        <v>319.37961277968702</v>
      </c>
      <c r="AA333" s="41">
        <f t="shared" si="3543"/>
        <v>347.14075046240481</v>
      </c>
      <c r="AB333" s="41">
        <f t="shared" si="3543"/>
        <v>345.66431747009023</v>
      </c>
      <c r="AC333" s="41">
        <f t="shared" si="3543"/>
        <v>342.01871671701537</v>
      </c>
      <c r="AD333" s="41">
        <f t="shared" ref="AD333" si="3544">AD218*AD275/AD$5</f>
        <v>334.85817704320067</v>
      </c>
      <c r="AE333" s="41">
        <f t="shared" ref="AE333:AF333" si="3545">AE218*AE275/AE$5</f>
        <v>357.28483385939205</v>
      </c>
      <c r="AF333" s="41">
        <f t="shared" si="3545"/>
        <v>324.26640831568085</v>
      </c>
      <c r="AG333" s="41">
        <f t="shared" ref="AG333:AH333" si="3546">AG218*AG275/AG$5</f>
        <v>339.80070682284639</v>
      </c>
      <c r="AH333" s="41">
        <f t="shared" si="3546"/>
        <v>344.16104386143235</v>
      </c>
      <c r="AI333" s="41">
        <f t="shared" ref="AI333:AJ333" si="3547">AI218*AI275/AI$5</f>
        <v>328.65004843215405</v>
      </c>
      <c r="AJ333" s="41">
        <f t="shared" si="3547"/>
        <v>309.89096328993975</v>
      </c>
      <c r="AK333" s="41">
        <f t="shared" ref="AK333:AL333" si="3548">AK218*AK275/AK$5</f>
        <v>290.88237979863135</v>
      </c>
      <c r="AL333" s="41">
        <f t="shared" si="3548"/>
        <v>281.80860546123841</v>
      </c>
      <c r="AM333" s="41">
        <f t="shared" ref="AM333:AN333" si="3549">AM218*AM275/AM$5</f>
        <v>297.61512088313282</v>
      </c>
      <c r="AN333" s="41">
        <f t="shared" si="3549"/>
        <v>262.28793325367599</v>
      </c>
      <c r="AO333" s="41">
        <f t="shared" ref="AO333" si="3550">AO218*AO275/AO$5</f>
        <v>238.049255401746</v>
      </c>
      <c r="AP333" s="41">
        <f t="shared" ref="AP333:AQ333" si="3551">AP218*AP275/AP$5</f>
        <v>201.38191112098522</v>
      </c>
      <c r="AQ333" s="41">
        <f t="shared" si="3551"/>
        <v>184.24337018188126</v>
      </c>
      <c r="AR333" s="41">
        <f t="shared" ref="AR333:AS333" si="3552">AR218*AR275/AR$5</f>
        <v>166.56929592735494</v>
      </c>
      <c r="AS333" s="41">
        <f t="shared" si="3552"/>
        <v>130.66992260852049</v>
      </c>
      <c r="AT333" s="41">
        <f t="shared" ref="AT333:AU333" si="3553">AT218*AT275/AT$5</f>
        <v>115.95305875485766</v>
      </c>
      <c r="AU333" s="41">
        <f t="shared" si="3553"/>
        <v>105.95058402588755</v>
      </c>
      <c r="AV333" s="41">
        <f t="shared" ref="AV333:AW333" si="3554">AV218*AV275/AV$5</f>
        <v>105.69388826560433</v>
      </c>
      <c r="AW333" s="41">
        <f t="shared" si="3554"/>
        <v>105.56559956398831</v>
      </c>
      <c r="AX333" s="41">
        <f t="shared" ref="AX333" si="3555">AX218*AX275/AX$5</f>
        <v>103.61562132108912</v>
      </c>
      <c r="AY333" s="211"/>
      <c r="AZ333" s="41"/>
      <c r="BA333" s="41"/>
      <c r="BB333" s="41"/>
      <c r="BC333" s="41"/>
      <c r="BD333" s="41"/>
      <c r="BE333" s="41"/>
      <c r="BF333" s="41"/>
      <c r="BG333" s="41"/>
      <c r="BH333" s="41"/>
      <c r="BI333" s="41"/>
      <c r="BJ333" s="41"/>
      <c r="BK333" s="41"/>
      <c r="BL333" s="41"/>
      <c r="BM333" s="41"/>
      <c r="BN333" s="41"/>
      <c r="BO333" s="41"/>
      <c r="BP333" s="41"/>
      <c r="BQ333" s="41"/>
      <c r="BR333" s="41"/>
      <c r="BS333" s="41"/>
      <c r="BT333" s="41"/>
      <c r="BU333" s="41"/>
      <c r="BV333" s="41"/>
      <c r="BW333" s="41"/>
      <c r="BX333" s="41"/>
      <c r="BY333" s="41"/>
      <c r="BZ333" s="41"/>
      <c r="CA333" s="41"/>
      <c r="CB333" s="41"/>
      <c r="CC333" s="41">
        <f>SUM(D333:E333)</f>
        <v>104.31085701287714</v>
      </c>
      <c r="CD333" s="41">
        <f>SUM(F333:G333)</f>
        <v>124.253814406863</v>
      </c>
      <c r="CE333" s="41">
        <f>SUM(H333:I333)</f>
        <v>95.951896733694554</v>
      </c>
      <c r="CF333" s="41">
        <f>SUM(J333:K333)</f>
        <v>102.7855627123916</v>
      </c>
      <c r="CG333" s="41">
        <f>SUM(L333:M333)</f>
        <v>111.81526664141776</v>
      </c>
      <c r="CH333" s="41">
        <f>SUM(N333:O333)</f>
        <v>91.348199832614668</v>
      </c>
      <c r="CI333" s="41">
        <f>SUM(P333:Q333)</f>
        <v>107.52969138437786</v>
      </c>
      <c r="CJ333" s="41">
        <f>SUM(R333:S333)</f>
        <v>444.97534921563522</v>
      </c>
      <c r="CK333" s="41">
        <f>SUM(T333:U333)</f>
        <v>458.48999481497424</v>
      </c>
      <c r="CL333" s="41">
        <f>SUM(V333:W333)</f>
        <v>487.58126124695048</v>
      </c>
      <c r="CM333" s="41">
        <f>SUM(X333:Y333)</f>
        <v>569.03829938977219</v>
      </c>
      <c r="CN333" s="41">
        <f>SUM(Z333:AA333)</f>
        <v>666.52036324209189</v>
      </c>
      <c r="CO333" s="41">
        <f>SUM(AB333:AC333)</f>
        <v>687.68303418710559</v>
      </c>
      <c r="CP333" s="41">
        <f>SUM(AD333:AE333)</f>
        <v>692.14301090259278</v>
      </c>
      <c r="CQ333" s="41">
        <f>SUM(AF333:AG333)</f>
        <v>664.06711513852724</v>
      </c>
      <c r="CR333" s="41">
        <f>SUM(AH333:AI333)</f>
        <v>672.8110922935864</v>
      </c>
      <c r="CS333" s="41">
        <f>SUM(AJ333:AK333)</f>
        <v>600.7733430885711</v>
      </c>
      <c r="CT333" s="41">
        <f>SUM(AL333:AM333)</f>
        <v>579.42372634437129</v>
      </c>
      <c r="CU333" s="41">
        <f>SUM(AN333:AO333)</f>
        <v>500.33718865542198</v>
      </c>
      <c r="CV333" s="41">
        <f>SUM(AP333:AQ333)</f>
        <v>385.62528130286648</v>
      </c>
      <c r="CW333" s="41">
        <f>SUM(AR333:AS333)</f>
        <v>297.23921853587547</v>
      </c>
      <c r="CX333" s="41">
        <f>SUM(AT333:AU333)</f>
        <v>221.9036427807452</v>
      </c>
      <c r="CY333" s="41">
        <f>SUM(AV333:AW333)</f>
        <v>211.25948782959264</v>
      </c>
      <c r="CZ333" s="211"/>
      <c r="DA333" s="41"/>
      <c r="DB333" s="41"/>
      <c r="DC333" s="41"/>
      <c r="DD333" s="41"/>
      <c r="DE333" s="41"/>
      <c r="DF333" s="41"/>
      <c r="DG333" s="41"/>
      <c r="DH333" s="41"/>
      <c r="DI333" s="41"/>
    </row>
    <row r="334" spans="1:113" s="17" customFormat="1" ht="12" hidden="1" outlineLevel="2">
      <c r="A334" s="1" t="s">
        <v>195</v>
      </c>
      <c r="B334" s="17" t="s">
        <v>168</v>
      </c>
      <c r="C334" s="62">
        <f t="shared" ref="C334:AC334" si="3556">C219*C276/C$5</f>
        <v>576.67174141506894</v>
      </c>
      <c r="D334" s="62">
        <f t="shared" si="3556"/>
        <v>653.52363589041113</v>
      </c>
      <c r="E334" s="62">
        <f t="shared" si="3556"/>
        <v>495.07527472465767</v>
      </c>
      <c r="F334" s="62">
        <f t="shared" si="3556"/>
        <v>636.98659687305906</v>
      </c>
      <c r="G334" s="62">
        <f t="shared" si="3556"/>
        <v>683.40901349315016</v>
      </c>
      <c r="H334" s="62">
        <f t="shared" si="3556"/>
        <v>451.33791666666667</v>
      </c>
      <c r="I334" s="62">
        <f t="shared" si="3556"/>
        <v>614.5578679999993</v>
      </c>
      <c r="J334" s="62">
        <f t="shared" si="3556"/>
        <v>1210.2769535470327</v>
      </c>
      <c r="K334" s="62">
        <f t="shared" si="3556"/>
        <v>1375.3222916164391</v>
      </c>
      <c r="L334" s="62">
        <f t="shared" si="3556"/>
        <v>1425.8038559123288</v>
      </c>
      <c r="M334" s="62">
        <f t="shared" si="3556"/>
        <v>1288.5858842754419</v>
      </c>
      <c r="N334" s="62">
        <f t="shared" si="3556"/>
        <v>1334.624366465755</v>
      </c>
      <c r="O334" s="62">
        <f t="shared" si="3556"/>
        <v>1357.660242023182</v>
      </c>
      <c r="P334" s="62">
        <f t="shared" si="3556"/>
        <v>1111.5300183206127</v>
      </c>
      <c r="Q334" s="62">
        <f t="shared" si="3556"/>
        <v>1454.3971677480899</v>
      </c>
      <c r="R334" s="62">
        <f t="shared" si="3556"/>
        <v>3757.6842236438356</v>
      </c>
      <c r="S334" s="62">
        <f t="shared" si="3556"/>
        <v>3565.0296307681701</v>
      </c>
      <c r="T334" s="62">
        <f t="shared" si="3556"/>
        <v>3259.7937659178051</v>
      </c>
      <c r="U334" s="62">
        <f t="shared" si="3556"/>
        <v>3528.2720955767027</v>
      </c>
      <c r="V334" s="62">
        <f t="shared" si="3556"/>
        <v>3719.7706421917937</v>
      </c>
      <c r="W334" s="62">
        <f t="shared" si="3556"/>
        <v>3976.9352312203273</v>
      </c>
      <c r="X334" s="62">
        <f t="shared" si="3556"/>
        <v>4211.2089692307654</v>
      </c>
      <c r="Y334" s="62">
        <f t="shared" si="3556"/>
        <v>4866.1255407692333</v>
      </c>
      <c r="Z334" s="62">
        <f t="shared" si="3556"/>
        <v>5026.4539250684884</v>
      </c>
      <c r="AA334" s="62">
        <f t="shared" si="3556"/>
        <v>5034.2296928139667</v>
      </c>
      <c r="AB334" s="62">
        <f t="shared" si="3556"/>
        <v>4914.0553865753354</v>
      </c>
      <c r="AC334" s="62">
        <f t="shared" si="3556"/>
        <v>4907.8850017123286</v>
      </c>
      <c r="AD334" s="62">
        <f t="shared" ref="AD334" si="3557">AD219*AD276/AD$5</f>
        <v>4829.4538520810929</v>
      </c>
      <c r="AE334" s="62">
        <f t="shared" ref="AE334:AF334" si="3558">AE219*AE276/AE$5</f>
        <v>5163.8893513123503</v>
      </c>
      <c r="AF334" s="62">
        <f t="shared" si="3558"/>
        <v>5299.658381297716</v>
      </c>
      <c r="AG334" s="62">
        <f t="shared" ref="AG334:AH334" si="3559">AG219*AG276/AG$5</f>
        <v>5765.3659370381711</v>
      </c>
      <c r="AH334" s="62">
        <f t="shared" si="3559"/>
        <v>5705.0800487539718</v>
      </c>
      <c r="AI334" s="62">
        <f t="shared" ref="AI334:AJ334" si="3560">AI219*AI276/AI$5</f>
        <v>5994.2743143329044</v>
      </c>
      <c r="AJ334" s="62">
        <f t="shared" si="3560"/>
        <v>5806.9511000547964</v>
      </c>
      <c r="AK334" s="62">
        <f t="shared" ref="AK334:AL334" si="3561">AK219*AK276/AK$5</f>
        <v>5440.1185605353003</v>
      </c>
      <c r="AL334" s="62">
        <f t="shared" si="3561"/>
        <v>5580.7639136438293</v>
      </c>
      <c r="AM334" s="62">
        <f t="shared" ref="AM334:AN334" si="3562">AM219*AM276/AM$5</f>
        <v>6383.6014673721629</v>
      </c>
      <c r="AN334" s="62">
        <f t="shared" si="3562"/>
        <v>6520.7250832061045</v>
      </c>
      <c r="AO334" s="62">
        <f t="shared" ref="AO334" si="3563">AO219*AO276/AO$5</f>
        <v>6571.6209145038174</v>
      </c>
      <c r="AP334" s="62">
        <f t="shared" ref="AP334:AQ334" si="3564">AP219*AP276/AP$5</f>
        <v>6485.1374416793515</v>
      </c>
      <c r="AQ334" s="62">
        <f t="shared" si="3564"/>
        <v>6263.5830472974567</v>
      </c>
      <c r="AR334" s="62">
        <f t="shared" ref="AR334:AS334" si="3565">AR219*AR276/AR$5</f>
        <v>5923.2246822882198</v>
      </c>
      <c r="AS334" s="62">
        <f t="shared" si="3565"/>
        <v>4167.7964337058438</v>
      </c>
      <c r="AT334" s="62">
        <f t="shared" ref="AT334:AU334" si="3566">AT219*AT276/AT$5</f>
        <v>4633.3518559813701</v>
      </c>
      <c r="AU334" s="62">
        <f t="shared" si="3566"/>
        <v>4581.7321231463839</v>
      </c>
      <c r="AV334" s="62">
        <f t="shared" ref="AV334:AW334" si="3567">AV219*AV276/AV$5</f>
        <v>5031.8832735576925</v>
      </c>
      <c r="AW334" s="62">
        <f t="shared" si="3567"/>
        <v>5475.7672959999991</v>
      </c>
      <c r="AX334" s="62">
        <f t="shared" ref="AX334" si="3568">AX219*AX276/AX$5</f>
        <v>6447.7921009972624</v>
      </c>
      <c r="AY334" s="220"/>
      <c r="AZ334" s="62"/>
      <c r="BA334" s="62"/>
      <c r="BB334" s="62"/>
      <c r="BC334" s="62"/>
      <c r="BD334" s="62"/>
      <c r="BE334" s="62"/>
      <c r="BF334" s="62"/>
      <c r="BG334" s="62"/>
      <c r="BH334" s="62"/>
      <c r="BI334" s="62"/>
      <c r="BJ334" s="62"/>
      <c r="BK334" s="62"/>
      <c r="BL334" s="62"/>
      <c r="BM334" s="62"/>
      <c r="BN334" s="62"/>
      <c r="BO334" s="62"/>
      <c r="BP334" s="62"/>
      <c r="BQ334" s="62"/>
      <c r="BR334" s="62"/>
      <c r="BS334" s="62">
        <f t="shared" ref="BS334:CB334" si="3569">BS219*BS276/BS$5</f>
        <v>1664.6961249999988</v>
      </c>
      <c r="BT334" s="62">
        <f t="shared" si="3569"/>
        <v>1707.8783999999996</v>
      </c>
      <c r="BU334" s="62">
        <f t="shared" si="3569"/>
        <v>1514.6778258333331</v>
      </c>
      <c r="BV334" s="62">
        <f t="shared" si="3569"/>
        <v>1035.2109208333331</v>
      </c>
      <c r="BW334" s="62">
        <f t="shared" si="3569"/>
        <v>1360.3402149999995</v>
      </c>
      <c r="BX334" s="62">
        <f t="shared" si="3569"/>
        <v>1646.293208166667</v>
      </c>
      <c r="BY334" s="62">
        <f t="shared" si="3569"/>
        <v>1581.3918749999996</v>
      </c>
      <c r="BZ334" s="62">
        <f t="shared" si="3569"/>
        <v>1587.3829667499997</v>
      </c>
      <c r="CA334" s="62">
        <f t="shared" si="3569"/>
        <v>1290.614438076924</v>
      </c>
      <c r="CB334" s="62">
        <f t="shared" si="3569"/>
        <v>1817.1832399999969</v>
      </c>
      <c r="CC334" s="62">
        <f>SUM(D334:E334)</f>
        <v>1148.5989106150687</v>
      </c>
      <c r="CD334" s="62">
        <f>SUM(F334:G334)</f>
        <v>1320.3956103662092</v>
      </c>
      <c r="CE334" s="62">
        <f>SUM(H334:I334)</f>
        <v>1065.895784666666</v>
      </c>
      <c r="CF334" s="62">
        <f>SUM(J334:K334)</f>
        <v>2585.599245163472</v>
      </c>
      <c r="CG334" s="62">
        <f>SUM(L334:M334)</f>
        <v>2714.3897401877707</v>
      </c>
      <c r="CH334" s="62">
        <f>SUM(N334:O334)</f>
        <v>2692.284608488937</v>
      </c>
      <c r="CI334" s="62">
        <f>SUM(P334:Q334)</f>
        <v>2565.9271860687027</v>
      </c>
      <c r="CJ334" s="62">
        <f>SUM(R334:S334)</f>
        <v>7322.7138544120062</v>
      </c>
      <c r="CK334" s="62">
        <f>SUM(T334:U334)</f>
        <v>6788.0658614945078</v>
      </c>
      <c r="CL334" s="62">
        <f>SUM(V334:W334)</f>
        <v>7696.705873412121</v>
      </c>
      <c r="CM334" s="62">
        <f>SUM(X334:Y334)</f>
        <v>9077.3345099999988</v>
      </c>
      <c r="CN334" s="62">
        <f>SUM(Z334:AA334)</f>
        <v>10060.683617882456</v>
      </c>
      <c r="CO334" s="62">
        <f>SUM(AB334:AC334)</f>
        <v>9821.940388287665</v>
      </c>
      <c r="CP334" s="62">
        <f>SUM(AD334:AE334)</f>
        <v>9993.3432033934441</v>
      </c>
      <c r="CQ334" s="62">
        <f>SUM(AF334:AG334)</f>
        <v>11065.024318335887</v>
      </c>
      <c r="CR334" s="62">
        <f>SUM(AH334:AI334)</f>
        <v>11699.354363086877</v>
      </c>
      <c r="CS334" s="62">
        <f>SUM(AJ334:AK334)</f>
        <v>11247.069660590096</v>
      </c>
      <c r="CT334" s="62">
        <f>SUM(AL334:AM334)</f>
        <v>11964.365381015992</v>
      </c>
      <c r="CU334" s="62">
        <f>SUM(AN334:AO334)</f>
        <v>13092.345997709923</v>
      </c>
      <c r="CV334" s="62">
        <f>SUM(AP334:AQ334)</f>
        <v>12748.720488976807</v>
      </c>
      <c r="CW334" s="62">
        <f>SUM(AR334:AS334)</f>
        <v>10091.021115994063</v>
      </c>
      <c r="CX334" s="62">
        <f>SUM(AT334:AU334)</f>
        <v>9215.083979127754</v>
      </c>
      <c r="CY334" s="62">
        <f>SUM(AV334:AW334)</f>
        <v>10507.650569557693</v>
      </c>
      <c r="CZ334" s="220"/>
      <c r="DA334" s="62"/>
      <c r="DB334" s="62"/>
      <c r="DC334" s="62"/>
      <c r="DD334" s="62"/>
      <c r="DE334" s="62"/>
      <c r="DF334" s="62"/>
      <c r="DG334" s="62"/>
      <c r="DH334" s="62"/>
      <c r="DI334" s="62"/>
    </row>
    <row r="335" spans="1:113" ht="12" hidden="1" outlineLevel="2">
      <c r="C335" s="41"/>
      <c r="D335" s="41"/>
      <c r="E335" s="41"/>
      <c r="F335" s="41"/>
      <c r="G335" s="41"/>
      <c r="H335" s="41"/>
      <c r="I335" s="41"/>
      <c r="J335" s="41"/>
      <c r="K335" s="41"/>
      <c r="L335" s="41"/>
      <c r="M335" s="41"/>
      <c r="N335" s="41"/>
      <c r="O335" s="41"/>
      <c r="P335" s="41"/>
      <c r="Q335" s="41"/>
      <c r="R335" s="41"/>
      <c r="S335" s="41"/>
      <c r="T335" s="41"/>
      <c r="U335" s="41"/>
      <c r="V335" s="41"/>
      <c r="W335" s="41"/>
      <c r="X335" s="41"/>
      <c r="Y335" s="41"/>
      <c r="Z335" s="41"/>
      <c r="AA335" s="41"/>
      <c r="AB335" s="41"/>
      <c r="AC335" s="41"/>
      <c r="AD335" s="41"/>
      <c r="AE335" s="41"/>
      <c r="AF335" s="41"/>
      <c r="AG335" s="41"/>
      <c r="AH335" s="41"/>
      <c r="AI335" s="41"/>
      <c r="AJ335" s="41"/>
      <c r="AK335" s="41"/>
      <c r="AL335" s="41"/>
      <c r="AM335" s="41"/>
      <c r="AN335" s="41"/>
      <c r="AO335" s="41"/>
      <c r="AP335" s="41"/>
      <c r="AQ335" s="41"/>
      <c r="AR335" s="41"/>
      <c r="AS335" s="41"/>
      <c r="AT335" s="41"/>
      <c r="AU335" s="41"/>
      <c r="AV335" s="41"/>
      <c r="AW335" s="41"/>
      <c r="AX335" s="41"/>
      <c r="AY335" s="211"/>
      <c r="AZ335" s="41"/>
      <c r="BA335" s="41"/>
      <c r="BB335" s="41"/>
      <c r="BC335" s="41"/>
      <c r="BD335" s="41"/>
      <c r="BE335" s="41"/>
      <c r="BF335" s="41"/>
      <c r="BG335" s="41"/>
      <c r="BH335" s="41"/>
      <c r="BI335" s="41"/>
      <c r="BJ335" s="41"/>
      <c r="BK335" s="41"/>
      <c r="BL335" s="41"/>
      <c r="BM335" s="41"/>
      <c r="BN335" s="41"/>
      <c r="BO335" s="41"/>
      <c r="BP335" s="41"/>
      <c r="BQ335" s="41"/>
      <c r="BR335" s="41"/>
      <c r="BS335" s="41"/>
      <c r="BT335" s="41"/>
      <c r="BU335" s="41"/>
      <c r="BV335" s="41"/>
      <c r="BW335" s="41"/>
      <c r="BX335" s="41"/>
      <c r="BY335" s="41"/>
      <c r="BZ335" s="41"/>
      <c r="CA335" s="41"/>
      <c r="CB335" s="41"/>
      <c r="CC335" s="41"/>
      <c r="CD335" s="41"/>
      <c r="CE335" s="41"/>
      <c r="CF335" s="41"/>
      <c r="CG335" s="41"/>
      <c r="CH335" s="41"/>
      <c r="CI335" s="41"/>
      <c r="CJ335" s="41"/>
      <c r="CK335" s="41"/>
      <c r="CL335" s="41"/>
      <c r="CM335" s="41"/>
      <c r="CN335" s="41"/>
      <c r="CO335" s="41"/>
      <c r="CP335" s="41"/>
      <c r="CQ335" s="41"/>
      <c r="CR335" s="41"/>
      <c r="CS335" s="41"/>
      <c r="CT335" s="41"/>
      <c r="CU335" s="41"/>
      <c r="CV335" s="41"/>
      <c r="CW335" s="41"/>
      <c r="CX335" s="41"/>
      <c r="CY335" s="41"/>
      <c r="CZ335" s="211"/>
      <c r="DA335" s="41"/>
      <c r="DB335" s="15"/>
      <c r="DC335" s="15"/>
      <c r="DD335" s="15"/>
      <c r="DE335" s="15"/>
      <c r="DF335" s="15"/>
      <c r="DG335" s="15"/>
      <c r="DH335" s="15"/>
      <c r="DI335" s="15"/>
    </row>
    <row r="336" spans="1:113" s="17" customFormat="1" ht="12" hidden="1" outlineLevel="2">
      <c r="A336" s="1"/>
      <c r="B336" s="17" t="s">
        <v>408</v>
      </c>
      <c r="C336" s="62"/>
      <c r="D336" s="62"/>
      <c r="E336" s="62"/>
      <c r="F336" s="62"/>
      <c r="G336" s="62"/>
      <c r="H336" s="62"/>
      <c r="I336" s="62"/>
      <c r="J336" s="62"/>
      <c r="K336" s="62"/>
      <c r="L336" s="62"/>
      <c r="M336" s="62"/>
      <c r="N336" s="62"/>
      <c r="O336" s="62"/>
      <c r="P336" s="62"/>
      <c r="Q336" s="62"/>
      <c r="R336" s="62"/>
      <c r="S336" s="62"/>
      <c r="T336" s="62"/>
      <c r="U336" s="62"/>
      <c r="V336" s="62"/>
      <c r="W336" s="62"/>
      <c r="X336" s="62"/>
      <c r="Y336" s="62"/>
      <c r="Z336" s="62"/>
      <c r="AA336" s="62"/>
      <c r="AB336" s="62"/>
      <c r="AC336" s="62"/>
      <c r="AD336" s="62"/>
      <c r="AE336" s="62"/>
      <c r="AF336" s="62"/>
      <c r="AG336" s="62"/>
      <c r="AH336" s="62"/>
      <c r="AI336" s="62"/>
      <c r="AJ336" s="62"/>
      <c r="AK336" s="62"/>
      <c r="AL336" s="62"/>
      <c r="AM336" s="62"/>
      <c r="AN336" s="62"/>
      <c r="AO336" s="62"/>
      <c r="AP336" s="62"/>
      <c r="AQ336" s="62"/>
      <c r="AR336" s="62"/>
      <c r="AS336" s="62"/>
      <c r="AT336" s="62"/>
      <c r="AU336" s="62"/>
      <c r="AV336" s="62"/>
      <c r="AW336" s="62"/>
      <c r="AX336" s="62"/>
      <c r="AY336" s="220"/>
      <c r="AZ336" s="62"/>
      <c r="BA336" s="62"/>
      <c r="BB336" s="62"/>
      <c r="BC336" s="62"/>
      <c r="BD336" s="62"/>
      <c r="BE336" s="62"/>
      <c r="BF336" s="62"/>
      <c r="BG336" s="62"/>
      <c r="BH336" s="62"/>
      <c r="BI336" s="62"/>
      <c r="BJ336" s="62"/>
      <c r="BK336" s="62"/>
      <c r="BL336" s="62"/>
      <c r="BM336" s="62"/>
      <c r="BN336" s="62"/>
      <c r="BO336" s="62"/>
      <c r="BP336" s="62"/>
      <c r="BQ336" s="62"/>
      <c r="BR336" s="62"/>
      <c r="BS336" s="62"/>
      <c r="BT336" s="62"/>
      <c r="BU336" s="62"/>
      <c r="BV336" s="62"/>
      <c r="BW336" s="62"/>
      <c r="BX336" s="62"/>
      <c r="BY336" s="62"/>
      <c r="BZ336" s="62"/>
      <c r="CA336" s="62"/>
      <c r="CB336" s="62"/>
      <c r="CC336" s="62"/>
      <c r="CD336" s="62"/>
      <c r="CE336" s="62"/>
      <c r="CF336" s="62"/>
      <c r="CG336" s="62"/>
      <c r="CH336" s="62"/>
      <c r="CI336" s="62"/>
      <c r="CJ336" s="62"/>
      <c r="CK336" s="62"/>
      <c r="CL336" s="62"/>
      <c r="CM336" s="62"/>
      <c r="CN336" s="62"/>
      <c r="CO336" s="62"/>
      <c r="CP336" s="62"/>
      <c r="CQ336" s="62"/>
      <c r="CR336" s="62"/>
      <c r="CS336" s="62"/>
      <c r="CT336" s="62"/>
      <c r="CU336" s="62"/>
      <c r="CV336" s="62"/>
      <c r="CW336" s="62"/>
      <c r="CX336" s="62"/>
      <c r="CY336" s="62"/>
      <c r="CZ336" s="220"/>
      <c r="DA336" s="62"/>
    </row>
    <row r="337" spans="1:113" ht="12" hidden="1" outlineLevel="2">
      <c r="A337" s="1" t="s">
        <v>196</v>
      </c>
      <c r="B337" s="15" t="s">
        <v>164</v>
      </c>
      <c r="C337" s="41"/>
      <c r="D337" s="41"/>
      <c r="E337" s="41"/>
      <c r="F337" s="41"/>
      <c r="G337" s="41"/>
      <c r="H337" s="41"/>
      <c r="I337" s="41"/>
      <c r="J337" s="41"/>
      <c r="K337" s="41"/>
      <c r="L337" s="41"/>
      <c r="M337" s="41"/>
      <c r="N337" s="41"/>
      <c r="O337" s="41"/>
      <c r="P337" s="41"/>
      <c r="Q337" s="41"/>
      <c r="R337" s="41"/>
      <c r="S337" s="41"/>
      <c r="T337" s="41"/>
      <c r="U337" s="41"/>
      <c r="V337" s="41"/>
      <c r="W337" s="41"/>
      <c r="X337" s="41"/>
      <c r="Y337" s="41"/>
      <c r="Z337" s="41"/>
      <c r="AA337" s="41"/>
      <c r="AB337" s="41"/>
      <c r="AC337" s="41"/>
      <c r="AD337" s="41"/>
      <c r="AE337" s="41"/>
      <c r="AF337" s="41"/>
      <c r="AG337" s="41"/>
      <c r="AH337" s="41"/>
      <c r="AI337" s="41"/>
      <c r="AJ337" s="41"/>
      <c r="AK337" s="41"/>
      <c r="AL337" s="41"/>
      <c r="AM337" s="41"/>
      <c r="AN337" s="41"/>
      <c r="AO337" s="41"/>
      <c r="AP337" s="41"/>
      <c r="AQ337" s="41"/>
      <c r="AR337" s="41"/>
      <c r="AS337" s="41"/>
      <c r="AT337" s="41"/>
      <c r="AU337" s="41"/>
      <c r="AV337" s="41"/>
      <c r="AW337" s="41"/>
      <c r="AX337" s="41"/>
      <c r="AY337" s="211"/>
      <c r="AZ337" s="41"/>
      <c r="BA337" s="41"/>
      <c r="BB337" s="41"/>
      <c r="BC337" s="41"/>
      <c r="BD337" s="41"/>
      <c r="BE337" s="41"/>
      <c r="BF337" s="41"/>
      <c r="BG337" s="41"/>
      <c r="BH337" s="41"/>
      <c r="BI337" s="41"/>
      <c r="BJ337" s="41"/>
      <c r="BK337" s="41"/>
      <c r="BL337" s="41"/>
      <c r="BM337" s="41"/>
      <c r="BN337" s="41"/>
      <c r="BO337" s="41"/>
      <c r="BP337" s="41"/>
      <c r="BQ337" s="41"/>
      <c r="BR337" s="41"/>
      <c r="BS337" s="41"/>
      <c r="BT337" s="41"/>
      <c r="BU337" s="41"/>
      <c r="BV337" s="41"/>
      <c r="BW337" s="41"/>
      <c r="BX337" s="41"/>
      <c r="BY337" s="41"/>
      <c r="BZ337" s="41"/>
      <c r="CA337" s="41"/>
      <c r="CB337" s="41"/>
      <c r="CC337" s="41"/>
      <c r="CD337" s="41"/>
      <c r="CE337" s="41"/>
      <c r="CF337" s="41"/>
      <c r="CG337" s="41"/>
      <c r="CH337" s="41"/>
      <c r="CI337" s="41"/>
      <c r="CJ337" s="41"/>
      <c r="CK337" s="41"/>
      <c r="CL337" s="41"/>
      <c r="CM337" s="41"/>
      <c r="CN337" s="41"/>
      <c r="CO337" s="41"/>
      <c r="CP337" s="41"/>
      <c r="CQ337" s="41"/>
      <c r="CR337" s="41"/>
      <c r="CS337" s="41"/>
      <c r="CT337" s="41"/>
      <c r="CU337" s="41"/>
      <c r="CV337" s="41"/>
      <c r="CW337" s="41"/>
      <c r="CX337" s="41"/>
      <c r="CY337" s="41"/>
      <c r="CZ337" s="211"/>
      <c r="DA337" s="41"/>
      <c r="DB337" s="15"/>
      <c r="DC337" s="15"/>
      <c r="DD337" s="15"/>
      <c r="DE337" s="15"/>
      <c r="DF337" s="15"/>
      <c r="DG337" s="15"/>
      <c r="DH337" s="15"/>
      <c r="DI337" s="15"/>
    </row>
    <row r="338" spans="1:113" ht="12" hidden="1" outlineLevel="2">
      <c r="A338" s="1" t="s">
        <v>197</v>
      </c>
      <c r="B338" s="15" t="s">
        <v>344</v>
      </c>
      <c r="C338" s="41"/>
      <c r="D338" s="41"/>
      <c r="E338" s="41"/>
      <c r="F338" s="41"/>
      <c r="G338" s="41"/>
      <c r="H338" s="41"/>
      <c r="I338" s="41"/>
      <c r="J338" s="41"/>
      <c r="K338" s="41"/>
      <c r="L338" s="41"/>
      <c r="M338" s="41"/>
      <c r="N338" s="41"/>
      <c r="O338" s="41"/>
      <c r="P338" s="41"/>
      <c r="Q338" s="41"/>
      <c r="R338" s="41"/>
      <c r="S338" s="41"/>
      <c r="T338" s="41"/>
      <c r="U338" s="41"/>
      <c r="V338" s="41"/>
      <c r="W338" s="41"/>
      <c r="X338" s="41"/>
      <c r="Y338" s="41"/>
      <c r="Z338" s="41"/>
      <c r="AA338" s="41"/>
      <c r="AB338" s="41"/>
      <c r="AC338" s="41"/>
      <c r="AD338" s="41"/>
      <c r="AE338" s="41"/>
      <c r="AF338" s="41"/>
      <c r="AG338" s="41"/>
      <c r="AH338" s="41"/>
      <c r="AI338" s="41"/>
      <c r="AJ338" s="41"/>
      <c r="AK338" s="41"/>
      <c r="AL338" s="41"/>
      <c r="AM338" s="41"/>
      <c r="AN338" s="41"/>
      <c r="AO338" s="41"/>
      <c r="AP338" s="41"/>
      <c r="AQ338" s="41"/>
      <c r="AR338" s="41"/>
      <c r="AS338" s="41"/>
      <c r="AT338" s="41"/>
      <c r="AU338" s="41"/>
      <c r="AV338" s="41"/>
      <c r="AW338" s="41"/>
      <c r="AX338" s="41"/>
      <c r="AY338" s="211"/>
      <c r="AZ338" s="41"/>
      <c r="BA338" s="41"/>
      <c r="BB338" s="41"/>
      <c r="BC338" s="41"/>
      <c r="BD338" s="41"/>
      <c r="BE338" s="41"/>
      <c r="BF338" s="41"/>
      <c r="BG338" s="41"/>
      <c r="BH338" s="41"/>
      <c r="BI338" s="41"/>
      <c r="BJ338" s="41"/>
      <c r="BK338" s="41"/>
      <c r="BL338" s="41"/>
      <c r="BM338" s="41"/>
      <c r="BN338" s="41"/>
      <c r="BO338" s="41"/>
      <c r="BP338" s="41"/>
      <c r="BQ338" s="41"/>
      <c r="BR338" s="41"/>
      <c r="BS338" s="41"/>
      <c r="BT338" s="41"/>
      <c r="BU338" s="41"/>
      <c r="BV338" s="41"/>
      <c r="BW338" s="41"/>
      <c r="BX338" s="41"/>
      <c r="BY338" s="41"/>
      <c r="BZ338" s="41"/>
      <c r="CA338" s="41"/>
      <c r="CB338" s="41"/>
      <c r="CC338" s="41"/>
      <c r="CD338" s="41"/>
      <c r="CE338" s="41"/>
      <c r="CF338" s="41"/>
      <c r="CG338" s="41"/>
      <c r="CH338" s="41"/>
      <c r="CI338" s="41"/>
      <c r="CJ338" s="41"/>
      <c r="CK338" s="41"/>
      <c r="CL338" s="41"/>
      <c r="CM338" s="41"/>
      <c r="CN338" s="41"/>
      <c r="CO338" s="41"/>
      <c r="CP338" s="41"/>
      <c r="CQ338" s="41"/>
      <c r="CR338" s="41"/>
      <c r="CS338" s="41"/>
      <c r="CT338" s="41"/>
      <c r="CU338" s="41"/>
      <c r="CV338" s="41"/>
      <c r="CW338" s="41"/>
      <c r="CX338" s="41"/>
      <c r="CY338" s="41"/>
      <c r="CZ338" s="211"/>
      <c r="DA338" s="41"/>
      <c r="DB338" s="15"/>
      <c r="DC338" s="15"/>
      <c r="DD338" s="15"/>
      <c r="DE338" s="15"/>
      <c r="DF338" s="15"/>
      <c r="DG338" s="15"/>
      <c r="DH338" s="15"/>
      <c r="DI338" s="15"/>
    </row>
    <row r="339" spans="1:113" s="17" customFormat="1" ht="12" hidden="1" outlineLevel="2">
      <c r="A339" s="1" t="s">
        <v>198</v>
      </c>
      <c r="B339" s="17" t="s">
        <v>168</v>
      </c>
      <c r="C339" s="62">
        <f t="shared" ref="C339:AC339" si="3570">C224*C281/C$5</f>
        <v>283.87790840684937</v>
      </c>
      <c r="D339" s="62">
        <f t="shared" si="3570"/>
        <v>267.56773260273974</v>
      </c>
      <c r="E339" s="62">
        <f t="shared" si="3570"/>
        <v>253.81418242191774</v>
      </c>
      <c r="F339" s="62">
        <f t="shared" si="3570"/>
        <v>301.56166313515979</v>
      </c>
      <c r="G339" s="62">
        <f t="shared" si="3570"/>
        <v>356.77524246575337</v>
      </c>
      <c r="H339" s="62">
        <f t="shared" si="3570"/>
        <v>431.09145833333349</v>
      </c>
      <c r="I339" s="62">
        <f t="shared" si="3570"/>
        <v>624.10671999999988</v>
      </c>
      <c r="J339" s="62">
        <f t="shared" si="3570"/>
        <v>798.75018923196365</v>
      </c>
      <c r="K339" s="62">
        <f t="shared" si="3570"/>
        <v>887.7838247315068</v>
      </c>
      <c r="L339" s="62">
        <f t="shared" si="3570"/>
        <v>998.11775993424624</v>
      </c>
      <c r="M339" s="62">
        <f t="shared" si="3570"/>
        <v>862.33594842444495</v>
      </c>
      <c r="N339" s="62">
        <f t="shared" si="3570"/>
        <v>817.9848749972607</v>
      </c>
      <c r="O339" s="62">
        <f t="shared" si="3570"/>
        <v>960.36344582254981</v>
      </c>
      <c r="P339" s="62">
        <f t="shared" si="3570"/>
        <v>875.62005221374102</v>
      </c>
      <c r="Q339" s="62">
        <f t="shared" si="3570"/>
        <v>767.38169610687009</v>
      </c>
      <c r="R339" s="62">
        <f t="shared" si="3570"/>
        <v>1488.5610370904108</v>
      </c>
      <c r="S339" s="62">
        <f t="shared" si="3570"/>
        <v>1117.3810758431459</v>
      </c>
      <c r="T339" s="62">
        <f t="shared" si="3570"/>
        <v>663.13208306849219</v>
      </c>
      <c r="U339" s="62">
        <f t="shared" si="3570"/>
        <v>518.56961884345947</v>
      </c>
      <c r="V339" s="62">
        <f t="shared" si="3570"/>
        <v>553.12124767123623</v>
      </c>
      <c r="W339" s="62">
        <f t="shared" si="3570"/>
        <v>467.23588197845822</v>
      </c>
      <c r="X339" s="62">
        <f t="shared" si="3570"/>
        <v>623.5883376923066</v>
      </c>
      <c r="Y339" s="62">
        <f t="shared" si="3570"/>
        <v>927.10618692307776</v>
      </c>
      <c r="Z339" s="62">
        <f t="shared" si="3570"/>
        <v>1129.7390240931491</v>
      </c>
      <c r="AA339" s="62">
        <f t="shared" si="3570"/>
        <v>1321.9859732343398</v>
      </c>
      <c r="AB339" s="62">
        <f t="shared" si="3570"/>
        <v>1458.2379690410942</v>
      </c>
      <c r="AC339" s="62">
        <f t="shared" si="3570"/>
        <v>1661.3492766438358</v>
      </c>
      <c r="AD339" s="62">
        <f t="shared" ref="AD339" si="3571">AD224*AD281/AD$5</f>
        <v>1846.841891419177</v>
      </c>
      <c r="AE339" s="62">
        <f t="shared" ref="AE339:AF339" si="3572">AE224*AE281/AE$5</f>
        <v>1944.119107227858</v>
      </c>
      <c r="AF339" s="62">
        <f t="shared" si="3572"/>
        <v>1624.6529927480935</v>
      </c>
      <c r="AG339" s="62">
        <f t="shared" ref="AG339:AH339" si="3573">AG224*AG281/AG$5</f>
        <v>1676.8847316259548</v>
      </c>
      <c r="AH339" s="62">
        <f t="shared" si="3573"/>
        <v>1702.0498368876713</v>
      </c>
      <c r="AI339" s="62">
        <f t="shared" ref="AI339:AJ339" si="3574">AI224*AI281/AI$5</f>
        <v>1751.1840981628493</v>
      </c>
      <c r="AJ339" s="62">
        <f t="shared" si="3574"/>
        <v>1702.1025529863016</v>
      </c>
      <c r="AK339" s="62">
        <f t="shared" ref="AK339:AL339" si="3575">AK224*AK281/AK$5</f>
        <v>1631.8010333804</v>
      </c>
      <c r="AL339" s="62">
        <f t="shared" si="3575"/>
        <v>1682.9907916712305</v>
      </c>
      <c r="AM339" s="62">
        <f t="shared" ref="AM339:AN339" si="3576">AM224*AM281/AM$5</f>
        <v>2029.2513227480915</v>
      </c>
      <c r="AN339" s="62">
        <f t="shared" si="3576"/>
        <v>2107.9828912213729</v>
      </c>
      <c r="AO339" s="62">
        <f t="shared" ref="AO339" si="3577">AO224*AO281/AO$5</f>
        <v>2140.700764885496</v>
      </c>
      <c r="AP339" s="62">
        <f t="shared" ref="AP339:AQ339" si="3578">AP224*AP281/AP$5</f>
        <v>1979.1910605022831</v>
      </c>
      <c r="AQ339" s="62">
        <f t="shared" si="3578"/>
        <v>1947.6431973326812</v>
      </c>
      <c r="AR339" s="62">
        <f t="shared" ref="AR339:AS339" si="3579">AR224*AR281/AR$5</f>
        <v>2088.1838649731508</v>
      </c>
      <c r="AS339" s="62">
        <f t="shared" si="3579"/>
        <v>1640.0009616054583</v>
      </c>
      <c r="AT339" s="62">
        <f t="shared" ref="AT339:AU339" si="3580">AT224*AT281/AT$5</f>
        <v>1538.2211413386303</v>
      </c>
      <c r="AU339" s="62">
        <f t="shared" si="3580"/>
        <v>1513.364714934793</v>
      </c>
      <c r="AV339" s="62">
        <f t="shared" ref="AV339:AW339" si="3581">AV224*AV281/AV$5</f>
        <v>1627.135798461539</v>
      </c>
      <c r="AW339" s="62">
        <f t="shared" si="3581"/>
        <v>1646.8045013333328</v>
      </c>
      <c r="AX339" s="62">
        <f t="shared" ref="AX339" si="3582">AX224*AX281/AX$5</f>
        <v>1379.5733677954345</v>
      </c>
      <c r="AY339" s="220"/>
      <c r="AZ339" s="62"/>
      <c r="BA339" s="62"/>
      <c r="BB339" s="62"/>
      <c r="BC339" s="62"/>
      <c r="BD339" s="62"/>
      <c r="BE339" s="62"/>
      <c r="BF339" s="62"/>
      <c r="BG339" s="62"/>
      <c r="BH339" s="62"/>
      <c r="BI339" s="62"/>
      <c r="BJ339" s="62"/>
      <c r="BK339" s="62"/>
      <c r="BL339" s="62"/>
      <c r="BM339" s="62"/>
      <c r="BN339" s="62"/>
      <c r="BO339" s="62"/>
      <c r="BP339" s="62"/>
      <c r="BQ339" s="62"/>
      <c r="BR339" s="62"/>
      <c r="BS339" s="62">
        <f t="shared" ref="BS339:CB339" si="3583">BS224*BS281/BS$5</f>
        <v>258.13438058522013</v>
      </c>
      <c r="BT339" s="62">
        <f t="shared" si="3583"/>
        <v>260.72059514937393</v>
      </c>
      <c r="BU339" s="62">
        <f t="shared" si="3583"/>
        <v>260.50611916666674</v>
      </c>
      <c r="BV339" s="62">
        <f t="shared" si="3583"/>
        <v>288.79024166666659</v>
      </c>
      <c r="BW339" s="62">
        <f t="shared" si="3583"/>
        <v>410.55250833333309</v>
      </c>
      <c r="BX339" s="62">
        <f t="shared" si="3583"/>
        <v>612.07264650000002</v>
      </c>
      <c r="BY339" s="62">
        <f t="shared" si="3583"/>
        <v>697.95187499999975</v>
      </c>
      <c r="BZ339" s="62">
        <f t="shared" si="3583"/>
        <v>431.24617399999983</v>
      </c>
      <c r="CA339" s="62">
        <f t="shared" si="3583"/>
        <v>373.97206730769244</v>
      </c>
      <c r="CB339" s="62">
        <f t="shared" si="3583"/>
        <v>531.13413999999943</v>
      </c>
      <c r="CC339" s="62">
        <f>SUM(D339:E339)</f>
        <v>521.38191502465747</v>
      </c>
      <c r="CD339" s="62">
        <f>SUM(F339:G339)</f>
        <v>658.33690560091316</v>
      </c>
      <c r="CE339" s="62">
        <f>SUM(H339:I339)</f>
        <v>1055.1981783333333</v>
      </c>
      <c r="CF339" s="62">
        <f>SUM(J339:K339)</f>
        <v>1686.5340139634704</v>
      </c>
      <c r="CG339" s="62">
        <f>SUM(L339:M339)</f>
        <v>1860.4537083586911</v>
      </c>
      <c r="CH339" s="62">
        <f>SUM(N339:O339)</f>
        <v>1778.3483208198104</v>
      </c>
      <c r="CI339" s="62">
        <f>SUM(P339:Q339)</f>
        <v>1643.0017483206111</v>
      </c>
      <c r="CJ339" s="62">
        <f>SUM(R339:S339)</f>
        <v>2605.9421129335569</v>
      </c>
      <c r="CK339" s="62">
        <f>SUM(T339:U339)</f>
        <v>1181.7017019119517</v>
      </c>
      <c r="CL339" s="62">
        <f>SUM(V339:W339)</f>
        <v>1020.3571296496945</v>
      </c>
      <c r="CM339" s="62">
        <f>SUM(X339:Y339)</f>
        <v>1550.6945246153844</v>
      </c>
      <c r="CN339" s="62">
        <f>SUM(Z339:AA339)</f>
        <v>2451.7249973274888</v>
      </c>
      <c r="CO339" s="62">
        <f>SUM(AB339:AC339)</f>
        <v>3119.5872456849302</v>
      </c>
      <c r="CP339" s="62">
        <f>SUM(AD339:AE339)</f>
        <v>3790.960998647035</v>
      </c>
      <c r="CQ339" s="62">
        <f>SUM(AF339:AG339)</f>
        <v>3301.5377243740486</v>
      </c>
      <c r="CR339" s="62">
        <f>SUM(AH339:AI339)</f>
        <v>3453.2339350505208</v>
      </c>
      <c r="CS339" s="62">
        <f>SUM(AJ339:AK339)</f>
        <v>3333.9035863667013</v>
      </c>
      <c r="CT339" s="62">
        <f>SUM(AL339:AM339)</f>
        <v>3712.2421144193222</v>
      </c>
      <c r="CU339" s="62">
        <f>SUM(AN339:AO339)</f>
        <v>4248.6836561068685</v>
      </c>
      <c r="CV339" s="62">
        <f>SUM(AP339:AQ339)</f>
        <v>3926.8342578349643</v>
      </c>
      <c r="CW339" s="62">
        <f>SUM(AR339:AS339)</f>
        <v>3728.1848265786093</v>
      </c>
      <c r="CX339" s="62">
        <f>SUM(AT339:AU339)</f>
        <v>3051.5858562734234</v>
      </c>
      <c r="CY339" s="62">
        <f>SUM(AV339:AW339)</f>
        <v>3273.9402997948719</v>
      </c>
      <c r="CZ339" s="220"/>
      <c r="DA339" s="62"/>
      <c r="DB339" s="62"/>
      <c r="DC339" s="62"/>
      <c r="DD339" s="62"/>
      <c r="DE339" s="62"/>
      <c r="DF339" s="62"/>
      <c r="DG339" s="62"/>
      <c r="DH339" s="62"/>
      <c r="DI339" s="62"/>
    </row>
    <row r="340" spans="1:113" ht="12" hidden="1" outlineLevel="2">
      <c r="C340" s="41"/>
      <c r="D340" s="41"/>
      <c r="E340" s="41"/>
      <c r="F340" s="41"/>
      <c r="G340" s="41"/>
      <c r="H340" s="41"/>
      <c r="I340" s="41"/>
      <c r="J340" s="41"/>
      <c r="K340" s="41"/>
      <c r="L340" s="41"/>
      <c r="M340" s="41"/>
      <c r="N340" s="41"/>
      <c r="O340" s="41"/>
      <c r="P340" s="41"/>
      <c r="Q340" s="41"/>
      <c r="R340" s="41"/>
      <c r="S340" s="41"/>
      <c r="T340" s="41"/>
      <c r="U340" s="41"/>
      <c r="V340" s="41"/>
      <c r="W340" s="41"/>
      <c r="X340" s="41"/>
      <c r="Y340" s="41"/>
      <c r="Z340" s="41"/>
      <c r="AA340" s="41"/>
      <c r="AB340" s="41"/>
      <c r="AC340" s="41"/>
      <c r="AD340" s="41"/>
      <c r="AE340" s="41"/>
      <c r="AF340" s="41"/>
      <c r="AG340" s="41"/>
      <c r="AH340" s="41"/>
      <c r="AI340" s="41"/>
      <c r="AJ340" s="41"/>
      <c r="AK340" s="41"/>
      <c r="AL340" s="41"/>
      <c r="AM340" s="41"/>
      <c r="AN340" s="41"/>
      <c r="AO340" s="41"/>
      <c r="AP340" s="41"/>
      <c r="AQ340" s="41"/>
      <c r="AR340" s="41"/>
      <c r="AS340" s="41"/>
      <c r="AT340" s="41"/>
      <c r="AU340" s="41"/>
      <c r="AV340" s="41"/>
      <c r="AW340" s="41"/>
      <c r="AX340" s="41"/>
      <c r="AY340" s="211"/>
      <c r="AZ340" s="41"/>
      <c r="BA340" s="41"/>
      <c r="BB340" s="41"/>
      <c r="BC340" s="41"/>
      <c r="BD340" s="41"/>
      <c r="BE340" s="41"/>
      <c r="BF340" s="41"/>
      <c r="BG340" s="41"/>
      <c r="BH340" s="41"/>
      <c r="BI340" s="41"/>
      <c r="BJ340" s="41"/>
      <c r="BK340" s="41"/>
      <c r="BL340" s="41"/>
      <c r="BM340" s="41"/>
      <c r="BN340" s="41"/>
      <c r="BO340" s="41"/>
      <c r="BP340" s="41"/>
      <c r="BQ340" s="41"/>
      <c r="BR340" s="41"/>
      <c r="BS340" s="41"/>
      <c r="BT340" s="41"/>
      <c r="BU340" s="41"/>
      <c r="BV340" s="41"/>
      <c r="BW340" s="41"/>
      <c r="BX340" s="41"/>
      <c r="BY340" s="41"/>
      <c r="BZ340" s="41"/>
      <c r="CA340" s="41"/>
      <c r="CB340" s="41"/>
      <c r="CC340" s="41"/>
      <c r="CD340" s="41"/>
      <c r="CE340" s="41"/>
      <c r="CF340" s="41"/>
      <c r="CG340" s="41"/>
      <c r="CH340" s="41"/>
      <c r="CI340" s="41"/>
      <c r="CJ340" s="41"/>
      <c r="CK340" s="41"/>
      <c r="CL340" s="41"/>
      <c r="CM340" s="41"/>
      <c r="CN340" s="41"/>
      <c r="CO340" s="41"/>
      <c r="CP340" s="41"/>
      <c r="CQ340" s="41"/>
      <c r="CR340" s="41"/>
      <c r="CS340" s="41"/>
      <c r="CT340" s="41"/>
      <c r="CU340" s="41"/>
      <c r="CV340" s="41"/>
      <c r="CW340" s="41"/>
      <c r="CX340" s="41"/>
      <c r="CY340" s="41"/>
      <c r="CZ340" s="211"/>
      <c r="DA340" s="41"/>
      <c r="DB340" s="41"/>
      <c r="DC340" s="41"/>
      <c r="DD340" s="41"/>
      <c r="DE340" s="41"/>
      <c r="DF340" s="41"/>
      <c r="DG340" s="41"/>
      <c r="DH340" s="41"/>
      <c r="DI340" s="41"/>
    </row>
    <row r="341" spans="1:113" s="17" customFormat="1" ht="12" hidden="1" outlineLevel="2">
      <c r="A341" s="1"/>
      <c r="B341" s="17" t="s">
        <v>342</v>
      </c>
      <c r="C341" s="62"/>
      <c r="D341" s="62"/>
      <c r="E341" s="62"/>
      <c r="F341" s="62"/>
      <c r="G341" s="62"/>
      <c r="H341" s="62"/>
      <c r="I341" s="62"/>
      <c r="J341" s="62"/>
      <c r="K341" s="62"/>
      <c r="L341" s="62"/>
      <c r="M341" s="62"/>
      <c r="N341" s="62"/>
      <c r="O341" s="62"/>
      <c r="P341" s="62"/>
      <c r="Q341" s="62"/>
      <c r="R341" s="62"/>
      <c r="S341" s="62"/>
      <c r="T341" s="62"/>
      <c r="U341" s="62"/>
      <c r="V341" s="62"/>
      <c r="W341" s="62"/>
      <c r="X341" s="62"/>
      <c r="Y341" s="62"/>
      <c r="Z341" s="62"/>
      <c r="AA341" s="62"/>
      <c r="AB341" s="62"/>
      <c r="AC341" s="62"/>
      <c r="AD341" s="62"/>
      <c r="AE341" s="62"/>
      <c r="AF341" s="62"/>
      <c r="AG341" s="62"/>
      <c r="AH341" s="62"/>
      <c r="AI341" s="62"/>
      <c r="AJ341" s="62"/>
      <c r="AK341" s="62"/>
      <c r="AL341" s="62"/>
      <c r="AM341" s="62"/>
      <c r="AN341" s="62"/>
      <c r="AO341" s="62"/>
      <c r="AP341" s="62"/>
      <c r="AQ341" s="62"/>
      <c r="AR341" s="62"/>
      <c r="AS341" s="62"/>
      <c r="AT341" s="62"/>
      <c r="AU341" s="62"/>
      <c r="AV341" s="62"/>
      <c r="AW341" s="62"/>
      <c r="AX341" s="62"/>
      <c r="AY341" s="220"/>
      <c r="AZ341" s="62"/>
      <c r="BA341" s="62"/>
      <c r="BB341" s="62"/>
      <c r="BC341" s="62"/>
      <c r="BD341" s="62"/>
      <c r="BE341" s="62"/>
      <c r="BF341" s="62"/>
      <c r="BG341" s="62"/>
      <c r="BH341" s="62"/>
      <c r="BI341" s="62"/>
      <c r="BJ341" s="62"/>
      <c r="BK341" s="62"/>
      <c r="BL341" s="62"/>
      <c r="BM341" s="62"/>
      <c r="BN341" s="62"/>
      <c r="BO341" s="62"/>
      <c r="BP341" s="62"/>
      <c r="BQ341" s="62"/>
      <c r="BR341" s="62"/>
      <c r="BS341" s="62"/>
      <c r="BT341" s="62"/>
      <c r="BU341" s="62"/>
      <c r="BV341" s="62"/>
      <c r="BW341" s="62"/>
      <c r="BX341" s="62"/>
      <c r="BY341" s="62"/>
      <c r="BZ341" s="62"/>
      <c r="CA341" s="62"/>
      <c r="CB341" s="62"/>
      <c r="CC341" s="62"/>
      <c r="CD341" s="62"/>
      <c r="CE341" s="62"/>
      <c r="CF341" s="62"/>
      <c r="CG341" s="62"/>
      <c r="CH341" s="62"/>
      <c r="CI341" s="62"/>
      <c r="CJ341" s="62"/>
      <c r="CK341" s="62"/>
      <c r="CL341" s="62"/>
      <c r="CM341" s="62"/>
      <c r="CN341" s="62"/>
      <c r="CO341" s="62"/>
      <c r="CP341" s="62"/>
      <c r="CQ341" s="62"/>
      <c r="CR341" s="62"/>
      <c r="CS341" s="62"/>
      <c r="CT341" s="62"/>
      <c r="CU341" s="62"/>
      <c r="CV341" s="62"/>
      <c r="CW341" s="62"/>
      <c r="CX341" s="62"/>
      <c r="CY341" s="62"/>
      <c r="CZ341" s="220"/>
      <c r="DA341" s="62"/>
      <c r="DB341" s="62"/>
      <c r="DC341" s="62"/>
      <c r="DD341" s="62"/>
      <c r="DE341" s="62"/>
      <c r="DF341" s="62"/>
      <c r="DG341" s="62"/>
      <c r="DH341" s="62"/>
      <c r="DI341" s="62"/>
    </row>
    <row r="342" spans="1:113" ht="12" hidden="1" outlineLevel="2">
      <c r="A342" s="1" t="s">
        <v>199</v>
      </c>
      <c r="B342" s="15" t="s">
        <v>164</v>
      </c>
      <c r="C342" s="41"/>
      <c r="D342" s="41"/>
      <c r="E342" s="41"/>
      <c r="F342" s="41"/>
      <c r="G342" s="41"/>
      <c r="H342" s="41"/>
      <c r="I342" s="41"/>
      <c r="J342" s="41"/>
      <c r="K342" s="41"/>
      <c r="L342" s="41"/>
      <c r="M342" s="41"/>
      <c r="N342" s="41"/>
      <c r="O342" s="41"/>
      <c r="P342" s="41"/>
      <c r="Q342" s="41"/>
      <c r="R342" s="41"/>
      <c r="S342" s="41"/>
      <c r="T342" s="41"/>
      <c r="U342" s="41"/>
      <c r="V342" s="41"/>
      <c r="W342" s="41"/>
      <c r="X342" s="41"/>
      <c r="Y342" s="41"/>
      <c r="Z342" s="41"/>
      <c r="AA342" s="41"/>
      <c r="AB342" s="41"/>
      <c r="AC342" s="41"/>
      <c r="AD342" s="41"/>
      <c r="AE342" s="41"/>
      <c r="AF342" s="41"/>
      <c r="AG342" s="41"/>
      <c r="AH342" s="41"/>
      <c r="AI342" s="41"/>
      <c r="AJ342" s="41"/>
      <c r="AK342" s="41"/>
      <c r="AL342" s="41"/>
      <c r="AM342" s="41"/>
      <c r="AN342" s="41"/>
      <c r="AO342" s="41"/>
      <c r="AP342" s="41"/>
      <c r="AQ342" s="41"/>
      <c r="AR342" s="41"/>
      <c r="AS342" s="41"/>
      <c r="AT342" s="41"/>
      <c r="AU342" s="41"/>
      <c r="AV342" s="41"/>
      <c r="AW342" s="41"/>
      <c r="AX342" s="41"/>
      <c r="AY342" s="211"/>
      <c r="AZ342" s="41"/>
      <c r="BA342" s="41"/>
      <c r="BB342" s="41"/>
      <c r="BC342" s="41"/>
      <c r="BD342" s="41"/>
      <c r="BE342" s="41"/>
      <c r="BF342" s="41"/>
      <c r="BG342" s="41"/>
      <c r="BH342" s="41"/>
      <c r="BI342" s="41"/>
      <c r="BJ342" s="41"/>
      <c r="BK342" s="41"/>
      <c r="BL342" s="41"/>
      <c r="BM342" s="41"/>
      <c r="BN342" s="41"/>
      <c r="BO342" s="41"/>
      <c r="BP342" s="41"/>
      <c r="BQ342" s="41"/>
      <c r="BR342" s="41"/>
      <c r="BS342" s="41"/>
      <c r="BT342" s="41"/>
      <c r="BU342" s="41"/>
      <c r="BV342" s="41"/>
      <c r="BW342" s="41"/>
      <c r="BX342" s="41"/>
      <c r="BY342" s="41"/>
      <c r="BZ342" s="41"/>
      <c r="CA342" s="41"/>
      <c r="CB342" s="41"/>
      <c r="CC342" s="41"/>
      <c r="CD342" s="41"/>
      <c r="CE342" s="41"/>
      <c r="CF342" s="41"/>
      <c r="CG342" s="41"/>
      <c r="CH342" s="41"/>
      <c r="CI342" s="41"/>
      <c r="CJ342" s="41"/>
      <c r="CK342" s="41"/>
      <c r="CL342" s="41"/>
      <c r="CM342" s="41"/>
      <c r="CN342" s="41"/>
      <c r="CO342" s="41"/>
      <c r="CP342" s="41"/>
      <c r="CQ342" s="41"/>
      <c r="CR342" s="41"/>
      <c r="CS342" s="41"/>
      <c r="CT342" s="41"/>
      <c r="CU342" s="41"/>
      <c r="CV342" s="41"/>
      <c r="CW342" s="41"/>
      <c r="CX342" s="41"/>
      <c r="CY342" s="41"/>
      <c r="CZ342" s="211"/>
      <c r="DA342" s="41"/>
      <c r="DB342" s="41"/>
      <c r="DC342" s="41"/>
      <c r="DD342" s="41"/>
      <c r="DE342" s="41"/>
      <c r="DF342" s="41"/>
      <c r="DG342" s="41"/>
      <c r="DH342" s="41"/>
      <c r="DI342" s="41"/>
    </row>
    <row r="343" spans="1:113" ht="12" hidden="1" outlineLevel="2">
      <c r="A343" s="1" t="s">
        <v>121</v>
      </c>
      <c r="B343" s="15" t="s">
        <v>344</v>
      </c>
      <c r="C343" s="41"/>
      <c r="D343" s="41"/>
      <c r="E343" s="41"/>
      <c r="F343" s="41"/>
      <c r="G343" s="41"/>
      <c r="H343" s="41"/>
      <c r="I343" s="41"/>
      <c r="J343" s="41"/>
      <c r="K343" s="41"/>
      <c r="L343" s="41"/>
      <c r="M343" s="41"/>
      <c r="N343" s="41"/>
      <c r="O343" s="41"/>
      <c r="P343" s="41"/>
      <c r="Q343" s="41"/>
      <c r="R343" s="41"/>
      <c r="S343" s="41"/>
      <c r="T343" s="41"/>
      <c r="U343" s="41"/>
      <c r="V343" s="41"/>
      <c r="W343" s="41"/>
      <c r="X343" s="41"/>
      <c r="Y343" s="41"/>
      <c r="Z343" s="41"/>
      <c r="AA343" s="41"/>
      <c r="AB343" s="41"/>
      <c r="AC343" s="41"/>
      <c r="AD343" s="41"/>
      <c r="AE343" s="41"/>
      <c r="AF343" s="41"/>
      <c r="AG343" s="41"/>
      <c r="AH343" s="41"/>
      <c r="AI343" s="41"/>
      <c r="AJ343" s="41"/>
      <c r="AK343" s="41"/>
      <c r="AL343" s="41"/>
      <c r="AM343" s="41"/>
      <c r="AN343" s="41"/>
      <c r="AO343" s="41"/>
      <c r="AP343" s="41"/>
      <c r="AQ343" s="41"/>
      <c r="AR343" s="41"/>
      <c r="AS343" s="41"/>
      <c r="AT343" s="41"/>
      <c r="AU343" s="41"/>
      <c r="AV343" s="41"/>
      <c r="AW343" s="41"/>
      <c r="AX343" s="41"/>
      <c r="AY343" s="211"/>
      <c r="AZ343" s="41"/>
      <c r="BA343" s="41"/>
      <c r="BB343" s="41"/>
      <c r="BC343" s="41"/>
      <c r="BD343" s="41"/>
      <c r="BE343" s="41"/>
      <c r="BF343" s="41"/>
      <c r="BG343" s="41"/>
      <c r="BH343" s="41"/>
      <c r="BI343" s="41"/>
      <c r="BJ343" s="41"/>
      <c r="BK343" s="41"/>
      <c r="BL343" s="41"/>
      <c r="BM343" s="41"/>
      <c r="BN343" s="41"/>
      <c r="BO343" s="41"/>
      <c r="BP343" s="41"/>
      <c r="BQ343" s="41"/>
      <c r="BR343" s="41"/>
      <c r="BS343" s="41"/>
      <c r="BT343" s="41"/>
      <c r="BU343" s="41"/>
      <c r="BV343" s="41"/>
      <c r="BW343" s="41"/>
      <c r="BX343" s="41"/>
      <c r="BY343" s="41"/>
      <c r="BZ343" s="41"/>
      <c r="CA343" s="41"/>
      <c r="CB343" s="41"/>
      <c r="CC343" s="41"/>
      <c r="CD343" s="41"/>
      <c r="CE343" s="41"/>
      <c r="CF343" s="41"/>
      <c r="CG343" s="41"/>
      <c r="CH343" s="41"/>
      <c r="CI343" s="41"/>
      <c r="CJ343" s="41"/>
      <c r="CK343" s="41"/>
      <c r="CL343" s="41"/>
      <c r="CM343" s="41"/>
      <c r="CN343" s="41"/>
      <c r="CO343" s="41"/>
      <c r="CP343" s="41"/>
      <c r="CQ343" s="41"/>
      <c r="CR343" s="41"/>
      <c r="CS343" s="41"/>
      <c r="CT343" s="41"/>
      <c r="CU343" s="41"/>
      <c r="CV343" s="41"/>
      <c r="CW343" s="41"/>
      <c r="CX343" s="41"/>
      <c r="CY343" s="41"/>
      <c r="CZ343" s="211"/>
      <c r="DA343" s="41"/>
      <c r="DB343" s="41"/>
      <c r="DC343" s="41"/>
      <c r="DD343" s="41"/>
      <c r="DE343" s="41"/>
      <c r="DF343" s="41"/>
      <c r="DG343" s="41"/>
      <c r="DH343" s="41"/>
      <c r="DI343" s="41"/>
    </row>
    <row r="344" spans="1:113" s="17" customFormat="1" ht="12" hidden="1" outlineLevel="2">
      <c r="A344" s="1" t="s">
        <v>122</v>
      </c>
      <c r="B344" s="17" t="s">
        <v>168</v>
      </c>
      <c r="C344" s="62">
        <f t="shared" ref="C344:AC344" si="3584">C229*C286/C$5</f>
        <v>74.033986027397304</v>
      </c>
      <c r="D344" s="62">
        <f t="shared" si="3584"/>
        <v>2.8465345205479915</v>
      </c>
      <c r="E344" s="62">
        <f t="shared" si="3584"/>
        <v>-30.662743445205514</v>
      </c>
      <c r="F344" s="62">
        <f t="shared" si="3584"/>
        <v>-43.375613634703207</v>
      </c>
      <c r="G344" s="62">
        <f t="shared" si="3584"/>
        <v>-40.612840958904151</v>
      </c>
      <c r="H344" s="62">
        <f t="shared" si="3584"/>
        <v>-50.146249999999974</v>
      </c>
      <c r="I344" s="62">
        <f t="shared" si="3584"/>
        <v>-65.57680400000001</v>
      </c>
      <c r="J344" s="62">
        <f t="shared" si="3584"/>
        <v>-10.82586925022828</v>
      </c>
      <c r="K344" s="62">
        <f t="shared" si="3584"/>
        <v>25.576604980821937</v>
      </c>
      <c r="L344" s="62">
        <f t="shared" si="3584"/>
        <v>49.483043046575311</v>
      </c>
      <c r="M344" s="62">
        <f t="shared" si="3584"/>
        <v>63.583308694625622</v>
      </c>
      <c r="N344" s="62">
        <f t="shared" si="3584"/>
        <v>53.483329331506901</v>
      </c>
      <c r="O344" s="62">
        <f t="shared" si="3584"/>
        <v>33.564430351949355</v>
      </c>
      <c r="P344" s="62">
        <f t="shared" si="3584"/>
        <v>-78.049039083969319</v>
      </c>
      <c r="Q344" s="62">
        <f t="shared" si="3584"/>
        <v>-190.36000580152682</v>
      </c>
      <c r="R344" s="62">
        <f t="shared" si="3584"/>
        <v>137.24763352328762</v>
      </c>
      <c r="S344" s="62">
        <f t="shared" si="3584"/>
        <v>117.48526387200673</v>
      </c>
      <c r="T344" s="62">
        <f t="shared" si="3584"/>
        <v>63.731293150684756</v>
      </c>
      <c r="U344" s="62">
        <f t="shared" si="3584"/>
        <v>31.87361455610165</v>
      </c>
      <c r="V344" s="62">
        <f t="shared" si="3584"/>
        <v>-44.440370410957485</v>
      </c>
      <c r="W344" s="62">
        <f t="shared" si="3584"/>
        <v>-147.15069697793589</v>
      </c>
      <c r="X344" s="62">
        <f t="shared" si="3584"/>
        <v>-44.628819230769842</v>
      </c>
      <c r="Y344" s="62">
        <f t="shared" si="3584"/>
        <v>105.75423461538507</v>
      </c>
      <c r="Z344" s="62">
        <f t="shared" si="3584"/>
        <v>76.459057621916756</v>
      </c>
      <c r="AA344" s="62">
        <f t="shared" si="3584"/>
        <v>107.69270335041229</v>
      </c>
      <c r="AB344" s="62">
        <f t="shared" si="3584"/>
        <v>130.87476821917679</v>
      </c>
      <c r="AC344" s="62">
        <f t="shared" si="3584"/>
        <v>60.480578767123333</v>
      </c>
      <c r="AD344" s="62">
        <f t="shared" ref="AD344" si="3585">AD229*AD286/AD$5</f>
        <v>121.01029991452</v>
      </c>
      <c r="AE344" s="62">
        <f t="shared" ref="AE344:AF344" si="3586">AE229*AE286/AE$5</f>
        <v>373.89885220537519</v>
      </c>
      <c r="AF344" s="62">
        <f t="shared" si="3586"/>
        <v>398.39545496183325</v>
      </c>
      <c r="AG344" s="62">
        <f t="shared" ref="AG344:AL344" si="3587">AG229*AG286/AG$5</f>
        <v>466.44004963740502</v>
      </c>
      <c r="AH344" s="62">
        <f t="shared" si="3587"/>
        <v>521.36317045041096</v>
      </c>
      <c r="AI344" s="62">
        <f t="shared" si="3587"/>
        <v>530.87896248539721</v>
      </c>
      <c r="AJ344" s="62">
        <f t="shared" si="3587"/>
        <v>479.02332010958912</v>
      </c>
      <c r="AK344" s="62">
        <f t="shared" si="3587"/>
        <v>568.33251511485753</v>
      </c>
      <c r="AL344" s="62">
        <f t="shared" si="3587"/>
        <v>856.75628010958781</v>
      </c>
      <c r="AM344" s="62">
        <f t="shared" ref="AM344:AN344" si="3588">AM229*AM286/AM$5</f>
        <v>1066.0270654041617</v>
      </c>
      <c r="AN344" s="62">
        <f t="shared" si="3588"/>
        <v>1061.1939496183202</v>
      </c>
      <c r="AO344" s="62">
        <f t="shared" ref="AO344" si="3589">AO229*AO286/AO$5</f>
        <v>1302.5978335877862</v>
      </c>
      <c r="AP344" s="62">
        <f t="shared" ref="AP344:AQ344" si="3590">AP229*AP286/AP$5</f>
        <v>571.81241884830035</v>
      </c>
      <c r="AQ344" s="62">
        <f t="shared" si="3590"/>
        <v>545.82614498434441</v>
      </c>
      <c r="AR344" s="62">
        <f t="shared" ref="AR344:AS344" si="3591">AR229*AR286/AR$5</f>
        <v>659.17285774465745</v>
      </c>
      <c r="AS344" s="62">
        <f t="shared" si="3591"/>
        <v>608.77372292669656</v>
      </c>
      <c r="AT344" s="62">
        <f t="shared" ref="AT344:AU344" si="3592">AT229*AT286/AT$5</f>
        <v>1269.1872181534243</v>
      </c>
      <c r="AU344" s="62">
        <f t="shared" si="3592"/>
        <v>1082.1960677245725</v>
      </c>
      <c r="AV344" s="62">
        <f t="shared" ref="AV344:AW344" si="3593">AV229*AV286/AV$5</f>
        <v>943.01843894230774</v>
      </c>
      <c r="AW344" s="62">
        <f t="shared" si="3593"/>
        <v>892.24189866666688</v>
      </c>
      <c r="AX344" s="62">
        <f t="shared" ref="AX344" si="3594">AX229*AX286/AX$5</f>
        <v>842.10827197625576</v>
      </c>
      <c r="AY344" s="220"/>
      <c r="AZ344" s="62"/>
      <c r="BA344" s="62"/>
      <c r="BB344" s="62"/>
      <c r="BC344" s="62"/>
      <c r="BD344" s="62"/>
      <c r="BE344" s="62"/>
      <c r="BF344" s="62"/>
      <c r="BG344" s="62"/>
      <c r="BH344" s="62"/>
      <c r="BI344" s="62"/>
      <c r="BJ344" s="62"/>
      <c r="BK344" s="62"/>
      <c r="BL344" s="62"/>
      <c r="BM344" s="62"/>
      <c r="BN344" s="62"/>
      <c r="BO344" s="62"/>
      <c r="BP344" s="62"/>
      <c r="BQ344" s="62"/>
      <c r="BR344" s="62"/>
      <c r="BS344" s="62">
        <f t="shared" ref="BS344:CB344" si="3595">BS229*BS286/BS$5</f>
        <v>245.73856941477979</v>
      </c>
      <c r="BT344" s="62">
        <f t="shared" si="3595"/>
        <v>253.19940485062594</v>
      </c>
      <c r="BU344" s="62">
        <f t="shared" si="3595"/>
        <v>253.08442499999998</v>
      </c>
      <c r="BV344" s="62">
        <f t="shared" si="3595"/>
        <v>130.77804583333335</v>
      </c>
      <c r="BW344" s="62">
        <f t="shared" si="3595"/>
        <v>213.00218333333322</v>
      </c>
      <c r="BX344" s="62">
        <f t="shared" si="3595"/>
        <v>418.98456233333343</v>
      </c>
      <c r="BY344" s="62">
        <f t="shared" si="3595"/>
        <v>595.73374999999976</v>
      </c>
      <c r="BZ344" s="62">
        <f t="shared" si="3595"/>
        <v>584.62760149999986</v>
      </c>
      <c r="CA344" s="62">
        <f t="shared" si="3595"/>
        <v>404.49502846153871</v>
      </c>
      <c r="CB344" s="62">
        <f t="shared" si="3595"/>
        <v>168.73720999999949</v>
      </c>
      <c r="CC344" s="62">
        <f>SUM(D344:E344)</f>
        <v>-27.816208924657523</v>
      </c>
      <c r="CD344" s="62">
        <f>SUM(F344:G344)</f>
        <v>-83.988454593607358</v>
      </c>
      <c r="CE344" s="62">
        <f>SUM(H344:I344)</f>
        <v>-115.72305399999999</v>
      </c>
      <c r="CF344" s="62">
        <f>SUM(J344:K344)</f>
        <v>14.750735730593657</v>
      </c>
      <c r="CG344" s="62">
        <f>SUM(L344:M344)</f>
        <v>113.06635174120093</v>
      </c>
      <c r="CH344" s="62">
        <f>SUM(N344:O344)</f>
        <v>87.047759683456263</v>
      </c>
      <c r="CI344" s="62">
        <f>SUM(P344:Q344)</f>
        <v>-268.40904488549614</v>
      </c>
      <c r="CJ344" s="62">
        <f>SUM(R344:S344)</f>
        <v>254.73289739529434</v>
      </c>
      <c r="CK344" s="62">
        <f>SUM(T344:U344)</f>
        <v>95.604907706786406</v>
      </c>
      <c r="CL344" s="62">
        <f>SUM(V344:W344)</f>
        <v>-191.59106738889338</v>
      </c>
      <c r="CM344" s="62">
        <f>SUM(X344:Y344)</f>
        <v>61.125415384615231</v>
      </c>
      <c r="CN344" s="62">
        <f>SUM(Z344:AA344)</f>
        <v>184.15176097232904</v>
      </c>
      <c r="CO344" s="62">
        <f>SUM(AB344:AC344)</f>
        <v>191.35534698630011</v>
      </c>
      <c r="CP344" s="62">
        <f>SUM(AD344:AE344)</f>
        <v>494.90915211989523</v>
      </c>
      <c r="CQ344" s="62">
        <f>SUM(AF344:AG344)</f>
        <v>864.83550459923822</v>
      </c>
      <c r="CR344" s="62">
        <f>SUM(AH344:AI344)</f>
        <v>1052.2421329358081</v>
      </c>
      <c r="CS344" s="62">
        <f>SUM(AJ344:AK344)</f>
        <v>1047.3558352244468</v>
      </c>
      <c r="CT344" s="62">
        <f>SUM(AL344:AM344)</f>
        <v>1922.7833455137495</v>
      </c>
      <c r="CU344" s="62">
        <f>SUM(AN344:AO344)</f>
        <v>2363.7917832061066</v>
      </c>
      <c r="CV344" s="62">
        <f>SUM(AP344:AQ344)</f>
        <v>1117.6385638326446</v>
      </c>
      <c r="CW344" s="62">
        <f>SUM(AR344:AS344)</f>
        <v>1267.946580671354</v>
      </c>
      <c r="CX344" s="62">
        <f>SUM(AT344:AU344)</f>
        <v>2351.383285877997</v>
      </c>
      <c r="CY344" s="62">
        <f>SUM(AV344:AW344)</f>
        <v>1835.2603376089746</v>
      </c>
      <c r="CZ344" s="220"/>
      <c r="DA344" s="62"/>
      <c r="DB344" s="62"/>
      <c r="DC344" s="62"/>
      <c r="DD344" s="62"/>
      <c r="DE344" s="62"/>
      <c r="DF344" s="62"/>
      <c r="DG344" s="62"/>
      <c r="DH344" s="62"/>
      <c r="DI344" s="62"/>
    </row>
    <row r="345" spans="1:113" ht="12" hidden="1" outlineLevel="2">
      <c r="C345" s="41"/>
      <c r="D345" s="41"/>
      <c r="E345" s="41"/>
      <c r="F345" s="41"/>
      <c r="G345" s="41"/>
      <c r="H345" s="41"/>
      <c r="I345" s="41"/>
      <c r="J345" s="41"/>
      <c r="K345" s="41"/>
      <c r="L345" s="41"/>
      <c r="M345" s="41"/>
      <c r="N345" s="41"/>
      <c r="O345" s="41"/>
      <c r="P345" s="41"/>
      <c r="Q345" s="41"/>
      <c r="R345" s="41"/>
      <c r="S345" s="41"/>
      <c r="T345" s="41"/>
      <c r="U345" s="41"/>
      <c r="V345" s="41"/>
      <c r="W345" s="41"/>
      <c r="X345" s="41"/>
      <c r="Y345" s="41"/>
      <c r="Z345" s="41"/>
      <c r="AA345" s="41"/>
      <c r="AB345" s="41"/>
      <c r="AC345" s="41"/>
      <c r="AD345" s="41"/>
      <c r="AE345" s="41"/>
      <c r="AF345" s="41"/>
      <c r="AG345" s="41"/>
      <c r="AH345" s="41"/>
      <c r="AI345" s="41"/>
      <c r="AJ345" s="41"/>
      <c r="AK345" s="41"/>
      <c r="AL345" s="41"/>
      <c r="AM345" s="41"/>
      <c r="AN345" s="41"/>
      <c r="AO345" s="41"/>
      <c r="AP345" s="41"/>
      <c r="AQ345" s="41"/>
      <c r="AR345" s="41"/>
      <c r="AS345" s="41"/>
      <c r="AT345" s="41"/>
      <c r="AU345" s="41"/>
      <c r="AV345" s="41"/>
      <c r="AW345" s="41"/>
      <c r="AX345" s="41"/>
      <c r="AY345" s="211"/>
      <c r="AZ345" s="41"/>
      <c r="BA345" s="41"/>
      <c r="BB345" s="41"/>
      <c r="BC345" s="41"/>
      <c r="BD345" s="41"/>
      <c r="BE345" s="41"/>
      <c r="BF345" s="41"/>
      <c r="BG345" s="41"/>
      <c r="BH345" s="41"/>
      <c r="BI345" s="41"/>
      <c r="BJ345" s="41"/>
      <c r="BK345" s="41"/>
      <c r="BL345" s="41"/>
      <c r="BM345" s="41"/>
      <c r="BN345" s="41"/>
      <c r="BO345" s="41"/>
      <c r="BP345" s="41"/>
      <c r="BQ345" s="41"/>
      <c r="BR345" s="41"/>
      <c r="BS345" s="41"/>
      <c r="BT345" s="41"/>
      <c r="BU345" s="41"/>
      <c r="BV345" s="41"/>
      <c r="BW345" s="41"/>
      <c r="BX345" s="41"/>
      <c r="BY345" s="41"/>
      <c r="BZ345" s="41"/>
      <c r="CA345" s="41"/>
      <c r="CB345" s="41"/>
      <c r="CC345" s="41"/>
      <c r="CD345" s="41"/>
      <c r="CE345" s="41"/>
      <c r="CF345" s="41"/>
      <c r="CG345" s="41"/>
      <c r="CH345" s="41"/>
      <c r="CI345" s="41"/>
      <c r="CJ345" s="41"/>
      <c r="CK345" s="41"/>
      <c r="CL345" s="41"/>
      <c r="CM345" s="41"/>
      <c r="CN345" s="41"/>
      <c r="CO345" s="41"/>
      <c r="CP345" s="41"/>
      <c r="CQ345" s="41"/>
      <c r="CR345" s="41"/>
      <c r="CS345" s="41"/>
      <c r="CT345" s="41"/>
      <c r="CU345" s="41"/>
      <c r="CV345" s="41"/>
      <c r="CW345" s="41"/>
      <c r="CX345" s="41"/>
      <c r="CY345" s="41"/>
      <c r="CZ345" s="211"/>
      <c r="DA345" s="41"/>
      <c r="DB345" s="41"/>
      <c r="DC345" s="41"/>
      <c r="DD345" s="41"/>
      <c r="DE345" s="41"/>
      <c r="DF345" s="41"/>
      <c r="DG345" s="41"/>
      <c r="DH345" s="41"/>
      <c r="DI345" s="41"/>
    </row>
    <row r="346" spans="1:113" s="17" customFormat="1" ht="12" hidden="1" outlineLevel="2">
      <c r="A346" s="1"/>
      <c r="B346" s="17" t="s">
        <v>343</v>
      </c>
      <c r="C346" s="62"/>
      <c r="D346" s="62"/>
      <c r="E346" s="62"/>
      <c r="F346" s="62"/>
      <c r="G346" s="62"/>
      <c r="H346" s="62"/>
      <c r="I346" s="62"/>
      <c r="J346" s="62"/>
      <c r="K346" s="62"/>
      <c r="L346" s="62"/>
      <c r="M346" s="62"/>
      <c r="N346" s="62"/>
      <c r="O346" s="62"/>
      <c r="P346" s="62"/>
      <c r="Q346" s="62"/>
      <c r="R346" s="62"/>
      <c r="S346" s="62"/>
      <c r="T346" s="62"/>
      <c r="U346" s="62"/>
      <c r="V346" s="62"/>
      <c r="W346" s="62"/>
      <c r="X346" s="62"/>
      <c r="Y346" s="62"/>
      <c r="Z346" s="62"/>
      <c r="AA346" s="62"/>
      <c r="AB346" s="62"/>
      <c r="AC346" s="62"/>
      <c r="AD346" s="62"/>
      <c r="AE346" s="62"/>
      <c r="AF346" s="62"/>
      <c r="AG346" s="62"/>
      <c r="AH346" s="62"/>
      <c r="AI346" s="62"/>
      <c r="AJ346" s="62"/>
      <c r="AK346" s="62"/>
      <c r="AL346" s="62"/>
      <c r="AM346" s="62"/>
      <c r="AN346" s="62"/>
      <c r="AO346" s="62"/>
      <c r="AP346" s="62"/>
      <c r="AQ346" s="62"/>
      <c r="AR346" s="62"/>
      <c r="AS346" s="62"/>
      <c r="AT346" s="62"/>
      <c r="AU346" s="62"/>
      <c r="AV346" s="62"/>
      <c r="AW346" s="62"/>
      <c r="AX346" s="62"/>
      <c r="AY346" s="220"/>
      <c r="AZ346" s="62"/>
      <c r="BA346" s="62"/>
      <c r="BB346" s="62"/>
      <c r="BC346" s="62"/>
      <c r="BD346" s="62"/>
      <c r="BE346" s="62"/>
      <c r="BF346" s="62"/>
      <c r="BG346" s="62"/>
      <c r="BH346" s="62"/>
      <c r="BI346" s="62"/>
      <c r="BJ346" s="62"/>
      <c r="BK346" s="62"/>
      <c r="BL346" s="62"/>
      <c r="BM346" s="62"/>
      <c r="BN346" s="62"/>
      <c r="BO346" s="62"/>
      <c r="BP346" s="62"/>
      <c r="BQ346" s="62"/>
      <c r="BR346" s="62"/>
      <c r="BS346" s="62"/>
      <c r="BT346" s="62"/>
      <c r="BU346" s="62"/>
      <c r="BV346" s="62"/>
      <c r="BW346" s="62"/>
      <c r="BX346" s="62"/>
      <c r="BY346" s="62"/>
      <c r="BZ346" s="62"/>
      <c r="CA346" s="62"/>
      <c r="CB346" s="62"/>
      <c r="CC346" s="62"/>
      <c r="CD346" s="62"/>
      <c r="CE346" s="62"/>
      <c r="CF346" s="62"/>
      <c r="CG346" s="62"/>
      <c r="CH346" s="62"/>
      <c r="CI346" s="62"/>
      <c r="CJ346" s="62"/>
      <c r="CK346" s="62"/>
      <c r="CL346" s="62"/>
      <c r="CM346" s="62"/>
      <c r="CN346" s="62"/>
      <c r="CO346" s="62"/>
      <c r="CP346" s="62"/>
      <c r="CQ346" s="62"/>
      <c r="CR346" s="62"/>
      <c r="CS346" s="62"/>
      <c r="CT346" s="62"/>
      <c r="CU346" s="62"/>
      <c r="CV346" s="62"/>
      <c r="CW346" s="62"/>
      <c r="CX346" s="62"/>
      <c r="CY346" s="62"/>
      <c r="CZ346" s="220"/>
      <c r="DA346" s="62"/>
      <c r="DB346" s="62"/>
      <c r="DC346" s="62"/>
      <c r="DD346" s="62"/>
      <c r="DE346" s="62"/>
      <c r="DF346" s="62"/>
      <c r="DG346" s="62"/>
      <c r="DH346" s="62"/>
      <c r="DI346" s="62"/>
    </row>
    <row r="347" spans="1:113" ht="12" hidden="1" outlineLevel="2">
      <c r="A347" s="1" t="s">
        <v>123</v>
      </c>
      <c r="B347" s="15" t="s">
        <v>164</v>
      </c>
      <c r="C347" s="41"/>
      <c r="D347" s="41"/>
      <c r="E347" s="41"/>
      <c r="F347" s="41"/>
      <c r="G347" s="41"/>
      <c r="H347" s="41"/>
      <c r="I347" s="41"/>
      <c r="J347" s="41"/>
      <c r="K347" s="41"/>
      <c r="L347" s="41"/>
      <c r="M347" s="41"/>
      <c r="N347" s="41"/>
      <c r="O347" s="41"/>
      <c r="P347" s="41"/>
      <c r="Q347" s="41"/>
      <c r="R347" s="41"/>
      <c r="S347" s="41"/>
      <c r="T347" s="41"/>
      <c r="U347" s="41"/>
      <c r="V347" s="41"/>
      <c r="W347" s="41"/>
      <c r="X347" s="41"/>
      <c r="Y347" s="41"/>
      <c r="Z347" s="41"/>
      <c r="AA347" s="41"/>
      <c r="AB347" s="41"/>
      <c r="AC347" s="41"/>
      <c r="AD347" s="41"/>
      <c r="AE347" s="41"/>
      <c r="AF347" s="41"/>
      <c r="AG347" s="41"/>
      <c r="AH347" s="41"/>
      <c r="AI347" s="41"/>
      <c r="AJ347" s="41"/>
      <c r="AK347" s="41"/>
      <c r="AL347" s="41"/>
      <c r="AM347" s="41"/>
      <c r="AN347" s="41"/>
      <c r="AO347" s="41"/>
      <c r="AP347" s="41"/>
      <c r="AQ347" s="41"/>
      <c r="AR347" s="41"/>
      <c r="AS347" s="41"/>
      <c r="AT347" s="41"/>
      <c r="AU347" s="41"/>
      <c r="AV347" s="41"/>
      <c r="AW347" s="41"/>
      <c r="AX347" s="41"/>
      <c r="AY347" s="211"/>
      <c r="AZ347" s="41"/>
      <c r="BA347" s="41"/>
      <c r="BB347" s="41"/>
      <c r="BC347" s="41"/>
      <c r="BD347" s="41"/>
      <c r="BE347" s="41"/>
      <c r="BF347" s="41"/>
      <c r="BG347" s="41"/>
      <c r="BH347" s="41"/>
      <c r="BI347" s="41"/>
      <c r="BJ347" s="41"/>
      <c r="BK347" s="41"/>
      <c r="BL347" s="41"/>
      <c r="BM347" s="41"/>
      <c r="BN347" s="41"/>
      <c r="BO347" s="41"/>
      <c r="BP347" s="41"/>
      <c r="BQ347" s="41"/>
      <c r="BR347" s="41"/>
      <c r="BS347" s="41"/>
      <c r="BT347" s="41"/>
      <c r="BU347" s="41"/>
      <c r="BV347" s="41"/>
      <c r="BW347" s="41"/>
      <c r="BX347" s="41"/>
      <c r="BY347" s="41"/>
      <c r="BZ347" s="41"/>
      <c r="CA347" s="41"/>
      <c r="CB347" s="41"/>
      <c r="CC347" s="41"/>
      <c r="CD347" s="41"/>
      <c r="CE347" s="41"/>
      <c r="CF347" s="41"/>
      <c r="CG347" s="41"/>
      <c r="CH347" s="41"/>
      <c r="CI347" s="41"/>
      <c r="CJ347" s="41"/>
      <c r="CK347" s="41"/>
      <c r="CL347" s="41"/>
      <c r="CM347" s="41"/>
      <c r="CN347" s="41"/>
      <c r="CO347" s="41"/>
      <c r="CP347" s="41"/>
      <c r="CQ347" s="41"/>
      <c r="CR347" s="41"/>
      <c r="CS347" s="41"/>
      <c r="CT347" s="41"/>
      <c r="CU347" s="41"/>
      <c r="CV347" s="41"/>
      <c r="CW347" s="41"/>
      <c r="CX347" s="41"/>
      <c r="CY347" s="41"/>
      <c r="CZ347" s="211"/>
      <c r="DA347" s="41"/>
      <c r="DB347" s="41"/>
      <c r="DC347" s="41"/>
      <c r="DD347" s="41"/>
      <c r="DE347" s="41"/>
      <c r="DF347" s="41"/>
      <c r="DG347" s="41"/>
      <c r="DH347" s="41"/>
      <c r="DI347" s="41"/>
    </row>
    <row r="348" spans="1:113" ht="12" hidden="1" outlineLevel="2">
      <c r="A348" s="1" t="s">
        <v>124</v>
      </c>
      <c r="B348" s="15" t="s">
        <v>344</v>
      </c>
      <c r="C348" s="41"/>
      <c r="D348" s="41"/>
      <c r="E348" s="41"/>
      <c r="F348" s="41"/>
      <c r="G348" s="41"/>
      <c r="H348" s="41"/>
      <c r="I348" s="41"/>
      <c r="J348" s="41"/>
      <c r="K348" s="41"/>
      <c r="L348" s="41"/>
      <c r="M348" s="41"/>
      <c r="N348" s="41"/>
      <c r="O348" s="41"/>
      <c r="P348" s="41"/>
      <c r="Q348" s="41"/>
      <c r="R348" s="41"/>
      <c r="S348" s="41"/>
      <c r="T348" s="41"/>
      <c r="U348" s="41"/>
      <c r="V348" s="41"/>
      <c r="W348" s="41"/>
      <c r="X348" s="41"/>
      <c r="Y348" s="41"/>
      <c r="Z348" s="41"/>
      <c r="AA348" s="41"/>
      <c r="AB348" s="41"/>
      <c r="AC348" s="41"/>
      <c r="AD348" s="41"/>
      <c r="AE348" s="41"/>
      <c r="AF348" s="41"/>
      <c r="AG348" s="41"/>
      <c r="AH348" s="41"/>
      <c r="AI348" s="41"/>
      <c r="AJ348" s="41"/>
      <c r="AK348" s="41"/>
      <c r="AL348" s="41"/>
      <c r="AM348" s="41"/>
      <c r="AN348" s="41"/>
      <c r="AO348" s="41"/>
      <c r="AP348" s="41"/>
      <c r="AQ348" s="41"/>
      <c r="AR348" s="41"/>
      <c r="AS348" s="41"/>
      <c r="AT348" s="41"/>
      <c r="AU348" s="41"/>
      <c r="AV348" s="41"/>
      <c r="AW348" s="41"/>
      <c r="AX348" s="41"/>
      <c r="AY348" s="211"/>
      <c r="AZ348" s="41"/>
      <c r="BA348" s="41"/>
      <c r="BB348" s="41"/>
      <c r="BC348" s="41"/>
      <c r="BD348" s="41"/>
      <c r="BE348" s="41"/>
      <c r="BF348" s="41"/>
      <c r="BG348" s="41"/>
      <c r="BH348" s="41"/>
      <c r="BI348" s="41"/>
      <c r="BJ348" s="41"/>
      <c r="BK348" s="41"/>
      <c r="BL348" s="41"/>
      <c r="BM348" s="41"/>
      <c r="BN348" s="41"/>
      <c r="BO348" s="41"/>
      <c r="BP348" s="41"/>
      <c r="BQ348" s="41"/>
      <c r="BR348" s="41"/>
      <c r="BS348" s="41"/>
      <c r="BT348" s="41"/>
      <c r="BU348" s="41"/>
      <c r="BV348" s="41"/>
      <c r="BW348" s="41"/>
      <c r="BX348" s="41"/>
      <c r="BY348" s="41"/>
      <c r="BZ348" s="41"/>
      <c r="CA348" s="41"/>
      <c r="CB348" s="41"/>
      <c r="CC348" s="41"/>
      <c r="CD348" s="41"/>
      <c r="CE348" s="41"/>
      <c r="CF348" s="41"/>
      <c r="CG348" s="41"/>
      <c r="CH348" s="41"/>
      <c r="CI348" s="41"/>
      <c r="CJ348" s="41"/>
      <c r="CK348" s="41"/>
      <c r="CL348" s="41"/>
      <c r="CM348" s="41"/>
      <c r="CN348" s="41"/>
      <c r="CO348" s="41"/>
      <c r="CP348" s="41"/>
      <c r="CQ348" s="41"/>
      <c r="CR348" s="41"/>
      <c r="CS348" s="41"/>
      <c r="CT348" s="41"/>
      <c r="CU348" s="41"/>
      <c r="CV348" s="41"/>
      <c r="CW348" s="41"/>
      <c r="CX348" s="41"/>
      <c r="CY348" s="41"/>
      <c r="CZ348" s="211"/>
      <c r="DA348" s="41"/>
      <c r="DB348" s="41"/>
      <c r="DC348" s="41"/>
      <c r="DD348" s="41"/>
      <c r="DE348" s="41"/>
      <c r="DF348" s="41"/>
      <c r="DG348" s="41"/>
      <c r="DH348" s="41"/>
      <c r="DI348" s="41"/>
    </row>
    <row r="349" spans="1:113" s="17" customFormat="1" ht="12" hidden="1" outlineLevel="2">
      <c r="A349" s="1" t="s">
        <v>125</v>
      </c>
      <c r="B349" s="17" t="s">
        <v>584</v>
      </c>
      <c r="C349" s="62">
        <f t="shared" ref="C349:AC349" si="3596">IF(ROUND(C234*C291/C$5,5)=ROUND(C334+C339+C344,5),C234*C291/C$5,"Error")</f>
        <v>934.58363584931567</v>
      </c>
      <c r="D349" s="62">
        <f t="shared" si="3596"/>
        <v>923.93790301369893</v>
      </c>
      <c r="E349" s="62">
        <f t="shared" si="3596"/>
        <v>718.22671370136993</v>
      </c>
      <c r="F349" s="62">
        <f t="shared" si="3596"/>
        <v>895.17264637351559</v>
      </c>
      <c r="G349" s="62">
        <f t="shared" si="3596"/>
        <v>999.57141499999921</v>
      </c>
      <c r="H349" s="62">
        <f t="shared" si="3596"/>
        <v>832.28312500000015</v>
      </c>
      <c r="I349" s="62">
        <f t="shared" si="3596"/>
        <v>1173.0877839999991</v>
      </c>
      <c r="J349" s="62">
        <f t="shared" si="3596"/>
        <v>1998.2012735287681</v>
      </c>
      <c r="K349" s="62">
        <f t="shared" si="3596"/>
        <v>2288.6827213287679</v>
      </c>
      <c r="L349" s="62">
        <f t="shared" si="3596"/>
        <v>2473.4046588931506</v>
      </c>
      <c r="M349" s="62">
        <f t="shared" si="3596"/>
        <v>2214.5051413945125</v>
      </c>
      <c r="N349" s="62">
        <f t="shared" si="3596"/>
        <v>2206.0925707945225</v>
      </c>
      <c r="O349" s="62">
        <f t="shared" si="3596"/>
        <v>2351.5881181976811</v>
      </c>
      <c r="P349" s="62">
        <f t="shared" si="3596"/>
        <v>1909.1010314503844</v>
      </c>
      <c r="Q349" s="62">
        <f t="shared" si="3596"/>
        <v>2031.418858053433</v>
      </c>
      <c r="R349" s="62">
        <f t="shared" si="3596"/>
        <v>5383.4928942575334</v>
      </c>
      <c r="S349" s="62">
        <f t="shared" si="3596"/>
        <v>4799.8959704833233</v>
      </c>
      <c r="T349" s="62">
        <f t="shared" si="3596"/>
        <v>3986.6571421369822</v>
      </c>
      <c r="U349" s="62">
        <f t="shared" si="3596"/>
        <v>4078.7153289762637</v>
      </c>
      <c r="V349" s="62">
        <f t="shared" si="3596"/>
        <v>4228.4515194520718</v>
      </c>
      <c r="W349" s="62">
        <f t="shared" si="3596"/>
        <v>4297.0204162208493</v>
      </c>
      <c r="X349" s="62">
        <f t="shared" si="3596"/>
        <v>4790.1684876923018</v>
      </c>
      <c r="Y349" s="62">
        <f t="shared" si="3596"/>
        <v>5898.9859623076964</v>
      </c>
      <c r="Z349" s="62">
        <f t="shared" si="3596"/>
        <v>6232.6520067835545</v>
      </c>
      <c r="AA349" s="62">
        <f t="shared" si="3596"/>
        <v>6463.9083693987186</v>
      </c>
      <c r="AB349" s="62">
        <f t="shared" si="3596"/>
        <v>6503.1681238356059</v>
      </c>
      <c r="AC349" s="62">
        <f t="shared" si="3596"/>
        <v>6629.7148571232883</v>
      </c>
      <c r="AD349" s="62">
        <f t="shared" ref="AD349" si="3597">IF(ROUND(AD234*AD291/AD$5,5)=ROUND(AD334+AD339+AD344,5),AD234*AD291/AD$5,"Error")</f>
        <v>6797.3060434147892</v>
      </c>
      <c r="AE349" s="62">
        <f t="shared" ref="AE349:AF349" si="3598">IF(ROUND(AE234*AE291/AE$5,5)=ROUND(AE334+AE339+AE344,5),AE234*AE291/AE$5,"Error")</f>
        <v>7481.9073107455833</v>
      </c>
      <c r="AF349" s="62">
        <f t="shared" si="3598"/>
        <v>7322.7068290076422</v>
      </c>
      <c r="AG349" s="62">
        <f t="shared" ref="AG349:AH349" si="3599">IF(ROUND(AG234*AG291/AG$5,5)=ROUND(AG334+AG339+AG344,5),AG234*AG291/AG$5,"Error")</f>
        <v>7908.690718301531</v>
      </c>
      <c r="AH349" s="62">
        <f t="shared" si="3599"/>
        <v>7928.4930560920538</v>
      </c>
      <c r="AI349" s="62">
        <f t="shared" ref="AI349:AJ349" si="3600">IF(ROUND(AI234*AI291/AI$5,5)=ROUND(AI334+AI339+AI344,5),AI234*AI291/AI$5,"Error")</f>
        <v>8276.3373749811508</v>
      </c>
      <c r="AJ349" s="62">
        <f t="shared" si="3600"/>
        <v>7988.0769731506871</v>
      </c>
      <c r="AK349" s="62">
        <f t="shared" ref="AK349:AL349" si="3601">IF(ROUND(AK234*AK291/AK$5,5)=ROUND(AK334+AK339+AK344,5),AK234*AK291/AK$5,"Error")</f>
        <v>7640.2521090305581</v>
      </c>
      <c r="AL349" s="62">
        <f t="shared" si="3601"/>
        <v>8120.5109854246466</v>
      </c>
      <c r="AM349" s="62">
        <f t="shared" ref="AM349:AN349" si="3602">IF(ROUND(AM234*AM291/AM$5,5)=ROUND(AM334+AM339+AM344,5),AM234*AM291/AM$5,"Error")</f>
        <v>9478.8798555244193</v>
      </c>
      <c r="AN349" s="62">
        <f t="shared" si="3602"/>
        <v>9689.9019240457983</v>
      </c>
      <c r="AO349" s="62">
        <f t="shared" ref="AO349" si="3603">IF(ROUND(AO234*AO291/AO$5,5)=ROUND(AO334+AO339+AO344,5),AO234*AO291/AO$5,"Error")</f>
        <v>10014.9195129771</v>
      </c>
      <c r="AP349" s="62">
        <f t="shared" ref="AP349:AQ349" si="3604">IF(ROUND(AP234*AP291/AP$5,5)=ROUND(AP334+AP339+AP344,5),AP234*AP291/AP$5,"Error")</f>
        <v>9036.1409210299335</v>
      </c>
      <c r="AQ349" s="62">
        <f t="shared" si="3604"/>
        <v>8757.0523896144823</v>
      </c>
      <c r="AR349" s="62">
        <f t="shared" ref="AR349:AS349" si="3605">IF(ROUND(AR234*AR291/AR$5,5)=ROUND(AR334+AR339+AR344,5),AR234*AR291/AR$5,"Error")</f>
        <v>8670.5814050060289</v>
      </c>
      <c r="AS349" s="62">
        <f t="shared" si="3605"/>
        <v>6416.5711182379982</v>
      </c>
      <c r="AT349" s="62">
        <f t="shared" ref="AT349:AU349" si="3606">IF(ROUND(AT234*AT291/AT$5,5)=ROUND(AT334+AT339+AT344,5),AT234*AT291/AT$5,"Error")</f>
        <v>7440.7602154734241</v>
      </c>
      <c r="AU349" s="62">
        <f t="shared" si="3606"/>
        <v>7177.2929058057489</v>
      </c>
      <c r="AV349" s="62">
        <f t="shared" ref="AV349:AW349" si="3607">IF(ROUND(AV234*AV291/AV$5,5)=ROUND(AV334+AV339+AV344,5),AV234*AV291/AV$5,"Error")</f>
        <v>7602.0375109615388</v>
      </c>
      <c r="AW349" s="62">
        <f t="shared" si="3607"/>
        <v>8014.8136959999993</v>
      </c>
      <c r="AX349" s="62">
        <f t="shared" ref="AX349" si="3608">IF(ROUND(AX234*AX291/AX$5,5)=ROUND(AX334+AX339+AX344,5),AX234*AX291/AX$5,"Error")</f>
        <v>8669.4737407689518</v>
      </c>
      <c r="AY349" s="220"/>
      <c r="AZ349" s="62"/>
      <c r="BA349" s="62"/>
      <c r="BB349" s="62"/>
      <c r="BC349" s="62"/>
      <c r="BD349" s="62"/>
      <c r="BE349" s="62"/>
      <c r="BF349" s="62"/>
      <c r="BG349" s="62"/>
      <c r="BH349" s="62"/>
      <c r="BI349" s="62"/>
      <c r="BJ349" s="62"/>
      <c r="BK349" s="62"/>
      <c r="BL349" s="62"/>
      <c r="BM349" s="62"/>
      <c r="BN349" s="62"/>
      <c r="BO349" s="62"/>
      <c r="BP349" s="62"/>
      <c r="BQ349" s="62"/>
      <c r="BR349" s="62"/>
      <c r="BS349" s="62">
        <f t="shared" ref="BS349:CB349" si="3609">IF(ROUND(BS234*BS291/BS$5,5)=ROUND(BS334+BS339+BS344,5),BS234*BS291/BS$5,"Error")</f>
        <v>2168.5690749999985</v>
      </c>
      <c r="BT349" s="62">
        <f t="shared" si="3609"/>
        <v>2221.7983999999992</v>
      </c>
      <c r="BU349" s="62">
        <f t="shared" si="3609"/>
        <v>2028.2683699999998</v>
      </c>
      <c r="BV349" s="62">
        <f t="shared" si="3609"/>
        <v>1454.7792083333331</v>
      </c>
      <c r="BW349" s="62">
        <f t="shared" si="3609"/>
        <v>1983.8949066666657</v>
      </c>
      <c r="BX349" s="62">
        <f t="shared" si="3609"/>
        <v>2677.3504170000006</v>
      </c>
      <c r="BY349" s="62">
        <f t="shared" si="3609"/>
        <v>2875.077499999999</v>
      </c>
      <c r="BZ349" s="62">
        <f t="shared" si="3609"/>
        <v>2603.2567422499997</v>
      </c>
      <c r="CA349" s="62">
        <f t="shared" si="3609"/>
        <v>2069.0815338461553</v>
      </c>
      <c r="CB349" s="62">
        <f t="shared" si="3609"/>
        <v>2517.0545899999956</v>
      </c>
      <c r="CC349" s="62">
        <f t="shared" ref="CC349:CC354" si="3610">SUM(D349:E349)</f>
        <v>1642.1646167150689</v>
      </c>
      <c r="CD349" s="62">
        <f t="shared" ref="CD349:CD354" si="3611">SUM(F349:G349)</f>
        <v>1894.7440613735148</v>
      </c>
      <c r="CE349" s="62">
        <f t="shared" ref="CE349:CE354" si="3612">SUM(H349:I349)</f>
        <v>2005.3709089999993</v>
      </c>
      <c r="CF349" s="62">
        <f t="shared" ref="CF349:CF354" si="3613">SUM(J349:K349)</f>
        <v>4286.883994857536</v>
      </c>
      <c r="CG349" s="62">
        <f t="shared" ref="CG349:CG354" si="3614">SUM(L349:M349)</f>
        <v>4687.9098002876635</v>
      </c>
      <c r="CH349" s="62">
        <f t="shared" ref="CH349:CH354" si="3615">SUM(N349:O349)</f>
        <v>4557.6806889922036</v>
      </c>
      <c r="CI349" s="62">
        <f t="shared" ref="CI349:CI354" si="3616">SUM(P349:Q349)</f>
        <v>3940.5198895038175</v>
      </c>
      <c r="CJ349" s="62">
        <f t="shared" ref="CJ349:CJ354" si="3617">SUM(R349:S349)</f>
        <v>10183.388864740857</v>
      </c>
      <c r="CK349" s="62">
        <f t="shared" ref="CK349:CK354" si="3618">SUM(T349:U349)</f>
        <v>8065.3724711132454</v>
      </c>
      <c r="CL349" s="62">
        <f t="shared" ref="CL349:CL354" si="3619">SUM(V349:W349)</f>
        <v>8525.471935672922</v>
      </c>
      <c r="CM349" s="62">
        <f t="shared" ref="CM349:CM354" si="3620">SUM(X349:Y349)</f>
        <v>10689.154449999998</v>
      </c>
      <c r="CN349" s="62">
        <f t="shared" ref="CN349:CN354" si="3621">SUM(Z349:AA349)</f>
        <v>12696.560376182273</v>
      </c>
      <c r="CO349" s="62">
        <f t="shared" ref="CO349:CO354" si="3622">SUM(AB349:AC349)</f>
        <v>13132.882980958893</v>
      </c>
      <c r="CP349" s="62">
        <f t="shared" ref="CP349:CP354" si="3623">SUM(AD349:AE349)</f>
        <v>14279.213354160373</v>
      </c>
      <c r="CQ349" s="62">
        <f t="shared" ref="CQ349:CQ354" si="3624">SUM(AF349:AG349)</f>
        <v>15231.397547309174</v>
      </c>
      <c r="CR349" s="62">
        <f t="shared" ref="CR349:CR354" si="3625">SUM(AH349:AI349)</f>
        <v>16204.830431073206</v>
      </c>
      <c r="CS349" s="62">
        <f t="shared" ref="CS349:CS354" si="3626">SUM(AJ349:AK349)</f>
        <v>15628.329082181244</v>
      </c>
      <c r="CT349" s="62">
        <f t="shared" ref="CT349:CT354" si="3627">SUM(AL349:AM349)</f>
        <v>17599.390840949065</v>
      </c>
      <c r="CU349" s="62">
        <f t="shared" ref="CU349:CU354" si="3628">SUM(AN349:AO349)</f>
        <v>19704.821437022896</v>
      </c>
      <c r="CV349" s="62">
        <f t="shared" ref="CV349:CV354" si="3629">SUM(AP349:AQ349)</f>
        <v>17793.193310644416</v>
      </c>
      <c r="CW349" s="62">
        <f t="shared" ref="CW349:CW354" si="3630">SUM(AR349:AS349)</f>
        <v>15087.152523244027</v>
      </c>
      <c r="CX349" s="62">
        <f t="shared" ref="CX349:CX354" si="3631">SUM(AT349:AU349)</f>
        <v>14618.053121279172</v>
      </c>
      <c r="CY349" s="62">
        <f t="shared" ref="CY349:CY354" si="3632">SUM(AV349:AW349)</f>
        <v>15616.851206961539</v>
      </c>
      <c r="CZ349" s="220"/>
      <c r="DA349" s="62"/>
      <c r="DB349" s="62"/>
      <c r="DC349" s="62"/>
      <c r="DD349" s="62"/>
      <c r="DE349" s="62"/>
      <c r="DF349" s="62"/>
      <c r="DG349" s="62"/>
      <c r="DH349" s="62"/>
      <c r="DI349" s="62"/>
    </row>
    <row r="350" spans="1:113" ht="12" hidden="1" outlineLevel="2">
      <c r="A350" s="1" t="s">
        <v>126</v>
      </c>
      <c r="B350" s="15" t="s">
        <v>345</v>
      </c>
      <c r="C350" s="41">
        <f t="shared" ref="C350:AC350" si="3633">C235*C292/C$5</f>
        <v>0</v>
      </c>
      <c r="D350" s="41">
        <f t="shared" si="3633"/>
        <v>0</v>
      </c>
      <c r="E350" s="41">
        <f t="shared" si="3633"/>
        <v>0</v>
      </c>
      <c r="F350" s="41">
        <f t="shared" si="3633"/>
        <v>0</v>
      </c>
      <c r="G350" s="41">
        <f t="shared" si="3633"/>
        <v>0</v>
      </c>
      <c r="H350" s="41">
        <f t="shared" si="3633"/>
        <v>0</v>
      </c>
      <c r="I350" s="41">
        <f t="shared" si="3633"/>
        <v>0</v>
      </c>
      <c r="J350" s="41">
        <f t="shared" si="3633"/>
        <v>0</v>
      </c>
      <c r="K350" s="41">
        <f t="shared" si="3633"/>
        <v>0</v>
      </c>
      <c r="L350" s="41">
        <f t="shared" si="3633"/>
        <v>0</v>
      </c>
      <c r="M350" s="41">
        <f t="shared" si="3633"/>
        <v>0</v>
      </c>
      <c r="N350" s="41">
        <f t="shared" si="3633"/>
        <v>0</v>
      </c>
      <c r="O350" s="41">
        <f t="shared" si="3633"/>
        <v>0</v>
      </c>
      <c r="P350" s="41">
        <f t="shared" si="3633"/>
        <v>0</v>
      </c>
      <c r="Q350" s="41">
        <f t="shared" si="3633"/>
        <v>0</v>
      </c>
      <c r="R350" s="41">
        <f t="shared" si="3633"/>
        <v>0</v>
      </c>
      <c r="S350" s="41">
        <f t="shared" si="3633"/>
        <v>0</v>
      </c>
      <c r="T350" s="41">
        <f t="shared" si="3633"/>
        <v>0</v>
      </c>
      <c r="U350" s="41">
        <f t="shared" si="3633"/>
        <v>0</v>
      </c>
      <c r="V350" s="41">
        <f t="shared" si="3633"/>
        <v>0</v>
      </c>
      <c r="W350" s="41">
        <f t="shared" si="3633"/>
        <v>0</v>
      </c>
      <c r="X350" s="41">
        <f t="shared" si="3633"/>
        <v>0</v>
      </c>
      <c r="Y350" s="41">
        <f t="shared" si="3633"/>
        <v>0</v>
      </c>
      <c r="Z350" s="41">
        <f t="shared" si="3633"/>
        <v>0</v>
      </c>
      <c r="AA350" s="41">
        <f t="shared" si="3633"/>
        <v>0</v>
      </c>
      <c r="AB350" s="41">
        <f t="shared" si="3633"/>
        <v>0</v>
      </c>
      <c r="AC350" s="41">
        <f t="shared" si="3633"/>
        <v>0</v>
      </c>
      <c r="AD350" s="41">
        <f t="shared" ref="AD350" si="3634">AD235*AD292/AD$5</f>
        <v>0</v>
      </c>
      <c r="AE350" s="41">
        <f t="shared" ref="AE350:AF350" si="3635">AE235*AE292/AE$5</f>
        <v>0</v>
      </c>
      <c r="AF350" s="41">
        <f t="shared" si="3635"/>
        <v>0</v>
      </c>
      <c r="AG350" s="41">
        <f t="shared" ref="AG350:AH350" si="3636">AG235*AG292/AG$5</f>
        <v>0</v>
      </c>
      <c r="AH350" s="41">
        <f t="shared" si="3636"/>
        <v>0</v>
      </c>
      <c r="AI350" s="41">
        <f t="shared" ref="AI350:AJ350" si="3637">AI235*AI292/AI$5</f>
        <v>0</v>
      </c>
      <c r="AJ350" s="41">
        <f t="shared" si="3637"/>
        <v>0</v>
      </c>
      <c r="AK350" s="41">
        <f t="shared" ref="AK350:AL350" si="3638">AK235*AK292/AK$5</f>
        <v>0</v>
      </c>
      <c r="AL350" s="41">
        <f t="shared" si="3638"/>
        <v>0</v>
      </c>
      <c r="AM350" s="41">
        <f t="shared" ref="AM350:AN350" si="3639">AM235*AM292/AM$5</f>
        <v>0</v>
      </c>
      <c r="AN350" s="41">
        <f t="shared" si="3639"/>
        <v>0</v>
      </c>
      <c r="AO350" s="41">
        <f t="shared" ref="AO350" si="3640">AO235*AO292/AO$5</f>
        <v>0</v>
      </c>
      <c r="AP350" s="41">
        <f t="shared" ref="AP350:AQ350" si="3641">AP235*AP292/AP$5</f>
        <v>0</v>
      </c>
      <c r="AQ350" s="41">
        <f t="shared" si="3641"/>
        <v>0</v>
      </c>
      <c r="AR350" s="41">
        <f t="shared" ref="AR350:AS350" si="3642">AR235*AR292/AR$5</f>
        <v>0</v>
      </c>
      <c r="AS350" s="41">
        <f t="shared" si="3642"/>
        <v>0</v>
      </c>
      <c r="AT350" s="41">
        <f t="shared" ref="AT350:AU350" si="3643">AT235*AT292/AT$5</f>
        <v>0</v>
      </c>
      <c r="AU350" s="41">
        <f t="shared" si="3643"/>
        <v>0</v>
      </c>
      <c r="AV350" s="41">
        <f t="shared" ref="AV350:AW350" si="3644">AV235*AV292/AV$5</f>
        <v>0</v>
      </c>
      <c r="AW350" s="41">
        <f t="shared" si="3644"/>
        <v>0</v>
      </c>
      <c r="AX350" s="41">
        <f t="shared" ref="AX350" si="3645">AX235*AX292/AX$5</f>
        <v>0</v>
      </c>
      <c r="AY350" s="211"/>
      <c r="AZ350" s="41"/>
      <c r="BA350" s="41"/>
      <c r="BB350" s="41"/>
      <c r="BC350" s="41"/>
      <c r="BD350" s="41"/>
      <c r="BE350" s="41"/>
      <c r="BF350" s="41"/>
      <c r="BG350" s="41"/>
      <c r="BH350" s="41"/>
      <c r="BI350" s="41"/>
      <c r="BJ350" s="41"/>
      <c r="BK350" s="41"/>
      <c r="BL350" s="41"/>
      <c r="BM350" s="41"/>
      <c r="BN350" s="41"/>
      <c r="BO350" s="41"/>
      <c r="BP350" s="41"/>
      <c r="BQ350" s="41"/>
      <c r="BR350" s="41"/>
      <c r="BS350" s="41">
        <f t="shared" ref="BS350:CB350" si="3646">BS235*BS292/BS$5</f>
        <v>0</v>
      </c>
      <c r="BT350" s="41">
        <f t="shared" si="3646"/>
        <v>0</v>
      </c>
      <c r="BU350" s="41">
        <f t="shared" si="3646"/>
        <v>0</v>
      </c>
      <c r="BV350" s="41">
        <f t="shared" si="3646"/>
        <v>0</v>
      </c>
      <c r="BW350" s="41">
        <f t="shared" si="3646"/>
        <v>0</v>
      </c>
      <c r="BX350" s="41">
        <f t="shared" si="3646"/>
        <v>0</v>
      </c>
      <c r="BY350" s="41">
        <f t="shared" si="3646"/>
        <v>0</v>
      </c>
      <c r="BZ350" s="41">
        <f t="shared" si="3646"/>
        <v>0</v>
      </c>
      <c r="CA350" s="41">
        <f t="shared" si="3646"/>
        <v>0</v>
      </c>
      <c r="CB350" s="41">
        <f t="shared" si="3646"/>
        <v>0</v>
      </c>
      <c r="CC350" s="41">
        <f t="shared" si="3610"/>
        <v>0</v>
      </c>
      <c r="CD350" s="41">
        <f t="shared" si="3611"/>
        <v>0</v>
      </c>
      <c r="CE350" s="41">
        <f t="shared" si="3612"/>
        <v>0</v>
      </c>
      <c r="CF350" s="41">
        <f t="shared" si="3613"/>
        <v>0</v>
      </c>
      <c r="CG350" s="41">
        <f t="shared" si="3614"/>
        <v>0</v>
      </c>
      <c r="CH350" s="41">
        <f t="shared" si="3615"/>
        <v>0</v>
      </c>
      <c r="CI350" s="41">
        <f t="shared" si="3616"/>
        <v>0</v>
      </c>
      <c r="CJ350" s="41">
        <f t="shared" si="3617"/>
        <v>0</v>
      </c>
      <c r="CK350" s="41">
        <f t="shared" si="3618"/>
        <v>0</v>
      </c>
      <c r="CL350" s="41">
        <f t="shared" si="3619"/>
        <v>0</v>
      </c>
      <c r="CM350" s="41">
        <f t="shared" si="3620"/>
        <v>0</v>
      </c>
      <c r="CN350" s="41">
        <f t="shared" si="3621"/>
        <v>0</v>
      </c>
      <c r="CO350" s="41">
        <f t="shared" si="3622"/>
        <v>0</v>
      </c>
      <c r="CP350" s="41">
        <f t="shared" si="3623"/>
        <v>0</v>
      </c>
      <c r="CQ350" s="41">
        <f t="shared" si="3624"/>
        <v>0</v>
      </c>
      <c r="CR350" s="41">
        <f t="shared" si="3625"/>
        <v>0</v>
      </c>
      <c r="CS350" s="41">
        <f t="shared" si="3626"/>
        <v>0</v>
      </c>
      <c r="CT350" s="41">
        <f t="shared" si="3627"/>
        <v>0</v>
      </c>
      <c r="CU350" s="41">
        <f t="shared" si="3628"/>
        <v>0</v>
      </c>
      <c r="CV350" s="41">
        <f t="shared" si="3629"/>
        <v>0</v>
      </c>
      <c r="CW350" s="41">
        <f t="shared" si="3630"/>
        <v>0</v>
      </c>
      <c r="CX350" s="41">
        <f t="shared" si="3631"/>
        <v>0</v>
      </c>
      <c r="CY350" s="41">
        <f t="shared" si="3632"/>
        <v>0</v>
      </c>
      <c r="CZ350" s="211"/>
      <c r="DA350" s="41"/>
      <c r="DB350" s="41"/>
      <c r="DC350" s="41"/>
      <c r="DD350" s="41"/>
      <c r="DE350" s="41"/>
      <c r="DF350" s="41"/>
      <c r="DG350" s="41"/>
      <c r="DH350" s="41"/>
      <c r="DI350" s="41"/>
    </row>
    <row r="351" spans="1:113" ht="12" hidden="1" outlineLevel="2">
      <c r="A351" s="1" t="s">
        <v>127</v>
      </c>
      <c r="B351" s="15" t="s">
        <v>589</v>
      </c>
      <c r="C351" s="41">
        <f t="shared" ref="C351:AC351" si="3647">C236*C293/C$5</f>
        <v>0</v>
      </c>
      <c r="D351" s="41">
        <f t="shared" si="3647"/>
        <v>0</v>
      </c>
      <c r="E351" s="41">
        <f t="shared" si="3647"/>
        <v>0</v>
      </c>
      <c r="F351" s="41">
        <f t="shared" si="3647"/>
        <v>0</v>
      </c>
      <c r="G351" s="41">
        <f t="shared" si="3647"/>
        <v>0</v>
      </c>
      <c r="H351" s="41">
        <f t="shared" si="3647"/>
        <v>0</v>
      </c>
      <c r="I351" s="41">
        <f t="shared" si="3647"/>
        <v>0</v>
      </c>
      <c r="J351" s="41">
        <f t="shared" si="3647"/>
        <v>0</v>
      </c>
      <c r="K351" s="41">
        <f t="shared" si="3647"/>
        <v>0</v>
      </c>
      <c r="L351" s="41">
        <f t="shared" si="3647"/>
        <v>0</v>
      </c>
      <c r="M351" s="41">
        <f t="shared" si="3647"/>
        <v>0</v>
      </c>
      <c r="N351" s="41">
        <f t="shared" si="3647"/>
        <v>0</v>
      </c>
      <c r="O351" s="41">
        <f t="shared" si="3647"/>
        <v>0</v>
      </c>
      <c r="P351" s="41">
        <f t="shared" si="3647"/>
        <v>0</v>
      </c>
      <c r="Q351" s="41">
        <f t="shared" si="3647"/>
        <v>0</v>
      </c>
      <c r="R351" s="41">
        <f t="shared" si="3647"/>
        <v>0</v>
      </c>
      <c r="S351" s="41">
        <f t="shared" si="3647"/>
        <v>0</v>
      </c>
      <c r="T351" s="41">
        <f t="shared" si="3647"/>
        <v>0</v>
      </c>
      <c r="U351" s="41">
        <f t="shared" si="3647"/>
        <v>0</v>
      </c>
      <c r="V351" s="41">
        <f t="shared" si="3647"/>
        <v>0</v>
      </c>
      <c r="W351" s="41">
        <f t="shared" si="3647"/>
        <v>0</v>
      </c>
      <c r="X351" s="41">
        <f t="shared" si="3647"/>
        <v>0</v>
      </c>
      <c r="Y351" s="41">
        <f t="shared" si="3647"/>
        <v>0</v>
      </c>
      <c r="Z351" s="41">
        <f t="shared" si="3647"/>
        <v>0</v>
      </c>
      <c r="AA351" s="41">
        <f t="shared" si="3647"/>
        <v>0</v>
      </c>
      <c r="AB351" s="41">
        <f t="shared" si="3647"/>
        <v>0</v>
      </c>
      <c r="AC351" s="41">
        <f t="shared" si="3647"/>
        <v>0</v>
      </c>
      <c r="AD351" s="41">
        <f t="shared" ref="AD351" si="3648">AD236*AD293/AD$5</f>
        <v>0</v>
      </c>
      <c r="AE351" s="41">
        <f t="shared" ref="AE351:AF351" si="3649">AE236*AE293/AE$5</f>
        <v>0</v>
      </c>
      <c r="AF351" s="41">
        <f t="shared" si="3649"/>
        <v>0</v>
      </c>
      <c r="AG351" s="41">
        <f t="shared" ref="AG351:AH351" si="3650">AG236*AG293/AG$5</f>
        <v>0</v>
      </c>
      <c r="AH351" s="41">
        <f t="shared" si="3650"/>
        <v>0</v>
      </c>
      <c r="AI351" s="41">
        <f t="shared" ref="AI351:AJ351" si="3651">AI236*AI293/AI$5</f>
        <v>0</v>
      </c>
      <c r="AJ351" s="41">
        <f t="shared" si="3651"/>
        <v>0</v>
      </c>
      <c r="AK351" s="41">
        <f t="shared" ref="AK351:AL351" si="3652">AK236*AK293/AK$5</f>
        <v>0</v>
      </c>
      <c r="AL351" s="41">
        <f t="shared" si="3652"/>
        <v>0</v>
      </c>
      <c r="AM351" s="41">
        <f t="shared" ref="AM351:AN351" si="3653">AM236*AM293/AM$5</f>
        <v>0</v>
      </c>
      <c r="AN351" s="41">
        <f t="shared" si="3653"/>
        <v>0</v>
      </c>
      <c r="AO351" s="41">
        <f t="shared" ref="AO351" si="3654">AO236*AO293/AO$5</f>
        <v>0</v>
      </c>
      <c r="AP351" s="41">
        <f t="shared" ref="AP351:AQ351" si="3655">AP236*AP293/AP$5</f>
        <v>0</v>
      </c>
      <c r="AQ351" s="41">
        <f t="shared" si="3655"/>
        <v>0</v>
      </c>
      <c r="AR351" s="41">
        <f t="shared" ref="AR351:AS351" si="3656">AR236*AR293/AR$5</f>
        <v>0</v>
      </c>
      <c r="AS351" s="41">
        <f t="shared" si="3656"/>
        <v>0</v>
      </c>
      <c r="AT351" s="41">
        <f t="shared" ref="AT351:AU351" si="3657">AT236*AT293/AT$5</f>
        <v>0</v>
      </c>
      <c r="AU351" s="41">
        <f t="shared" si="3657"/>
        <v>0</v>
      </c>
      <c r="AV351" s="41">
        <f t="shared" ref="AV351:AW351" si="3658">AV236*AV293/AV$5</f>
        <v>0</v>
      </c>
      <c r="AW351" s="41">
        <f t="shared" si="3658"/>
        <v>0</v>
      </c>
      <c r="AX351" s="41">
        <f t="shared" ref="AX351" si="3659">AX236*AX293/AX$5</f>
        <v>0</v>
      </c>
      <c r="AY351" s="211"/>
      <c r="AZ351" s="41"/>
      <c r="BA351" s="41"/>
      <c r="BB351" s="41"/>
      <c r="BC351" s="41"/>
      <c r="BD351" s="41"/>
      <c r="BE351" s="41"/>
      <c r="BF351" s="41"/>
      <c r="BG351" s="41"/>
      <c r="BH351" s="41"/>
      <c r="BI351" s="41"/>
      <c r="BJ351" s="41"/>
      <c r="BK351" s="41"/>
      <c r="BL351" s="41"/>
      <c r="BM351" s="41"/>
      <c r="BN351" s="41"/>
      <c r="BO351" s="41"/>
      <c r="BP351" s="41"/>
      <c r="BQ351" s="41"/>
      <c r="BR351" s="41"/>
      <c r="BS351" s="41">
        <f t="shared" ref="BS351:CB351" si="3660">BS236*BS293/BS$5</f>
        <v>0</v>
      </c>
      <c r="BT351" s="41">
        <f t="shared" si="3660"/>
        <v>0</v>
      </c>
      <c r="BU351" s="41">
        <f t="shared" si="3660"/>
        <v>0</v>
      </c>
      <c r="BV351" s="41">
        <f t="shared" si="3660"/>
        <v>0</v>
      </c>
      <c r="BW351" s="41">
        <f t="shared" si="3660"/>
        <v>0</v>
      </c>
      <c r="BX351" s="41">
        <f t="shared" si="3660"/>
        <v>0</v>
      </c>
      <c r="BY351" s="41">
        <f t="shared" si="3660"/>
        <v>0</v>
      </c>
      <c r="BZ351" s="41">
        <f t="shared" si="3660"/>
        <v>0</v>
      </c>
      <c r="CA351" s="41">
        <f t="shared" si="3660"/>
        <v>0</v>
      </c>
      <c r="CB351" s="41">
        <f t="shared" si="3660"/>
        <v>0</v>
      </c>
      <c r="CC351" s="41">
        <f t="shared" si="3610"/>
        <v>0</v>
      </c>
      <c r="CD351" s="41">
        <f t="shared" si="3611"/>
        <v>0</v>
      </c>
      <c r="CE351" s="41">
        <f t="shared" si="3612"/>
        <v>0</v>
      </c>
      <c r="CF351" s="41">
        <f t="shared" si="3613"/>
        <v>0</v>
      </c>
      <c r="CG351" s="41">
        <f t="shared" si="3614"/>
        <v>0</v>
      </c>
      <c r="CH351" s="41">
        <f t="shared" si="3615"/>
        <v>0</v>
      </c>
      <c r="CI351" s="41">
        <f t="shared" si="3616"/>
        <v>0</v>
      </c>
      <c r="CJ351" s="41">
        <f t="shared" si="3617"/>
        <v>0</v>
      </c>
      <c r="CK351" s="41">
        <f t="shared" si="3618"/>
        <v>0</v>
      </c>
      <c r="CL351" s="41">
        <f t="shared" si="3619"/>
        <v>0</v>
      </c>
      <c r="CM351" s="41">
        <f t="shared" si="3620"/>
        <v>0</v>
      </c>
      <c r="CN351" s="41">
        <f t="shared" si="3621"/>
        <v>0</v>
      </c>
      <c r="CO351" s="41">
        <f t="shared" si="3622"/>
        <v>0</v>
      </c>
      <c r="CP351" s="41">
        <f t="shared" si="3623"/>
        <v>0</v>
      </c>
      <c r="CQ351" s="41">
        <f t="shared" si="3624"/>
        <v>0</v>
      </c>
      <c r="CR351" s="41">
        <f t="shared" si="3625"/>
        <v>0</v>
      </c>
      <c r="CS351" s="41">
        <f t="shared" si="3626"/>
        <v>0</v>
      </c>
      <c r="CT351" s="41">
        <f t="shared" si="3627"/>
        <v>0</v>
      </c>
      <c r="CU351" s="41">
        <f t="shared" si="3628"/>
        <v>0</v>
      </c>
      <c r="CV351" s="41">
        <f t="shared" si="3629"/>
        <v>0</v>
      </c>
      <c r="CW351" s="41">
        <f t="shared" si="3630"/>
        <v>0</v>
      </c>
      <c r="CX351" s="41">
        <f t="shared" si="3631"/>
        <v>0</v>
      </c>
      <c r="CY351" s="41">
        <f t="shared" si="3632"/>
        <v>0</v>
      </c>
      <c r="CZ351" s="211"/>
      <c r="DA351" s="41"/>
      <c r="DB351" s="41"/>
      <c r="DC351" s="41"/>
      <c r="DD351" s="41"/>
      <c r="DE351" s="41"/>
      <c r="DF351" s="41"/>
      <c r="DG351" s="41"/>
      <c r="DH351" s="41"/>
      <c r="DI351" s="41"/>
    </row>
    <row r="352" spans="1:113" s="17" customFormat="1" ht="12" hidden="1" outlineLevel="2">
      <c r="A352" s="1" t="s">
        <v>128</v>
      </c>
      <c r="B352" s="17" t="s">
        <v>590</v>
      </c>
      <c r="C352" s="62">
        <f t="shared" ref="C352:AC352" si="3661">IF(C237*C294/C$5=C349+C350+C351,C237*C294/C$5,"Error")</f>
        <v>934.58363584931567</v>
      </c>
      <c r="D352" s="62">
        <f t="shared" si="3661"/>
        <v>923.93790301369893</v>
      </c>
      <c r="E352" s="62">
        <f t="shared" si="3661"/>
        <v>718.22671370136993</v>
      </c>
      <c r="F352" s="62">
        <f t="shared" si="3661"/>
        <v>895.17264637351559</v>
      </c>
      <c r="G352" s="62">
        <f t="shared" si="3661"/>
        <v>999.57141499999921</v>
      </c>
      <c r="H352" s="62">
        <f t="shared" si="3661"/>
        <v>832.28312500000015</v>
      </c>
      <c r="I352" s="62">
        <f t="shared" si="3661"/>
        <v>1173.0877839999991</v>
      </c>
      <c r="J352" s="62">
        <f t="shared" si="3661"/>
        <v>1998.2012735287681</v>
      </c>
      <c r="K352" s="62">
        <f t="shared" si="3661"/>
        <v>2288.6827213287679</v>
      </c>
      <c r="L352" s="62">
        <f t="shared" si="3661"/>
        <v>2473.4046588931506</v>
      </c>
      <c r="M352" s="62">
        <f t="shared" si="3661"/>
        <v>2214.5051413945125</v>
      </c>
      <c r="N352" s="62">
        <f t="shared" si="3661"/>
        <v>2206.0925707945225</v>
      </c>
      <c r="O352" s="62">
        <f t="shared" si="3661"/>
        <v>2351.5881181976811</v>
      </c>
      <c r="P352" s="62">
        <f t="shared" si="3661"/>
        <v>1909.1010314503844</v>
      </c>
      <c r="Q352" s="62">
        <f t="shared" si="3661"/>
        <v>2031.418858053433</v>
      </c>
      <c r="R352" s="62">
        <f t="shared" si="3661"/>
        <v>5383.4928942575334</v>
      </c>
      <c r="S352" s="62">
        <f t="shared" si="3661"/>
        <v>4799.8959704833233</v>
      </c>
      <c r="T352" s="62">
        <f t="shared" si="3661"/>
        <v>3986.6571421369822</v>
      </c>
      <c r="U352" s="62">
        <f t="shared" si="3661"/>
        <v>4078.7153289762637</v>
      </c>
      <c r="V352" s="62">
        <f t="shared" si="3661"/>
        <v>4228.4515194520718</v>
      </c>
      <c r="W352" s="62">
        <f t="shared" si="3661"/>
        <v>4297.0204162208493</v>
      </c>
      <c r="X352" s="62">
        <f t="shared" si="3661"/>
        <v>4790.1684876923018</v>
      </c>
      <c r="Y352" s="62">
        <f t="shared" si="3661"/>
        <v>5898.9859623076964</v>
      </c>
      <c r="Z352" s="62">
        <f t="shared" si="3661"/>
        <v>6232.6520067835545</v>
      </c>
      <c r="AA352" s="62">
        <f t="shared" si="3661"/>
        <v>6463.9083693987186</v>
      </c>
      <c r="AB352" s="62">
        <f t="shared" si="3661"/>
        <v>6503.1681238356059</v>
      </c>
      <c r="AC352" s="62">
        <f t="shared" si="3661"/>
        <v>6629.7148571232883</v>
      </c>
      <c r="AD352" s="62">
        <f t="shared" ref="AD352" si="3662">IF(AD237*AD294/AD$5=AD349+AD350+AD351,AD237*AD294/AD$5,"Error")</f>
        <v>6797.3060434147892</v>
      </c>
      <c r="AE352" s="62">
        <f t="shared" ref="AE352:AF352" si="3663">IF(AE237*AE294/AE$5=AE349+AE350+AE351,AE237*AE294/AE$5,"Error")</f>
        <v>7481.9073107455833</v>
      </c>
      <c r="AF352" s="62">
        <f t="shared" si="3663"/>
        <v>7322.7068290076422</v>
      </c>
      <c r="AG352" s="62">
        <f t="shared" ref="AG352:AH352" si="3664">IF(AG237*AG294/AG$5=AG349+AG350+AG351,AG237*AG294/AG$5,"Error")</f>
        <v>7908.690718301531</v>
      </c>
      <c r="AH352" s="62">
        <f t="shared" si="3664"/>
        <v>7928.4930560920538</v>
      </c>
      <c r="AI352" s="62">
        <f t="shared" ref="AI352:AJ352" si="3665">IF(AI237*AI294/AI$5=AI349+AI350+AI351,AI237*AI294/AI$5,"Error")</f>
        <v>8276.3373749811508</v>
      </c>
      <c r="AJ352" s="62">
        <f t="shared" si="3665"/>
        <v>7988.0769731506871</v>
      </c>
      <c r="AK352" s="62">
        <f t="shared" ref="AK352:AL352" si="3666">IF(AK237*AK294/AK$5=AK349+AK350+AK351,AK237*AK294/AK$5,"Error")</f>
        <v>7640.2521090305581</v>
      </c>
      <c r="AL352" s="62">
        <f t="shared" si="3666"/>
        <v>8120.5109854246466</v>
      </c>
      <c r="AM352" s="62">
        <f t="shared" ref="AM352:AN352" si="3667">IF(AM237*AM294/AM$5=AM349+AM350+AM351,AM237*AM294/AM$5,"Error")</f>
        <v>9478.8798555244193</v>
      </c>
      <c r="AN352" s="62">
        <f t="shared" si="3667"/>
        <v>9689.9019240457983</v>
      </c>
      <c r="AO352" s="62">
        <f t="shared" ref="AO352" si="3668">IF(AO237*AO294/AO$5=AO349+AO350+AO351,AO237*AO294/AO$5,"Error")</f>
        <v>10014.9195129771</v>
      </c>
      <c r="AP352" s="62">
        <f t="shared" ref="AP352:AQ352" si="3669">IF(AP237*AP294/AP$5=AP349+AP350+AP351,AP237*AP294/AP$5,"Error")</f>
        <v>9036.1409210299335</v>
      </c>
      <c r="AQ352" s="62">
        <f t="shared" si="3669"/>
        <v>8757.0523896144823</v>
      </c>
      <c r="AR352" s="62">
        <f t="shared" ref="AR352:AS352" si="3670">IF(AR237*AR294/AR$5=AR349+AR350+AR351,AR237*AR294/AR$5,"Error")</f>
        <v>8670.5814050060289</v>
      </c>
      <c r="AS352" s="62">
        <f t="shared" si="3670"/>
        <v>6416.5711182379982</v>
      </c>
      <c r="AT352" s="62">
        <f t="shared" ref="AT352:AU352" si="3671">IF(AT237*AT294/AT$5=AT349+AT350+AT351,AT237*AT294/AT$5,"Error")</f>
        <v>7440.7602154734241</v>
      </c>
      <c r="AU352" s="62">
        <f t="shared" si="3671"/>
        <v>7177.2929058057489</v>
      </c>
      <c r="AV352" s="62">
        <f t="shared" ref="AV352:AW352" si="3672">IF(AV237*AV294/AV$5=AV349+AV350+AV351,AV237*AV294/AV$5,"Error")</f>
        <v>7602.0375109615388</v>
      </c>
      <c r="AW352" s="62">
        <f t="shared" si="3672"/>
        <v>8014.8136959999993</v>
      </c>
      <c r="AX352" s="62">
        <f t="shared" ref="AX352" si="3673">IF(AX237*AX294/AX$5=AX349+AX350+AX351,AX237*AX294/AX$5,"Error")</f>
        <v>8669.4737407689518</v>
      </c>
      <c r="AY352" s="220"/>
      <c r="AZ352" s="62"/>
      <c r="BA352" s="62"/>
      <c r="BB352" s="62"/>
      <c r="BC352" s="62"/>
      <c r="BD352" s="62"/>
      <c r="BE352" s="62"/>
      <c r="BF352" s="62"/>
      <c r="BG352" s="62"/>
      <c r="BH352" s="62"/>
      <c r="BI352" s="62"/>
      <c r="BJ352" s="62"/>
      <c r="BK352" s="62"/>
      <c r="BL352" s="62"/>
      <c r="BM352" s="62"/>
      <c r="BN352" s="62"/>
      <c r="BO352" s="62"/>
      <c r="BP352" s="62"/>
      <c r="BQ352" s="62"/>
      <c r="BR352" s="62"/>
      <c r="BS352" s="62">
        <f t="shared" ref="BS352:CB352" si="3674">IF(BS237*BS294/BS$5=BS349+BS350+BS351,BS237*BS294/BS$5,"Error")</f>
        <v>2168.5690749999985</v>
      </c>
      <c r="BT352" s="62">
        <f t="shared" si="3674"/>
        <v>2221.7983999999992</v>
      </c>
      <c r="BU352" s="62">
        <f t="shared" si="3674"/>
        <v>2028.2683699999998</v>
      </c>
      <c r="BV352" s="62">
        <f t="shared" si="3674"/>
        <v>1454.7792083333331</v>
      </c>
      <c r="BW352" s="62">
        <f t="shared" si="3674"/>
        <v>1983.8949066666657</v>
      </c>
      <c r="BX352" s="62">
        <f t="shared" si="3674"/>
        <v>2677.3504170000006</v>
      </c>
      <c r="BY352" s="62">
        <f t="shared" si="3674"/>
        <v>2875.077499999999</v>
      </c>
      <c r="BZ352" s="62">
        <f t="shared" si="3674"/>
        <v>2603.2567422499997</v>
      </c>
      <c r="CA352" s="62">
        <f t="shared" si="3674"/>
        <v>2069.0815338461553</v>
      </c>
      <c r="CB352" s="62">
        <f t="shared" si="3674"/>
        <v>2517.0545899999956</v>
      </c>
      <c r="CC352" s="62">
        <f t="shared" si="3610"/>
        <v>1642.1646167150689</v>
      </c>
      <c r="CD352" s="62">
        <f t="shared" si="3611"/>
        <v>1894.7440613735148</v>
      </c>
      <c r="CE352" s="62">
        <f t="shared" si="3612"/>
        <v>2005.3709089999993</v>
      </c>
      <c r="CF352" s="62">
        <f t="shared" si="3613"/>
        <v>4286.883994857536</v>
      </c>
      <c r="CG352" s="62">
        <f t="shared" si="3614"/>
        <v>4687.9098002876635</v>
      </c>
      <c r="CH352" s="62">
        <f t="shared" si="3615"/>
        <v>4557.6806889922036</v>
      </c>
      <c r="CI352" s="62">
        <f t="shared" si="3616"/>
        <v>3940.5198895038175</v>
      </c>
      <c r="CJ352" s="62">
        <f t="shared" si="3617"/>
        <v>10183.388864740857</v>
      </c>
      <c r="CK352" s="62">
        <f t="shared" si="3618"/>
        <v>8065.3724711132454</v>
      </c>
      <c r="CL352" s="62">
        <f t="shared" si="3619"/>
        <v>8525.471935672922</v>
      </c>
      <c r="CM352" s="62">
        <f t="shared" si="3620"/>
        <v>10689.154449999998</v>
      </c>
      <c r="CN352" s="62">
        <f t="shared" si="3621"/>
        <v>12696.560376182273</v>
      </c>
      <c r="CO352" s="62">
        <f t="shared" si="3622"/>
        <v>13132.882980958893</v>
      </c>
      <c r="CP352" s="62">
        <f t="shared" si="3623"/>
        <v>14279.213354160373</v>
      </c>
      <c r="CQ352" s="62">
        <f t="shared" si="3624"/>
        <v>15231.397547309174</v>
      </c>
      <c r="CR352" s="62">
        <f t="shared" si="3625"/>
        <v>16204.830431073206</v>
      </c>
      <c r="CS352" s="62">
        <f t="shared" si="3626"/>
        <v>15628.329082181244</v>
      </c>
      <c r="CT352" s="62">
        <f t="shared" si="3627"/>
        <v>17599.390840949065</v>
      </c>
      <c r="CU352" s="62">
        <f t="shared" si="3628"/>
        <v>19704.821437022896</v>
      </c>
      <c r="CV352" s="62">
        <f t="shared" si="3629"/>
        <v>17793.193310644416</v>
      </c>
      <c r="CW352" s="62">
        <f t="shared" si="3630"/>
        <v>15087.152523244027</v>
      </c>
      <c r="CX352" s="62">
        <f t="shared" si="3631"/>
        <v>14618.053121279172</v>
      </c>
      <c r="CY352" s="62">
        <f t="shared" si="3632"/>
        <v>15616.851206961539</v>
      </c>
      <c r="CZ352" s="220"/>
      <c r="DA352" s="62"/>
      <c r="DB352" s="62"/>
      <c r="DC352" s="62"/>
      <c r="DD352" s="62"/>
      <c r="DE352" s="62"/>
      <c r="DF352" s="62"/>
      <c r="DG352" s="62"/>
      <c r="DH352" s="62"/>
      <c r="DI352" s="62"/>
    </row>
    <row r="353" spans="1:113" ht="12" hidden="1" outlineLevel="2">
      <c r="A353" s="1" t="s">
        <v>53</v>
      </c>
      <c r="B353" s="15" t="s">
        <v>389</v>
      </c>
      <c r="C353" s="41">
        <f t="shared" ref="C353:AC353" si="3675">C238*C295/C$5</f>
        <v>463.06305836164324</v>
      </c>
      <c r="D353" s="41">
        <f t="shared" si="3675"/>
        <v>354.35966082191766</v>
      </c>
      <c r="E353" s="41">
        <f t="shared" si="3675"/>
        <v>291.62123879177966</v>
      </c>
      <c r="F353" s="41">
        <f t="shared" si="3675"/>
        <v>306.94924234246605</v>
      </c>
      <c r="G353" s="41">
        <f t="shared" si="3675"/>
        <v>243.87597136986307</v>
      </c>
      <c r="H353" s="41">
        <f t="shared" si="3675"/>
        <v>291.32812499999949</v>
      </c>
      <c r="I353" s="41">
        <f t="shared" si="3675"/>
        <v>242.83025599999999</v>
      </c>
      <c r="J353" s="41">
        <f t="shared" si="3675"/>
        <v>289.040475952512</v>
      </c>
      <c r="K353" s="41">
        <f t="shared" si="3675"/>
        <v>291.10542053972642</v>
      </c>
      <c r="L353" s="41">
        <f t="shared" si="3675"/>
        <v>31.754031254795674</v>
      </c>
      <c r="M353" s="41">
        <f t="shared" si="3675"/>
        <v>85.580680607163885</v>
      </c>
      <c r="N353" s="41">
        <f t="shared" si="3675"/>
        <v>14.733567884932897</v>
      </c>
      <c r="O353" s="41">
        <f t="shared" si="3675"/>
        <v>39.20791032286639</v>
      </c>
      <c r="P353" s="41">
        <f t="shared" si="3675"/>
        <v>-192.83714732824319</v>
      </c>
      <c r="Q353" s="41">
        <f t="shared" si="3675"/>
        <v>-424.07240248091671</v>
      </c>
      <c r="R353" s="41">
        <f t="shared" si="3675"/>
        <v>118.61326344657398</v>
      </c>
      <c r="S353" s="41">
        <f t="shared" si="3675"/>
        <v>-63.902692984419311</v>
      </c>
      <c r="T353" s="41">
        <f t="shared" si="3675"/>
        <v>-398.88213194520546</v>
      </c>
      <c r="U353" s="41">
        <f t="shared" si="3675"/>
        <v>-596.14211063474011</v>
      </c>
      <c r="V353" s="41">
        <f t="shared" si="3675"/>
        <v>-564.01560876712074</v>
      </c>
      <c r="W353" s="41">
        <f t="shared" si="3675"/>
        <v>-627.75127159259478</v>
      </c>
      <c r="X353" s="41">
        <f t="shared" si="3675"/>
        <v>-825.09972000000187</v>
      </c>
      <c r="Y353" s="41">
        <f t="shared" si="3675"/>
        <v>-666.30503230769045</v>
      </c>
      <c r="Z353" s="41">
        <f t="shared" si="3675"/>
        <v>-478.08893053151019</v>
      </c>
      <c r="AA353" s="41">
        <f t="shared" si="3675"/>
        <v>-410.89870257032402</v>
      </c>
      <c r="AB353" s="41">
        <f t="shared" si="3675"/>
        <v>-309.44176767123264</v>
      </c>
      <c r="AC353" s="41">
        <f t="shared" si="3675"/>
        <v>-404.9545650000004</v>
      </c>
      <c r="AD353" s="41">
        <f t="shared" ref="AD353" si="3676">AD238*AD295/AD$5</f>
        <v>-505.49142113753396</v>
      </c>
      <c r="AE353" s="41">
        <f t="shared" ref="AE353:AF353" si="3677">AE238*AE295/AE$5</f>
        <v>-292.54353276168484</v>
      </c>
      <c r="AF353" s="41">
        <f t="shared" si="3677"/>
        <v>-529.01522786259284</v>
      </c>
      <c r="AG353" s="41">
        <f t="shared" ref="AG353:AH353" si="3678">AG238*AG295/AG$5</f>
        <v>-152.53340599236435</v>
      </c>
      <c r="AH353" s="41">
        <f t="shared" si="3678"/>
        <v>-75.145915068492513</v>
      </c>
      <c r="AI353" s="41">
        <f t="shared" ref="AI353:AJ353" si="3679">AI238*AI295/AI$5</f>
        <v>-78.182943732629752</v>
      </c>
      <c r="AJ353" s="41">
        <f t="shared" si="3679"/>
        <v>58.859730849314786</v>
      </c>
      <c r="AK353" s="41">
        <f t="shared" ref="AK353:AL353" si="3680">AK238*AK295/AK$5</f>
        <v>-26.032266781875084</v>
      </c>
      <c r="AL353" s="41">
        <f t="shared" si="3680"/>
        <v>-89.412002849320046</v>
      </c>
      <c r="AM353" s="41">
        <f t="shared" ref="AM353:AN353" si="3681">AM238*AM295/AM$5</f>
        <v>456.60135905677998</v>
      </c>
      <c r="AN353" s="41">
        <f t="shared" si="3681"/>
        <v>552.38069770992115</v>
      </c>
      <c r="AO353" s="41">
        <f t="shared" ref="AO353" si="3682">AO238*AO295/AO$5</f>
        <v>128.75760916030413</v>
      </c>
      <c r="AP353" s="41">
        <f t="shared" ref="AP353:AQ353" si="3683">AP238*AP295/AP$5</f>
        <v>695.38104857939948</v>
      </c>
      <c r="AQ353" s="41">
        <f t="shared" si="3683"/>
        <v>725.67056033659344</v>
      </c>
      <c r="AR353" s="41">
        <f t="shared" ref="AR353:AS353" si="3684">AR238*AR295/AR$5</f>
        <v>647.52501514958897</v>
      </c>
      <c r="AS353" s="41">
        <f t="shared" si="3684"/>
        <v>-420.30625042873396</v>
      </c>
      <c r="AT353" s="41">
        <f t="shared" ref="AT353:AU353" si="3685">AT238*AT295/AT$5</f>
        <v>-548.75437742630027</v>
      </c>
      <c r="AU353" s="41">
        <f t="shared" si="3685"/>
        <v>-91.153397107653078</v>
      </c>
      <c r="AV353" s="41">
        <f t="shared" ref="AV353:AW353" si="3686">AV238*AV295/AV$5</f>
        <v>170.67038009615499</v>
      </c>
      <c r="AW353" s="41">
        <f t="shared" si="3686"/>
        <v>13.207722666665175</v>
      </c>
      <c r="AX353" s="41">
        <f t="shared" ref="AX353" si="3687">AX238*AX295/AX$5</f>
        <v>-379.71858463378629</v>
      </c>
      <c r="AY353" s="211"/>
      <c r="AZ353" s="41"/>
      <c r="BA353" s="41"/>
      <c r="BB353" s="41"/>
      <c r="BC353" s="41"/>
      <c r="BD353" s="41"/>
      <c r="BE353" s="41"/>
      <c r="BF353" s="41"/>
      <c r="BG353" s="41"/>
      <c r="BH353" s="41"/>
      <c r="BI353" s="41"/>
      <c r="BJ353" s="41"/>
      <c r="BK353" s="41"/>
      <c r="BL353" s="41"/>
      <c r="BM353" s="41"/>
      <c r="BN353" s="41"/>
      <c r="BO353" s="41"/>
      <c r="BP353" s="41"/>
      <c r="BQ353" s="41"/>
      <c r="BR353" s="41"/>
      <c r="BS353" s="41">
        <f t="shared" ref="BS353:CB353" si="3688">BS238*BS295/BS$5</f>
        <v>-889.79360000000031</v>
      </c>
      <c r="BT353" s="41">
        <f t="shared" si="3688"/>
        <v>305.66622499999949</v>
      </c>
      <c r="BU353" s="41">
        <f t="shared" si="3688"/>
        <v>199.37472750000006</v>
      </c>
      <c r="BV353" s="41">
        <f t="shared" si="3688"/>
        <v>-91.623608333332868</v>
      </c>
      <c r="BW353" s="41">
        <f t="shared" si="3688"/>
        <v>-20.246585000001232</v>
      </c>
      <c r="BX353" s="41">
        <f t="shared" si="3688"/>
        <v>337.08419733333358</v>
      </c>
      <c r="BY353" s="41">
        <f t="shared" si="3688"/>
        <v>569.69249999999965</v>
      </c>
      <c r="BZ353" s="41">
        <f t="shared" si="3688"/>
        <v>225.9237194999987</v>
      </c>
      <c r="CA353" s="41">
        <f t="shared" si="3688"/>
        <v>236.24800230769233</v>
      </c>
      <c r="CB353" s="41">
        <f t="shared" si="3688"/>
        <v>211.01023999999916</v>
      </c>
      <c r="CC353" s="41">
        <f t="shared" si="3610"/>
        <v>645.98089961369737</v>
      </c>
      <c r="CD353" s="41">
        <f t="shared" si="3611"/>
        <v>550.82521371232906</v>
      </c>
      <c r="CE353" s="41">
        <f t="shared" si="3612"/>
        <v>534.15838099999951</v>
      </c>
      <c r="CF353" s="41">
        <f t="shared" si="3613"/>
        <v>580.14589649223842</v>
      </c>
      <c r="CG353" s="41">
        <f t="shared" si="3614"/>
        <v>117.33471186195956</v>
      </c>
      <c r="CH353" s="41">
        <f t="shared" si="3615"/>
        <v>53.941478207799285</v>
      </c>
      <c r="CI353" s="41">
        <f t="shared" si="3616"/>
        <v>-616.9095498091599</v>
      </c>
      <c r="CJ353" s="41">
        <f t="shared" si="3617"/>
        <v>54.710570462154671</v>
      </c>
      <c r="CK353" s="41">
        <f t="shared" si="3618"/>
        <v>-995.02424257994562</v>
      </c>
      <c r="CL353" s="41">
        <f t="shared" si="3619"/>
        <v>-1191.7668803597155</v>
      </c>
      <c r="CM353" s="41">
        <f t="shared" si="3620"/>
        <v>-1491.4047523076924</v>
      </c>
      <c r="CN353" s="41">
        <f t="shared" si="3621"/>
        <v>-888.98763310183426</v>
      </c>
      <c r="CO353" s="41">
        <f t="shared" si="3622"/>
        <v>-714.39633267123304</v>
      </c>
      <c r="CP353" s="41">
        <f t="shared" si="3623"/>
        <v>-798.03495389921886</v>
      </c>
      <c r="CQ353" s="41">
        <f t="shared" si="3624"/>
        <v>-681.54863385495719</v>
      </c>
      <c r="CR353" s="41">
        <f t="shared" si="3625"/>
        <v>-153.32885880112227</v>
      </c>
      <c r="CS353" s="41">
        <f t="shared" si="3626"/>
        <v>32.827464067439706</v>
      </c>
      <c r="CT353" s="41">
        <f t="shared" si="3627"/>
        <v>367.18935620745992</v>
      </c>
      <c r="CU353" s="41">
        <f t="shared" si="3628"/>
        <v>681.13830687022528</v>
      </c>
      <c r="CV353" s="41">
        <f t="shared" si="3629"/>
        <v>1421.0516089159928</v>
      </c>
      <c r="CW353" s="41">
        <f t="shared" si="3630"/>
        <v>227.21876472085501</v>
      </c>
      <c r="CX353" s="41">
        <f t="shared" si="3631"/>
        <v>-639.90777453395333</v>
      </c>
      <c r="CY353" s="41">
        <f t="shared" si="3632"/>
        <v>183.87810276282016</v>
      </c>
      <c r="CZ353" s="211"/>
      <c r="DA353" s="41"/>
      <c r="DB353" s="41"/>
      <c r="DC353" s="41"/>
      <c r="DD353" s="41"/>
      <c r="DE353" s="41"/>
      <c r="DF353" s="41"/>
      <c r="DG353" s="41"/>
      <c r="DH353" s="41"/>
      <c r="DI353" s="41"/>
    </row>
    <row r="354" spans="1:113" s="17" customFormat="1" ht="12" outlineLevel="1" collapsed="1">
      <c r="A354" s="1" t="s">
        <v>134</v>
      </c>
      <c r="B354" s="17" t="s">
        <v>472</v>
      </c>
      <c r="C354" s="62">
        <f t="shared" ref="C354:AC354" si="3689">IF(ROUND(C239*C296/C$5,5)=ROUND(C352+C353,5),C239*C296/C$5,"Error")</f>
        <v>1397.6466942109589</v>
      </c>
      <c r="D354" s="62">
        <f t="shared" si="3689"/>
        <v>1278.2975638356165</v>
      </c>
      <c r="E354" s="62">
        <f t="shared" si="3689"/>
        <v>1009.8479524931496</v>
      </c>
      <c r="F354" s="62">
        <f t="shared" si="3689"/>
        <v>1202.1218887159816</v>
      </c>
      <c r="G354" s="62">
        <f t="shared" si="3689"/>
        <v>1243.4473863698622</v>
      </c>
      <c r="H354" s="62">
        <f t="shared" si="3689"/>
        <v>1123.6112499999997</v>
      </c>
      <c r="I354" s="62">
        <f t="shared" si="3689"/>
        <v>1415.9180399999991</v>
      </c>
      <c r="J354" s="62">
        <f t="shared" si="3689"/>
        <v>2287.2417494812798</v>
      </c>
      <c r="K354" s="62">
        <f t="shared" si="3689"/>
        <v>2579.7881418684942</v>
      </c>
      <c r="L354" s="62">
        <f t="shared" si="3689"/>
        <v>2505.1586901479459</v>
      </c>
      <c r="M354" s="62">
        <f t="shared" si="3689"/>
        <v>2300.0858220016767</v>
      </c>
      <c r="N354" s="62">
        <f t="shared" si="3689"/>
        <v>2220.8261386794557</v>
      </c>
      <c r="O354" s="62">
        <f t="shared" si="3689"/>
        <v>2390.7960285205472</v>
      </c>
      <c r="P354" s="62">
        <f t="shared" si="3689"/>
        <v>1716.2638841221412</v>
      </c>
      <c r="Q354" s="62">
        <f t="shared" si="3689"/>
        <v>1607.3464555725163</v>
      </c>
      <c r="R354" s="62">
        <f t="shared" si="3689"/>
        <v>5502.1061577041073</v>
      </c>
      <c r="S354" s="62">
        <f t="shared" si="3689"/>
        <v>4735.9932774989038</v>
      </c>
      <c r="T354" s="62">
        <f t="shared" si="3689"/>
        <v>3587.7750101917763</v>
      </c>
      <c r="U354" s="62">
        <f t="shared" si="3689"/>
        <v>3482.5732183415239</v>
      </c>
      <c r="V354" s="62">
        <f t="shared" si="3689"/>
        <v>3664.4359106849511</v>
      </c>
      <c r="W354" s="62">
        <f t="shared" si="3689"/>
        <v>3669.2691446282547</v>
      </c>
      <c r="X354" s="62">
        <f t="shared" si="3689"/>
        <v>3965.0687676922998</v>
      </c>
      <c r="Y354" s="62">
        <f t="shared" si="3689"/>
        <v>5232.6809300000059</v>
      </c>
      <c r="Z354" s="62">
        <f t="shared" si="3689"/>
        <v>5754.5630762520441</v>
      </c>
      <c r="AA354" s="62">
        <f t="shared" si="3689"/>
        <v>6053.009666828395</v>
      </c>
      <c r="AB354" s="62">
        <f t="shared" si="3689"/>
        <v>6193.7263561643731</v>
      </c>
      <c r="AC354" s="62">
        <f t="shared" si="3689"/>
        <v>6224.7602921232883</v>
      </c>
      <c r="AD354" s="62">
        <f t="shared" ref="AD354" si="3690">IF(ROUND(AD239*AD296/AD$5,5)=ROUND(AD352+AD353,5),AD239*AD296/AD$5,"Error")</f>
        <v>6291.8146222772548</v>
      </c>
      <c r="AE354" s="62">
        <f t="shared" ref="AE354:AF354" si="3691">IF(ROUND(AE239*AE296/AE$5,5)=ROUND(AE352+AE353,5),AE239*AE296/AE$5,"Error")</f>
        <v>7189.3637779838982</v>
      </c>
      <c r="AF354" s="62">
        <f t="shared" si="3691"/>
        <v>6793.6916011450494</v>
      </c>
      <c r="AG354" s="62">
        <f t="shared" ref="AG354:AH354" si="3692">IF(ROUND(AG239*AG296/AG$5,5)=ROUND(AG352+AG353,5),AG239*AG296/AG$5,"Error")</f>
        <v>7756.1573123091666</v>
      </c>
      <c r="AH354" s="62">
        <f t="shared" si="3692"/>
        <v>7853.3471410235616</v>
      </c>
      <c r="AI354" s="62">
        <f t="shared" ref="AI354:AJ354" si="3693">IF(ROUND(AI239*AI296/AI$5,5)=ROUND(AI352+AI353,5),AI239*AI296/AI$5,"Error")</f>
        <v>8198.1544312485203</v>
      </c>
      <c r="AJ354" s="62">
        <f t="shared" si="3693"/>
        <v>8046.9367040000016</v>
      </c>
      <c r="AK354" s="62">
        <f t="shared" ref="AK354:AL354" si="3694">IF(ROUND(AK239*AK296/AK$5,5)=ROUND(AK352+AK353,5),AK239*AK296/AK$5,"Error")</f>
        <v>7614.2198422486836</v>
      </c>
      <c r="AL354" s="62">
        <f t="shared" si="3694"/>
        <v>8031.0989825753268</v>
      </c>
      <c r="AM354" s="62">
        <f t="shared" ref="AM354:AN354" si="3695">IF(ROUND(AM239*AM296/AM$5,5)=ROUND(AM352+AM353,5),AM239*AM296/AM$5,"Error")</f>
        <v>9935.4812145811993</v>
      </c>
      <c r="AN354" s="62">
        <f t="shared" si="3695"/>
        <v>10242.282621755719</v>
      </c>
      <c r="AO354" s="62">
        <f t="shared" ref="AO354" si="3696">IF(ROUND(AO239*AO296/AO$5,5)=ROUND(AO352+AO353,5),AO239*AO296/AO$5,"Error")</f>
        <v>10143.677122137404</v>
      </c>
      <c r="AP354" s="62">
        <f t="shared" ref="AP354:AQ354" si="3697">IF(ROUND(AP239*AP296/AP$5,5)=ROUND(AP352+AP353,5),AP239*AP296/AP$5,"Error")</f>
        <v>9731.5219696093336</v>
      </c>
      <c r="AQ354" s="62">
        <f t="shared" si="3697"/>
        <v>9482.7229499510759</v>
      </c>
      <c r="AR354" s="62">
        <f t="shared" ref="AR354:AS354" si="3698">IF(ROUND(AR239*AR296/AR$5,5)=ROUND(AR352+AR353,5),AR239*AR296/AR$5,"Error")</f>
        <v>9318.1064201556183</v>
      </c>
      <c r="AS354" s="62">
        <f t="shared" si="3698"/>
        <v>5996.2648678092637</v>
      </c>
      <c r="AT354" s="62">
        <f t="shared" ref="AT354:AU354" si="3699">IF(ROUND(AT239*AT296/AT$5,5)=ROUND(AT352+AT353,5),AT239*AT296/AT$5,"Error")</f>
        <v>6892.0058380471237</v>
      </c>
      <c r="AU354" s="62">
        <f t="shared" si="3699"/>
        <v>7086.1395086980956</v>
      </c>
      <c r="AV354" s="62">
        <f t="shared" ref="AV354:AW354" si="3700">IF(ROUND(AV239*AV296/AV$5,5)=ROUND(AV352+AV353,5),AV239*AV296/AV$5,"Error")</f>
        <v>7772.7078910576938</v>
      </c>
      <c r="AW354" s="62">
        <f t="shared" si="3700"/>
        <v>8028.0214186666644</v>
      </c>
      <c r="AX354" s="62">
        <f>IF(ROUND(AX239*AX296/AX$5,5)=ROUND(AX352+AX353,5),AX239*AX296/AX$5,"Error")</f>
        <v>8289.7551561351665</v>
      </c>
      <c r="AY354" s="220">
        <f t="shared" ref="AY354:BQ354" si="3701">AY296*AY239/AY5</f>
        <v>9515.4879444465769</v>
      </c>
      <c r="AZ354" s="62">
        <f t="shared" si="3701"/>
        <v>9521.8602420761981</v>
      </c>
      <c r="BA354" s="62">
        <f t="shared" si="3701"/>
        <v>9712.1522166083523</v>
      </c>
      <c r="BB354" s="62">
        <f t="shared" si="3701"/>
        <v>9707.4312877860211</v>
      </c>
      <c r="BC354" s="62">
        <f t="shared" si="3701"/>
        <v>9830.9664435514769</v>
      </c>
      <c r="BD354" s="62">
        <f t="shared" si="3701"/>
        <v>9890.4105780345926</v>
      </c>
      <c r="BE354" s="62">
        <f t="shared" si="3701"/>
        <v>9974.7601540798041</v>
      </c>
      <c r="BF354" s="62">
        <f t="shared" si="3701"/>
        <v>10058.757998988485</v>
      </c>
      <c r="BG354" s="62">
        <f t="shared" si="3701"/>
        <v>10217.231662473854</v>
      </c>
      <c r="BH354" s="62">
        <f t="shared" si="3701"/>
        <v>10279.14481091479</v>
      </c>
      <c r="BI354" s="62">
        <f t="shared" si="3701"/>
        <v>10466.626417473028</v>
      </c>
      <c r="BJ354" s="62">
        <f t="shared" si="3701"/>
        <v>10531.472424043721</v>
      </c>
      <c r="BK354" s="62">
        <f t="shared" si="3701"/>
        <v>10717.642033934333</v>
      </c>
      <c r="BL354" s="62">
        <f t="shared" si="3701"/>
        <v>10814.006002784958</v>
      </c>
      <c r="BM354" s="62">
        <f t="shared" si="3701"/>
        <v>10940.953960218325</v>
      </c>
      <c r="BN354" s="62">
        <f t="shared" si="3701"/>
        <v>11044.973236741049</v>
      </c>
      <c r="BO354" s="62">
        <f t="shared" si="3701"/>
        <v>11247.788113171962</v>
      </c>
      <c r="BP354" s="62">
        <f t="shared" si="3701"/>
        <v>11333.986234589844</v>
      </c>
      <c r="BQ354" s="62">
        <f t="shared" si="3701"/>
        <v>11551.269365837275</v>
      </c>
      <c r="BR354" s="62"/>
      <c r="BS354" s="62">
        <f t="shared" ref="BS354:CB354" si="3702">IF(ROUND(BS239*BS296/BS$5,5)=ROUND(BS352+BS353,5),BS239*BS296/BS$5,"Error")</f>
        <v>1278.7754749999983</v>
      </c>
      <c r="BT354" s="62">
        <f t="shared" si="3702"/>
        <v>2527.4646249999987</v>
      </c>
      <c r="BU354" s="62">
        <f t="shared" si="3702"/>
        <v>2227.6430974999998</v>
      </c>
      <c r="BV354" s="62">
        <f t="shared" si="3702"/>
        <v>1363.1556000000003</v>
      </c>
      <c r="BW354" s="62">
        <f t="shared" si="3702"/>
        <v>1963.6483216666645</v>
      </c>
      <c r="BX354" s="62">
        <f t="shared" si="3702"/>
        <v>3014.4346143333341</v>
      </c>
      <c r="BY354" s="62">
        <f t="shared" si="3702"/>
        <v>3444.7699999999986</v>
      </c>
      <c r="BZ354" s="62">
        <f t="shared" si="3702"/>
        <v>2829.1804617499984</v>
      </c>
      <c r="CA354" s="62">
        <f t="shared" si="3702"/>
        <v>2305.3295361538476</v>
      </c>
      <c r="CB354" s="62">
        <f t="shared" si="3702"/>
        <v>2728.0648299999948</v>
      </c>
      <c r="CC354" s="62">
        <f t="shared" si="3610"/>
        <v>2288.145516328766</v>
      </c>
      <c r="CD354" s="62">
        <f t="shared" si="3611"/>
        <v>2445.5692750858439</v>
      </c>
      <c r="CE354" s="62">
        <f t="shared" si="3612"/>
        <v>2539.5292899999986</v>
      </c>
      <c r="CF354" s="62">
        <f t="shared" si="3613"/>
        <v>4867.0298913497736</v>
      </c>
      <c r="CG354" s="62">
        <f t="shared" si="3614"/>
        <v>4805.2445121496221</v>
      </c>
      <c r="CH354" s="62">
        <f t="shared" si="3615"/>
        <v>4611.6221672000029</v>
      </c>
      <c r="CI354" s="62">
        <f t="shared" si="3616"/>
        <v>3323.6103396946573</v>
      </c>
      <c r="CJ354" s="62">
        <f t="shared" si="3617"/>
        <v>10238.09943520301</v>
      </c>
      <c r="CK354" s="62">
        <f t="shared" si="3618"/>
        <v>7070.3482285333002</v>
      </c>
      <c r="CL354" s="62">
        <f t="shared" si="3619"/>
        <v>7333.7050553132058</v>
      </c>
      <c r="CM354" s="62">
        <f t="shared" si="3620"/>
        <v>9197.7496976923067</v>
      </c>
      <c r="CN354" s="62">
        <f t="shared" si="3621"/>
        <v>11807.57274308044</v>
      </c>
      <c r="CO354" s="62">
        <f t="shared" si="3622"/>
        <v>12418.486648287661</v>
      </c>
      <c r="CP354" s="62">
        <f t="shared" si="3623"/>
        <v>13481.178400261153</v>
      </c>
      <c r="CQ354" s="62">
        <f t="shared" si="3624"/>
        <v>14549.848913454216</v>
      </c>
      <c r="CR354" s="62">
        <f t="shared" si="3625"/>
        <v>16051.501572272082</v>
      </c>
      <c r="CS354" s="62">
        <f t="shared" si="3626"/>
        <v>15661.156546248685</v>
      </c>
      <c r="CT354" s="62">
        <f t="shared" si="3627"/>
        <v>17966.580197156527</v>
      </c>
      <c r="CU354" s="62">
        <f t="shared" si="3628"/>
        <v>20385.959743893123</v>
      </c>
      <c r="CV354" s="62">
        <f t="shared" si="3629"/>
        <v>19214.244919560409</v>
      </c>
      <c r="CW354" s="62">
        <f t="shared" si="3630"/>
        <v>15314.371287964881</v>
      </c>
      <c r="CX354" s="62">
        <f t="shared" si="3631"/>
        <v>13978.145346745219</v>
      </c>
      <c r="CY354" s="62">
        <f t="shared" si="3632"/>
        <v>15800.729309724358</v>
      </c>
      <c r="CZ354" s="220">
        <f t="shared" ref="CZ354" si="3703">SUM(AX354:AY354)</f>
        <v>17805.243100581742</v>
      </c>
      <c r="DA354" s="62">
        <f t="shared" ref="DA354" si="3704">SUM(AZ354:BA354)</f>
        <v>19234.012458684549</v>
      </c>
      <c r="DB354" s="62">
        <f t="shared" ref="DB354" si="3705">SUM(BB354:BC354)</f>
        <v>19538.3977313375</v>
      </c>
      <c r="DC354" s="62">
        <f t="shared" ref="DC354" si="3706">SUM(BD354:BE354)</f>
        <v>19865.170732114399</v>
      </c>
      <c r="DD354" s="62">
        <f t="shared" ref="DD354" si="3707">SUM(BF354:BG354)</f>
        <v>20275.989661462339</v>
      </c>
      <c r="DE354" s="62">
        <f t="shared" ref="DE354" si="3708">SUM(BH354:BI354)</f>
        <v>20745.771228387817</v>
      </c>
      <c r="DF354" s="62">
        <f t="shared" ref="DF354" si="3709">SUM(BJ354:BK354)</f>
        <v>21249.114457978052</v>
      </c>
      <c r="DG354" s="62">
        <f t="shared" ref="DG354" si="3710">SUM(BL354:BM354)</f>
        <v>21754.959963003283</v>
      </c>
      <c r="DH354" s="62">
        <f t="shared" ref="DH354" si="3711">SUM(BN354:BO354)</f>
        <v>22292.761349913009</v>
      </c>
      <c r="DI354" s="62">
        <f t="shared" ref="DI354" si="3712">SUM(BP354:BQ354)</f>
        <v>22885.255600427117</v>
      </c>
    </row>
    <row r="355" spans="1:113" ht="12" outlineLevel="1">
      <c r="C355" s="41"/>
      <c r="D355" s="41"/>
      <c r="E355" s="41"/>
      <c r="F355" s="41"/>
      <c r="G355" s="41"/>
      <c r="H355" s="41"/>
      <c r="I355" s="41"/>
      <c r="J355" s="41"/>
      <c r="K355" s="41"/>
      <c r="L355" s="41"/>
      <c r="M355" s="41"/>
      <c r="N355" s="41"/>
      <c r="O355" s="41"/>
      <c r="P355" s="41"/>
      <c r="Q355" s="41"/>
      <c r="R355" s="41"/>
      <c r="S355" s="41"/>
      <c r="T355" s="41"/>
      <c r="U355" s="41"/>
      <c r="V355" s="41"/>
      <c r="W355" s="41"/>
      <c r="X355" s="41"/>
      <c r="Y355" s="41"/>
      <c r="Z355" s="41"/>
      <c r="AA355" s="41"/>
      <c r="AB355" s="41"/>
      <c r="AC355" s="41"/>
      <c r="AD355" s="41"/>
      <c r="AE355" s="41"/>
      <c r="AF355" s="41"/>
      <c r="AG355" s="41"/>
      <c r="AH355" s="41"/>
      <c r="AI355" s="41"/>
      <c r="AJ355" s="41"/>
      <c r="AK355" s="41"/>
      <c r="AL355" s="41"/>
      <c r="AM355" s="41"/>
      <c r="AN355" s="41"/>
      <c r="AO355" s="41"/>
      <c r="AP355" s="41"/>
      <c r="AQ355" s="41"/>
      <c r="AR355" s="41"/>
      <c r="AS355" s="41"/>
      <c r="AT355" s="41"/>
      <c r="AU355" s="41"/>
      <c r="AV355" s="41"/>
      <c r="AW355" s="41"/>
      <c r="AX355" s="41"/>
      <c r="AY355" s="211"/>
      <c r="AZ355" s="41"/>
      <c r="BA355" s="41"/>
      <c r="BB355" s="41"/>
      <c r="BC355" s="41"/>
      <c r="BD355" s="41"/>
      <c r="BE355" s="41"/>
      <c r="BF355" s="41"/>
      <c r="BG355" s="41"/>
      <c r="BH355" s="41"/>
      <c r="BI355" s="41"/>
      <c r="BJ355" s="41"/>
      <c r="BK355" s="41"/>
      <c r="BL355" s="41"/>
      <c r="BM355" s="41"/>
      <c r="BN355" s="41"/>
      <c r="BO355" s="41"/>
      <c r="BP355" s="41"/>
      <c r="BQ355" s="41"/>
      <c r="BR355" s="41"/>
      <c r="BS355" s="41"/>
      <c r="BT355" s="41"/>
      <c r="BU355" s="41"/>
      <c r="BV355" s="41"/>
      <c r="BW355" s="41"/>
      <c r="BX355" s="41"/>
      <c r="BY355" s="41"/>
      <c r="BZ355" s="41"/>
      <c r="CA355" s="41"/>
      <c r="CB355" s="41"/>
      <c r="CC355" s="41"/>
      <c r="CD355" s="41"/>
      <c r="CE355" s="41"/>
      <c r="CF355" s="41"/>
      <c r="CG355" s="41"/>
      <c r="CH355" s="41"/>
      <c r="CI355" s="41"/>
      <c r="CJ355" s="41"/>
      <c r="CK355" s="41"/>
      <c r="CL355" s="41"/>
      <c r="CM355" s="41"/>
      <c r="CN355" s="41"/>
      <c r="CO355" s="41"/>
      <c r="CP355" s="41"/>
      <c r="CQ355" s="41"/>
      <c r="CR355" s="41"/>
      <c r="CS355" s="41"/>
      <c r="CT355" s="41"/>
      <c r="CU355" s="41"/>
      <c r="CV355" s="41"/>
      <c r="CW355" s="41"/>
      <c r="CX355" s="41"/>
      <c r="CY355" s="41"/>
      <c r="CZ355" s="211"/>
      <c r="DA355" s="41"/>
      <c r="DB355" s="41"/>
      <c r="DC355" s="41"/>
      <c r="DD355" s="41"/>
      <c r="DE355" s="41"/>
      <c r="DF355" s="41"/>
      <c r="DG355" s="41"/>
      <c r="DH355" s="41"/>
      <c r="DI355" s="41"/>
    </row>
    <row r="356" spans="1:113" s="17" customFormat="1" ht="12" hidden="1" outlineLevel="2">
      <c r="A356" s="15"/>
      <c r="B356" s="17" t="s">
        <v>591</v>
      </c>
      <c r="C356" s="62"/>
      <c r="D356" s="62"/>
      <c r="E356" s="62"/>
      <c r="F356" s="62"/>
      <c r="G356" s="62"/>
      <c r="H356" s="62"/>
      <c r="I356" s="62"/>
      <c r="J356" s="62"/>
      <c r="K356" s="62"/>
      <c r="L356" s="62"/>
      <c r="M356" s="62"/>
      <c r="N356" s="62"/>
      <c r="O356" s="62"/>
      <c r="P356" s="62"/>
      <c r="Q356" s="62"/>
      <c r="R356" s="62"/>
      <c r="S356" s="62"/>
      <c r="T356" s="62"/>
      <c r="U356" s="62"/>
      <c r="V356" s="62"/>
      <c r="W356" s="62"/>
      <c r="X356" s="62"/>
      <c r="Y356" s="62"/>
      <c r="Z356" s="62"/>
      <c r="AA356" s="62"/>
      <c r="AB356" s="62"/>
      <c r="AC356" s="62"/>
      <c r="AD356" s="62"/>
      <c r="AE356" s="62"/>
      <c r="AF356" s="62"/>
      <c r="AG356" s="62"/>
      <c r="AH356" s="62"/>
      <c r="AI356" s="62"/>
      <c r="AJ356" s="62"/>
      <c r="AK356" s="62"/>
      <c r="AL356" s="62"/>
      <c r="AM356" s="62"/>
      <c r="AN356" s="62"/>
      <c r="AO356" s="62"/>
      <c r="AP356" s="62"/>
      <c r="AQ356" s="62"/>
      <c r="AR356" s="62"/>
      <c r="AS356" s="62"/>
      <c r="AT356" s="62"/>
      <c r="AU356" s="62"/>
      <c r="AV356" s="62"/>
      <c r="AW356" s="62"/>
      <c r="AX356" s="62"/>
      <c r="AY356" s="220"/>
      <c r="AZ356" s="62"/>
      <c r="BA356" s="62"/>
      <c r="BB356" s="62"/>
      <c r="BC356" s="62"/>
      <c r="BD356" s="62"/>
      <c r="BE356" s="62"/>
      <c r="BF356" s="62"/>
      <c r="BG356" s="62"/>
      <c r="BH356" s="62"/>
      <c r="BI356" s="62"/>
      <c r="BJ356" s="62"/>
      <c r="BK356" s="62"/>
      <c r="BL356" s="62"/>
      <c r="BM356" s="62"/>
      <c r="BN356" s="62"/>
      <c r="BO356" s="62"/>
      <c r="BP356" s="62"/>
      <c r="BQ356" s="62"/>
      <c r="BR356" s="62"/>
      <c r="BS356" s="62"/>
      <c r="BT356" s="62"/>
      <c r="BU356" s="62"/>
      <c r="BV356" s="62"/>
      <c r="BW356" s="62"/>
      <c r="BX356" s="62"/>
      <c r="BY356" s="62"/>
      <c r="BZ356" s="62"/>
      <c r="CA356" s="62"/>
      <c r="CB356" s="62"/>
      <c r="CC356" s="62"/>
      <c r="CD356" s="62"/>
      <c r="CE356" s="62"/>
      <c r="CF356" s="62"/>
      <c r="CG356" s="62"/>
      <c r="CH356" s="62"/>
      <c r="CI356" s="62"/>
      <c r="CJ356" s="62"/>
      <c r="CK356" s="62"/>
      <c r="CL356" s="62"/>
      <c r="CM356" s="62"/>
      <c r="CN356" s="62"/>
      <c r="CO356" s="62"/>
      <c r="CP356" s="62"/>
      <c r="CQ356" s="62"/>
      <c r="CR356" s="62"/>
      <c r="CS356" s="62"/>
      <c r="CT356" s="62"/>
      <c r="CU356" s="62"/>
      <c r="CV356" s="62"/>
      <c r="CW356" s="62"/>
      <c r="CX356" s="62"/>
      <c r="CY356" s="62"/>
      <c r="CZ356" s="220"/>
      <c r="DA356" s="62"/>
      <c r="DB356" s="62"/>
      <c r="DC356" s="62"/>
      <c r="DD356" s="62"/>
      <c r="DE356" s="62"/>
      <c r="DF356" s="62"/>
      <c r="DG356" s="62"/>
      <c r="DH356" s="62"/>
      <c r="DI356" s="62"/>
    </row>
    <row r="357" spans="1:113" ht="12" hidden="1" outlineLevel="2">
      <c r="A357" s="1" t="s">
        <v>135</v>
      </c>
      <c r="B357" s="15" t="s">
        <v>592</v>
      </c>
      <c r="C357" s="41">
        <f t="shared" ref="C357:L358" si="3713">C242*C299/C$5</f>
        <v>844.86660511917796</v>
      </c>
      <c r="D357" s="41">
        <f t="shared" si="3713"/>
        <v>810.28893150684917</v>
      </c>
      <c r="E357" s="41">
        <f t="shared" si="3713"/>
        <v>967.29672196849322</v>
      </c>
      <c r="F357" s="41">
        <f t="shared" si="3713"/>
        <v>1007.1489580082192</v>
      </c>
      <c r="G357" s="41">
        <f t="shared" si="3713"/>
        <v>1027.2608360958907</v>
      </c>
      <c r="H357" s="41">
        <f t="shared" si="3713"/>
        <v>1258.6916666666666</v>
      </c>
      <c r="I357" s="41">
        <f t="shared" si="3713"/>
        <v>1296.32304</v>
      </c>
      <c r="J357" s="41">
        <f>J242*J299/J$5</f>
        <v>1397.9371503232874</v>
      </c>
      <c r="K357" s="41">
        <f t="shared" si="3713"/>
        <v>1524.7019917698628</v>
      </c>
      <c r="L357" s="41">
        <f t="shared" si="3713"/>
        <v>548.70249179178074</v>
      </c>
      <c r="M357" s="41">
        <f t="shared" ref="M357:AA358" si="3714">M242*M299/M$5</f>
        <v>627.54266557681922</v>
      </c>
      <c r="N357" s="41">
        <f t="shared" si="3714"/>
        <v>674.013446564383</v>
      </c>
      <c r="O357" s="41">
        <f t="shared" si="3714"/>
        <v>739.74873586807189</v>
      </c>
      <c r="P357" s="41">
        <f t="shared" si="3714"/>
        <v>938.67227076335803</v>
      </c>
      <c r="Q357" s="41">
        <f t="shared" si="3714"/>
        <v>912.0062512595423</v>
      </c>
      <c r="R357" s="41">
        <f t="shared" si="3714"/>
        <v>356.48740380273995</v>
      </c>
      <c r="S357" s="41">
        <f t="shared" si="3714"/>
        <v>345.67511434215157</v>
      </c>
      <c r="T357" s="41">
        <f t="shared" si="3714"/>
        <v>526.1265852054803</v>
      </c>
      <c r="U357" s="41">
        <f t="shared" si="3714"/>
        <v>572.6855082087211</v>
      </c>
      <c r="V357" s="41">
        <f t="shared" si="3714"/>
        <v>535.82885589040666</v>
      </c>
      <c r="W357" s="41">
        <f t="shared" si="3714"/>
        <v>485.60271124960809</v>
      </c>
      <c r="X357" s="41">
        <f t="shared" si="3714"/>
        <v>398.59049000000158</v>
      </c>
      <c r="Y357" s="41">
        <f t="shared" si="3714"/>
        <v>161.84261461538364</v>
      </c>
      <c r="Z357" s="41">
        <f>Z242*Z299/Z$5</f>
        <v>86.557561282193959</v>
      </c>
      <c r="AA357" s="41">
        <f t="shared" si="3714"/>
        <v>318.33977491582272</v>
      </c>
      <c r="AB357" s="41">
        <f t="shared" ref="AB357:AC357" si="3715">AB242*AB299/AB$5</f>
        <v>297.88289561644046</v>
      </c>
      <c r="AC357" s="41">
        <f t="shared" si="3715"/>
        <v>316.45232280821898</v>
      </c>
      <c r="AD357" s="41">
        <f t="shared" ref="AD357" si="3716">AD242*AD299/AD$5</f>
        <v>195.61672620034773</v>
      </c>
      <c r="AE357" s="41">
        <f t="shared" ref="AE357:AF357" si="3717">AE242*AE299/AE$5</f>
        <v>84.934595081812972</v>
      </c>
      <c r="AF357" s="41">
        <f t="shared" si="3717"/>
        <v>284.6276234448066</v>
      </c>
      <c r="AG357" s="41">
        <f t="shared" ref="AG357:AH357" si="3718">AG242*AG299/AG$5</f>
        <v>190.65423889904616</v>
      </c>
      <c r="AH357" s="41">
        <f t="shared" si="3718"/>
        <v>201.42390113561075</v>
      </c>
      <c r="AI357" s="41">
        <f t="shared" ref="AI357:AJ357" si="3719">AI242*AI299/AI$5</f>
        <v>239.65497268427436</v>
      </c>
      <c r="AJ357" s="41">
        <f t="shared" si="3719"/>
        <v>188.71821221747939</v>
      </c>
      <c r="AK357" s="41">
        <f t="shared" ref="AK357:AL357" si="3720">AK242*AK299/AK$5</f>
        <v>372.1903551434404</v>
      </c>
      <c r="AL357" s="41">
        <f t="shared" si="3720"/>
        <v>296.36447853345692</v>
      </c>
      <c r="AM357" s="41">
        <f t="shared" ref="AM357:AN357" si="3721">AM242*AM299/AM$5</f>
        <v>-211.1324008799813</v>
      </c>
      <c r="AN357" s="41">
        <f t="shared" si="3721"/>
        <v>-350.34356465953152</v>
      </c>
      <c r="AO357" s="41">
        <f t="shared" ref="AO357" si="3722">AO242*AO299/AO$5</f>
        <v>-828.10737954918397</v>
      </c>
      <c r="AP357" s="41">
        <f t="shared" ref="AP357:AQ357" si="3723">AP242*AP299/AP$5</f>
        <v>-826.24107823682016</v>
      </c>
      <c r="AQ357" s="41">
        <f t="shared" si="3723"/>
        <v>-779.35676207214374</v>
      </c>
      <c r="AR357" s="41">
        <f t="shared" ref="AR357:AS357" si="3724">AR242*AR299/AR$5</f>
        <v>-757.05099094743355</v>
      </c>
      <c r="AS357" s="41">
        <f t="shared" si="3724"/>
        <v>808.03865529237191</v>
      </c>
      <c r="AT357" s="41">
        <f t="shared" ref="AT357:AU357" si="3725">AT242*AT299/AT$5</f>
        <v>1071.550430343872</v>
      </c>
      <c r="AU357" s="41">
        <f t="shared" si="3725"/>
        <v>940.08002185282783</v>
      </c>
      <c r="AV357" s="41">
        <f t="shared" ref="AV357:AW357" si="3726">AV242*AV299/AV$5</f>
        <v>676.83160677826277</v>
      </c>
      <c r="AW357" s="41">
        <f t="shared" si="3726"/>
        <v>611.51935018250038</v>
      </c>
      <c r="AX357" s="41">
        <f t="shared" ref="AX357:AY357" si="3727">AX242*AX299/AX$5</f>
        <v>-240.39454511167591</v>
      </c>
      <c r="AY357" s="211">
        <f t="shared" si="3727"/>
        <v>0</v>
      </c>
      <c r="AZ357" s="41"/>
      <c r="BA357" s="41"/>
      <c r="BB357" s="41"/>
      <c r="BC357" s="41"/>
      <c r="BD357" s="41"/>
      <c r="BE357" s="41"/>
      <c r="BF357" s="41"/>
      <c r="BG357" s="41"/>
      <c r="BH357" s="41"/>
      <c r="BI357" s="41"/>
      <c r="BJ357" s="41"/>
      <c r="BK357" s="41"/>
      <c r="BL357" s="41"/>
      <c r="BM357" s="41"/>
      <c r="BN357" s="41"/>
      <c r="BO357" s="41"/>
      <c r="BP357" s="41"/>
      <c r="BQ357" s="41"/>
      <c r="BR357" s="41"/>
      <c r="BS357" s="41"/>
      <c r="BT357" s="41"/>
      <c r="BU357" s="41"/>
      <c r="BV357" s="41"/>
      <c r="BW357" s="41"/>
      <c r="BX357" s="41"/>
      <c r="BY357" s="41"/>
      <c r="BZ357" s="41"/>
      <c r="CA357" s="41"/>
      <c r="CB357" s="41"/>
      <c r="CC357" s="41">
        <f>SUM(D357:E357)</f>
        <v>1777.5856534753425</v>
      </c>
      <c r="CD357" s="41">
        <f>SUM(F357:G357)</f>
        <v>2034.40979410411</v>
      </c>
      <c r="CE357" s="41">
        <f>SUM(H357:I357)</f>
        <v>2555.0147066666668</v>
      </c>
      <c r="CF357" s="41">
        <f>SUM(J357:K357)</f>
        <v>2922.6391420931504</v>
      </c>
      <c r="CG357" s="41">
        <f>SUM(L357:M357)</f>
        <v>1176.2451573685998</v>
      </c>
      <c r="CH357" s="41">
        <f>SUM(N357:O357)</f>
        <v>1413.7621824324549</v>
      </c>
      <c r="CI357" s="41">
        <f>SUM(P357:Q357)</f>
        <v>1850.6785220229003</v>
      </c>
      <c r="CJ357" s="41">
        <f>SUM(R357:S357)</f>
        <v>702.16251814489146</v>
      </c>
      <c r="CK357" s="41">
        <f>SUM(T357:U357)</f>
        <v>1098.8120934142014</v>
      </c>
      <c r="CL357" s="41">
        <f>SUM(V357:W357)</f>
        <v>1021.4315671400147</v>
      </c>
      <c r="CM357" s="41">
        <f>SUM(X357:Y357)</f>
        <v>560.43310461538522</v>
      </c>
      <c r="CN357" s="41">
        <f>SUM(Z357:AA357)</f>
        <v>404.89733619801666</v>
      </c>
      <c r="CO357" s="41">
        <f>SUM(AB357:AC357)</f>
        <v>614.33521842465939</v>
      </c>
      <c r="CP357" s="41">
        <f>SUM(AD357:AE357)</f>
        <v>280.5513212821607</v>
      </c>
      <c r="CQ357" s="41">
        <f>SUM(AF357:AG357)</f>
        <v>475.28186234385277</v>
      </c>
      <c r="CR357" s="41">
        <f>SUM(AH357:AI357)</f>
        <v>441.07887381988508</v>
      </c>
      <c r="CS357" s="41">
        <f>SUM(AJ357:AK357)</f>
        <v>560.90856736091973</v>
      </c>
      <c r="CT357" s="41">
        <f>SUM(AL357:AM357)</f>
        <v>85.232077653475613</v>
      </c>
      <c r="CU357" s="41">
        <f>SUM(AN357:AO357)</f>
        <v>-1178.4509442087156</v>
      </c>
      <c r="CV357" s="41">
        <f>SUM(AP357:AQ357)</f>
        <v>-1605.5978403089639</v>
      </c>
      <c r="CW357" s="41">
        <f>SUM(AR357:AS357)</f>
        <v>50.987664344938366</v>
      </c>
      <c r="CX357" s="41">
        <f>SUM(AT357:AU357)</f>
        <v>2011.6304521966999</v>
      </c>
      <c r="CY357" s="41">
        <f>SUM(AV357:AW357)</f>
        <v>1288.3509569607631</v>
      </c>
      <c r="CZ357" s="211"/>
      <c r="DA357" s="41"/>
      <c r="DB357" s="41"/>
      <c r="DC357" s="41"/>
      <c r="DD357" s="41"/>
      <c r="DE357" s="41"/>
      <c r="DF357" s="41"/>
      <c r="DG357" s="41"/>
      <c r="DH357" s="41"/>
      <c r="DI357" s="41"/>
    </row>
    <row r="358" spans="1:113" ht="12" hidden="1" outlineLevel="2">
      <c r="A358" s="1" t="s">
        <v>136</v>
      </c>
      <c r="B358" s="15" t="s">
        <v>473</v>
      </c>
      <c r="C358" s="41">
        <f t="shared" si="3713"/>
        <v>450.3487918465753</v>
      </c>
      <c r="D358" s="41">
        <f t="shared" si="3713"/>
        <v>420.93860027397255</v>
      </c>
      <c r="E358" s="41">
        <f t="shared" si="3713"/>
        <v>544.46405220000008</v>
      </c>
      <c r="F358" s="41">
        <f t="shared" si="3713"/>
        <v>582.86649367397263</v>
      </c>
      <c r="G358" s="41">
        <f t="shared" si="3713"/>
        <v>626.73185294520556</v>
      </c>
      <c r="H358" s="41">
        <f t="shared" si="3713"/>
        <v>791.54020833333334</v>
      </c>
      <c r="I358" s="41">
        <f t="shared" si="3713"/>
        <v>895.91056800000001</v>
      </c>
      <c r="J358" s="41">
        <f t="shared" si="3713"/>
        <v>1074.8442520091321</v>
      </c>
      <c r="K358" s="41">
        <f t="shared" si="3713"/>
        <v>1139.0126855178082</v>
      </c>
      <c r="L358" s="41">
        <f t="shared" si="3713"/>
        <v>10.20618841643847</v>
      </c>
      <c r="M358" s="41">
        <f t="shared" si="3714"/>
        <v>47.010159646365864</v>
      </c>
      <c r="N358" s="41">
        <f t="shared" si="3714"/>
        <v>50.88266303561624</v>
      </c>
      <c r="O358" s="41">
        <f t="shared" si="3714"/>
        <v>54.79346099599595</v>
      </c>
      <c r="P358" s="41">
        <f t="shared" si="3714"/>
        <v>141.58239091602971</v>
      </c>
      <c r="Q358" s="41">
        <f t="shared" si="3714"/>
        <v>10.694699923664468</v>
      </c>
      <c r="R358" s="41">
        <f t="shared" si="3714"/>
        <v>-726.86412624657464</v>
      </c>
      <c r="S358" s="41">
        <f t="shared" si="3714"/>
        <v>-319.65173534162943</v>
      </c>
      <c r="T358" s="41">
        <f t="shared" si="3714"/>
        <v>-186.06793731506752</v>
      </c>
      <c r="U358" s="41">
        <f t="shared" si="3714"/>
        <v>-238.5525345602843</v>
      </c>
      <c r="V358" s="41">
        <f t="shared" si="3714"/>
        <v>-343.03172219178686</v>
      </c>
      <c r="W358" s="41">
        <f t="shared" si="3714"/>
        <v>-406.70704097040652</v>
      </c>
      <c r="X358" s="41">
        <f t="shared" si="3714"/>
        <v>-534.86248769230565</v>
      </c>
      <c r="Y358" s="41">
        <f t="shared" si="3714"/>
        <v>-806.57608923077055</v>
      </c>
      <c r="Z358" s="41">
        <f>Z243*Z300/Z$5</f>
        <v>-724.42685416986035</v>
      </c>
      <c r="AA358" s="41">
        <f t="shared" si="3714"/>
        <v>-618.66775130189137</v>
      </c>
      <c r="AB358" s="41">
        <f t="shared" ref="AB358:AC358" si="3728">AB243*AB300/AB$5</f>
        <v>-481.73966164383302</v>
      </c>
      <c r="AC358" s="41">
        <f t="shared" si="3728"/>
        <v>-369.21842917808283</v>
      </c>
      <c r="AD358" s="41">
        <f t="shared" ref="AD358" si="3729">AD243*AD300/AD$5</f>
        <v>-343.35685720497139</v>
      </c>
      <c r="AE358" s="41">
        <f t="shared" ref="AE358:AF358" si="3730">AE243*AE300/AE$5</f>
        <v>-407.18826388863346</v>
      </c>
      <c r="AF358" s="41">
        <f t="shared" si="3730"/>
        <v>-319.90352558729671</v>
      </c>
      <c r="AG358" s="41">
        <f t="shared" ref="AG358:AH358" si="3731">AG243*AG300/AG$5</f>
        <v>-472.98965046016343</v>
      </c>
      <c r="AH358" s="41">
        <f t="shared" si="3731"/>
        <v>-569.33319902382686</v>
      </c>
      <c r="AI358" s="41">
        <f t="shared" ref="AI358:AJ358" si="3732">AI243*AI300/AI$5</f>
        <v>-675.54696885698752</v>
      </c>
      <c r="AJ358" s="41">
        <f t="shared" si="3732"/>
        <v>-652.799460156294</v>
      </c>
      <c r="AK358" s="41">
        <f t="shared" ref="AK358:AL358" si="3733">AK243*AK300/AK$5</f>
        <v>-631.57634916382642</v>
      </c>
      <c r="AL358" s="41">
        <f t="shared" si="3733"/>
        <v>-722.8771297072841</v>
      </c>
      <c r="AM358" s="41">
        <f t="shared" ref="AM358:AN358" si="3734">AM243*AM300/AM$5</f>
        <v>-1024.1702183124271</v>
      </c>
      <c r="AN358" s="41">
        <f t="shared" si="3734"/>
        <v>-909.40360579374442</v>
      </c>
      <c r="AO358" s="41">
        <f t="shared" ref="AO358" si="3735">AO243*AO300/AO$5</f>
        <v>-802.30175059635849</v>
      </c>
      <c r="AP358" s="41">
        <f t="shared" ref="AP358:AQ358" si="3736">AP243*AP300/AP$5</f>
        <v>-600.4395299618011</v>
      </c>
      <c r="AQ358" s="41">
        <f t="shared" si="3736"/>
        <v>-508.49819011680307</v>
      </c>
      <c r="AR358" s="41">
        <f t="shared" ref="AR358:AS358" si="3737">AR243*AR300/AR$5</f>
        <v>-445.10648986479941</v>
      </c>
      <c r="AS358" s="41">
        <f t="shared" si="3737"/>
        <v>-198.20663075506451</v>
      </c>
      <c r="AT358" s="41">
        <f t="shared" ref="AT358:AU358" si="3738">AT243*AT300/AT$5</f>
        <v>-442.00831695861564</v>
      </c>
      <c r="AU358" s="41">
        <f t="shared" si="3738"/>
        <v>-663.57391605076668</v>
      </c>
      <c r="AV358" s="41">
        <f t="shared" ref="AV358:AW358" si="3739">AV243*AV300/AV$5</f>
        <v>-822.99608333893605</v>
      </c>
      <c r="AW358" s="41">
        <f t="shared" si="3739"/>
        <v>-787.5613278386719</v>
      </c>
      <c r="AX358" s="41">
        <f t="shared" ref="AX358:AY358" si="3740">AX243*AX300/AX$5</f>
        <v>-701.26370005524336</v>
      </c>
      <c r="AY358" s="211">
        <f t="shared" si="3740"/>
        <v>0</v>
      </c>
      <c r="AZ358" s="41"/>
      <c r="BA358" s="41"/>
      <c r="BB358" s="41"/>
      <c r="BC358" s="41"/>
      <c r="BD358" s="41"/>
      <c r="BE358" s="41"/>
      <c r="BF358" s="41"/>
      <c r="BG358" s="41"/>
      <c r="BH358" s="41"/>
      <c r="BI358" s="41"/>
      <c r="BJ358" s="41"/>
      <c r="BK358" s="41"/>
      <c r="BL358" s="41"/>
      <c r="BM358" s="41"/>
      <c r="BN358" s="41"/>
      <c r="BO358" s="41"/>
      <c r="BP358" s="41"/>
      <c r="BQ358" s="41"/>
      <c r="BR358" s="41"/>
      <c r="BS358" s="41"/>
      <c r="BT358" s="41"/>
      <c r="BU358" s="41"/>
      <c r="BV358" s="41"/>
      <c r="BW358" s="41"/>
      <c r="BX358" s="41"/>
      <c r="BY358" s="41"/>
      <c r="BZ358" s="41"/>
      <c r="CA358" s="41"/>
      <c r="CB358" s="41"/>
      <c r="CC358" s="41">
        <f>SUM(D358:E358)</f>
        <v>965.40265247397269</v>
      </c>
      <c r="CD358" s="41">
        <f>SUM(F358:G358)</f>
        <v>1209.5983466191783</v>
      </c>
      <c r="CE358" s="41">
        <f>SUM(H358:I358)</f>
        <v>1687.4507763333334</v>
      </c>
      <c r="CF358" s="41">
        <f>SUM(J358:K358)</f>
        <v>2213.8569375269403</v>
      </c>
      <c r="CG358" s="41">
        <f>SUM(L358:M358)</f>
        <v>57.216348062804336</v>
      </c>
      <c r="CH358" s="41">
        <f>SUM(N358:O358)</f>
        <v>105.67612403161219</v>
      </c>
      <c r="CI358" s="41">
        <f>SUM(P358:Q358)</f>
        <v>152.27709083969418</v>
      </c>
      <c r="CJ358" s="41">
        <f>SUM(R358:S358)</f>
        <v>-1046.5158615882042</v>
      </c>
      <c r="CK358" s="41">
        <f>SUM(T358:U358)</f>
        <v>-424.62047187535183</v>
      </c>
      <c r="CL358" s="41">
        <f>SUM(V358:W358)</f>
        <v>-749.73876316219344</v>
      </c>
      <c r="CM358" s="41">
        <f>SUM(X358:Y358)</f>
        <v>-1341.4385769230762</v>
      </c>
      <c r="CN358" s="41">
        <f>SUM(Z358:AA358)</f>
        <v>-1343.0946054717517</v>
      </c>
      <c r="CO358" s="41">
        <f>SUM(AB358:AC358)</f>
        <v>-850.9580908219159</v>
      </c>
      <c r="CP358" s="41">
        <f>SUM(AD358:AE358)</f>
        <v>-750.54512109360485</v>
      </c>
      <c r="CQ358" s="41">
        <f>SUM(AF358:AG358)</f>
        <v>-792.8931760474602</v>
      </c>
      <c r="CR358" s="41">
        <f>SUM(AH358:AI358)</f>
        <v>-1244.8801678808145</v>
      </c>
      <c r="CS358" s="41">
        <f>SUM(AJ358:AK358)</f>
        <v>-1284.3758093201204</v>
      </c>
      <c r="CT358" s="41">
        <f>SUM(AL358:AM358)</f>
        <v>-1747.0473480197111</v>
      </c>
      <c r="CU358" s="41">
        <f>SUM(AN358:AO358)</f>
        <v>-1711.7053563901029</v>
      </c>
      <c r="CV358" s="41">
        <f>SUM(AP358:AQ358)</f>
        <v>-1108.9377200786041</v>
      </c>
      <c r="CW358" s="41">
        <f>SUM(AR358:AS358)</f>
        <v>-643.31312061986387</v>
      </c>
      <c r="CX358" s="41">
        <f>SUM(AT358:AU358)</f>
        <v>-1105.5822330093824</v>
      </c>
      <c r="CY358" s="41">
        <f>SUM(AV358:AW358)</f>
        <v>-1610.5574111776079</v>
      </c>
      <c r="CZ358" s="211"/>
      <c r="DA358" s="41"/>
      <c r="DB358" s="41"/>
      <c r="DC358" s="41"/>
      <c r="DD358" s="41"/>
      <c r="DE358" s="41"/>
      <c r="DF358" s="41"/>
      <c r="DG358" s="41"/>
      <c r="DH358" s="41"/>
      <c r="DI358" s="41"/>
    </row>
    <row r="359" spans="1:113" s="17" customFormat="1" ht="12" hidden="1" outlineLevel="2">
      <c r="A359" s="1" t="s">
        <v>137</v>
      </c>
      <c r="B359" s="17" t="s">
        <v>168</v>
      </c>
      <c r="C359" s="62">
        <f t="shared" ref="C359:L359" si="3741">IF(ABS(C244*C301/C$5-(C357+C358))&lt;0.1,C244*C301/C$5,"Error")</f>
        <v>1295.2153969657531</v>
      </c>
      <c r="D359" s="62">
        <f t="shared" si="3741"/>
        <v>1231.2275317808219</v>
      </c>
      <c r="E359" s="62">
        <f t="shared" si="3741"/>
        <v>1511.7607741684933</v>
      </c>
      <c r="F359" s="62">
        <f t="shared" si="3741"/>
        <v>1590.015451682192</v>
      </c>
      <c r="G359" s="62">
        <f t="shared" si="3741"/>
        <v>1653.9926890410964</v>
      </c>
      <c r="H359" s="62">
        <f t="shared" si="3741"/>
        <v>2050.2318749999999</v>
      </c>
      <c r="I359" s="62">
        <f t="shared" si="3741"/>
        <v>2192.233608</v>
      </c>
      <c r="J359" s="62">
        <f>IF(ABS(J244*J301/J$5-(J357+J358))&lt;0.1,J244*J301/J$5,"Error")</f>
        <v>2472.7814023324199</v>
      </c>
      <c r="K359" s="62">
        <f t="shared" si="3741"/>
        <v>2663.7146772876708</v>
      </c>
      <c r="L359" s="62">
        <f t="shared" si="3741"/>
        <v>558.90868020821915</v>
      </c>
      <c r="M359" s="62">
        <f t="shared" ref="M359:Y359" si="3742">IF(ABS(M244*M301/M$5-(M357+M358))&lt;0.1,M244*M301/M$5,"Error")</f>
        <v>674.5528252231851</v>
      </c>
      <c r="N359" s="62">
        <f t="shared" si="3742"/>
        <v>724.89610959999925</v>
      </c>
      <c r="O359" s="62">
        <f t="shared" si="3742"/>
        <v>794.54219686406782</v>
      </c>
      <c r="P359" s="62">
        <f t="shared" si="3742"/>
        <v>1080.2546616793877</v>
      </c>
      <c r="Q359" s="62">
        <f t="shared" si="3742"/>
        <v>922.70095118320671</v>
      </c>
      <c r="R359" s="62">
        <f t="shared" si="3742"/>
        <v>-370.37672244383475</v>
      </c>
      <c r="S359" s="62">
        <f t="shared" si="3742"/>
        <v>26.023379000522141</v>
      </c>
      <c r="T359" s="62">
        <f t="shared" si="3742"/>
        <v>340.05864789041277</v>
      </c>
      <c r="U359" s="62">
        <f t="shared" si="3742"/>
        <v>334.1329736484368</v>
      </c>
      <c r="V359" s="62">
        <f t="shared" si="3742"/>
        <v>192.7971336986198</v>
      </c>
      <c r="W359" s="62">
        <f t="shared" si="3742"/>
        <v>78.895670279201553</v>
      </c>
      <c r="X359" s="62">
        <f t="shared" si="3742"/>
        <v>-136.27199769230407</v>
      </c>
      <c r="Y359" s="62">
        <f t="shared" si="3742"/>
        <v>-644.73347461538697</v>
      </c>
      <c r="Z359" s="62">
        <f t="shared" ref="Z359:AD359" si="3743">IF(ABS(Z244*Z301/Z$5-(Z357+Z358))&lt;0.1,Z244*Z301/Z$5,"Error")</f>
        <v>-637.86929288766646</v>
      </c>
      <c r="AA359" s="62">
        <f t="shared" si="3743"/>
        <v>-300.32797638606866</v>
      </c>
      <c r="AB359" s="62">
        <f t="shared" si="3743"/>
        <v>-183.8567660273925</v>
      </c>
      <c r="AC359" s="62">
        <f t="shared" si="3743"/>
        <v>-52.766106369863849</v>
      </c>
      <c r="AD359" s="62">
        <f t="shared" si="3743"/>
        <v>-147.74013100462369</v>
      </c>
      <c r="AE359" s="62">
        <f t="shared" ref="AE359:AF359" si="3744">IF(ABS(AE244*AE301/AE$5-(AE357+AE358))&lt;0.1,AE244*AE301/AE$5,"Error")</f>
        <v>-322.25366880682049</v>
      </c>
      <c r="AF359" s="62">
        <f t="shared" si="3744"/>
        <v>-35.275902142490111</v>
      </c>
      <c r="AG359" s="62">
        <f t="shared" ref="AG359:AH359" si="3745">IF(ABS(AG244*AG301/AG$5-(AG357+AG358))&lt;0.1,AG244*AG301/AG$5,"Error")</f>
        <v>-282.33541156111727</v>
      </c>
      <c r="AH359" s="62">
        <f t="shared" si="3745"/>
        <v>-367.90929788821614</v>
      </c>
      <c r="AI359" s="62">
        <f t="shared" ref="AI359:AJ359" si="3746">IF(ABS(AI244*AI301/AI$5-(AI357+AI358))&lt;0.1,AI244*AI301/AI$5,"Error")</f>
        <v>-435.89199617271322</v>
      </c>
      <c r="AJ359" s="62">
        <f t="shared" si="3746"/>
        <v>-464.08124793881456</v>
      </c>
      <c r="AK359" s="62">
        <f t="shared" ref="AK359:AL359" si="3747">IF(ABS(AK244*AK301/AK$5-(AK357+AK358))&lt;0.1,AK244*AK301/AK$5,"Error")</f>
        <v>-259.38599402038608</v>
      </c>
      <c r="AL359" s="62">
        <f t="shared" si="3747"/>
        <v>-426.51265117382724</v>
      </c>
      <c r="AM359" s="62">
        <f t="shared" ref="AM359:AN359" si="3748">IF(ABS(AM244*AM301/AM$5-(AM357+AM358))&lt;0.1,AM244*AM301/AM$5,"Error")</f>
        <v>-1235.3026191924082</v>
      </c>
      <c r="AN359" s="62">
        <f t="shared" si="3748"/>
        <v>-1259.7471704532759</v>
      </c>
      <c r="AO359" s="62">
        <f t="shared" ref="AO359" si="3749">IF(ABS(AO244*AO301/AO$5-(AO357+AO358))&lt;0.1,AO244*AO301/AO$5,"Error")</f>
        <v>-1630.4091301455423</v>
      </c>
      <c r="AP359" s="62">
        <f t="shared" ref="AP359:AQ359" si="3750">IF(ABS(AP244*AP301/AP$5-(AP357+AP358))&lt;0.1,AP244*AP301/AP$5,"Error")</f>
        <v>-1426.6806081986213</v>
      </c>
      <c r="AQ359" s="62">
        <f t="shared" si="3750"/>
        <v>-1287.854952188947</v>
      </c>
      <c r="AR359" s="62">
        <f t="shared" ref="AR359:AS359" si="3751">IF(ABS(AR244*AR301/AR$5-(AR357+AR358))&lt;0.1,AR244*AR301/AR$5,"Error")</f>
        <v>-1202.1574808122332</v>
      </c>
      <c r="AS359" s="62">
        <f t="shared" si="3751"/>
        <v>609.83202453730735</v>
      </c>
      <c r="AT359" s="62">
        <f t="shared" ref="AT359:AU359" si="3752">IF(ABS(AT244*AT301/AT$5-(AT357+AT358))&lt;0.1,AT244*AT301/AT$5,"Error")</f>
        <v>629.54211338525636</v>
      </c>
      <c r="AU359" s="62">
        <f t="shared" si="3752"/>
        <v>276.50610580206103</v>
      </c>
      <c r="AV359" s="62">
        <f t="shared" ref="AV359:AW359" si="3753">IF(ABS(AV244*AV301/AV$5-(AV357+AV358))&lt;0.1,AV244*AV301/AV$5,"Error")</f>
        <v>-146.16447656067328</v>
      </c>
      <c r="AW359" s="62">
        <f t="shared" si="3753"/>
        <v>-176.04197765617153</v>
      </c>
      <c r="AX359" s="62">
        <f t="shared" ref="AX359:AY359" si="3754">IF(ABS(AX244*AX301/AX$5-(AX357+AX358))&lt;0.1,AX244*AX301/AX$5,"Error")</f>
        <v>-941.65824516691919</v>
      </c>
      <c r="AY359" s="220">
        <f t="shared" si="3754"/>
        <v>0</v>
      </c>
      <c r="AZ359" s="62"/>
      <c r="BA359" s="62"/>
      <c r="BB359" s="62"/>
      <c r="BC359" s="62"/>
      <c r="BD359" s="62"/>
      <c r="BE359" s="62"/>
      <c r="BF359" s="62"/>
      <c r="BG359" s="62"/>
      <c r="BH359" s="62"/>
      <c r="BI359" s="62"/>
      <c r="BJ359" s="62"/>
      <c r="BK359" s="62"/>
      <c r="BL359" s="62"/>
      <c r="BM359" s="62"/>
      <c r="BN359" s="62"/>
      <c r="BO359" s="62"/>
      <c r="BP359" s="62"/>
      <c r="BQ359" s="62"/>
      <c r="BR359" s="62"/>
      <c r="BS359" s="62">
        <f t="shared" ref="BS359:CB359" si="3755">BS244*BS301/BS$5</f>
        <v>-34.051049999999307</v>
      </c>
      <c r="BT359" s="62">
        <f t="shared" si="3755"/>
        <v>55.059100000000136</v>
      </c>
      <c r="BU359" s="62">
        <f t="shared" si="3755"/>
        <v>247.66534249999995</v>
      </c>
      <c r="BV359" s="62">
        <f t="shared" si="3755"/>
        <v>830.1928333333334</v>
      </c>
      <c r="BW359" s="62">
        <f t="shared" si="3755"/>
        <v>638.64954500000056</v>
      </c>
      <c r="BX359" s="62">
        <f t="shared" si="3755"/>
        <v>684.0028341666665</v>
      </c>
      <c r="BY359" s="62">
        <f t="shared" si="3755"/>
        <v>610.59812500000044</v>
      </c>
      <c r="BZ359" s="62">
        <f t="shared" si="3755"/>
        <v>621.6324637500004</v>
      </c>
      <c r="CA359" s="62">
        <f t="shared" si="3755"/>
        <v>850.79282307692256</v>
      </c>
      <c r="CB359" s="62">
        <f t="shared" si="3755"/>
        <v>659.13979000000177</v>
      </c>
      <c r="CC359" s="62">
        <f>SUM(D359:E359)</f>
        <v>2742.988305949315</v>
      </c>
      <c r="CD359" s="62">
        <f>SUM(F359:G359)</f>
        <v>3244.0081407232883</v>
      </c>
      <c r="CE359" s="62">
        <f>SUM(H359:I359)</f>
        <v>4242.4654829999999</v>
      </c>
      <c r="CF359" s="62">
        <f>SUM(J359:K359)</f>
        <v>5136.4960796200903</v>
      </c>
      <c r="CG359" s="62">
        <f>SUM(L359:M359)</f>
        <v>1233.4615054314042</v>
      </c>
      <c r="CH359" s="62">
        <f>SUM(N359:O359)</f>
        <v>1519.438306464067</v>
      </c>
      <c r="CI359" s="62">
        <f>SUM(P359:Q359)</f>
        <v>2002.9556128625945</v>
      </c>
      <c r="CJ359" s="62">
        <f>SUM(R359:S359)</f>
        <v>-344.35334344331261</v>
      </c>
      <c r="CK359" s="62">
        <f>SUM(T359:U359)</f>
        <v>674.19162153884963</v>
      </c>
      <c r="CL359" s="62">
        <f>SUM(V359:W359)</f>
        <v>271.69280397782137</v>
      </c>
      <c r="CM359" s="62">
        <f>SUM(X359:Y359)</f>
        <v>-781.00547230769098</v>
      </c>
      <c r="CN359" s="62">
        <f>SUM(Z359:AA359)</f>
        <v>-938.19726927373517</v>
      </c>
      <c r="CO359" s="62">
        <f>SUM(AB359:AC359)</f>
        <v>-236.62287239725634</v>
      </c>
      <c r="CP359" s="62">
        <f>SUM(AD359:AE359)</f>
        <v>-469.99379981144421</v>
      </c>
      <c r="CQ359" s="62">
        <f>SUM(AF359:AG359)</f>
        <v>-317.61131370360738</v>
      </c>
      <c r="CR359" s="62">
        <f>SUM(AH359:AI359)</f>
        <v>-803.80129406092942</v>
      </c>
      <c r="CS359" s="62">
        <f>SUM(AJ359:AK359)</f>
        <v>-723.46724195920069</v>
      </c>
      <c r="CT359" s="62">
        <f>SUM(AL359:AM359)</f>
        <v>-1661.8152703662354</v>
      </c>
      <c r="CU359" s="62">
        <f>SUM(AN359:AO359)</f>
        <v>-2890.1563005988182</v>
      </c>
      <c r="CV359" s="62">
        <f>SUM(AP359:AQ359)</f>
        <v>-2714.5355603875682</v>
      </c>
      <c r="CW359" s="62">
        <f>SUM(AR359:AS359)</f>
        <v>-592.32545627492584</v>
      </c>
      <c r="CX359" s="62">
        <f>SUM(AT359:AU359)</f>
        <v>906.04821918731739</v>
      </c>
      <c r="CY359" s="62">
        <f>SUM(AV359:AW359)</f>
        <v>-322.2064542168448</v>
      </c>
      <c r="CZ359" s="220"/>
      <c r="DA359" s="62"/>
      <c r="DB359" s="62"/>
      <c r="DC359" s="62"/>
      <c r="DD359" s="62"/>
      <c r="DE359" s="62"/>
      <c r="DF359" s="62"/>
      <c r="DG359" s="62"/>
      <c r="DH359" s="62"/>
      <c r="DI359" s="62"/>
    </row>
    <row r="360" spans="1:113" ht="12" hidden="1" outlineLevel="2">
      <c r="C360" s="41"/>
      <c r="D360" s="41"/>
      <c r="E360" s="41"/>
      <c r="F360" s="41"/>
      <c r="G360" s="41"/>
      <c r="H360" s="41"/>
      <c r="I360" s="41"/>
      <c r="J360" s="41"/>
      <c r="K360" s="41"/>
      <c r="L360" s="41"/>
      <c r="M360" s="41"/>
      <c r="N360" s="41"/>
      <c r="O360" s="41"/>
      <c r="P360" s="41"/>
      <c r="Q360" s="41"/>
      <c r="R360" s="41"/>
      <c r="S360" s="41"/>
      <c r="T360" s="41"/>
      <c r="U360" s="41"/>
      <c r="V360" s="41"/>
      <c r="W360" s="41"/>
      <c r="X360" s="41"/>
      <c r="Y360" s="41"/>
      <c r="Z360" s="41"/>
      <c r="AA360" s="41"/>
      <c r="AB360" s="41"/>
      <c r="AC360" s="41"/>
      <c r="AD360" s="41"/>
      <c r="AE360" s="41"/>
      <c r="AF360" s="41"/>
      <c r="AG360" s="41"/>
      <c r="AH360" s="41"/>
      <c r="AI360" s="41"/>
      <c r="AJ360" s="41"/>
      <c r="AK360" s="41"/>
      <c r="AL360" s="41"/>
      <c r="AM360" s="41"/>
      <c r="AN360" s="41"/>
      <c r="AO360" s="41"/>
      <c r="AP360" s="41"/>
      <c r="AQ360" s="41"/>
      <c r="AR360" s="41"/>
      <c r="AS360" s="41"/>
      <c r="AT360" s="41"/>
      <c r="AU360" s="41"/>
      <c r="AV360" s="41"/>
      <c r="AW360" s="41"/>
      <c r="AX360" s="41"/>
      <c r="AY360" s="211"/>
      <c r="AZ360" s="41"/>
      <c r="BA360" s="41"/>
      <c r="BB360" s="41"/>
      <c r="BC360" s="41"/>
      <c r="BD360" s="41"/>
      <c r="BE360" s="41"/>
      <c r="BF360" s="41"/>
      <c r="BG360" s="41"/>
      <c r="BH360" s="41"/>
      <c r="BI360" s="41"/>
      <c r="BJ360" s="41"/>
      <c r="BK360" s="41"/>
      <c r="BL360" s="41"/>
      <c r="BM360" s="41"/>
      <c r="BN360" s="41"/>
      <c r="BO360" s="41"/>
      <c r="BP360" s="41"/>
      <c r="BQ360" s="41"/>
      <c r="BR360" s="41"/>
      <c r="BS360" s="41"/>
      <c r="BT360" s="41"/>
      <c r="BU360" s="41"/>
      <c r="BV360" s="41"/>
      <c r="BW360" s="41"/>
      <c r="BX360" s="41"/>
      <c r="BY360" s="41"/>
      <c r="BZ360" s="41"/>
      <c r="CA360" s="41"/>
      <c r="CB360" s="41"/>
      <c r="CC360" s="41"/>
      <c r="CD360" s="41"/>
      <c r="CE360" s="41"/>
      <c r="CF360" s="41"/>
      <c r="CG360" s="41"/>
      <c r="CH360" s="41"/>
      <c r="CI360" s="41"/>
      <c r="CJ360" s="41"/>
      <c r="CK360" s="41"/>
      <c r="CL360" s="41"/>
      <c r="CM360" s="41"/>
      <c r="CN360" s="41"/>
      <c r="CO360" s="41"/>
      <c r="CP360" s="41"/>
      <c r="CQ360" s="41"/>
      <c r="CR360" s="41"/>
      <c r="CS360" s="41"/>
      <c r="CT360" s="41"/>
      <c r="CU360" s="41"/>
      <c r="CV360" s="41"/>
      <c r="CW360" s="41"/>
      <c r="CX360" s="41"/>
      <c r="CY360" s="41"/>
      <c r="CZ360" s="211"/>
      <c r="DA360" s="41"/>
      <c r="DB360" s="41"/>
      <c r="DC360" s="41"/>
      <c r="DD360" s="41"/>
      <c r="DE360" s="41"/>
      <c r="DF360" s="41"/>
      <c r="DG360" s="41"/>
      <c r="DH360" s="41"/>
      <c r="DI360" s="41"/>
    </row>
    <row r="361" spans="1:113" s="17" customFormat="1" ht="12" hidden="1" outlineLevel="2">
      <c r="A361" s="15"/>
      <c r="B361" s="17" t="s">
        <v>594</v>
      </c>
      <c r="C361" s="62"/>
      <c r="D361" s="62"/>
      <c r="E361" s="62"/>
      <c r="F361" s="62"/>
      <c r="G361" s="62"/>
      <c r="H361" s="62"/>
      <c r="I361" s="62"/>
      <c r="J361" s="62"/>
      <c r="K361" s="62"/>
      <c r="L361" s="62"/>
      <c r="M361" s="62"/>
      <c r="N361" s="62"/>
      <c r="O361" s="62"/>
      <c r="P361" s="62"/>
      <c r="Q361" s="62"/>
      <c r="R361" s="62"/>
      <c r="S361" s="62"/>
      <c r="T361" s="62"/>
      <c r="U361" s="62"/>
      <c r="V361" s="62"/>
      <c r="W361" s="62"/>
      <c r="X361" s="62"/>
      <c r="Y361" s="62"/>
      <c r="Z361" s="62"/>
      <c r="AA361" s="62"/>
      <c r="AB361" s="62"/>
      <c r="AC361" s="62"/>
      <c r="AD361" s="62"/>
      <c r="AE361" s="62"/>
      <c r="AF361" s="62"/>
      <c r="AG361" s="62"/>
      <c r="AH361" s="62"/>
      <c r="AI361" s="62"/>
      <c r="AJ361" s="62"/>
      <c r="AK361" s="62"/>
      <c r="AL361" s="62"/>
      <c r="AM361" s="62"/>
      <c r="AN361" s="62"/>
      <c r="AO361" s="62"/>
      <c r="AP361" s="62"/>
      <c r="AQ361" s="62"/>
      <c r="AR361" s="62"/>
      <c r="AS361" s="62"/>
      <c r="AT361" s="62"/>
      <c r="AU361" s="62"/>
      <c r="AV361" s="62"/>
      <c r="AW361" s="62"/>
      <c r="AX361" s="62"/>
      <c r="AY361" s="220"/>
      <c r="AZ361" s="62"/>
      <c r="BA361" s="62"/>
      <c r="BB361" s="62"/>
      <c r="BC361" s="62"/>
      <c r="BD361" s="62"/>
      <c r="BE361" s="62"/>
      <c r="BF361" s="62"/>
      <c r="BG361" s="62"/>
      <c r="BH361" s="62"/>
      <c r="BI361" s="62"/>
      <c r="BJ361" s="62"/>
      <c r="BK361" s="62"/>
      <c r="BL361" s="62"/>
      <c r="BM361" s="62"/>
      <c r="BN361" s="62"/>
      <c r="BO361" s="62"/>
      <c r="BP361" s="62"/>
      <c r="BQ361" s="62"/>
      <c r="BR361" s="62"/>
      <c r="BS361" s="62"/>
      <c r="BT361" s="62"/>
      <c r="BU361" s="62"/>
      <c r="BV361" s="62"/>
      <c r="BW361" s="62"/>
      <c r="BX361" s="62"/>
      <c r="BY361" s="62"/>
      <c r="BZ361" s="62"/>
      <c r="CA361" s="62"/>
      <c r="CB361" s="62"/>
      <c r="CC361" s="62"/>
      <c r="CD361" s="62"/>
      <c r="CE361" s="62"/>
      <c r="CF361" s="62"/>
      <c r="CG361" s="62"/>
      <c r="CH361" s="62"/>
      <c r="CI361" s="62"/>
      <c r="CJ361" s="62"/>
      <c r="CK361" s="62"/>
      <c r="CL361" s="62"/>
      <c r="CM361" s="62"/>
      <c r="CN361" s="62"/>
      <c r="CO361" s="62"/>
      <c r="CP361" s="62"/>
      <c r="CQ361" s="62"/>
      <c r="CR361" s="62"/>
      <c r="CS361" s="62"/>
      <c r="CT361" s="62"/>
      <c r="CU361" s="62"/>
      <c r="CV361" s="62"/>
      <c r="CW361" s="62"/>
      <c r="CX361" s="62"/>
      <c r="CY361" s="62"/>
      <c r="CZ361" s="220"/>
      <c r="DA361" s="62"/>
      <c r="DB361" s="62"/>
      <c r="DC361" s="62"/>
      <c r="DD361" s="62"/>
      <c r="DE361" s="62"/>
      <c r="DF361" s="62"/>
      <c r="DG361" s="62"/>
      <c r="DH361" s="62"/>
      <c r="DI361" s="62"/>
    </row>
    <row r="362" spans="1:113" ht="12" hidden="1" outlineLevel="2">
      <c r="A362" s="1" t="s">
        <v>138</v>
      </c>
      <c r="B362" s="15" t="s">
        <v>592</v>
      </c>
      <c r="C362" s="41">
        <f t="shared" ref="C362:L363" si="3756">C247*C304/C$5</f>
        <v>134.52514462328764</v>
      </c>
      <c r="D362" s="41">
        <f t="shared" si="3756"/>
        <v>125.29146767123287</v>
      </c>
      <c r="E362" s="41">
        <f t="shared" si="3756"/>
        <v>148.05688074657536</v>
      </c>
      <c r="F362" s="41">
        <f t="shared" si="3756"/>
        <v>155.72860499543378</v>
      </c>
      <c r="G362" s="41">
        <f t="shared" si="3756"/>
        <v>159.14325931506852</v>
      </c>
      <c r="H362" s="41">
        <f t="shared" si="3756"/>
        <v>368.35562499999997</v>
      </c>
      <c r="I362" s="41">
        <f t="shared" si="3756"/>
        <v>480.44561400000003</v>
      </c>
      <c r="J362" s="41">
        <f t="shared" si="3756"/>
        <v>508.11072001187205</v>
      </c>
      <c r="K362" s="41">
        <f t="shared" si="3756"/>
        <v>545.06364493150681</v>
      </c>
      <c r="L362" s="41">
        <f t="shared" si="3756"/>
        <v>148.05132618082195</v>
      </c>
      <c r="M362" s="41">
        <f t="shared" ref="M362:Y363" si="3757">M247*M304/M$5</f>
        <v>152.19558042170758</v>
      </c>
      <c r="N362" s="41">
        <f t="shared" si="3757"/>
        <v>191.72875999999982</v>
      </c>
      <c r="O362" s="41">
        <f t="shared" si="3757"/>
        <v>172.95586139388837</v>
      </c>
      <c r="P362" s="41">
        <f t="shared" si="3757"/>
        <v>219.92109351145015</v>
      </c>
      <c r="Q362" s="41">
        <f t="shared" si="3757"/>
        <v>228.33454511450392</v>
      </c>
      <c r="R362" s="41">
        <f t="shared" si="3757"/>
        <v>55.036698569863063</v>
      </c>
      <c r="S362" s="41">
        <f t="shared" si="3757"/>
        <v>122.36509634068798</v>
      </c>
      <c r="T362" s="41">
        <f t="shared" si="3757"/>
        <v>225.03566860273989</v>
      </c>
      <c r="U362" s="41">
        <f t="shared" si="3757"/>
        <v>256.20115235804667</v>
      </c>
      <c r="V362" s="41">
        <f t="shared" si="3757"/>
        <v>243.00122684931415</v>
      </c>
      <c r="W362" s="41">
        <f t="shared" si="3757"/>
        <v>288.68077532155183</v>
      </c>
      <c r="X362" s="41">
        <f t="shared" si="3757"/>
        <v>256.02133769230801</v>
      </c>
      <c r="Y362" s="41">
        <f t="shared" si="3757"/>
        <v>160.59587923076901</v>
      </c>
      <c r="Z362" s="41">
        <f t="shared" ref="Z362:AB363" si="3758">Z247*Z304/Z$5</f>
        <v>100.41821743013745</v>
      </c>
      <c r="AA362" s="41">
        <f t="shared" si="3758"/>
        <v>79.190262670710425</v>
      </c>
      <c r="AB362" s="41">
        <f t="shared" si="3758"/>
        <v>71.904942739726607</v>
      </c>
      <c r="AC362" s="41">
        <f t="shared" ref="AC362:AD362" si="3759">AC247*AC304/AC$5</f>
        <v>21.380665684931493</v>
      </c>
      <c r="AD362" s="41">
        <f t="shared" si="3759"/>
        <v>-14.96326598050698</v>
      </c>
      <c r="AE362" s="41">
        <f t="shared" ref="AE362:AF362" si="3760">AE247*AE304/AE$5</f>
        <v>-45.929155568553696</v>
      </c>
      <c r="AF362" s="41">
        <f t="shared" si="3760"/>
        <v>-2.798068822719856</v>
      </c>
      <c r="AG362" s="41">
        <f t="shared" ref="AG362:AH362" si="3761">AG247*AG304/AG$5</f>
        <v>-26.623730449950216</v>
      </c>
      <c r="AH362" s="41">
        <f t="shared" si="3761"/>
        <v>-25.362310700261865</v>
      </c>
      <c r="AI362" s="41">
        <f t="shared" ref="AI362:AJ362" si="3762">AI247*AI304/AI$5</f>
        <v>-23.953584114222739</v>
      </c>
      <c r="AJ362" s="41">
        <f t="shared" si="3762"/>
        <v>-32.084334238697252</v>
      </c>
      <c r="AK362" s="41">
        <f t="shared" ref="AK362:AL362" si="3763">AK247*AK304/AK$5</f>
        <v>9.6647468504172753</v>
      </c>
      <c r="AL362" s="41">
        <f t="shared" si="3763"/>
        <v>-5.7357099358895516</v>
      </c>
      <c r="AM362" s="41">
        <f t="shared" ref="AM362:AN362" si="3764">AM247*AM304/AM$5</f>
        <v>-118.85963774973432</v>
      </c>
      <c r="AN362" s="41">
        <f t="shared" si="3764"/>
        <v>-147.72563036492812</v>
      </c>
      <c r="AO362" s="41">
        <f t="shared" ref="AO362" si="3765">AO247*AO304/AO$5</f>
        <v>-262.01295444174286</v>
      </c>
      <c r="AP362" s="41">
        <f t="shared" ref="AP362:AQ362" si="3766">AP247*AP304/AP$5</f>
        <v>-270.40554294940154</v>
      </c>
      <c r="AQ362" s="41">
        <f t="shared" si="3766"/>
        <v>-271.31689227352001</v>
      </c>
      <c r="AR362" s="41">
        <f t="shared" ref="AR362:AS362" si="3767">AR247*AR304/AR$5</f>
        <v>-263.76029822246386</v>
      </c>
      <c r="AS362" s="41">
        <f t="shared" si="3767"/>
        <v>63.636920648525063</v>
      </c>
      <c r="AT362" s="41">
        <f t="shared" ref="AT362:AU362" si="3768">AT247*AT304/AT$5</f>
        <v>121.76292725864383</v>
      </c>
      <c r="AU362" s="41">
        <f t="shared" si="3768"/>
        <v>99.03854434779889</v>
      </c>
      <c r="AV362" s="41">
        <f t="shared" ref="AV362:AW362" si="3769">AV247*AV304/AV$5</f>
        <v>42.239296066763103</v>
      </c>
      <c r="AW362" s="41">
        <f t="shared" si="3769"/>
        <v>25.105577173777213</v>
      </c>
      <c r="AX362" s="41">
        <f t="shared" ref="AX362:AY362" si="3770">AX247*AX304/AX$5</f>
        <v>-125.80388215228304</v>
      </c>
      <c r="AY362" s="211">
        <f t="shared" si="3770"/>
        <v>0</v>
      </c>
      <c r="AZ362" s="41"/>
      <c r="BA362" s="41"/>
      <c r="BB362" s="41"/>
      <c r="BC362" s="41"/>
      <c r="BD362" s="41"/>
      <c r="BE362" s="41"/>
      <c r="BF362" s="41"/>
      <c r="BG362" s="41"/>
      <c r="BH362" s="41"/>
      <c r="BI362" s="41"/>
      <c r="BJ362" s="41"/>
      <c r="BK362" s="41"/>
      <c r="BL362" s="41"/>
      <c r="BM362" s="41"/>
      <c r="BN362" s="41"/>
      <c r="BO362" s="41"/>
      <c r="BP362" s="41"/>
      <c r="BQ362" s="41"/>
      <c r="BR362" s="41"/>
      <c r="BS362" s="41"/>
      <c r="BT362" s="41"/>
      <c r="BU362" s="41"/>
      <c r="BV362" s="41"/>
      <c r="BW362" s="41"/>
      <c r="BX362" s="41"/>
      <c r="BY362" s="41"/>
      <c r="BZ362" s="41"/>
      <c r="CA362" s="41"/>
      <c r="CB362" s="41"/>
      <c r="CC362" s="41">
        <f>SUM(D362:E362)</f>
        <v>273.34834841780821</v>
      </c>
      <c r="CD362" s="41">
        <f>SUM(F362:G362)</f>
        <v>314.8718643105023</v>
      </c>
      <c r="CE362" s="41">
        <f>SUM(H362:I362)</f>
        <v>848.80123900000001</v>
      </c>
      <c r="CF362" s="41">
        <f>SUM(J362:K362)</f>
        <v>1053.1743649433788</v>
      </c>
      <c r="CG362" s="41">
        <f>SUM(L362:M362)</f>
        <v>300.24690660252952</v>
      </c>
      <c r="CH362" s="41">
        <f>SUM(N362:O362)</f>
        <v>364.68462139388816</v>
      </c>
      <c r="CI362" s="41">
        <f>SUM(P362:Q362)</f>
        <v>448.25563862595408</v>
      </c>
      <c r="CJ362" s="41">
        <f>SUM(R362:S362)</f>
        <v>177.40179491055105</v>
      </c>
      <c r="CK362" s="41">
        <f>SUM(T362:U362)</f>
        <v>481.23682096078653</v>
      </c>
      <c r="CL362" s="41">
        <f>SUM(V362:W362)</f>
        <v>531.68200217086599</v>
      </c>
      <c r="CM362" s="41">
        <f>SUM(X362:Y362)</f>
        <v>416.61721692307702</v>
      </c>
      <c r="CN362" s="41">
        <f>SUM(Z362:AA362)</f>
        <v>179.60848010084788</v>
      </c>
      <c r="CO362" s="41">
        <f>SUM(AB362:AC362)</f>
        <v>93.285608424658108</v>
      </c>
      <c r="CP362" s="41">
        <f>SUM(AD362:AE362)</f>
        <v>-60.892421549060678</v>
      </c>
      <c r="CQ362" s="41">
        <f>SUM(AF362:AG362)</f>
        <v>-29.421799272670071</v>
      </c>
      <c r="CR362" s="41">
        <f>SUM(AH362:AI362)</f>
        <v>-49.315894814484608</v>
      </c>
      <c r="CS362" s="41">
        <f>SUM(AJ362:AK362)</f>
        <v>-22.419587388279979</v>
      </c>
      <c r="CT362" s="41">
        <f>SUM(AL362:AM362)</f>
        <v>-124.59534768562386</v>
      </c>
      <c r="CU362" s="41">
        <f>SUM(AN362:AO362)</f>
        <v>-409.73858480667099</v>
      </c>
      <c r="CV362" s="41">
        <f>SUM(AP362:AQ362)</f>
        <v>-541.7224352229216</v>
      </c>
      <c r="CW362" s="41">
        <f>SUM(AR362:AS362)</f>
        <v>-200.1233775739388</v>
      </c>
      <c r="CX362" s="41">
        <f>SUM(AT362:AU362)</f>
        <v>220.8014716064427</v>
      </c>
      <c r="CY362" s="41">
        <f>SUM(AV362:AW362)</f>
        <v>67.344873240540323</v>
      </c>
      <c r="CZ362" s="211"/>
      <c r="DA362" s="41"/>
      <c r="DB362" s="41"/>
      <c r="DC362" s="41"/>
      <c r="DD362" s="41"/>
      <c r="DE362" s="41"/>
      <c r="DF362" s="41"/>
      <c r="DG362" s="41"/>
      <c r="DH362" s="41"/>
      <c r="DI362" s="41"/>
    </row>
    <row r="363" spans="1:113" ht="12" hidden="1" outlineLevel="2">
      <c r="A363" s="1" t="s">
        <v>139</v>
      </c>
      <c r="B363" s="15" t="s">
        <v>473</v>
      </c>
      <c r="C363" s="41">
        <f t="shared" si="3756"/>
        <v>211.39317748767118</v>
      </c>
      <c r="D363" s="41">
        <f t="shared" si="3756"/>
        <v>185.6081624657534</v>
      </c>
      <c r="E363" s="41">
        <f t="shared" si="3756"/>
        <v>227.67912987534248</v>
      </c>
      <c r="F363" s="41">
        <f t="shared" si="3756"/>
        <v>261.09136378356163</v>
      </c>
      <c r="G363" s="41">
        <f t="shared" si="3756"/>
        <v>251.46752390410964</v>
      </c>
      <c r="H363" s="41">
        <f t="shared" si="3756"/>
        <v>499.30104166666666</v>
      </c>
      <c r="I363" s="41">
        <f t="shared" si="3756"/>
        <v>644.98103200000003</v>
      </c>
      <c r="J363" s="41">
        <f t="shared" si="3756"/>
        <v>712.650939249315</v>
      </c>
      <c r="K363" s="41">
        <f t="shared" si="3756"/>
        <v>724.9630364904109</v>
      </c>
      <c r="L363" s="41">
        <f t="shared" si="3756"/>
        <v>-171.98976670684937</v>
      </c>
      <c r="M363" s="41">
        <f t="shared" si="3757"/>
        <v>-132.36186010937752</v>
      </c>
      <c r="N363" s="41">
        <f t="shared" si="3757"/>
        <v>-117.0159470739728</v>
      </c>
      <c r="O363" s="41">
        <f t="shared" si="3757"/>
        <v>-145.62268700105355</v>
      </c>
      <c r="P363" s="41">
        <f t="shared" si="3757"/>
        <v>-121.20017045801551</v>
      </c>
      <c r="Q363" s="41">
        <f t="shared" si="3757"/>
        <v>-102.51686125954184</v>
      </c>
      <c r="R363" s="41">
        <f t="shared" si="3757"/>
        <v>-382.96441380273967</v>
      </c>
      <c r="S363" s="41">
        <f t="shared" si="3757"/>
        <v>-174.03395354658591</v>
      </c>
      <c r="T363" s="41">
        <f t="shared" si="3757"/>
        <v>-13.619543452054517</v>
      </c>
      <c r="U363" s="41">
        <f t="shared" si="3757"/>
        <v>61.727539997908579</v>
      </c>
      <c r="V363" s="41">
        <f t="shared" si="3757"/>
        <v>42.166444383560261</v>
      </c>
      <c r="W363" s="41">
        <f t="shared" si="3757"/>
        <v>96.226007135836184</v>
      </c>
      <c r="X363" s="41">
        <f t="shared" si="3757"/>
        <v>66.431887692308109</v>
      </c>
      <c r="Y363" s="41">
        <f t="shared" si="3757"/>
        <v>-54.270593846154092</v>
      </c>
      <c r="Z363" s="41">
        <f t="shared" si="3758"/>
        <v>-127.47231959451996</v>
      </c>
      <c r="AA363" s="41">
        <f t="shared" si="3758"/>
        <v>-166.44490059186404</v>
      </c>
      <c r="AB363" s="41">
        <f t="shared" si="3758"/>
        <v>-194.13811698630079</v>
      </c>
      <c r="AC363" s="41">
        <f t="shared" ref="AC363:AD363" si="3771">AC248*AC305/AC$5</f>
        <v>-231.69914280821934</v>
      </c>
      <c r="AD363" s="41">
        <f t="shared" si="3771"/>
        <v>-231.73639056562644</v>
      </c>
      <c r="AE363" s="41">
        <f t="shared" ref="AE363:AF363" si="3772">AE248*AE305/AE$5</f>
        <v>-248.96310217145623</v>
      </c>
      <c r="AF363" s="41">
        <f t="shared" si="3772"/>
        <v>-228.40720629297502</v>
      </c>
      <c r="AG363" s="41">
        <f t="shared" ref="AG363:AH363" si="3773">AG248*AG305/AG$5</f>
        <v>-302.58834768934423</v>
      </c>
      <c r="AH363" s="41">
        <f t="shared" si="3773"/>
        <v>-357.8071063488145</v>
      </c>
      <c r="AI363" s="41">
        <f t="shared" ref="AI363:AJ363" si="3774">AI248*AI305/AI$5</f>
        <v>-403.29345813150451</v>
      </c>
      <c r="AJ363" s="41">
        <f t="shared" si="3774"/>
        <v>-431.31188748908426</v>
      </c>
      <c r="AK363" s="41">
        <f t="shared" ref="AK363:AL363" si="3775">AK248*AK305/AK$5</f>
        <v>-452.12532758585729</v>
      </c>
      <c r="AL363" s="41">
        <f t="shared" si="3775"/>
        <v>-512.5482264211995</v>
      </c>
      <c r="AM363" s="41">
        <f t="shared" ref="AM363:AN363" si="3776">AM248*AM305/AM$5</f>
        <v>-692.08772942542885</v>
      </c>
      <c r="AN363" s="41">
        <f t="shared" si="3776"/>
        <v>-660.82618142968454</v>
      </c>
      <c r="AO363" s="41">
        <f t="shared" ref="AO363" si="3777">AO248*AO305/AO$5</f>
        <v>-608.84651082155438</v>
      </c>
      <c r="AP363" s="41">
        <f t="shared" ref="AP363:AQ363" si="3778">AP248*AP305/AP$5</f>
        <v>-467.40213751131859</v>
      </c>
      <c r="AQ363" s="41">
        <f t="shared" si="3778"/>
        <v>-387.55629363227757</v>
      </c>
      <c r="AR363" s="41">
        <f t="shared" ref="AR363:AS363" si="3779">AR248*AR305/AR$5</f>
        <v>-378.23306360245476</v>
      </c>
      <c r="AS363" s="41">
        <f t="shared" si="3779"/>
        <v>-283.32637883359115</v>
      </c>
      <c r="AT363" s="41">
        <f t="shared" ref="AT363:AU363" si="3780">AT248*AT305/AT$5</f>
        <v>-396.91789927267928</v>
      </c>
      <c r="AU363" s="41">
        <f t="shared" si="3780"/>
        <v>-503.37642428385283</v>
      </c>
      <c r="AV363" s="41">
        <f t="shared" ref="AV363:AW363" si="3781">AV248*AV305/AV$5</f>
        <v>-620.09771615369732</v>
      </c>
      <c r="AW363" s="41">
        <f t="shared" si="3781"/>
        <v>-569.37874911649578</v>
      </c>
      <c r="AX363" s="41">
        <f t="shared" ref="AX363:AY363" si="3782">AX248*AX305/AX$5</f>
        <v>-523.53287259618833</v>
      </c>
      <c r="AY363" s="211">
        <f t="shared" si="3782"/>
        <v>0</v>
      </c>
      <c r="AZ363" s="41"/>
      <c r="BA363" s="41"/>
      <c r="BB363" s="41"/>
      <c r="BC363" s="41"/>
      <c r="BD363" s="41"/>
      <c r="BE363" s="41"/>
      <c r="BF363" s="41"/>
      <c r="BG363" s="41"/>
      <c r="BH363" s="41"/>
      <c r="BI363" s="41"/>
      <c r="BJ363" s="41"/>
      <c r="BK363" s="41"/>
      <c r="BL363" s="41"/>
      <c r="BM363" s="41"/>
      <c r="BN363" s="41"/>
      <c r="BO363" s="41"/>
      <c r="BP363" s="41"/>
      <c r="BQ363" s="41"/>
      <c r="BR363" s="41"/>
      <c r="BS363" s="41"/>
      <c r="BT363" s="41"/>
      <c r="BU363" s="41"/>
      <c r="BV363" s="41"/>
      <c r="BW363" s="41"/>
      <c r="BX363" s="41"/>
      <c r="BY363" s="41"/>
      <c r="BZ363" s="41"/>
      <c r="CA363" s="41"/>
      <c r="CB363" s="41"/>
      <c r="CC363" s="41">
        <f>SUM(D363:E363)</f>
        <v>413.28729234109585</v>
      </c>
      <c r="CD363" s="41">
        <f>SUM(F363:G363)</f>
        <v>512.55888768767124</v>
      </c>
      <c r="CE363" s="41">
        <f>SUM(H363:I363)</f>
        <v>1144.2820736666667</v>
      </c>
      <c r="CF363" s="41">
        <f>SUM(J363:K363)</f>
        <v>1437.6139757397259</v>
      </c>
      <c r="CG363" s="41">
        <f>SUM(L363:M363)</f>
        <v>-304.35162681622688</v>
      </c>
      <c r="CH363" s="41">
        <f>SUM(N363:O363)</f>
        <v>-262.63863407502635</v>
      </c>
      <c r="CI363" s="41">
        <f>SUM(P363:Q363)</f>
        <v>-223.71703171755735</v>
      </c>
      <c r="CJ363" s="41">
        <f>SUM(R363:S363)</f>
        <v>-556.99836734932558</v>
      </c>
      <c r="CK363" s="41">
        <f>SUM(T363:U363)</f>
        <v>48.107996545854064</v>
      </c>
      <c r="CL363" s="41">
        <f>SUM(V363:W363)</f>
        <v>138.39245151939645</v>
      </c>
      <c r="CM363" s="41">
        <f>SUM(X363:Y363)</f>
        <v>12.161293846154017</v>
      </c>
      <c r="CN363" s="41">
        <f>SUM(Z363:AA363)</f>
        <v>-293.91722018638399</v>
      </c>
      <c r="CO363" s="41">
        <f>SUM(AB363:AC363)</f>
        <v>-425.83725979452015</v>
      </c>
      <c r="CP363" s="41">
        <f>SUM(AD363:AE363)</f>
        <v>-480.69949273708266</v>
      </c>
      <c r="CQ363" s="41">
        <f>SUM(AF363:AG363)</f>
        <v>-530.99555398231928</v>
      </c>
      <c r="CR363" s="41">
        <f>SUM(AH363:AI363)</f>
        <v>-761.10056448031901</v>
      </c>
      <c r="CS363" s="41">
        <f>SUM(AJ363:AK363)</f>
        <v>-883.43721507494161</v>
      </c>
      <c r="CT363" s="41">
        <f>SUM(AL363:AM363)</f>
        <v>-1204.6359558466283</v>
      </c>
      <c r="CU363" s="41">
        <f>SUM(AN363:AO363)</f>
        <v>-1269.6726922512389</v>
      </c>
      <c r="CV363" s="41">
        <f>SUM(AP363:AQ363)</f>
        <v>-854.95843114359616</v>
      </c>
      <c r="CW363" s="41">
        <f>SUM(AR363:AS363)</f>
        <v>-661.55944243604586</v>
      </c>
      <c r="CX363" s="41">
        <f>SUM(AT363:AU363)</f>
        <v>-900.29432355653216</v>
      </c>
      <c r="CY363" s="41">
        <f>SUM(AV363:AW363)</f>
        <v>-1189.4764652701931</v>
      </c>
      <c r="CZ363" s="211"/>
      <c r="DA363" s="41"/>
      <c r="DB363" s="41"/>
      <c r="DC363" s="41"/>
      <c r="DD363" s="41"/>
      <c r="DE363" s="41"/>
      <c r="DF363" s="41"/>
      <c r="DG363" s="41"/>
      <c r="DH363" s="41"/>
      <c r="DI363" s="41"/>
    </row>
    <row r="364" spans="1:113" s="17" customFormat="1" ht="12" hidden="1" outlineLevel="2">
      <c r="A364" s="1" t="s">
        <v>140</v>
      </c>
      <c r="B364" s="17" t="s">
        <v>168</v>
      </c>
      <c r="C364" s="62">
        <f t="shared" ref="C364:L364" si="3783">IF(ABS(C249*C306/C$5-(C362+C363))&lt;0.1,C249*C306/C$5,"Error")</f>
        <v>345.91832211095885</v>
      </c>
      <c r="D364" s="62">
        <f t="shared" si="3783"/>
        <v>310.89963013698627</v>
      </c>
      <c r="E364" s="62">
        <f t="shared" si="3783"/>
        <v>375.73601062191779</v>
      </c>
      <c r="F364" s="62">
        <f t="shared" si="3783"/>
        <v>416.81996877899547</v>
      </c>
      <c r="G364" s="62">
        <f t="shared" si="3783"/>
        <v>410.61078321917813</v>
      </c>
      <c r="H364" s="62">
        <f t="shared" si="3783"/>
        <v>867.65666666666664</v>
      </c>
      <c r="I364" s="62">
        <f t="shared" si="3783"/>
        <v>1125.4266460000001</v>
      </c>
      <c r="J364" s="62">
        <f t="shared" si="3783"/>
        <v>1220.7616592611869</v>
      </c>
      <c r="K364" s="62">
        <f t="shared" si="3783"/>
        <v>1270.0266814219176</v>
      </c>
      <c r="L364" s="62">
        <f t="shared" si="3783"/>
        <v>-23.938440526027399</v>
      </c>
      <c r="M364" s="62">
        <f t="shared" ref="M364:Y364" si="3784">IF(ABS(M249*M306/M$5-(M362+M363))&lt;0.1,M249*M306/M$5,"Error")</f>
        <v>19.833720312330069</v>
      </c>
      <c r="N364" s="62">
        <f t="shared" si="3784"/>
        <v>74.712812926027027</v>
      </c>
      <c r="O364" s="62">
        <f t="shared" si="3784"/>
        <v>27.333174392834824</v>
      </c>
      <c r="P364" s="62">
        <f t="shared" si="3784"/>
        <v>98.720923053434646</v>
      </c>
      <c r="Q364" s="62">
        <f t="shared" si="3784"/>
        <v>125.81768385496208</v>
      </c>
      <c r="R364" s="62">
        <f t="shared" si="3784"/>
        <v>-327.92771523287661</v>
      </c>
      <c r="S364" s="62">
        <f t="shared" si="3784"/>
        <v>-51.668857205897901</v>
      </c>
      <c r="T364" s="62">
        <f t="shared" si="3784"/>
        <v>211.41612515068539</v>
      </c>
      <c r="U364" s="62">
        <f t="shared" si="3784"/>
        <v>317.92869235595526</v>
      </c>
      <c r="V364" s="62">
        <f t="shared" si="3784"/>
        <v>285.1676712328744</v>
      </c>
      <c r="W364" s="62">
        <f t="shared" si="3784"/>
        <v>384.90678245738809</v>
      </c>
      <c r="X364" s="62">
        <f t="shared" si="3784"/>
        <v>322.45322538461613</v>
      </c>
      <c r="Y364" s="62">
        <f t="shared" si="3784"/>
        <v>106.3252853846149</v>
      </c>
      <c r="Z364" s="62">
        <f t="shared" ref="Z364:AD364" si="3785">IF(ABS(Z249*Z306/Z$5-(Z362+Z363))&lt;0.1,Z249*Z306/Z$5,"Error")</f>
        <v>-27.054102164382517</v>
      </c>
      <c r="AA364" s="62">
        <f t="shared" si="3785"/>
        <v>-87.25463792115363</v>
      </c>
      <c r="AB364" s="62">
        <f t="shared" si="3785"/>
        <v>-122.23317424657419</v>
      </c>
      <c r="AC364" s="62">
        <f t="shared" si="3785"/>
        <v>-210.31847712328781</v>
      </c>
      <c r="AD364" s="62">
        <f t="shared" si="3785"/>
        <v>-246.69965654613341</v>
      </c>
      <c r="AE364" s="62">
        <f t="shared" ref="AE364:AF364" si="3786">IF(ABS(AE249*AE306/AE$5-(AE362+AE363))&lt;0.1,AE249*AE306/AE$5,"Error")</f>
        <v>-294.89225774000994</v>
      </c>
      <c r="AF364" s="62">
        <f t="shared" si="3786"/>
        <v>-231.20527511569489</v>
      </c>
      <c r="AG364" s="62">
        <f t="shared" ref="AG364:AH364" si="3787">IF(ABS(AG249*AG306/AG$5-(AG362+AG363))&lt;0.1,AG249*AG306/AG$5,"Error")</f>
        <v>-329.21207813929453</v>
      </c>
      <c r="AH364" s="62">
        <f t="shared" si="3787"/>
        <v>-383.1694170490764</v>
      </c>
      <c r="AI364" s="62">
        <f t="shared" ref="AI364:AJ364" si="3788">IF(ABS(AI249*AI306/AI$5-(AI362+AI363))&lt;0.1,AI249*AI306/AI$5,"Error")</f>
        <v>-427.24704224572719</v>
      </c>
      <c r="AJ364" s="62">
        <f t="shared" si="3788"/>
        <v>-463.39622172778155</v>
      </c>
      <c r="AK364" s="62">
        <f t="shared" ref="AK364:AL364" si="3789">IF(ABS(AK249*AK306/AK$5-(AK362+AK363))&lt;0.1,AK249*AK306/AK$5,"Error")</f>
        <v>-442.46058073543998</v>
      </c>
      <c r="AL364" s="62">
        <f t="shared" si="3789"/>
        <v>-518.28393635708915</v>
      </c>
      <c r="AM364" s="62">
        <f t="shared" ref="AM364:AN364" si="3790">IF(ABS(AM249*AM306/AM$5-(AM362+AM363))&lt;0.1,AM249*AM306/AM$5,"Error")</f>
        <v>-810.94736717516321</v>
      </c>
      <c r="AN364" s="62">
        <f t="shared" si="3790"/>
        <v>-808.5518117946126</v>
      </c>
      <c r="AO364" s="62">
        <f t="shared" ref="AO364" si="3791">IF(ABS(AO249*AO306/AO$5-(AO362+AO363))&lt;0.1,AO249*AO306/AO$5,"Error")</f>
        <v>-870.85946526329724</v>
      </c>
      <c r="AP364" s="62">
        <f t="shared" ref="AP364:AQ364" si="3792">IF(ABS(AP249*AP306/AP$5-(AP362+AP363))&lt;0.1,AP249*AP306/AP$5,"Error")</f>
        <v>-737.80768046072023</v>
      </c>
      <c r="AQ364" s="62">
        <f t="shared" si="3792"/>
        <v>-658.87318590579753</v>
      </c>
      <c r="AR364" s="62">
        <f t="shared" ref="AR364:AS364" si="3793">IF(ABS(AR249*AR306/AR$5-(AR362+AR363))&lt;0.1,AR249*AR306/AR$5,"Error")</f>
        <v>-641.99336182491868</v>
      </c>
      <c r="AS364" s="62">
        <f t="shared" si="3793"/>
        <v>-219.68945818506612</v>
      </c>
      <c r="AT364" s="62">
        <f t="shared" ref="AT364:AU364" si="3794">IF(ABS(AT249*AT306/AT$5-(AT362+AT363))&lt;0.1,AT249*AT306/AT$5,"Error")</f>
        <v>-275.15497201403542</v>
      </c>
      <c r="AU364" s="62">
        <f t="shared" si="3794"/>
        <v>-404.33787993605392</v>
      </c>
      <c r="AV364" s="62">
        <f t="shared" ref="AV364:AW364" si="3795">IF(ABS(AV249*AV306/AV$5-(AV362+AV363))&lt;0.1,AV249*AV306/AV$5,"Error")</f>
        <v>-577.85842008693419</v>
      </c>
      <c r="AW364" s="62">
        <f t="shared" si="3795"/>
        <v>-544.27317194271859</v>
      </c>
      <c r="AX364" s="62">
        <f t="shared" ref="AX364:AY364" si="3796">IF(ABS(AX249*AX306/AX$5-(AX362+AX363))&lt;0.1,AX249*AX306/AX$5,"Error")</f>
        <v>-649.33675474847144</v>
      </c>
      <c r="AY364" s="220">
        <f t="shared" si="3796"/>
        <v>0</v>
      </c>
      <c r="AZ364" s="62"/>
      <c r="BA364" s="62"/>
      <c r="BB364" s="62"/>
      <c r="BC364" s="62"/>
      <c r="BD364" s="62"/>
      <c r="BE364" s="62"/>
      <c r="BF364" s="62"/>
      <c r="BG364" s="62"/>
      <c r="BH364" s="62"/>
      <c r="BI364" s="62"/>
      <c r="BJ364" s="62"/>
      <c r="BK364" s="62"/>
      <c r="BL364" s="62"/>
      <c r="BM364" s="62"/>
      <c r="BN364" s="62"/>
      <c r="BO364" s="62"/>
      <c r="BP364" s="62"/>
      <c r="BQ364" s="62"/>
      <c r="BR364" s="62"/>
      <c r="BS364" s="62">
        <f t="shared" ref="BS364:CB364" si="3797">BS249*BS306/BS$5</f>
        <v>10.267096260924699</v>
      </c>
      <c r="BT364" s="62">
        <f t="shared" si="3797"/>
        <v>2.2950942929406781</v>
      </c>
      <c r="BU364" s="62">
        <f t="shared" si="3797"/>
        <v>34.241329999999977</v>
      </c>
      <c r="BV364" s="62">
        <f t="shared" si="3797"/>
        <v>167.5477166666667</v>
      </c>
      <c r="BW364" s="62">
        <f t="shared" si="3797"/>
        <v>70.3888216666668</v>
      </c>
      <c r="BX364" s="62">
        <f t="shared" si="3797"/>
        <v>-87.832644833333362</v>
      </c>
      <c r="BY364" s="62">
        <f t="shared" si="3797"/>
        <v>-533.7562499999998</v>
      </c>
      <c r="BZ364" s="62">
        <f t="shared" si="3797"/>
        <v>116.55445600000009</v>
      </c>
      <c r="CA364" s="62">
        <f t="shared" si="3797"/>
        <v>169.17900461538446</v>
      </c>
      <c r="CB364" s="62">
        <f t="shared" si="3797"/>
        <v>54.67499000000042</v>
      </c>
      <c r="CC364" s="62">
        <f>SUM(D364:E364)</f>
        <v>686.63564075890406</v>
      </c>
      <c r="CD364" s="62">
        <f>SUM(F364:G364)</f>
        <v>827.4307519981736</v>
      </c>
      <c r="CE364" s="62">
        <f>SUM(H364:I364)</f>
        <v>1993.0833126666666</v>
      </c>
      <c r="CF364" s="62">
        <f>SUM(J364:K364)</f>
        <v>2490.7883406831043</v>
      </c>
      <c r="CG364" s="62">
        <f>SUM(L364:M364)</f>
        <v>-4.1047202136973304</v>
      </c>
      <c r="CH364" s="62">
        <f>SUM(N364:O364)</f>
        <v>102.04598731886185</v>
      </c>
      <c r="CI364" s="62">
        <f>SUM(P364:Q364)</f>
        <v>224.53860690839673</v>
      </c>
      <c r="CJ364" s="62">
        <f>SUM(R364:S364)</f>
        <v>-379.5965724387745</v>
      </c>
      <c r="CK364" s="62">
        <f>SUM(T364:U364)</f>
        <v>529.34481750664065</v>
      </c>
      <c r="CL364" s="62">
        <f>SUM(V364:W364)</f>
        <v>670.07445369026254</v>
      </c>
      <c r="CM364" s="62">
        <f>SUM(X364:Y364)</f>
        <v>428.77851076923105</v>
      </c>
      <c r="CN364" s="62">
        <f>SUM(Z364:AA364)</f>
        <v>-114.30874008553614</v>
      </c>
      <c r="CO364" s="62">
        <f>SUM(AB364:AC364)</f>
        <v>-332.55165136986199</v>
      </c>
      <c r="CP364" s="62">
        <f>SUM(AD364:AE364)</f>
        <v>-541.59191428614338</v>
      </c>
      <c r="CQ364" s="62">
        <f>SUM(AF364:AG364)</f>
        <v>-560.41735325498939</v>
      </c>
      <c r="CR364" s="62">
        <f>SUM(AH364:AI364)</f>
        <v>-810.41645929480364</v>
      </c>
      <c r="CS364" s="62">
        <f>SUM(AJ364:AK364)</f>
        <v>-905.85680246322158</v>
      </c>
      <c r="CT364" s="62">
        <f>SUM(AL364:AM364)</f>
        <v>-1329.2313035322522</v>
      </c>
      <c r="CU364" s="62">
        <f>SUM(AN364:AO364)</f>
        <v>-1679.41127705791</v>
      </c>
      <c r="CV364" s="62">
        <f>SUM(AP364:AQ364)</f>
        <v>-1396.6808663665179</v>
      </c>
      <c r="CW364" s="62">
        <f>SUM(AR364:AS364)</f>
        <v>-861.68282000998477</v>
      </c>
      <c r="CX364" s="62">
        <f>SUM(AT364:AU364)</f>
        <v>-679.49285195008929</v>
      </c>
      <c r="CY364" s="62">
        <f>SUM(AV364:AW364)</f>
        <v>-1122.1315920296529</v>
      </c>
      <c r="CZ364" s="220"/>
      <c r="DA364" s="62"/>
      <c r="DB364" s="62"/>
      <c r="DC364" s="62"/>
      <c r="DD364" s="62"/>
      <c r="DE364" s="62"/>
      <c r="DF364" s="62"/>
      <c r="DG364" s="62"/>
      <c r="DH364" s="62"/>
      <c r="DI364" s="62"/>
    </row>
    <row r="365" spans="1:113" ht="12" hidden="1" outlineLevel="2">
      <c r="C365" s="41"/>
      <c r="D365" s="41"/>
      <c r="E365" s="41"/>
      <c r="F365" s="41"/>
      <c r="G365" s="41"/>
      <c r="H365" s="41"/>
      <c r="I365" s="41"/>
      <c r="J365" s="41"/>
      <c r="K365" s="41"/>
      <c r="L365" s="41"/>
      <c r="M365" s="41"/>
      <c r="N365" s="41"/>
      <c r="O365" s="41"/>
      <c r="P365" s="41"/>
      <c r="Q365" s="41"/>
      <c r="R365" s="41"/>
      <c r="S365" s="41"/>
      <c r="T365" s="41"/>
      <c r="U365" s="41"/>
      <c r="V365" s="41"/>
      <c r="W365" s="41"/>
      <c r="X365" s="41"/>
      <c r="Y365" s="41"/>
      <c r="Z365" s="41"/>
      <c r="AA365" s="41"/>
      <c r="AB365" s="41"/>
      <c r="AC365" s="41"/>
      <c r="AD365" s="41"/>
      <c r="AE365" s="41"/>
      <c r="AF365" s="41"/>
      <c r="AG365" s="41"/>
      <c r="AH365" s="41"/>
      <c r="AI365" s="41"/>
      <c r="AJ365" s="41"/>
      <c r="AK365" s="41"/>
      <c r="AL365" s="41"/>
      <c r="AM365" s="41"/>
      <c r="AN365" s="41"/>
      <c r="AO365" s="41"/>
      <c r="AP365" s="41"/>
      <c r="AQ365" s="41"/>
      <c r="AR365" s="41"/>
      <c r="AS365" s="41"/>
      <c r="AT365" s="41"/>
      <c r="AU365" s="41"/>
      <c r="AV365" s="41"/>
      <c r="AW365" s="41"/>
      <c r="AX365" s="41"/>
      <c r="AY365" s="211"/>
      <c r="AZ365" s="41"/>
      <c r="BA365" s="41"/>
      <c r="BB365" s="41"/>
      <c r="BC365" s="41"/>
      <c r="BD365" s="41"/>
      <c r="BE365" s="41"/>
      <c r="BF365" s="41"/>
      <c r="BG365" s="41"/>
      <c r="BH365" s="41"/>
      <c r="BI365" s="41"/>
      <c r="BJ365" s="41"/>
      <c r="BK365" s="41"/>
      <c r="BL365" s="41"/>
      <c r="BM365" s="41"/>
      <c r="BN365" s="41"/>
      <c r="BO365" s="41"/>
      <c r="BP365" s="41"/>
      <c r="BQ365" s="41"/>
      <c r="BR365" s="41"/>
      <c r="BS365" s="41"/>
      <c r="BT365" s="41"/>
      <c r="BU365" s="41"/>
      <c r="BV365" s="41"/>
      <c r="BW365" s="41"/>
      <c r="BX365" s="41"/>
      <c r="BY365" s="41"/>
      <c r="BZ365" s="41"/>
      <c r="CA365" s="41"/>
      <c r="CB365" s="41"/>
      <c r="CC365" s="41"/>
      <c r="CD365" s="41"/>
      <c r="CE365" s="41"/>
      <c r="CF365" s="41"/>
      <c r="CG365" s="41"/>
      <c r="CH365" s="41"/>
      <c r="CI365" s="41"/>
      <c r="CJ365" s="41"/>
      <c r="CK365" s="41"/>
      <c r="CL365" s="41"/>
      <c r="CM365" s="41"/>
      <c r="CN365" s="41"/>
      <c r="CO365" s="41"/>
      <c r="CP365" s="41"/>
      <c r="CQ365" s="41"/>
      <c r="CR365" s="41"/>
      <c r="CS365" s="41"/>
      <c r="CT365" s="41"/>
      <c r="CU365" s="41"/>
      <c r="CV365" s="41"/>
      <c r="CW365" s="41"/>
      <c r="CX365" s="41"/>
      <c r="CY365" s="41"/>
      <c r="CZ365" s="211"/>
      <c r="DA365" s="41"/>
      <c r="DB365" s="41"/>
      <c r="DC365" s="41"/>
      <c r="DD365" s="41"/>
      <c r="DE365" s="41"/>
      <c r="DF365" s="41"/>
      <c r="DG365" s="41"/>
      <c r="DH365" s="41"/>
      <c r="DI365" s="41"/>
    </row>
    <row r="366" spans="1:113" s="17" customFormat="1" ht="12" hidden="1" outlineLevel="2">
      <c r="A366" s="1"/>
      <c r="B366" s="17" t="s">
        <v>494</v>
      </c>
      <c r="C366" s="62"/>
      <c r="D366" s="62"/>
      <c r="E366" s="62"/>
      <c r="F366" s="62"/>
      <c r="G366" s="62"/>
      <c r="H366" s="62"/>
      <c r="I366" s="62"/>
      <c r="J366" s="62"/>
      <c r="K366" s="62"/>
      <c r="L366" s="62"/>
      <c r="M366" s="62"/>
      <c r="N366" s="62"/>
      <c r="O366" s="62"/>
      <c r="P366" s="62"/>
      <c r="Q366" s="62"/>
      <c r="R366" s="62"/>
      <c r="S366" s="62"/>
      <c r="T366" s="62"/>
      <c r="U366" s="62"/>
      <c r="V366" s="62"/>
      <c r="W366" s="62"/>
      <c r="X366" s="62"/>
      <c r="Y366" s="62"/>
      <c r="Z366" s="62"/>
      <c r="AA366" s="62"/>
      <c r="AB366" s="62"/>
      <c r="AC366" s="62"/>
      <c r="AD366" s="62"/>
      <c r="AE366" s="62"/>
      <c r="AF366" s="62"/>
      <c r="AG366" s="62"/>
      <c r="AH366" s="62"/>
      <c r="AI366" s="62"/>
      <c r="AJ366" s="62"/>
      <c r="AK366" s="62"/>
      <c r="AL366" s="62"/>
      <c r="AM366" s="62"/>
      <c r="AN366" s="62"/>
      <c r="AO366" s="62"/>
      <c r="AP366" s="62"/>
      <c r="AQ366" s="62"/>
      <c r="AR366" s="62"/>
      <c r="AS366" s="62"/>
      <c r="AT366" s="62"/>
      <c r="AU366" s="62"/>
      <c r="AV366" s="62"/>
      <c r="AW366" s="62"/>
      <c r="AX366" s="62"/>
      <c r="AY366" s="220"/>
      <c r="AZ366" s="62"/>
      <c r="BA366" s="62"/>
      <c r="BB366" s="62"/>
      <c r="BC366" s="62"/>
      <c r="BD366" s="62"/>
      <c r="BE366" s="62"/>
      <c r="BF366" s="62"/>
      <c r="BG366" s="62"/>
      <c r="BH366" s="62"/>
      <c r="BI366" s="62"/>
      <c r="BJ366" s="62"/>
      <c r="BK366" s="62"/>
      <c r="BL366" s="62"/>
      <c r="BM366" s="62"/>
      <c r="BN366" s="62"/>
      <c r="BO366" s="62"/>
      <c r="BP366" s="62"/>
      <c r="BQ366" s="62"/>
      <c r="BR366" s="62"/>
      <c r="BS366" s="62"/>
      <c r="BT366" s="62"/>
      <c r="BU366" s="62"/>
      <c r="BV366" s="62"/>
      <c r="BW366" s="62"/>
      <c r="BX366" s="62"/>
      <c r="BY366" s="62"/>
      <c r="BZ366" s="62"/>
      <c r="CA366" s="62"/>
      <c r="CB366" s="62"/>
      <c r="CC366" s="62"/>
      <c r="CD366" s="62"/>
      <c r="CE366" s="62"/>
      <c r="CF366" s="62"/>
      <c r="CG366" s="62"/>
      <c r="CH366" s="62"/>
      <c r="CI366" s="62"/>
      <c r="CJ366" s="62"/>
      <c r="CK366" s="62"/>
      <c r="CL366" s="62"/>
      <c r="CM366" s="62"/>
      <c r="CN366" s="62"/>
      <c r="CO366" s="62"/>
      <c r="CP366" s="62"/>
      <c r="CQ366" s="62"/>
      <c r="CR366" s="62"/>
      <c r="CS366" s="62"/>
      <c r="CT366" s="62"/>
      <c r="CU366" s="62"/>
      <c r="CV366" s="62"/>
      <c r="CW366" s="62"/>
      <c r="CX366" s="62"/>
      <c r="CY366" s="62"/>
      <c r="CZ366" s="220"/>
      <c r="DA366" s="62"/>
      <c r="DB366" s="62"/>
      <c r="DC366" s="62"/>
      <c r="DD366" s="62"/>
      <c r="DE366" s="62"/>
      <c r="DF366" s="62"/>
      <c r="DG366" s="62"/>
      <c r="DH366" s="62"/>
      <c r="DI366" s="62"/>
    </row>
    <row r="367" spans="1:113" ht="12" hidden="1" outlineLevel="2">
      <c r="A367" s="1" t="s">
        <v>222</v>
      </c>
      <c r="B367" s="15" t="s">
        <v>592</v>
      </c>
      <c r="C367" s="41">
        <f t="shared" ref="C367:L368" si="3798">C252*C309/C$5</f>
        <v>40.053187856164378</v>
      </c>
      <c r="D367" s="41">
        <f t="shared" si="3798"/>
        <v>36.917976986301369</v>
      </c>
      <c r="E367" s="41">
        <f t="shared" si="3798"/>
        <v>44.355322405479455</v>
      </c>
      <c r="F367" s="41">
        <f t="shared" si="3798"/>
        <v>43.551220041095895</v>
      </c>
      <c r="G367" s="41">
        <f t="shared" si="3798"/>
        <v>39.581291438356175</v>
      </c>
      <c r="H367" s="41">
        <f t="shared" si="3798"/>
        <v>50.243958333333332</v>
      </c>
      <c r="I367" s="41">
        <f t="shared" si="3798"/>
        <v>54.534402</v>
      </c>
      <c r="J367" s="41">
        <f t="shared" si="3798"/>
        <v>57.816331175342455</v>
      </c>
      <c r="K367" s="41">
        <f t="shared" si="3798"/>
        <v>65.152138808219178</v>
      </c>
      <c r="L367" s="41">
        <f t="shared" si="3798"/>
        <v>60.331261742465749</v>
      </c>
      <c r="M367" s="41">
        <f t="shared" ref="M367:Y368" si="3799">M252*M309/M$5</f>
        <v>64.713784195995871</v>
      </c>
      <c r="N367" s="41">
        <f t="shared" si="3799"/>
        <v>72.924693884931486</v>
      </c>
      <c r="O367" s="41">
        <f t="shared" si="3799"/>
        <v>81.272993118651215</v>
      </c>
      <c r="P367" s="41">
        <f t="shared" si="3799"/>
        <v>98.421404885496145</v>
      </c>
      <c r="Q367" s="41">
        <f t="shared" si="3799"/>
        <v>103.51783877862597</v>
      </c>
      <c r="R367" s="41">
        <f t="shared" si="3799"/>
        <v>75.657570389041112</v>
      </c>
      <c r="S367" s="41">
        <f t="shared" si="3799"/>
        <v>54.964279366935045</v>
      </c>
      <c r="T367" s="41">
        <f t="shared" si="3799"/>
        <v>103.49519473972607</v>
      </c>
      <c r="U367" s="41">
        <f t="shared" si="3799"/>
        <v>231.37729384084494</v>
      </c>
      <c r="V367" s="41">
        <f t="shared" si="3799"/>
        <v>281.15679835616379</v>
      </c>
      <c r="W367" s="41">
        <f t="shared" si="3799"/>
        <v>362.28160177350208</v>
      </c>
      <c r="X367" s="41">
        <f t="shared" si="3799"/>
        <v>344.60984307692331</v>
      </c>
      <c r="Y367" s="41">
        <f t="shared" si="3799"/>
        <v>276.36039538461523</v>
      </c>
      <c r="Z367" s="41">
        <f t="shared" ref="Z367:AB368" si="3800">Z252*Z309/Z$5</f>
        <v>251.9957939780825</v>
      </c>
      <c r="AA367" s="41">
        <f t="shared" si="3800"/>
        <v>255.20705233295016</v>
      </c>
      <c r="AB367" s="41">
        <f t="shared" si="3800"/>
        <v>255.0583608219182</v>
      </c>
      <c r="AC367" s="41">
        <f t="shared" ref="AC367" si="3801">AC252*AC309/AC$5</f>
        <v>278.03423808219173</v>
      </c>
      <c r="AD367" s="41">
        <f t="shared" ref="AD367:AF368" si="3802">AD372-AD357-AD362</f>
        <v>271.92916175057229</v>
      </c>
      <c r="AE367" s="41">
        <f t="shared" si="3802"/>
        <v>276.19094493095173</v>
      </c>
      <c r="AF367" s="41">
        <f t="shared" si="3802"/>
        <v>319.65255262981754</v>
      </c>
      <c r="AG367" s="41">
        <f t="shared" ref="AG367:AH367" si="3803">AG372-AG357-AG362</f>
        <v>309.70848184479553</v>
      </c>
      <c r="AH367" s="41">
        <f t="shared" si="3803"/>
        <v>312.86407425725412</v>
      </c>
      <c r="AI367" s="41">
        <f t="shared" ref="AI367:AJ367" si="3804">AI372-AI357-AI362</f>
        <v>334.19311874667079</v>
      </c>
      <c r="AJ367" s="41">
        <f t="shared" si="3804"/>
        <v>307.54265299715888</v>
      </c>
      <c r="AK367" s="41">
        <f t="shared" ref="AK367:AL367" si="3805">AK372-AK357-AK362</f>
        <v>319.20405010309543</v>
      </c>
      <c r="AL367" s="41">
        <f t="shared" si="3805"/>
        <v>312.30901559232177</v>
      </c>
      <c r="AM367" s="41">
        <f t="shared" ref="AM367:AN367" si="3806">AM372-AM357-AM362</f>
        <v>280.77857501727595</v>
      </c>
      <c r="AN367" s="41">
        <f t="shared" si="3806"/>
        <v>282.23599118692061</v>
      </c>
      <c r="AO367" s="41">
        <f t="shared" ref="AO367" si="3807">AO372-AO357-AO362</f>
        <v>286.25853204228144</v>
      </c>
      <c r="AP367" s="41">
        <f t="shared" ref="AP367:AQ367" si="3808">AP372-AP357-AP362</f>
        <v>297.59963770488417</v>
      </c>
      <c r="AQ367" s="41">
        <f t="shared" si="3808"/>
        <v>308.33864485784397</v>
      </c>
      <c r="AR367" s="41">
        <f t="shared" ref="AR367:AS367" si="3809">AR372-AR357-AR362</f>
        <v>326.47055704032556</v>
      </c>
      <c r="AS367" s="41">
        <f t="shared" si="3809"/>
        <v>502.24616018555417</v>
      </c>
      <c r="AT367" s="41">
        <f t="shared" ref="AT367:AU367" si="3810">AT372-AT357-AT362</f>
        <v>508.13475867710133</v>
      </c>
      <c r="AU367" s="41">
        <f t="shared" si="3810"/>
        <v>468.78376918432122</v>
      </c>
      <c r="AV367" s="41">
        <f t="shared" ref="AV367:AW367" si="3811">AV372-AV357-AV362</f>
        <v>440.83173731620252</v>
      </c>
      <c r="AW367" s="41">
        <f t="shared" si="3811"/>
        <v>432.37163817079067</v>
      </c>
      <c r="AX367" s="41">
        <f t="shared" ref="AX367:AY367" si="3812">AX372-AX357-AX362</f>
        <v>348.57070703930106</v>
      </c>
      <c r="AY367" s="211">
        <f t="shared" si="3812"/>
        <v>0</v>
      </c>
      <c r="AZ367" s="41"/>
      <c r="BA367" s="41"/>
      <c r="BB367" s="41"/>
      <c r="BC367" s="41"/>
      <c r="BD367" s="41"/>
      <c r="BE367" s="41"/>
      <c r="BF367" s="41"/>
      <c r="BG367" s="41"/>
      <c r="BH367" s="41"/>
      <c r="BI367" s="41"/>
      <c r="BJ367" s="41"/>
      <c r="BK367" s="41"/>
      <c r="BL367" s="41"/>
      <c r="BM367" s="41"/>
      <c r="BN367" s="41"/>
      <c r="BO367" s="41"/>
      <c r="BP367" s="41"/>
      <c r="BQ367" s="41"/>
      <c r="BR367" s="41"/>
      <c r="BS367" s="41"/>
      <c r="BT367" s="41"/>
      <c r="BU367" s="41"/>
      <c r="BV367" s="41"/>
      <c r="BW367" s="41"/>
      <c r="BX367" s="41"/>
      <c r="BY367" s="41"/>
      <c r="BZ367" s="41"/>
      <c r="CA367" s="41"/>
      <c r="CB367" s="41"/>
      <c r="CC367" s="41">
        <f>SUM(D367:E367)</f>
        <v>81.273299391780824</v>
      </c>
      <c r="CD367" s="41">
        <f>SUM(F367:G367)</f>
        <v>83.132511479452063</v>
      </c>
      <c r="CE367" s="41">
        <f>SUM(H367:I367)</f>
        <v>104.77836033333332</v>
      </c>
      <c r="CF367" s="41">
        <f>SUM(J367:K367)</f>
        <v>122.96846998356163</v>
      </c>
      <c r="CG367" s="41">
        <f>SUM(L367:M367)</f>
        <v>125.04504593846161</v>
      </c>
      <c r="CH367" s="41">
        <f>SUM(N367:O367)</f>
        <v>154.1976870035827</v>
      </c>
      <c r="CI367" s="41">
        <f>SUM(P367:Q367)</f>
        <v>201.9392436641221</v>
      </c>
      <c r="CJ367" s="41">
        <f>SUM(R367:S367)</f>
        <v>130.62184975597614</v>
      </c>
      <c r="CK367" s="41">
        <f>SUM(T367:U367)</f>
        <v>334.87248858057103</v>
      </c>
      <c r="CL367" s="41">
        <f>SUM(V367:W367)</f>
        <v>643.43840012966587</v>
      </c>
      <c r="CM367" s="41">
        <f>SUM(X367:Y367)</f>
        <v>620.97023846153854</v>
      </c>
      <c r="CN367" s="41">
        <f>SUM(Z367:AA367)</f>
        <v>507.20284631103266</v>
      </c>
      <c r="CO367" s="41">
        <f>SUM(AB367:AC367)</f>
        <v>533.09259890410999</v>
      </c>
      <c r="CP367" s="41">
        <f>SUM(AD367:AE367)</f>
        <v>548.12010668152402</v>
      </c>
      <c r="CQ367" s="41">
        <f>SUM(AF367:AG367)</f>
        <v>629.36103447461301</v>
      </c>
      <c r="CR367" s="41">
        <f>SUM(AH367:AI367)</f>
        <v>647.05719300392491</v>
      </c>
      <c r="CS367" s="41">
        <f>SUM(AJ367:AK367)</f>
        <v>626.74670310025431</v>
      </c>
      <c r="CT367" s="41">
        <f>SUM(AL367:AM367)</f>
        <v>593.08759060959778</v>
      </c>
      <c r="CU367" s="41">
        <f>SUM(AN367:AO367)</f>
        <v>568.49452322920206</v>
      </c>
      <c r="CV367" s="41">
        <f>SUM(AP367:AQ367)</f>
        <v>605.93828256272809</v>
      </c>
      <c r="CW367" s="41">
        <f>SUM(AR367:AS367)</f>
        <v>828.71671722587973</v>
      </c>
      <c r="CX367" s="41">
        <f>SUM(AT367:AU367)</f>
        <v>976.91852786142249</v>
      </c>
      <c r="CY367" s="41">
        <f>SUM(AV367:AW367)</f>
        <v>873.2033754869932</v>
      </c>
      <c r="CZ367" s="211"/>
      <c r="DA367" s="41"/>
      <c r="DB367" s="41"/>
      <c r="DC367" s="41"/>
      <c r="DD367" s="41"/>
      <c r="DE367" s="41"/>
      <c r="DF367" s="41"/>
      <c r="DG367" s="41"/>
      <c r="DH367" s="41"/>
      <c r="DI367" s="41"/>
    </row>
    <row r="368" spans="1:113" ht="12" hidden="1" outlineLevel="2">
      <c r="A368" s="1" t="s">
        <v>223</v>
      </c>
      <c r="B368" s="15" t="s">
        <v>473</v>
      </c>
      <c r="C368" s="41">
        <f t="shared" si="3798"/>
        <v>339.00336445068484</v>
      </c>
      <c r="D368" s="41">
        <f t="shared" si="3798"/>
        <v>339.88804164383555</v>
      </c>
      <c r="E368" s="41">
        <f t="shared" si="3798"/>
        <v>359.11511308356165</v>
      </c>
      <c r="F368" s="41">
        <f t="shared" si="3798"/>
        <v>361.77506587305936</v>
      </c>
      <c r="G368" s="41">
        <f t="shared" si="3798"/>
        <v>346.51074650684939</v>
      </c>
      <c r="H368" s="41">
        <f t="shared" si="3798"/>
        <v>353.89104166666664</v>
      </c>
      <c r="I368" s="41">
        <f t="shared" si="3798"/>
        <v>344.836186</v>
      </c>
      <c r="J368" s="41">
        <f t="shared" si="3798"/>
        <v>304.93317524657527</v>
      </c>
      <c r="K368" s="41">
        <f t="shared" si="3798"/>
        <v>317.52796190410959</v>
      </c>
      <c r="L368" s="41">
        <f t="shared" si="3798"/>
        <v>76.7454595287671</v>
      </c>
      <c r="M368" s="41">
        <f t="shared" si="3799"/>
        <v>76.878585481770685</v>
      </c>
      <c r="N368" s="41">
        <f t="shared" si="3799"/>
        <v>81.57270586849306</v>
      </c>
      <c r="O368" s="41">
        <f t="shared" si="3799"/>
        <v>117.35359018798741</v>
      </c>
      <c r="P368" s="41">
        <f t="shared" si="3799"/>
        <v>295.33392610686997</v>
      </c>
      <c r="Q368" s="41">
        <f t="shared" si="3799"/>
        <v>585.74629148854979</v>
      </c>
      <c r="R368" s="41">
        <f t="shared" si="3799"/>
        <v>361.30956643287681</v>
      </c>
      <c r="S368" s="41">
        <f t="shared" si="3799"/>
        <v>388.48050200627404</v>
      </c>
      <c r="T368" s="41">
        <f t="shared" si="3799"/>
        <v>646.39433972602785</v>
      </c>
      <c r="U368" s="41">
        <f t="shared" si="3799"/>
        <v>876.42648185715768</v>
      </c>
      <c r="V368" s="41">
        <f t="shared" si="3799"/>
        <v>845.85415506849108</v>
      </c>
      <c r="W368" s="41">
        <f t="shared" si="3799"/>
        <v>889.73374196381906</v>
      </c>
      <c r="X368" s="41">
        <f t="shared" si="3799"/>
        <v>893.14131923077002</v>
      </c>
      <c r="Y368" s="41">
        <f t="shared" si="3799"/>
        <v>825.36933230769159</v>
      </c>
      <c r="Z368" s="41">
        <f t="shared" si="3800"/>
        <v>758.21469055890543</v>
      </c>
      <c r="AA368" s="41">
        <f t="shared" si="3800"/>
        <v>764.15246295095778</v>
      </c>
      <c r="AB368" s="41">
        <f t="shared" si="3800"/>
        <v>727.37810684931651</v>
      </c>
      <c r="AC368" s="41">
        <f t="shared" ref="AC368" si="3813">AC253*AC310/AC$5</f>
        <v>775.01422486301362</v>
      </c>
      <c r="AD368" s="41">
        <f t="shared" si="3802"/>
        <v>771.59068803799732</v>
      </c>
      <c r="AE368" s="41">
        <f t="shared" si="3802"/>
        <v>693.15608545358464</v>
      </c>
      <c r="AF368" s="41">
        <f t="shared" si="3802"/>
        <v>786.08312157492378</v>
      </c>
      <c r="AG368" s="41">
        <f t="shared" ref="AG368:AH368" si="3814">AG373-AG358-AG363</f>
        <v>698.71605584034558</v>
      </c>
      <c r="AH368" s="41">
        <f t="shared" si="3814"/>
        <v>649.72930836223077</v>
      </c>
      <c r="AI368" s="41">
        <f t="shared" ref="AI368:AJ368" si="3815">AI373-AI358-AI363</f>
        <v>561.28833126147822</v>
      </c>
      <c r="AJ368" s="41">
        <f t="shared" si="3815"/>
        <v>610.27302961798011</v>
      </c>
      <c r="AK368" s="41">
        <f t="shared" ref="AK368:AL368" si="3816">AK373-AK358-AK363</f>
        <v>602.40863486770309</v>
      </c>
      <c r="AL368" s="41">
        <f t="shared" si="3816"/>
        <v>505.70723689561191</v>
      </c>
      <c r="AM368" s="41">
        <f t="shared" ref="AM368:AN368" si="3817">AM373-AM358-AM363</f>
        <v>234.77909528569683</v>
      </c>
      <c r="AN368" s="41">
        <f t="shared" si="3817"/>
        <v>163.5779708112168</v>
      </c>
      <c r="AO368" s="41">
        <f t="shared" ref="AO368" si="3818">AO373-AO358-AO363</f>
        <v>188.70609576905827</v>
      </c>
      <c r="AP368" s="41">
        <f t="shared" ref="AP368:AQ368" si="3819">AP373-AP358-AP363</f>
        <v>418.73254128083164</v>
      </c>
      <c r="AQ368" s="41">
        <f t="shared" si="3819"/>
        <v>490.9773718997655</v>
      </c>
      <c r="AR368" s="41">
        <f t="shared" ref="AR368:AS368" si="3820">AR373-AR358-AR363</f>
        <v>436.28121056752815</v>
      </c>
      <c r="AS368" s="41">
        <f t="shared" si="3820"/>
        <v>741.89070411464172</v>
      </c>
      <c r="AT368" s="41">
        <f t="shared" ref="AT368:AU368" si="3821">AT373-AT358-AT363</f>
        <v>560.64821860115796</v>
      </c>
      <c r="AU368" s="41">
        <f t="shared" si="3821"/>
        <v>463.33936675097669</v>
      </c>
      <c r="AV368" s="41">
        <f t="shared" ref="AV368:AW368" si="3822">AV373-AV358-AV363</f>
        <v>474.66896901186396</v>
      </c>
      <c r="AW368" s="41">
        <f t="shared" si="3822"/>
        <v>547.78890895516793</v>
      </c>
      <c r="AX368" s="41">
        <f t="shared" ref="AX368:AY368" si="3823">AX373-AX358-AX363</f>
        <v>676.32906633727487</v>
      </c>
      <c r="AY368" s="211">
        <f t="shared" si="3823"/>
        <v>0</v>
      </c>
      <c r="AZ368" s="41"/>
      <c r="BA368" s="41"/>
      <c r="BB368" s="41"/>
      <c r="BC368" s="41"/>
      <c r="BD368" s="41"/>
      <c r="BE368" s="41"/>
      <c r="BF368" s="41"/>
      <c r="BG368" s="41"/>
      <c r="BH368" s="41"/>
      <c r="BI368" s="41"/>
      <c r="BJ368" s="41"/>
      <c r="BK368" s="41"/>
      <c r="BL368" s="41"/>
      <c r="BM368" s="41"/>
      <c r="BN368" s="41"/>
      <c r="BO368" s="41"/>
      <c r="BP368" s="41"/>
      <c r="BQ368" s="41"/>
      <c r="BR368" s="41"/>
      <c r="BS368" s="41"/>
      <c r="BT368" s="41"/>
      <c r="BU368" s="41"/>
      <c r="BV368" s="41"/>
      <c r="BW368" s="41"/>
      <c r="BX368" s="41"/>
      <c r="BY368" s="41"/>
      <c r="BZ368" s="41"/>
      <c r="CA368" s="41"/>
      <c r="CB368" s="41"/>
      <c r="CC368" s="41">
        <f>SUM(D368:E368)</f>
        <v>699.00315472739726</v>
      </c>
      <c r="CD368" s="41">
        <f>SUM(F368:G368)</f>
        <v>708.28581237990875</v>
      </c>
      <c r="CE368" s="41">
        <f>SUM(H368:I368)</f>
        <v>698.72722766666664</v>
      </c>
      <c r="CF368" s="41">
        <f>SUM(J368:K368)</f>
        <v>622.46113715068486</v>
      </c>
      <c r="CG368" s="41">
        <f>SUM(L368:M368)</f>
        <v>153.62404501053777</v>
      </c>
      <c r="CH368" s="41">
        <f>SUM(N368:O368)</f>
        <v>198.92629605648045</v>
      </c>
      <c r="CI368" s="41">
        <f>SUM(P368:Q368)</f>
        <v>881.08021759541975</v>
      </c>
      <c r="CJ368" s="41">
        <f>SUM(R368:S368)</f>
        <v>749.7900684391509</v>
      </c>
      <c r="CK368" s="41">
        <f>SUM(T368:U368)</f>
        <v>1522.8208215831855</v>
      </c>
      <c r="CL368" s="41">
        <f>SUM(V368:W368)</f>
        <v>1735.5878970323101</v>
      </c>
      <c r="CM368" s="41">
        <f>SUM(X368:Y368)</f>
        <v>1718.5106515384616</v>
      </c>
      <c r="CN368" s="41">
        <f>SUM(Z368:AA368)</f>
        <v>1522.3671535098633</v>
      </c>
      <c r="CO368" s="41">
        <f>SUM(AB368:AC368)</f>
        <v>1502.3923317123301</v>
      </c>
      <c r="CP368" s="41">
        <f>SUM(AD368:AE368)</f>
        <v>1464.746773491582</v>
      </c>
      <c r="CQ368" s="41">
        <f>SUM(AF368:AG368)</f>
        <v>1484.7991774152692</v>
      </c>
      <c r="CR368" s="41">
        <f>SUM(AH368:AI368)</f>
        <v>1211.0176396237089</v>
      </c>
      <c r="CS368" s="41">
        <f>SUM(AJ368:AK368)</f>
        <v>1212.6816644856831</v>
      </c>
      <c r="CT368" s="41">
        <f>SUM(AL368:AM368)</f>
        <v>740.48633218130874</v>
      </c>
      <c r="CU368" s="41">
        <f>SUM(AN368:AO368)</f>
        <v>352.28406658027507</v>
      </c>
      <c r="CV368" s="41">
        <f>SUM(AP368:AQ368)</f>
        <v>909.70991318059714</v>
      </c>
      <c r="CW368" s="41">
        <f>SUM(AR368:AS368)</f>
        <v>1178.1719146821699</v>
      </c>
      <c r="CX368" s="41">
        <f>SUM(AT368:AU368)</f>
        <v>1023.9875853521346</v>
      </c>
      <c r="CY368" s="41">
        <f>SUM(AV368:AW368)</f>
        <v>1022.4578779670319</v>
      </c>
      <c r="CZ368" s="211"/>
      <c r="DA368" s="41"/>
      <c r="DB368" s="41"/>
      <c r="DC368" s="41"/>
      <c r="DD368" s="41"/>
      <c r="DE368" s="41"/>
      <c r="DF368" s="41"/>
      <c r="DG368" s="41"/>
      <c r="DH368" s="41"/>
      <c r="DI368" s="41"/>
    </row>
    <row r="369" spans="1:113" s="17" customFormat="1" ht="12" hidden="1" outlineLevel="2">
      <c r="A369" s="1" t="s">
        <v>224</v>
      </c>
      <c r="B369" s="17" t="s">
        <v>168</v>
      </c>
      <c r="C369" s="62">
        <f t="shared" ref="C369:L369" si="3824">IF(ABS(C254*C311/C$5-(C367+C368))&lt;0.1,C254*C311/C$5,"Error")</f>
        <v>379.05655230684926</v>
      </c>
      <c r="D369" s="62">
        <f t="shared" si="3824"/>
        <v>376.80601863013698</v>
      </c>
      <c r="E369" s="62">
        <f t="shared" si="3824"/>
        <v>403.47043548904111</v>
      </c>
      <c r="F369" s="62">
        <f t="shared" si="3824"/>
        <v>405.32628591415528</v>
      </c>
      <c r="G369" s="62">
        <f t="shared" si="3824"/>
        <v>386.09203794520556</v>
      </c>
      <c r="H369" s="62">
        <f t="shared" si="3824"/>
        <v>404.13499999999999</v>
      </c>
      <c r="I369" s="62">
        <f t="shared" si="3824"/>
        <v>399.370588</v>
      </c>
      <c r="J369" s="62">
        <f t="shared" si="3824"/>
        <v>362.74950642191772</v>
      </c>
      <c r="K369" s="62">
        <f t="shared" si="3824"/>
        <v>382.68010071232874</v>
      </c>
      <c r="L369" s="62">
        <f t="shared" si="3824"/>
        <v>137.07672127123286</v>
      </c>
      <c r="M369" s="62">
        <f t="shared" ref="M369:Y369" si="3825">IF(ABS(M254*M311/M$5-(M367+M368))&lt;0.1,M254*M311/M$5,"Error")</f>
        <v>141.59236967776656</v>
      </c>
      <c r="N369" s="62">
        <f t="shared" si="3825"/>
        <v>154.49739975342453</v>
      </c>
      <c r="O369" s="62">
        <f t="shared" si="3825"/>
        <v>198.62658330663862</v>
      </c>
      <c r="P369" s="62">
        <f t="shared" si="3825"/>
        <v>393.75533099236611</v>
      </c>
      <c r="Q369" s="62">
        <f t="shared" si="3825"/>
        <v>689.2641302671758</v>
      </c>
      <c r="R369" s="62">
        <f t="shared" si="3825"/>
        <v>436.9671368219179</v>
      </c>
      <c r="S369" s="62">
        <f t="shared" si="3825"/>
        <v>443.44478137320914</v>
      </c>
      <c r="T369" s="62">
        <f t="shared" si="3825"/>
        <v>749.88953446575385</v>
      </c>
      <c r="U369" s="62">
        <f t="shared" si="3825"/>
        <v>1107.8037756980027</v>
      </c>
      <c r="V369" s="62">
        <f t="shared" si="3825"/>
        <v>1127.0109534246549</v>
      </c>
      <c r="W369" s="62">
        <f t="shared" si="3825"/>
        <v>1252.015343737321</v>
      </c>
      <c r="X369" s="62">
        <f t="shared" si="3825"/>
        <v>1237.7511623076934</v>
      </c>
      <c r="Y369" s="62">
        <f t="shared" si="3825"/>
        <v>1101.7297276923068</v>
      </c>
      <c r="Z369" s="62">
        <f t="shared" ref="Z369:AD369" si="3826">IF(ABS(Z254*Z311/Z$5-(Z367+Z368))&lt;0.1,Z254*Z311/Z$5,"Error")</f>
        <v>1010.2104845369879</v>
      </c>
      <c r="AA369" s="62">
        <f t="shared" si="3826"/>
        <v>1019.359515283908</v>
      </c>
      <c r="AB369" s="62">
        <f t="shared" si="3826"/>
        <v>982.43646767123482</v>
      </c>
      <c r="AC369" s="62">
        <f t="shared" si="3826"/>
        <v>1053.0484629452053</v>
      </c>
      <c r="AD369" s="62">
        <f t="shared" si="3826"/>
        <v>1043.5198497885697</v>
      </c>
      <c r="AE369" s="62">
        <f t="shared" ref="AE369:AF369" si="3827">IF(ABS(AE254*AE311/AE$5-(AE367+AE368))&lt;0.1,AE254*AE311/AE$5,"Error")</f>
        <v>969.34703038453642</v>
      </c>
      <c r="AF369" s="62">
        <f t="shared" si="3827"/>
        <v>1105.7356742047414</v>
      </c>
      <c r="AG369" s="62">
        <f t="shared" ref="AG369:AI369" si="3828">IF(ABS(AG254*AG311/AG$5-(AG367+AG368))&lt;0.1,AG254*AG311/AG$5,"Error")</f>
        <v>1008.424537685141</v>
      </c>
      <c r="AH369" s="62">
        <f t="shared" si="3828"/>
        <v>962.59338261948506</v>
      </c>
      <c r="AI369" s="62">
        <f t="shared" si="3828"/>
        <v>895.48145000814907</v>
      </c>
      <c r="AJ369" s="62">
        <f t="shared" ref="AJ369:AK369" si="3829">IF(ABS(AJ254*AJ311/AJ$5-(AJ367+AJ368))&lt;0.1,AJ254*AJ311/AJ$5,"Error")</f>
        <v>917.81568261513894</v>
      </c>
      <c r="AK369" s="62">
        <f t="shared" si="3829"/>
        <v>921.61268497079845</v>
      </c>
      <c r="AL369" s="62">
        <f t="shared" ref="AL369:AM369" si="3830">IF(ABS(AL254*AL311/AL$5-(AL367+AL368))&lt;0.1,AL254*AL311/AL$5,"Error")</f>
        <v>818.01625248793368</v>
      </c>
      <c r="AM369" s="62">
        <f t="shared" si="3830"/>
        <v>515.55767030297272</v>
      </c>
      <c r="AN369" s="62">
        <f t="shared" ref="AN369:AO369" si="3831">IF(ABS(AN254*AN311/AN$5-(AN367+AN368))&lt;0.1,AN254*AN311/AN$5,"Error")</f>
        <v>445.81396199813742</v>
      </c>
      <c r="AO369" s="62">
        <f t="shared" si="3831"/>
        <v>474.96462781133971</v>
      </c>
      <c r="AP369" s="62">
        <f t="shared" ref="AP369:AQ369" si="3832">IF(ABS(AP254*AP311/AP$5-(AP367+AP368))&lt;0.1,AP254*AP311/AP$5,"Error")</f>
        <v>716.33217898571581</v>
      </c>
      <c r="AQ369" s="62">
        <f t="shared" si="3832"/>
        <v>799.31601675760942</v>
      </c>
      <c r="AR369" s="62">
        <f t="shared" ref="AR369:AS369" si="3833">IF(ABS(AR254*AR311/AR$5-(AR367+AR368))&lt;0.1,AR254*AR311/AR$5,"Error")</f>
        <v>762.75176760785382</v>
      </c>
      <c r="AS369" s="62">
        <f t="shared" si="3833"/>
        <v>1244.1368643001958</v>
      </c>
      <c r="AT369" s="62">
        <f t="shared" ref="AT369:AU369" si="3834">IF(ABS(AT254*AT311/AT$5-(AT367+AT368))&lt;0.1,AT254*AT311/AT$5,"Error")</f>
        <v>1068.7829772782593</v>
      </c>
      <c r="AU369" s="62">
        <f t="shared" si="3834"/>
        <v>932.12313593529802</v>
      </c>
      <c r="AV369" s="62">
        <f t="shared" ref="AV369:AW369" si="3835">IF(ABS(AV254*AV311/AV$5-(AV367+AV368))&lt;0.1,AV254*AV311/AV$5,"Error")</f>
        <v>915.5007063280666</v>
      </c>
      <c r="AW369" s="62">
        <f t="shared" si="3835"/>
        <v>980.1605471259586</v>
      </c>
      <c r="AX369" s="62">
        <f t="shared" ref="AX369:AY369" si="3836">IF(ABS(AX254*AX311/AX$5-(AX367+AX368))&lt;0.1,AX254*AX311/AX$5,"Error")</f>
        <v>1024.8997733765759</v>
      </c>
      <c r="AY369" s="220">
        <f t="shared" si="3836"/>
        <v>0</v>
      </c>
      <c r="AZ369" s="62"/>
      <c r="BA369" s="62"/>
      <c r="BB369" s="62"/>
      <c r="BC369" s="62"/>
      <c r="BD369" s="62"/>
      <c r="BE369" s="62"/>
      <c r="BF369" s="62"/>
      <c r="BG369" s="62"/>
      <c r="BH369" s="62"/>
      <c r="BI369" s="62"/>
      <c r="BJ369" s="62"/>
      <c r="BK369" s="62"/>
      <c r="BL369" s="62"/>
      <c r="BM369" s="62"/>
      <c r="BN369" s="62"/>
      <c r="BO369" s="62"/>
      <c r="BP369" s="62"/>
      <c r="BQ369" s="62"/>
      <c r="BR369" s="62"/>
      <c r="BS369" s="62">
        <f t="shared" ref="BS369:CB369" si="3837">BS254*BS311/BS$5</f>
        <v>-71.603458760924298</v>
      </c>
      <c r="BT369" s="62">
        <f t="shared" si="3837"/>
        <v>-67.291494292940612</v>
      </c>
      <c r="BU369" s="62">
        <f t="shared" si="3837"/>
        <v>-10.938320000000052</v>
      </c>
      <c r="BV369" s="62">
        <f t="shared" si="3837"/>
        <v>253.79387499999999</v>
      </c>
      <c r="BW369" s="62">
        <f t="shared" si="3837"/>
        <v>222.25305166666683</v>
      </c>
      <c r="BX369" s="62">
        <f t="shared" si="3837"/>
        <v>-2.902027333333379</v>
      </c>
      <c r="BY369" s="62">
        <f t="shared" si="3837"/>
        <v>-245.29312499999983</v>
      </c>
      <c r="BZ369" s="62">
        <f t="shared" si="3837"/>
        <v>-77.431589499999916</v>
      </c>
      <c r="CA369" s="62">
        <f t="shared" si="3837"/>
        <v>110.62096461538444</v>
      </c>
      <c r="CB369" s="62">
        <f t="shared" si="3837"/>
        <v>114.00750000000041</v>
      </c>
      <c r="CC369" s="62">
        <f>SUM(D369:E369)</f>
        <v>780.27645411917808</v>
      </c>
      <c r="CD369" s="62">
        <f>SUM(F369:G369)</f>
        <v>791.41832385936084</v>
      </c>
      <c r="CE369" s="62">
        <f>SUM(H369:I369)</f>
        <v>803.50558799999999</v>
      </c>
      <c r="CF369" s="62">
        <f>SUM(J369:K369)</f>
        <v>745.42960713424645</v>
      </c>
      <c r="CG369" s="62">
        <f>SUM(L369:M369)</f>
        <v>278.66909094899938</v>
      </c>
      <c r="CH369" s="62">
        <f>SUM(N369:O369)</f>
        <v>353.12398306006315</v>
      </c>
      <c r="CI369" s="62">
        <f>SUM(P369:Q369)</f>
        <v>1083.0194612595419</v>
      </c>
      <c r="CJ369" s="62">
        <f>SUM(R369:S369)</f>
        <v>880.4119181951271</v>
      </c>
      <c r="CK369" s="62">
        <f>SUM(T369:U369)</f>
        <v>1857.6933101637565</v>
      </c>
      <c r="CL369" s="62">
        <f>SUM(V369:W369)</f>
        <v>2379.0262971619759</v>
      </c>
      <c r="CM369" s="62">
        <f>SUM(X369:Y369)</f>
        <v>2339.4808900000003</v>
      </c>
      <c r="CN369" s="62">
        <f>SUM(Z369:AA369)</f>
        <v>2029.5699998208959</v>
      </c>
      <c r="CO369" s="62">
        <f>SUM(AB369:AC369)</f>
        <v>2035.4849306164401</v>
      </c>
      <c r="CP369" s="62">
        <f>SUM(AD369:AE369)</f>
        <v>2012.866880173106</v>
      </c>
      <c r="CQ369" s="62">
        <f>SUM(AF369:AG369)</f>
        <v>2114.1602118898822</v>
      </c>
      <c r="CR369" s="62">
        <f>SUM(AH369:AI369)</f>
        <v>1858.0748326276341</v>
      </c>
      <c r="CS369" s="62">
        <f>SUM(AJ369:AK369)</f>
        <v>1839.4283675859374</v>
      </c>
      <c r="CT369" s="62">
        <f>SUM(AL369:AM369)</f>
        <v>1333.5739227909064</v>
      </c>
      <c r="CU369" s="62">
        <f>SUM(AN369:AO369)</f>
        <v>920.77858980947713</v>
      </c>
      <c r="CV369" s="62">
        <f>SUM(AP369:AQ369)</f>
        <v>1515.6481957433252</v>
      </c>
      <c r="CW369" s="62">
        <f>SUM(AR369:AS369)</f>
        <v>2006.8886319080498</v>
      </c>
      <c r="CX369" s="62">
        <f>SUM(AT369:AU369)</f>
        <v>2000.9061132135573</v>
      </c>
      <c r="CY369" s="62">
        <f>SUM(AV369:AW369)</f>
        <v>1895.6612534540252</v>
      </c>
      <c r="CZ369" s="220"/>
      <c r="DA369" s="62"/>
      <c r="DB369" s="62"/>
      <c r="DC369" s="62"/>
      <c r="DD369" s="62"/>
      <c r="DE369" s="62"/>
      <c r="DF369" s="62"/>
      <c r="DG369" s="62"/>
      <c r="DH369" s="62"/>
      <c r="DI369" s="62"/>
    </row>
    <row r="370" spans="1:113" ht="12" hidden="1" outlineLevel="2">
      <c r="C370" s="41"/>
      <c r="D370" s="41"/>
      <c r="E370" s="41"/>
      <c r="F370" s="41"/>
      <c r="G370" s="41"/>
      <c r="H370" s="41"/>
      <c r="I370" s="41"/>
      <c r="J370" s="41"/>
      <c r="K370" s="41"/>
      <c r="L370" s="41"/>
      <c r="M370" s="41"/>
      <c r="N370" s="41"/>
      <c r="O370" s="41"/>
      <c r="P370" s="41"/>
      <c r="Q370" s="41"/>
      <c r="R370" s="41"/>
      <c r="S370" s="41"/>
      <c r="T370" s="41"/>
      <c r="U370" s="41"/>
      <c r="V370" s="41"/>
      <c r="W370" s="41"/>
      <c r="X370" s="41"/>
      <c r="Y370" s="41"/>
      <c r="Z370" s="41"/>
      <c r="AA370" s="41"/>
      <c r="AB370" s="41"/>
      <c r="AC370" s="41"/>
      <c r="AD370" s="41"/>
      <c r="AE370" s="41"/>
      <c r="AF370" s="41"/>
      <c r="AG370" s="41"/>
      <c r="AH370" s="41"/>
      <c r="AI370" s="41"/>
      <c r="AJ370" s="41"/>
      <c r="AK370" s="41"/>
      <c r="AL370" s="41"/>
      <c r="AM370" s="41"/>
      <c r="AN370" s="41"/>
      <c r="AO370" s="41"/>
      <c r="AP370" s="41"/>
      <c r="AQ370" s="41"/>
      <c r="AR370" s="41"/>
      <c r="AS370" s="41"/>
      <c r="AT370" s="41"/>
      <c r="AU370" s="41"/>
      <c r="AV370" s="41"/>
      <c r="AW370" s="41"/>
      <c r="AX370" s="41"/>
      <c r="AY370" s="211"/>
      <c r="AZ370" s="41"/>
      <c r="BA370" s="41"/>
      <c r="BB370" s="41"/>
      <c r="BC370" s="41"/>
      <c r="BD370" s="41"/>
      <c r="BE370" s="41"/>
      <c r="BF370" s="41"/>
      <c r="BG370" s="41"/>
      <c r="BH370" s="41"/>
      <c r="BI370" s="41"/>
      <c r="BJ370" s="41"/>
      <c r="BK370" s="41"/>
      <c r="BL370" s="41"/>
      <c r="BM370" s="41"/>
      <c r="BN370" s="41"/>
      <c r="BO370" s="41"/>
      <c r="BP370" s="41"/>
      <c r="BQ370" s="41"/>
      <c r="BR370" s="41"/>
      <c r="BS370" s="41"/>
      <c r="BT370" s="41"/>
      <c r="BU370" s="41"/>
      <c r="BV370" s="41"/>
      <c r="BW370" s="41"/>
      <c r="BX370" s="41"/>
      <c r="BY370" s="41"/>
      <c r="BZ370" s="41"/>
      <c r="CA370" s="41"/>
      <c r="CB370" s="41"/>
      <c r="CC370" s="41"/>
      <c r="CD370" s="41"/>
      <c r="CE370" s="41"/>
      <c r="CF370" s="41"/>
      <c r="CG370" s="41"/>
      <c r="CH370" s="41"/>
      <c r="CI370" s="41"/>
      <c r="CJ370" s="41"/>
      <c r="CK370" s="41"/>
      <c r="CL370" s="41"/>
      <c r="CM370" s="41"/>
      <c r="CN370" s="41"/>
      <c r="CO370" s="41"/>
      <c r="CP370" s="41"/>
      <c r="CQ370" s="41"/>
      <c r="CR370" s="41"/>
      <c r="CS370" s="41"/>
      <c r="CT370" s="41"/>
      <c r="CU370" s="41"/>
      <c r="CV370" s="41"/>
      <c r="CW370" s="41"/>
      <c r="CX370" s="41"/>
      <c r="CY370" s="41"/>
      <c r="CZ370" s="211"/>
      <c r="DA370" s="41"/>
      <c r="DB370" s="41"/>
      <c r="DC370" s="41"/>
      <c r="DD370" s="41"/>
      <c r="DE370" s="41"/>
      <c r="DF370" s="41"/>
      <c r="DG370" s="41"/>
      <c r="DH370" s="41"/>
      <c r="DI370" s="41"/>
    </row>
    <row r="371" spans="1:113" s="17" customFormat="1" ht="12" hidden="1" outlineLevel="2">
      <c r="A371" s="15"/>
      <c r="B371" s="17" t="s">
        <v>499</v>
      </c>
      <c r="C371" s="62"/>
      <c r="D371" s="62"/>
      <c r="E371" s="62"/>
      <c r="F371" s="62"/>
      <c r="G371" s="62"/>
      <c r="H371" s="62"/>
      <c r="I371" s="62"/>
      <c r="J371" s="62"/>
      <c r="K371" s="62"/>
      <c r="L371" s="62"/>
      <c r="M371" s="62"/>
      <c r="N371" s="62"/>
      <c r="O371" s="62"/>
      <c r="P371" s="62"/>
      <c r="Q371" s="62"/>
      <c r="R371" s="62"/>
      <c r="S371" s="62"/>
      <c r="T371" s="62"/>
      <c r="U371" s="62"/>
      <c r="V371" s="62"/>
      <c r="W371" s="62"/>
      <c r="X371" s="62"/>
      <c r="Y371" s="62"/>
      <c r="Z371" s="62"/>
      <c r="AA371" s="62"/>
      <c r="AB371" s="62"/>
      <c r="AC371" s="62"/>
      <c r="AD371" s="62"/>
      <c r="AE371" s="62"/>
      <c r="AF371" s="62"/>
      <c r="AG371" s="62"/>
      <c r="AH371" s="62"/>
      <c r="AI371" s="62"/>
      <c r="AJ371" s="62"/>
      <c r="AK371" s="62"/>
      <c r="AL371" s="62"/>
      <c r="AM371" s="62"/>
      <c r="AN371" s="62"/>
      <c r="AO371" s="62"/>
      <c r="AP371" s="62"/>
      <c r="AQ371" s="62"/>
      <c r="AR371" s="62"/>
      <c r="AS371" s="62"/>
      <c r="AT371" s="62"/>
      <c r="AU371" s="62"/>
      <c r="AV371" s="62"/>
      <c r="AW371" s="62"/>
      <c r="AX371" s="62"/>
      <c r="AY371" s="220"/>
      <c r="AZ371" s="62"/>
      <c r="BA371" s="62"/>
      <c r="BB371" s="62"/>
      <c r="BC371" s="62"/>
      <c r="BD371" s="62"/>
      <c r="BE371" s="62"/>
      <c r="BF371" s="62"/>
      <c r="BG371" s="62"/>
      <c r="BH371" s="62"/>
      <c r="BI371" s="62"/>
      <c r="BJ371" s="62"/>
      <c r="BK371" s="62"/>
      <c r="BL371" s="62"/>
      <c r="BM371" s="62"/>
      <c r="BN371" s="62"/>
      <c r="BO371" s="62"/>
      <c r="BP371" s="62"/>
      <c r="BQ371" s="62"/>
      <c r="BR371" s="62"/>
      <c r="BS371" s="62"/>
      <c r="BT371" s="62"/>
      <c r="BU371" s="62"/>
      <c r="BV371" s="62"/>
      <c r="BW371" s="62"/>
      <c r="BX371" s="62"/>
      <c r="BY371" s="62"/>
      <c r="BZ371" s="62"/>
      <c r="CA371" s="62"/>
      <c r="CB371" s="62"/>
      <c r="CC371" s="62"/>
      <c r="CD371" s="62"/>
      <c r="CE371" s="62"/>
      <c r="CF371" s="62"/>
      <c r="CG371" s="62"/>
      <c r="CH371" s="62"/>
      <c r="CI371" s="62"/>
      <c r="CJ371" s="62"/>
      <c r="CK371" s="62"/>
      <c r="CL371" s="62"/>
      <c r="CM371" s="62"/>
      <c r="CN371" s="62"/>
      <c r="CO371" s="62"/>
      <c r="CP371" s="62"/>
      <c r="CQ371" s="62"/>
      <c r="CR371" s="62"/>
      <c r="CS371" s="62"/>
      <c r="CT371" s="62"/>
      <c r="CU371" s="62"/>
      <c r="CV371" s="62"/>
      <c r="CW371" s="62"/>
      <c r="CX371" s="62"/>
      <c r="CY371" s="62"/>
      <c r="CZ371" s="220"/>
      <c r="DA371" s="62"/>
      <c r="DB371" s="62"/>
      <c r="DC371" s="62"/>
      <c r="DD371" s="62"/>
      <c r="DE371" s="62"/>
      <c r="DF371" s="62"/>
      <c r="DG371" s="62"/>
      <c r="DH371" s="62"/>
      <c r="DI371" s="62"/>
    </row>
    <row r="372" spans="1:113" ht="12" hidden="1" outlineLevel="2">
      <c r="A372" s="1" t="s">
        <v>314</v>
      </c>
      <c r="B372" s="15" t="str">
        <f>B$184</f>
        <v>Core deposits</v>
      </c>
      <c r="C372" s="41">
        <f t="shared" ref="C372:L374" si="3838">IF(ROUND(C257*C314/C$5,5)=ROUND(C357+C362+C367,5),C257*C314/C$5,"Error")</f>
        <v>1019.4449375986301</v>
      </c>
      <c r="D372" s="41">
        <f t="shared" si="3838"/>
        <v>972.49837616438344</v>
      </c>
      <c r="E372" s="41">
        <f t="shared" si="3838"/>
        <v>1159.708925120548</v>
      </c>
      <c r="F372" s="41">
        <f t="shared" si="3838"/>
        <v>1206.4287830447488</v>
      </c>
      <c r="G372" s="41">
        <f t="shared" si="3838"/>
        <v>1225.9853868493153</v>
      </c>
      <c r="H372" s="41">
        <f t="shared" si="3838"/>
        <v>1677.2912499999998</v>
      </c>
      <c r="I372" s="41">
        <f t="shared" si="3838"/>
        <v>1831.303056</v>
      </c>
      <c r="J372" s="41">
        <f t="shared" si="3838"/>
        <v>1963.8642015105017</v>
      </c>
      <c r="K372" s="41">
        <f t="shared" si="3838"/>
        <v>2134.9177755095889</v>
      </c>
      <c r="L372" s="41">
        <f t="shared" si="3838"/>
        <v>757.08507971506833</v>
      </c>
      <c r="M372" s="41">
        <f t="shared" ref="M372:X374" si="3839">IF(ROUND(M257*M314/M$5,5)=ROUND(M357+M362+M367,5),M257*M314/M$5,"Error")</f>
        <v>844.45203019452254</v>
      </c>
      <c r="N372" s="41">
        <f t="shared" si="3839"/>
        <v>938.6669004493142</v>
      </c>
      <c r="O372" s="41">
        <f t="shared" si="3839"/>
        <v>993.97759038061145</v>
      </c>
      <c r="P372" s="41">
        <f t="shared" si="3839"/>
        <v>1257.0147691603042</v>
      </c>
      <c r="Q372" s="41">
        <f t="shared" si="3839"/>
        <v>1243.8586351526722</v>
      </c>
      <c r="R372" s="41">
        <f t="shared" si="3839"/>
        <v>487.18167276164411</v>
      </c>
      <c r="S372" s="41">
        <f t="shared" si="3839"/>
        <v>523.00449004977452</v>
      </c>
      <c r="T372" s="41">
        <f t="shared" si="3839"/>
        <v>854.65744854794627</v>
      </c>
      <c r="U372" s="41">
        <f t="shared" si="3839"/>
        <v>1060.2639544076128</v>
      </c>
      <c r="V372" s="41">
        <f t="shared" si="3839"/>
        <v>1059.9868810958847</v>
      </c>
      <c r="W372" s="41">
        <f t="shared" si="3839"/>
        <v>1136.5650883446622</v>
      </c>
      <c r="X372" s="41">
        <f t="shared" si="3839"/>
        <v>999.2216707692329</v>
      </c>
      <c r="Y372" s="41">
        <f t="shared" ref="Y372:AA374" si="3840">IF(ROUND(Y257*Y314/Y$5,5)=ROUND(Y357+Y362+Y367,5),Y257*Y314/Y$5,"Error")</f>
        <v>598.79888923076783</v>
      </c>
      <c r="Z372" s="41">
        <f t="shared" si="3840"/>
        <v>438.97157269041389</v>
      </c>
      <c r="AA372" s="41">
        <f t="shared" si="3840"/>
        <v>652.73708991948331</v>
      </c>
      <c r="AB372" s="41">
        <f t="shared" ref="AB372:AC372" si="3841">IF(ROUND(AB257*AB314/AB$5,5)=ROUND(AB357+AB362+AB367,5),AB257*AB314/AB$5,"Error")</f>
        <v>624.84619917808527</v>
      </c>
      <c r="AC372" s="41">
        <f t="shared" si="3841"/>
        <v>615.86722657534222</v>
      </c>
      <c r="AD372" s="41">
        <f t="shared" ref="AD372:AF373" si="3842">AD257*AD314/AD$5</f>
        <v>452.58262197041302</v>
      </c>
      <c r="AE372" s="41">
        <f t="shared" si="3842"/>
        <v>315.19638444421099</v>
      </c>
      <c r="AF372" s="41">
        <f t="shared" si="3842"/>
        <v>601.48210725190427</v>
      </c>
      <c r="AG372" s="41">
        <f t="shared" ref="AG372:AH372" si="3843">AG257*AG314/AG$5</f>
        <v>473.73899029389145</v>
      </c>
      <c r="AH372" s="41">
        <f t="shared" si="3843"/>
        <v>488.92566469260305</v>
      </c>
      <c r="AI372" s="41">
        <f t="shared" ref="AI372:AJ372" si="3844">AI257*AI314/AI$5</f>
        <v>549.89450731672241</v>
      </c>
      <c r="AJ372" s="41">
        <f t="shared" si="3844"/>
        <v>464.17653097594103</v>
      </c>
      <c r="AK372" s="41">
        <f t="shared" ref="AK372:AL372" si="3845">AK257*AK314/AK$5</f>
        <v>701.05915209695308</v>
      </c>
      <c r="AL372" s="41">
        <f t="shared" si="3845"/>
        <v>602.93778418988916</v>
      </c>
      <c r="AM372" s="41">
        <f t="shared" ref="AM372:AN372" si="3846">AM257*AM314/AM$5</f>
        <v>-49.213463612439675</v>
      </c>
      <c r="AN372" s="41">
        <f t="shared" si="3846"/>
        <v>-215.83320383753906</v>
      </c>
      <c r="AO372" s="41">
        <f t="shared" ref="AO372" si="3847">AO257*AO314/AO$5</f>
        <v>-803.86180194864539</v>
      </c>
      <c r="AP372" s="41">
        <f t="shared" ref="AP372:AQ372" si="3848">AP257*AP314/AP$5</f>
        <v>-799.04698348133752</v>
      </c>
      <c r="AQ372" s="41">
        <f t="shared" si="3848"/>
        <v>-742.33500948781978</v>
      </c>
      <c r="AR372" s="41">
        <f t="shared" ref="AR372:AS372" si="3849">AR257*AR314/AR$5</f>
        <v>-694.34073212957185</v>
      </c>
      <c r="AS372" s="41">
        <f t="shared" si="3849"/>
        <v>1373.9217361264512</v>
      </c>
      <c r="AT372" s="41">
        <f t="shared" ref="AT372:AU372" si="3850">AT257*AT314/AT$5</f>
        <v>1701.4481162796171</v>
      </c>
      <c r="AU372" s="41">
        <f t="shared" si="3850"/>
        <v>1507.9023353849479</v>
      </c>
      <c r="AV372" s="41">
        <f t="shared" ref="AV372:AW372" si="3851">AV257*AV314/AV$5</f>
        <v>1159.9026401612284</v>
      </c>
      <c r="AW372" s="41">
        <f t="shared" si="3851"/>
        <v>1068.9965655270682</v>
      </c>
      <c r="AX372" s="41">
        <f t="shared" ref="AX372:AY372" si="3852">AX257*AX314/AX$5</f>
        <v>-17.62772022465791</v>
      </c>
      <c r="AY372" s="211">
        <f t="shared" si="3852"/>
        <v>0</v>
      </c>
      <c r="AZ372" s="41"/>
      <c r="BA372" s="41"/>
      <c r="BB372" s="41"/>
      <c r="BC372" s="41"/>
      <c r="BD372" s="41"/>
      <c r="BE372" s="41"/>
      <c r="BF372" s="41"/>
      <c r="BG372" s="41"/>
      <c r="BH372" s="41"/>
      <c r="BI372" s="41"/>
      <c r="BJ372" s="41"/>
      <c r="BK372" s="41"/>
      <c r="BL372" s="41"/>
      <c r="BM372" s="41"/>
      <c r="BN372" s="41"/>
      <c r="BO372" s="41"/>
      <c r="BP372" s="41"/>
      <c r="BQ372" s="41"/>
      <c r="BR372" s="41"/>
      <c r="BS372" s="41"/>
      <c r="BT372" s="41"/>
      <c r="BU372" s="41"/>
      <c r="BV372" s="41"/>
      <c r="BW372" s="41"/>
      <c r="BX372" s="41"/>
      <c r="BY372" s="41"/>
      <c r="BZ372" s="41"/>
      <c r="CA372" s="41"/>
      <c r="CB372" s="41"/>
      <c r="CC372" s="41">
        <f t="shared" ref="CC372:CC377" si="3853">SUM(D372:E372)</f>
        <v>2132.2073012849314</v>
      </c>
      <c r="CD372" s="41">
        <f t="shared" ref="CD372:CD377" si="3854">SUM(F372:G372)</f>
        <v>2432.4141698940639</v>
      </c>
      <c r="CE372" s="41">
        <f t="shared" ref="CE372:CE377" si="3855">SUM(H372:I372)</f>
        <v>3508.594306</v>
      </c>
      <c r="CF372" s="41">
        <f t="shared" ref="CF372:CF377" si="3856">SUM(J372:K372)</f>
        <v>4098.7819770200904</v>
      </c>
      <c r="CG372" s="41">
        <f t="shared" ref="CG372:CG377" si="3857">SUM(L372:M372)</f>
        <v>1601.537109909591</v>
      </c>
      <c r="CH372" s="41">
        <f t="shared" ref="CH372:CH377" si="3858">SUM(N372:O372)</f>
        <v>1932.6444908299256</v>
      </c>
      <c r="CI372" s="41">
        <f t="shared" ref="CI372:CI377" si="3859">SUM(P372:Q372)</f>
        <v>2500.8734043129762</v>
      </c>
      <c r="CJ372" s="41">
        <f t="shared" ref="CJ372:CJ377" si="3860">SUM(R372:S372)</f>
        <v>1010.1861628114186</v>
      </c>
      <c r="CK372" s="41">
        <f t="shared" ref="CK372:CK377" si="3861">SUM(T372:U372)</f>
        <v>1914.9214029555592</v>
      </c>
      <c r="CL372" s="41">
        <f t="shared" ref="CL372:CL377" si="3862">SUM(V372:W372)</f>
        <v>2196.5519694405466</v>
      </c>
      <c r="CM372" s="41">
        <f t="shared" ref="CM372:CM377" si="3863">SUM(X372:Y372)</f>
        <v>1598.0205600000008</v>
      </c>
      <c r="CN372" s="41">
        <f t="shared" ref="CN372:CN377" si="3864">SUM(Z372:AA372)</f>
        <v>1091.7086626098971</v>
      </c>
      <c r="CO372" s="41">
        <f t="shared" ref="CO372:CO377" si="3865">SUM(AB372:AC372)</f>
        <v>1240.7134257534276</v>
      </c>
      <c r="CP372" s="41">
        <f t="shared" ref="CP372:CP377" si="3866">SUM(AD372:AE372)</f>
        <v>767.77900641462406</v>
      </c>
      <c r="CQ372" s="41">
        <f t="shared" ref="CQ372:CQ377" si="3867">SUM(AF372:AG372)</f>
        <v>1075.2210975457956</v>
      </c>
      <c r="CR372" s="41">
        <f t="shared" ref="CR372:CR377" si="3868">SUM(AH372:AI372)</f>
        <v>1038.8201720093255</v>
      </c>
      <c r="CS372" s="41">
        <f t="shared" ref="CS372:CS377" si="3869">SUM(AJ372:AK372)</f>
        <v>1165.2356830728941</v>
      </c>
      <c r="CT372" s="41">
        <f t="shared" ref="CT372:CT377" si="3870">SUM(AL372:AM372)</f>
        <v>553.72432057744948</v>
      </c>
      <c r="CU372" s="41">
        <f t="shared" ref="CU372:CU377" si="3871">SUM(AN372:AO372)</f>
        <v>-1019.6950057861844</v>
      </c>
      <c r="CV372" s="41">
        <f t="shared" ref="CV372:CV377" si="3872">SUM(AP372:AQ372)</f>
        <v>-1541.3819929691572</v>
      </c>
      <c r="CW372" s="41">
        <f t="shared" ref="CW372:CW377" si="3873">SUM(AR372:AS372)</f>
        <v>679.5810039968793</v>
      </c>
      <c r="CX372" s="41">
        <f t="shared" ref="CX372:CX377" si="3874">SUM(AT372:AU372)</f>
        <v>3209.3504516645653</v>
      </c>
      <c r="CY372" s="41">
        <f t="shared" ref="CY372:CY377" si="3875">SUM(AV372:AW372)</f>
        <v>2228.8992056882967</v>
      </c>
      <c r="CZ372" s="211"/>
      <c r="DA372" s="41"/>
      <c r="DB372" s="41"/>
      <c r="DC372" s="41"/>
      <c r="DD372" s="41"/>
      <c r="DE372" s="41"/>
      <c r="DF372" s="41"/>
      <c r="DG372" s="41"/>
      <c r="DH372" s="41"/>
      <c r="DI372" s="41"/>
    </row>
    <row r="373" spans="1:113" ht="12" hidden="1" outlineLevel="2">
      <c r="A373" s="1" t="s">
        <v>315</v>
      </c>
      <c r="B373" s="15" t="str">
        <f>B$185</f>
        <v>Time deposits (includes CDs)</v>
      </c>
      <c r="C373" s="41">
        <f t="shared" si="3838"/>
        <v>1000.7453337849312</v>
      </c>
      <c r="D373" s="41">
        <f t="shared" si="3838"/>
        <v>946.43480438356153</v>
      </c>
      <c r="E373" s="41">
        <f t="shared" si="3838"/>
        <v>1131.258295158904</v>
      </c>
      <c r="F373" s="41">
        <f t="shared" si="3838"/>
        <v>1205.7329233305936</v>
      </c>
      <c r="G373" s="41">
        <f t="shared" si="3838"/>
        <v>1224.7101233561648</v>
      </c>
      <c r="H373" s="41">
        <f t="shared" si="3838"/>
        <v>1644.7322916666667</v>
      </c>
      <c r="I373" s="41">
        <f t="shared" si="3838"/>
        <v>1885.7277859999999</v>
      </c>
      <c r="J373" s="41">
        <f t="shared" si="3838"/>
        <v>2092.4283665050225</v>
      </c>
      <c r="K373" s="41">
        <f t="shared" si="3838"/>
        <v>2181.5036839123291</v>
      </c>
      <c r="L373" s="41">
        <f t="shared" si="3838"/>
        <v>-85.038118761643787</v>
      </c>
      <c r="M373" s="41">
        <f t="shared" si="3839"/>
        <v>-8.4731149812409523</v>
      </c>
      <c r="N373" s="41">
        <f t="shared" si="3839"/>
        <v>15.439421830136506</v>
      </c>
      <c r="O373" s="41">
        <f t="shared" si="3839"/>
        <v>26.524364182929805</v>
      </c>
      <c r="P373" s="41">
        <f t="shared" si="3839"/>
        <v>315.71614656488418</v>
      </c>
      <c r="Q373" s="41">
        <f t="shared" si="3839"/>
        <v>493.92413015267243</v>
      </c>
      <c r="R373" s="41">
        <f t="shared" si="3839"/>
        <v>-748.51897361643739</v>
      </c>
      <c r="S373" s="41">
        <f t="shared" si="3839"/>
        <v>-105.20518688194127</v>
      </c>
      <c r="T373" s="41">
        <f t="shared" si="3839"/>
        <v>446.70685895890585</v>
      </c>
      <c r="U373" s="41">
        <f t="shared" si="3839"/>
        <v>699.60148729478192</v>
      </c>
      <c r="V373" s="41">
        <f t="shared" si="3839"/>
        <v>544.98887726026442</v>
      </c>
      <c r="W373" s="41">
        <f t="shared" si="3839"/>
        <v>579.25270812924873</v>
      </c>
      <c r="X373" s="41">
        <f t="shared" si="3839"/>
        <v>424.7107192307725</v>
      </c>
      <c r="Y373" s="41">
        <f t="shared" si="3840"/>
        <v>-35.477350769232999</v>
      </c>
      <c r="Z373" s="41">
        <f t="shared" si="3840"/>
        <v>-93.684483205474919</v>
      </c>
      <c r="AA373" s="41">
        <f t="shared" si="3840"/>
        <v>-20.960188942797711</v>
      </c>
      <c r="AB373" s="41">
        <f t="shared" ref="AB373:AC373" si="3876">IF(ROUND(AB258*AB315/AB$5,5)=ROUND(AB358+AB363+AB368,5),AB258*AB315/AB$5,"Error")</f>
        <v>51.500328219182684</v>
      </c>
      <c r="AC373" s="41">
        <f t="shared" si="3876"/>
        <v>174.0966528767114</v>
      </c>
      <c r="AD373" s="41">
        <f t="shared" si="3842"/>
        <v>196.49744026739944</v>
      </c>
      <c r="AE373" s="41">
        <f t="shared" si="3842"/>
        <v>37.004719393494966</v>
      </c>
      <c r="AF373" s="41">
        <f t="shared" si="3842"/>
        <v>237.77238969465205</v>
      </c>
      <c r="AG373" s="41">
        <f t="shared" ref="AG373:AH373" si="3877">AG258*AG315/AG$5</f>
        <v>-76.861942309162075</v>
      </c>
      <c r="AH373" s="41">
        <f t="shared" si="3877"/>
        <v>-277.41099701041065</v>
      </c>
      <c r="AI373" s="41">
        <f t="shared" ref="AI373:AJ373" si="3878">AI258*AI315/AI$5</f>
        <v>-517.55209572701381</v>
      </c>
      <c r="AJ373" s="41">
        <f t="shared" si="3878"/>
        <v>-473.83831802739815</v>
      </c>
      <c r="AK373" s="41">
        <f t="shared" ref="AK373:AL373" si="3879">AK258*AK315/AK$5</f>
        <v>-481.29304188198057</v>
      </c>
      <c r="AL373" s="41">
        <f t="shared" si="3879"/>
        <v>-729.71811923287169</v>
      </c>
      <c r="AM373" s="41">
        <f t="shared" ref="AM373:AN373" si="3880">AM258*AM315/AM$5</f>
        <v>-1481.4788524521591</v>
      </c>
      <c r="AN373" s="41">
        <f t="shared" si="3880"/>
        <v>-1406.6518164122122</v>
      </c>
      <c r="AO373" s="41">
        <f t="shared" ref="AO373" si="3881">AO258*AO315/AO$5</f>
        <v>-1222.4421656488546</v>
      </c>
      <c r="AP373" s="41">
        <f t="shared" ref="AP373:AQ373" si="3882">AP258*AP315/AP$5</f>
        <v>-649.10912619228804</v>
      </c>
      <c r="AQ373" s="41">
        <f t="shared" si="3882"/>
        <v>-405.07711184931514</v>
      </c>
      <c r="AR373" s="41">
        <f t="shared" ref="AR373:AS373" si="3883">AR258*AR315/AR$5</f>
        <v>-387.05834289972603</v>
      </c>
      <c r="AS373" s="41">
        <f t="shared" si="3883"/>
        <v>260.35769452598606</v>
      </c>
      <c r="AT373" s="41">
        <f t="shared" ref="AT373:AU373" si="3884">AT258*AT315/AT$5</f>
        <v>-278.27799763013695</v>
      </c>
      <c r="AU373" s="41">
        <f t="shared" si="3884"/>
        <v>-703.61097358364282</v>
      </c>
      <c r="AV373" s="41">
        <f t="shared" ref="AV373:AW373" si="3885">AV258*AV315/AV$5</f>
        <v>-968.4248304807694</v>
      </c>
      <c r="AW373" s="41">
        <f t="shared" si="3885"/>
        <v>-809.15116799999976</v>
      </c>
      <c r="AX373" s="41">
        <f t="shared" ref="AX373:AY373" si="3886">AX258*AX315/AX$5</f>
        <v>-548.46750631415682</v>
      </c>
      <c r="AY373" s="211">
        <f t="shared" si="3886"/>
        <v>0</v>
      </c>
      <c r="AZ373" s="41"/>
      <c r="BA373" s="41"/>
      <c r="BB373" s="41"/>
      <c r="BC373" s="41"/>
      <c r="BD373" s="41"/>
      <c r="BE373" s="41"/>
      <c r="BF373" s="41"/>
      <c r="BG373" s="41"/>
      <c r="BH373" s="41"/>
      <c r="BI373" s="41"/>
      <c r="BJ373" s="41"/>
      <c r="BK373" s="41"/>
      <c r="BL373" s="41"/>
      <c r="BM373" s="41"/>
      <c r="BN373" s="41"/>
      <c r="BO373" s="41"/>
      <c r="BP373" s="41"/>
      <c r="BQ373" s="41"/>
      <c r="BR373" s="41"/>
      <c r="BS373" s="41"/>
      <c r="BT373" s="41"/>
      <c r="BU373" s="41"/>
      <c r="BV373" s="41"/>
      <c r="BW373" s="41"/>
      <c r="BX373" s="41"/>
      <c r="BY373" s="41"/>
      <c r="BZ373" s="41"/>
      <c r="CA373" s="41"/>
      <c r="CB373" s="41"/>
      <c r="CC373" s="41">
        <f t="shared" si="3853"/>
        <v>2077.6930995424655</v>
      </c>
      <c r="CD373" s="41">
        <f t="shared" si="3854"/>
        <v>2430.4430466867584</v>
      </c>
      <c r="CE373" s="41">
        <f t="shared" si="3855"/>
        <v>3530.4600776666666</v>
      </c>
      <c r="CF373" s="41">
        <f t="shared" si="3856"/>
        <v>4273.932050417352</v>
      </c>
      <c r="CG373" s="41">
        <f t="shared" si="3857"/>
        <v>-93.511233742884741</v>
      </c>
      <c r="CH373" s="41">
        <f t="shared" si="3858"/>
        <v>41.963786013066311</v>
      </c>
      <c r="CI373" s="41">
        <f t="shared" si="3859"/>
        <v>809.64027671755662</v>
      </c>
      <c r="CJ373" s="41">
        <f t="shared" si="3860"/>
        <v>-853.72416049837864</v>
      </c>
      <c r="CK373" s="41">
        <f t="shared" si="3861"/>
        <v>1146.3083462536879</v>
      </c>
      <c r="CL373" s="41">
        <f t="shared" si="3862"/>
        <v>1124.2415853895131</v>
      </c>
      <c r="CM373" s="41">
        <f t="shared" si="3863"/>
        <v>389.2333684615395</v>
      </c>
      <c r="CN373" s="41">
        <f t="shared" si="3864"/>
        <v>-114.64467214827263</v>
      </c>
      <c r="CO373" s="41">
        <f t="shared" si="3865"/>
        <v>225.59698109589408</v>
      </c>
      <c r="CP373" s="41">
        <f t="shared" si="3866"/>
        <v>233.50215966089439</v>
      </c>
      <c r="CQ373" s="41">
        <f t="shared" si="3867"/>
        <v>160.91044738548999</v>
      </c>
      <c r="CR373" s="41">
        <f t="shared" si="3868"/>
        <v>-794.9630927374244</v>
      </c>
      <c r="CS373" s="41">
        <f t="shared" si="3869"/>
        <v>-955.13135990937872</v>
      </c>
      <c r="CT373" s="41">
        <f t="shared" si="3870"/>
        <v>-2211.1969716850308</v>
      </c>
      <c r="CU373" s="41">
        <f t="shared" si="3871"/>
        <v>-2629.0939820610665</v>
      </c>
      <c r="CV373" s="41">
        <f t="shared" si="3872"/>
        <v>-1054.1862380416032</v>
      </c>
      <c r="CW373" s="41">
        <f t="shared" si="3873"/>
        <v>-126.70064837373997</v>
      </c>
      <c r="CX373" s="41">
        <f t="shared" si="3874"/>
        <v>-981.88897121377977</v>
      </c>
      <c r="CY373" s="41">
        <f t="shared" si="3875"/>
        <v>-1777.5759984807692</v>
      </c>
      <c r="CZ373" s="211"/>
      <c r="DA373" s="41"/>
      <c r="DB373" s="41"/>
      <c r="DC373" s="41"/>
      <c r="DD373" s="41"/>
      <c r="DE373" s="41"/>
      <c r="DF373" s="41"/>
      <c r="DG373" s="41"/>
      <c r="DH373" s="41"/>
      <c r="DI373" s="41"/>
    </row>
    <row r="374" spans="1:113" s="17" customFormat="1" ht="12" hidden="1" outlineLevel="2">
      <c r="A374" s="1" t="s">
        <v>316</v>
      </c>
      <c r="B374" s="17" t="s">
        <v>168</v>
      </c>
      <c r="C374" s="62">
        <f t="shared" si="3838"/>
        <v>2020.1902713835609</v>
      </c>
      <c r="D374" s="62">
        <f t="shared" si="3838"/>
        <v>1918.9331805479446</v>
      </c>
      <c r="E374" s="62">
        <f t="shared" si="3838"/>
        <v>2290.9672202794522</v>
      </c>
      <c r="F374" s="62">
        <f t="shared" si="3838"/>
        <v>2412.1617063753424</v>
      </c>
      <c r="G374" s="62">
        <f t="shared" si="3838"/>
        <v>2450.6955102054803</v>
      </c>
      <c r="H374" s="62">
        <f t="shared" si="3838"/>
        <v>3322.0235416666665</v>
      </c>
      <c r="I374" s="62">
        <f t="shared" si="3838"/>
        <v>3717.0308420000001</v>
      </c>
      <c r="J374" s="62">
        <f t="shared" si="3838"/>
        <v>4056.2925680155245</v>
      </c>
      <c r="K374" s="62">
        <f t="shared" si="3838"/>
        <v>4316.4214594219166</v>
      </c>
      <c r="L374" s="62">
        <f t="shared" si="3838"/>
        <v>672.04696095342467</v>
      </c>
      <c r="M374" s="62">
        <f t="shared" si="3839"/>
        <v>835.97891521328165</v>
      </c>
      <c r="N374" s="62">
        <f t="shared" si="3839"/>
        <v>954.10632227945075</v>
      </c>
      <c r="O374" s="62">
        <f t="shared" si="3839"/>
        <v>1020.5019545635412</v>
      </c>
      <c r="P374" s="62">
        <f t="shared" si="3839"/>
        <v>1572.7309157251884</v>
      </c>
      <c r="Q374" s="62">
        <f t="shared" si="3839"/>
        <v>1737.7827653053446</v>
      </c>
      <c r="R374" s="62">
        <f t="shared" si="3839"/>
        <v>-261.33730085479345</v>
      </c>
      <c r="S374" s="62">
        <f t="shared" si="3839"/>
        <v>417.79930316783339</v>
      </c>
      <c r="T374" s="62">
        <f t="shared" si="3839"/>
        <v>1301.3643075068521</v>
      </c>
      <c r="U374" s="62">
        <f t="shared" si="3839"/>
        <v>1759.8654417023945</v>
      </c>
      <c r="V374" s="62">
        <f t="shared" si="3839"/>
        <v>1604.9757583561491</v>
      </c>
      <c r="W374" s="62">
        <f t="shared" si="3839"/>
        <v>1715.8177964739107</v>
      </c>
      <c r="X374" s="62">
        <f t="shared" si="3839"/>
        <v>1423.9323900000054</v>
      </c>
      <c r="Y374" s="62">
        <f t="shared" si="3840"/>
        <v>563.32153846153471</v>
      </c>
      <c r="Z374" s="62">
        <f t="shared" si="3840"/>
        <v>345.28708948493903</v>
      </c>
      <c r="AA374" s="62">
        <f t="shared" si="3840"/>
        <v>631.77690097668562</v>
      </c>
      <c r="AB374" s="62">
        <f t="shared" ref="AB374:AC374" si="3887">IF(ROUND(AB259*AB316/AB$5,5)=ROUND(AB359+AB364+AB369,5),AB259*AB316/AB$5,"Error")</f>
        <v>676.34652739726812</v>
      </c>
      <c r="AC374" s="62">
        <f t="shared" si="3887"/>
        <v>789.96387945205367</v>
      </c>
      <c r="AD374" s="62">
        <f t="shared" ref="AD374:AI374" si="3888">AD372+AD373</f>
        <v>649.0800622378124</v>
      </c>
      <c r="AE374" s="62">
        <f t="shared" si="3888"/>
        <v>352.20110383770594</v>
      </c>
      <c r="AF374" s="62">
        <f t="shared" si="3888"/>
        <v>839.25449694655629</v>
      </c>
      <c r="AG374" s="62">
        <f t="shared" si="3888"/>
        <v>396.87704798472936</v>
      </c>
      <c r="AH374" s="62">
        <f t="shared" si="3888"/>
        <v>211.5146676821924</v>
      </c>
      <c r="AI374" s="62">
        <f t="shared" si="3888"/>
        <v>32.342411589708604</v>
      </c>
      <c r="AJ374" s="62">
        <f t="shared" ref="AJ374:AK374" si="3889">AJ372+AJ373</f>
        <v>-9.6617870514571109</v>
      </c>
      <c r="AK374" s="62">
        <f t="shared" si="3889"/>
        <v>219.76611021497251</v>
      </c>
      <c r="AL374" s="62">
        <f t="shared" ref="AL374:AM374" si="3890">AL372+AL373</f>
        <v>-126.78033504298253</v>
      </c>
      <c r="AM374" s="62">
        <f t="shared" si="3890"/>
        <v>-1530.6923160645988</v>
      </c>
      <c r="AN374" s="62">
        <f t="shared" ref="AN374:AO374" si="3891">AN372+AN373</f>
        <v>-1622.4850202497512</v>
      </c>
      <c r="AO374" s="62">
        <f t="shared" si="3891"/>
        <v>-2026.3039675975001</v>
      </c>
      <c r="AP374" s="62">
        <f t="shared" ref="AP374:AQ374" si="3892">AP372+AP373</f>
        <v>-1448.1561096736255</v>
      </c>
      <c r="AQ374" s="62">
        <f t="shared" si="3892"/>
        <v>-1147.412121337135</v>
      </c>
      <c r="AR374" s="62">
        <f t="shared" ref="AR374:AS374" si="3893">AR372+AR373</f>
        <v>-1081.3990750292978</v>
      </c>
      <c r="AS374" s="62">
        <f t="shared" si="3893"/>
        <v>1634.2794306524372</v>
      </c>
      <c r="AT374" s="62">
        <f t="shared" ref="AT374:AU374" si="3894">AT372+AT373</f>
        <v>1423.1701186494802</v>
      </c>
      <c r="AU374" s="62">
        <f t="shared" si="3894"/>
        <v>804.29136180130513</v>
      </c>
      <c r="AV374" s="62">
        <f t="shared" ref="AV374:AW374" si="3895">AV372+AV373</f>
        <v>191.47780968045902</v>
      </c>
      <c r="AW374" s="62">
        <f t="shared" si="3895"/>
        <v>259.84539752706849</v>
      </c>
      <c r="AX374" s="62">
        <f t="shared" ref="AX374:AY374" si="3896">AX372+AX373</f>
        <v>-566.0952265388147</v>
      </c>
      <c r="AY374" s="220">
        <f t="shared" si="3896"/>
        <v>0</v>
      </c>
      <c r="AZ374" s="62"/>
      <c r="BA374" s="62"/>
      <c r="BB374" s="62"/>
      <c r="BC374" s="62"/>
      <c r="BD374" s="62"/>
      <c r="BE374" s="62"/>
      <c r="BF374" s="62"/>
      <c r="BG374" s="62"/>
      <c r="BH374" s="62"/>
      <c r="BI374" s="62"/>
      <c r="BJ374" s="62"/>
      <c r="BK374" s="62"/>
      <c r="BL374" s="62"/>
      <c r="BM374" s="62"/>
      <c r="BN374" s="62"/>
      <c r="BO374" s="62"/>
      <c r="BP374" s="62"/>
      <c r="BQ374" s="62"/>
      <c r="BR374" s="62"/>
      <c r="BS374" s="62">
        <f t="shared" ref="BS374:CB374" si="3897">IF(ROUND(BS259*BS316/BS$5,5)=ROUND(BS359+BS364+BS369,5),BS259*BS316/BS$5,"Error")</f>
        <v>-95.387412499998902</v>
      </c>
      <c r="BT374" s="62">
        <f t="shared" si="3897"/>
        <v>-9.9372999999998015</v>
      </c>
      <c r="BU374" s="62">
        <f t="shared" si="3897"/>
        <v>270.96835249999987</v>
      </c>
      <c r="BV374" s="62">
        <f t="shared" si="3897"/>
        <v>1251.5344250000001</v>
      </c>
      <c r="BW374" s="62">
        <f t="shared" si="3897"/>
        <v>931.29141833333415</v>
      </c>
      <c r="BX374" s="62">
        <f t="shared" si="3897"/>
        <v>593.26816199999973</v>
      </c>
      <c r="BY374" s="62">
        <f t="shared" si="3897"/>
        <v>-168.45124999999919</v>
      </c>
      <c r="BZ374" s="62">
        <f t="shared" si="3897"/>
        <v>660.7553302500005</v>
      </c>
      <c r="CA374" s="62">
        <f t="shared" si="3897"/>
        <v>1130.5927923076915</v>
      </c>
      <c r="CB374" s="62">
        <f t="shared" si="3897"/>
        <v>827.82228000000259</v>
      </c>
      <c r="CC374" s="62">
        <f t="shared" si="3853"/>
        <v>4209.9004008273969</v>
      </c>
      <c r="CD374" s="62">
        <f t="shared" si="3854"/>
        <v>4862.8572165808228</v>
      </c>
      <c r="CE374" s="62">
        <f t="shared" si="3855"/>
        <v>7039.0543836666666</v>
      </c>
      <c r="CF374" s="62">
        <f t="shared" si="3856"/>
        <v>8372.7140274374415</v>
      </c>
      <c r="CG374" s="62">
        <f t="shared" si="3857"/>
        <v>1508.0258761667064</v>
      </c>
      <c r="CH374" s="62">
        <f t="shared" si="3858"/>
        <v>1974.6082768429919</v>
      </c>
      <c r="CI374" s="62">
        <f t="shared" si="3859"/>
        <v>3310.513681030533</v>
      </c>
      <c r="CJ374" s="62">
        <f t="shared" si="3860"/>
        <v>156.46200231303993</v>
      </c>
      <c r="CK374" s="62">
        <f t="shared" si="3861"/>
        <v>3061.2297492092466</v>
      </c>
      <c r="CL374" s="62">
        <f t="shared" si="3862"/>
        <v>3320.7935548300597</v>
      </c>
      <c r="CM374" s="62">
        <f t="shared" si="3863"/>
        <v>1987.25392846154</v>
      </c>
      <c r="CN374" s="62">
        <f t="shared" si="3864"/>
        <v>977.0639904616246</v>
      </c>
      <c r="CO374" s="62">
        <f t="shared" si="3865"/>
        <v>1466.3104068493217</v>
      </c>
      <c r="CP374" s="62">
        <f t="shared" si="3866"/>
        <v>1001.2811660755183</v>
      </c>
      <c r="CQ374" s="62">
        <f t="shared" si="3867"/>
        <v>1236.1315449312856</v>
      </c>
      <c r="CR374" s="62">
        <f t="shared" si="3868"/>
        <v>243.857079271901</v>
      </c>
      <c r="CS374" s="62">
        <f t="shared" si="3869"/>
        <v>210.1043231635154</v>
      </c>
      <c r="CT374" s="62">
        <f t="shared" si="3870"/>
        <v>-1657.4726511075814</v>
      </c>
      <c r="CU374" s="62">
        <f t="shared" si="3871"/>
        <v>-3648.7889878472515</v>
      </c>
      <c r="CV374" s="62">
        <f t="shared" si="3872"/>
        <v>-2595.5682310107604</v>
      </c>
      <c r="CW374" s="62">
        <f t="shared" si="3873"/>
        <v>552.88035562313939</v>
      </c>
      <c r="CX374" s="62">
        <f t="shared" si="3874"/>
        <v>2227.4614804507855</v>
      </c>
      <c r="CY374" s="62">
        <f t="shared" si="3875"/>
        <v>451.3232072075275</v>
      </c>
      <c r="CZ374" s="220"/>
      <c r="DA374" s="62"/>
      <c r="DB374" s="62"/>
      <c r="DC374" s="62"/>
      <c r="DD374" s="62"/>
      <c r="DE374" s="62"/>
      <c r="DF374" s="62"/>
      <c r="DG374" s="62"/>
      <c r="DH374" s="62"/>
      <c r="DI374" s="62"/>
    </row>
    <row r="375" spans="1:113" ht="12" hidden="1" outlineLevel="2">
      <c r="A375" s="1" t="s">
        <v>317</v>
      </c>
      <c r="B375" s="15" t="s">
        <v>277</v>
      </c>
      <c r="C375" s="41">
        <f t="shared" ref="C375:L376" si="3898">C260*C317/C$5</f>
        <v>1892.8149642917806</v>
      </c>
      <c r="D375" s="41">
        <f t="shared" si="3898"/>
        <v>1701.5568246575338</v>
      </c>
      <c r="E375" s="41">
        <f t="shared" si="3898"/>
        <v>1999.3352421465761</v>
      </c>
      <c r="F375" s="41">
        <f t="shared" si="3898"/>
        <v>1410.1509007324203</v>
      </c>
      <c r="G375" s="41">
        <f t="shared" si="3898"/>
        <v>1225.1702390410962</v>
      </c>
      <c r="H375" s="41">
        <f t="shared" si="3898"/>
        <v>252.20375000000104</v>
      </c>
      <c r="I375" s="41">
        <f t="shared" si="3898"/>
        <v>-903.51094399999874</v>
      </c>
      <c r="J375" s="41">
        <f t="shared" si="3898"/>
        <v>-3616.7305890712332</v>
      </c>
      <c r="K375" s="41">
        <f t="shared" si="3898"/>
        <v>-4112.388899986302</v>
      </c>
      <c r="L375" s="41">
        <f t="shared" si="3898"/>
        <v>-230.80080258630215</v>
      </c>
      <c r="M375" s="41">
        <f t="shared" ref="M375:Y376" si="3899">M260*M317/M$5</f>
        <v>-13.695611207372091</v>
      </c>
      <c r="N375" s="41">
        <f t="shared" si="3899"/>
        <v>-121.41091125479741</v>
      </c>
      <c r="O375" s="41">
        <f t="shared" si="3899"/>
        <v>-179.09381784699553</v>
      </c>
      <c r="P375" s="41">
        <f t="shared" si="3899"/>
        <v>8.1205384732809307</v>
      </c>
      <c r="Q375" s="41">
        <f t="shared" si="3899"/>
        <v>101.40297267175595</v>
      </c>
      <c r="R375" s="41">
        <f t="shared" si="3899"/>
        <v>-931.07183192328489</v>
      </c>
      <c r="S375" s="41">
        <f t="shared" si="3899"/>
        <v>-405.00246499236709</v>
      </c>
      <c r="T375" s="41">
        <f t="shared" si="3899"/>
        <v>-50.079065643834475</v>
      </c>
      <c r="U375" s="41">
        <f t="shared" si="3899"/>
        <v>-75.462556833627701</v>
      </c>
      <c r="V375" s="41">
        <f t="shared" si="3899"/>
        <v>-71.684225205483003</v>
      </c>
      <c r="W375" s="41">
        <f t="shared" si="3899"/>
        <v>-0.9364788790149956</v>
      </c>
      <c r="X375" s="41">
        <f t="shared" si="3899"/>
        <v>13.743849230771275</v>
      </c>
      <c r="Y375" s="41">
        <f t="shared" si="3899"/>
        <v>-242.99136615384759</v>
      </c>
      <c r="Z375" s="41">
        <f t="shared" ref="Z375:AB376" si="3900">Z260*Z317/Z$5</f>
        <v>-365.6576076328746</v>
      </c>
      <c r="AA375" s="41">
        <f t="shared" si="3900"/>
        <v>-658.8351446784468</v>
      </c>
      <c r="AB375" s="41">
        <f t="shared" si="3900"/>
        <v>-621.21767753424433</v>
      </c>
      <c r="AC375" s="41">
        <f t="shared" ref="AC375:AD375" si="3901">AC260*AC317/AC$5</f>
        <v>-534.86257869862948</v>
      </c>
      <c r="AD375" s="41">
        <f t="shared" si="3901"/>
        <v>-314.95847683945033</v>
      </c>
      <c r="AE375" s="41">
        <f t="shared" ref="AE375:AF375" si="3902">AE260*AE317/AE$5</f>
        <v>-600.09029022273421</v>
      </c>
      <c r="AF375" s="41">
        <f t="shared" si="3902"/>
        <v>-374.15981564885647</v>
      </c>
      <c r="AG375" s="41">
        <f t="shared" ref="AG375:AH375" si="3903">AG260*AG317/AG$5</f>
        <v>-832.72688420611007</v>
      </c>
      <c r="AH375" s="41">
        <f t="shared" si="3903"/>
        <v>-831.42134894904189</v>
      </c>
      <c r="AI375" s="41">
        <f t="shared" ref="AI375:AJ375" si="3904">AI260*AI317/AI$5</f>
        <v>-980.7516700999729</v>
      </c>
      <c r="AJ375" s="41">
        <f t="shared" si="3904"/>
        <v>-1057.9397803835618</v>
      </c>
      <c r="AK375" s="41">
        <f t="shared" ref="AK375:AL375" si="3905">AK260*AK317/AK$5</f>
        <v>-1130.5540602360404</v>
      </c>
      <c r="AL375" s="41">
        <f t="shared" si="3905"/>
        <v>-1159.5498776986267</v>
      </c>
      <c r="AM375" s="41">
        <f t="shared" ref="AM375:AN375" si="3906">AM260*AM317/AM$5</f>
        <v>-1606.5446987137925</v>
      </c>
      <c r="AN375" s="41">
        <f t="shared" si="3906"/>
        <v>-1594.6612767175559</v>
      </c>
      <c r="AO375" s="41">
        <f t="shared" ref="AO375" si="3907">AO260*AO317/AO$5</f>
        <v>-1309.3339480916025</v>
      </c>
      <c r="AP375" s="41">
        <f t="shared" ref="AP375:AQ375" si="3908">AP260*AP317/AP$5</f>
        <v>-1305.462375634196</v>
      </c>
      <c r="AQ375" s="41">
        <f t="shared" si="3908"/>
        <v>-1170.3311188767123</v>
      </c>
      <c r="AR375" s="41">
        <f t="shared" ref="AR375:AS375" si="3909">AR260*AR317/AR$5</f>
        <v>-1165.9205812471232</v>
      </c>
      <c r="AS375" s="41">
        <f t="shared" si="3909"/>
        <v>-356.76981807173325</v>
      </c>
      <c r="AT375" s="41">
        <f t="shared" ref="AT375:AU375" si="3910">AT260*AT317/AT$5</f>
        <v>-886.2649974701369</v>
      </c>
      <c r="AU375" s="41">
        <f t="shared" si="3910"/>
        <v>-1069.99179194769</v>
      </c>
      <c r="AV375" s="41">
        <f t="shared" ref="AV375:AW375" si="3911">AV260*AV317/AV$5</f>
        <v>-1146.2051150961538</v>
      </c>
      <c r="AW375" s="41">
        <f t="shared" si="3911"/>
        <v>-1324.9759573333336</v>
      </c>
      <c r="AX375" s="41">
        <f t="shared" ref="AX375:AY375" si="3912">AX260*AX317/AX$5</f>
        <v>9.3698495608577819</v>
      </c>
      <c r="AY375" s="211">
        <f t="shared" si="3912"/>
        <v>0</v>
      </c>
      <c r="AZ375" s="41"/>
      <c r="BA375" s="41"/>
      <c r="BB375" s="41"/>
      <c r="BC375" s="41"/>
      <c r="BD375" s="41"/>
      <c r="BE375" s="41"/>
      <c r="BF375" s="41"/>
      <c r="BG375" s="41"/>
      <c r="BH375" s="41"/>
      <c r="BI375" s="41"/>
      <c r="BJ375" s="41"/>
      <c r="BK375" s="41"/>
      <c r="BL375" s="41"/>
      <c r="BM375" s="41"/>
      <c r="BN375" s="41"/>
      <c r="BO375" s="41"/>
      <c r="BP375" s="41"/>
      <c r="BQ375" s="41"/>
      <c r="BR375" s="41"/>
      <c r="BS375" s="41">
        <f t="shared" ref="BS375:CB376" si="3913">BS260*BS317/BS$5</f>
        <v>941.17628750000017</v>
      </c>
      <c r="BT375" s="41">
        <f t="shared" si="3913"/>
        <v>-282.1155249999992</v>
      </c>
      <c r="BU375" s="41">
        <f t="shared" si="3913"/>
        <v>88.810058333333188</v>
      </c>
      <c r="BV375" s="41">
        <f t="shared" si="3913"/>
        <v>69.287550000000351</v>
      </c>
      <c r="BW375" s="41">
        <f t="shared" si="3913"/>
        <v>-31.050638333332987</v>
      </c>
      <c r="BX375" s="41">
        <f t="shared" si="3913"/>
        <v>-514.82496766666691</v>
      </c>
      <c r="BY375" s="41">
        <f t="shared" si="3913"/>
        <v>-140.49499999999972</v>
      </c>
      <c r="BZ375" s="41">
        <f t="shared" si="3913"/>
        <v>-278.7482764999998</v>
      </c>
      <c r="CA375" s="41">
        <f t="shared" si="3913"/>
        <v>-218.18503423077027</v>
      </c>
      <c r="CB375" s="41">
        <f t="shared" si="3913"/>
        <v>-419.72998999999851</v>
      </c>
      <c r="CC375" s="41">
        <f t="shared" si="3853"/>
        <v>3700.8920668041101</v>
      </c>
      <c r="CD375" s="41">
        <f t="shared" si="3854"/>
        <v>2635.3211397735167</v>
      </c>
      <c r="CE375" s="41">
        <f t="shared" si="3855"/>
        <v>-651.30719399999771</v>
      </c>
      <c r="CF375" s="41">
        <f t="shared" si="3856"/>
        <v>-7729.1194890575352</v>
      </c>
      <c r="CG375" s="41">
        <f t="shared" si="3857"/>
        <v>-244.49641379367424</v>
      </c>
      <c r="CH375" s="41">
        <f t="shared" si="3858"/>
        <v>-300.50472910179292</v>
      </c>
      <c r="CI375" s="41">
        <f t="shared" si="3859"/>
        <v>109.52351114503688</v>
      </c>
      <c r="CJ375" s="41">
        <f t="shared" si="3860"/>
        <v>-1336.074296915652</v>
      </c>
      <c r="CK375" s="41">
        <f t="shared" si="3861"/>
        <v>-125.54162247746217</v>
      </c>
      <c r="CL375" s="41">
        <f t="shared" si="3862"/>
        <v>-72.620704084498001</v>
      </c>
      <c r="CM375" s="41">
        <f t="shared" si="3863"/>
        <v>-229.24751692307632</v>
      </c>
      <c r="CN375" s="41">
        <f t="shared" si="3864"/>
        <v>-1024.4927523113215</v>
      </c>
      <c r="CO375" s="41">
        <f t="shared" si="3865"/>
        <v>-1156.0802562328738</v>
      </c>
      <c r="CP375" s="41">
        <f t="shared" si="3866"/>
        <v>-915.04876706218454</v>
      </c>
      <c r="CQ375" s="41">
        <f t="shared" si="3867"/>
        <v>-1206.8866998549665</v>
      </c>
      <c r="CR375" s="41">
        <f t="shared" si="3868"/>
        <v>-1812.1730190490148</v>
      </c>
      <c r="CS375" s="41">
        <f t="shared" si="3869"/>
        <v>-2188.4938406196025</v>
      </c>
      <c r="CT375" s="41">
        <f t="shared" si="3870"/>
        <v>-2766.094576412419</v>
      </c>
      <c r="CU375" s="41">
        <f t="shared" si="3871"/>
        <v>-2903.9952248091586</v>
      </c>
      <c r="CV375" s="41">
        <f t="shared" si="3872"/>
        <v>-2475.7934945109082</v>
      </c>
      <c r="CW375" s="41">
        <f t="shared" si="3873"/>
        <v>-1522.6903993188564</v>
      </c>
      <c r="CX375" s="41">
        <f t="shared" si="3874"/>
        <v>-1956.2567894178269</v>
      </c>
      <c r="CY375" s="41">
        <f t="shared" si="3875"/>
        <v>-2471.1810724294874</v>
      </c>
      <c r="CZ375" s="211"/>
      <c r="DA375" s="41"/>
      <c r="DB375" s="41"/>
      <c r="DC375" s="41"/>
      <c r="DD375" s="41"/>
      <c r="DE375" s="41"/>
      <c r="DF375" s="41"/>
      <c r="DG375" s="41"/>
      <c r="DH375" s="41"/>
      <c r="DI375" s="41"/>
    </row>
    <row r="376" spans="1:113" ht="12" hidden="1" outlineLevel="2">
      <c r="A376" s="1" t="s">
        <v>225</v>
      </c>
      <c r="B376" s="15" t="s">
        <v>278</v>
      </c>
      <c r="C376" s="41">
        <f t="shared" si="3898"/>
        <v>-3356.6519298863009</v>
      </c>
      <c r="D376" s="41">
        <f t="shared" si="3898"/>
        <v>-2933.7875690410956</v>
      </c>
      <c r="E376" s="41">
        <f t="shared" si="3898"/>
        <v>-3247.1504149191783</v>
      </c>
      <c r="F376" s="41">
        <f t="shared" si="3898"/>
        <v>-2884.4344958237443</v>
      </c>
      <c r="G376" s="41">
        <f t="shared" si="3898"/>
        <v>-2748.313135616439</v>
      </c>
      <c r="H376" s="41">
        <f t="shared" si="3898"/>
        <v>-2190.8385416666665</v>
      </c>
      <c r="I376" s="41">
        <f t="shared" si="3898"/>
        <v>-1484.437938</v>
      </c>
      <c r="J376" s="41">
        <f t="shared" si="3898"/>
        <v>413.19627157442915</v>
      </c>
      <c r="K376" s="41">
        <f t="shared" si="3898"/>
        <v>447.1792986958904</v>
      </c>
      <c r="L376" s="41">
        <f t="shared" si="3898"/>
        <v>421.59515148493153</v>
      </c>
      <c r="M376" s="41">
        <f t="shared" si="3899"/>
        <v>452.63087399241351</v>
      </c>
      <c r="N376" s="41">
        <f t="shared" si="3899"/>
        <v>557.4784502958903</v>
      </c>
      <c r="O376" s="41">
        <f t="shared" si="3899"/>
        <v>458.79583476290838</v>
      </c>
      <c r="P376" s="41">
        <f t="shared" si="3899"/>
        <v>482.88466167938918</v>
      </c>
      <c r="Q376" s="41">
        <f t="shared" si="3899"/>
        <v>623.46780645038177</v>
      </c>
      <c r="R376" s="41">
        <f t="shared" si="3899"/>
        <v>511.30297507397268</v>
      </c>
      <c r="S376" s="41">
        <f t="shared" si="3899"/>
        <v>320.20988432562996</v>
      </c>
      <c r="T376" s="41">
        <f t="shared" si="3899"/>
        <v>400.93974794520562</v>
      </c>
      <c r="U376" s="41">
        <f t="shared" si="3899"/>
        <v>465.02389678971031</v>
      </c>
      <c r="V376" s="41">
        <f t="shared" si="3899"/>
        <v>454.27255616438265</v>
      </c>
      <c r="W376" s="41">
        <f t="shared" si="3899"/>
        <v>463.84953777684831</v>
      </c>
      <c r="X376" s="41">
        <f t="shared" si="3899"/>
        <v>581.25499307692348</v>
      </c>
      <c r="Y376" s="41">
        <f t="shared" si="3899"/>
        <v>572.98889769230732</v>
      </c>
      <c r="Z376" s="41">
        <f t="shared" si="3900"/>
        <v>501.80744189589097</v>
      </c>
      <c r="AA376" s="41">
        <f t="shared" si="3900"/>
        <v>510.04857687336653</v>
      </c>
      <c r="AB376" s="41">
        <f t="shared" si="3900"/>
        <v>515.14479397260345</v>
      </c>
      <c r="AC376" s="41">
        <f t="shared" ref="AC376:AD376" si="3914">AC261*AC318/AC$5</f>
        <v>553.13840712328761</v>
      </c>
      <c r="AD376" s="41">
        <f t="shared" si="3914"/>
        <v>512.06379232438383</v>
      </c>
      <c r="AE376" s="41">
        <f t="shared" ref="AE376:AF376" si="3915">AE261*AE318/AE$5</f>
        <v>536.5254084011292</v>
      </c>
      <c r="AF376" s="41">
        <f t="shared" si="3915"/>
        <v>309.21371755725147</v>
      </c>
      <c r="AG376" s="41">
        <f t="shared" ref="AG376:AH376" si="3916">AG261*AG318/AG$5</f>
        <v>206.6925239122136</v>
      </c>
      <c r="AH376" s="41">
        <f t="shared" si="3916"/>
        <v>185.5595402432877</v>
      </c>
      <c r="AI376" s="41">
        <f t="shared" ref="AI376:AJ376" si="3917">AI261*AI318/AI$5</f>
        <v>206.25482726174334</v>
      </c>
      <c r="AJ376" s="41">
        <f t="shared" si="3917"/>
        <v>370.66486343501646</v>
      </c>
      <c r="AK376" s="41">
        <f t="shared" ref="AK376:AL376" si="3918">AK261*AK318/AK$5</f>
        <v>460.56810777238422</v>
      </c>
      <c r="AL376" s="41">
        <f t="shared" si="3918"/>
        <v>554.23123016628176</v>
      </c>
      <c r="AM376" s="41">
        <f t="shared" ref="AM376:AN376" si="3919">AM261*AM318/AM$5</f>
        <v>241.75580019719376</v>
      </c>
      <c r="AN376" s="41">
        <f t="shared" si="3919"/>
        <v>196.86367521158687</v>
      </c>
      <c r="AO376" s="41">
        <f t="shared" ref="AO376" si="3920">AO261*AO318/AO$5</f>
        <v>18.960793551699336</v>
      </c>
      <c r="AP376" s="41">
        <f t="shared" ref="AP376:AQ376" si="3921">AP261*AP318/AP$5</f>
        <v>8.096515698486126</v>
      </c>
      <c r="AQ376" s="41">
        <f t="shared" si="3921"/>
        <v>10.02029026277091</v>
      </c>
      <c r="AR376" s="41">
        <f t="shared" ref="AR376:AS376" si="3922">AR261*AR318/AR$5</f>
        <v>29.213236120804531</v>
      </c>
      <c r="AS376" s="41">
        <f t="shared" si="3922"/>
        <v>500.22551961003444</v>
      </c>
      <c r="AT376" s="41">
        <f t="shared" ref="AT376:AU376" si="3923">AT261*AT318/AT$5</f>
        <v>1071.0890407735337</v>
      </c>
      <c r="AU376" s="41">
        <f t="shared" si="3923"/>
        <v>1253.5609214482899</v>
      </c>
      <c r="AV376" s="41">
        <f t="shared" ref="AV376:AW376" si="3924">AV261*AV318/AV$5</f>
        <v>1081.019414358002</v>
      </c>
      <c r="AW376" s="41">
        <f t="shared" si="3924"/>
        <v>1207.1091411395992</v>
      </c>
      <c r="AX376" s="41">
        <f t="shared" ref="AX376:AY376" si="3925">AX261*AX318/AX$5</f>
        <v>1135.9702208427955</v>
      </c>
      <c r="AY376" s="211">
        <f t="shared" si="3925"/>
        <v>0</v>
      </c>
      <c r="AZ376" s="41"/>
      <c r="BA376" s="41"/>
      <c r="BB376" s="41"/>
      <c r="BC376" s="41"/>
      <c r="BD376" s="41"/>
      <c r="BE376" s="41"/>
      <c r="BF376" s="41"/>
      <c r="BG376" s="41"/>
      <c r="BH376" s="41"/>
      <c r="BI376" s="41"/>
      <c r="BJ376" s="41"/>
      <c r="BK376" s="41"/>
      <c r="BL376" s="41"/>
      <c r="BM376" s="41"/>
      <c r="BN376" s="41"/>
      <c r="BO376" s="41"/>
      <c r="BP376" s="41"/>
      <c r="BQ376" s="41"/>
      <c r="BR376" s="41"/>
      <c r="BS376" s="41">
        <f t="shared" si="3913"/>
        <v>313.23565000000031</v>
      </c>
      <c r="BT376" s="41">
        <f t="shared" si="3913"/>
        <v>307.58820000000003</v>
      </c>
      <c r="BU376" s="41">
        <f t="shared" si="3913"/>
        <v>206.57849166666665</v>
      </c>
      <c r="BV376" s="41">
        <f t="shared" si="3913"/>
        <v>400.022425</v>
      </c>
      <c r="BW376" s="41">
        <f t="shared" si="3913"/>
        <v>463.11089833333341</v>
      </c>
      <c r="BX376" s="41">
        <f t="shared" si="3913"/>
        <v>344.12219133333332</v>
      </c>
      <c r="BY376" s="41">
        <f t="shared" si="3913"/>
        <v>411.1762500000001</v>
      </c>
      <c r="BZ376" s="41">
        <f t="shared" si="3913"/>
        <v>443.81248450000004</v>
      </c>
      <c r="CA376" s="41">
        <f t="shared" si="3913"/>
        <v>583.26270576923071</v>
      </c>
      <c r="CB376" s="41">
        <f t="shared" si="3913"/>
        <v>696.84288000000038</v>
      </c>
      <c r="CC376" s="41">
        <f t="shared" si="3853"/>
        <v>-6180.9379839602734</v>
      </c>
      <c r="CD376" s="41">
        <f t="shared" si="3854"/>
        <v>-5632.7476314401829</v>
      </c>
      <c r="CE376" s="41">
        <f t="shared" si="3855"/>
        <v>-3675.2764796666665</v>
      </c>
      <c r="CF376" s="41">
        <f t="shared" si="3856"/>
        <v>860.37557027031949</v>
      </c>
      <c r="CG376" s="41">
        <f t="shared" si="3857"/>
        <v>874.22602547734505</v>
      </c>
      <c r="CH376" s="41">
        <f t="shared" si="3858"/>
        <v>1016.2742850587987</v>
      </c>
      <c r="CI376" s="41">
        <f t="shared" si="3859"/>
        <v>1106.3524681297708</v>
      </c>
      <c r="CJ376" s="41">
        <f t="shared" si="3860"/>
        <v>831.51285939960258</v>
      </c>
      <c r="CK376" s="41">
        <f t="shared" si="3861"/>
        <v>865.96364473491599</v>
      </c>
      <c r="CL376" s="41">
        <f t="shared" si="3862"/>
        <v>918.12209394123101</v>
      </c>
      <c r="CM376" s="41">
        <f t="shared" si="3863"/>
        <v>1154.2438907692308</v>
      </c>
      <c r="CN376" s="41">
        <f t="shared" si="3864"/>
        <v>1011.8560187692575</v>
      </c>
      <c r="CO376" s="41">
        <f t="shared" si="3865"/>
        <v>1068.2832010958909</v>
      </c>
      <c r="CP376" s="41">
        <f t="shared" si="3866"/>
        <v>1048.5892007255129</v>
      </c>
      <c r="CQ376" s="41">
        <f t="shared" si="3867"/>
        <v>515.90624146946504</v>
      </c>
      <c r="CR376" s="41">
        <f t="shared" si="3868"/>
        <v>391.81436750503104</v>
      </c>
      <c r="CS376" s="41">
        <f t="shared" si="3869"/>
        <v>831.23297120740062</v>
      </c>
      <c r="CT376" s="41">
        <f t="shared" si="3870"/>
        <v>795.98703036347547</v>
      </c>
      <c r="CU376" s="41">
        <f t="shared" si="3871"/>
        <v>215.82446876328621</v>
      </c>
      <c r="CV376" s="41">
        <f t="shared" si="3872"/>
        <v>18.116805961257036</v>
      </c>
      <c r="CW376" s="41">
        <f t="shared" si="3873"/>
        <v>529.43875573083892</v>
      </c>
      <c r="CX376" s="41">
        <f t="shared" si="3874"/>
        <v>2324.6499622218234</v>
      </c>
      <c r="CY376" s="41">
        <f t="shared" si="3875"/>
        <v>2288.1285554976012</v>
      </c>
      <c r="CZ376" s="211"/>
      <c r="DA376" s="41"/>
      <c r="DB376" s="41"/>
      <c r="DC376" s="41"/>
      <c r="DD376" s="41"/>
      <c r="DE376" s="41"/>
      <c r="DF376" s="41"/>
      <c r="DG376" s="41"/>
      <c r="DH376" s="41"/>
      <c r="DI376" s="41"/>
    </row>
    <row r="377" spans="1:113" s="17" customFormat="1" ht="12" outlineLevel="1" collapsed="1">
      <c r="A377" s="1" t="s">
        <v>226</v>
      </c>
      <c r="B377" s="17" t="s">
        <v>582</v>
      </c>
      <c r="C377" s="62">
        <f t="shared" ref="C377:L377" si="3926">IF(ABS(C262*C319/C$5-C374+C375+C376)&gt;0.1,C262*C319/C$5,"Error")</f>
        <v>556.35330578904041</v>
      </c>
      <c r="D377" s="62">
        <f t="shared" si="3926"/>
        <v>686.70243616438302</v>
      </c>
      <c r="E377" s="62">
        <f t="shared" si="3926"/>
        <v>1043.1520475068503</v>
      </c>
      <c r="F377" s="62">
        <f t="shared" si="3926"/>
        <v>937.87811128401859</v>
      </c>
      <c r="G377" s="62">
        <f t="shared" si="3926"/>
        <v>927.55261363013767</v>
      </c>
      <c r="H377" s="62">
        <f t="shared" si="3926"/>
        <v>1383.388750000001</v>
      </c>
      <c r="I377" s="62">
        <f t="shared" si="3926"/>
        <v>1329.0819600000011</v>
      </c>
      <c r="J377" s="62">
        <f t="shared" si="3926"/>
        <v>852.75825051872027</v>
      </c>
      <c r="K377" s="62">
        <f t="shared" si="3926"/>
        <v>651.21185813150589</v>
      </c>
      <c r="L377" s="62">
        <f t="shared" si="3926"/>
        <v>862.841309852054</v>
      </c>
      <c r="M377" s="62">
        <f t="shared" ref="M377:Y377" si="3927">IF(ABS(M262*M319/M$5-M374+M375+M376)&gt;0.1,M262*M319/M$5,"Error")</f>
        <v>1274.9141779983231</v>
      </c>
      <c r="N377" s="62">
        <f t="shared" si="3927"/>
        <v>1390.1738613205437</v>
      </c>
      <c r="O377" s="62">
        <f t="shared" si="3927"/>
        <v>1300.2039714794541</v>
      </c>
      <c r="P377" s="62">
        <f t="shared" si="3927"/>
        <v>2063.7361158778585</v>
      </c>
      <c r="Q377" s="62">
        <f t="shared" si="3927"/>
        <v>2462.6535444274823</v>
      </c>
      <c r="R377" s="62">
        <f t="shared" si="3927"/>
        <v>-681.10615770410573</v>
      </c>
      <c r="S377" s="62">
        <f t="shared" si="3927"/>
        <v>333.00672250109625</v>
      </c>
      <c r="T377" s="62">
        <f t="shared" si="3927"/>
        <v>1652.2249898082232</v>
      </c>
      <c r="U377" s="62">
        <f t="shared" si="3927"/>
        <v>2149.426781658477</v>
      </c>
      <c r="V377" s="62">
        <f t="shared" si="3927"/>
        <v>1987.5640893150487</v>
      </c>
      <c r="W377" s="62">
        <f t="shared" si="3927"/>
        <v>2178.7308553717439</v>
      </c>
      <c r="X377" s="62">
        <f t="shared" si="3927"/>
        <v>2018.9312323077002</v>
      </c>
      <c r="Y377" s="62">
        <f t="shared" si="3927"/>
        <v>893.31906999999444</v>
      </c>
      <c r="Z377" s="62">
        <f t="shared" ref="Z377:AD377" si="3928">IF(ABS(Z262*Z319/Z$5-Z374+Z375+Z376)&gt;0.1,Z262*Z319/Z$5,"Error")</f>
        <v>481.4369237479554</v>
      </c>
      <c r="AA377" s="62">
        <f t="shared" si="3928"/>
        <v>482.99033317160541</v>
      </c>
      <c r="AB377" s="62">
        <f t="shared" si="3928"/>
        <v>570.27364383562735</v>
      </c>
      <c r="AC377" s="62">
        <f t="shared" si="3928"/>
        <v>808.2397078767118</v>
      </c>
      <c r="AD377" s="62">
        <f t="shared" si="3928"/>
        <v>846.18537772274601</v>
      </c>
      <c r="AE377" s="62">
        <f t="shared" ref="AE377:AF377" si="3929">IF(ABS(AE262*AE319/AE$5-AE374+AE375+AE376)&gt;0.1,AE262*AE319/AE$5,"Error")</f>
        <v>288.63622201610087</v>
      </c>
      <c r="AF377" s="62">
        <f t="shared" si="3929"/>
        <v>774.30839885495141</v>
      </c>
      <c r="AG377" s="62">
        <f t="shared" ref="AG377:AL377" si="3930">IF(ABS(AG262*AG319/AG$5-AG374+AG375+AG376)&gt;0.1,AG262*AG319/AG$5,"Error")</f>
        <v>-229.15731230916742</v>
      </c>
      <c r="AH377" s="62">
        <f t="shared" si="3930"/>
        <v>-434.34714102356173</v>
      </c>
      <c r="AI377" s="62">
        <f t="shared" si="3930"/>
        <v>-742.15443124852084</v>
      </c>
      <c r="AJ377" s="62">
        <f t="shared" si="3930"/>
        <v>-696.93670400000269</v>
      </c>
      <c r="AK377" s="62">
        <f t="shared" si="3930"/>
        <v>-450.21984224868396</v>
      </c>
      <c r="AL377" s="62">
        <f t="shared" si="3930"/>
        <v>-732.09898257532757</v>
      </c>
      <c r="AM377" s="62">
        <f t="shared" ref="AM377:AN377" si="3931">IF(ABS(AM262*AM319/AM$5-AM374+AM375+AM376)&gt;0.1,AM262*AM319/AM$5,"Error")</f>
        <v>-2895.4812145811975</v>
      </c>
      <c r="AN377" s="62">
        <f t="shared" si="3931"/>
        <v>-3020.2826217557199</v>
      </c>
      <c r="AO377" s="62">
        <f t="shared" ref="AO377" si="3932">IF(ABS(AO262*AO319/AO$5-AO374+AO375+AO376)&gt;0.1,AO262*AO319/AO$5,"Error")</f>
        <v>-3316.6771221374033</v>
      </c>
      <c r="AP377" s="62">
        <f t="shared" ref="AP377:AQ377" si="3933">IF(ABS(AP262*AP319/AP$5-AP374+AP375+AP376)&gt;0.1,AP262*AP319/AP$5,"Error")</f>
        <v>-2745.5219696093354</v>
      </c>
      <c r="AQ377" s="62">
        <f t="shared" si="3933"/>
        <v>-2307.7229499510763</v>
      </c>
      <c r="AR377" s="62">
        <f t="shared" ref="AR377:AS377" si="3934">IF(ABS(AR262*AR319/AR$5-AR374+AR375+AR376)&gt;0.1,AR262*AR319/AR$5,"Error")</f>
        <v>-2218.1064201556164</v>
      </c>
      <c r="AS377" s="62">
        <f t="shared" si="3934"/>
        <v>1777.7351321907381</v>
      </c>
      <c r="AT377" s="62">
        <f t="shared" ref="AT377:AU377" si="3935">IF(ABS(AT262*AT319/AT$5-AT374+AT375+AT376)&gt;0.1,AT262*AT319/AT$5,"Error")</f>
        <v>1607.994161952877</v>
      </c>
      <c r="AU377" s="62">
        <f t="shared" si="3935"/>
        <v>987.86049130190497</v>
      </c>
      <c r="AV377" s="62">
        <f t="shared" ref="AV377:AW377" si="3936">IF(ABS(AV262*AV319/AV$5-AV374+AV375+AV376)&gt;0.1,AV262*AV319/AV$5,"Error")</f>
        <v>126.29210894230725</v>
      </c>
      <c r="AW377" s="62">
        <f t="shared" si="3936"/>
        <v>141.97858133333401</v>
      </c>
      <c r="AX377" s="62">
        <f t="shared" ref="AX377" si="3937">IF(ABS(AX262*AX319/AX$5-AX374+AX375+AX376)&gt;0.1,AX262*AX319/AX$5,"Error")</f>
        <v>579.24484386483834</v>
      </c>
      <c r="AY377" s="220">
        <f t="shared" ref="AY377:BI377" si="3938">AY381-AY354</f>
        <v>-423.48794444657688</v>
      </c>
      <c r="AZ377" s="62">
        <f t="shared" si="3938"/>
        <v>-250.64210513039325</v>
      </c>
      <c r="BA377" s="62">
        <f t="shared" si="3938"/>
        <v>-188.33510464204664</v>
      </c>
      <c r="BB377" s="62">
        <f t="shared" si="3938"/>
        <v>-181.0558937150563</v>
      </c>
      <c r="BC377" s="62">
        <f t="shared" si="3938"/>
        <v>-170.28364138886536</v>
      </c>
      <c r="BD377" s="62">
        <f t="shared" si="3938"/>
        <v>-130.05700534858443</v>
      </c>
      <c r="BE377" s="62">
        <f t="shared" si="3938"/>
        <v>-82.529006770071646</v>
      </c>
      <c r="BF377" s="62">
        <f t="shared" si="3938"/>
        <v>-55.386494111655338</v>
      </c>
      <c r="BG377" s="62">
        <f t="shared" si="3938"/>
        <v>-32.074309308431111</v>
      </c>
      <c r="BH377" s="62">
        <f t="shared" si="3938"/>
        <v>-40.252315141311556</v>
      </c>
      <c r="BI377" s="62">
        <f t="shared" si="3938"/>
        <v>-38.507826617857063</v>
      </c>
      <c r="BJ377" s="62">
        <f>BJ262*BJ319/BJ$5</f>
        <v>-39.004583706395401</v>
      </c>
      <c r="BK377" s="62">
        <f t="shared" ref="BK377:BQ377" si="3939">BK262*BK319/BK$5</f>
        <v>-39.96035620248739</v>
      </c>
      <c r="BL377" s="62">
        <f t="shared" si="3939"/>
        <v>-40.591939582111614</v>
      </c>
      <c r="BM377" s="62">
        <f t="shared" si="3939"/>
        <v>-41.347693606628894</v>
      </c>
      <c r="BN377" s="62">
        <f t="shared" si="3939"/>
        <v>-42.026550654364129</v>
      </c>
      <c r="BO377" s="62">
        <f t="shared" si="3939"/>
        <v>-43.093278779515792</v>
      </c>
      <c r="BP377" s="62">
        <f t="shared" si="3939"/>
        <v>-43.724923920796385</v>
      </c>
      <c r="BQ377" s="62">
        <f t="shared" si="3939"/>
        <v>-44.874640788246069</v>
      </c>
      <c r="BR377" s="62"/>
      <c r="BS377" s="62">
        <f t="shared" ref="BS377:CB377" si="3940">IF(ABS(BS262*BS319/BS$5-BS374+BS375+BS376)&gt;0.1,BS262*BS319/BS$5,"Error")</f>
        <v>1159.0245250000016</v>
      </c>
      <c r="BT377" s="62">
        <f t="shared" si="3940"/>
        <v>15.535375000001014</v>
      </c>
      <c r="BU377" s="62">
        <f t="shared" si="3940"/>
        <v>566.35690249999971</v>
      </c>
      <c r="BV377" s="62">
        <f t="shared" si="3940"/>
        <v>1720.8444000000004</v>
      </c>
      <c r="BW377" s="62">
        <f t="shared" si="3940"/>
        <v>1363.3516783333346</v>
      </c>
      <c r="BX377" s="62">
        <f t="shared" si="3940"/>
        <v>422.5653856666662</v>
      </c>
      <c r="BY377" s="62">
        <f t="shared" si="3940"/>
        <v>102.23000000000118</v>
      </c>
      <c r="BZ377" s="62">
        <f t="shared" si="3940"/>
        <v>825.81953825000073</v>
      </c>
      <c r="CA377" s="62">
        <f t="shared" si="3940"/>
        <v>1495.670463846152</v>
      </c>
      <c r="CB377" s="62">
        <f t="shared" si="3940"/>
        <v>1104.9351700000045</v>
      </c>
      <c r="CC377" s="62">
        <f t="shared" si="3853"/>
        <v>1729.8544836712333</v>
      </c>
      <c r="CD377" s="62">
        <f t="shared" si="3854"/>
        <v>1865.4307249141561</v>
      </c>
      <c r="CE377" s="62">
        <f t="shared" si="3855"/>
        <v>2712.4707100000023</v>
      </c>
      <c r="CF377" s="62">
        <f t="shared" si="3856"/>
        <v>1503.9701086502262</v>
      </c>
      <c r="CG377" s="62">
        <f t="shared" si="3857"/>
        <v>2137.755487850377</v>
      </c>
      <c r="CH377" s="62">
        <f t="shared" si="3858"/>
        <v>2690.377832799998</v>
      </c>
      <c r="CI377" s="62">
        <f t="shared" si="3859"/>
        <v>4526.3896603053408</v>
      </c>
      <c r="CJ377" s="62">
        <f t="shared" si="3860"/>
        <v>-348.09943520300948</v>
      </c>
      <c r="CK377" s="62">
        <f t="shared" si="3861"/>
        <v>3801.6517714667002</v>
      </c>
      <c r="CL377" s="62">
        <f t="shared" si="3862"/>
        <v>4166.2949446867924</v>
      </c>
      <c r="CM377" s="62">
        <f t="shared" si="3863"/>
        <v>2912.2503023076947</v>
      </c>
      <c r="CN377" s="62">
        <f t="shared" si="3864"/>
        <v>964.42725691956082</v>
      </c>
      <c r="CO377" s="62">
        <f t="shared" si="3865"/>
        <v>1378.513351712339</v>
      </c>
      <c r="CP377" s="62">
        <f t="shared" si="3866"/>
        <v>1134.821599738847</v>
      </c>
      <c r="CQ377" s="62">
        <f t="shared" si="3867"/>
        <v>545.15108654578398</v>
      </c>
      <c r="CR377" s="62">
        <f t="shared" si="3868"/>
        <v>-1176.5015722720825</v>
      </c>
      <c r="CS377" s="62">
        <f t="shared" si="3869"/>
        <v>-1147.1565462486867</v>
      </c>
      <c r="CT377" s="62">
        <f t="shared" si="3870"/>
        <v>-3627.5801971565252</v>
      </c>
      <c r="CU377" s="62">
        <f t="shared" si="3871"/>
        <v>-6336.9597438931232</v>
      </c>
      <c r="CV377" s="62">
        <f t="shared" si="3872"/>
        <v>-5053.2449195604113</v>
      </c>
      <c r="CW377" s="62">
        <f t="shared" si="3873"/>
        <v>-440.37128796487832</v>
      </c>
      <c r="CX377" s="62">
        <f t="shared" si="3874"/>
        <v>2595.8546532547821</v>
      </c>
      <c r="CY377" s="62">
        <f t="shared" si="3875"/>
        <v>268.27069027564124</v>
      </c>
      <c r="CZ377" s="220">
        <f t="shared" ref="CZ377" si="3941">SUM(AX377:AY377)</f>
        <v>155.75689941826147</v>
      </c>
      <c r="DA377" s="62">
        <f t="shared" ref="DA377" si="3942">SUM(AZ377:BA377)</f>
        <v>-438.97720977243989</v>
      </c>
      <c r="DB377" s="62">
        <f t="shared" ref="DB377" si="3943">SUM(BB377:BC377)</f>
        <v>-351.33953510392166</v>
      </c>
      <c r="DC377" s="62">
        <f t="shared" ref="DC377" si="3944">SUM(BD377:BE377)</f>
        <v>-212.58601211865607</v>
      </c>
      <c r="DD377" s="62">
        <f t="shared" ref="DD377" si="3945">SUM(BF377:BG377)</f>
        <v>-87.460803420086449</v>
      </c>
      <c r="DE377" s="62">
        <f t="shared" ref="DE377" si="3946">SUM(BH377:BI377)</f>
        <v>-78.760141759168619</v>
      </c>
      <c r="DF377" s="62">
        <f t="shared" ref="DF377" si="3947">SUM(BJ377:BK377)</f>
        <v>-78.964939908882798</v>
      </c>
      <c r="DG377" s="62">
        <f t="shared" ref="DG377" si="3948">SUM(BL377:BM377)</f>
        <v>-81.939633188740515</v>
      </c>
      <c r="DH377" s="62">
        <f t="shared" ref="DH377" si="3949">SUM(BN377:BO377)</f>
        <v>-85.119829433879914</v>
      </c>
      <c r="DI377" s="62">
        <f t="shared" ref="DI377" si="3950">SUM(BP377:BQ377)</f>
        <v>-88.599564709042454</v>
      </c>
    </row>
    <row r="378" spans="1:113" ht="12" outlineLevel="1">
      <c r="C378" s="41"/>
      <c r="D378" s="41"/>
      <c r="E378" s="41"/>
      <c r="F378" s="41"/>
      <c r="G378" s="41"/>
      <c r="H378" s="41"/>
      <c r="I378" s="41"/>
      <c r="J378" s="41"/>
      <c r="K378" s="41"/>
      <c r="L378" s="41"/>
      <c r="M378" s="41"/>
      <c r="N378" s="41"/>
      <c r="O378" s="41"/>
      <c r="P378" s="41"/>
      <c r="Q378" s="41"/>
      <c r="R378" s="41"/>
      <c r="S378" s="41"/>
      <c r="T378" s="41"/>
      <c r="U378" s="41"/>
      <c r="V378" s="41"/>
      <c r="W378" s="41"/>
      <c r="X378" s="41"/>
      <c r="Y378" s="41"/>
      <c r="Z378" s="41"/>
      <c r="AA378" s="41"/>
      <c r="AB378" s="41"/>
      <c r="AC378" s="41"/>
      <c r="AD378" s="41"/>
      <c r="AE378" s="41"/>
      <c r="AF378" s="41"/>
      <c r="AG378" s="41"/>
      <c r="AH378" s="41"/>
      <c r="AI378" s="41"/>
      <c r="AJ378" s="41"/>
      <c r="AK378" s="41"/>
      <c r="AL378" s="41"/>
      <c r="AM378" s="41"/>
      <c r="AN378" s="41"/>
      <c r="AO378" s="41"/>
      <c r="AP378" s="41"/>
      <c r="AQ378" s="41"/>
      <c r="AR378" s="41"/>
      <c r="AS378" s="41"/>
      <c r="AT378" s="41"/>
      <c r="AU378" s="41"/>
      <c r="AV378" s="41"/>
      <c r="AW378" s="41"/>
      <c r="AX378" s="41"/>
      <c r="AY378" s="211"/>
      <c r="AZ378" s="41"/>
      <c r="BA378" s="41"/>
      <c r="BB378" s="41"/>
      <c r="BC378" s="41"/>
      <c r="BD378" s="41"/>
      <c r="BE378" s="41"/>
      <c r="BF378" s="41"/>
      <c r="BG378" s="41"/>
      <c r="BH378" s="41"/>
      <c r="BI378" s="41"/>
      <c r="BJ378" s="41"/>
      <c r="BK378" s="41"/>
      <c r="BL378" s="41"/>
      <c r="BM378" s="41"/>
      <c r="BN378" s="41"/>
      <c r="BO378" s="41"/>
      <c r="BP378" s="41"/>
      <c r="BQ378" s="41"/>
      <c r="BR378" s="41"/>
      <c r="BS378" s="41"/>
      <c r="BT378" s="41"/>
      <c r="BU378" s="41"/>
      <c r="BV378" s="41"/>
      <c r="BW378" s="41"/>
      <c r="BX378" s="41"/>
      <c r="BY378" s="41"/>
      <c r="BZ378" s="41"/>
      <c r="CA378" s="41"/>
      <c r="CB378" s="41"/>
      <c r="CC378" s="41"/>
      <c r="CD378" s="41"/>
      <c r="CE378" s="41"/>
      <c r="CF378" s="41"/>
      <c r="CG378" s="41"/>
      <c r="CH378" s="41"/>
      <c r="CI378" s="41"/>
      <c r="CJ378" s="46"/>
      <c r="CK378" s="46"/>
      <c r="CL378" s="37"/>
      <c r="CM378" s="37"/>
      <c r="CN378" s="41"/>
      <c r="CO378" s="41"/>
      <c r="CP378" s="41"/>
      <c r="CQ378" s="41"/>
      <c r="CR378" s="41"/>
      <c r="CS378" s="41"/>
      <c r="CT378" s="41"/>
      <c r="CU378" s="41"/>
      <c r="CV378" s="41"/>
      <c r="CW378" s="41"/>
      <c r="CX378" s="41"/>
      <c r="CY378" s="41"/>
      <c r="CZ378" s="211"/>
      <c r="DA378" s="41"/>
      <c r="DB378" s="15"/>
      <c r="DC378" s="15"/>
      <c r="DD378" s="15"/>
      <c r="DE378" s="15"/>
      <c r="DF378" s="15"/>
      <c r="DG378" s="15"/>
      <c r="DH378" s="15"/>
      <c r="DI378" s="15"/>
    </row>
    <row r="379" spans="1:113" ht="12" outlineLevel="1">
      <c r="A379" s="1" t="s">
        <v>238</v>
      </c>
      <c r="B379" s="15" t="s">
        <v>585</v>
      </c>
      <c r="C379" s="41">
        <f t="shared" ref="C379:AC379" si="3951">(C296+C318)*C239/C$5</f>
        <v>4843</v>
      </c>
      <c r="D379" s="41">
        <f t="shared" si="3951"/>
        <v>4397</v>
      </c>
      <c r="E379" s="41">
        <f t="shared" si="3951"/>
        <v>4661.9999999999991</v>
      </c>
      <c r="F379" s="41">
        <f t="shared" si="3951"/>
        <v>5021</v>
      </c>
      <c r="G379" s="41">
        <f t="shared" si="3951"/>
        <v>5217</v>
      </c>
      <c r="H379" s="41">
        <f t="shared" si="3951"/>
        <v>6556.9999999999991</v>
      </c>
      <c r="I379" s="41">
        <f t="shared" si="3951"/>
        <v>7590.9999999999991</v>
      </c>
      <c r="J379" s="41">
        <f t="shared" si="3951"/>
        <v>9098</v>
      </c>
      <c r="K379" s="41">
        <f t="shared" si="3951"/>
        <v>10001</v>
      </c>
      <c r="L379" s="41">
        <f t="shared" si="3951"/>
        <v>10777</v>
      </c>
      <c r="M379" s="41">
        <f t="shared" si="3951"/>
        <v>11524</v>
      </c>
      <c r="N379" s="41">
        <f t="shared" si="3951"/>
        <v>12518.000000000002</v>
      </c>
      <c r="O379" s="41">
        <f t="shared" si="3951"/>
        <v>13692</v>
      </c>
      <c r="P379" s="41">
        <f t="shared" si="3951"/>
        <v>15612</v>
      </c>
      <c r="Q379" s="41">
        <f t="shared" si="3951"/>
        <v>16992</v>
      </c>
      <c r="R379" s="41">
        <f t="shared" si="3951"/>
        <v>14699.999999999998</v>
      </c>
      <c r="S379" s="41">
        <f t="shared" si="3951"/>
        <v>11506</v>
      </c>
      <c r="T379" s="41">
        <f t="shared" si="3951"/>
        <v>12356</v>
      </c>
      <c r="U379" s="41">
        <f t="shared" si="3951"/>
        <v>14251.999999999998</v>
      </c>
      <c r="V379" s="41">
        <f t="shared" si="3951"/>
        <v>14944.999999999998</v>
      </c>
      <c r="W379" s="41">
        <f t="shared" si="3951"/>
        <v>15423.000000000002</v>
      </c>
      <c r="X379" s="41">
        <f t="shared" si="3951"/>
        <v>15440</v>
      </c>
      <c r="Y379" s="41">
        <f t="shared" si="3951"/>
        <v>15098</v>
      </c>
      <c r="Z379" s="41">
        <f t="shared" si="3951"/>
        <v>14326</v>
      </c>
      <c r="AA379" s="41">
        <f t="shared" si="3951"/>
        <v>14301</v>
      </c>
      <c r="AB379" s="41">
        <f t="shared" si="3951"/>
        <v>14430</v>
      </c>
      <c r="AC379" s="41">
        <f t="shared" si="3951"/>
        <v>15094</v>
      </c>
      <c r="AD379" s="41">
        <f t="shared" ref="AD379" si="3952">(AD296+AD318)*AD239/AD$5</f>
        <v>15394</v>
      </c>
      <c r="AE379" s="41">
        <f t="shared" ref="AE379:AF379" si="3953">(AE296+AE318)*AE239/AE$5</f>
        <v>15132</v>
      </c>
      <c r="AF379" s="41">
        <f t="shared" si="3953"/>
        <v>15089.999999999998</v>
      </c>
      <c r="AG379" s="41">
        <f t="shared" ref="AG379:AH379" si="3954">(AG296+AG318)*AG239/AG$5</f>
        <v>14861.000000000002</v>
      </c>
      <c r="AH379" s="41">
        <f t="shared" si="3954"/>
        <v>14426</v>
      </c>
      <c r="AI379" s="41">
        <f t="shared" ref="AI379:AJ379" si="3955">(AI296+AI318)*AI239/AI$5</f>
        <v>14694</v>
      </c>
      <c r="AJ379" s="41">
        <f t="shared" si="3955"/>
        <v>14849</v>
      </c>
      <c r="AK379" s="41">
        <f t="shared" ref="AK379:AL379" si="3956">(AK296+AK318)*AK239/AK$5</f>
        <v>15478.000000000002</v>
      </c>
      <c r="AL379" s="41">
        <f t="shared" si="3956"/>
        <v>15971</v>
      </c>
      <c r="AM379" s="41">
        <f t="shared" ref="AM379:AN379" si="3957">(AM296+AM318)*AM239/AM$5</f>
        <v>15107</v>
      </c>
      <c r="AN379" s="41">
        <f t="shared" si="3957"/>
        <v>13800</v>
      </c>
      <c r="AO379" s="41">
        <f t="shared" ref="AO379" si="3958">(AO296+AO318)*AO239/AO$5</f>
        <v>10626</v>
      </c>
      <c r="AP379" s="41">
        <f t="shared" ref="AP379:AQ379" si="3959">(AP296+AP318)*AP239/AP$5</f>
        <v>9879</v>
      </c>
      <c r="AQ379" s="41">
        <f t="shared" si="3959"/>
        <v>9650</v>
      </c>
      <c r="AR379" s="41">
        <f t="shared" ref="AR379:AS379" si="3960">(AR296+AR318)*AR239/AR$5</f>
        <v>9707</v>
      </c>
      <c r="AS379" s="41">
        <f t="shared" si="3960"/>
        <v>13902</v>
      </c>
      <c r="AT379" s="41">
        <f t="shared" ref="AT379:AU379" si="3961">(AT296+AT318)*AT239/AT$5</f>
        <v>22830</v>
      </c>
      <c r="AU379" s="41">
        <f t="shared" si="3961"/>
        <v>27072</v>
      </c>
      <c r="AV379" s="41">
        <f t="shared" ref="AV379:AW379" si="3962">(AV296+AV318)*AV239/AV$5</f>
        <v>29811</v>
      </c>
      <c r="AW379" s="41">
        <f t="shared" si="3962"/>
        <v>30828</v>
      </c>
      <c r="AX379" s="41">
        <f t="shared" ref="AX379" si="3963">(AX296+AX318)*AX239/AX$5</f>
        <v>32734</v>
      </c>
      <c r="AY379" s="211">
        <f t="shared" ref="AY379" si="3964">(AY296+AY80)*AY239/AY$5</f>
        <v>31189</v>
      </c>
      <c r="AZ379" s="41">
        <f t="shared" ref="AZ379:BQ379" si="3965">(AZ296+AZ80)*AZ239/AZ$5</f>
        <v>32407.351549588209</v>
      </c>
      <c r="BA379" s="41">
        <f t="shared" si="3965"/>
        <v>35723.478665056893</v>
      </c>
      <c r="BB379" s="41">
        <f t="shared" si="3965"/>
        <v>35614.137110144628</v>
      </c>
      <c r="BC379" s="41">
        <f t="shared" si="3965"/>
        <v>33938.077387252277</v>
      </c>
      <c r="BD379" s="41">
        <f t="shared" si="3965"/>
        <v>34347.831510416217</v>
      </c>
      <c r="BE379" s="41">
        <f t="shared" si="3965"/>
        <v>34851.161267817421</v>
      </c>
      <c r="BF379" s="41">
        <f t="shared" si="3965"/>
        <v>35278.725290171024</v>
      </c>
      <c r="BG379" s="41">
        <f t="shared" si="3965"/>
        <v>35972.805971649133</v>
      </c>
      <c r="BH379" s="41">
        <f t="shared" si="3965"/>
        <v>36331.85070113634</v>
      </c>
      <c r="BI379" s="41">
        <f t="shared" si="3965"/>
        <v>37139.96465239855</v>
      </c>
      <c r="BJ379" s="41">
        <f t="shared" si="3965"/>
        <v>37548.90096493985</v>
      </c>
      <c r="BK379" s="41">
        <f t="shared" si="3965"/>
        <v>38397.108537058099</v>
      </c>
      <c r="BL379" s="41">
        <f t="shared" si="3965"/>
        <v>38930.953365980495</v>
      </c>
      <c r="BM379" s="41">
        <f t="shared" si="3965"/>
        <v>39581.391857387753</v>
      </c>
      <c r="BN379" s="41">
        <f t="shared" si="3965"/>
        <v>40155.637195409581</v>
      </c>
      <c r="BO379" s="41">
        <f t="shared" si="3965"/>
        <v>41097.346021095073</v>
      </c>
      <c r="BP379" s="41">
        <f t="shared" si="3965"/>
        <v>41621.06778322687</v>
      </c>
      <c r="BQ379" s="41">
        <f t="shared" si="3965"/>
        <v>42634.728938718967</v>
      </c>
      <c r="BR379" s="41"/>
      <c r="BS379" s="41">
        <f t="shared" ref="BS379:CB379" si="3966">(BS296+BS318)*BS239/BS$5</f>
        <v>6981.4000000000005</v>
      </c>
      <c r="BT379" s="41">
        <f t="shared" si="3966"/>
        <v>6981.4</v>
      </c>
      <c r="BU379" s="41">
        <f t="shared" si="3966"/>
        <v>6527</v>
      </c>
      <c r="BV379" s="41">
        <f t="shared" si="3966"/>
        <v>8338</v>
      </c>
      <c r="BW379" s="41">
        <f t="shared" si="3966"/>
        <v>9310</v>
      </c>
      <c r="BX379" s="41">
        <f t="shared" si="3966"/>
        <v>9462</v>
      </c>
      <c r="BY379" s="41">
        <f t="shared" si="3966"/>
        <v>9506</v>
      </c>
      <c r="BZ379" s="41">
        <f t="shared" si="3966"/>
        <v>8700</v>
      </c>
      <c r="CA379" s="41">
        <f t="shared" si="3966"/>
        <v>10267</v>
      </c>
      <c r="CB379" s="41">
        <f t="shared" si="3966"/>
        <v>10274</v>
      </c>
      <c r="CC379" s="41">
        <f t="shared" ref="CC379:CC387" si="3967">SUM(D379:E379)</f>
        <v>9059</v>
      </c>
      <c r="CD379" s="41">
        <f t="shared" ref="CD379:CD387" si="3968">SUM(F379:G379)</f>
        <v>10238</v>
      </c>
      <c r="CE379" s="41">
        <f t="shared" ref="CE379:CE387" si="3969">SUM(H379:I379)</f>
        <v>14147.999999999998</v>
      </c>
      <c r="CF379" s="41">
        <f>SUM(J379:K379)</f>
        <v>19099</v>
      </c>
      <c r="CG379" s="41">
        <f t="shared" ref="CG379:CG387" si="3970">SUM(L379:M379)</f>
        <v>22301</v>
      </c>
      <c r="CH379" s="41">
        <f t="shared" ref="CH379:CH387" si="3971">SUM(N379:O379)</f>
        <v>26210</v>
      </c>
      <c r="CI379" s="41">
        <f t="shared" ref="CI379:CI387" si="3972">SUM(P379:Q379)</f>
        <v>32604</v>
      </c>
      <c r="CJ379" s="41">
        <f t="shared" ref="CJ379:CJ387" si="3973">SUM(R379:S379)</f>
        <v>26206</v>
      </c>
      <c r="CK379" s="41">
        <f>SUM(T379:U379)</f>
        <v>26608</v>
      </c>
      <c r="CL379" s="41">
        <f t="shared" ref="CL379:CL387" si="3974">SUM(V379:W379)</f>
        <v>30368</v>
      </c>
      <c r="CM379" s="41">
        <f t="shared" ref="CM379:CM387" si="3975">SUM(X379:Y379)</f>
        <v>30538</v>
      </c>
      <c r="CN379" s="41">
        <f t="shared" ref="CN379:CN387" si="3976">SUM(Z379:AA379)</f>
        <v>28627</v>
      </c>
      <c r="CO379" s="41">
        <f t="shared" ref="CO379:CO387" si="3977">SUM(AB379:AC379)</f>
        <v>29524</v>
      </c>
      <c r="CP379" s="41">
        <f t="shared" ref="CP379:CP388" si="3978">SUM(AD379:AE379)</f>
        <v>30526</v>
      </c>
      <c r="CQ379" s="41">
        <f t="shared" ref="CQ379:CQ388" si="3979">SUM(AF379:AG379)</f>
        <v>29951</v>
      </c>
      <c r="CR379" s="41">
        <f t="shared" ref="CR379:CR388" si="3980">SUM(AH379:AI379)</f>
        <v>29120</v>
      </c>
      <c r="CS379" s="41">
        <f t="shared" ref="CS379:CS388" si="3981">SUM(AJ379:AK379)</f>
        <v>30327</v>
      </c>
      <c r="CT379" s="41">
        <f t="shared" ref="CT379:CT388" si="3982">SUM(AL379:AM379)</f>
        <v>31078</v>
      </c>
      <c r="CU379" s="41">
        <f t="shared" ref="CU379:CU388" si="3983">SUM(AN379:AO379)</f>
        <v>24426</v>
      </c>
      <c r="CV379" s="41">
        <f t="shared" ref="CV379:CV388" si="3984">SUM(AP379:AQ379)</f>
        <v>19529</v>
      </c>
      <c r="CW379" s="41">
        <f t="shared" ref="CW379:CW388" si="3985">SUM(AR379:AS379)</f>
        <v>23609</v>
      </c>
      <c r="CX379" s="41">
        <f t="shared" ref="CX379:CX388" si="3986">SUM(AT379:AU379)</f>
        <v>49902</v>
      </c>
      <c r="CY379" s="41">
        <f t="shared" ref="CY379:CY388" si="3987">SUM(AV379:AW379)</f>
        <v>60639</v>
      </c>
      <c r="CZ379" s="211">
        <f t="shared" ref="CZ379:CZ388" si="3988">SUM(AX379:AY379)</f>
        <v>63923</v>
      </c>
      <c r="DA379" s="41">
        <f t="shared" ref="DA379:DA388" si="3989">SUM(AZ379:BA379)</f>
        <v>68130.830214645102</v>
      </c>
      <c r="DB379" s="41">
        <f t="shared" ref="DB379:DB388" si="3990">SUM(BB379:BC379)</f>
        <v>69552.214497396897</v>
      </c>
      <c r="DC379" s="41">
        <f t="shared" ref="DC379:DC388" si="3991">SUM(BD379:BE379)</f>
        <v>69198.992778233631</v>
      </c>
      <c r="DD379" s="41">
        <f t="shared" ref="DD379:DD388" si="3992">SUM(BF379:BG379)</f>
        <v>71251.531261820157</v>
      </c>
      <c r="DE379" s="41">
        <f t="shared" ref="DE379:DE388" si="3993">SUM(BH379:BI379)</f>
        <v>73471.815353534883</v>
      </c>
      <c r="DF379" s="41">
        <f t="shared" ref="DF379:DF388" si="3994">SUM(BJ379:BK379)</f>
        <v>75946.009501997949</v>
      </c>
      <c r="DG379" s="41">
        <f t="shared" ref="DG379:DG388" si="3995">SUM(BL379:BM379)</f>
        <v>78512.345223368247</v>
      </c>
      <c r="DH379" s="41">
        <f t="shared" ref="DH379:DH388" si="3996">SUM(BN379:BO379)</f>
        <v>81252.983216504654</v>
      </c>
      <c r="DI379" s="41">
        <f t="shared" ref="DI379:DI388" si="3997">SUM(BP379:BQ379)</f>
        <v>84255.796721945837</v>
      </c>
    </row>
    <row r="380" spans="1:113" ht="12" outlineLevel="1">
      <c r="A380" s="1" t="s">
        <v>239</v>
      </c>
      <c r="B380" s="15" t="s">
        <v>484</v>
      </c>
      <c r="C380" s="41">
        <f>-(C318-(C316*C259+C317*C260)/(C259+C260))*(C259+C260)/C$5</f>
        <v>-2889</v>
      </c>
      <c r="D380" s="41">
        <f>-(D318-(D316*D259+D317*D260)/(D259+D260))*(D259+D260)/D$5</f>
        <v>-2432</v>
      </c>
      <c r="E380" s="41">
        <f>-(E318-(E316*E259+E317*E260)/(E259+E260))*(E259+E260)/E$5</f>
        <v>-2608.9999999999995</v>
      </c>
      <c r="F380" s="41">
        <f t="shared" ref="F380:L380" si="3998">-(F318-(F316*F259+F317*F260)/(F259+F260))*(F259+F260)/F$5</f>
        <v>-2881</v>
      </c>
      <c r="G380" s="41">
        <f t="shared" si="3998"/>
        <v>-3046</v>
      </c>
      <c r="H380" s="41">
        <f t="shared" si="3998"/>
        <v>-4049.9999999999986</v>
      </c>
      <c r="I380" s="41">
        <f t="shared" si="3998"/>
        <v>-4846</v>
      </c>
      <c r="J380" s="41">
        <f t="shared" si="3998"/>
        <v>-5958</v>
      </c>
      <c r="K380" s="41">
        <f t="shared" si="3998"/>
        <v>-6770</v>
      </c>
      <c r="L380" s="41">
        <f t="shared" si="3998"/>
        <v>-7409</v>
      </c>
      <c r="M380" s="41">
        <f t="shared" ref="M380:X380" si="3999">-(M318-(M316*M259+M317*M260)/(M259+M260))*(M259+M260)/M$5</f>
        <v>-7949</v>
      </c>
      <c r="N380" s="41">
        <f t="shared" si="3999"/>
        <v>-8907.0000000000018</v>
      </c>
      <c r="O380" s="41">
        <f t="shared" si="3999"/>
        <v>-10001</v>
      </c>
      <c r="P380" s="41">
        <f t="shared" si="3999"/>
        <v>-11832</v>
      </c>
      <c r="Q380" s="41">
        <f t="shared" si="3999"/>
        <v>-12922.000000000002</v>
      </c>
      <c r="R380" s="41">
        <f t="shared" si="3999"/>
        <v>-9878.9999999999982</v>
      </c>
      <c r="S380" s="41">
        <f t="shared" si="3999"/>
        <v>-6437</v>
      </c>
      <c r="T380" s="41">
        <f t="shared" si="3999"/>
        <v>-7115.9999999999991</v>
      </c>
      <c r="U380" s="41">
        <f t="shared" si="3999"/>
        <v>-8619.9999999999982</v>
      </c>
      <c r="V380" s="41">
        <f t="shared" si="3999"/>
        <v>-9292.9999999999982</v>
      </c>
      <c r="W380" s="41">
        <f t="shared" si="3999"/>
        <v>-9575.0000000000036</v>
      </c>
      <c r="X380" s="41">
        <f t="shared" si="3999"/>
        <v>-9456</v>
      </c>
      <c r="Y380" s="41">
        <f t="shared" ref="Y380:AD380" si="4000">-(Y318-(Y316*Y259+Y317*Y260)/(Y259+Y260))*(Y259+Y260)/Y$5</f>
        <v>-8972</v>
      </c>
      <c r="Z380" s="41">
        <f t="shared" si="4000"/>
        <v>-8090</v>
      </c>
      <c r="AA380" s="41">
        <f t="shared" si="4000"/>
        <v>-7765.0000000000009</v>
      </c>
      <c r="AB380" s="41">
        <f t="shared" si="4000"/>
        <v>-7666</v>
      </c>
      <c r="AC380" s="41">
        <f t="shared" si="4000"/>
        <v>-8060.9999999999991</v>
      </c>
      <c r="AD380" s="41">
        <f t="shared" si="4000"/>
        <v>-8256</v>
      </c>
      <c r="AE380" s="41">
        <f t="shared" ref="AE380:AF380" si="4001">-(AE318-(AE316*AE259+AE317*AE260)/(AE259+AE260))*(AE259+AE260)/AE$5</f>
        <v>-7654.0000000000009</v>
      </c>
      <c r="AF380" s="41">
        <f t="shared" si="4001"/>
        <v>-7521.9999999999982</v>
      </c>
      <c r="AG380" s="41">
        <f t="shared" ref="AG380:AL380" si="4002">-(AG318-(AG316*AG259+AG317*AG260)/(AG259+AG260))*(AG259+AG260)/AG$5</f>
        <v>-7334.0000000000018</v>
      </c>
      <c r="AH380" s="41">
        <f t="shared" si="4002"/>
        <v>-7007</v>
      </c>
      <c r="AI380" s="41">
        <f t="shared" si="4002"/>
        <v>-7238</v>
      </c>
      <c r="AJ380" s="41">
        <f t="shared" si="4002"/>
        <v>-7499</v>
      </c>
      <c r="AK380" s="41">
        <f t="shared" si="4002"/>
        <v>-8314.0000000000018</v>
      </c>
      <c r="AL380" s="41">
        <f t="shared" si="4002"/>
        <v>-8672</v>
      </c>
      <c r="AM380" s="41">
        <f t="shared" ref="AM380:AN380" si="4003">-(AM318-(AM316*AM259+AM317*AM260)/(AM259+AM260))*(AM259+AM260)/AM$5</f>
        <v>-8067</v>
      </c>
      <c r="AN380" s="41">
        <f t="shared" si="4003"/>
        <v>-6578</v>
      </c>
      <c r="AO380" s="41">
        <f t="shared" ref="AO380" si="4004">-(AO318-(AO316*AO259+AO317*AO260)/(AO259+AO260))*(AO259+AO260)/AO$5</f>
        <v>-3798.9999999999995</v>
      </c>
      <c r="AP380" s="41">
        <f t="shared" ref="AP380:AQ380" si="4005">-(AP318-(AP316*AP259+AP317*AP260)/(AP259+AP260))*(AP259+AP260)/AP$5</f>
        <v>-2893.0000000000005</v>
      </c>
      <c r="AQ380" s="41">
        <f t="shared" si="4005"/>
        <v>-2474.9999999999995</v>
      </c>
      <c r="AR380" s="41">
        <f t="shared" ref="AR380:AS380" si="4006">-(AR318-(AR316*AR259+AR317*AR260)/(AR259+AR260))*(AR259+AR260)/AR$5</f>
        <v>-2607</v>
      </c>
      <c r="AS380" s="41">
        <f t="shared" si="4006"/>
        <v>-6127.9999999999991</v>
      </c>
      <c r="AT380" s="41">
        <f t="shared" ref="AT380:AU380" si="4007">-(AT318-(AT316*AT259+AT317*AT260)/(AT259+AT260))*(AT259+AT260)/AT$5</f>
        <v>-14329.999999999998</v>
      </c>
      <c r="AU380" s="41">
        <f t="shared" si="4007"/>
        <v>-18997.999999999996</v>
      </c>
      <c r="AV380" s="41">
        <f t="shared" ref="AV380:AW380" si="4008">-(AV318-(AV316*AV259+AV317*AV260)/(AV259+AV260))*(AV259+AV260)/AV$5</f>
        <v>-21912</v>
      </c>
      <c r="AW380" s="41">
        <f t="shared" si="4008"/>
        <v>-22658</v>
      </c>
      <c r="AX380" s="41">
        <f>-(AX80-(AX316*AX259+AX317*AX260)/(AX259+AX260))*(AX259+AX260)/AX$5</f>
        <v>-23864.999999999996</v>
      </c>
      <c r="AY380" s="211">
        <f t="shared" ref="AY380" si="4009">AY381-AY379</f>
        <v>-22097</v>
      </c>
      <c r="AZ380" s="41">
        <f t="shared" ref="AZ380:BQ380" si="4010">AZ381-AZ379</f>
        <v>-23136.133412642404</v>
      </c>
      <c r="BA380" s="41">
        <f t="shared" si="4010"/>
        <v>-26199.661553090587</v>
      </c>
      <c r="BB380" s="41">
        <f t="shared" si="4010"/>
        <v>-26087.761716073663</v>
      </c>
      <c r="BC380" s="41">
        <f t="shared" si="4010"/>
        <v>-24277.394585089663</v>
      </c>
      <c r="BD380" s="41">
        <f t="shared" si="4010"/>
        <v>-24587.477937730211</v>
      </c>
      <c r="BE380" s="41">
        <f t="shared" si="4010"/>
        <v>-24958.930120507688</v>
      </c>
      <c r="BF380" s="41">
        <f t="shared" si="4010"/>
        <v>-25275.353785294195</v>
      </c>
      <c r="BG380" s="41">
        <f t="shared" si="4010"/>
        <v>-25787.648618483712</v>
      </c>
      <c r="BH380" s="41">
        <f t="shared" si="4010"/>
        <v>-26092.958205362862</v>
      </c>
      <c r="BI380" s="41">
        <f t="shared" si="4010"/>
        <v>-26711.84606154338</v>
      </c>
      <c r="BJ380" s="41">
        <f t="shared" si="4010"/>
        <v>-27056.433124602525</v>
      </c>
      <c r="BK380" s="41">
        <f t="shared" si="4010"/>
        <v>-27719.426859326253</v>
      </c>
      <c r="BL380" s="41">
        <f t="shared" si="4010"/>
        <v>-28157.539302777652</v>
      </c>
      <c r="BM380" s="41">
        <f t="shared" si="4010"/>
        <v>-28681.785590776053</v>
      </c>
      <c r="BN380" s="41">
        <f t="shared" si="4010"/>
        <v>-29152.6905093229</v>
      </c>
      <c r="BO380" s="41">
        <f t="shared" si="4010"/>
        <v>-29892.651186702627</v>
      </c>
      <c r="BP380" s="41">
        <f t="shared" si="4010"/>
        <v>-30330.806472557822</v>
      </c>
      <c r="BQ380" s="41">
        <f t="shared" si="4010"/>
        <v>-31128.334213669936</v>
      </c>
      <c r="BR380" s="41"/>
      <c r="BS380" s="41">
        <f t="shared" ref="BS380:CB380" si="4011">-(BS318-(BS316*BS259+BS317*BS260)/(BS259+BS260))*(BS259+BS260)/BS$5</f>
        <v>-4543.6000000000004</v>
      </c>
      <c r="BT380" s="41">
        <f t="shared" si="4011"/>
        <v>-4438.3999999999996</v>
      </c>
      <c r="BU380" s="41">
        <f t="shared" si="4011"/>
        <v>-3733</v>
      </c>
      <c r="BV380" s="41">
        <f t="shared" si="4011"/>
        <v>-5254</v>
      </c>
      <c r="BW380" s="41">
        <f t="shared" si="4011"/>
        <v>-5983.0000000000009</v>
      </c>
      <c r="BX380" s="41">
        <f t="shared" si="4011"/>
        <v>-6025</v>
      </c>
      <c r="BY380" s="41">
        <f t="shared" si="4011"/>
        <v>-5959</v>
      </c>
      <c r="BZ380" s="41">
        <f t="shared" si="4011"/>
        <v>-5045</v>
      </c>
      <c r="CA380" s="41">
        <f t="shared" si="4011"/>
        <v>-6466</v>
      </c>
      <c r="CB380" s="41">
        <f t="shared" si="4011"/>
        <v>-6441</v>
      </c>
      <c r="CC380" s="41">
        <f t="shared" si="3967"/>
        <v>-5041</v>
      </c>
      <c r="CD380" s="41">
        <f t="shared" si="3968"/>
        <v>-5927</v>
      </c>
      <c r="CE380" s="41">
        <f t="shared" si="3969"/>
        <v>-8895.9999999999982</v>
      </c>
      <c r="CF380" s="41">
        <f>SUM(J380:K380)</f>
        <v>-12728</v>
      </c>
      <c r="CG380" s="41">
        <f t="shared" si="3970"/>
        <v>-15358</v>
      </c>
      <c r="CH380" s="41">
        <f t="shared" si="3971"/>
        <v>-18908</v>
      </c>
      <c r="CI380" s="41">
        <f t="shared" si="3972"/>
        <v>-24754</v>
      </c>
      <c r="CJ380" s="41">
        <f t="shared" si="3973"/>
        <v>-16315.999999999998</v>
      </c>
      <c r="CK380" s="41">
        <f t="shared" ref="CK380:CK387" si="4012">SUM(T380:U380)</f>
        <v>-15735.999999999996</v>
      </c>
      <c r="CL380" s="41">
        <f t="shared" si="3974"/>
        <v>-18868</v>
      </c>
      <c r="CM380" s="41">
        <f t="shared" si="3975"/>
        <v>-18428</v>
      </c>
      <c r="CN380" s="41">
        <f t="shared" si="3976"/>
        <v>-15855</v>
      </c>
      <c r="CO380" s="41">
        <f t="shared" si="3977"/>
        <v>-15727</v>
      </c>
      <c r="CP380" s="41">
        <f t="shared" si="3978"/>
        <v>-15910</v>
      </c>
      <c r="CQ380" s="41">
        <f t="shared" si="3979"/>
        <v>-14856</v>
      </c>
      <c r="CR380" s="41">
        <f t="shared" si="3980"/>
        <v>-14245</v>
      </c>
      <c r="CS380" s="41">
        <f t="shared" si="3981"/>
        <v>-15813.000000000002</v>
      </c>
      <c r="CT380" s="41">
        <f t="shared" si="3982"/>
        <v>-16739</v>
      </c>
      <c r="CU380" s="41">
        <f t="shared" si="3983"/>
        <v>-10377</v>
      </c>
      <c r="CV380" s="41">
        <f t="shared" si="3984"/>
        <v>-5368</v>
      </c>
      <c r="CW380" s="41">
        <f t="shared" si="3985"/>
        <v>-8735</v>
      </c>
      <c r="CX380" s="41">
        <f t="shared" si="3986"/>
        <v>-33327.999999999993</v>
      </c>
      <c r="CY380" s="41">
        <f t="shared" si="3987"/>
        <v>-44570</v>
      </c>
      <c r="CZ380" s="211">
        <f t="shared" si="3988"/>
        <v>-45962</v>
      </c>
      <c r="DA380" s="41">
        <f t="shared" si="3989"/>
        <v>-49335.794965732988</v>
      </c>
      <c r="DB380" s="41">
        <f t="shared" si="3990"/>
        <v>-50365.156301163326</v>
      </c>
      <c r="DC380" s="41">
        <f t="shared" si="3991"/>
        <v>-49546.408058237896</v>
      </c>
      <c r="DD380" s="41">
        <f t="shared" si="3992"/>
        <v>-51063.002403777908</v>
      </c>
      <c r="DE380" s="41">
        <f t="shared" si="3993"/>
        <v>-52804.804266906242</v>
      </c>
      <c r="DF380" s="41">
        <f t="shared" si="3994"/>
        <v>-54775.859983928778</v>
      </c>
      <c r="DG380" s="41">
        <f t="shared" si="3995"/>
        <v>-56839.324893553705</v>
      </c>
      <c r="DH380" s="41">
        <f t="shared" si="3996"/>
        <v>-59045.341696025527</v>
      </c>
      <c r="DI380" s="41">
        <f t="shared" si="3997"/>
        <v>-61459.140686227758</v>
      </c>
    </row>
    <row r="381" spans="1:113" s="17" customFormat="1" ht="12" outlineLevel="1">
      <c r="A381" s="1" t="s">
        <v>240</v>
      </c>
      <c r="B381" s="17" t="s">
        <v>485</v>
      </c>
      <c r="C381" s="62">
        <f>C387-SUM(C382:C386)</f>
        <v>1954</v>
      </c>
      <c r="D381" s="62">
        <f>D387-SUM(D382:D386)</f>
        <v>1965</v>
      </c>
      <c r="E381" s="62">
        <f>E387-SUM(E382:E386)</f>
        <v>2053</v>
      </c>
      <c r="F381" s="62">
        <f>F387-SUM(F382:F386)</f>
        <v>2140</v>
      </c>
      <c r="G381" s="62">
        <f>G387-SUM(G382:G386)</f>
        <v>2171</v>
      </c>
      <c r="H381" s="62">
        <f t="shared" ref="H381:L381" si="4013">H387-SUM(H382:H386)</f>
        <v>2507</v>
      </c>
      <c r="I381" s="62">
        <f t="shared" si="4013"/>
        <v>2745</v>
      </c>
      <c r="J381" s="62">
        <f t="shared" si="4013"/>
        <v>3140</v>
      </c>
      <c r="K381" s="62">
        <f t="shared" si="4013"/>
        <v>3231</v>
      </c>
      <c r="L381" s="62">
        <f t="shared" si="4013"/>
        <v>3368</v>
      </c>
      <c r="M381" s="62">
        <f t="shared" ref="M381:T381" si="4014">M387-SUM(M382:M386)</f>
        <v>3575</v>
      </c>
      <c r="N381" s="62">
        <f t="shared" si="4014"/>
        <v>3611</v>
      </c>
      <c r="O381" s="62">
        <f t="shared" si="4014"/>
        <v>3691</v>
      </c>
      <c r="P381" s="62">
        <f t="shared" si="4014"/>
        <v>3780</v>
      </c>
      <c r="Q381" s="62">
        <f t="shared" si="4014"/>
        <v>4070</v>
      </c>
      <c r="R381" s="62">
        <f t="shared" si="4014"/>
        <v>4821</v>
      </c>
      <c r="S381" s="62">
        <f t="shared" si="4014"/>
        <v>5069</v>
      </c>
      <c r="T381" s="62">
        <f t="shared" si="4014"/>
        <v>5240</v>
      </c>
      <c r="U381" s="62">
        <f t="shared" ref="U381:AA381" si="4015">U387-SUM(U382:U386)</f>
        <v>5632</v>
      </c>
      <c r="V381" s="62">
        <f t="shared" si="4015"/>
        <v>5652</v>
      </c>
      <c r="W381" s="62">
        <f t="shared" si="4015"/>
        <v>5848</v>
      </c>
      <c r="X381" s="62">
        <f t="shared" si="4015"/>
        <v>5984</v>
      </c>
      <c r="Y381" s="62">
        <f t="shared" si="4015"/>
        <v>6126</v>
      </c>
      <c r="Z381" s="62">
        <f t="shared" si="4015"/>
        <v>6236</v>
      </c>
      <c r="AA381" s="62">
        <f t="shared" si="4015"/>
        <v>6536</v>
      </c>
      <c r="AB381" s="62">
        <f t="shared" ref="AB381" si="4016">AB387-SUM(AB382:AB386)</f>
        <v>6764</v>
      </c>
      <c r="AC381" s="62">
        <f t="shared" ref="AC381:AD381" si="4017">AC387-SUM(AC382:AC386)</f>
        <v>7033</v>
      </c>
      <c r="AD381" s="62">
        <f t="shared" si="4017"/>
        <v>7138</v>
      </c>
      <c r="AE381" s="62">
        <f t="shared" ref="AE381:AF381" si="4018">AE387-SUM(AE382:AE386)</f>
        <v>7478</v>
      </c>
      <c r="AF381" s="62">
        <f t="shared" si="4018"/>
        <v>7568</v>
      </c>
      <c r="AG381" s="62">
        <f t="shared" ref="AG381:AH381" si="4019">AG387-SUM(AG382:AG386)</f>
        <v>7527</v>
      </c>
      <c r="AH381" s="62">
        <f t="shared" si="4019"/>
        <v>7419</v>
      </c>
      <c r="AI381" s="62">
        <f t="shared" ref="AI381:AJ381" si="4020">AI387-SUM(AI382:AI386)</f>
        <v>7456</v>
      </c>
      <c r="AJ381" s="62">
        <f t="shared" si="4020"/>
        <v>7350</v>
      </c>
      <c r="AK381" s="62">
        <f t="shared" ref="AK381:AL381" si="4021">AK387-SUM(AK382:AK386)</f>
        <v>7164</v>
      </c>
      <c r="AL381" s="62">
        <f t="shared" si="4021"/>
        <v>7299</v>
      </c>
      <c r="AM381" s="62">
        <f t="shared" ref="AM381:AN381" si="4022">AM387-SUM(AM382:AM386)</f>
        <v>7040</v>
      </c>
      <c r="AN381" s="62">
        <f t="shared" si="4022"/>
        <v>7222</v>
      </c>
      <c r="AO381" s="62">
        <f t="shared" ref="AO381" si="4023">AO387-SUM(AO382:AO386)</f>
        <v>6827</v>
      </c>
      <c r="AP381" s="62">
        <f t="shared" ref="AP381:AQ381" si="4024">AP387-SUM(AP382:AP386)</f>
        <v>6986</v>
      </c>
      <c r="AQ381" s="62">
        <f t="shared" si="4024"/>
        <v>7175</v>
      </c>
      <c r="AR381" s="62">
        <f t="shared" ref="AR381:AS381" si="4025">AR387-SUM(AR382:AR386)</f>
        <v>7100</v>
      </c>
      <c r="AS381" s="62">
        <f t="shared" si="4025"/>
        <v>7774</v>
      </c>
      <c r="AT381" s="62">
        <f t="shared" ref="AT381:AU381" si="4026">AT387-SUM(AT382:AT386)</f>
        <v>8500</v>
      </c>
      <c r="AU381" s="62">
        <f t="shared" si="4026"/>
        <v>8074</v>
      </c>
      <c r="AV381" s="62">
        <f t="shared" ref="AV381:AW381" si="4027">AV387-SUM(AV382:AV386)</f>
        <v>7899</v>
      </c>
      <c r="AW381" s="62">
        <f t="shared" si="4027"/>
        <v>8170</v>
      </c>
      <c r="AX381" s="62">
        <f t="shared" ref="AX381:AY381" si="4028">AX387-SUM(AX382:AX386)</f>
        <v>8869</v>
      </c>
      <c r="AY381" s="220">
        <f t="shared" si="4028"/>
        <v>9092</v>
      </c>
      <c r="AZ381" s="62">
        <f t="shared" ref="AZ381:BQ381" si="4029">AZ$323*AZ$239/AZ$5</f>
        <v>9271.2181369458049</v>
      </c>
      <c r="BA381" s="62">
        <f t="shared" si="4029"/>
        <v>9523.8171119663057</v>
      </c>
      <c r="BB381" s="62">
        <f t="shared" si="4029"/>
        <v>9526.3753940709648</v>
      </c>
      <c r="BC381" s="62">
        <f t="shared" si="4029"/>
        <v>9660.6828021626116</v>
      </c>
      <c r="BD381" s="62">
        <f t="shared" si="4029"/>
        <v>9760.3535726860082</v>
      </c>
      <c r="BE381" s="62">
        <f t="shared" si="4029"/>
        <v>9892.2311473097325</v>
      </c>
      <c r="BF381" s="62">
        <f t="shared" si="4029"/>
        <v>10003.37150487683</v>
      </c>
      <c r="BG381" s="62">
        <f t="shared" si="4029"/>
        <v>10185.157353165423</v>
      </c>
      <c r="BH381" s="62">
        <f t="shared" si="4029"/>
        <v>10238.892495773478</v>
      </c>
      <c r="BI381" s="62">
        <f t="shared" si="4029"/>
        <v>10428.118590855171</v>
      </c>
      <c r="BJ381" s="62">
        <f t="shared" si="4029"/>
        <v>10492.467840337327</v>
      </c>
      <c r="BK381" s="62">
        <f t="shared" si="4029"/>
        <v>10677.681677731845</v>
      </c>
      <c r="BL381" s="62">
        <f t="shared" si="4029"/>
        <v>10773.414063202845</v>
      </c>
      <c r="BM381" s="62">
        <f t="shared" si="4029"/>
        <v>10899.606266611698</v>
      </c>
      <c r="BN381" s="62">
        <f t="shared" si="4029"/>
        <v>11002.946686086683</v>
      </c>
      <c r="BO381" s="62">
        <f t="shared" si="4029"/>
        <v>11204.694834392447</v>
      </c>
      <c r="BP381" s="62">
        <f t="shared" si="4029"/>
        <v>11290.261310669048</v>
      </c>
      <c r="BQ381" s="62">
        <f t="shared" si="4029"/>
        <v>11506.394725049029</v>
      </c>
      <c r="BR381" s="62"/>
      <c r="BS381" s="62">
        <f t="shared" ref="BS381:CB381" si="4030">BS387-SUM(BS382:BS386)</f>
        <v>2437.8000000000002</v>
      </c>
      <c r="BT381" s="62">
        <f t="shared" si="4030"/>
        <v>2543</v>
      </c>
      <c r="BU381" s="62">
        <f t="shared" si="4030"/>
        <v>2794</v>
      </c>
      <c r="BV381" s="62">
        <f t="shared" si="4030"/>
        <v>3084</v>
      </c>
      <c r="BW381" s="62">
        <f t="shared" si="4030"/>
        <v>3327</v>
      </c>
      <c r="BX381" s="62">
        <f t="shared" si="4030"/>
        <v>3437</v>
      </c>
      <c r="BY381" s="62">
        <f t="shared" si="4030"/>
        <v>3547</v>
      </c>
      <c r="BZ381" s="62">
        <f t="shared" si="4030"/>
        <v>3655</v>
      </c>
      <c r="CA381" s="62">
        <f t="shared" si="4030"/>
        <v>3801</v>
      </c>
      <c r="CB381" s="62">
        <f t="shared" si="4030"/>
        <v>3833</v>
      </c>
      <c r="CC381" s="62">
        <f t="shared" si="3967"/>
        <v>4018</v>
      </c>
      <c r="CD381" s="62">
        <f t="shared" si="3968"/>
        <v>4311</v>
      </c>
      <c r="CE381" s="62">
        <f t="shared" si="3969"/>
        <v>5252</v>
      </c>
      <c r="CF381" s="62">
        <f>SUM(J381:K381)</f>
        <v>6371</v>
      </c>
      <c r="CG381" s="62">
        <f t="shared" si="3970"/>
        <v>6943</v>
      </c>
      <c r="CH381" s="62">
        <f t="shared" si="3971"/>
        <v>7302</v>
      </c>
      <c r="CI381" s="62">
        <f t="shared" si="3972"/>
        <v>7850</v>
      </c>
      <c r="CJ381" s="62">
        <f t="shared" si="3973"/>
        <v>9890</v>
      </c>
      <c r="CK381" s="62">
        <f t="shared" si="4012"/>
        <v>10872</v>
      </c>
      <c r="CL381" s="62">
        <f t="shared" si="3974"/>
        <v>11500</v>
      </c>
      <c r="CM381" s="62">
        <f t="shared" si="3975"/>
        <v>12110</v>
      </c>
      <c r="CN381" s="62">
        <f t="shared" si="3976"/>
        <v>12772</v>
      </c>
      <c r="CO381" s="62">
        <f t="shared" si="3977"/>
        <v>13797</v>
      </c>
      <c r="CP381" s="62">
        <f t="shared" si="3978"/>
        <v>14616</v>
      </c>
      <c r="CQ381" s="62">
        <f t="shared" si="3979"/>
        <v>15095</v>
      </c>
      <c r="CR381" s="62">
        <f t="shared" si="3980"/>
        <v>14875</v>
      </c>
      <c r="CS381" s="62">
        <f t="shared" si="3981"/>
        <v>14514</v>
      </c>
      <c r="CT381" s="62">
        <f t="shared" si="3982"/>
        <v>14339</v>
      </c>
      <c r="CU381" s="62">
        <f t="shared" si="3983"/>
        <v>14049</v>
      </c>
      <c r="CV381" s="62">
        <f t="shared" si="3984"/>
        <v>14161</v>
      </c>
      <c r="CW381" s="62">
        <f t="shared" si="3985"/>
        <v>14874</v>
      </c>
      <c r="CX381" s="62">
        <f t="shared" si="3986"/>
        <v>16574</v>
      </c>
      <c r="CY381" s="62">
        <f t="shared" si="3987"/>
        <v>16069</v>
      </c>
      <c r="CZ381" s="220">
        <f t="shared" si="3988"/>
        <v>17961</v>
      </c>
      <c r="DA381" s="62">
        <f t="shared" si="3989"/>
        <v>18795.035248912111</v>
      </c>
      <c r="DB381" s="62">
        <f t="shared" si="3990"/>
        <v>19187.058196233578</v>
      </c>
      <c r="DC381" s="62">
        <f t="shared" si="3991"/>
        <v>19652.584719995742</v>
      </c>
      <c r="DD381" s="62">
        <f t="shared" si="3992"/>
        <v>20188.528858042253</v>
      </c>
      <c r="DE381" s="62">
        <f t="shared" si="3993"/>
        <v>20667.011086628649</v>
      </c>
      <c r="DF381" s="62">
        <f t="shared" si="3994"/>
        <v>21170.149518069171</v>
      </c>
      <c r="DG381" s="62">
        <f t="shared" si="3995"/>
        <v>21673.020329814542</v>
      </c>
      <c r="DH381" s="62">
        <f t="shared" si="3996"/>
        <v>22207.64152047913</v>
      </c>
      <c r="DI381" s="62">
        <f t="shared" si="3997"/>
        <v>22796.656035718079</v>
      </c>
    </row>
    <row r="382" spans="1:113" ht="12" outlineLevel="2">
      <c r="A382" s="1" t="s">
        <v>931</v>
      </c>
      <c r="B382" s="15" t="s">
        <v>447</v>
      </c>
      <c r="C382" s="40">
        <v>0</v>
      </c>
      <c r="D382" s="40">
        <v>0</v>
      </c>
      <c r="E382" s="40">
        <v>0</v>
      </c>
      <c r="F382" s="40">
        <v>0</v>
      </c>
      <c r="G382" s="40">
        <v>0</v>
      </c>
      <c r="H382" s="40">
        <v>0</v>
      </c>
      <c r="I382" s="40">
        <v>0</v>
      </c>
      <c r="J382" s="40">
        <v>0</v>
      </c>
      <c r="K382" s="40">
        <v>0</v>
      </c>
      <c r="L382" s="40">
        <v>0</v>
      </c>
      <c r="M382" s="40">
        <v>0</v>
      </c>
      <c r="N382" s="40">
        <v>0</v>
      </c>
      <c r="O382" s="40">
        <v>0</v>
      </c>
      <c r="P382" s="40">
        <v>0</v>
      </c>
      <c r="Q382" s="40">
        <v>0</v>
      </c>
      <c r="R382" s="40">
        <v>0</v>
      </c>
      <c r="S382" s="40">
        <v>0</v>
      </c>
      <c r="T382" s="40">
        <v>0</v>
      </c>
      <c r="U382" s="40">
        <v>0</v>
      </c>
      <c r="V382" s="40">
        <v>0</v>
      </c>
      <c r="W382" s="40">
        <v>0</v>
      </c>
      <c r="X382" s="40">
        <v>0</v>
      </c>
      <c r="Y382" s="40">
        <v>0</v>
      </c>
      <c r="Z382" s="141">
        <v>0</v>
      </c>
      <c r="AA382" s="141">
        <v>0</v>
      </c>
      <c r="AB382" s="141">
        <v>0</v>
      </c>
      <c r="AC382" s="141">
        <v>0</v>
      </c>
      <c r="AD382" s="141">
        <v>0</v>
      </c>
      <c r="AE382" s="141">
        <v>0</v>
      </c>
      <c r="AF382" s="141">
        <v>0</v>
      </c>
      <c r="AG382" s="141">
        <v>0</v>
      </c>
      <c r="AH382" s="141">
        <v>0</v>
      </c>
      <c r="AI382" s="141">
        <v>0</v>
      </c>
      <c r="AJ382" s="141">
        <v>0</v>
      </c>
      <c r="AK382" s="141">
        <v>0</v>
      </c>
      <c r="AL382" s="141">
        <v>0</v>
      </c>
      <c r="AM382" s="141">
        <v>0</v>
      </c>
      <c r="AN382" s="141">
        <v>0</v>
      </c>
      <c r="AO382" s="141">
        <v>0</v>
      </c>
      <c r="AP382" s="141">
        <v>0</v>
      </c>
      <c r="AQ382" s="141">
        <v>0</v>
      </c>
      <c r="AR382" s="141">
        <v>0</v>
      </c>
      <c r="AS382" s="141">
        <v>0</v>
      </c>
      <c r="AT382" s="141">
        <v>0</v>
      </c>
      <c r="AU382" s="141">
        <v>0</v>
      </c>
      <c r="AV382" s="141">
        <v>0</v>
      </c>
      <c r="AW382" s="141">
        <v>0</v>
      </c>
      <c r="AX382" s="141">
        <v>0</v>
      </c>
      <c r="AY382" s="226">
        <v>0</v>
      </c>
      <c r="AZ382" s="210">
        <v>0</v>
      </c>
      <c r="BA382" s="210">
        <v>0</v>
      </c>
      <c r="BB382" s="210">
        <v>0</v>
      </c>
      <c r="BC382" s="210">
        <v>0</v>
      </c>
      <c r="BD382" s="210">
        <v>0</v>
      </c>
      <c r="BE382" s="210">
        <v>0</v>
      </c>
      <c r="BF382" s="210">
        <v>0</v>
      </c>
      <c r="BG382" s="210">
        <v>0</v>
      </c>
      <c r="BH382" s="210">
        <v>0</v>
      </c>
      <c r="BI382" s="210">
        <v>0</v>
      </c>
      <c r="BJ382" s="210">
        <v>0</v>
      </c>
      <c r="BK382" s="210">
        <v>0</v>
      </c>
      <c r="BL382" s="210">
        <v>0</v>
      </c>
      <c r="BM382" s="210">
        <v>0</v>
      </c>
      <c r="BN382" s="210">
        <v>0</v>
      </c>
      <c r="BO382" s="210">
        <v>0</v>
      </c>
      <c r="BP382" s="210">
        <v>0</v>
      </c>
      <c r="BQ382" s="210">
        <v>0</v>
      </c>
      <c r="BR382" s="41"/>
      <c r="BS382" s="40">
        <v>0</v>
      </c>
      <c r="BT382" s="40">
        <v>0</v>
      </c>
      <c r="BU382" s="40">
        <v>0</v>
      </c>
      <c r="BV382" s="40">
        <v>0</v>
      </c>
      <c r="BW382" s="40">
        <v>0</v>
      </c>
      <c r="BX382" s="40">
        <v>0</v>
      </c>
      <c r="BY382" s="40">
        <v>0</v>
      </c>
      <c r="BZ382" s="40">
        <v>0</v>
      </c>
      <c r="CA382" s="40">
        <v>0</v>
      </c>
      <c r="CB382" s="40">
        <v>0</v>
      </c>
      <c r="CC382" s="41">
        <f t="shared" si="3967"/>
        <v>0</v>
      </c>
      <c r="CD382" s="41">
        <f t="shared" si="3968"/>
        <v>0</v>
      </c>
      <c r="CE382" s="41">
        <f t="shared" si="3969"/>
        <v>0</v>
      </c>
      <c r="CF382" s="41">
        <f t="shared" ref="CF382:CF387" si="4031">SUM(J382:K382)</f>
        <v>0</v>
      </c>
      <c r="CG382" s="41">
        <f t="shared" si="3970"/>
        <v>0</v>
      </c>
      <c r="CH382" s="41">
        <f t="shared" si="3971"/>
        <v>0</v>
      </c>
      <c r="CI382" s="41">
        <f t="shared" si="3972"/>
        <v>0</v>
      </c>
      <c r="CJ382" s="41">
        <f t="shared" si="3973"/>
        <v>0</v>
      </c>
      <c r="CK382" s="41">
        <f t="shared" si="4012"/>
        <v>0</v>
      </c>
      <c r="CL382" s="41">
        <f t="shared" si="3974"/>
        <v>0</v>
      </c>
      <c r="CM382" s="41">
        <f t="shared" si="3975"/>
        <v>0</v>
      </c>
      <c r="CN382" s="41">
        <f t="shared" si="3976"/>
        <v>0</v>
      </c>
      <c r="CO382" s="41">
        <f t="shared" si="3977"/>
        <v>0</v>
      </c>
      <c r="CP382" s="41">
        <f t="shared" si="3978"/>
        <v>0</v>
      </c>
      <c r="CQ382" s="41">
        <f t="shared" si="3979"/>
        <v>0</v>
      </c>
      <c r="CR382" s="41">
        <f t="shared" si="3980"/>
        <v>0</v>
      </c>
      <c r="CS382" s="41">
        <f t="shared" si="3981"/>
        <v>0</v>
      </c>
      <c r="CT382" s="41">
        <f t="shared" si="3982"/>
        <v>0</v>
      </c>
      <c r="CU382" s="41">
        <f t="shared" si="3983"/>
        <v>0</v>
      </c>
      <c r="CV382" s="41">
        <f t="shared" si="3984"/>
        <v>0</v>
      </c>
      <c r="CW382" s="41">
        <f t="shared" si="3985"/>
        <v>0</v>
      </c>
      <c r="CX382" s="41">
        <f t="shared" si="3986"/>
        <v>0</v>
      </c>
      <c r="CY382" s="41">
        <f t="shared" si="3987"/>
        <v>0</v>
      </c>
      <c r="CZ382" s="211">
        <f t="shared" si="3988"/>
        <v>0</v>
      </c>
      <c r="DA382" s="41">
        <f t="shared" si="3989"/>
        <v>0</v>
      </c>
      <c r="DB382" s="41">
        <f t="shared" si="3990"/>
        <v>0</v>
      </c>
      <c r="DC382" s="41">
        <f t="shared" si="3991"/>
        <v>0</v>
      </c>
      <c r="DD382" s="41">
        <f t="shared" si="3992"/>
        <v>0</v>
      </c>
      <c r="DE382" s="41">
        <f t="shared" si="3993"/>
        <v>0</v>
      </c>
      <c r="DF382" s="41">
        <f t="shared" si="3994"/>
        <v>0</v>
      </c>
      <c r="DG382" s="41">
        <f t="shared" si="3995"/>
        <v>0</v>
      </c>
      <c r="DH382" s="41">
        <f t="shared" si="3996"/>
        <v>0</v>
      </c>
      <c r="DI382" s="41">
        <f t="shared" si="3997"/>
        <v>0</v>
      </c>
    </row>
    <row r="383" spans="1:113" ht="12" outlineLevel="2">
      <c r="A383" s="1" t="s">
        <v>932</v>
      </c>
      <c r="B383" s="15" t="s">
        <v>370</v>
      </c>
      <c r="C383" s="40">
        <v>0</v>
      </c>
      <c r="D383" s="40">
        <v>0</v>
      </c>
      <c r="E383" s="40">
        <v>0</v>
      </c>
      <c r="F383" s="40">
        <v>0</v>
      </c>
      <c r="G383" s="40">
        <v>0</v>
      </c>
      <c r="H383" s="40">
        <v>0</v>
      </c>
      <c r="I383" s="40">
        <v>0</v>
      </c>
      <c r="J383" s="40">
        <v>0</v>
      </c>
      <c r="K383" s="40">
        <v>0</v>
      </c>
      <c r="L383" s="40">
        <v>0</v>
      </c>
      <c r="M383" s="40">
        <v>0</v>
      </c>
      <c r="N383" s="40">
        <v>0</v>
      </c>
      <c r="O383" s="40">
        <v>0</v>
      </c>
      <c r="P383" s="40">
        <v>0</v>
      </c>
      <c r="Q383" s="40">
        <v>0</v>
      </c>
      <c r="R383" s="40">
        <v>0</v>
      </c>
      <c r="S383" s="40">
        <v>0</v>
      </c>
      <c r="T383" s="40">
        <v>0</v>
      </c>
      <c r="U383" s="40">
        <v>0</v>
      </c>
      <c r="V383" s="40">
        <v>0</v>
      </c>
      <c r="W383" s="40">
        <v>0</v>
      </c>
      <c r="X383" s="40">
        <v>0</v>
      </c>
      <c r="Y383" s="40">
        <v>0</v>
      </c>
      <c r="Z383" s="141">
        <v>0</v>
      </c>
      <c r="AA383" s="141">
        <v>0</v>
      </c>
      <c r="AB383" s="141">
        <v>0</v>
      </c>
      <c r="AC383" s="141">
        <v>0</v>
      </c>
      <c r="AD383" s="141">
        <v>0</v>
      </c>
      <c r="AE383" s="141">
        <v>0</v>
      </c>
      <c r="AF383" s="141">
        <v>0</v>
      </c>
      <c r="AG383" s="141">
        <v>0</v>
      </c>
      <c r="AH383" s="141">
        <v>0</v>
      </c>
      <c r="AI383" s="141">
        <v>0</v>
      </c>
      <c r="AJ383" s="141">
        <v>0</v>
      </c>
      <c r="AK383" s="141">
        <v>0</v>
      </c>
      <c r="AL383" s="141">
        <v>0</v>
      </c>
      <c r="AM383" s="141">
        <v>0</v>
      </c>
      <c r="AN383" s="141">
        <v>0</v>
      </c>
      <c r="AO383" s="141">
        <v>0</v>
      </c>
      <c r="AP383" s="141">
        <v>0</v>
      </c>
      <c r="AQ383" s="141">
        <v>0</v>
      </c>
      <c r="AR383" s="141">
        <v>0</v>
      </c>
      <c r="AS383" s="141">
        <v>0</v>
      </c>
      <c r="AT383" s="141">
        <v>0</v>
      </c>
      <c r="AU383" s="141">
        <v>0</v>
      </c>
      <c r="AV383" s="141">
        <v>0</v>
      </c>
      <c r="AW383" s="141">
        <v>0</v>
      </c>
      <c r="AX383" s="141">
        <v>0</v>
      </c>
      <c r="AY383" s="226">
        <v>0</v>
      </c>
      <c r="AZ383" s="210">
        <v>0</v>
      </c>
      <c r="BA383" s="210">
        <v>0</v>
      </c>
      <c r="BB383" s="210">
        <v>0</v>
      </c>
      <c r="BC383" s="210">
        <v>0</v>
      </c>
      <c r="BD383" s="210">
        <v>0</v>
      </c>
      <c r="BE383" s="210">
        <v>0</v>
      </c>
      <c r="BF383" s="210">
        <v>0</v>
      </c>
      <c r="BG383" s="210">
        <v>0</v>
      </c>
      <c r="BH383" s="210">
        <v>0</v>
      </c>
      <c r="BI383" s="210">
        <v>0</v>
      </c>
      <c r="BJ383" s="210">
        <v>0</v>
      </c>
      <c r="BK383" s="210">
        <v>0</v>
      </c>
      <c r="BL383" s="210">
        <v>0</v>
      </c>
      <c r="BM383" s="210">
        <v>0</v>
      </c>
      <c r="BN383" s="210">
        <v>0</v>
      </c>
      <c r="BO383" s="210">
        <v>0</v>
      </c>
      <c r="BP383" s="210">
        <v>0</v>
      </c>
      <c r="BQ383" s="210">
        <v>0</v>
      </c>
      <c r="BR383" s="41"/>
      <c r="BS383" s="40">
        <v>0</v>
      </c>
      <c r="BT383" s="40">
        <v>0</v>
      </c>
      <c r="BU383" s="40">
        <v>0</v>
      </c>
      <c r="BV383" s="40">
        <v>0</v>
      </c>
      <c r="BW383" s="40">
        <v>0</v>
      </c>
      <c r="BX383" s="40">
        <v>0</v>
      </c>
      <c r="BY383" s="40">
        <v>0</v>
      </c>
      <c r="BZ383" s="40">
        <v>0</v>
      </c>
      <c r="CA383" s="40">
        <v>0</v>
      </c>
      <c r="CB383" s="40">
        <v>0</v>
      </c>
      <c r="CC383" s="41">
        <f t="shared" si="3967"/>
        <v>0</v>
      </c>
      <c r="CD383" s="41">
        <f t="shared" si="3968"/>
        <v>0</v>
      </c>
      <c r="CE383" s="41">
        <f t="shared" si="3969"/>
        <v>0</v>
      </c>
      <c r="CF383" s="41">
        <f t="shared" si="4031"/>
        <v>0</v>
      </c>
      <c r="CG383" s="41">
        <f t="shared" si="3970"/>
        <v>0</v>
      </c>
      <c r="CH383" s="41">
        <f t="shared" si="3971"/>
        <v>0</v>
      </c>
      <c r="CI383" s="41">
        <f t="shared" si="3972"/>
        <v>0</v>
      </c>
      <c r="CJ383" s="41">
        <f t="shared" si="3973"/>
        <v>0</v>
      </c>
      <c r="CK383" s="41">
        <f t="shared" si="4012"/>
        <v>0</v>
      </c>
      <c r="CL383" s="41">
        <f t="shared" si="3974"/>
        <v>0</v>
      </c>
      <c r="CM383" s="41">
        <f t="shared" si="3975"/>
        <v>0</v>
      </c>
      <c r="CN383" s="41">
        <f t="shared" si="3976"/>
        <v>0</v>
      </c>
      <c r="CO383" s="41">
        <f t="shared" si="3977"/>
        <v>0</v>
      </c>
      <c r="CP383" s="41">
        <f t="shared" si="3978"/>
        <v>0</v>
      </c>
      <c r="CQ383" s="41">
        <f t="shared" si="3979"/>
        <v>0</v>
      </c>
      <c r="CR383" s="41">
        <f t="shared" si="3980"/>
        <v>0</v>
      </c>
      <c r="CS383" s="41">
        <f t="shared" si="3981"/>
        <v>0</v>
      </c>
      <c r="CT383" s="41">
        <f t="shared" si="3982"/>
        <v>0</v>
      </c>
      <c r="CU383" s="41">
        <f t="shared" si="3983"/>
        <v>0</v>
      </c>
      <c r="CV383" s="41">
        <f t="shared" si="3984"/>
        <v>0</v>
      </c>
      <c r="CW383" s="41">
        <f t="shared" si="3985"/>
        <v>0</v>
      </c>
      <c r="CX383" s="41">
        <f t="shared" si="3986"/>
        <v>0</v>
      </c>
      <c r="CY383" s="41">
        <f t="shared" si="3987"/>
        <v>0</v>
      </c>
      <c r="CZ383" s="211">
        <f t="shared" si="3988"/>
        <v>0</v>
      </c>
      <c r="DA383" s="41">
        <f t="shared" si="3989"/>
        <v>0</v>
      </c>
      <c r="DB383" s="41">
        <f t="shared" si="3990"/>
        <v>0</v>
      </c>
      <c r="DC383" s="41">
        <f t="shared" si="3991"/>
        <v>0</v>
      </c>
      <c r="DD383" s="41">
        <f t="shared" si="3992"/>
        <v>0</v>
      </c>
      <c r="DE383" s="41">
        <f t="shared" si="3993"/>
        <v>0</v>
      </c>
      <c r="DF383" s="41">
        <f t="shared" si="3994"/>
        <v>0</v>
      </c>
      <c r="DG383" s="41">
        <f t="shared" si="3995"/>
        <v>0</v>
      </c>
      <c r="DH383" s="41">
        <f t="shared" si="3996"/>
        <v>0</v>
      </c>
      <c r="DI383" s="41">
        <f t="shared" si="3997"/>
        <v>0</v>
      </c>
    </row>
    <row r="384" spans="1:113" ht="12" outlineLevel="2">
      <c r="A384" s="1" t="s">
        <v>933</v>
      </c>
      <c r="B384" s="15" t="s">
        <v>371</v>
      </c>
      <c r="C384" s="40">
        <v>0</v>
      </c>
      <c r="D384" s="40">
        <v>0</v>
      </c>
      <c r="E384" s="40">
        <v>0</v>
      </c>
      <c r="F384" s="40">
        <v>0</v>
      </c>
      <c r="G384" s="40">
        <v>0</v>
      </c>
      <c r="H384" s="40">
        <v>0</v>
      </c>
      <c r="I384" s="40">
        <v>0</v>
      </c>
      <c r="J384" s="40">
        <v>0</v>
      </c>
      <c r="K384" s="40">
        <v>0</v>
      </c>
      <c r="L384" s="40">
        <v>0</v>
      </c>
      <c r="M384" s="40">
        <v>0</v>
      </c>
      <c r="N384" s="40">
        <v>0</v>
      </c>
      <c r="O384" s="40">
        <v>0</v>
      </c>
      <c r="P384" s="40">
        <v>0</v>
      </c>
      <c r="Q384" s="40">
        <v>0</v>
      </c>
      <c r="R384" s="40">
        <v>0</v>
      </c>
      <c r="S384" s="40">
        <v>0</v>
      </c>
      <c r="T384" s="40">
        <v>0</v>
      </c>
      <c r="U384" s="40">
        <v>0</v>
      </c>
      <c r="V384" s="40">
        <v>0</v>
      </c>
      <c r="W384" s="40">
        <v>0</v>
      </c>
      <c r="X384" s="40">
        <v>0</v>
      </c>
      <c r="Y384" s="40">
        <v>0</v>
      </c>
      <c r="Z384" s="141">
        <v>0</v>
      </c>
      <c r="AA384" s="141">
        <v>0</v>
      </c>
      <c r="AB384" s="141">
        <v>0</v>
      </c>
      <c r="AC384" s="141">
        <v>0</v>
      </c>
      <c r="AD384" s="141">
        <v>0</v>
      </c>
      <c r="AE384" s="141">
        <v>0</v>
      </c>
      <c r="AF384" s="141">
        <v>0</v>
      </c>
      <c r="AG384" s="141">
        <v>0</v>
      </c>
      <c r="AH384" s="141">
        <v>0</v>
      </c>
      <c r="AI384" s="141">
        <v>0</v>
      </c>
      <c r="AJ384" s="141">
        <v>0</v>
      </c>
      <c r="AK384" s="141">
        <v>0</v>
      </c>
      <c r="AL384" s="141">
        <v>0</v>
      </c>
      <c r="AM384" s="141">
        <v>0</v>
      </c>
      <c r="AN384" s="141">
        <v>0</v>
      </c>
      <c r="AO384" s="141">
        <v>0</v>
      </c>
      <c r="AP384" s="141">
        <v>0</v>
      </c>
      <c r="AQ384" s="141">
        <v>0</v>
      </c>
      <c r="AR384" s="141">
        <v>0</v>
      </c>
      <c r="AS384" s="141">
        <v>0</v>
      </c>
      <c r="AT384" s="141">
        <v>0</v>
      </c>
      <c r="AU384" s="141">
        <v>0</v>
      </c>
      <c r="AV384" s="141">
        <v>0</v>
      </c>
      <c r="AW384" s="141">
        <v>0</v>
      </c>
      <c r="AX384" s="141">
        <v>0</v>
      </c>
      <c r="AY384" s="226">
        <v>0</v>
      </c>
      <c r="AZ384" s="210">
        <v>0</v>
      </c>
      <c r="BA384" s="210">
        <v>0</v>
      </c>
      <c r="BB384" s="210">
        <v>0</v>
      </c>
      <c r="BC384" s="210">
        <v>0</v>
      </c>
      <c r="BD384" s="210">
        <v>0</v>
      </c>
      <c r="BE384" s="210">
        <v>0</v>
      </c>
      <c r="BF384" s="210">
        <v>0</v>
      </c>
      <c r="BG384" s="210">
        <v>0</v>
      </c>
      <c r="BH384" s="210">
        <v>0</v>
      </c>
      <c r="BI384" s="210">
        <v>0</v>
      </c>
      <c r="BJ384" s="210">
        <v>0</v>
      </c>
      <c r="BK384" s="210">
        <v>0</v>
      </c>
      <c r="BL384" s="210">
        <v>0</v>
      </c>
      <c r="BM384" s="210">
        <v>0</v>
      </c>
      <c r="BN384" s="210">
        <v>0</v>
      </c>
      <c r="BO384" s="210">
        <v>0</v>
      </c>
      <c r="BP384" s="210">
        <v>0</v>
      </c>
      <c r="BQ384" s="210">
        <v>0</v>
      </c>
      <c r="BR384" s="41"/>
      <c r="BS384" s="40">
        <v>0</v>
      </c>
      <c r="BT384" s="40">
        <v>0</v>
      </c>
      <c r="BU384" s="40">
        <v>0</v>
      </c>
      <c r="BV384" s="40">
        <v>0</v>
      </c>
      <c r="BW384" s="40">
        <v>0</v>
      </c>
      <c r="BX384" s="40">
        <v>0</v>
      </c>
      <c r="BY384" s="40">
        <v>0</v>
      </c>
      <c r="BZ384" s="40">
        <v>0</v>
      </c>
      <c r="CA384" s="40">
        <v>0</v>
      </c>
      <c r="CB384" s="40">
        <v>0</v>
      </c>
      <c r="CC384" s="41">
        <f t="shared" si="3967"/>
        <v>0</v>
      </c>
      <c r="CD384" s="41">
        <f t="shared" si="3968"/>
        <v>0</v>
      </c>
      <c r="CE384" s="41">
        <f t="shared" si="3969"/>
        <v>0</v>
      </c>
      <c r="CF384" s="41">
        <f t="shared" si="4031"/>
        <v>0</v>
      </c>
      <c r="CG384" s="41">
        <f t="shared" si="3970"/>
        <v>0</v>
      </c>
      <c r="CH384" s="41">
        <f t="shared" si="3971"/>
        <v>0</v>
      </c>
      <c r="CI384" s="41">
        <f t="shared" si="3972"/>
        <v>0</v>
      </c>
      <c r="CJ384" s="41">
        <f t="shared" si="3973"/>
        <v>0</v>
      </c>
      <c r="CK384" s="41">
        <f t="shared" si="4012"/>
        <v>0</v>
      </c>
      <c r="CL384" s="41">
        <f t="shared" si="3974"/>
        <v>0</v>
      </c>
      <c r="CM384" s="41">
        <f t="shared" si="3975"/>
        <v>0</v>
      </c>
      <c r="CN384" s="41">
        <f t="shared" si="3976"/>
        <v>0</v>
      </c>
      <c r="CO384" s="41">
        <f t="shared" si="3977"/>
        <v>0</v>
      </c>
      <c r="CP384" s="41">
        <f t="shared" si="3978"/>
        <v>0</v>
      </c>
      <c r="CQ384" s="41">
        <f t="shared" si="3979"/>
        <v>0</v>
      </c>
      <c r="CR384" s="41">
        <f t="shared" si="3980"/>
        <v>0</v>
      </c>
      <c r="CS384" s="41">
        <f t="shared" si="3981"/>
        <v>0</v>
      </c>
      <c r="CT384" s="41">
        <f t="shared" si="3982"/>
        <v>0</v>
      </c>
      <c r="CU384" s="41">
        <f t="shared" si="3983"/>
        <v>0</v>
      </c>
      <c r="CV384" s="41">
        <f t="shared" si="3984"/>
        <v>0</v>
      </c>
      <c r="CW384" s="41">
        <f t="shared" si="3985"/>
        <v>0</v>
      </c>
      <c r="CX384" s="41">
        <f t="shared" si="3986"/>
        <v>0</v>
      </c>
      <c r="CY384" s="41">
        <f t="shared" si="3987"/>
        <v>0</v>
      </c>
      <c r="CZ384" s="211">
        <f t="shared" si="3988"/>
        <v>0</v>
      </c>
      <c r="DA384" s="41">
        <f t="shared" si="3989"/>
        <v>0</v>
      </c>
      <c r="DB384" s="41">
        <f t="shared" si="3990"/>
        <v>0</v>
      </c>
      <c r="DC384" s="41">
        <f t="shared" si="3991"/>
        <v>0</v>
      </c>
      <c r="DD384" s="41">
        <f t="shared" si="3992"/>
        <v>0</v>
      </c>
      <c r="DE384" s="41">
        <f t="shared" si="3993"/>
        <v>0</v>
      </c>
      <c r="DF384" s="41">
        <f t="shared" si="3994"/>
        <v>0</v>
      </c>
      <c r="DG384" s="41">
        <f t="shared" si="3995"/>
        <v>0</v>
      </c>
      <c r="DH384" s="41">
        <f t="shared" si="3996"/>
        <v>0</v>
      </c>
      <c r="DI384" s="41">
        <f t="shared" si="3997"/>
        <v>0</v>
      </c>
    </row>
    <row r="385" spans="1:113" ht="12" outlineLevel="2">
      <c r="A385" s="1" t="s">
        <v>990</v>
      </c>
      <c r="B385" s="15" t="s">
        <v>361</v>
      </c>
      <c r="C385" s="40">
        <v>0</v>
      </c>
      <c r="D385" s="40">
        <v>0</v>
      </c>
      <c r="E385" s="40">
        <v>0</v>
      </c>
      <c r="F385" s="40">
        <v>0</v>
      </c>
      <c r="G385" s="40">
        <v>0</v>
      </c>
      <c r="H385" s="40">
        <v>0</v>
      </c>
      <c r="I385" s="40">
        <v>0</v>
      </c>
      <c r="J385" s="40">
        <v>0</v>
      </c>
      <c r="K385" s="40">
        <v>0</v>
      </c>
      <c r="L385" s="40">
        <v>0</v>
      </c>
      <c r="M385" s="40">
        <v>0</v>
      </c>
      <c r="N385" s="40">
        <v>0</v>
      </c>
      <c r="O385" s="40">
        <v>0</v>
      </c>
      <c r="P385" s="40">
        <v>0</v>
      </c>
      <c r="Q385" s="40">
        <v>0</v>
      </c>
      <c r="R385" s="40">
        <v>0</v>
      </c>
      <c r="S385" s="40">
        <v>0</v>
      </c>
      <c r="T385" s="40">
        <v>0</v>
      </c>
      <c r="U385" s="40">
        <v>0</v>
      </c>
      <c r="V385" s="40">
        <v>0</v>
      </c>
      <c r="W385" s="40">
        <v>0</v>
      </c>
      <c r="X385" s="40">
        <v>0</v>
      </c>
      <c r="Y385" s="40">
        <v>0</v>
      </c>
      <c r="Z385" s="141">
        <v>0</v>
      </c>
      <c r="AA385" s="141">
        <v>0</v>
      </c>
      <c r="AB385" s="141">
        <v>0</v>
      </c>
      <c r="AC385" s="141">
        <v>0</v>
      </c>
      <c r="AD385" s="141">
        <v>0</v>
      </c>
      <c r="AE385" s="141">
        <v>0</v>
      </c>
      <c r="AF385" s="141">
        <v>0</v>
      </c>
      <c r="AG385" s="141">
        <v>0</v>
      </c>
      <c r="AH385" s="141">
        <v>0</v>
      </c>
      <c r="AI385" s="141">
        <v>0</v>
      </c>
      <c r="AJ385" s="141">
        <v>0</v>
      </c>
      <c r="AK385" s="141">
        <v>0</v>
      </c>
      <c r="AL385" s="141">
        <v>0</v>
      </c>
      <c r="AM385" s="141">
        <v>0</v>
      </c>
      <c r="AN385" s="141">
        <v>0</v>
      </c>
      <c r="AO385" s="141">
        <v>0</v>
      </c>
      <c r="AP385" s="141">
        <v>0</v>
      </c>
      <c r="AQ385" s="141">
        <v>0</v>
      </c>
      <c r="AR385" s="141">
        <v>0</v>
      </c>
      <c r="AS385" s="141">
        <v>0</v>
      </c>
      <c r="AT385" s="141">
        <v>0</v>
      </c>
      <c r="AU385" s="141">
        <v>0</v>
      </c>
      <c r="AV385" s="141">
        <v>0</v>
      </c>
      <c r="AW385" s="141">
        <v>0</v>
      </c>
      <c r="AX385" s="141">
        <v>0</v>
      </c>
      <c r="AY385" s="226">
        <v>0</v>
      </c>
      <c r="AZ385" s="210">
        <v>0</v>
      </c>
      <c r="BA385" s="210">
        <v>0</v>
      </c>
      <c r="BB385" s="210">
        <v>0</v>
      </c>
      <c r="BC385" s="210">
        <v>0</v>
      </c>
      <c r="BD385" s="210">
        <v>0</v>
      </c>
      <c r="BE385" s="210">
        <v>0</v>
      </c>
      <c r="BF385" s="210">
        <v>0</v>
      </c>
      <c r="BG385" s="210">
        <v>0</v>
      </c>
      <c r="BH385" s="210">
        <v>0</v>
      </c>
      <c r="BI385" s="210">
        <v>0</v>
      </c>
      <c r="BJ385" s="210">
        <v>0</v>
      </c>
      <c r="BK385" s="210">
        <v>0</v>
      </c>
      <c r="BL385" s="210">
        <v>0</v>
      </c>
      <c r="BM385" s="210">
        <v>0</v>
      </c>
      <c r="BN385" s="210">
        <v>0</v>
      </c>
      <c r="BO385" s="210">
        <v>0</v>
      </c>
      <c r="BP385" s="210">
        <v>0</v>
      </c>
      <c r="BQ385" s="210">
        <v>0</v>
      </c>
      <c r="BR385" s="41"/>
      <c r="BS385" s="40">
        <v>0</v>
      </c>
      <c r="BT385" s="40">
        <v>0</v>
      </c>
      <c r="BU385" s="40">
        <v>0</v>
      </c>
      <c r="BV385" s="40">
        <v>0</v>
      </c>
      <c r="BW385" s="40">
        <v>0</v>
      </c>
      <c r="BX385" s="40">
        <v>0</v>
      </c>
      <c r="BY385" s="40">
        <v>0</v>
      </c>
      <c r="BZ385" s="40">
        <v>0</v>
      </c>
      <c r="CA385" s="40">
        <v>0</v>
      </c>
      <c r="CB385" s="40">
        <v>0</v>
      </c>
      <c r="CC385" s="41">
        <f t="shared" si="3967"/>
        <v>0</v>
      </c>
      <c r="CD385" s="41">
        <f t="shared" si="3968"/>
        <v>0</v>
      </c>
      <c r="CE385" s="41">
        <f t="shared" si="3969"/>
        <v>0</v>
      </c>
      <c r="CF385" s="41">
        <f t="shared" si="4031"/>
        <v>0</v>
      </c>
      <c r="CG385" s="41">
        <f t="shared" si="3970"/>
        <v>0</v>
      </c>
      <c r="CH385" s="41">
        <f t="shared" si="3971"/>
        <v>0</v>
      </c>
      <c r="CI385" s="41">
        <f t="shared" si="3972"/>
        <v>0</v>
      </c>
      <c r="CJ385" s="41">
        <f t="shared" si="3973"/>
        <v>0</v>
      </c>
      <c r="CK385" s="41">
        <f t="shared" si="4012"/>
        <v>0</v>
      </c>
      <c r="CL385" s="41">
        <f t="shared" si="3974"/>
        <v>0</v>
      </c>
      <c r="CM385" s="41">
        <f t="shared" si="3975"/>
        <v>0</v>
      </c>
      <c r="CN385" s="41">
        <f t="shared" si="3976"/>
        <v>0</v>
      </c>
      <c r="CO385" s="41">
        <f t="shared" si="3977"/>
        <v>0</v>
      </c>
      <c r="CP385" s="41">
        <f t="shared" si="3978"/>
        <v>0</v>
      </c>
      <c r="CQ385" s="41">
        <f t="shared" si="3979"/>
        <v>0</v>
      </c>
      <c r="CR385" s="41">
        <f t="shared" si="3980"/>
        <v>0</v>
      </c>
      <c r="CS385" s="41">
        <f t="shared" si="3981"/>
        <v>0</v>
      </c>
      <c r="CT385" s="41">
        <f t="shared" si="3982"/>
        <v>0</v>
      </c>
      <c r="CU385" s="41">
        <f t="shared" si="3983"/>
        <v>0</v>
      </c>
      <c r="CV385" s="41">
        <f t="shared" si="3984"/>
        <v>0</v>
      </c>
      <c r="CW385" s="41">
        <f t="shared" si="3985"/>
        <v>0</v>
      </c>
      <c r="CX385" s="41">
        <f t="shared" si="3986"/>
        <v>0</v>
      </c>
      <c r="CY385" s="41">
        <f t="shared" si="3987"/>
        <v>0</v>
      </c>
      <c r="CZ385" s="211">
        <f t="shared" si="3988"/>
        <v>0</v>
      </c>
      <c r="DA385" s="41">
        <f t="shared" si="3989"/>
        <v>0</v>
      </c>
      <c r="DB385" s="41">
        <f t="shared" si="3990"/>
        <v>0</v>
      </c>
      <c r="DC385" s="41">
        <f t="shared" si="3991"/>
        <v>0</v>
      </c>
      <c r="DD385" s="41">
        <f t="shared" si="3992"/>
        <v>0</v>
      </c>
      <c r="DE385" s="41">
        <f t="shared" si="3993"/>
        <v>0</v>
      </c>
      <c r="DF385" s="41">
        <f t="shared" si="3994"/>
        <v>0</v>
      </c>
      <c r="DG385" s="41">
        <f t="shared" si="3995"/>
        <v>0</v>
      </c>
      <c r="DH385" s="41">
        <f t="shared" si="3996"/>
        <v>0</v>
      </c>
      <c r="DI385" s="41">
        <f t="shared" si="3997"/>
        <v>0</v>
      </c>
    </row>
    <row r="386" spans="1:113" ht="12" outlineLevel="2">
      <c r="A386" s="1" t="s">
        <v>991</v>
      </c>
      <c r="B386" s="15" t="s">
        <v>425</v>
      </c>
      <c r="C386" s="40">
        <v>0</v>
      </c>
      <c r="D386" s="40">
        <v>0</v>
      </c>
      <c r="E386" s="40">
        <v>0</v>
      </c>
      <c r="F386" s="40">
        <v>0</v>
      </c>
      <c r="G386" s="40">
        <v>0</v>
      </c>
      <c r="H386" s="40">
        <v>0</v>
      </c>
      <c r="I386" s="40">
        <v>0</v>
      </c>
      <c r="J386" s="40">
        <v>0</v>
      </c>
      <c r="K386" s="40">
        <v>0</v>
      </c>
      <c r="L386" s="40">
        <v>0</v>
      </c>
      <c r="M386" s="40">
        <v>0</v>
      </c>
      <c r="N386" s="40">
        <v>0</v>
      </c>
      <c r="O386" s="40">
        <v>0</v>
      </c>
      <c r="P386" s="40">
        <f>P387-3780</f>
        <v>1</v>
      </c>
      <c r="Q386" s="40">
        <f>Q387-4070</f>
        <v>4</v>
      </c>
      <c r="R386" s="40">
        <v>0</v>
      </c>
      <c r="S386" s="40">
        <v>0</v>
      </c>
      <c r="T386" s="40">
        <f>T387-5240</f>
        <v>-1</v>
      </c>
      <c r="U386" s="40">
        <f>U387-5632</f>
        <v>-9</v>
      </c>
      <c r="V386" s="40">
        <v>0</v>
      </c>
      <c r="W386" s="40">
        <v>0</v>
      </c>
      <c r="X386" s="40">
        <v>0</v>
      </c>
      <c r="Y386" s="40">
        <v>0</v>
      </c>
      <c r="Z386" s="141">
        <v>0</v>
      </c>
      <c r="AA386" s="141">
        <v>0</v>
      </c>
      <c r="AB386" s="141">
        <v>0</v>
      </c>
      <c r="AC386" s="141">
        <v>0</v>
      </c>
      <c r="AD386" s="141">
        <v>0</v>
      </c>
      <c r="AE386" s="141">
        <v>0</v>
      </c>
      <c r="AF386" s="141">
        <v>0</v>
      </c>
      <c r="AG386" s="141">
        <v>0</v>
      </c>
      <c r="AH386" s="141">
        <v>0</v>
      </c>
      <c r="AI386" s="141">
        <v>0</v>
      </c>
      <c r="AJ386" s="141">
        <v>0</v>
      </c>
      <c r="AK386" s="141">
        <v>0</v>
      </c>
      <c r="AL386" s="141">
        <v>0</v>
      </c>
      <c r="AM386" s="141">
        <v>0</v>
      </c>
      <c r="AN386" s="141">
        <v>0</v>
      </c>
      <c r="AO386" s="141">
        <v>0</v>
      </c>
      <c r="AP386" s="141">
        <v>0</v>
      </c>
      <c r="AQ386" s="141">
        <v>0</v>
      </c>
      <c r="AR386" s="141">
        <v>0</v>
      </c>
      <c r="AS386" s="141">
        <v>0</v>
      </c>
      <c r="AT386" s="141">
        <v>0</v>
      </c>
      <c r="AU386" s="141">
        <v>0</v>
      </c>
      <c r="AV386" s="141">
        <v>0</v>
      </c>
      <c r="AW386" s="141">
        <v>0</v>
      </c>
      <c r="AX386" s="141">
        <v>0</v>
      </c>
      <c r="AY386" s="226">
        <v>0</v>
      </c>
      <c r="AZ386" s="210">
        <v>0</v>
      </c>
      <c r="BA386" s="210">
        <v>0</v>
      </c>
      <c r="BB386" s="210">
        <v>0</v>
      </c>
      <c r="BC386" s="210">
        <v>0</v>
      </c>
      <c r="BD386" s="210">
        <v>0</v>
      </c>
      <c r="BE386" s="210">
        <v>0</v>
      </c>
      <c r="BF386" s="210">
        <v>0</v>
      </c>
      <c r="BG386" s="210">
        <v>0</v>
      </c>
      <c r="BH386" s="210">
        <v>0</v>
      </c>
      <c r="BI386" s="210">
        <v>0</v>
      </c>
      <c r="BJ386" s="210">
        <v>0</v>
      </c>
      <c r="BK386" s="210">
        <v>0</v>
      </c>
      <c r="BL386" s="210">
        <v>0</v>
      </c>
      <c r="BM386" s="210">
        <v>0</v>
      </c>
      <c r="BN386" s="210">
        <v>0</v>
      </c>
      <c r="BO386" s="210">
        <v>0</v>
      </c>
      <c r="BP386" s="210">
        <v>0</v>
      </c>
      <c r="BQ386" s="210">
        <v>0</v>
      </c>
      <c r="BR386" s="41"/>
      <c r="BS386" s="40">
        <v>0</v>
      </c>
      <c r="BT386" s="40">
        <v>0</v>
      </c>
      <c r="BU386" s="40">
        <v>0</v>
      </c>
      <c r="BV386" s="40">
        <v>0</v>
      </c>
      <c r="BW386" s="40">
        <v>0</v>
      </c>
      <c r="BX386" s="40">
        <v>0</v>
      </c>
      <c r="BY386" s="40">
        <v>0</v>
      </c>
      <c r="BZ386" s="40">
        <v>0</v>
      </c>
      <c r="CA386" s="40">
        <v>0</v>
      </c>
      <c r="CB386" s="40">
        <v>0</v>
      </c>
      <c r="CC386" s="41">
        <f t="shared" si="3967"/>
        <v>0</v>
      </c>
      <c r="CD386" s="41">
        <f t="shared" si="3968"/>
        <v>0</v>
      </c>
      <c r="CE386" s="41">
        <f t="shared" si="3969"/>
        <v>0</v>
      </c>
      <c r="CF386" s="41">
        <f t="shared" si="4031"/>
        <v>0</v>
      </c>
      <c r="CG386" s="41">
        <f t="shared" si="3970"/>
        <v>0</v>
      </c>
      <c r="CH386" s="41">
        <f t="shared" si="3971"/>
        <v>0</v>
      </c>
      <c r="CI386" s="41">
        <f t="shared" si="3972"/>
        <v>5</v>
      </c>
      <c r="CJ386" s="41">
        <f t="shared" si="3973"/>
        <v>0</v>
      </c>
      <c r="CK386" s="41">
        <f t="shared" si="4012"/>
        <v>-10</v>
      </c>
      <c r="CL386" s="41">
        <f t="shared" si="3974"/>
        <v>0</v>
      </c>
      <c r="CM386" s="41">
        <f t="shared" si="3975"/>
        <v>0</v>
      </c>
      <c r="CN386" s="41">
        <f t="shared" si="3976"/>
        <v>0</v>
      </c>
      <c r="CO386" s="41">
        <f t="shared" si="3977"/>
        <v>0</v>
      </c>
      <c r="CP386" s="41">
        <f t="shared" si="3978"/>
        <v>0</v>
      </c>
      <c r="CQ386" s="41">
        <f t="shared" si="3979"/>
        <v>0</v>
      </c>
      <c r="CR386" s="41">
        <f t="shared" si="3980"/>
        <v>0</v>
      </c>
      <c r="CS386" s="41">
        <f t="shared" si="3981"/>
        <v>0</v>
      </c>
      <c r="CT386" s="41">
        <f t="shared" si="3982"/>
        <v>0</v>
      </c>
      <c r="CU386" s="41">
        <f t="shared" si="3983"/>
        <v>0</v>
      </c>
      <c r="CV386" s="41">
        <f t="shared" si="3984"/>
        <v>0</v>
      </c>
      <c r="CW386" s="41">
        <f t="shared" si="3985"/>
        <v>0</v>
      </c>
      <c r="CX386" s="41">
        <f t="shared" si="3986"/>
        <v>0</v>
      </c>
      <c r="CY386" s="41">
        <f t="shared" si="3987"/>
        <v>0</v>
      </c>
      <c r="CZ386" s="211">
        <f t="shared" si="3988"/>
        <v>0</v>
      </c>
      <c r="DA386" s="41">
        <f t="shared" si="3989"/>
        <v>0</v>
      </c>
      <c r="DB386" s="41">
        <f t="shared" si="3990"/>
        <v>0</v>
      </c>
      <c r="DC386" s="41">
        <f t="shared" si="3991"/>
        <v>0</v>
      </c>
      <c r="DD386" s="41">
        <f t="shared" si="3992"/>
        <v>0</v>
      </c>
      <c r="DE386" s="41">
        <f t="shared" si="3993"/>
        <v>0</v>
      </c>
      <c r="DF386" s="41">
        <f t="shared" si="3994"/>
        <v>0</v>
      </c>
      <c r="DG386" s="41">
        <f t="shared" si="3995"/>
        <v>0</v>
      </c>
      <c r="DH386" s="41">
        <f t="shared" si="3996"/>
        <v>0</v>
      </c>
      <c r="DI386" s="41">
        <f t="shared" si="3997"/>
        <v>0</v>
      </c>
    </row>
    <row r="387" spans="1:113" s="17" customFormat="1" ht="12" outlineLevel="2">
      <c r="A387" s="1" t="s">
        <v>992</v>
      </c>
      <c r="B387" s="17" t="s">
        <v>426</v>
      </c>
      <c r="C387" s="61">
        <v>1954</v>
      </c>
      <c r="D387" s="61">
        <v>1965</v>
      </c>
      <c r="E387" s="61">
        <f>4018-D387</f>
        <v>2053</v>
      </c>
      <c r="F387" s="61">
        <v>2140</v>
      </c>
      <c r="G387" s="61">
        <f>4311-F387</f>
        <v>2171</v>
      </c>
      <c r="H387" s="61">
        <v>2507</v>
      </c>
      <c r="I387" s="61">
        <v>2745</v>
      </c>
      <c r="J387" s="61">
        <v>3140</v>
      </c>
      <c r="K387" s="61">
        <f>6371-J387</f>
        <v>3231</v>
      </c>
      <c r="L387" s="61">
        <v>3368</v>
      </c>
      <c r="M387" s="61">
        <v>3575</v>
      </c>
      <c r="N387" s="61">
        <v>3611</v>
      </c>
      <c r="O387" s="61">
        <f>3691</f>
        <v>3691</v>
      </c>
      <c r="P387" s="61">
        <v>3781</v>
      </c>
      <c r="Q387" s="61">
        <f>4074</f>
        <v>4074</v>
      </c>
      <c r="R387" s="61">
        <v>4821</v>
      </c>
      <c r="S387" s="61">
        <f>9890-R387</f>
        <v>5069</v>
      </c>
      <c r="T387" s="61">
        <v>5239</v>
      </c>
      <c r="U387" s="61">
        <v>5623</v>
      </c>
      <c r="V387" s="61">
        <f>5652</f>
        <v>5652</v>
      </c>
      <c r="W387" s="61">
        <f>5848</f>
        <v>5848</v>
      </c>
      <c r="X387" s="61">
        <v>5984</v>
      </c>
      <c r="Y387" s="61">
        <v>6126</v>
      </c>
      <c r="Z387" s="194">
        <v>6236</v>
      </c>
      <c r="AA387" s="194">
        <v>6536</v>
      </c>
      <c r="AB387" s="194">
        <v>6764</v>
      </c>
      <c r="AC387" s="194">
        <v>7033</v>
      </c>
      <c r="AD387" s="194">
        <v>7138</v>
      </c>
      <c r="AE387" s="194">
        <v>7478</v>
      </c>
      <c r="AF387" s="194">
        <f>7568</f>
        <v>7568</v>
      </c>
      <c r="AG387" s="194">
        <v>7527</v>
      </c>
      <c r="AH387" s="194">
        <v>7419</v>
      </c>
      <c r="AI387" s="194">
        <v>7456</v>
      </c>
      <c r="AJ387" s="194">
        <v>7350</v>
      </c>
      <c r="AK387" s="194">
        <v>7164</v>
      </c>
      <c r="AL387" s="194">
        <v>7299</v>
      </c>
      <c r="AM387" s="194">
        <v>7040</v>
      </c>
      <c r="AN387" s="194">
        <v>7222</v>
      </c>
      <c r="AO387" s="194">
        <v>6827</v>
      </c>
      <c r="AP387" s="194">
        <v>6986</v>
      </c>
      <c r="AQ387" s="194">
        <v>7175</v>
      </c>
      <c r="AR387" s="194">
        <v>7100</v>
      </c>
      <c r="AS387" s="194">
        <v>7774</v>
      </c>
      <c r="AT387" s="194">
        <v>8500</v>
      </c>
      <c r="AU387" s="194">
        <v>8074</v>
      </c>
      <c r="AV387" s="194">
        <v>7899</v>
      </c>
      <c r="AW387" s="194">
        <v>8170</v>
      </c>
      <c r="AX387" s="194">
        <v>8869</v>
      </c>
      <c r="AY387" s="227">
        <v>9092</v>
      </c>
      <c r="AZ387" s="62">
        <f t="shared" ref="AZ387:BA387" si="4032">SUM(AZ381:AZ386)</f>
        <v>9271.2181369458049</v>
      </c>
      <c r="BA387" s="62">
        <f t="shared" si="4032"/>
        <v>9523.8171119663057</v>
      </c>
      <c r="BB387" s="62">
        <f t="shared" ref="BB387:BC387" si="4033">SUM(BB381:BB386)</f>
        <v>9526.3753940709648</v>
      </c>
      <c r="BC387" s="62">
        <f t="shared" si="4033"/>
        <v>9660.6828021626116</v>
      </c>
      <c r="BD387" s="62">
        <f t="shared" ref="BD387:BE387" si="4034">SUM(BD381:BD386)</f>
        <v>9760.3535726860082</v>
      </c>
      <c r="BE387" s="62">
        <f t="shared" si="4034"/>
        <v>9892.2311473097325</v>
      </c>
      <c r="BF387" s="62">
        <f t="shared" ref="BF387:BG387" si="4035">SUM(BF381:BF386)</f>
        <v>10003.37150487683</v>
      </c>
      <c r="BG387" s="62">
        <f t="shared" si="4035"/>
        <v>10185.157353165423</v>
      </c>
      <c r="BH387" s="62">
        <f t="shared" ref="BH387:BI387" si="4036">SUM(BH381:BH386)</f>
        <v>10238.892495773478</v>
      </c>
      <c r="BI387" s="62">
        <f t="shared" si="4036"/>
        <v>10428.118590855171</v>
      </c>
      <c r="BJ387" s="62">
        <f t="shared" ref="BJ387:BK387" si="4037">SUM(BJ381:BJ386)</f>
        <v>10492.467840337327</v>
      </c>
      <c r="BK387" s="62">
        <f t="shared" si="4037"/>
        <v>10677.681677731845</v>
      </c>
      <c r="BL387" s="62">
        <f t="shared" ref="BL387:BM387" si="4038">SUM(BL381:BL386)</f>
        <v>10773.414063202845</v>
      </c>
      <c r="BM387" s="62">
        <f t="shared" si="4038"/>
        <v>10899.606266611698</v>
      </c>
      <c r="BN387" s="62">
        <f t="shared" ref="BN387:BO387" si="4039">SUM(BN381:BN386)</f>
        <v>11002.946686086683</v>
      </c>
      <c r="BO387" s="62">
        <f t="shared" si="4039"/>
        <v>11204.694834392447</v>
      </c>
      <c r="BP387" s="62">
        <f t="shared" ref="BP387:BQ387" si="4040">SUM(BP381:BP386)</f>
        <v>11290.261310669048</v>
      </c>
      <c r="BQ387" s="62">
        <f t="shared" si="4040"/>
        <v>11506.394725049029</v>
      </c>
      <c r="BR387" s="62"/>
      <c r="BS387" s="61">
        <v>2437.8000000000002</v>
      </c>
      <c r="BT387" s="61">
        <v>2543</v>
      </c>
      <c r="BU387" s="61">
        <v>2794</v>
      </c>
      <c r="BV387" s="61">
        <v>3084</v>
      </c>
      <c r="BW387" s="61">
        <v>3327</v>
      </c>
      <c r="BX387" s="61">
        <f>3437</f>
        <v>3437</v>
      </c>
      <c r="BY387" s="61">
        <v>3547</v>
      </c>
      <c r="BZ387" s="61">
        <v>3655</v>
      </c>
      <c r="CA387" s="61">
        <v>3801</v>
      </c>
      <c r="CB387" s="61">
        <v>3833</v>
      </c>
      <c r="CC387" s="62">
        <f t="shared" si="3967"/>
        <v>4018</v>
      </c>
      <c r="CD387" s="62">
        <f t="shared" si="3968"/>
        <v>4311</v>
      </c>
      <c r="CE387" s="62">
        <f t="shared" si="3969"/>
        <v>5252</v>
      </c>
      <c r="CF387" s="62">
        <f t="shared" si="4031"/>
        <v>6371</v>
      </c>
      <c r="CG387" s="62">
        <f t="shared" si="3970"/>
        <v>6943</v>
      </c>
      <c r="CH387" s="62">
        <f t="shared" si="3971"/>
        <v>7302</v>
      </c>
      <c r="CI387" s="62">
        <f t="shared" si="3972"/>
        <v>7855</v>
      </c>
      <c r="CJ387" s="62">
        <f t="shared" si="3973"/>
        <v>9890</v>
      </c>
      <c r="CK387" s="62">
        <f t="shared" si="4012"/>
        <v>10862</v>
      </c>
      <c r="CL387" s="62">
        <f t="shared" si="3974"/>
        <v>11500</v>
      </c>
      <c r="CM387" s="62">
        <f t="shared" si="3975"/>
        <v>12110</v>
      </c>
      <c r="CN387" s="62">
        <f t="shared" si="3976"/>
        <v>12772</v>
      </c>
      <c r="CO387" s="62">
        <f t="shared" si="3977"/>
        <v>13797</v>
      </c>
      <c r="CP387" s="62">
        <f t="shared" si="3978"/>
        <v>14616</v>
      </c>
      <c r="CQ387" s="62">
        <f t="shared" si="3979"/>
        <v>15095</v>
      </c>
      <c r="CR387" s="62">
        <f t="shared" si="3980"/>
        <v>14875</v>
      </c>
      <c r="CS387" s="62">
        <f t="shared" si="3981"/>
        <v>14514</v>
      </c>
      <c r="CT387" s="62">
        <f t="shared" si="3982"/>
        <v>14339</v>
      </c>
      <c r="CU387" s="62">
        <f t="shared" si="3983"/>
        <v>14049</v>
      </c>
      <c r="CV387" s="62">
        <f t="shared" si="3984"/>
        <v>14161</v>
      </c>
      <c r="CW387" s="62">
        <f t="shared" si="3985"/>
        <v>14874</v>
      </c>
      <c r="CX387" s="62">
        <f t="shared" si="3986"/>
        <v>16574</v>
      </c>
      <c r="CY387" s="62">
        <f t="shared" si="3987"/>
        <v>16069</v>
      </c>
      <c r="CZ387" s="220">
        <f t="shared" si="3988"/>
        <v>17961</v>
      </c>
      <c r="DA387" s="62">
        <f t="shared" si="3989"/>
        <v>18795.035248912111</v>
      </c>
      <c r="DB387" s="62">
        <f t="shared" si="3990"/>
        <v>19187.058196233578</v>
      </c>
      <c r="DC387" s="62">
        <f t="shared" si="3991"/>
        <v>19652.584719995742</v>
      </c>
      <c r="DD387" s="62">
        <f t="shared" si="3992"/>
        <v>20188.528858042253</v>
      </c>
      <c r="DE387" s="62">
        <f t="shared" si="3993"/>
        <v>20667.011086628649</v>
      </c>
      <c r="DF387" s="62">
        <f t="shared" si="3994"/>
        <v>21170.149518069171</v>
      </c>
      <c r="DG387" s="62">
        <f t="shared" si="3995"/>
        <v>21673.020329814542</v>
      </c>
      <c r="DH387" s="62">
        <f t="shared" si="3996"/>
        <v>22207.64152047913</v>
      </c>
      <c r="DI387" s="62">
        <f t="shared" si="3997"/>
        <v>22796.656035718079</v>
      </c>
    </row>
    <row r="388" spans="1:113" ht="12" outlineLevel="2">
      <c r="A388" s="1" t="s">
        <v>993</v>
      </c>
      <c r="B388" s="15" t="s">
        <v>529</v>
      </c>
      <c r="C388" s="41">
        <f t="shared" ref="C388:L388" si="4041">C389-C387</f>
        <v>0</v>
      </c>
      <c r="D388" s="41">
        <f t="shared" si="4041"/>
        <v>0</v>
      </c>
      <c r="E388" s="41">
        <f t="shared" si="4041"/>
        <v>0</v>
      </c>
      <c r="F388" s="41">
        <f t="shared" si="4041"/>
        <v>0</v>
      </c>
      <c r="G388" s="41">
        <f t="shared" si="4041"/>
        <v>0</v>
      </c>
      <c r="H388" s="41">
        <f t="shared" si="4041"/>
        <v>2</v>
      </c>
      <c r="I388" s="41">
        <f t="shared" si="4041"/>
        <v>0</v>
      </c>
      <c r="J388" s="41">
        <f t="shared" si="4041"/>
        <v>-275</v>
      </c>
      <c r="K388" s="41">
        <f t="shared" si="4041"/>
        <v>-278</v>
      </c>
      <c r="L388" s="41">
        <f t="shared" si="4041"/>
        <v>0</v>
      </c>
      <c r="M388" s="41">
        <f t="shared" ref="M388:V388" si="4042">M389-M387</f>
        <v>0</v>
      </c>
      <c r="N388" s="41">
        <f t="shared" si="4042"/>
        <v>0</v>
      </c>
      <c r="O388" s="41">
        <f t="shared" si="4042"/>
        <v>0</v>
      </c>
      <c r="P388" s="41">
        <f t="shared" si="4042"/>
        <v>-1</v>
      </c>
      <c r="Q388" s="41">
        <f t="shared" si="4042"/>
        <v>-4</v>
      </c>
      <c r="R388" s="41">
        <f t="shared" si="4042"/>
        <v>1</v>
      </c>
      <c r="S388" s="41">
        <f t="shared" si="4042"/>
        <v>-3</v>
      </c>
      <c r="T388" s="41">
        <f t="shared" si="4042"/>
        <v>-3</v>
      </c>
      <c r="U388" s="41">
        <f t="shared" si="4042"/>
        <v>10</v>
      </c>
      <c r="V388" s="41">
        <f t="shared" si="4042"/>
        <v>-6</v>
      </c>
      <c r="W388" s="41">
        <f t="shared" ref="W388:AC388" si="4043">W389-W387</f>
        <v>6</v>
      </c>
      <c r="X388" s="41">
        <f t="shared" si="4043"/>
        <v>0</v>
      </c>
      <c r="Y388" s="41">
        <f t="shared" si="4043"/>
        <v>0</v>
      </c>
      <c r="Z388" s="41">
        <f t="shared" si="4043"/>
        <v>-36</v>
      </c>
      <c r="AA388" s="41">
        <f t="shared" si="4043"/>
        <v>22</v>
      </c>
      <c r="AB388" s="41">
        <f t="shared" si="4043"/>
        <v>14</v>
      </c>
      <c r="AC388" s="41">
        <f t="shared" si="4043"/>
        <v>-1</v>
      </c>
      <c r="AD388" s="41">
        <f t="shared" ref="AD388:AF388" si="4044">AD389-AD387</f>
        <v>0</v>
      </c>
      <c r="AE388" s="41">
        <f t="shared" si="4044"/>
        <v>0</v>
      </c>
      <c r="AF388" s="41">
        <f t="shared" si="4044"/>
        <v>0</v>
      </c>
      <c r="AG388" s="41">
        <f t="shared" ref="AG388:AH388" si="4045">AG389-AG387</f>
        <v>0</v>
      </c>
      <c r="AH388" s="41">
        <f t="shared" si="4045"/>
        <v>-3</v>
      </c>
      <c r="AI388" s="41">
        <f t="shared" ref="AI388:AJ388" si="4046">AI389-AI387</f>
        <v>0</v>
      </c>
      <c r="AJ388" s="41">
        <f t="shared" si="4046"/>
        <v>0</v>
      </c>
      <c r="AK388" s="41">
        <f t="shared" ref="AK388:AL388" si="4047">AK389-AK387</f>
        <v>0</v>
      </c>
      <c r="AL388" s="41">
        <f t="shared" si="4047"/>
        <v>-57</v>
      </c>
      <c r="AM388" s="41">
        <f t="shared" ref="AM388:AN388" si="4048">AM389-AM387</f>
        <v>-19</v>
      </c>
      <c r="AN388" s="41">
        <f t="shared" si="4048"/>
        <v>-5</v>
      </c>
      <c r="AO388" s="41">
        <f t="shared" ref="AO388" si="4049">AO389-AO387</f>
        <v>0</v>
      </c>
      <c r="AP388" s="41">
        <f t="shared" ref="AP388:AQ388" si="4050">AP389-AP387</f>
        <v>0</v>
      </c>
      <c r="AQ388" s="41">
        <f t="shared" si="4050"/>
        <v>0</v>
      </c>
      <c r="AR388" s="41">
        <f t="shared" ref="AR388:AS388" si="4051">AR389-AR387</f>
        <v>0</v>
      </c>
      <c r="AS388" s="41">
        <f t="shared" si="4051"/>
        <v>0</v>
      </c>
      <c r="AT388" s="41">
        <f t="shared" ref="AT388:AU388" si="4052">AT389-AT387</f>
        <v>0</v>
      </c>
      <c r="AU388" s="41">
        <f t="shared" si="4052"/>
        <v>0</v>
      </c>
      <c r="AV388" s="41">
        <f t="shared" ref="AV388:AW388" si="4053">AV389-AV387</f>
        <v>0</v>
      </c>
      <c r="AW388" s="41">
        <f t="shared" si="4053"/>
        <v>0</v>
      </c>
      <c r="AX388" s="41">
        <f t="shared" ref="AX388:AY388" si="4054">AX389-AX387</f>
        <v>0</v>
      </c>
      <c r="AY388" s="211">
        <f t="shared" si="4054"/>
        <v>0</v>
      </c>
      <c r="AZ388" s="210">
        <v>0</v>
      </c>
      <c r="BA388" s="210">
        <v>0</v>
      </c>
      <c r="BB388" s="210">
        <v>0</v>
      </c>
      <c r="BC388" s="210">
        <v>0</v>
      </c>
      <c r="BD388" s="210">
        <v>0</v>
      </c>
      <c r="BE388" s="210">
        <v>0</v>
      </c>
      <c r="BF388" s="210">
        <v>0</v>
      </c>
      <c r="BG388" s="210">
        <v>0</v>
      </c>
      <c r="BH388" s="210">
        <v>0</v>
      </c>
      <c r="BI388" s="210">
        <v>0</v>
      </c>
      <c r="BJ388" s="210">
        <v>0</v>
      </c>
      <c r="BK388" s="210">
        <v>0</v>
      </c>
      <c r="BL388" s="210">
        <v>0</v>
      </c>
      <c r="BM388" s="210">
        <v>0</v>
      </c>
      <c r="BN388" s="210">
        <v>0</v>
      </c>
      <c r="BO388" s="210">
        <v>0</v>
      </c>
      <c r="BP388" s="210">
        <v>0</v>
      </c>
      <c r="BQ388" s="210">
        <v>0</v>
      </c>
      <c r="BR388" s="41"/>
      <c r="BS388" s="41">
        <f>BS389-BS387</f>
        <v>0</v>
      </c>
      <c r="BT388" s="41">
        <f>BT389-BT387</f>
        <v>0</v>
      </c>
      <c r="BU388" s="41">
        <f t="shared" ref="BU388:CB388" si="4055">BU389-BU387</f>
        <v>0</v>
      </c>
      <c r="BV388" s="41">
        <f t="shared" si="4055"/>
        <v>0</v>
      </c>
      <c r="BW388" s="41">
        <f t="shared" si="4055"/>
        <v>0</v>
      </c>
      <c r="BX388" s="41">
        <f t="shared" si="4055"/>
        <v>0</v>
      </c>
      <c r="BY388" s="41">
        <f t="shared" si="4055"/>
        <v>0</v>
      </c>
      <c r="BZ388" s="41">
        <f t="shared" si="4055"/>
        <v>0</v>
      </c>
      <c r="CA388" s="41">
        <f t="shared" si="4055"/>
        <v>0</v>
      </c>
      <c r="CB388" s="41">
        <f t="shared" si="4055"/>
        <v>0</v>
      </c>
      <c r="CC388" s="41">
        <f t="shared" ref="CC388:CI388" si="4056">CC389-CC387</f>
        <v>0</v>
      </c>
      <c r="CD388" s="41">
        <f t="shared" si="4056"/>
        <v>0</v>
      </c>
      <c r="CE388" s="41">
        <f t="shared" si="4056"/>
        <v>2</v>
      </c>
      <c r="CF388" s="41">
        <f t="shared" si="4056"/>
        <v>-553</v>
      </c>
      <c r="CG388" s="41">
        <f t="shared" si="4056"/>
        <v>0</v>
      </c>
      <c r="CH388" s="41">
        <f t="shared" si="4056"/>
        <v>0</v>
      </c>
      <c r="CI388" s="41">
        <f t="shared" si="4056"/>
        <v>-5</v>
      </c>
      <c r="CJ388" s="41">
        <f>SUM(R388:S388)</f>
        <v>-2</v>
      </c>
      <c r="CK388" s="41">
        <f>SUM(T388:U388)</f>
        <v>7</v>
      </c>
      <c r="CL388" s="41">
        <f>SUM(V388:W388)</f>
        <v>0</v>
      </c>
      <c r="CM388" s="41">
        <f>SUM(X388:Y388)</f>
        <v>0</v>
      </c>
      <c r="CN388" s="41">
        <f>SUM(Z388:AA388)</f>
        <v>-14</v>
      </c>
      <c r="CO388" s="41">
        <f>SUM(AB388:AC388)</f>
        <v>13</v>
      </c>
      <c r="CP388" s="41">
        <f t="shared" si="3978"/>
        <v>0</v>
      </c>
      <c r="CQ388" s="41">
        <f t="shared" si="3979"/>
        <v>0</v>
      </c>
      <c r="CR388" s="41">
        <f t="shared" si="3980"/>
        <v>-3</v>
      </c>
      <c r="CS388" s="41">
        <f t="shared" si="3981"/>
        <v>0</v>
      </c>
      <c r="CT388" s="41">
        <f t="shared" si="3982"/>
        <v>-76</v>
      </c>
      <c r="CU388" s="41">
        <f t="shared" si="3983"/>
        <v>-5</v>
      </c>
      <c r="CV388" s="41">
        <f t="shared" si="3984"/>
        <v>0</v>
      </c>
      <c r="CW388" s="41">
        <f t="shared" si="3985"/>
        <v>0</v>
      </c>
      <c r="CX388" s="41">
        <f t="shared" si="3986"/>
        <v>0</v>
      </c>
      <c r="CY388" s="41">
        <f t="shared" si="3987"/>
        <v>0</v>
      </c>
      <c r="CZ388" s="211">
        <f t="shared" si="3988"/>
        <v>0</v>
      </c>
      <c r="DA388" s="41">
        <f t="shared" si="3989"/>
        <v>0</v>
      </c>
      <c r="DB388" s="41">
        <f t="shared" si="3990"/>
        <v>0</v>
      </c>
      <c r="DC388" s="41">
        <f t="shared" si="3991"/>
        <v>0</v>
      </c>
      <c r="DD388" s="41">
        <f t="shared" si="3992"/>
        <v>0</v>
      </c>
      <c r="DE388" s="41">
        <f t="shared" si="3993"/>
        <v>0</v>
      </c>
      <c r="DF388" s="41">
        <f t="shared" si="3994"/>
        <v>0</v>
      </c>
      <c r="DG388" s="41">
        <f t="shared" si="3995"/>
        <v>0</v>
      </c>
      <c r="DH388" s="41">
        <f t="shared" si="3996"/>
        <v>0</v>
      </c>
      <c r="DI388" s="41">
        <f t="shared" si="3997"/>
        <v>0</v>
      </c>
    </row>
    <row r="389" spans="1:113" s="17" customFormat="1" ht="12" outlineLevel="2">
      <c r="A389" s="1" t="s">
        <v>994</v>
      </c>
      <c r="B389" s="17" t="s">
        <v>530</v>
      </c>
      <c r="C389" s="61">
        <v>1954</v>
      </c>
      <c r="D389" s="61">
        <v>1965</v>
      </c>
      <c r="E389" s="61">
        <f>4018-D389</f>
        <v>2053</v>
      </c>
      <c r="F389" s="61">
        <v>2140</v>
      </c>
      <c r="G389" s="61">
        <f>4311-F389</f>
        <v>2171</v>
      </c>
      <c r="H389" s="61">
        <v>2509</v>
      </c>
      <c r="I389" s="61">
        <v>2745</v>
      </c>
      <c r="J389" s="61">
        <v>2865</v>
      </c>
      <c r="K389" s="61">
        <f>5818-J389</f>
        <v>2953</v>
      </c>
      <c r="L389" s="61">
        <v>3368</v>
      </c>
      <c r="M389" s="61">
        <v>3575</v>
      </c>
      <c r="N389" s="61">
        <v>3611</v>
      </c>
      <c r="O389" s="61">
        <v>3691</v>
      </c>
      <c r="P389" s="61">
        <f>3780</f>
        <v>3780</v>
      </c>
      <c r="Q389" s="61">
        <f>4070</f>
        <v>4070</v>
      </c>
      <c r="R389" s="61">
        <v>4822</v>
      </c>
      <c r="S389" s="61">
        <f>9888-R389</f>
        <v>5066</v>
      </c>
      <c r="T389" s="61">
        <v>5236</v>
      </c>
      <c r="U389" s="61">
        <v>5633</v>
      </c>
      <c r="V389" s="61">
        <v>5646</v>
      </c>
      <c r="W389" s="61">
        <f>11500-V389</f>
        <v>5854</v>
      </c>
      <c r="X389" s="61">
        <v>5984</v>
      </c>
      <c r="Y389" s="61">
        <v>6126</v>
      </c>
      <c r="Z389" s="194">
        <v>6200</v>
      </c>
      <c r="AA389" s="194">
        <v>6558</v>
      </c>
      <c r="AB389" s="194">
        <v>6778</v>
      </c>
      <c r="AC389" s="194">
        <v>7032</v>
      </c>
      <c r="AD389" s="194">
        <v>7138</v>
      </c>
      <c r="AE389" s="194">
        <v>7478</v>
      </c>
      <c r="AF389" s="194">
        <v>7568</v>
      </c>
      <c r="AG389" s="194">
        <v>7527</v>
      </c>
      <c r="AH389" s="194">
        <f>7419-3</f>
        <v>7416</v>
      </c>
      <c r="AI389" s="194">
        <v>7456</v>
      </c>
      <c r="AJ389" s="194">
        <v>7350</v>
      </c>
      <c r="AK389" s="194">
        <v>7164</v>
      </c>
      <c r="AL389" s="194">
        <f>7299-57</f>
        <v>7242</v>
      </c>
      <c r="AM389" s="194">
        <f>7040-19</f>
        <v>7021</v>
      </c>
      <c r="AN389" s="194">
        <f>7222-5</f>
        <v>7217</v>
      </c>
      <c r="AO389" s="194">
        <f>6827-0</f>
        <v>6827</v>
      </c>
      <c r="AP389" s="194">
        <f>6986-0</f>
        <v>6986</v>
      </c>
      <c r="AQ389" s="194">
        <f>7175-0</f>
        <v>7175</v>
      </c>
      <c r="AR389" s="194">
        <f>7100-0</f>
        <v>7100</v>
      </c>
      <c r="AS389" s="194">
        <v>7774</v>
      </c>
      <c r="AT389" s="194">
        <v>8500</v>
      </c>
      <c r="AU389" s="194">
        <v>8074</v>
      </c>
      <c r="AV389" s="194">
        <v>7899</v>
      </c>
      <c r="AW389" s="194">
        <v>8170</v>
      </c>
      <c r="AX389" s="194">
        <v>8869</v>
      </c>
      <c r="AY389" s="227">
        <v>9092</v>
      </c>
      <c r="AZ389" s="62">
        <f t="shared" ref="AZ389:BA389" si="4057">AZ387+AZ388</f>
        <v>9271.2181369458049</v>
      </c>
      <c r="BA389" s="62">
        <f t="shared" si="4057"/>
        <v>9523.8171119663057</v>
      </c>
      <c r="BB389" s="62">
        <f t="shared" ref="BB389:BC389" si="4058">BB387+BB388</f>
        <v>9526.3753940709648</v>
      </c>
      <c r="BC389" s="62">
        <f t="shared" si="4058"/>
        <v>9660.6828021626116</v>
      </c>
      <c r="BD389" s="62">
        <f t="shared" ref="BD389:BE389" si="4059">BD387+BD388</f>
        <v>9760.3535726860082</v>
      </c>
      <c r="BE389" s="62">
        <f t="shared" si="4059"/>
        <v>9892.2311473097325</v>
      </c>
      <c r="BF389" s="62">
        <f t="shared" ref="BF389:BG389" si="4060">BF387+BF388</f>
        <v>10003.37150487683</v>
      </c>
      <c r="BG389" s="62">
        <f t="shared" si="4060"/>
        <v>10185.157353165423</v>
      </c>
      <c r="BH389" s="62">
        <f t="shared" ref="BH389:BI389" si="4061">BH387+BH388</f>
        <v>10238.892495773478</v>
      </c>
      <c r="BI389" s="62">
        <f t="shared" si="4061"/>
        <v>10428.118590855171</v>
      </c>
      <c r="BJ389" s="62">
        <f t="shared" ref="BJ389:BK389" si="4062">BJ387+BJ388</f>
        <v>10492.467840337327</v>
      </c>
      <c r="BK389" s="62">
        <f t="shared" si="4062"/>
        <v>10677.681677731845</v>
      </c>
      <c r="BL389" s="62">
        <f t="shared" ref="BL389:BM389" si="4063">BL387+BL388</f>
        <v>10773.414063202845</v>
      </c>
      <c r="BM389" s="62">
        <f t="shared" si="4063"/>
        <v>10899.606266611698</v>
      </c>
      <c r="BN389" s="62">
        <f t="shared" ref="BN389:BO389" si="4064">BN387+BN388</f>
        <v>11002.946686086683</v>
      </c>
      <c r="BO389" s="62">
        <f t="shared" si="4064"/>
        <v>11204.694834392447</v>
      </c>
      <c r="BP389" s="62">
        <f t="shared" ref="BP389:BQ389" si="4065">BP387+BP388</f>
        <v>11290.261310669048</v>
      </c>
      <c r="BQ389" s="62">
        <f t="shared" si="4065"/>
        <v>11506.394725049029</v>
      </c>
      <c r="BR389" s="62"/>
      <c r="BS389" s="61">
        <f>2437.8</f>
        <v>2437.8000000000002</v>
      </c>
      <c r="BT389" s="61">
        <v>2543</v>
      </c>
      <c r="BU389" s="61">
        <v>2794</v>
      </c>
      <c r="BV389" s="61">
        <v>3084</v>
      </c>
      <c r="BW389" s="61">
        <v>3327</v>
      </c>
      <c r="BX389" s="61">
        <f>3437</f>
        <v>3437</v>
      </c>
      <c r="BY389" s="61">
        <v>3547</v>
      </c>
      <c r="BZ389" s="61">
        <v>3655</v>
      </c>
      <c r="CA389" s="61">
        <v>3801</v>
      </c>
      <c r="CB389" s="61">
        <v>3833</v>
      </c>
      <c r="CC389" s="62">
        <f>SUM(D389:E389)</f>
        <v>4018</v>
      </c>
      <c r="CD389" s="62">
        <f>SUM(F389:G389)</f>
        <v>4311</v>
      </c>
      <c r="CE389" s="62">
        <f>SUM(H389:I389)</f>
        <v>5254</v>
      </c>
      <c r="CF389" s="62">
        <f>SUM(J389:K389)</f>
        <v>5818</v>
      </c>
      <c r="CG389" s="62">
        <f>SUM(L389:M389)</f>
        <v>6943</v>
      </c>
      <c r="CH389" s="62">
        <f>SUM(N389:O389)</f>
        <v>7302</v>
      </c>
      <c r="CI389" s="62">
        <f>SUM(P389:Q389)</f>
        <v>7850</v>
      </c>
      <c r="CJ389" s="62">
        <f>SUM(R389:S389)</f>
        <v>9888</v>
      </c>
      <c r="CK389" s="62">
        <f t="shared" ref="CK389:CP389" si="4066">CK387+CK388</f>
        <v>10869</v>
      </c>
      <c r="CL389" s="62">
        <f t="shared" si="4066"/>
        <v>11500</v>
      </c>
      <c r="CM389" s="62">
        <f t="shared" si="4066"/>
        <v>12110</v>
      </c>
      <c r="CN389" s="62">
        <f t="shared" si="4066"/>
        <v>12758</v>
      </c>
      <c r="CO389" s="62">
        <f t="shared" si="4066"/>
        <v>13810</v>
      </c>
      <c r="CP389" s="62">
        <f t="shared" si="4066"/>
        <v>14616</v>
      </c>
      <c r="CQ389" s="62">
        <f t="shared" ref="CQ389:CX389" si="4067">CQ387+CQ388</f>
        <v>15095</v>
      </c>
      <c r="CR389" s="62">
        <f t="shared" si="4067"/>
        <v>14872</v>
      </c>
      <c r="CS389" s="62">
        <f t="shared" si="4067"/>
        <v>14514</v>
      </c>
      <c r="CT389" s="62">
        <f t="shared" si="4067"/>
        <v>14263</v>
      </c>
      <c r="CU389" s="62">
        <f t="shared" si="4067"/>
        <v>14044</v>
      </c>
      <c r="CV389" s="62">
        <f t="shared" si="4067"/>
        <v>14161</v>
      </c>
      <c r="CW389" s="62">
        <f t="shared" si="4067"/>
        <v>14874</v>
      </c>
      <c r="CX389" s="62">
        <f t="shared" si="4067"/>
        <v>16574</v>
      </c>
      <c r="CY389" s="62">
        <f t="shared" ref="CY389:DD389" si="4068">CY387+CY388</f>
        <v>16069</v>
      </c>
      <c r="CZ389" s="220">
        <f t="shared" si="4068"/>
        <v>17961</v>
      </c>
      <c r="DA389" s="62">
        <f t="shared" si="4068"/>
        <v>18795.035248912111</v>
      </c>
      <c r="DB389" s="62">
        <f t="shared" si="4068"/>
        <v>19187.058196233578</v>
      </c>
      <c r="DC389" s="62">
        <f t="shared" si="4068"/>
        <v>19652.584719995742</v>
      </c>
      <c r="DD389" s="62">
        <f t="shared" si="4068"/>
        <v>20188.528858042253</v>
      </c>
      <c r="DE389" s="62">
        <f t="shared" ref="DE389" si="4069">DE387+DE388</f>
        <v>20667.011086628649</v>
      </c>
      <c r="DF389" s="62">
        <f t="shared" ref="DF389" si="4070">DF387+DF388</f>
        <v>21170.149518069171</v>
      </c>
      <c r="DG389" s="62">
        <f>DG387+DG388</f>
        <v>21673.020329814542</v>
      </c>
      <c r="DH389" s="62">
        <f>DH387+DH388</f>
        <v>22207.64152047913</v>
      </c>
      <c r="DI389" s="62">
        <f>DI387+DI388</f>
        <v>22796.656035718079</v>
      </c>
    </row>
    <row r="390" spans="1:113" ht="12" outlineLevel="1">
      <c r="C390" s="41"/>
      <c r="D390" s="41"/>
      <c r="E390" s="41"/>
      <c r="F390" s="41"/>
      <c r="G390" s="41"/>
      <c r="H390" s="41"/>
      <c r="I390" s="41"/>
      <c r="J390" s="41"/>
      <c r="K390" s="41"/>
      <c r="L390" s="41"/>
      <c r="M390" s="41"/>
      <c r="N390" s="41"/>
      <c r="O390" s="41"/>
      <c r="P390" s="41"/>
      <c r="Q390" s="41"/>
      <c r="R390" s="41"/>
      <c r="S390" s="41"/>
      <c r="T390" s="41"/>
      <c r="U390" s="41"/>
      <c r="V390" s="41"/>
      <c r="W390" s="41"/>
      <c r="X390" s="41"/>
      <c r="Y390" s="41"/>
      <c r="Z390" s="41"/>
      <c r="AA390" s="41"/>
      <c r="AB390" s="41"/>
      <c r="AC390" s="41"/>
      <c r="AD390" s="41"/>
      <c r="AE390" s="41"/>
      <c r="AF390" s="41"/>
      <c r="AG390" s="41"/>
      <c r="AH390" s="41"/>
      <c r="AI390" s="41"/>
      <c r="AJ390" s="41"/>
      <c r="AK390" s="41"/>
      <c r="AL390" s="41"/>
      <c r="AM390" s="41"/>
      <c r="AN390" s="41"/>
      <c r="AO390" s="41"/>
      <c r="AP390" s="41"/>
      <c r="AQ390" s="41"/>
      <c r="AR390" s="41"/>
      <c r="AS390" s="41"/>
      <c r="AT390" s="41"/>
      <c r="AU390" s="41"/>
      <c r="AV390" s="41"/>
      <c r="AW390" s="41"/>
      <c r="AX390" s="41"/>
      <c r="AY390" s="211">
        <f>AY381-[3]ANZ!J$10</f>
        <v>0</v>
      </c>
      <c r="AZ390" s="573">
        <f>AZ381-[3]ANZ!K$10</f>
        <v>-3.2363972192360961</v>
      </c>
      <c r="BA390" s="573">
        <f>BA381-[3]ANZ!L$10</f>
        <v>-11.7120234254362</v>
      </c>
      <c r="BB390" s="573">
        <f>BB381-[3]ANZ!M$10</f>
        <v>-16.628649021628007</v>
      </c>
      <c r="BC390" s="573">
        <f>BC381-[3]ANZ!N$10</f>
        <v>-16.670974512737303</v>
      </c>
      <c r="BD390" s="573">
        <f>BD381-[3]ANZ!O$10</f>
        <v>-16.728736525888962</v>
      </c>
      <c r="BE390" s="573">
        <f>BE381-[3]ANZ!P$10</f>
        <v>-16.778006298092805</v>
      </c>
      <c r="BF390" s="573">
        <f>BF381-[3]ANZ!Q$10</f>
        <v>-16.779041106754448</v>
      </c>
      <c r="BG390" s="573">
        <f>BG381-[3]ANZ!R$10</f>
        <v>-16.936684035126746</v>
      </c>
      <c r="BH390" s="573">
        <f>BH381-[3]ANZ!S$10</f>
        <v>-16.89008590143203</v>
      </c>
      <c r="BI390" s="573">
        <f>BI381-[3]ANZ!T$10</f>
        <v>-17.071453830340033</v>
      </c>
      <c r="BJ390" s="41"/>
      <c r="BK390" s="41"/>
      <c r="BL390" s="41"/>
      <c r="BM390" s="41"/>
      <c r="BN390" s="41"/>
      <c r="BO390" s="41"/>
      <c r="BP390" s="41"/>
      <c r="BQ390" s="41"/>
      <c r="BR390" s="41"/>
      <c r="BS390" s="41"/>
      <c r="BT390" s="41"/>
      <c r="BU390" s="41"/>
      <c r="BV390" s="41"/>
      <c r="BW390" s="41"/>
      <c r="BX390" s="41"/>
      <c r="BY390" s="41"/>
      <c r="BZ390" s="41"/>
      <c r="CA390" s="41"/>
      <c r="CB390" s="41"/>
      <c r="CC390" s="41"/>
      <c r="CD390" s="41"/>
      <c r="CE390" s="41"/>
      <c r="CF390" s="41"/>
      <c r="CG390" s="41"/>
      <c r="CH390" s="41"/>
      <c r="CI390" s="41"/>
      <c r="CJ390" s="41"/>
      <c r="CK390" s="41"/>
      <c r="CL390" s="41"/>
      <c r="CM390" s="41"/>
      <c r="CN390" s="41"/>
      <c r="CO390" s="41"/>
      <c r="CP390" s="41"/>
      <c r="CQ390" s="41"/>
      <c r="CR390" s="41"/>
      <c r="CS390" s="41"/>
      <c r="CT390" s="41"/>
      <c r="CU390" s="41"/>
      <c r="CV390" s="41"/>
      <c r="CW390" s="41"/>
      <c r="CX390" s="41"/>
      <c r="CY390" s="41"/>
      <c r="CZ390" s="211"/>
      <c r="DA390" s="41"/>
      <c r="DB390" s="15"/>
      <c r="DC390" s="15"/>
      <c r="DD390" s="15"/>
      <c r="DE390" s="15"/>
      <c r="DF390" s="15"/>
      <c r="DG390" s="15"/>
      <c r="DH390" s="15"/>
      <c r="DI390" s="15"/>
    </row>
    <row r="391" spans="1:113" s="4" customFormat="1" ht="12.95" customHeight="1" outlineLevel="1">
      <c r="A391" s="74"/>
      <c r="B391" s="5" t="s">
        <v>643</v>
      </c>
      <c r="C391" s="389" t="str">
        <f>IF(ROUND(C381,5)=ROUND(C377+C354,5),"Ok","Error")</f>
        <v>Ok</v>
      </c>
      <c r="D391" s="389" t="str">
        <f>IF(ROUND(D381,5)=ROUND(D377+D354,5),"Ok","Error")</f>
        <v>Ok</v>
      </c>
      <c r="E391" s="389" t="str">
        <f>IF(ROUND(E381,5)=ROUND(E377+E354,5),"Ok","Error")</f>
        <v>Ok</v>
      </c>
      <c r="F391" s="389" t="str">
        <f t="shared" ref="F391:L391" si="4071">IF(ROUND(F381,5)=ROUND(F377+F354,5),"Ok","Error")</f>
        <v>Ok</v>
      </c>
      <c r="G391" s="389" t="str">
        <f t="shared" si="4071"/>
        <v>Ok</v>
      </c>
      <c r="H391" s="389" t="str">
        <f t="shared" si="4071"/>
        <v>Ok</v>
      </c>
      <c r="I391" s="389" t="str">
        <f t="shared" si="4071"/>
        <v>Ok</v>
      </c>
      <c r="J391" s="389" t="str">
        <f t="shared" si="4071"/>
        <v>Ok</v>
      </c>
      <c r="K391" s="389" t="str">
        <f t="shared" si="4071"/>
        <v>Ok</v>
      </c>
      <c r="L391" s="389" t="str">
        <f t="shared" si="4071"/>
        <v>Ok</v>
      </c>
      <c r="M391" s="75" t="str">
        <f t="shared" ref="M391:AC391" si="4072">IF(ROUND(M381,5)=ROUND(M377+M354,5),"Ok","Error")</f>
        <v>Ok</v>
      </c>
      <c r="N391" s="75" t="str">
        <f t="shared" si="4072"/>
        <v>Ok</v>
      </c>
      <c r="O391" s="75" t="str">
        <f t="shared" si="4072"/>
        <v>Ok</v>
      </c>
      <c r="P391" s="75" t="str">
        <f t="shared" si="4072"/>
        <v>Ok</v>
      </c>
      <c r="Q391" s="75" t="str">
        <f t="shared" si="4072"/>
        <v>Ok</v>
      </c>
      <c r="R391" s="75" t="str">
        <f t="shared" si="4072"/>
        <v>Ok</v>
      </c>
      <c r="S391" s="75" t="str">
        <f t="shared" si="4072"/>
        <v>Ok</v>
      </c>
      <c r="T391" s="78" t="str">
        <f t="shared" si="4072"/>
        <v>Ok</v>
      </c>
      <c r="U391" s="75" t="str">
        <f>IF(ROUND(U381,5)=ROUND(U377+U354,5),"Ok","Error")</f>
        <v>Ok</v>
      </c>
      <c r="V391" s="75" t="str">
        <f>IF(ROUND(V381,5)=ROUND(V377+V354,5),"Ok","Error")</f>
        <v>Ok</v>
      </c>
      <c r="W391" s="75" t="str">
        <f>IF(ROUND(W381,5)=ROUND(W377+W354,5),"Ok","Error")</f>
        <v>Ok</v>
      </c>
      <c r="X391" s="75" t="str">
        <f>IF(ROUND(X381,5)=ROUND(X377+X354,5),"Ok","Error")</f>
        <v>Ok</v>
      </c>
      <c r="Y391" s="78" t="str">
        <f>IF(ROUND(Y381,5)=ROUND(Y377+Y354,5),"Ok","Error")</f>
        <v>Ok</v>
      </c>
      <c r="Z391" s="78" t="str">
        <f t="shared" si="4072"/>
        <v>Ok</v>
      </c>
      <c r="AA391" s="78" t="str">
        <f t="shared" si="4072"/>
        <v>Ok</v>
      </c>
      <c r="AB391" s="78" t="str">
        <f t="shared" si="4072"/>
        <v>Ok</v>
      </c>
      <c r="AC391" s="78" t="str">
        <f t="shared" si="4072"/>
        <v>Ok</v>
      </c>
      <c r="AD391" s="78" t="str">
        <f t="shared" ref="AD391" si="4073">IF(ROUND(AD381,5)=ROUND(AD377+AD354,5),"Ok","Error")</f>
        <v>Ok</v>
      </c>
      <c r="AE391" s="78" t="str">
        <f t="shared" ref="AE391:AF391" si="4074">IF(ROUND(AE381,5)=ROUND(AE377+AE354,5),"Ok","Error")</f>
        <v>Ok</v>
      </c>
      <c r="AF391" s="78" t="str">
        <f t="shared" si="4074"/>
        <v>Ok</v>
      </c>
      <c r="AG391" s="78" t="str">
        <f t="shared" ref="AG391:AH391" si="4075">IF(ROUND(AG381,5)=ROUND(AG377+AG354,5),"Ok","Error")</f>
        <v>Ok</v>
      </c>
      <c r="AH391" s="78" t="str">
        <f t="shared" si="4075"/>
        <v>Ok</v>
      </c>
      <c r="AI391" s="78" t="str">
        <f t="shared" ref="AI391:AJ391" si="4076">IF(ROUND(AI381,5)=ROUND(AI377+AI354,5),"Ok","Error")</f>
        <v>Ok</v>
      </c>
      <c r="AJ391" s="78" t="str">
        <f t="shared" si="4076"/>
        <v>Ok</v>
      </c>
      <c r="AK391" s="78" t="str">
        <f t="shared" ref="AK391:AL391" si="4077">IF(ROUND(AK381,5)=ROUND(AK377+AK354,5),"Ok","Error")</f>
        <v>Ok</v>
      </c>
      <c r="AL391" s="78" t="str">
        <f t="shared" si="4077"/>
        <v>Ok</v>
      </c>
      <c r="AM391" s="78" t="str">
        <f t="shared" ref="AM391:AN391" si="4078">IF(ROUND(AM381,5)=ROUND(AM377+AM354,5),"Ok","Error")</f>
        <v>Ok</v>
      </c>
      <c r="AN391" s="78" t="str">
        <f t="shared" si="4078"/>
        <v>Ok</v>
      </c>
      <c r="AO391" s="78" t="str">
        <f t="shared" ref="AO391" si="4079">IF(ROUND(AO381,5)=ROUND(AO377+AO354,5),"Ok","Error")</f>
        <v>Ok</v>
      </c>
      <c r="AP391" s="78" t="str">
        <f t="shared" ref="AP391:AQ391" si="4080">IF(ROUND(AP381,5)=ROUND(AP377+AP354,5),"Ok","Error")</f>
        <v>Ok</v>
      </c>
      <c r="AQ391" s="78" t="str">
        <f t="shared" si="4080"/>
        <v>Ok</v>
      </c>
      <c r="AR391" s="78" t="str">
        <f t="shared" ref="AR391:AS391" si="4081">IF(ROUND(AR381,5)=ROUND(AR377+AR354,5),"Ok","Error")</f>
        <v>Ok</v>
      </c>
      <c r="AS391" s="78" t="str">
        <f t="shared" si="4081"/>
        <v>Ok</v>
      </c>
      <c r="AT391" s="78" t="str">
        <f t="shared" ref="AT391:AU391" si="4082">IF(ROUND(AT381,5)=ROUND(AT377+AT354,5),"Ok","Error")</f>
        <v>Ok</v>
      </c>
      <c r="AU391" s="78" t="str">
        <f t="shared" si="4082"/>
        <v>Ok</v>
      </c>
      <c r="AV391" s="78" t="str">
        <f t="shared" ref="AV391:AW391" si="4083">IF(ROUND(AV381,5)=ROUND(AV377+AV354,5),"Ok","Error")</f>
        <v>Ok</v>
      </c>
      <c r="AW391" s="78" t="str">
        <f t="shared" si="4083"/>
        <v>Ok</v>
      </c>
      <c r="AX391" s="78" t="str">
        <f t="shared" ref="AX391" si="4084">IF(ROUND(AX381,5)=ROUND(AX377+AX354,5),"Ok","Error")</f>
        <v>Ok</v>
      </c>
      <c r="AY391" s="76" t="str">
        <f t="shared" ref="AY391" si="4085">IF(ROUND(AY381,5)=ROUND(AY377+AY354,5),"Ok","Error")</f>
        <v>Ok</v>
      </c>
      <c r="AZ391" s="75" t="str">
        <f t="shared" ref="AZ391:BA391" si="4086">IF(ROUND(AZ381,5)=ROUND(AZ377+AZ354,5),"Ok","Error")</f>
        <v>Ok</v>
      </c>
      <c r="BA391" s="75" t="str">
        <f t="shared" si="4086"/>
        <v>Ok</v>
      </c>
      <c r="BB391" s="75" t="str">
        <f t="shared" ref="BB391:BC391" si="4087">IF(ROUND(BB381,5)=ROUND(BB377+BB354,5),"Ok","Error")</f>
        <v>Ok</v>
      </c>
      <c r="BC391" s="75" t="str">
        <f t="shared" si="4087"/>
        <v>Ok</v>
      </c>
      <c r="BD391" s="75" t="str">
        <f t="shared" ref="BD391:BE391" si="4088">IF(ROUND(BD381,5)=ROUND(BD377+BD354,5),"Ok","Error")</f>
        <v>Ok</v>
      </c>
      <c r="BE391" s="75" t="str">
        <f t="shared" si="4088"/>
        <v>Ok</v>
      </c>
      <c r="BF391" s="75" t="str">
        <f t="shared" ref="BF391:BG391" si="4089">IF(ROUND(BF381,5)=ROUND(BF377+BF354,5),"Ok","Error")</f>
        <v>Ok</v>
      </c>
      <c r="BG391" s="75" t="str">
        <f t="shared" si="4089"/>
        <v>Ok</v>
      </c>
      <c r="BH391" s="75" t="str">
        <f t="shared" ref="BH391:BI391" si="4090">IF(ROUND(BH381,5)=ROUND(BH377+BH354,5),"Ok","Error")</f>
        <v>Ok</v>
      </c>
      <c r="BI391" s="75" t="str">
        <f t="shared" si="4090"/>
        <v>Ok</v>
      </c>
      <c r="BJ391" s="75" t="str">
        <f t="shared" ref="BJ391:BK391" si="4091">IF(ROUND(BJ381,5)=ROUND(BJ377+BJ354,5),"Ok","Error")</f>
        <v>Ok</v>
      </c>
      <c r="BK391" s="75" t="str">
        <f t="shared" si="4091"/>
        <v>Ok</v>
      </c>
      <c r="BL391" s="75" t="str">
        <f t="shared" ref="BL391:BM391" si="4092">IF(ROUND(BL381,5)=ROUND(BL377+BL354,5),"Ok","Error")</f>
        <v>Ok</v>
      </c>
      <c r="BM391" s="75" t="str">
        <f t="shared" si="4092"/>
        <v>Ok</v>
      </c>
      <c r="BN391" s="75" t="str">
        <f t="shared" ref="BN391:BO391" si="4093">IF(ROUND(BN381,5)=ROUND(BN377+BN354,5),"Ok","Error")</f>
        <v>Ok</v>
      </c>
      <c r="BO391" s="75" t="str">
        <f t="shared" si="4093"/>
        <v>Ok</v>
      </c>
      <c r="BP391" s="75" t="str">
        <f t="shared" ref="BP391:BQ391" si="4094">IF(ROUND(BP381,5)=ROUND(BP377+BP354,5),"Ok","Error")</f>
        <v>Ok</v>
      </c>
      <c r="BQ391" s="75" t="str">
        <f t="shared" si="4094"/>
        <v>Ok</v>
      </c>
      <c r="BR391" s="77"/>
      <c r="BS391" s="389" t="str">
        <f t="shared" ref="BS391:CB391" si="4095">IF(ROUND(BS381,5)=ROUND(BS377+BS354,5),"Ok","Error")</f>
        <v>Ok</v>
      </c>
      <c r="BT391" s="389" t="str">
        <f t="shared" si="4095"/>
        <v>Ok</v>
      </c>
      <c r="BU391" s="389" t="str">
        <f t="shared" si="4095"/>
        <v>Ok</v>
      </c>
      <c r="BV391" s="389" t="str">
        <f t="shared" si="4095"/>
        <v>Ok</v>
      </c>
      <c r="BW391" s="389" t="str">
        <f t="shared" si="4095"/>
        <v>Ok</v>
      </c>
      <c r="BX391" s="389" t="str">
        <f t="shared" si="4095"/>
        <v>Ok</v>
      </c>
      <c r="BY391" s="389" t="str">
        <f t="shared" si="4095"/>
        <v>Ok</v>
      </c>
      <c r="BZ391" s="389" t="str">
        <f t="shared" si="4095"/>
        <v>Ok</v>
      </c>
      <c r="CA391" s="389" t="str">
        <f t="shared" si="4095"/>
        <v>Ok</v>
      </c>
      <c r="CB391" s="389" t="str">
        <f t="shared" si="4095"/>
        <v>Ok</v>
      </c>
      <c r="CC391" s="75" t="str">
        <f>IF(ROUND(CC381,5)=ROUND(CC377+CC354,5),"Ok","Drror")</f>
        <v>Ok</v>
      </c>
      <c r="CD391" s="75" t="str">
        <f>IF(ROUND(CD381,5)=ROUND(CD377+CD354,5),"Ok","Error")</f>
        <v>Ok</v>
      </c>
      <c r="CE391" s="75" t="str">
        <f>IF(ROUND(CE381,5)=ROUND(CE377+CE354,5),"Ok","Error")</f>
        <v>Ok</v>
      </c>
      <c r="CF391" s="75" t="str">
        <f>IF(ROUND(CF381,5)=ROUND(CF377+CF354,5),"Ok","Error")</f>
        <v>Ok</v>
      </c>
      <c r="CG391" s="75" t="str">
        <f>IF(ROUND(CG381,5)=ROUND(CG377+CG354,5),"Ok","Error")</f>
        <v>Ok</v>
      </c>
      <c r="CH391" s="75" t="str">
        <f>IF(ROUND(CH381,5)=ROUND(CH377+CH354,5),"Ok","Error")</f>
        <v>Ok</v>
      </c>
      <c r="CI391" s="75" t="str">
        <f t="shared" ref="CI391:CO391" si="4096">IF(ROUND(CI381,5)=ROUND(CI377+CI354,5),"Ok","Error")</f>
        <v>Ok</v>
      </c>
      <c r="CJ391" s="75" t="str">
        <f t="shared" si="4096"/>
        <v>Ok</v>
      </c>
      <c r="CK391" s="75" t="str">
        <f t="shared" si="4096"/>
        <v>Ok</v>
      </c>
      <c r="CL391" s="75" t="str">
        <f t="shared" si="4096"/>
        <v>Ok</v>
      </c>
      <c r="CM391" s="78" t="str">
        <f t="shared" si="4096"/>
        <v>Ok</v>
      </c>
      <c r="CN391" s="78" t="str">
        <f t="shared" si="4096"/>
        <v>Ok</v>
      </c>
      <c r="CO391" s="78" t="str">
        <f t="shared" si="4096"/>
        <v>Ok</v>
      </c>
      <c r="CP391" s="78" t="str">
        <f t="shared" ref="CP391:CX391" si="4097">IF(ROUND(CP381,5)=ROUND(CP377+CP354,5),"Ok","Error")</f>
        <v>Ok</v>
      </c>
      <c r="CQ391" s="78" t="str">
        <f t="shared" si="4097"/>
        <v>Ok</v>
      </c>
      <c r="CR391" s="78" t="str">
        <f t="shared" si="4097"/>
        <v>Ok</v>
      </c>
      <c r="CS391" s="78" t="str">
        <f t="shared" si="4097"/>
        <v>Ok</v>
      </c>
      <c r="CT391" s="78" t="str">
        <f t="shared" si="4097"/>
        <v>Ok</v>
      </c>
      <c r="CU391" s="78" t="str">
        <f t="shared" si="4097"/>
        <v>Ok</v>
      </c>
      <c r="CV391" s="78" t="str">
        <f t="shared" si="4097"/>
        <v>Ok</v>
      </c>
      <c r="CW391" s="78" t="str">
        <f t="shared" si="4097"/>
        <v>Ok</v>
      </c>
      <c r="CX391" s="78" t="str">
        <f t="shared" si="4097"/>
        <v>Ok</v>
      </c>
      <c r="CY391" s="78" t="str">
        <f t="shared" ref="CY391:DD391" si="4098">IF(ROUND(CY381,5)=ROUND(CY377+CY354,5),"Ok","Error")</f>
        <v>Ok</v>
      </c>
      <c r="CZ391" s="76" t="str">
        <f t="shared" si="4098"/>
        <v>Ok</v>
      </c>
      <c r="DA391" s="75" t="str">
        <f t="shared" si="4098"/>
        <v>Ok</v>
      </c>
      <c r="DB391" s="75" t="str">
        <f t="shared" si="4098"/>
        <v>Ok</v>
      </c>
      <c r="DC391" s="75" t="str">
        <f t="shared" si="4098"/>
        <v>Ok</v>
      </c>
      <c r="DD391" s="75" t="str">
        <f t="shared" si="4098"/>
        <v>Ok</v>
      </c>
      <c r="DE391" s="75" t="str">
        <f t="shared" ref="DE391" si="4099">IF(ROUND(DE381,5)=ROUND(DE377+DE354,5),"Ok","Error")</f>
        <v>Ok</v>
      </c>
      <c r="DF391" s="75" t="str">
        <f t="shared" ref="DF391" si="4100">IF(ROUND(DF381,5)=ROUND(DF377+DF354,5),"Ok","Error")</f>
        <v>Ok</v>
      </c>
      <c r="DG391" s="75" t="str">
        <f>IF(ROUND(DG381,5)=ROUND(DG377+DG354,5),"Ok","Error")</f>
        <v>Ok</v>
      </c>
      <c r="DH391" s="75" t="str">
        <f>IF(ROUND(DH381,5)=ROUND(DH377+DH354,5),"Ok","Error")</f>
        <v>Ok</v>
      </c>
      <c r="DI391" s="75" t="str">
        <f>IF(ROUND(DI381,5)=ROUND(DI377+DI354,5),"Ok","Error")</f>
        <v>Ok</v>
      </c>
    </row>
    <row r="392" spans="1:113" ht="12">
      <c r="C392" s="41"/>
      <c r="D392" s="41"/>
      <c r="E392" s="41"/>
      <c r="F392" s="41"/>
      <c r="G392" s="41"/>
      <c r="H392" s="41"/>
      <c r="I392" s="41"/>
      <c r="J392" s="41"/>
      <c r="K392" s="41"/>
      <c r="L392" s="41"/>
      <c r="M392" s="41"/>
      <c r="N392" s="41"/>
      <c r="O392" s="41"/>
      <c r="P392" s="41"/>
      <c r="Q392" s="41"/>
      <c r="R392" s="41"/>
      <c r="S392" s="41"/>
      <c r="T392" s="41"/>
      <c r="U392" s="41"/>
      <c r="V392" s="41"/>
      <c r="W392" s="41"/>
      <c r="X392" s="41"/>
      <c r="Y392" s="41"/>
      <c r="Z392" s="41"/>
      <c r="AA392" s="41"/>
      <c r="AB392" s="41"/>
      <c r="AC392" s="46"/>
      <c r="AD392" s="46"/>
      <c r="AE392" s="46"/>
      <c r="AF392" s="46"/>
      <c r="AG392" s="41"/>
      <c r="AH392" s="41"/>
      <c r="AI392" s="41"/>
      <c r="AJ392" s="41"/>
      <c r="AK392" s="41"/>
      <c r="AL392" s="41"/>
      <c r="AM392" s="41"/>
      <c r="AN392" s="41"/>
      <c r="AO392" s="41"/>
      <c r="AP392" s="41"/>
      <c r="AQ392" s="41"/>
      <c r="AR392" s="41"/>
      <c r="AS392" s="41"/>
      <c r="AT392" s="41"/>
      <c r="AU392" s="41"/>
      <c r="AV392" s="41"/>
      <c r="AW392" s="41"/>
      <c r="AX392" s="41"/>
      <c r="AY392" s="211"/>
      <c r="AZ392" s="41"/>
      <c r="BA392" s="41"/>
      <c r="BB392" s="41"/>
      <c r="BC392" s="41"/>
      <c r="BD392" s="41"/>
      <c r="BE392" s="41"/>
      <c r="BF392" s="41"/>
      <c r="BG392" s="41"/>
      <c r="BH392" s="41"/>
      <c r="BI392" s="41"/>
      <c r="BJ392" s="41"/>
      <c r="BK392" s="41"/>
      <c r="BL392" s="41"/>
      <c r="BM392" s="41"/>
      <c r="BN392" s="41"/>
      <c r="BO392" s="41"/>
      <c r="BP392" s="41"/>
      <c r="BQ392" s="41"/>
      <c r="BR392" s="41"/>
      <c r="BS392" s="41"/>
      <c r="BT392" s="41"/>
      <c r="BU392" s="41"/>
      <c r="BV392" s="41"/>
      <c r="BW392" s="41"/>
      <c r="BX392" s="41"/>
      <c r="BY392" s="41"/>
      <c r="BZ392" s="41"/>
      <c r="CA392" s="41"/>
      <c r="CB392" s="41"/>
      <c r="CC392" s="41"/>
      <c r="CD392" s="41"/>
      <c r="CE392" s="41"/>
      <c r="CF392" s="41"/>
      <c r="CG392" s="41"/>
      <c r="CH392" s="41"/>
      <c r="CI392" s="41"/>
      <c r="CJ392" s="41"/>
      <c r="CK392" s="41"/>
      <c r="CL392" s="41"/>
      <c r="CM392" s="41"/>
      <c r="CN392" s="41"/>
      <c r="CO392" s="41"/>
      <c r="CP392" s="41"/>
      <c r="CQ392" s="41"/>
      <c r="CR392" s="41"/>
      <c r="CS392" s="41"/>
      <c r="CT392" s="41"/>
      <c r="CU392" s="41"/>
      <c r="CV392" s="41"/>
      <c r="CW392" s="41"/>
      <c r="CX392" s="41"/>
      <c r="CY392" s="41"/>
      <c r="CZ392" s="211"/>
      <c r="DA392" s="41"/>
      <c r="DB392" s="15"/>
      <c r="DC392" s="15"/>
      <c r="DD392" s="15"/>
      <c r="DE392" s="15"/>
      <c r="DF392" s="15"/>
      <c r="DG392" s="15"/>
      <c r="DH392" s="15"/>
      <c r="DI392" s="15"/>
    </row>
    <row r="393" spans="1:113" s="26" customFormat="1" ht="12" collapsed="1">
      <c r="A393" s="1" t="s">
        <v>995</v>
      </c>
      <c r="B393" s="2" t="s">
        <v>644</v>
      </c>
      <c r="C393" s="60">
        <f>C408</f>
        <v>1333</v>
      </c>
      <c r="D393" s="60">
        <f>D408</f>
        <v>1409</v>
      </c>
      <c r="E393" s="60">
        <f>E408</f>
        <v>1481.57</v>
      </c>
      <c r="F393" s="60">
        <f t="shared" ref="F393:L393" si="4101">F408</f>
        <v>1453.43</v>
      </c>
      <c r="G393" s="60">
        <f t="shared" si="4101"/>
        <v>1566.25</v>
      </c>
      <c r="H393" s="60">
        <f t="shared" si="4101"/>
        <v>1683.25</v>
      </c>
      <c r="I393" s="60">
        <f t="shared" si="4101"/>
        <v>1831.69</v>
      </c>
      <c r="J393" s="60">
        <f t="shared" si="4101"/>
        <v>1506.47</v>
      </c>
      <c r="K393" s="60">
        <f t="shared" si="4101"/>
        <v>1635.31</v>
      </c>
      <c r="L393" s="60">
        <f t="shared" si="4101"/>
        <v>1681.58</v>
      </c>
      <c r="M393" s="60">
        <f t="shared" ref="M393:AC393" si="4102">M408</f>
        <v>1705.99</v>
      </c>
      <c r="N393" s="60">
        <f t="shared" si="4102"/>
        <v>1903.28</v>
      </c>
      <c r="O393" s="60">
        <f t="shared" si="4102"/>
        <v>2082.79</v>
      </c>
      <c r="P393" s="60">
        <f t="shared" si="4102"/>
        <v>2458.69</v>
      </c>
      <c r="Q393" s="60">
        <f t="shared" si="4102"/>
        <v>1966.77</v>
      </c>
      <c r="R393" s="60">
        <f t="shared" si="4102"/>
        <v>1296.1199999999999</v>
      </c>
      <c r="S393" s="60">
        <f t="shared" si="4102"/>
        <v>3106.36</v>
      </c>
      <c r="T393" s="60">
        <f t="shared" si="4102"/>
        <v>2427</v>
      </c>
      <c r="U393" s="60">
        <f t="shared" si="4102"/>
        <v>2635</v>
      </c>
      <c r="V393" s="60">
        <f t="shared" si="4102"/>
        <v>2856</v>
      </c>
      <c r="W393" s="60">
        <f t="shared" si="4102"/>
        <v>2529</v>
      </c>
      <c r="X393" s="60">
        <f t="shared" si="4102"/>
        <v>2736</v>
      </c>
      <c r="Y393" s="60">
        <f>Y408</f>
        <v>3002</v>
      </c>
      <c r="Z393" s="60">
        <f t="shared" si="4102"/>
        <v>2856</v>
      </c>
      <c r="AA393" s="60">
        <f t="shared" si="4102"/>
        <v>2763</v>
      </c>
      <c r="AB393" s="60">
        <f t="shared" si="4102"/>
        <v>2904</v>
      </c>
      <c r="AC393" s="60">
        <f t="shared" si="4102"/>
        <v>2877</v>
      </c>
      <c r="AD393" s="60">
        <f t="shared" ref="AD393" si="4103">AD408</f>
        <v>3057</v>
      </c>
      <c r="AE393" s="60">
        <f t="shared" ref="AE393:AF393" si="4104">AE408</f>
        <v>2864</v>
      </c>
      <c r="AF393" s="60">
        <f t="shared" si="4104"/>
        <v>2757</v>
      </c>
      <c r="AG393" s="60">
        <f t="shared" ref="AG393:AH393" si="4105">AG408</f>
        <v>2742</v>
      </c>
      <c r="AH393" s="60">
        <f t="shared" si="4105"/>
        <v>2557</v>
      </c>
      <c r="AI393" s="60">
        <f t="shared" ref="AI393" si="4106">AI408</f>
        <v>2384</v>
      </c>
      <c r="AJ393" s="60">
        <f t="shared" ref="AJ393" si="4107">AJ408</f>
        <v>2520</v>
      </c>
      <c r="AK393" s="60">
        <f t="shared" ref="AK393:AP393" si="4108">AK408</f>
        <v>2333</v>
      </c>
      <c r="AL393" s="60">
        <f t="shared" si="4108"/>
        <v>2447</v>
      </c>
      <c r="AM393" s="60">
        <f t="shared" si="4108"/>
        <v>2243</v>
      </c>
      <c r="AN393" s="60">
        <f t="shared" si="4108"/>
        <v>1357</v>
      </c>
      <c r="AO393" s="60">
        <f t="shared" si="4108"/>
        <v>2346</v>
      </c>
      <c r="AP393" s="60">
        <f t="shared" si="4108"/>
        <v>1437</v>
      </c>
      <c r="AQ393" s="60">
        <f t="shared" ref="AQ393:AR393" si="4109">AQ408</f>
        <v>1849</v>
      </c>
      <c r="AR393" s="60">
        <f t="shared" si="4109"/>
        <v>1848</v>
      </c>
      <c r="AS393" s="60">
        <f t="shared" ref="AS393:AT393" si="4110">AS408</f>
        <v>1825</v>
      </c>
      <c r="AT393" s="60">
        <f t="shared" si="4110"/>
        <v>2040</v>
      </c>
      <c r="AU393" s="60">
        <f t="shared" ref="AU393:AV393" si="4111">AU408</f>
        <v>2291</v>
      </c>
      <c r="AV393" s="60">
        <f t="shared" si="4111"/>
        <v>2448</v>
      </c>
      <c r="AW393" s="60">
        <f t="shared" ref="AW393:AX393" si="4112">AW408</f>
        <v>2292</v>
      </c>
      <c r="AX393" s="60">
        <f t="shared" si="4112"/>
        <v>2126</v>
      </c>
      <c r="AY393" s="219">
        <f t="shared" ref="AY393" si="4113">AY408</f>
        <v>1812</v>
      </c>
      <c r="AZ393" s="60">
        <f t="shared" ref="AZ393:BA393" si="4114">AZ408</f>
        <v>2168.1771210547849</v>
      </c>
      <c r="BA393" s="60">
        <f t="shared" si="4114"/>
        <v>2094.4578777721872</v>
      </c>
      <c r="BB393" s="60">
        <f t="shared" ref="BB393:BC393" si="4115">BB408</f>
        <v>2151.439947652219</v>
      </c>
      <c r="BC393" s="60">
        <f t="shared" si="4115"/>
        <v>2087.9452054538524</v>
      </c>
      <c r="BD393" s="60">
        <f t="shared" ref="BD393:BE393" si="4116">BD408</f>
        <v>2195.4885078141301</v>
      </c>
      <c r="BE393" s="60">
        <f t="shared" si="4116"/>
        <v>2125.6738675091365</v>
      </c>
      <c r="BF393" s="60">
        <f t="shared" ref="BF393:BG393" si="4117">BF408</f>
        <v>2216.1827879177358</v>
      </c>
      <c r="BG393" s="60">
        <f t="shared" si="4117"/>
        <v>2149.1932427041211</v>
      </c>
      <c r="BH393" s="60">
        <f t="shared" ref="BH393:BI393" si="4118">BH408</f>
        <v>2237.81085368408</v>
      </c>
      <c r="BI393" s="60">
        <f t="shared" si="4118"/>
        <v>2171.7876196277816</v>
      </c>
      <c r="BJ393" s="60">
        <f t="shared" ref="BJ393:BK393" si="4119">BJ408</f>
        <v>2298.468979967623</v>
      </c>
      <c r="BK393" s="60">
        <f t="shared" si="4119"/>
        <v>2352.4612592137669</v>
      </c>
      <c r="BL393" s="60">
        <f t="shared" ref="BL393:BM393" si="4120">BL408</f>
        <v>2380.4866898171249</v>
      </c>
      <c r="BM393" s="60">
        <f t="shared" si="4120"/>
        <v>2412.6651869236298</v>
      </c>
      <c r="BN393" s="60">
        <f t="shared" ref="BN393:BO393" si="4121">BN408</f>
        <v>2443.2000928340995</v>
      </c>
      <c r="BO393" s="60">
        <f t="shared" si="4121"/>
        <v>2499.0988641862464</v>
      </c>
      <c r="BP393" s="60">
        <f t="shared" ref="BP393:BQ393" si="4122">BP408</f>
        <v>2532.0916045576905</v>
      </c>
      <c r="BQ393" s="60">
        <f t="shared" si="4122"/>
        <v>2597.5454591426551</v>
      </c>
      <c r="BR393" s="60"/>
      <c r="BS393" s="60">
        <f t="shared" ref="BS393:CB393" si="4123">BS408</f>
        <v>2108.6999999999998</v>
      </c>
      <c r="BT393" s="60">
        <f t="shared" si="4123"/>
        <v>1875</v>
      </c>
      <c r="BU393" s="60">
        <f t="shared" si="4123"/>
        <v>1793</v>
      </c>
      <c r="BV393" s="60">
        <f t="shared" si="4123"/>
        <v>1754</v>
      </c>
      <c r="BW393" s="60">
        <f t="shared" si="4123"/>
        <v>1839</v>
      </c>
      <c r="BX393" s="60">
        <f t="shared" si="4123"/>
        <v>2110</v>
      </c>
      <c r="BY393" s="60">
        <f t="shared" si="4123"/>
        <v>2142</v>
      </c>
      <c r="BZ393" s="60">
        <f t="shared" si="4123"/>
        <v>2377</v>
      </c>
      <c r="CA393" s="60">
        <f t="shared" si="4123"/>
        <v>2583</v>
      </c>
      <c r="CB393" s="60">
        <f t="shared" si="4123"/>
        <v>2573</v>
      </c>
      <c r="CC393" s="60">
        <f t="shared" ref="CC393:CO393" si="4124">CC408</f>
        <v>2890.5699999999997</v>
      </c>
      <c r="CD393" s="60">
        <f t="shared" si="4124"/>
        <v>3019.6800000000003</v>
      </c>
      <c r="CE393" s="60">
        <f t="shared" si="4124"/>
        <v>3514.94</v>
      </c>
      <c r="CF393" s="60">
        <f t="shared" si="4124"/>
        <v>3141.7799999999997</v>
      </c>
      <c r="CG393" s="60">
        <f t="shared" si="4124"/>
        <v>3387.5699999999997</v>
      </c>
      <c r="CH393" s="60">
        <f t="shared" si="4124"/>
        <v>3986.0699999999997</v>
      </c>
      <c r="CI393" s="60">
        <f t="shared" si="4124"/>
        <v>4425.46</v>
      </c>
      <c r="CJ393" s="60">
        <f t="shared" si="4124"/>
        <v>4402.4799999999996</v>
      </c>
      <c r="CK393" s="60">
        <f t="shared" si="4124"/>
        <v>5062</v>
      </c>
      <c r="CL393" s="60">
        <f t="shared" si="4124"/>
        <v>5385</v>
      </c>
      <c r="CM393" s="60">
        <f t="shared" si="4124"/>
        <v>5738</v>
      </c>
      <c r="CN393" s="60">
        <f t="shared" si="4124"/>
        <v>5619</v>
      </c>
      <c r="CO393" s="60">
        <f t="shared" si="4124"/>
        <v>5781</v>
      </c>
      <c r="CP393" s="60">
        <f t="shared" ref="CP393:CX393" si="4125">CP408</f>
        <v>5921</v>
      </c>
      <c r="CQ393" s="60">
        <f t="shared" si="4125"/>
        <v>5499</v>
      </c>
      <c r="CR393" s="60">
        <f t="shared" si="4125"/>
        <v>4941</v>
      </c>
      <c r="CS393" s="60">
        <f t="shared" si="4125"/>
        <v>4853</v>
      </c>
      <c r="CT393" s="60">
        <f t="shared" si="4125"/>
        <v>4690</v>
      </c>
      <c r="CU393" s="60">
        <f t="shared" si="4125"/>
        <v>3703</v>
      </c>
      <c r="CV393" s="60">
        <f t="shared" si="4125"/>
        <v>3286</v>
      </c>
      <c r="CW393" s="60">
        <f t="shared" si="4125"/>
        <v>3673</v>
      </c>
      <c r="CX393" s="60">
        <f t="shared" si="4125"/>
        <v>4331</v>
      </c>
      <c r="CY393" s="60">
        <f t="shared" ref="CY393:DD393" si="4126">CY408</f>
        <v>4740</v>
      </c>
      <c r="CZ393" s="219">
        <f t="shared" si="4126"/>
        <v>3938</v>
      </c>
      <c r="DA393" s="60">
        <f t="shared" si="4126"/>
        <v>4262.6349988269722</v>
      </c>
      <c r="DB393" s="60">
        <f t="shared" si="4126"/>
        <v>4239.3851531060718</v>
      </c>
      <c r="DC393" s="60">
        <f t="shared" si="4126"/>
        <v>4321.162375323267</v>
      </c>
      <c r="DD393" s="60">
        <f t="shared" si="4126"/>
        <v>4365.3760306218574</v>
      </c>
      <c r="DE393" s="60">
        <f t="shared" ref="DE393" si="4127">DE408</f>
        <v>4409.5984733118621</v>
      </c>
      <c r="DF393" s="60">
        <f t="shared" ref="DF393" si="4128">DF408</f>
        <v>4650.9302391813899</v>
      </c>
      <c r="DG393" s="60">
        <f>DG408</f>
        <v>4793.1518767407542</v>
      </c>
      <c r="DH393" s="60">
        <f>DH408</f>
        <v>4942.2989570203463</v>
      </c>
      <c r="DI393" s="60">
        <f>DI408</f>
        <v>5129.6370637003456</v>
      </c>
    </row>
    <row r="394" spans="1:113" ht="12" outlineLevel="1">
      <c r="C394" s="41"/>
      <c r="D394" s="41"/>
      <c r="E394" s="41"/>
      <c r="F394" s="41"/>
      <c r="G394" s="41"/>
      <c r="H394" s="41"/>
      <c r="I394" s="41"/>
      <c r="J394" s="41"/>
      <c r="K394" s="41"/>
      <c r="L394" s="41"/>
      <c r="M394" s="41"/>
      <c r="N394" s="41"/>
      <c r="O394" s="41">
        <f>237+250</f>
        <v>487</v>
      </c>
      <c r="P394" s="41"/>
      <c r="Q394" s="41"/>
      <c r="R394" s="41"/>
      <c r="S394" s="41"/>
      <c r="T394" s="41"/>
      <c r="U394" s="41"/>
      <c r="V394" s="41"/>
      <c r="W394" s="41"/>
      <c r="X394" s="41"/>
      <c r="Y394" s="41"/>
      <c r="Z394" s="41"/>
      <c r="AA394" s="41"/>
      <c r="AB394" s="361"/>
      <c r="AC394" s="41"/>
      <c r="AD394" s="41"/>
      <c r="AE394" s="41"/>
      <c r="AF394" s="41"/>
      <c r="AG394" s="41"/>
      <c r="AH394" s="41"/>
      <c r="AI394" s="41"/>
      <c r="AJ394" s="41"/>
      <c r="AK394" s="41"/>
      <c r="AL394" s="41"/>
      <c r="AM394" s="41"/>
      <c r="AN394" s="41"/>
      <c r="AO394" s="41"/>
      <c r="AP394" s="41"/>
      <c r="AQ394" s="41"/>
      <c r="AR394" s="41"/>
      <c r="AS394" s="41"/>
      <c r="AT394" s="41"/>
      <c r="AU394" s="41"/>
      <c r="AV394" s="41"/>
      <c r="AW394" s="41"/>
      <c r="AX394" s="41"/>
      <c r="AY394" s="211"/>
      <c r="AZ394" s="41"/>
      <c r="BA394" s="41"/>
      <c r="BB394" s="41"/>
      <c r="BC394" s="41"/>
      <c r="BD394" s="41"/>
      <c r="BE394" s="41"/>
      <c r="BF394" s="41"/>
      <c r="BG394" s="41"/>
      <c r="BH394" s="41"/>
      <c r="BI394" s="41"/>
      <c r="BJ394" s="41"/>
      <c r="BK394" s="41"/>
      <c r="BL394" s="41"/>
      <c r="BM394" s="41"/>
      <c r="BN394" s="41"/>
      <c r="BO394" s="41"/>
      <c r="BP394" s="41"/>
      <c r="BQ394" s="41"/>
      <c r="BR394" s="41"/>
      <c r="BS394" s="41"/>
      <c r="BT394" s="41"/>
      <c r="BU394" s="41"/>
      <c r="BV394" s="41"/>
      <c r="BW394" s="41"/>
      <c r="BX394" s="41"/>
      <c r="BY394" s="41"/>
      <c r="BZ394" s="41"/>
      <c r="CA394" s="41"/>
      <c r="CB394" s="41"/>
      <c r="CC394" s="41"/>
      <c r="CD394" s="41"/>
      <c r="CE394" s="41"/>
      <c r="CF394" s="41"/>
      <c r="CG394" s="41"/>
      <c r="CH394" s="41"/>
      <c r="CI394" s="41"/>
      <c r="CJ394" s="41"/>
      <c r="CK394" s="41"/>
      <c r="CL394" s="41"/>
      <c r="CM394" s="41"/>
      <c r="CN394" s="41"/>
      <c r="CO394" s="41"/>
      <c r="CP394" s="41"/>
      <c r="CQ394" s="32"/>
      <c r="CR394" s="32"/>
      <c r="CS394" s="32"/>
      <c r="CT394" s="32"/>
      <c r="CU394" s="32"/>
      <c r="CV394" s="32"/>
      <c r="CW394" s="32"/>
      <c r="CX394" s="32"/>
      <c r="CY394" s="32"/>
      <c r="CZ394" s="31"/>
      <c r="DA394" s="30"/>
      <c r="DB394" s="15"/>
      <c r="DC394" s="15"/>
      <c r="DD394" s="15"/>
      <c r="DE394" s="15"/>
      <c r="DF394" s="15"/>
      <c r="DG394" s="15"/>
      <c r="DH394" s="15"/>
      <c r="DI394" s="15"/>
    </row>
    <row r="395" spans="1:113" ht="12" outlineLevel="1">
      <c r="A395" s="1" t="s">
        <v>996</v>
      </c>
      <c r="B395" s="15" t="s">
        <v>536</v>
      </c>
      <c r="C395" s="40">
        <v>409</v>
      </c>
      <c r="D395" s="40">
        <v>417</v>
      </c>
      <c r="E395" s="40">
        <v>459</v>
      </c>
      <c r="F395" s="40">
        <v>469</v>
      </c>
      <c r="G395" s="40">
        <v>464</v>
      </c>
      <c r="H395" s="40">
        <v>496</v>
      </c>
      <c r="I395" s="40">
        <v>506</v>
      </c>
      <c r="J395" s="40">
        <v>508</v>
      </c>
      <c r="K395" s="40">
        <v>535</v>
      </c>
      <c r="L395" s="40">
        <v>215</v>
      </c>
      <c r="M395" s="40">
        <v>215</v>
      </c>
      <c r="N395" s="40">
        <v>232</v>
      </c>
      <c r="O395" s="40">
        <v>259</v>
      </c>
      <c r="P395" s="40">
        <v>285</v>
      </c>
      <c r="Q395" s="40">
        <v>310</v>
      </c>
      <c r="R395" s="40">
        <v>361</v>
      </c>
      <c r="S395" s="40">
        <f>684-R395</f>
        <v>323</v>
      </c>
      <c r="T395" s="40">
        <v>304</v>
      </c>
      <c r="U395" s="40">
        <v>330</v>
      </c>
      <c r="V395" s="40">
        <v>306</v>
      </c>
      <c r="W395" s="40">
        <v>346</v>
      </c>
      <c r="X395" s="40">
        <v>341</v>
      </c>
      <c r="Y395" s="40">
        <v>356</v>
      </c>
      <c r="Z395" s="141">
        <v>371</v>
      </c>
      <c r="AA395" s="141">
        <v>373</v>
      </c>
      <c r="AB395" s="141">
        <v>396</v>
      </c>
      <c r="AC395" s="141">
        <v>383</v>
      </c>
      <c r="AD395" s="141">
        <v>422</v>
      </c>
      <c r="AE395" s="141">
        <v>411</v>
      </c>
      <c r="AF395" s="141">
        <v>391</v>
      </c>
      <c r="AG395" s="141">
        <v>388</v>
      </c>
      <c r="AH395" s="141">
        <v>369</v>
      </c>
      <c r="AI395" s="141">
        <v>363</v>
      </c>
      <c r="AJ395" s="141">
        <v>343</v>
      </c>
      <c r="AK395" s="141">
        <v>309</v>
      </c>
      <c r="AL395" s="141">
        <v>303</v>
      </c>
      <c r="AM395" s="141">
        <v>299</v>
      </c>
      <c r="AN395" s="141">
        <v>303</v>
      </c>
      <c r="AO395" s="141">
        <v>276</v>
      </c>
      <c r="AP395" s="141">
        <v>244</v>
      </c>
      <c r="AQ395" s="141">
        <v>230</v>
      </c>
      <c r="AR395" s="141">
        <v>188</v>
      </c>
      <c r="AS395" s="141">
        <v>186</v>
      </c>
      <c r="AT395" s="141">
        <v>199</v>
      </c>
      <c r="AU395" s="141">
        <f>397-AT395</f>
        <v>198</v>
      </c>
      <c r="AV395" s="141">
        <v>207</v>
      </c>
      <c r="AW395" s="141">
        <v>213</v>
      </c>
      <c r="AX395" s="141">
        <v>215</v>
      </c>
      <c r="AY395" s="226">
        <v>221</v>
      </c>
      <c r="AZ395" s="41">
        <f t="shared" ref="AZ395:BA395" si="4129">AZ84*(AZ233+AZ235)/AZ$5</f>
        <v>219.50268328386863</v>
      </c>
      <c r="BA395" s="41">
        <f t="shared" si="4129"/>
        <v>219.7756128561744</v>
      </c>
      <c r="BB395" s="41">
        <f t="shared" ref="BB395:BC395" si="4130">BB84*(BB233+BB235)/BB$5</f>
        <v>219.34202155183578</v>
      </c>
      <c r="BC395" s="41">
        <f t="shared" si="4130"/>
        <v>221.65640390854574</v>
      </c>
      <c r="BD395" s="41">
        <f t="shared" ref="BD395:BE395" si="4131">BD84*(BD233+BD235)/BD$5</f>
        <v>222.4762491845176</v>
      </c>
      <c r="BE395" s="41">
        <f t="shared" si="4131"/>
        <v>223.82605859970366</v>
      </c>
      <c r="BF395" s="41">
        <f t="shared" ref="BF395:BG395" si="4132">BF84*(BF233+BF235)/BF$5</f>
        <v>224.40713646605434</v>
      </c>
      <c r="BG395" s="41">
        <f t="shared" si="4132"/>
        <v>226.59179035753237</v>
      </c>
      <c r="BH395" s="41">
        <f t="shared" ref="BH395:BI395" si="4133">BH84*(BH233+BH235)/BH$5</f>
        <v>226.52677594576124</v>
      </c>
      <c r="BI395" s="41">
        <f t="shared" si="4133"/>
        <v>229.11471272709176</v>
      </c>
      <c r="BJ395" s="41">
        <f t="shared" ref="BJ395:BK395" si="4134">BJ84*(BJ233+BJ235)/BJ$5</f>
        <v>230.80954214176583</v>
      </c>
      <c r="BK395" s="41">
        <f t="shared" si="4134"/>
        <v>234.97450639471481</v>
      </c>
      <c r="BL395" s="41">
        <f t="shared" ref="BL395:BM395" si="4135">BL84*(BL233+BL235)/BL$5</f>
        <v>236.86861255670178</v>
      </c>
      <c r="BM395" s="41">
        <f t="shared" si="4135"/>
        <v>239.44893618443555</v>
      </c>
      <c r="BN395" s="41">
        <f t="shared" ref="BN395:BO395" si="4136">BN84*(BN233+BN235)/BN$5</f>
        <v>241.7810016397577</v>
      </c>
      <c r="BO395" s="41">
        <f t="shared" si="4136"/>
        <v>246.53165240506544</v>
      </c>
      <c r="BP395" s="41">
        <f t="shared" ref="BP395:BQ395" si="4137">BP84*(BP233+BP235)/BP$5</f>
        <v>248.94254175670241</v>
      </c>
      <c r="BQ395" s="41">
        <f t="shared" si="4137"/>
        <v>254.46003157994053</v>
      </c>
      <c r="BR395" s="41"/>
      <c r="BS395" s="40">
        <v>614.9</v>
      </c>
      <c r="BT395" s="40">
        <v>597.70000000000005</v>
      </c>
      <c r="BU395" s="40">
        <v>559</v>
      </c>
      <c r="BV395" s="40">
        <v>537</v>
      </c>
      <c r="BW395" s="40">
        <v>550</v>
      </c>
      <c r="BX395" s="40">
        <v>570</v>
      </c>
      <c r="BY395" s="40">
        <v>592</v>
      </c>
      <c r="BZ395" s="40">
        <v>679</v>
      </c>
      <c r="CA395" s="40">
        <v>702</v>
      </c>
      <c r="CB395" s="40">
        <v>787</v>
      </c>
      <c r="CC395" s="41">
        <f t="shared" ref="CC395:CC400" si="4138">SUM(D395:E395)</f>
        <v>876</v>
      </c>
      <c r="CD395" s="41">
        <f t="shared" ref="CD395:CD400" si="4139">SUM(F395:G395)</f>
        <v>933</v>
      </c>
      <c r="CE395" s="41">
        <f t="shared" ref="CE395:CE400" si="4140">SUM(H395:I395)</f>
        <v>1002</v>
      </c>
      <c r="CF395" s="41">
        <f t="shared" ref="CF395:CF400" si="4141">SUM(J395:K395)</f>
        <v>1043</v>
      </c>
      <c r="CG395" s="41">
        <f t="shared" ref="CG395:CG400" si="4142">SUM(L395:M395)</f>
        <v>430</v>
      </c>
      <c r="CH395" s="41">
        <f t="shared" ref="CH395:CH400" si="4143">SUM(N395:O395)</f>
        <v>491</v>
      </c>
      <c r="CI395" s="41">
        <f t="shared" ref="CI395:CI400" si="4144">SUM(P395:Q395)</f>
        <v>595</v>
      </c>
      <c r="CJ395" s="41">
        <f t="shared" ref="CJ395:CJ400" si="4145">SUM(R395:S395)</f>
        <v>684</v>
      </c>
      <c r="CK395" s="41">
        <f t="shared" ref="CK395:CK400" si="4146">SUM(T395:U395)</f>
        <v>634</v>
      </c>
      <c r="CL395" s="41">
        <f t="shared" ref="CL395:CL400" si="4147">SUM(V395:W395)</f>
        <v>652</v>
      </c>
      <c r="CM395" s="41">
        <f t="shared" ref="CM395:CM400" si="4148">SUM(X395:Y395)</f>
        <v>697</v>
      </c>
      <c r="CN395" s="41">
        <f t="shared" ref="CN395:CN400" si="4149">SUM(Z395:AA395)</f>
        <v>744</v>
      </c>
      <c r="CO395" s="41">
        <f t="shared" ref="CO395:CO400" si="4150">SUM(AB395:AC395)</f>
        <v>779</v>
      </c>
      <c r="CP395" s="41">
        <f t="shared" ref="CP395:CP400" si="4151">SUM(AD395:AE395)</f>
        <v>833</v>
      </c>
      <c r="CQ395" s="41">
        <f t="shared" ref="CQ395:CQ399" si="4152">SUM(AF395:AG395)</f>
        <v>779</v>
      </c>
      <c r="CR395" s="41">
        <f t="shared" ref="CR395:CR400" si="4153">SUM(AH395:AI395)</f>
        <v>732</v>
      </c>
      <c r="CS395" s="41">
        <f t="shared" ref="CS395:CS400" si="4154">SUM(AJ395:AK395)</f>
        <v>652</v>
      </c>
      <c r="CT395" s="41">
        <f t="shared" ref="CT395:CT400" si="4155">SUM(AL395:AM395)</f>
        <v>602</v>
      </c>
      <c r="CU395" s="41">
        <f t="shared" ref="CU395:CU400" si="4156">SUM(AN395:AO395)</f>
        <v>579</v>
      </c>
      <c r="CV395" s="41">
        <f t="shared" ref="CV395:CV400" si="4157">SUM(AP395:AQ395)</f>
        <v>474</v>
      </c>
      <c r="CW395" s="41">
        <f t="shared" ref="CW395:CW400" si="4158">SUM(AR395:AS395)</f>
        <v>374</v>
      </c>
      <c r="CX395" s="41">
        <f t="shared" ref="CX395:CX400" si="4159">SUM(AT395:AU395)</f>
        <v>397</v>
      </c>
      <c r="CY395" s="41">
        <f t="shared" ref="CY395:CY400" si="4160">SUM(AV395:AW395)</f>
        <v>420</v>
      </c>
      <c r="CZ395" s="211">
        <f t="shared" ref="CZ395:CZ400" si="4161">SUM(AX395:AY395)</f>
        <v>436</v>
      </c>
      <c r="DA395" s="41">
        <f t="shared" ref="DA395:DA400" si="4162">SUM(AZ395:BA395)</f>
        <v>439.27829614004304</v>
      </c>
      <c r="DB395" s="41">
        <f t="shared" ref="DB395:DB400" si="4163">SUM(BB395:BC395)</f>
        <v>440.99842546038155</v>
      </c>
      <c r="DC395" s="41">
        <f t="shared" ref="DC395:DC400" si="4164">SUM(BD395:BE395)</f>
        <v>446.30230778422128</v>
      </c>
      <c r="DD395" s="41">
        <f t="shared" ref="DD395:DD400" si="4165">SUM(BF395:BG395)</f>
        <v>450.99892682358671</v>
      </c>
      <c r="DE395" s="41">
        <f t="shared" ref="DE395:DE400" si="4166">SUM(BH395:BI395)</f>
        <v>455.64148867285303</v>
      </c>
      <c r="DF395" s="41">
        <f t="shared" ref="DF395:DF400" si="4167">SUM(BJ395:BK395)</f>
        <v>465.78404853648067</v>
      </c>
      <c r="DG395" s="41">
        <f t="shared" ref="DG395:DG400" si="4168">SUM(BL395:BM395)</f>
        <v>476.31754874113733</v>
      </c>
      <c r="DH395" s="41">
        <f t="shared" ref="DH395:DH400" si="4169">SUM(BN395:BO395)</f>
        <v>488.31265404482315</v>
      </c>
      <c r="DI395" s="41">
        <f t="shared" ref="DI395:DI400" si="4170">SUM(BP395:BQ395)</f>
        <v>503.40257333664294</v>
      </c>
    </row>
    <row r="396" spans="1:113" ht="12" outlineLevel="1">
      <c r="A396" s="1" t="s">
        <v>997</v>
      </c>
      <c r="B396" s="15" t="s">
        <v>537</v>
      </c>
      <c r="C396" s="40">
        <f>975-C395</f>
        <v>566</v>
      </c>
      <c r="D396" s="40">
        <f>1014-D395</f>
        <v>597</v>
      </c>
      <c r="E396" s="40">
        <f>1058-E395</f>
        <v>599</v>
      </c>
      <c r="F396" s="40">
        <f>990-F395</f>
        <v>521</v>
      </c>
      <c r="G396" s="40">
        <f>1058-G395</f>
        <v>594</v>
      </c>
      <c r="H396" s="40">
        <f>1161-H395</f>
        <v>665</v>
      </c>
      <c r="I396" s="40">
        <f>1260-I395</f>
        <v>754</v>
      </c>
      <c r="J396" s="40">
        <f>953-J395</f>
        <v>445</v>
      </c>
      <c r="K396" s="40">
        <f>1027-K395</f>
        <v>492</v>
      </c>
      <c r="L396" s="40">
        <f>1029-L395</f>
        <v>814</v>
      </c>
      <c r="M396" s="40">
        <f>1116-M395</f>
        <v>901</v>
      </c>
      <c r="N396" s="40">
        <f>1143-N395</f>
        <v>911</v>
      </c>
      <c r="O396" s="40">
        <f>1237-O395</f>
        <v>978</v>
      </c>
      <c r="P396" s="40">
        <f>1309-P395</f>
        <v>1024</v>
      </c>
      <c r="Q396" s="40">
        <f>1347-Q395</f>
        <v>1037</v>
      </c>
      <c r="R396" s="40">
        <f>1220-R395</f>
        <v>859</v>
      </c>
      <c r="S396" s="40">
        <f>2397-S395-R395-R396</f>
        <v>854</v>
      </c>
      <c r="T396" s="40">
        <f>1132-T395</f>
        <v>828</v>
      </c>
      <c r="U396" s="40">
        <f>1192-U395</f>
        <v>862</v>
      </c>
      <c r="V396" s="40">
        <f>1129-V395</f>
        <v>823</v>
      </c>
      <c r="W396" s="40">
        <f>1180-W395</f>
        <v>834</v>
      </c>
      <c r="X396" s="40">
        <f>1156-X395</f>
        <v>815</v>
      </c>
      <c r="Y396" s="40">
        <f>1136-Y395</f>
        <v>780</v>
      </c>
      <c r="Z396" s="141">
        <f>1145-Z395</f>
        <v>774</v>
      </c>
      <c r="AA396" s="141">
        <f>1171-AA395</f>
        <v>798</v>
      </c>
      <c r="AB396" s="141">
        <f>1191-AB395</f>
        <v>795</v>
      </c>
      <c r="AC396" s="141">
        <f>1183-AC395</f>
        <v>800</v>
      </c>
      <c r="AD396" s="141">
        <f>1217-AD395</f>
        <v>795</v>
      </c>
      <c r="AE396" s="141">
        <f>1231-AE395</f>
        <v>820</v>
      </c>
      <c r="AF396" s="141">
        <f>1227-AF395</f>
        <v>836</v>
      </c>
      <c r="AG396" s="141">
        <f>1193-AG395</f>
        <v>805</v>
      </c>
      <c r="AH396" s="141">
        <f>1177-AH395</f>
        <v>808</v>
      </c>
      <c r="AI396" s="141">
        <f>1185-AI395</f>
        <v>822</v>
      </c>
      <c r="AJ396" s="141">
        <f>1322-AJ395</f>
        <v>979</v>
      </c>
      <c r="AK396" s="141">
        <f>1363-AK395</f>
        <v>1054</v>
      </c>
      <c r="AL396" s="141">
        <f>1244-AL395-AL398</f>
        <v>859.46928499496471</v>
      </c>
      <c r="AM396" s="141">
        <f>1293-AM395-AM398</f>
        <v>913.47783731125185</v>
      </c>
      <c r="AN396" s="141">
        <f>1164-AN395-AN398</f>
        <v>776.18766200103687</v>
      </c>
      <c r="AO396" s="141">
        <f>1086-AO395-AO398</f>
        <v>719.90882862088858</v>
      </c>
      <c r="AP396" s="141">
        <f>948-AP395-AP398</f>
        <v>617.32547169811323</v>
      </c>
      <c r="AQ396" s="141">
        <f>1012-AQ395-AQ398</f>
        <v>782</v>
      </c>
      <c r="AR396" s="141">
        <f>869-AR395-AR398</f>
        <v>681</v>
      </c>
      <c r="AS396" s="141">
        <f>953-AS395-AS398</f>
        <v>767</v>
      </c>
      <c r="AT396" s="141">
        <f>890-AT395-AT398</f>
        <v>691</v>
      </c>
      <c r="AU396" s="141">
        <f>972-AU395-AU398</f>
        <v>774</v>
      </c>
      <c r="AV396" s="141">
        <f>919-AV395-AV398</f>
        <v>712</v>
      </c>
      <c r="AW396" s="141">
        <f>956-AW395-AW398</f>
        <v>743</v>
      </c>
      <c r="AX396" s="141">
        <f>855-AX395-AX398</f>
        <v>640</v>
      </c>
      <c r="AY396" s="226">
        <f>948-AY395-AY398</f>
        <v>727</v>
      </c>
      <c r="AZ396" s="41">
        <f t="shared" ref="AZ396:BA396" si="4171">AZ85/AZ$5*AZ259</f>
        <v>722.07443777091612</v>
      </c>
      <c r="BA396" s="41">
        <f t="shared" si="4171"/>
        <v>722.97226491601259</v>
      </c>
      <c r="BB396" s="41">
        <f t="shared" ref="BB396:BC396" si="4172">BB85/BB$5*BB259</f>
        <v>721.54592610038299</v>
      </c>
      <c r="BC396" s="41">
        <f t="shared" si="4172"/>
        <v>729.15930154530679</v>
      </c>
      <c r="BD396" s="41">
        <f t="shared" ref="BD396:BE396" si="4173">BD85/BD$5*BD259</f>
        <v>731.8562586296124</v>
      </c>
      <c r="BE396" s="41">
        <f t="shared" si="4173"/>
        <v>736.29658190943269</v>
      </c>
      <c r="BF396" s="41">
        <f t="shared" ref="BF396:BG396" si="4174">BF85/BF$5*BF259</f>
        <v>738.2080914516813</v>
      </c>
      <c r="BG396" s="41">
        <f t="shared" si="4174"/>
        <v>745.39471307658869</v>
      </c>
      <c r="BH396" s="41">
        <f t="shared" ref="BH396:BI396" si="4175">BH85/BH$5*BH259</f>
        <v>745.18084213831889</v>
      </c>
      <c r="BI396" s="41">
        <f t="shared" si="4175"/>
        <v>753.6941002379898</v>
      </c>
      <c r="BJ396" s="41">
        <f t="shared" ref="BJ396:BK396" si="4176">BJ85/BJ$5*BJ259</f>
        <v>764.00897864722822</v>
      </c>
      <c r="BK396" s="41">
        <f t="shared" si="4176"/>
        <v>782.51066649459301</v>
      </c>
      <c r="BL396" s="41">
        <f t="shared" ref="BL396:BM396" si="4177">BL85/BL$5*BL259</f>
        <v>790.39940701953276</v>
      </c>
      <c r="BM396" s="41">
        <f t="shared" si="4177"/>
        <v>798.14898660484153</v>
      </c>
      <c r="BN396" s="41">
        <f t="shared" ref="BN396:BO396" si="4178">BN85/BN$5*BN259</f>
        <v>805.76379258461964</v>
      </c>
      <c r="BO396" s="41">
        <f t="shared" si="4178"/>
        <v>822.13283684979478</v>
      </c>
      <c r="BP396" s="41">
        <f t="shared" ref="BP396:BQ396" si="4179">BP85/BP$5*BP259</f>
        <v>831.27555405503631</v>
      </c>
      <c r="BQ396" s="41">
        <f t="shared" si="4179"/>
        <v>851.39533821727423</v>
      </c>
      <c r="BR396" s="41"/>
      <c r="BS396" s="40">
        <f>1301.6-BS395</f>
        <v>686.69999999999993</v>
      </c>
      <c r="BT396" s="40">
        <f>1295.6-BT395</f>
        <v>697.89999999999986</v>
      </c>
      <c r="BU396" s="40">
        <f>1322-BU395</f>
        <v>763</v>
      </c>
      <c r="BV396" s="40">
        <f>1338-BV395</f>
        <v>801</v>
      </c>
      <c r="BW396" s="40">
        <f>1280-BW395</f>
        <v>730</v>
      </c>
      <c r="BX396" s="40">
        <f>1459-BX395</f>
        <v>889</v>
      </c>
      <c r="BY396" s="40">
        <f>1574-BY395</f>
        <v>982</v>
      </c>
      <c r="BZ396" s="40">
        <f>1701-BZ395</f>
        <v>1022</v>
      </c>
      <c r="CA396" s="40">
        <f>1727-CA395</f>
        <v>1025</v>
      </c>
      <c r="CB396" s="40">
        <f>1892-CB395</f>
        <v>1105</v>
      </c>
      <c r="CC396" s="41">
        <f t="shared" si="4138"/>
        <v>1196</v>
      </c>
      <c r="CD396" s="41">
        <f t="shared" si="4139"/>
        <v>1115</v>
      </c>
      <c r="CE396" s="41">
        <f t="shared" si="4140"/>
        <v>1419</v>
      </c>
      <c r="CF396" s="41">
        <f t="shared" si="4141"/>
        <v>937</v>
      </c>
      <c r="CG396" s="41">
        <f t="shared" si="4142"/>
        <v>1715</v>
      </c>
      <c r="CH396" s="41">
        <f t="shared" si="4143"/>
        <v>1889</v>
      </c>
      <c r="CI396" s="41">
        <f t="shared" si="4144"/>
        <v>2061</v>
      </c>
      <c r="CJ396" s="41">
        <f t="shared" si="4145"/>
        <v>1713</v>
      </c>
      <c r="CK396" s="41">
        <f t="shared" si="4146"/>
        <v>1690</v>
      </c>
      <c r="CL396" s="41">
        <f t="shared" si="4147"/>
        <v>1657</v>
      </c>
      <c r="CM396" s="41">
        <f t="shared" si="4148"/>
        <v>1595</v>
      </c>
      <c r="CN396" s="41">
        <f t="shared" si="4149"/>
        <v>1572</v>
      </c>
      <c r="CO396" s="41">
        <f t="shared" si="4150"/>
        <v>1595</v>
      </c>
      <c r="CP396" s="41">
        <f t="shared" si="4151"/>
        <v>1615</v>
      </c>
      <c r="CQ396" s="41">
        <f t="shared" si="4152"/>
        <v>1641</v>
      </c>
      <c r="CR396" s="41">
        <f t="shared" si="4153"/>
        <v>1630</v>
      </c>
      <c r="CS396" s="41">
        <f t="shared" si="4154"/>
        <v>2033</v>
      </c>
      <c r="CT396" s="41">
        <f t="shared" si="4155"/>
        <v>1772.9471223062164</v>
      </c>
      <c r="CU396" s="41">
        <f t="shared" si="4156"/>
        <v>1496.0964906219256</v>
      </c>
      <c r="CV396" s="41">
        <f t="shared" si="4157"/>
        <v>1399.3254716981132</v>
      </c>
      <c r="CW396" s="41">
        <f t="shared" si="4158"/>
        <v>1448</v>
      </c>
      <c r="CX396" s="41">
        <f t="shared" si="4159"/>
        <v>1465</v>
      </c>
      <c r="CY396" s="41">
        <f t="shared" si="4160"/>
        <v>1455</v>
      </c>
      <c r="CZ396" s="211">
        <f t="shared" si="4161"/>
        <v>1367</v>
      </c>
      <c r="DA396" s="41">
        <f t="shared" si="4162"/>
        <v>1445.0467026869287</v>
      </c>
      <c r="DB396" s="41">
        <f t="shared" si="4163"/>
        <v>1450.7052276456898</v>
      </c>
      <c r="DC396" s="41">
        <f t="shared" si="4164"/>
        <v>1468.152840539045</v>
      </c>
      <c r="DD396" s="41">
        <f t="shared" si="4165"/>
        <v>1483.6028045282701</v>
      </c>
      <c r="DE396" s="41">
        <f t="shared" si="4166"/>
        <v>1498.8749423763088</v>
      </c>
      <c r="DF396" s="41">
        <f t="shared" si="4167"/>
        <v>1546.5196451418212</v>
      </c>
      <c r="DG396" s="41">
        <f t="shared" si="4168"/>
        <v>1588.5483936243743</v>
      </c>
      <c r="DH396" s="41">
        <f t="shared" si="4169"/>
        <v>1627.8966294344145</v>
      </c>
      <c r="DI396" s="41">
        <f t="shared" si="4170"/>
        <v>1682.6708922723105</v>
      </c>
    </row>
    <row r="397" spans="1:113" ht="12" outlineLevel="1">
      <c r="A397" s="1" t="s">
        <v>998</v>
      </c>
      <c r="B397" s="15" t="s">
        <v>538</v>
      </c>
      <c r="C397" s="40">
        <f>175+31</f>
        <v>206</v>
      </c>
      <c r="D397" s="40">
        <f>184+33</f>
        <v>217</v>
      </c>
      <c r="E397" s="40">
        <f>181+26</f>
        <v>207</v>
      </c>
      <c r="F397" s="40">
        <f>185+47</f>
        <v>232</v>
      </c>
      <c r="G397" s="40">
        <f>163+63</f>
        <v>226</v>
      </c>
      <c r="H397" s="40">
        <f>198+80</f>
        <v>278</v>
      </c>
      <c r="I397" s="40">
        <f>213+71</f>
        <v>284</v>
      </c>
      <c r="J397" s="40">
        <f>221+39</f>
        <v>260</v>
      </c>
      <c r="K397" s="40">
        <f>233+93</f>
        <v>326</v>
      </c>
      <c r="L397" s="40">
        <f>227+144</f>
        <v>371</v>
      </c>
      <c r="M397" s="40">
        <f>220+65</f>
        <v>285</v>
      </c>
      <c r="N397" s="40">
        <f>237+173</f>
        <v>410</v>
      </c>
      <c r="O397" s="40">
        <f>250+196</f>
        <v>446</v>
      </c>
      <c r="P397" s="40">
        <f>339+243</f>
        <v>582</v>
      </c>
      <c r="Q397" s="40">
        <f>350+263</f>
        <v>613</v>
      </c>
      <c r="R397" s="40">
        <f>539+90</f>
        <v>629</v>
      </c>
      <c r="S397" s="40">
        <f>932+168-R397</f>
        <v>471</v>
      </c>
      <c r="T397" s="40">
        <f>205+360</f>
        <v>565</v>
      </c>
      <c r="U397" s="40">
        <f>353+152</f>
        <v>505</v>
      </c>
      <c r="V397" s="40">
        <v>652</v>
      </c>
      <c r="W397" s="40">
        <v>346</v>
      </c>
      <c r="X397" s="40">
        <v>674</v>
      </c>
      <c r="Y397" s="40">
        <v>547</v>
      </c>
      <c r="Z397" s="141">
        <v>741</v>
      </c>
      <c r="AA397" s="141">
        <v>565</v>
      </c>
      <c r="AB397" s="141">
        <v>720</v>
      </c>
      <c r="AC397" s="141">
        <v>566</v>
      </c>
      <c r="AD397" s="141">
        <v>737</v>
      </c>
      <c r="AE397" s="141">
        <v>448</v>
      </c>
      <c r="AF397" s="141">
        <v>400</v>
      </c>
      <c r="AG397" s="141">
        <v>365</v>
      </c>
      <c r="AH397" s="141">
        <v>886</v>
      </c>
      <c r="AI397" s="141">
        <v>550</v>
      </c>
      <c r="AJ397" s="141">
        <v>547</v>
      </c>
      <c r="AK397" s="141">
        <v>588</v>
      </c>
      <c r="AL397" s="141">
        <v>665</v>
      </c>
      <c r="AM397" s="141">
        <v>618</v>
      </c>
      <c r="AN397" s="141">
        <v>764</v>
      </c>
      <c r="AO397" s="141">
        <v>1138</v>
      </c>
      <c r="AP397" s="141">
        <v>610</v>
      </c>
      <c r="AQ397" s="141">
        <v>491</v>
      </c>
      <c r="AR397" s="141">
        <v>396</v>
      </c>
      <c r="AS397" s="141">
        <v>464</v>
      </c>
      <c r="AT397" s="141">
        <v>985</v>
      </c>
      <c r="AU397" s="141">
        <v>938</v>
      </c>
      <c r="AV397" s="141">
        <v>1276</v>
      </c>
      <c r="AW397" s="141">
        <v>1039</v>
      </c>
      <c r="AX397" s="141">
        <v>991</v>
      </c>
      <c r="AY397" s="226">
        <v>870</v>
      </c>
      <c r="AZ397" s="41">
        <f t="shared" ref="AZ397:BA397" si="4180">AZ86*(AZ233+AZ235)/AZ$5</f>
        <v>943.8</v>
      </c>
      <c r="BA397" s="41">
        <f t="shared" si="4180"/>
        <v>869.92000000000007</v>
      </c>
      <c r="BB397" s="41">
        <f t="shared" ref="BB397:BC397" si="4181">BB86*(BB233+BB235)/BB$5</f>
        <v>924.92399999999998</v>
      </c>
      <c r="BC397" s="41">
        <f t="shared" si="4181"/>
        <v>852.52160000000003</v>
      </c>
      <c r="BD397" s="41">
        <f t="shared" ref="BD397:BE397" si="4182">BD86*(BD233+BD235)/BD$5</f>
        <v>952.67172000000005</v>
      </c>
      <c r="BE397" s="41">
        <f t="shared" si="4182"/>
        <v>878.09724800000004</v>
      </c>
      <c r="BF397" s="41">
        <f t="shared" ref="BF397:BG397" si="4183">BF86*(BF233+BF235)/BF$5</f>
        <v>962.19843720000017</v>
      </c>
      <c r="BG397" s="41">
        <f t="shared" si="4183"/>
        <v>886.8782204800001</v>
      </c>
      <c r="BH397" s="41">
        <f t="shared" ref="BH397:BI397" si="4184">BH86*(BH233+BH235)/BH$5</f>
        <v>971.8204215720001</v>
      </c>
      <c r="BI397" s="41">
        <f t="shared" si="4184"/>
        <v>895.74700268480001</v>
      </c>
      <c r="BJ397" s="41">
        <f>BJ86*(BJ233+BJ235)/BJ$5</f>
        <v>1005.7667279988061</v>
      </c>
      <c r="BK397" s="41">
        <f t="shared" ref="BK397" si="4185">BK86*(BK233+BK235)/BK$5</f>
        <v>1029.0611206373442</v>
      </c>
      <c r="BL397" s="41">
        <f t="shared" ref="BL397:BM397" si="4186">BL86*(BL233+BL235)/BL$5</f>
        <v>1042.5691257690942</v>
      </c>
      <c r="BM397" s="41">
        <f t="shared" si="4186"/>
        <v>1059.2224445025529</v>
      </c>
      <c r="BN397" s="41">
        <f t="shared" ref="BN397:BO397" si="4187">BN86*(BN233+BN235)/BN$5</f>
        <v>1074.913097048729</v>
      </c>
      <c r="BO397" s="41">
        <f t="shared" si="4187"/>
        <v>1101.5413080641795</v>
      </c>
      <c r="BP397" s="41">
        <f t="shared" ref="BP397:BQ397" si="4188">BP86*(BP233+BP235)/BP$5</f>
        <v>1117.9030474115791</v>
      </c>
      <c r="BQ397" s="41">
        <f t="shared" si="4188"/>
        <v>1148.4220343838019</v>
      </c>
      <c r="BR397" s="41"/>
      <c r="BS397" s="40">
        <f>239.5+309</f>
        <v>548.5</v>
      </c>
      <c r="BT397" s="40">
        <f>219.7+92</f>
        <v>311.7</v>
      </c>
      <c r="BU397" s="40">
        <f>222+126</f>
        <v>348</v>
      </c>
      <c r="BV397" s="40">
        <f>226+96</f>
        <v>322</v>
      </c>
      <c r="BW397" s="40">
        <f>222+109</f>
        <v>331</v>
      </c>
      <c r="BX397" s="40">
        <f>237+182</f>
        <v>419</v>
      </c>
      <c r="BY397" s="40">
        <f>373-83</f>
        <v>290</v>
      </c>
      <c r="BZ397" s="40">
        <f>340+89</f>
        <v>429</v>
      </c>
      <c r="CA397" s="40">
        <f>287+81</f>
        <v>368</v>
      </c>
      <c r="CB397" s="40">
        <f>348+63</f>
        <v>411</v>
      </c>
      <c r="CC397" s="41">
        <f t="shared" si="4138"/>
        <v>424</v>
      </c>
      <c r="CD397" s="41">
        <f t="shared" si="4139"/>
        <v>458</v>
      </c>
      <c r="CE397" s="41">
        <f t="shared" si="4140"/>
        <v>562</v>
      </c>
      <c r="CF397" s="41">
        <f t="shared" si="4141"/>
        <v>586</v>
      </c>
      <c r="CG397" s="41">
        <f t="shared" si="4142"/>
        <v>656</v>
      </c>
      <c r="CH397" s="41">
        <f t="shared" si="4143"/>
        <v>856</v>
      </c>
      <c r="CI397" s="41">
        <f t="shared" si="4144"/>
        <v>1195</v>
      </c>
      <c r="CJ397" s="41">
        <f t="shared" si="4145"/>
        <v>1100</v>
      </c>
      <c r="CK397" s="41">
        <f t="shared" si="4146"/>
        <v>1070</v>
      </c>
      <c r="CL397" s="41">
        <f t="shared" si="4147"/>
        <v>998</v>
      </c>
      <c r="CM397" s="41">
        <f t="shared" si="4148"/>
        <v>1221</v>
      </c>
      <c r="CN397" s="41">
        <f t="shared" si="4149"/>
        <v>1306</v>
      </c>
      <c r="CO397" s="41">
        <f t="shared" si="4150"/>
        <v>1286</v>
      </c>
      <c r="CP397" s="41">
        <f t="shared" si="4151"/>
        <v>1185</v>
      </c>
      <c r="CQ397" s="41">
        <f t="shared" si="4152"/>
        <v>765</v>
      </c>
      <c r="CR397" s="41">
        <f t="shared" si="4153"/>
        <v>1436</v>
      </c>
      <c r="CS397" s="41">
        <f t="shared" si="4154"/>
        <v>1135</v>
      </c>
      <c r="CT397" s="41">
        <f t="shared" si="4155"/>
        <v>1283</v>
      </c>
      <c r="CU397" s="41">
        <f t="shared" si="4156"/>
        <v>1902</v>
      </c>
      <c r="CV397" s="41">
        <f t="shared" si="4157"/>
        <v>1101</v>
      </c>
      <c r="CW397" s="41">
        <f t="shared" si="4158"/>
        <v>860</v>
      </c>
      <c r="CX397" s="41">
        <f t="shared" si="4159"/>
        <v>1923</v>
      </c>
      <c r="CY397" s="41">
        <f t="shared" si="4160"/>
        <v>2315</v>
      </c>
      <c r="CZ397" s="211">
        <f t="shared" si="4161"/>
        <v>1861</v>
      </c>
      <c r="DA397" s="41">
        <f t="shared" si="4162"/>
        <v>1813.72</v>
      </c>
      <c r="DB397" s="41">
        <f t="shared" si="4163"/>
        <v>1777.4456</v>
      </c>
      <c r="DC397" s="41">
        <f t="shared" si="4164"/>
        <v>1830.7689680000001</v>
      </c>
      <c r="DD397" s="41">
        <f t="shared" si="4165"/>
        <v>1849.0766576800002</v>
      </c>
      <c r="DE397" s="41">
        <f t="shared" si="4166"/>
        <v>1867.5674242568002</v>
      </c>
      <c r="DF397" s="41">
        <f t="shared" si="4167"/>
        <v>2034.8278486361503</v>
      </c>
      <c r="DG397" s="41">
        <f t="shared" si="4168"/>
        <v>2101.7915702716473</v>
      </c>
      <c r="DH397" s="41">
        <f t="shared" si="4169"/>
        <v>2176.4544051129087</v>
      </c>
      <c r="DI397" s="41">
        <f t="shared" si="4170"/>
        <v>2266.3250817953813</v>
      </c>
    </row>
    <row r="398" spans="1:113" ht="12" outlineLevel="1">
      <c r="A398" s="1" t="s">
        <v>999</v>
      </c>
      <c r="B398" s="15" t="s">
        <v>434</v>
      </c>
      <c r="C398" s="40">
        <v>0</v>
      </c>
      <c r="D398" s="40">
        <v>0</v>
      </c>
      <c r="E398" s="40">
        <f>183*0.49</f>
        <v>89.67</v>
      </c>
      <c r="F398" s="40">
        <f>190*0.49</f>
        <v>93.1</v>
      </c>
      <c r="G398" s="40">
        <f>202*0.49</f>
        <v>98.98</v>
      </c>
      <c r="H398" s="40">
        <f>206*0.49</f>
        <v>100.94</v>
      </c>
      <c r="I398" s="40">
        <f>237*0.49</f>
        <v>116.13</v>
      </c>
      <c r="J398" s="40">
        <f>177*0.49</f>
        <v>86.73</v>
      </c>
      <c r="K398" s="40">
        <f>191*0.49</f>
        <v>93.59</v>
      </c>
      <c r="L398" s="40">
        <f>208*0.49</f>
        <v>101.92</v>
      </c>
      <c r="M398" s="40">
        <f>237*0.49</f>
        <v>116.13</v>
      </c>
      <c r="N398" s="40">
        <f>243*0.49</f>
        <v>119.07</v>
      </c>
      <c r="O398" s="40">
        <f>258*0.49</f>
        <v>126.42</v>
      </c>
      <c r="P398" s="40">
        <f>255*0.49</f>
        <v>124.95</v>
      </c>
      <c r="Q398" s="40">
        <f>242*0.49</f>
        <v>118.58</v>
      </c>
      <c r="R398" s="40">
        <f>191*0.49</f>
        <v>93.59</v>
      </c>
      <c r="S398" s="40">
        <f>211*0.49</f>
        <v>103.39</v>
      </c>
      <c r="T398" s="40">
        <f>(200)/(474-T400)*350</f>
        <v>155.21064301552107</v>
      </c>
      <c r="U398" s="40">
        <f>(203)/(498-U400)*569</f>
        <v>264.31807780320366</v>
      </c>
      <c r="V398" s="40">
        <f>(200)/(532-V400)*592</f>
        <v>250.84745762711864</v>
      </c>
      <c r="W398" s="40">
        <f>(389+34)/(1014+142-W400)*1146-V398</f>
        <v>198.41852939790456</v>
      </c>
      <c r="X398" s="40">
        <f>(390-179+17)/(577-X400)*557</f>
        <v>235.86415494826215</v>
      </c>
      <c r="Y398" s="40">
        <f>(386-186+23)/(569-Y400)*542</f>
        <v>229.72087971762153</v>
      </c>
      <c r="Z398" s="141">
        <f>(388-183+23)/(600-Z400)*594</f>
        <v>243.70796915167097</v>
      </c>
      <c r="AA398" s="141">
        <f>(406-191+23)/(611-AA400)*622</f>
        <v>257.96664177246703</v>
      </c>
      <c r="AB398" s="141">
        <f>(416-194+25)/(606-AB400)*617</f>
        <v>287.39035560344831</v>
      </c>
      <c r="AC398" s="141">
        <f>(419-202+22)/(642-(132-125*0.7))*666</f>
        <v>266.40000000000003</v>
      </c>
      <c r="AD398" s="141">
        <f>(431-199+26)/(699-AD400)*732</f>
        <v>304.39603960396039</v>
      </c>
      <c r="AE398" s="141">
        <f>(437-197+28)/(730-AE400)*772</f>
        <v>320.41415929203544</v>
      </c>
      <c r="AF398" s="141">
        <f>(352-169)/(597-AF400)*771</f>
        <v>278.28994082840239</v>
      </c>
      <c r="AG398" s="141">
        <f>(340-169)/(559-AG400)*747</f>
        <v>259.70345628812083</v>
      </c>
      <c r="AH398" s="141">
        <v>345</v>
      </c>
      <c r="AI398" s="141">
        <v>323</v>
      </c>
      <c r="AJ398" s="141">
        <v>54</v>
      </c>
      <c r="AK398" s="141">
        <v>71</v>
      </c>
      <c r="AL398" s="141">
        <f>128*(1-721/1986)</f>
        <v>81.530715005035248</v>
      </c>
      <c r="AM398" s="141">
        <f>126*(1-741/2053)</f>
        <v>80.522162688748168</v>
      </c>
      <c r="AN398" s="141">
        <f>139*(1-752/1929)</f>
        <v>84.812337998963187</v>
      </c>
      <c r="AO398" s="141">
        <f>136*(1-585/1733)</f>
        <v>90.091171379111373</v>
      </c>
      <c r="AP398" s="141">
        <f>140*(1-646/1696)</f>
        <v>86.674528301886795</v>
      </c>
      <c r="AQ398" s="141">
        <v>0</v>
      </c>
      <c r="AR398" s="141">
        <v>0</v>
      </c>
      <c r="AS398" s="141">
        <v>0</v>
      </c>
      <c r="AT398" s="141">
        <v>0</v>
      </c>
      <c r="AU398" s="141">
        <v>0</v>
      </c>
      <c r="AV398" s="141">
        <v>0</v>
      </c>
      <c r="AW398" s="141">
        <v>0</v>
      </c>
      <c r="AX398" s="141">
        <v>0</v>
      </c>
      <c r="AY398" s="226">
        <v>0</v>
      </c>
      <c r="AZ398" s="41">
        <f t="shared" ref="AZ398:BA398" si="4189">AZ87*AZ267/AZ$5</f>
        <v>0</v>
      </c>
      <c r="BA398" s="41">
        <f t="shared" si="4189"/>
        <v>0</v>
      </c>
      <c r="BB398" s="41">
        <f t="shared" ref="BB398:BC398" si="4190">BB87*BB267/BB$5</f>
        <v>0</v>
      </c>
      <c r="BC398" s="41">
        <f t="shared" si="4190"/>
        <v>0</v>
      </c>
      <c r="BD398" s="41">
        <f t="shared" ref="BD398:BE398" si="4191">BD87*BD267/BD$5</f>
        <v>0</v>
      </c>
      <c r="BE398" s="41">
        <f t="shared" si="4191"/>
        <v>0</v>
      </c>
      <c r="BF398" s="41">
        <f t="shared" ref="BF398:BG398" si="4192">BF87*BF267/BF$5</f>
        <v>0</v>
      </c>
      <c r="BG398" s="41">
        <f t="shared" si="4192"/>
        <v>0</v>
      </c>
      <c r="BH398" s="41">
        <f t="shared" ref="BH398:BI398" si="4193">BH87*BH267/BH$5</f>
        <v>0</v>
      </c>
      <c r="BI398" s="41">
        <f t="shared" si="4193"/>
        <v>0</v>
      </c>
      <c r="BJ398" s="41">
        <f t="shared" ref="BJ398:BK398" si="4194">BJ87*BJ267/BJ$5</f>
        <v>0</v>
      </c>
      <c r="BK398" s="41">
        <f t="shared" si="4194"/>
        <v>0</v>
      </c>
      <c r="BL398" s="41">
        <f t="shared" ref="BL398:BM398" si="4195">BL87*BL267/BL$5</f>
        <v>0</v>
      </c>
      <c r="BM398" s="41">
        <f t="shared" si="4195"/>
        <v>0</v>
      </c>
      <c r="BN398" s="41">
        <f t="shared" ref="BN398:BO398" si="4196">BN87*BN267/BN$5</f>
        <v>0</v>
      </c>
      <c r="BO398" s="41">
        <f t="shared" si="4196"/>
        <v>0</v>
      </c>
      <c r="BP398" s="41">
        <f t="shared" ref="BP398:BQ398" si="4197">BP87*BP267/BP$5</f>
        <v>0</v>
      </c>
      <c r="BQ398" s="41">
        <f t="shared" si="4197"/>
        <v>0</v>
      </c>
      <c r="BR398" s="41"/>
      <c r="BS398" s="40">
        <v>0</v>
      </c>
      <c r="BT398" s="40">
        <v>0</v>
      </c>
      <c r="BU398" s="40">
        <v>0</v>
      </c>
      <c r="BV398" s="40">
        <v>0</v>
      </c>
      <c r="BW398" s="40">
        <v>0</v>
      </c>
      <c r="BX398" s="40">
        <v>0</v>
      </c>
      <c r="BY398" s="40">
        <v>0</v>
      </c>
      <c r="BZ398" s="40">
        <v>0</v>
      </c>
      <c r="CA398" s="40">
        <v>0</v>
      </c>
      <c r="CB398" s="40">
        <v>0</v>
      </c>
      <c r="CC398" s="41">
        <f t="shared" si="4138"/>
        <v>89.67</v>
      </c>
      <c r="CD398" s="41">
        <f t="shared" si="4139"/>
        <v>192.07999999999998</v>
      </c>
      <c r="CE398" s="41">
        <f t="shared" si="4140"/>
        <v>217.07</v>
      </c>
      <c r="CF398" s="41">
        <f t="shared" si="4141"/>
        <v>180.32</v>
      </c>
      <c r="CG398" s="41">
        <f t="shared" si="4142"/>
        <v>218.05</v>
      </c>
      <c r="CH398" s="41">
        <f t="shared" si="4143"/>
        <v>245.49</v>
      </c>
      <c r="CI398" s="41">
        <f t="shared" si="4144"/>
        <v>243.53</v>
      </c>
      <c r="CJ398" s="41">
        <f t="shared" si="4145"/>
        <v>196.98000000000002</v>
      </c>
      <c r="CK398" s="41">
        <f t="shared" si="4146"/>
        <v>419.52872081872476</v>
      </c>
      <c r="CL398" s="41">
        <f t="shared" si="4147"/>
        <v>449.26598702502321</v>
      </c>
      <c r="CM398" s="41">
        <f t="shared" si="4148"/>
        <v>465.58503466588365</v>
      </c>
      <c r="CN398" s="41">
        <f t="shared" si="4149"/>
        <v>501.67461092413799</v>
      </c>
      <c r="CO398" s="41">
        <f t="shared" si="4150"/>
        <v>553.79035560344835</v>
      </c>
      <c r="CP398" s="41">
        <f t="shared" si="4151"/>
        <v>624.81019889599588</v>
      </c>
      <c r="CQ398" s="41">
        <f t="shared" si="4152"/>
        <v>537.99339711652328</v>
      </c>
      <c r="CR398" s="41">
        <f t="shared" si="4153"/>
        <v>668</v>
      </c>
      <c r="CS398" s="41">
        <f t="shared" si="4154"/>
        <v>125</v>
      </c>
      <c r="CT398" s="41">
        <f t="shared" si="4155"/>
        <v>162.05287769378342</v>
      </c>
      <c r="CU398" s="41">
        <f t="shared" si="4156"/>
        <v>174.90350937807455</v>
      </c>
      <c r="CV398" s="41">
        <f t="shared" si="4157"/>
        <v>86.674528301886795</v>
      </c>
      <c r="CW398" s="41">
        <f t="shared" si="4158"/>
        <v>0</v>
      </c>
      <c r="CX398" s="41">
        <f t="shared" si="4159"/>
        <v>0</v>
      </c>
      <c r="CY398" s="41">
        <f t="shared" si="4160"/>
        <v>0</v>
      </c>
      <c r="CZ398" s="211">
        <f t="shared" si="4161"/>
        <v>0</v>
      </c>
      <c r="DA398" s="41">
        <f t="shared" si="4162"/>
        <v>0</v>
      </c>
      <c r="DB398" s="41">
        <f t="shared" si="4163"/>
        <v>0</v>
      </c>
      <c r="DC398" s="41">
        <f t="shared" si="4164"/>
        <v>0</v>
      </c>
      <c r="DD398" s="41">
        <f t="shared" si="4165"/>
        <v>0</v>
      </c>
      <c r="DE398" s="41">
        <f t="shared" si="4166"/>
        <v>0</v>
      </c>
      <c r="DF398" s="41">
        <f t="shared" si="4167"/>
        <v>0</v>
      </c>
      <c r="DG398" s="41">
        <f t="shared" si="4168"/>
        <v>0</v>
      </c>
      <c r="DH398" s="41">
        <f t="shared" si="4169"/>
        <v>0</v>
      </c>
      <c r="DI398" s="41">
        <f t="shared" si="4170"/>
        <v>0</v>
      </c>
    </row>
    <row r="399" spans="1:113" ht="12" hidden="1" outlineLevel="2">
      <c r="A399" s="1" t="s">
        <v>1000</v>
      </c>
      <c r="B399" s="15" t="s">
        <v>783</v>
      </c>
      <c r="C399" s="40">
        <v>0</v>
      </c>
      <c r="D399" s="40">
        <v>0</v>
      </c>
      <c r="E399" s="40">
        <f>58*0.49</f>
        <v>28.419999999999998</v>
      </c>
      <c r="F399" s="40">
        <f>76*0.49</f>
        <v>37.24</v>
      </c>
      <c r="G399" s="40">
        <f>82*0.49</f>
        <v>40.18</v>
      </c>
      <c r="H399" s="40">
        <f>80*0.49</f>
        <v>39.200000000000003</v>
      </c>
      <c r="I399" s="40">
        <f>101*0.49</f>
        <v>49.49</v>
      </c>
      <c r="J399" s="40">
        <f>(83+27)*0.49</f>
        <v>53.9</v>
      </c>
      <c r="K399" s="40">
        <f>(85+25)*0.49</f>
        <v>53.9</v>
      </c>
      <c r="L399" s="40">
        <f>+(89+18+15)*0.49</f>
        <v>59.78</v>
      </c>
      <c r="M399" s="40">
        <f>+(96+16)*0.49</f>
        <v>54.879999999999995</v>
      </c>
      <c r="N399" s="40">
        <f>(117+8+13)*0.49</f>
        <v>67.62</v>
      </c>
      <c r="O399" s="40">
        <f>(130+16+0)*0.49</f>
        <v>71.539999999999992</v>
      </c>
      <c r="P399" s="40">
        <f>(149+11+8)*0.49</f>
        <v>82.32</v>
      </c>
      <c r="Q399" s="40">
        <f>(154+6+0)*0.49</f>
        <v>78.400000000000006</v>
      </c>
      <c r="R399" s="40">
        <f>(161+14+19)*0.49</f>
        <v>95.06</v>
      </c>
      <c r="S399" s="40">
        <f>(168-18+3)*0.49</f>
        <v>74.97</v>
      </c>
      <c r="T399" s="40">
        <f>350-T398-T400</f>
        <v>171.78935698447893</v>
      </c>
      <c r="U399" s="40">
        <f>569-U398-U400</f>
        <v>243.68192219679634</v>
      </c>
      <c r="V399" s="40">
        <f>592-V398-V400</f>
        <v>281.15254237288138</v>
      </c>
      <c r="W399" s="40">
        <f>1146-W398-W400-V398-V399-V400</f>
        <v>278.58147060209546</v>
      </c>
      <c r="X399" s="40">
        <f>557-X398-X400</f>
        <v>282.56441648030932</v>
      </c>
      <c r="Y399" s="40">
        <f>542-Y398-Y400</f>
        <v>269.42197742523558</v>
      </c>
      <c r="Z399" s="141">
        <f>594-Z398-Z400</f>
        <v>306.00631656261476</v>
      </c>
      <c r="AA399" s="141">
        <f>622-AA398-AA400</f>
        <v>326.8905010846758</v>
      </c>
      <c r="AB399" s="141">
        <f>617-AB398-AB400</f>
        <v>253.89535868226596</v>
      </c>
      <c r="AC399" s="141">
        <f>666-AC398-AC400</f>
        <v>321.02857142857141</v>
      </c>
      <c r="AD399" s="141">
        <f>732-AD398-AD400</f>
        <v>349.03253182461106</v>
      </c>
      <c r="AE399" s="141">
        <f>772-AE398-AE400</f>
        <v>367.30012642225029</v>
      </c>
      <c r="AF399" s="141">
        <f>771-AF398-AF400</f>
        <v>402.71005917159761</v>
      </c>
      <c r="AG399" s="141">
        <f>747-AG398-AG400</f>
        <v>420.153686569022</v>
      </c>
      <c r="AH399" s="141">
        <v>0</v>
      </c>
      <c r="AI399" s="141">
        <v>0</v>
      </c>
      <c r="AJ399" s="141">
        <v>0</v>
      </c>
      <c r="AK399" s="141">
        <v>0</v>
      </c>
      <c r="AL399" s="141">
        <v>0</v>
      </c>
      <c r="AM399" s="141">
        <v>0</v>
      </c>
      <c r="AN399" s="141">
        <v>0</v>
      </c>
      <c r="AO399" s="141">
        <v>0</v>
      </c>
      <c r="AP399" s="141">
        <v>0</v>
      </c>
      <c r="AQ399" s="141">
        <v>0</v>
      </c>
      <c r="AR399" s="141">
        <v>0</v>
      </c>
      <c r="AS399" s="141">
        <v>0</v>
      </c>
      <c r="AT399" s="141">
        <v>0</v>
      </c>
      <c r="AU399" s="141">
        <v>0</v>
      </c>
      <c r="AV399" s="141">
        <v>0</v>
      </c>
      <c r="AW399" s="141">
        <v>0</v>
      </c>
      <c r="AX399" s="141">
        <v>0</v>
      </c>
      <c r="AY399" s="226">
        <v>0</v>
      </c>
      <c r="AZ399" s="210">
        <v>0</v>
      </c>
      <c r="BA399" s="210">
        <v>0</v>
      </c>
      <c r="BB399" s="210">
        <v>0</v>
      </c>
      <c r="BC399" s="210">
        <v>0</v>
      </c>
      <c r="BD399" s="210">
        <v>0</v>
      </c>
      <c r="BE399" s="210">
        <v>0</v>
      </c>
      <c r="BF399" s="210">
        <v>0</v>
      </c>
      <c r="BG399" s="210">
        <v>0</v>
      </c>
      <c r="BH399" s="210">
        <v>0</v>
      </c>
      <c r="BI399" s="210">
        <v>0</v>
      </c>
      <c r="BJ399" s="210">
        <v>0</v>
      </c>
      <c r="BK399" s="210">
        <v>0</v>
      </c>
      <c r="BL399" s="210">
        <v>0</v>
      </c>
      <c r="BM399" s="210">
        <v>0</v>
      </c>
      <c r="BN399" s="210">
        <v>0</v>
      </c>
      <c r="BO399" s="210">
        <v>0</v>
      </c>
      <c r="BP399" s="210">
        <v>0</v>
      </c>
      <c r="BQ399" s="210">
        <v>0</v>
      </c>
      <c r="BR399" s="41"/>
      <c r="BS399" s="40">
        <v>23.7</v>
      </c>
      <c r="BT399" s="40">
        <v>17</v>
      </c>
      <c r="BU399" s="40">
        <v>42</v>
      </c>
      <c r="BV399" s="40">
        <v>52</v>
      </c>
      <c r="BW399" s="40">
        <v>55</v>
      </c>
      <c r="BX399" s="40">
        <v>94</v>
      </c>
      <c r="BY399" s="40">
        <v>38</v>
      </c>
      <c r="BZ399" s="40">
        <v>174</v>
      </c>
      <c r="CA399" s="40">
        <v>175</v>
      </c>
      <c r="CB399" s="40">
        <v>190</v>
      </c>
      <c r="CC399" s="41">
        <f t="shared" si="4138"/>
        <v>28.419999999999998</v>
      </c>
      <c r="CD399" s="41">
        <f t="shared" si="4139"/>
        <v>77.42</v>
      </c>
      <c r="CE399" s="41">
        <f t="shared" si="4140"/>
        <v>88.69</v>
      </c>
      <c r="CF399" s="41">
        <f t="shared" si="4141"/>
        <v>107.8</v>
      </c>
      <c r="CG399" s="41">
        <f t="shared" si="4142"/>
        <v>114.66</v>
      </c>
      <c r="CH399" s="41">
        <f t="shared" si="4143"/>
        <v>139.16</v>
      </c>
      <c r="CI399" s="41">
        <f t="shared" si="4144"/>
        <v>160.72</v>
      </c>
      <c r="CJ399" s="41">
        <f t="shared" si="4145"/>
        <v>170.03</v>
      </c>
      <c r="CK399" s="41">
        <f t="shared" si="4146"/>
        <v>415.47127918127524</v>
      </c>
      <c r="CL399" s="41">
        <f t="shared" si="4147"/>
        <v>559.73401297497685</v>
      </c>
      <c r="CM399" s="41">
        <f t="shared" si="4148"/>
        <v>551.9863939055449</v>
      </c>
      <c r="CN399" s="41">
        <f t="shared" si="4149"/>
        <v>632.89681764729062</v>
      </c>
      <c r="CO399" s="41">
        <f t="shared" si="4150"/>
        <v>574.92393011083732</v>
      </c>
      <c r="CP399" s="41">
        <f t="shared" si="4151"/>
        <v>716.33265824686134</v>
      </c>
      <c r="CQ399" s="41">
        <f t="shared" si="4152"/>
        <v>822.86374574061961</v>
      </c>
      <c r="CR399" s="41">
        <f t="shared" si="4153"/>
        <v>0</v>
      </c>
      <c r="CS399" s="41">
        <f t="shared" si="4154"/>
        <v>0</v>
      </c>
      <c r="CT399" s="41">
        <f t="shared" si="4155"/>
        <v>0</v>
      </c>
      <c r="CU399" s="41">
        <f t="shared" si="4156"/>
        <v>0</v>
      </c>
      <c r="CV399" s="41">
        <f t="shared" si="4157"/>
        <v>0</v>
      </c>
      <c r="CW399" s="41">
        <f t="shared" si="4158"/>
        <v>0</v>
      </c>
      <c r="CX399" s="41">
        <f t="shared" si="4159"/>
        <v>0</v>
      </c>
      <c r="CY399" s="41">
        <f t="shared" si="4160"/>
        <v>0</v>
      </c>
      <c r="CZ399" s="211">
        <f t="shared" si="4161"/>
        <v>0</v>
      </c>
      <c r="DA399" s="41">
        <f t="shared" si="4162"/>
        <v>0</v>
      </c>
      <c r="DB399" s="41">
        <f t="shared" si="4163"/>
        <v>0</v>
      </c>
      <c r="DC399" s="41">
        <f t="shared" si="4164"/>
        <v>0</v>
      </c>
      <c r="DD399" s="41">
        <f t="shared" si="4165"/>
        <v>0</v>
      </c>
      <c r="DE399" s="41">
        <f t="shared" si="4166"/>
        <v>0</v>
      </c>
      <c r="DF399" s="41">
        <f t="shared" si="4167"/>
        <v>0</v>
      </c>
      <c r="DG399" s="41">
        <f t="shared" si="4168"/>
        <v>0</v>
      </c>
      <c r="DH399" s="41">
        <f t="shared" si="4169"/>
        <v>0</v>
      </c>
      <c r="DI399" s="41">
        <f t="shared" si="4170"/>
        <v>0</v>
      </c>
    </row>
    <row r="400" spans="1:113" ht="12" hidden="1" outlineLevel="2">
      <c r="A400" s="1" t="s">
        <v>807</v>
      </c>
      <c r="B400" s="15" t="s">
        <v>803</v>
      </c>
      <c r="C400" s="40">
        <v>0</v>
      </c>
      <c r="D400" s="40">
        <v>0</v>
      </c>
      <c r="E400" s="40">
        <f>-6*0.49</f>
        <v>-2.94</v>
      </c>
      <c r="F400" s="40">
        <f>24*0.49</f>
        <v>11.76</v>
      </c>
      <c r="G400" s="40">
        <f>61*0.49</f>
        <v>29.89</v>
      </c>
      <c r="H400" s="40">
        <f>65*0.49</f>
        <v>31.849999999999998</v>
      </c>
      <c r="I400" s="40">
        <f>99*0.49</f>
        <v>48.51</v>
      </c>
      <c r="J400" s="40">
        <f>70*0.49</f>
        <v>34.299999999999997</v>
      </c>
      <c r="K400" s="40">
        <f>63*0.49</f>
        <v>30.87</v>
      </c>
      <c r="L400" s="40">
        <f>28*0.49</f>
        <v>13.719999999999999</v>
      </c>
      <c r="M400" s="40">
        <f>29*0.49</f>
        <v>14.209999999999999</v>
      </c>
      <c r="N400" s="40">
        <f>42*0.49</f>
        <v>20.58</v>
      </c>
      <c r="O400" s="40">
        <f>27*0.49</f>
        <v>13.23</v>
      </c>
      <c r="P400" s="40">
        <f>12*0.49</f>
        <v>5.88</v>
      </c>
      <c r="Q400" s="40">
        <f>-30*0.49</f>
        <v>-14.7</v>
      </c>
      <c r="R400" s="40">
        <f>-50*0.49</f>
        <v>-24.5</v>
      </c>
      <c r="S400" s="40">
        <f>2*0.49</f>
        <v>0.98</v>
      </c>
      <c r="T400" s="40">
        <v>23</v>
      </c>
      <c r="U400" s="40">
        <v>61</v>
      </c>
      <c r="V400" s="40">
        <v>60</v>
      </c>
      <c r="W400" s="40">
        <f>125+12-V400</f>
        <v>77</v>
      </c>
      <c r="X400" s="40">
        <f>27/0.7</f>
        <v>38.571428571428577</v>
      </c>
      <c r="Y400" s="40">
        <f>30/0.7</f>
        <v>42.857142857142861</v>
      </c>
      <c r="Z400" s="141">
        <f>31/0.7</f>
        <v>44.285714285714292</v>
      </c>
      <c r="AA400" s="141">
        <f>26/0.7</f>
        <v>37.142857142857146</v>
      </c>
      <c r="AB400" s="141">
        <f>53/0.7</f>
        <v>75.714285714285722</v>
      </c>
      <c r="AC400" s="141">
        <f>55/0.7</f>
        <v>78.571428571428569</v>
      </c>
      <c r="AD400" s="141">
        <f>55/0.7</f>
        <v>78.571428571428569</v>
      </c>
      <c r="AE400" s="141">
        <f>59/0.7</f>
        <v>84.285714285714292</v>
      </c>
      <c r="AF400" s="141">
        <f>63/0.7</f>
        <v>90</v>
      </c>
      <c r="AG400" s="141">
        <f>47/0.7</f>
        <v>67.142857142857153</v>
      </c>
      <c r="AH400" s="141">
        <v>0</v>
      </c>
      <c r="AI400" s="141">
        <v>0</v>
      </c>
      <c r="AJ400" s="141">
        <v>0</v>
      </c>
      <c r="AK400" s="141">
        <v>0</v>
      </c>
      <c r="AL400" s="141">
        <v>0</v>
      </c>
      <c r="AM400" s="141">
        <v>0</v>
      </c>
      <c r="AN400" s="141">
        <v>0</v>
      </c>
      <c r="AO400" s="141">
        <v>0</v>
      </c>
      <c r="AP400" s="141">
        <v>0</v>
      </c>
      <c r="AQ400" s="141">
        <v>0</v>
      </c>
      <c r="AR400" s="141">
        <v>0</v>
      </c>
      <c r="AS400" s="141">
        <v>0</v>
      </c>
      <c r="AT400" s="141">
        <v>0</v>
      </c>
      <c r="AU400" s="141">
        <v>0</v>
      </c>
      <c r="AV400" s="141">
        <v>0</v>
      </c>
      <c r="AW400" s="141">
        <v>0</v>
      </c>
      <c r="AX400" s="141">
        <v>0</v>
      </c>
      <c r="AY400" s="226">
        <v>0</v>
      </c>
      <c r="AZ400" s="210">
        <v>0</v>
      </c>
      <c r="BA400" s="210">
        <v>0</v>
      </c>
      <c r="BB400" s="210">
        <v>0</v>
      </c>
      <c r="BC400" s="210">
        <v>0</v>
      </c>
      <c r="BD400" s="210">
        <v>0</v>
      </c>
      <c r="BE400" s="210">
        <v>0</v>
      </c>
      <c r="BF400" s="210">
        <v>0</v>
      </c>
      <c r="BG400" s="210">
        <v>0</v>
      </c>
      <c r="BH400" s="210">
        <v>0</v>
      </c>
      <c r="BI400" s="210">
        <v>0</v>
      </c>
      <c r="BJ400" s="210">
        <v>0</v>
      </c>
      <c r="BK400" s="210">
        <v>0</v>
      </c>
      <c r="BL400" s="210">
        <v>0</v>
      </c>
      <c r="BM400" s="210">
        <v>0</v>
      </c>
      <c r="BN400" s="210">
        <v>0</v>
      </c>
      <c r="BO400" s="210">
        <v>0</v>
      </c>
      <c r="BP400" s="210">
        <v>0</v>
      </c>
      <c r="BQ400" s="210">
        <v>0</v>
      </c>
      <c r="BR400" s="41"/>
      <c r="BS400" s="40">
        <v>0</v>
      </c>
      <c r="BT400" s="40">
        <v>0</v>
      </c>
      <c r="BU400" s="40">
        <v>0</v>
      </c>
      <c r="BV400" s="40">
        <v>0</v>
      </c>
      <c r="BW400" s="40">
        <v>0</v>
      </c>
      <c r="BX400" s="40">
        <v>0</v>
      </c>
      <c r="BY400" s="40">
        <v>0</v>
      </c>
      <c r="BZ400" s="40">
        <v>0</v>
      </c>
      <c r="CA400" s="40">
        <v>0</v>
      </c>
      <c r="CB400" s="40">
        <v>0</v>
      </c>
      <c r="CC400" s="41">
        <f t="shared" si="4138"/>
        <v>-2.94</v>
      </c>
      <c r="CD400" s="41">
        <f t="shared" si="4139"/>
        <v>41.65</v>
      </c>
      <c r="CE400" s="41">
        <f t="shared" si="4140"/>
        <v>80.36</v>
      </c>
      <c r="CF400" s="41">
        <f t="shared" si="4141"/>
        <v>65.17</v>
      </c>
      <c r="CG400" s="41">
        <f t="shared" si="4142"/>
        <v>27.93</v>
      </c>
      <c r="CH400" s="41">
        <f t="shared" si="4143"/>
        <v>33.81</v>
      </c>
      <c r="CI400" s="41">
        <f t="shared" si="4144"/>
        <v>-8.82</v>
      </c>
      <c r="CJ400" s="41">
        <f t="shared" si="4145"/>
        <v>-23.52</v>
      </c>
      <c r="CK400" s="41">
        <f t="shared" si="4146"/>
        <v>84</v>
      </c>
      <c r="CL400" s="41">
        <f t="shared" si="4147"/>
        <v>137</v>
      </c>
      <c r="CM400" s="41">
        <f t="shared" si="4148"/>
        <v>81.428571428571445</v>
      </c>
      <c r="CN400" s="41">
        <f t="shared" si="4149"/>
        <v>81.428571428571445</v>
      </c>
      <c r="CO400" s="41">
        <f t="shared" si="4150"/>
        <v>154.28571428571428</v>
      </c>
      <c r="CP400" s="41">
        <f t="shared" si="4151"/>
        <v>162.85714285714286</v>
      </c>
      <c r="CQ400" s="41">
        <f>SUM(AF400:AG400)</f>
        <v>157.14285714285717</v>
      </c>
      <c r="CR400" s="41">
        <f t="shared" si="4153"/>
        <v>0</v>
      </c>
      <c r="CS400" s="41">
        <f t="shared" si="4154"/>
        <v>0</v>
      </c>
      <c r="CT400" s="41">
        <f t="shared" si="4155"/>
        <v>0</v>
      </c>
      <c r="CU400" s="41">
        <f t="shared" si="4156"/>
        <v>0</v>
      </c>
      <c r="CV400" s="41">
        <f t="shared" si="4157"/>
        <v>0</v>
      </c>
      <c r="CW400" s="41">
        <f t="shared" si="4158"/>
        <v>0</v>
      </c>
      <c r="CX400" s="41">
        <f t="shared" si="4159"/>
        <v>0</v>
      </c>
      <c r="CY400" s="41">
        <f t="shared" si="4160"/>
        <v>0</v>
      </c>
      <c r="CZ400" s="211">
        <f t="shared" si="4161"/>
        <v>0</v>
      </c>
      <c r="DA400" s="41">
        <f t="shared" si="4162"/>
        <v>0</v>
      </c>
      <c r="DB400" s="41">
        <f t="shared" si="4163"/>
        <v>0</v>
      </c>
      <c r="DC400" s="41">
        <f t="shared" si="4164"/>
        <v>0</v>
      </c>
      <c r="DD400" s="41">
        <f t="shared" si="4165"/>
        <v>0</v>
      </c>
      <c r="DE400" s="41">
        <f t="shared" si="4166"/>
        <v>0</v>
      </c>
      <c r="DF400" s="41">
        <f t="shared" si="4167"/>
        <v>0</v>
      </c>
      <c r="DG400" s="41">
        <f t="shared" si="4168"/>
        <v>0</v>
      </c>
      <c r="DH400" s="41">
        <f t="shared" si="4169"/>
        <v>0</v>
      </c>
      <c r="DI400" s="41">
        <f t="shared" si="4170"/>
        <v>0</v>
      </c>
    </row>
    <row r="401" spans="1:113" ht="12" hidden="1" outlineLevel="2">
      <c r="A401" s="1" t="s">
        <v>808</v>
      </c>
      <c r="B401" s="15" t="s">
        <v>804</v>
      </c>
      <c r="C401" s="41"/>
      <c r="D401" s="41"/>
      <c r="E401" s="41"/>
      <c r="F401" s="41"/>
      <c r="G401" s="41"/>
      <c r="H401" s="41"/>
      <c r="I401" s="41"/>
      <c r="J401" s="41"/>
      <c r="K401" s="41"/>
      <c r="L401" s="41"/>
      <c r="M401" s="41"/>
      <c r="N401" s="41"/>
      <c r="O401" s="41"/>
      <c r="P401" s="41"/>
      <c r="Q401" s="41"/>
      <c r="R401" s="41"/>
      <c r="S401" s="41"/>
      <c r="T401" s="41"/>
      <c r="U401" s="41"/>
      <c r="V401" s="41"/>
      <c r="W401" s="41"/>
      <c r="X401" s="41"/>
      <c r="Y401" s="41"/>
      <c r="Z401" s="41"/>
      <c r="AA401" s="41"/>
      <c r="AB401" s="41"/>
      <c r="AC401" s="41"/>
      <c r="AD401" s="41"/>
      <c r="AE401" s="41"/>
      <c r="AF401" s="41"/>
      <c r="AG401" s="41"/>
      <c r="AH401" s="41"/>
      <c r="AI401" s="41"/>
      <c r="AJ401" s="41"/>
      <c r="AK401" s="41"/>
      <c r="AL401" s="41"/>
      <c r="AM401" s="41"/>
      <c r="AN401" s="41"/>
      <c r="AO401" s="41"/>
      <c r="AP401" s="41"/>
      <c r="AQ401" s="41"/>
      <c r="AR401" s="41"/>
      <c r="AS401" s="41"/>
      <c r="AT401" s="41"/>
      <c r="AU401" s="41"/>
      <c r="AV401" s="41"/>
      <c r="AW401" s="41"/>
      <c r="AX401" s="41"/>
      <c r="AY401" s="211"/>
      <c r="AZ401" s="41"/>
      <c r="BA401" s="41"/>
      <c r="BB401" s="41"/>
      <c r="BC401" s="41"/>
      <c r="BD401" s="41"/>
      <c r="BE401" s="41"/>
      <c r="BF401" s="41"/>
      <c r="BG401" s="41"/>
      <c r="BH401" s="41"/>
      <c r="BI401" s="41"/>
      <c r="BJ401" s="41"/>
      <c r="BK401" s="41"/>
      <c r="BL401" s="41"/>
      <c r="BM401" s="41"/>
      <c r="BN401" s="41"/>
      <c r="BO401" s="41"/>
      <c r="BP401" s="41"/>
      <c r="BQ401" s="41"/>
      <c r="BR401" s="41"/>
      <c r="BS401" s="41"/>
      <c r="BT401" s="41"/>
      <c r="BU401" s="41"/>
      <c r="BV401" s="41"/>
      <c r="BW401" s="41"/>
      <c r="BX401" s="41"/>
      <c r="BY401" s="41"/>
      <c r="BZ401" s="41"/>
      <c r="CA401" s="41"/>
      <c r="CB401" s="41"/>
      <c r="CC401" s="41"/>
      <c r="CD401" s="41"/>
      <c r="CE401" s="41"/>
      <c r="CF401" s="41"/>
      <c r="CG401" s="41"/>
      <c r="CH401" s="41"/>
      <c r="CI401" s="41"/>
      <c r="CJ401" s="41"/>
      <c r="CK401" s="41"/>
      <c r="CL401" s="41"/>
      <c r="CM401" s="41"/>
      <c r="CN401" s="41"/>
      <c r="CO401" s="41"/>
      <c r="CP401" s="41"/>
      <c r="CQ401" s="41"/>
      <c r="CR401" s="41"/>
      <c r="CS401" s="41"/>
      <c r="CT401" s="41"/>
      <c r="CU401" s="41"/>
      <c r="CV401" s="41"/>
      <c r="CW401" s="41"/>
      <c r="CX401" s="41"/>
      <c r="CY401" s="41"/>
      <c r="CZ401" s="211"/>
      <c r="DA401" s="41"/>
      <c r="DB401" s="15"/>
      <c r="DC401" s="15"/>
      <c r="DD401" s="15"/>
      <c r="DE401" s="15"/>
      <c r="DF401" s="15"/>
      <c r="DG401" s="15"/>
      <c r="DH401" s="15"/>
      <c r="DI401" s="15"/>
    </row>
    <row r="402" spans="1:113" ht="12" hidden="1" outlineLevel="2">
      <c r="A402" s="1" t="s">
        <v>110</v>
      </c>
      <c r="B402" s="15" t="s">
        <v>804</v>
      </c>
      <c r="C402" s="41"/>
      <c r="D402" s="41"/>
      <c r="E402" s="41"/>
      <c r="F402" s="41"/>
      <c r="G402" s="41"/>
      <c r="H402" s="41"/>
      <c r="I402" s="41"/>
      <c r="J402" s="41"/>
      <c r="K402" s="41"/>
      <c r="L402" s="41"/>
      <c r="M402" s="41"/>
      <c r="N402" s="41"/>
      <c r="O402" s="41"/>
      <c r="P402" s="41"/>
      <c r="Q402" s="41"/>
      <c r="R402" s="41"/>
      <c r="S402" s="41"/>
      <c r="T402" s="41"/>
      <c r="U402" s="41"/>
      <c r="V402" s="41"/>
      <c r="W402" s="41"/>
      <c r="X402" s="41"/>
      <c r="Y402" s="41"/>
      <c r="Z402" s="41"/>
      <c r="AA402" s="41"/>
      <c r="AB402" s="41"/>
      <c r="AC402" s="41"/>
      <c r="AD402" s="41"/>
      <c r="AE402" s="41"/>
      <c r="AF402" s="41"/>
      <c r="AG402" s="41"/>
      <c r="AH402" s="41"/>
      <c r="AI402" s="41"/>
      <c r="AJ402" s="41"/>
      <c r="AK402" s="41"/>
      <c r="AL402" s="41"/>
      <c r="AM402" s="41"/>
      <c r="AN402" s="41"/>
      <c r="AO402" s="41"/>
      <c r="AP402" s="41"/>
      <c r="AQ402" s="41"/>
      <c r="AR402" s="41"/>
      <c r="AS402" s="41"/>
      <c r="AT402" s="41"/>
      <c r="AU402" s="41"/>
      <c r="AV402" s="41"/>
      <c r="AW402" s="41"/>
      <c r="AX402" s="41"/>
      <c r="AY402" s="211"/>
      <c r="AZ402" s="41"/>
      <c r="BA402" s="41"/>
      <c r="BB402" s="41"/>
      <c r="BC402" s="41"/>
      <c r="BD402" s="41"/>
      <c r="BE402" s="41"/>
      <c r="BF402" s="41"/>
      <c r="BG402" s="41"/>
      <c r="BH402" s="41"/>
      <c r="BI402" s="41"/>
      <c r="BJ402" s="41"/>
      <c r="BK402" s="41"/>
      <c r="BL402" s="41"/>
      <c r="BM402" s="41"/>
      <c r="BN402" s="41"/>
      <c r="BO402" s="41"/>
      <c r="BP402" s="41"/>
      <c r="BQ402" s="41"/>
      <c r="BR402" s="41"/>
      <c r="BS402" s="41"/>
      <c r="BT402" s="41"/>
      <c r="BU402" s="41"/>
      <c r="BV402" s="41"/>
      <c r="BW402" s="41"/>
      <c r="BX402" s="41"/>
      <c r="BY402" s="41"/>
      <c r="BZ402" s="41"/>
      <c r="CA402" s="41"/>
      <c r="CB402" s="41"/>
      <c r="CC402" s="41"/>
      <c r="CD402" s="41"/>
      <c r="CE402" s="41"/>
      <c r="CF402" s="41"/>
      <c r="CG402" s="41"/>
      <c r="CH402" s="41"/>
      <c r="CI402" s="41"/>
      <c r="CJ402" s="41"/>
      <c r="CK402" s="41"/>
      <c r="CL402" s="41"/>
      <c r="CM402" s="41"/>
      <c r="CN402" s="41"/>
      <c r="CO402" s="41"/>
      <c r="CP402" s="41"/>
      <c r="CQ402" s="41"/>
      <c r="CR402" s="41"/>
      <c r="CS402" s="41"/>
      <c r="CT402" s="41"/>
      <c r="CU402" s="41"/>
      <c r="CV402" s="41"/>
      <c r="CW402" s="41"/>
      <c r="CX402" s="41"/>
      <c r="CY402" s="41"/>
      <c r="CZ402" s="211"/>
      <c r="DA402" s="41"/>
      <c r="DB402" s="15"/>
      <c r="DC402" s="15"/>
      <c r="DD402" s="15"/>
      <c r="DE402" s="15"/>
      <c r="DF402" s="15"/>
      <c r="DG402" s="15"/>
      <c r="DH402" s="15"/>
      <c r="DI402" s="15"/>
    </row>
    <row r="403" spans="1:113" ht="12" hidden="1" outlineLevel="2">
      <c r="A403" s="1" t="s">
        <v>111</v>
      </c>
      <c r="B403" s="15" t="s">
        <v>804</v>
      </c>
      <c r="C403" s="41"/>
      <c r="D403" s="41"/>
      <c r="E403" s="41"/>
      <c r="F403" s="41"/>
      <c r="G403" s="41"/>
      <c r="H403" s="41"/>
      <c r="I403" s="41"/>
      <c r="J403" s="41"/>
      <c r="K403" s="41"/>
      <c r="L403" s="41"/>
      <c r="M403" s="41"/>
      <c r="N403" s="41"/>
      <c r="O403" s="41"/>
      <c r="P403" s="41"/>
      <c r="Q403" s="41"/>
      <c r="R403" s="41"/>
      <c r="S403" s="41"/>
      <c r="T403" s="41"/>
      <c r="U403" s="41"/>
      <c r="V403" s="41"/>
      <c r="W403" s="41"/>
      <c r="X403" s="41"/>
      <c r="Y403" s="41"/>
      <c r="Z403" s="41"/>
      <c r="AA403" s="41"/>
      <c r="AB403" s="41"/>
      <c r="AC403" s="41"/>
      <c r="AD403" s="41"/>
      <c r="AE403" s="41"/>
      <c r="AF403" s="41"/>
      <c r="AG403" s="41"/>
      <c r="AH403" s="41"/>
      <c r="AI403" s="41"/>
      <c r="AJ403" s="41"/>
      <c r="AK403" s="41"/>
      <c r="AL403" s="41"/>
      <c r="AM403" s="41"/>
      <c r="AN403" s="41"/>
      <c r="AO403" s="41"/>
      <c r="AP403" s="41"/>
      <c r="AQ403" s="41"/>
      <c r="AR403" s="41"/>
      <c r="AS403" s="41"/>
      <c r="AT403" s="41"/>
      <c r="AU403" s="41"/>
      <c r="AV403" s="41"/>
      <c r="AW403" s="41"/>
      <c r="AX403" s="41"/>
      <c r="AY403" s="211"/>
      <c r="AZ403" s="41"/>
      <c r="BA403" s="41"/>
      <c r="BB403" s="41"/>
      <c r="BC403" s="41"/>
      <c r="BD403" s="41"/>
      <c r="BE403" s="41"/>
      <c r="BF403" s="41"/>
      <c r="BG403" s="41"/>
      <c r="BH403" s="41"/>
      <c r="BI403" s="41"/>
      <c r="BJ403" s="41"/>
      <c r="BK403" s="41"/>
      <c r="BL403" s="41"/>
      <c r="BM403" s="41"/>
      <c r="BN403" s="41"/>
      <c r="BO403" s="41"/>
      <c r="BP403" s="41"/>
      <c r="BQ403" s="41"/>
      <c r="BR403" s="41"/>
      <c r="BS403" s="41"/>
      <c r="BT403" s="41"/>
      <c r="BU403" s="41"/>
      <c r="BV403" s="41"/>
      <c r="BW403" s="41"/>
      <c r="BX403" s="41"/>
      <c r="BY403" s="41"/>
      <c r="BZ403" s="41"/>
      <c r="CA403" s="41"/>
      <c r="CB403" s="41"/>
      <c r="CC403" s="41"/>
      <c r="CD403" s="41"/>
      <c r="CE403" s="41"/>
      <c r="CF403" s="41"/>
      <c r="CG403" s="41"/>
      <c r="CH403" s="41"/>
      <c r="CI403" s="41"/>
      <c r="CJ403" s="41"/>
      <c r="CK403" s="41"/>
      <c r="CL403" s="41"/>
      <c r="CM403" s="41"/>
      <c r="CN403" s="41"/>
      <c r="CO403" s="41"/>
      <c r="CP403" s="41"/>
      <c r="CQ403" s="41"/>
      <c r="CR403" s="41"/>
      <c r="CS403" s="41"/>
      <c r="CT403" s="41"/>
      <c r="CU403" s="41"/>
      <c r="CV403" s="41"/>
      <c r="CW403" s="41"/>
      <c r="CX403" s="41"/>
      <c r="CY403" s="41"/>
      <c r="CZ403" s="211"/>
      <c r="DA403" s="41"/>
      <c r="DB403" s="15"/>
      <c r="DC403" s="15"/>
      <c r="DD403" s="15"/>
      <c r="DE403" s="15"/>
      <c r="DF403" s="15"/>
      <c r="DG403" s="15"/>
      <c r="DH403" s="15"/>
      <c r="DI403" s="15"/>
    </row>
    <row r="404" spans="1:113" ht="12" hidden="1" outlineLevel="2">
      <c r="A404" s="1" t="s">
        <v>112</v>
      </c>
      <c r="B404" s="15" t="s">
        <v>804</v>
      </c>
      <c r="C404" s="41"/>
      <c r="D404" s="41"/>
      <c r="E404" s="41"/>
      <c r="F404" s="41"/>
      <c r="G404" s="41"/>
      <c r="H404" s="41"/>
      <c r="I404" s="41"/>
      <c r="J404" s="41"/>
      <c r="K404" s="41"/>
      <c r="L404" s="41"/>
      <c r="M404" s="41"/>
      <c r="N404" s="41"/>
      <c r="O404" s="41"/>
      <c r="P404" s="41"/>
      <c r="Q404" s="41"/>
      <c r="R404" s="41"/>
      <c r="S404" s="41"/>
      <c r="T404" s="41"/>
      <c r="U404" s="41"/>
      <c r="V404" s="41"/>
      <c r="W404" s="41"/>
      <c r="X404" s="41"/>
      <c r="Y404" s="41"/>
      <c r="Z404" s="41"/>
      <c r="AA404" s="41"/>
      <c r="AB404" s="41"/>
      <c r="AC404" s="41"/>
      <c r="AD404" s="41"/>
      <c r="AE404" s="41"/>
      <c r="AF404" s="41"/>
      <c r="AG404" s="41"/>
      <c r="AH404" s="41"/>
      <c r="AI404" s="41"/>
      <c r="AJ404" s="41"/>
      <c r="AK404" s="41"/>
      <c r="AL404" s="41"/>
      <c r="AM404" s="41"/>
      <c r="AN404" s="41"/>
      <c r="AO404" s="41"/>
      <c r="AP404" s="41"/>
      <c r="AQ404" s="41"/>
      <c r="AR404" s="41"/>
      <c r="AS404" s="41"/>
      <c r="AT404" s="41"/>
      <c r="AU404" s="41"/>
      <c r="AV404" s="41"/>
      <c r="AW404" s="41"/>
      <c r="AX404" s="41"/>
      <c r="AY404" s="211"/>
      <c r="AZ404" s="41"/>
      <c r="BA404" s="41"/>
      <c r="BB404" s="41"/>
      <c r="BC404" s="41"/>
      <c r="BD404" s="41"/>
      <c r="BE404" s="41"/>
      <c r="BF404" s="41"/>
      <c r="BG404" s="41"/>
      <c r="BH404" s="41"/>
      <c r="BI404" s="41"/>
      <c r="BJ404" s="41"/>
      <c r="BK404" s="41"/>
      <c r="BL404" s="41"/>
      <c r="BM404" s="41"/>
      <c r="BN404" s="41"/>
      <c r="BO404" s="41"/>
      <c r="BP404" s="41"/>
      <c r="BQ404" s="41"/>
      <c r="BR404" s="41"/>
      <c r="BS404" s="41"/>
      <c r="BT404" s="41"/>
      <c r="BU404" s="41"/>
      <c r="BV404" s="41"/>
      <c r="BW404" s="41"/>
      <c r="BX404" s="41"/>
      <c r="BY404" s="41"/>
      <c r="BZ404" s="41"/>
      <c r="CA404" s="41"/>
      <c r="CB404" s="41"/>
      <c r="CC404" s="41"/>
      <c r="CD404" s="41"/>
      <c r="CE404" s="41"/>
      <c r="CF404" s="41"/>
      <c r="CG404" s="41"/>
      <c r="CH404" s="41"/>
      <c r="CI404" s="41"/>
      <c r="CJ404" s="41"/>
      <c r="CK404" s="41"/>
      <c r="CL404" s="41"/>
      <c r="CM404" s="41"/>
      <c r="CN404" s="41"/>
      <c r="CO404" s="41"/>
      <c r="CP404" s="41"/>
      <c r="CQ404" s="41"/>
      <c r="CR404" s="41"/>
      <c r="CS404" s="41"/>
      <c r="CT404" s="41"/>
      <c r="CU404" s="41"/>
      <c r="CV404" s="41"/>
      <c r="CW404" s="41"/>
      <c r="CX404" s="41"/>
      <c r="CY404" s="41"/>
      <c r="CZ404" s="211"/>
      <c r="DA404" s="41"/>
      <c r="DB404" s="15"/>
      <c r="DC404" s="15"/>
      <c r="DD404" s="15"/>
      <c r="DE404" s="15"/>
      <c r="DF404" s="15"/>
      <c r="DG404" s="15"/>
      <c r="DH404" s="15"/>
      <c r="DI404" s="15"/>
    </row>
    <row r="405" spans="1:113" ht="12" outlineLevel="1" collapsed="1">
      <c r="A405" s="1" t="s">
        <v>809</v>
      </c>
      <c r="B405" s="15" t="s">
        <v>658</v>
      </c>
      <c r="C405" s="41">
        <f>C406-SUM(C395:C400)</f>
        <v>152</v>
      </c>
      <c r="D405" s="41">
        <f>D406-SUM(D395:D400)</f>
        <v>178</v>
      </c>
      <c r="E405" s="41">
        <f>E406-SUM(E395:E400)</f>
        <v>101.41999999999985</v>
      </c>
      <c r="F405" s="41">
        <f>F406-SUM(F395:F400)</f>
        <v>89.330000000000155</v>
      </c>
      <c r="G405" s="41">
        <f>G406-SUM(G395:G400)</f>
        <v>113.19999999999982</v>
      </c>
      <c r="H405" s="41">
        <f t="shared" ref="H405:L405" si="4198">H406-SUM(H395:H400)</f>
        <v>72.259999999999991</v>
      </c>
      <c r="I405" s="41">
        <f t="shared" si="4198"/>
        <v>73.559999999999945</v>
      </c>
      <c r="J405" s="41">
        <f t="shared" si="4198"/>
        <v>118.53999999999996</v>
      </c>
      <c r="K405" s="41">
        <f t="shared" si="4198"/>
        <v>103.95000000000005</v>
      </c>
      <c r="L405" s="41">
        <f t="shared" si="4198"/>
        <v>106.15999999999985</v>
      </c>
      <c r="M405" s="41">
        <f t="shared" ref="M405:U405" si="4199">M406-SUM(M395:M400)</f>
        <v>119.76999999999975</v>
      </c>
      <c r="N405" s="41">
        <f t="shared" si="4199"/>
        <v>143.01</v>
      </c>
      <c r="O405" s="41">
        <f t="shared" si="4199"/>
        <v>188.59999999999991</v>
      </c>
      <c r="P405" s="41">
        <f t="shared" si="4199"/>
        <v>227.53999999999996</v>
      </c>
      <c r="Q405" s="41">
        <f t="shared" si="4199"/>
        <v>129.48999999999978</v>
      </c>
      <c r="R405" s="41">
        <f t="shared" si="4199"/>
        <v>94.970000000000027</v>
      </c>
      <c r="S405" s="41">
        <f t="shared" si="4199"/>
        <v>520.02</v>
      </c>
      <c r="T405" s="41">
        <f t="shared" si="4199"/>
        <v>316</v>
      </c>
      <c r="U405" s="41">
        <f t="shared" si="4199"/>
        <v>364</v>
      </c>
      <c r="V405" s="41">
        <f t="shared" ref="V405:AB405" si="4200">V406-SUM(V395:V400)</f>
        <v>428</v>
      </c>
      <c r="W405" s="41">
        <f t="shared" si="4200"/>
        <v>500</v>
      </c>
      <c r="X405" s="41">
        <f t="shared" si="4200"/>
        <v>401</v>
      </c>
      <c r="Y405" s="41">
        <f t="shared" si="4200"/>
        <v>507.00000000000045</v>
      </c>
      <c r="Z405" s="41">
        <f t="shared" si="4200"/>
        <v>376</v>
      </c>
      <c r="AA405" s="41">
        <f t="shared" si="4200"/>
        <v>405</v>
      </c>
      <c r="AB405" s="41">
        <f t="shared" si="4200"/>
        <v>376</v>
      </c>
      <c r="AC405" s="41">
        <f t="shared" ref="AC405:AD405" si="4201">AC406-SUM(AC395:AC400)</f>
        <v>334.35714285714266</v>
      </c>
      <c r="AD405" s="41">
        <f t="shared" si="4201"/>
        <v>346.00000000000045</v>
      </c>
      <c r="AE405" s="41">
        <f t="shared" ref="AE405:AF405" si="4202">AE406-SUM(AE395:AE400)</f>
        <v>387</v>
      </c>
      <c r="AF405" s="41">
        <f t="shared" si="4202"/>
        <v>512</v>
      </c>
      <c r="AG405" s="41">
        <f t="shared" ref="AG405:AH405" si="4203">AG406-SUM(AG395:AG400)</f>
        <v>674</v>
      </c>
      <c r="AH405" s="41">
        <f t="shared" si="4203"/>
        <v>359</v>
      </c>
      <c r="AI405" s="41">
        <f t="shared" ref="AI405:AJ405" si="4204">AI406-SUM(AI395:AI400)</f>
        <v>313</v>
      </c>
      <c r="AJ405" s="41">
        <f t="shared" si="4204"/>
        <v>273</v>
      </c>
      <c r="AK405" s="41">
        <f t="shared" ref="AK405:AL405" si="4205">AK406-SUM(AK395:AK400)</f>
        <v>291</v>
      </c>
      <c r="AL405" s="41">
        <f t="shared" si="4205"/>
        <v>306</v>
      </c>
      <c r="AM405" s="41">
        <f t="shared" ref="AM405:AN405" si="4206">AM406-SUM(AM395:AM400)</f>
        <v>329</v>
      </c>
      <c r="AN405" s="41">
        <f t="shared" si="4206"/>
        <v>279</v>
      </c>
      <c r="AO405" s="41">
        <f t="shared" ref="AO405" si="4207">AO406-SUM(AO395:AO400)</f>
        <v>259</v>
      </c>
      <c r="AP405" s="41">
        <f t="shared" ref="AP405:AQ405" si="4208">AP406-SUM(AP395:AP400)</f>
        <v>379</v>
      </c>
      <c r="AQ405" s="41">
        <f t="shared" si="4208"/>
        <v>307</v>
      </c>
      <c r="AR405" s="41">
        <f t="shared" ref="AR405:AS405" si="4209">AR406-SUM(AR395:AR400)</f>
        <v>311</v>
      </c>
      <c r="AS405" s="41">
        <f t="shared" si="4209"/>
        <v>393</v>
      </c>
      <c r="AT405" s="41">
        <f t="shared" ref="AT405:AU405" si="4210">AT406-SUM(AT395:AT400)</f>
        <v>215</v>
      </c>
      <c r="AU405" s="41">
        <f t="shared" si="4210"/>
        <v>381</v>
      </c>
      <c r="AV405" s="41">
        <f t="shared" ref="AV405:AW405" si="4211">AV406-SUM(AV395:AV400)</f>
        <v>253</v>
      </c>
      <c r="AW405" s="41">
        <f t="shared" si="4211"/>
        <v>307</v>
      </c>
      <c r="AX405" s="41">
        <f t="shared" ref="AX405:AY405" si="4212">AX406-SUM(AX395:AX400)</f>
        <v>280</v>
      </c>
      <c r="AY405" s="211">
        <f t="shared" si="4212"/>
        <v>279</v>
      </c>
      <c r="AZ405" s="41">
        <f t="shared" ref="AZ405:BA405" si="4213">AZ89/AZ$5*(AZ237+AZ259)</f>
        <v>282.8</v>
      </c>
      <c r="BA405" s="41">
        <f t="shared" si="4213"/>
        <v>281.79000000000002</v>
      </c>
      <c r="BB405" s="41">
        <f t="shared" ref="BB405:BC405" si="4214">BB89/BB$5*(BB237+BB259)</f>
        <v>285.62799999999999</v>
      </c>
      <c r="BC405" s="41">
        <f t="shared" si="4214"/>
        <v>284.60790000000003</v>
      </c>
      <c r="BD405" s="41">
        <f t="shared" ref="BD405:BE405" si="4215">BD89/BD$5*(BD237+BD259)</f>
        <v>288.48428000000001</v>
      </c>
      <c r="BE405" s="41">
        <f t="shared" si="4215"/>
        <v>287.453979</v>
      </c>
      <c r="BF405" s="41">
        <f t="shared" ref="BF405:BG405" si="4216">BF89/BF$5*(BF237+BF259)</f>
        <v>291.36912280000001</v>
      </c>
      <c r="BG405" s="41">
        <f t="shared" si="4216"/>
        <v>290.32851879000003</v>
      </c>
      <c r="BH405" s="41">
        <f t="shared" ref="BH405:BI405" si="4217">BH89/BH$5*(BH237+BH259)</f>
        <v>294.28281402800002</v>
      </c>
      <c r="BI405" s="41">
        <f t="shared" si="4217"/>
        <v>293.23180397790003</v>
      </c>
      <c r="BJ405" s="41">
        <f t="shared" ref="BJ405:BK405" si="4218">BJ89/BJ$5*(BJ237+BJ259)</f>
        <v>297.88373117982275</v>
      </c>
      <c r="BK405" s="41">
        <f t="shared" si="4218"/>
        <v>305.91496568711489</v>
      </c>
      <c r="BL405" s="41">
        <f t="shared" ref="BL405:BM405" si="4219">BL89/BL$5*(BL237+BL259)</f>
        <v>310.64954447179622</v>
      </c>
      <c r="BM405" s="41">
        <f t="shared" si="4219"/>
        <v>315.84481963179979</v>
      </c>
      <c r="BN405" s="41">
        <f t="shared" ref="BN405:BO405" si="4220">BN89/BN$5*(BN237+BN259)</f>
        <v>320.74220156099295</v>
      </c>
      <c r="BO405" s="41">
        <f t="shared" si="4220"/>
        <v>328.89306686720693</v>
      </c>
      <c r="BP405" s="41">
        <f t="shared" ref="BP405:BQ405" si="4221">BP89/BP$5*(BP237+BP259)</f>
        <v>333.97046133437271</v>
      </c>
      <c r="BQ405" s="41">
        <f t="shared" si="4221"/>
        <v>343.26805496163837</v>
      </c>
      <c r="BR405" s="41"/>
      <c r="BS405" s="41">
        <f t="shared" ref="BS405" si="4222">BS406-SUM(BS395:BS400)</f>
        <v>234.89999999999986</v>
      </c>
      <c r="BT405" s="41">
        <f t="shared" ref="BT405:CB405" si="4223">BT406-SUM(BT395:BT400)</f>
        <v>250.70000000000005</v>
      </c>
      <c r="BU405" s="41">
        <f t="shared" si="4223"/>
        <v>81</v>
      </c>
      <c r="BV405" s="41">
        <f t="shared" si="4223"/>
        <v>42</v>
      </c>
      <c r="BW405" s="41">
        <f t="shared" si="4223"/>
        <v>173</v>
      </c>
      <c r="BX405" s="41">
        <f t="shared" si="4223"/>
        <v>138</v>
      </c>
      <c r="BY405" s="41">
        <f t="shared" si="4223"/>
        <v>240</v>
      </c>
      <c r="BZ405" s="41">
        <f t="shared" si="4223"/>
        <v>73</v>
      </c>
      <c r="CA405" s="41">
        <f t="shared" si="4223"/>
        <v>313</v>
      </c>
      <c r="CB405" s="41">
        <f t="shared" si="4223"/>
        <v>80</v>
      </c>
      <c r="CC405" s="41">
        <f t="shared" ref="CC405:CC414" si="4224">SUM(D405:E405)</f>
        <v>279.41999999999985</v>
      </c>
      <c r="CD405" s="41">
        <f t="shared" ref="CD405:CD414" si="4225">SUM(F405:G405)</f>
        <v>202.52999999999997</v>
      </c>
      <c r="CE405" s="41">
        <f t="shared" ref="CE405:CE414" si="4226">SUM(H405:I405)</f>
        <v>145.81999999999994</v>
      </c>
      <c r="CF405" s="41">
        <f t="shared" ref="CF405:CF414" si="4227">SUM(J405:K405)</f>
        <v>222.49</v>
      </c>
      <c r="CG405" s="41">
        <f t="shared" ref="CG405:CG414" si="4228">SUM(L405:M405)</f>
        <v>225.92999999999961</v>
      </c>
      <c r="CH405" s="41">
        <f t="shared" ref="CH405:CH414" si="4229">SUM(N405:O405)</f>
        <v>331.6099999999999</v>
      </c>
      <c r="CI405" s="41">
        <f t="shared" ref="CI405:CI414" si="4230">SUM(P405:Q405)</f>
        <v>357.02999999999975</v>
      </c>
      <c r="CJ405" s="41">
        <f t="shared" ref="CJ405:CJ414" si="4231">SUM(R405:S405)</f>
        <v>614.99</v>
      </c>
      <c r="CK405" s="41">
        <f t="shared" ref="CK405:CK415" si="4232">SUM(T405:U405)</f>
        <v>680</v>
      </c>
      <c r="CL405" s="41">
        <f t="shared" ref="CL405:CL415" si="4233">SUM(V405:W405)</f>
        <v>928</v>
      </c>
      <c r="CM405" s="41">
        <f t="shared" ref="CM405:CM415" si="4234">SUM(X405:Y405)</f>
        <v>908.00000000000045</v>
      </c>
      <c r="CN405" s="41">
        <f t="shared" ref="CN405:CN415" si="4235">SUM(Z405:AA405)</f>
        <v>781</v>
      </c>
      <c r="CO405" s="41">
        <f t="shared" ref="CO405:CO415" si="4236">SUM(AB405:AC405)</f>
        <v>710.35714285714266</v>
      </c>
      <c r="CP405" s="41">
        <f t="shared" ref="CP405:CP415" si="4237">SUM(AD405:AE405)</f>
        <v>733.00000000000045</v>
      </c>
      <c r="CQ405" s="41">
        <f t="shared" ref="CQ405:CQ415" si="4238">SUM(AF405:AG405)</f>
        <v>1186</v>
      </c>
      <c r="CR405" s="41">
        <f t="shared" ref="CR405:CR415" si="4239">SUM(AH405:AI405)</f>
        <v>672</v>
      </c>
      <c r="CS405" s="41">
        <f t="shared" ref="CS405:CS415" si="4240">SUM(AJ405:AK405)</f>
        <v>564</v>
      </c>
      <c r="CT405" s="41">
        <f t="shared" ref="CT405:CT415" si="4241">SUM(AL405:AM405)</f>
        <v>635</v>
      </c>
      <c r="CU405" s="41">
        <f t="shared" ref="CU405:CU415" si="4242">SUM(AN405:AO405)</f>
        <v>538</v>
      </c>
      <c r="CV405" s="41">
        <f t="shared" ref="CV405:CV415" si="4243">SUM(AP405:AQ405)</f>
        <v>686</v>
      </c>
      <c r="CW405" s="41">
        <f t="shared" ref="CW405:CW415" si="4244">SUM(AR405:AS405)</f>
        <v>704</v>
      </c>
      <c r="CX405" s="41">
        <f t="shared" ref="CX405:CX415" si="4245">SUM(AT405:AU405)</f>
        <v>596</v>
      </c>
      <c r="CY405" s="41">
        <f t="shared" ref="CY405:CY415" si="4246">SUM(AV405:AW405)</f>
        <v>560</v>
      </c>
      <c r="CZ405" s="211">
        <f t="shared" ref="CZ405:CZ415" si="4247">SUM(AX405:AY405)</f>
        <v>559</v>
      </c>
      <c r="DA405" s="41">
        <f t="shared" ref="DA405:DA415" si="4248">SUM(AZ405:BA405)</f>
        <v>564.59</v>
      </c>
      <c r="DB405" s="41">
        <f t="shared" ref="DB405:DB415" si="4249">SUM(BB405:BC405)</f>
        <v>570.23590000000002</v>
      </c>
      <c r="DC405" s="41">
        <f t="shared" ref="DC405:DC415" si="4250">SUM(BD405:BE405)</f>
        <v>575.93825900000002</v>
      </c>
      <c r="DD405" s="41">
        <f t="shared" ref="DD405:DD415" si="4251">SUM(BF405:BG405)</f>
        <v>581.6976415900001</v>
      </c>
      <c r="DE405" s="41">
        <f t="shared" ref="DE405:DE415" si="4252">SUM(BH405:BI405)</f>
        <v>587.51461800590005</v>
      </c>
      <c r="DF405" s="41">
        <f t="shared" ref="DF405:DF415" si="4253">SUM(BJ405:BK405)</f>
        <v>603.79869686693769</v>
      </c>
      <c r="DG405" s="41">
        <f t="shared" ref="DG405:DG415" si="4254">SUM(BL405:BM405)</f>
        <v>626.49436410359601</v>
      </c>
      <c r="DH405" s="41">
        <f t="shared" ref="DH405:DH415" si="4255">SUM(BN405:BO405)</f>
        <v>649.63526842819988</v>
      </c>
      <c r="DI405" s="41">
        <f t="shared" ref="DI405:DI415" si="4256">SUM(BP405:BQ405)</f>
        <v>677.23851629601108</v>
      </c>
    </row>
    <row r="406" spans="1:113" s="17" customFormat="1" ht="12" outlineLevel="1">
      <c r="A406" s="1" t="s">
        <v>810</v>
      </c>
      <c r="B406" s="17" t="s">
        <v>574</v>
      </c>
      <c r="C406" s="62">
        <f>C408-C407</f>
        <v>1333</v>
      </c>
      <c r="D406" s="62">
        <f>D408-D407</f>
        <v>1409</v>
      </c>
      <c r="E406" s="62">
        <f>E408-E407</f>
        <v>1481.57</v>
      </c>
      <c r="F406" s="62">
        <f>F408-F407</f>
        <v>1453.43</v>
      </c>
      <c r="G406" s="62">
        <f>G408-G407</f>
        <v>1566.25</v>
      </c>
      <c r="H406" s="62">
        <f t="shared" ref="H406:L406" si="4257">H408-H407</f>
        <v>1683.25</v>
      </c>
      <c r="I406" s="62">
        <f t="shared" si="4257"/>
        <v>1831.69</v>
      </c>
      <c r="J406" s="62">
        <f t="shared" si="4257"/>
        <v>1506.47</v>
      </c>
      <c r="K406" s="62">
        <f t="shared" si="4257"/>
        <v>1635.31</v>
      </c>
      <c r="L406" s="62">
        <f t="shared" si="4257"/>
        <v>1681.58</v>
      </c>
      <c r="M406" s="62">
        <f t="shared" ref="M406:U406" si="4258">M408-M407</f>
        <v>1705.99</v>
      </c>
      <c r="N406" s="62">
        <f t="shared" si="4258"/>
        <v>1903.28</v>
      </c>
      <c r="O406" s="62">
        <f t="shared" si="4258"/>
        <v>2082.79</v>
      </c>
      <c r="P406" s="62">
        <f t="shared" si="4258"/>
        <v>2331.69</v>
      </c>
      <c r="Q406" s="62">
        <f t="shared" si="4258"/>
        <v>2271.77</v>
      </c>
      <c r="R406" s="62">
        <f t="shared" si="4258"/>
        <v>2108.12</v>
      </c>
      <c r="S406" s="62">
        <f t="shared" si="4258"/>
        <v>2347.36</v>
      </c>
      <c r="T406" s="62">
        <f t="shared" si="4258"/>
        <v>2363</v>
      </c>
      <c r="U406" s="62">
        <f t="shared" si="4258"/>
        <v>2630</v>
      </c>
      <c r="V406" s="62">
        <f t="shared" ref="V406:AB406" si="4259">V408-V407</f>
        <v>2801</v>
      </c>
      <c r="W406" s="62">
        <f t="shared" si="4259"/>
        <v>2580</v>
      </c>
      <c r="X406" s="62">
        <f t="shared" si="4259"/>
        <v>2788</v>
      </c>
      <c r="Y406" s="62">
        <f t="shared" si="4259"/>
        <v>2732</v>
      </c>
      <c r="Z406" s="62">
        <f t="shared" si="4259"/>
        <v>2856</v>
      </c>
      <c r="AA406" s="62">
        <f t="shared" si="4259"/>
        <v>2763</v>
      </c>
      <c r="AB406" s="62">
        <f t="shared" si="4259"/>
        <v>2904</v>
      </c>
      <c r="AC406" s="62">
        <f t="shared" ref="AC406:AD406" si="4260">AC408-AC407</f>
        <v>2749.3571428571427</v>
      </c>
      <c r="AD406" s="62">
        <f t="shared" si="4260"/>
        <v>3032</v>
      </c>
      <c r="AE406" s="62">
        <f t="shared" ref="AE406:AF406" si="4261">AE408-AE407</f>
        <v>2838</v>
      </c>
      <c r="AF406" s="62">
        <f t="shared" si="4261"/>
        <v>2910</v>
      </c>
      <c r="AG406" s="62">
        <f t="shared" ref="AG406:AH406" si="4262">AG408-AG407</f>
        <v>2979</v>
      </c>
      <c r="AH406" s="62">
        <f t="shared" si="4262"/>
        <v>2767</v>
      </c>
      <c r="AI406" s="62">
        <f t="shared" ref="AI406:AJ406" si="4263">AI408-AI407</f>
        <v>2371</v>
      </c>
      <c r="AJ406" s="62">
        <f t="shared" si="4263"/>
        <v>2196</v>
      </c>
      <c r="AK406" s="62">
        <f t="shared" ref="AK406:AL406" si="4264">AK408-AK407</f>
        <v>2313</v>
      </c>
      <c r="AL406" s="62">
        <f t="shared" si="4264"/>
        <v>2215</v>
      </c>
      <c r="AM406" s="62">
        <f t="shared" ref="AM406:AN406" si="4265">AM408-AM407</f>
        <v>2240</v>
      </c>
      <c r="AN406" s="62">
        <f t="shared" si="4265"/>
        <v>2207</v>
      </c>
      <c r="AO406" s="62">
        <f t="shared" ref="AO406" si="4266">AO408-AO407</f>
        <v>2483</v>
      </c>
      <c r="AP406" s="62">
        <f t="shared" ref="AP406:AQ406" si="4267">AP408-AP407</f>
        <v>1937</v>
      </c>
      <c r="AQ406" s="62">
        <f t="shared" si="4267"/>
        <v>1810</v>
      </c>
      <c r="AR406" s="62">
        <f t="shared" ref="AR406:AS406" si="4268">AR408-AR407</f>
        <v>1576</v>
      </c>
      <c r="AS406" s="62">
        <f t="shared" si="4268"/>
        <v>1810</v>
      </c>
      <c r="AT406" s="62">
        <f t="shared" ref="AT406:AU406" si="4269">AT408-AT407</f>
        <v>2090</v>
      </c>
      <c r="AU406" s="62">
        <f t="shared" si="4269"/>
        <v>2291</v>
      </c>
      <c r="AV406" s="62">
        <f t="shared" ref="AV406:AW406" si="4270">AV408-AV407</f>
        <v>2448</v>
      </c>
      <c r="AW406" s="62">
        <f t="shared" si="4270"/>
        <v>2302</v>
      </c>
      <c r="AX406" s="62">
        <f t="shared" ref="AX406:AY406" si="4271">AX408-AX407</f>
        <v>2126</v>
      </c>
      <c r="AY406" s="220">
        <f t="shared" si="4271"/>
        <v>2097</v>
      </c>
      <c r="AZ406" s="62">
        <f t="shared" ref="AZ406:BA406" si="4272">SUM(AZ395:AZ405)</f>
        <v>2168.1771210547849</v>
      </c>
      <c r="BA406" s="62">
        <f t="shared" si="4272"/>
        <v>2094.4578777721872</v>
      </c>
      <c r="BB406" s="62">
        <f t="shared" ref="BB406:BC406" si="4273">SUM(BB395:BB405)</f>
        <v>2151.439947652219</v>
      </c>
      <c r="BC406" s="62">
        <f t="shared" si="4273"/>
        <v>2087.9452054538524</v>
      </c>
      <c r="BD406" s="62">
        <f t="shared" ref="BD406:BE406" si="4274">SUM(BD395:BD405)</f>
        <v>2195.4885078141301</v>
      </c>
      <c r="BE406" s="62">
        <f t="shared" si="4274"/>
        <v>2125.6738675091365</v>
      </c>
      <c r="BF406" s="62">
        <f t="shared" ref="BF406:BG406" si="4275">SUM(BF395:BF405)</f>
        <v>2216.1827879177358</v>
      </c>
      <c r="BG406" s="62">
        <f t="shared" si="4275"/>
        <v>2149.1932427041211</v>
      </c>
      <c r="BH406" s="62">
        <f t="shared" ref="BH406:BI406" si="4276">SUM(BH395:BH405)</f>
        <v>2237.81085368408</v>
      </c>
      <c r="BI406" s="62">
        <f t="shared" si="4276"/>
        <v>2171.7876196277816</v>
      </c>
      <c r="BJ406" s="62">
        <f t="shared" ref="BJ406:BK406" si="4277">SUM(BJ395:BJ405)</f>
        <v>2298.468979967623</v>
      </c>
      <c r="BK406" s="62">
        <f t="shared" si="4277"/>
        <v>2352.4612592137669</v>
      </c>
      <c r="BL406" s="62">
        <f t="shared" ref="BL406:BM406" si="4278">SUM(BL395:BL405)</f>
        <v>2380.4866898171249</v>
      </c>
      <c r="BM406" s="62">
        <f t="shared" si="4278"/>
        <v>2412.6651869236298</v>
      </c>
      <c r="BN406" s="62">
        <f t="shared" ref="BN406:BO406" si="4279">SUM(BN395:BN405)</f>
        <v>2443.2000928340995</v>
      </c>
      <c r="BO406" s="62">
        <f t="shared" si="4279"/>
        <v>2499.0988641862464</v>
      </c>
      <c r="BP406" s="62">
        <f t="shared" ref="BP406:BQ406" si="4280">SUM(BP395:BP405)</f>
        <v>2532.0916045576905</v>
      </c>
      <c r="BQ406" s="62">
        <f t="shared" si="4280"/>
        <v>2597.5454591426551</v>
      </c>
      <c r="BR406" s="62"/>
      <c r="BS406" s="62">
        <f t="shared" ref="BS406:CB406" si="4281">BS408-BS407</f>
        <v>2108.6999999999998</v>
      </c>
      <c r="BT406" s="62">
        <f t="shared" si="4281"/>
        <v>1875</v>
      </c>
      <c r="BU406" s="62">
        <f t="shared" si="4281"/>
        <v>1793</v>
      </c>
      <c r="BV406" s="62">
        <f t="shared" si="4281"/>
        <v>1754</v>
      </c>
      <c r="BW406" s="62">
        <f t="shared" si="4281"/>
        <v>1839</v>
      </c>
      <c r="BX406" s="62">
        <f t="shared" si="4281"/>
        <v>2110</v>
      </c>
      <c r="BY406" s="62">
        <f t="shared" si="4281"/>
        <v>2142</v>
      </c>
      <c r="BZ406" s="62">
        <f t="shared" si="4281"/>
        <v>2377</v>
      </c>
      <c r="CA406" s="62">
        <f t="shared" si="4281"/>
        <v>2583</v>
      </c>
      <c r="CB406" s="62">
        <f t="shared" si="4281"/>
        <v>2573</v>
      </c>
      <c r="CC406" s="62">
        <f t="shared" si="4224"/>
        <v>2890.5699999999997</v>
      </c>
      <c r="CD406" s="62">
        <f t="shared" si="4225"/>
        <v>3019.6800000000003</v>
      </c>
      <c r="CE406" s="62">
        <f t="shared" si="4226"/>
        <v>3514.94</v>
      </c>
      <c r="CF406" s="62">
        <f t="shared" si="4227"/>
        <v>3141.7799999999997</v>
      </c>
      <c r="CG406" s="62">
        <f t="shared" si="4228"/>
        <v>3387.5699999999997</v>
      </c>
      <c r="CH406" s="62">
        <f t="shared" si="4229"/>
        <v>3986.0699999999997</v>
      </c>
      <c r="CI406" s="62">
        <f t="shared" si="4230"/>
        <v>4603.46</v>
      </c>
      <c r="CJ406" s="62">
        <f t="shared" si="4231"/>
        <v>4455.4799999999996</v>
      </c>
      <c r="CK406" s="62">
        <f t="shared" si="4232"/>
        <v>4993</v>
      </c>
      <c r="CL406" s="62">
        <f t="shared" si="4233"/>
        <v>5381</v>
      </c>
      <c r="CM406" s="62">
        <f t="shared" si="4234"/>
        <v>5520</v>
      </c>
      <c r="CN406" s="62">
        <f t="shared" si="4235"/>
        <v>5619</v>
      </c>
      <c r="CO406" s="62">
        <f t="shared" si="4236"/>
        <v>5653.3571428571431</v>
      </c>
      <c r="CP406" s="62">
        <f t="shared" si="4237"/>
        <v>5870</v>
      </c>
      <c r="CQ406" s="62">
        <f t="shared" si="4238"/>
        <v>5889</v>
      </c>
      <c r="CR406" s="62">
        <f t="shared" si="4239"/>
        <v>5138</v>
      </c>
      <c r="CS406" s="62">
        <f t="shared" si="4240"/>
        <v>4509</v>
      </c>
      <c r="CT406" s="62">
        <f t="shared" si="4241"/>
        <v>4455</v>
      </c>
      <c r="CU406" s="62">
        <f t="shared" si="4242"/>
        <v>4690</v>
      </c>
      <c r="CV406" s="62">
        <f t="shared" si="4243"/>
        <v>3747</v>
      </c>
      <c r="CW406" s="62">
        <f t="shared" si="4244"/>
        <v>3386</v>
      </c>
      <c r="CX406" s="62">
        <f t="shared" si="4245"/>
        <v>4381</v>
      </c>
      <c r="CY406" s="62">
        <f t="shared" si="4246"/>
        <v>4750</v>
      </c>
      <c r="CZ406" s="220">
        <f t="shared" si="4247"/>
        <v>4223</v>
      </c>
      <c r="DA406" s="62">
        <f t="shared" si="4248"/>
        <v>4262.6349988269722</v>
      </c>
      <c r="DB406" s="62">
        <f t="shared" si="4249"/>
        <v>4239.3851531060718</v>
      </c>
      <c r="DC406" s="62">
        <f t="shared" si="4250"/>
        <v>4321.162375323267</v>
      </c>
      <c r="DD406" s="62">
        <f t="shared" si="4251"/>
        <v>4365.3760306218574</v>
      </c>
      <c r="DE406" s="62">
        <f t="shared" si="4252"/>
        <v>4409.5984733118621</v>
      </c>
      <c r="DF406" s="62">
        <f t="shared" si="4253"/>
        <v>4650.9302391813899</v>
      </c>
      <c r="DG406" s="62">
        <f t="shared" si="4254"/>
        <v>4793.1518767407542</v>
      </c>
      <c r="DH406" s="62">
        <f t="shared" si="4255"/>
        <v>4942.2989570203463</v>
      </c>
      <c r="DI406" s="62">
        <f t="shared" si="4256"/>
        <v>5129.6370637003456</v>
      </c>
    </row>
    <row r="407" spans="1:113" ht="12" outlineLevel="1">
      <c r="A407" s="1" t="s">
        <v>811</v>
      </c>
      <c r="B407" s="15" t="s">
        <v>715</v>
      </c>
      <c r="C407" s="40">
        <v>0</v>
      </c>
      <c r="D407" s="40">
        <v>0</v>
      </c>
      <c r="E407" s="40">
        <v>0</v>
      </c>
      <c r="F407" s="40">
        <v>0</v>
      </c>
      <c r="G407" s="40">
        <v>0</v>
      </c>
      <c r="H407" s="40">
        <v>0</v>
      </c>
      <c r="I407" s="40">
        <v>0</v>
      </c>
      <c r="J407" s="40">
        <v>0</v>
      </c>
      <c r="K407" s="40">
        <v>0</v>
      </c>
      <c r="L407" s="40">
        <v>0</v>
      </c>
      <c r="M407" s="40">
        <v>0</v>
      </c>
      <c r="N407" s="40">
        <v>0</v>
      </c>
      <c r="O407" s="40">
        <v>0</v>
      </c>
      <c r="P407" s="40">
        <f>-226+353</f>
        <v>127</v>
      </c>
      <c r="Q407" s="40">
        <v>-305</v>
      </c>
      <c r="R407" s="40">
        <v>-812</v>
      </c>
      <c r="S407" s="40">
        <v>759</v>
      </c>
      <c r="T407" s="40">
        <v>64</v>
      </c>
      <c r="U407" s="40">
        <v>5</v>
      </c>
      <c r="V407" s="40">
        <v>55</v>
      </c>
      <c r="W407" s="40">
        <v>-51</v>
      </c>
      <c r="X407" s="40">
        <v>-52</v>
      </c>
      <c r="Y407" s="40">
        <f>-21+291</f>
        <v>270</v>
      </c>
      <c r="Z407" s="141">
        <v>0</v>
      </c>
      <c r="AA407" s="141">
        <v>0</v>
      </c>
      <c r="AB407" s="141">
        <v>0</v>
      </c>
      <c r="AC407" s="141">
        <f>3.7/0.7/2+125</f>
        <v>127.64285714285714</v>
      </c>
      <c r="AD407" s="141">
        <f>25</f>
        <v>25</v>
      </c>
      <c r="AE407" s="141">
        <f>26</f>
        <v>26</v>
      </c>
      <c r="AF407" s="141">
        <f>78-231</f>
        <v>-153</v>
      </c>
      <c r="AG407" s="141">
        <v>-237</v>
      </c>
      <c r="AH407" s="141">
        <f>-324+114</f>
        <v>-210</v>
      </c>
      <c r="AI407" s="141">
        <f>14-1</f>
        <v>13</v>
      </c>
      <c r="AJ407" s="141">
        <f>238+99-13</f>
        <v>324</v>
      </c>
      <c r="AK407" s="141">
        <f>60+70-110</f>
        <v>20</v>
      </c>
      <c r="AL407" s="141">
        <f>234+(39+1)-42</f>
        <v>232</v>
      </c>
      <c r="AM407" s="141">
        <f>18+(14+0)-29</f>
        <v>3</v>
      </c>
      <c r="AN407" s="141">
        <f>-36+12*0-815+1</f>
        <v>-850</v>
      </c>
      <c r="AO407" s="141">
        <f>-38+1-32+10*0-68</f>
        <v>-137</v>
      </c>
      <c r="AP407" s="141">
        <f>-238-18-0+0-347+103</f>
        <v>-500</v>
      </c>
      <c r="AQ407" s="141">
        <f>0-38-0+0-0+77</f>
        <v>39</v>
      </c>
      <c r="AR407" s="141">
        <f>294-22-0+0-0+0</f>
        <v>272</v>
      </c>
      <c r="AS407" s="141">
        <f>4-12-0+0-0+23</f>
        <v>15</v>
      </c>
      <c r="AT407" s="141">
        <f>-7-0-0+0-0-43</f>
        <v>-50</v>
      </c>
      <c r="AU407" s="141">
        <f>66-23-0-0+0-43</f>
        <v>0</v>
      </c>
      <c r="AV407" s="141">
        <v>0</v>
      </c>
      <c r="AW407" s="555">
        <f>+[3]ANZ!H143</f>
        <v>-10</v>
      </c>
      <c r="AX407" s="555">
        <f>+[3]ANZ!I143</f>
        <v>0</v>
      </c>
      <c r="AY407" s="607">
        <f>+[3]ANZ!J143</f>
        <v>-285</v>
      </c>
      <c r="AZ407" s="210">
        <f>[3]ANZ!K$143</f>
        <v>0</v>
      </c>
      <c r="BA407" s="210">
        <f>[3]ANZ!L$143</f>
        <v>0</v>
      </c>
      <c r="BB407" s="210">
        <f>[3]ANZ!M$143</f>
        <v>0</v>
      </c>
      <c r="BC407" s="210">
        <f>[3]ANZ!N$143</f>
        <v>0</v>
      </c>
      <c r="BD407" s="210">
        <f>[3]ANZ!O$143</f>
        <v>0</v>
      </c>
      <c r="BE407" s="210">
        <f>[3]ANZ!P$143</f>
        <v>0</v>
      </c>
      <c r="BF407" s="210">
        <f>[3]ANZ!Q$143</f>
        <v>0</v>
      </c>
      <c r="BG407" s="210">
        <f>[3]ANZ!R$143</f>
        <v>0</v>
      </c>
      <c r="BH407" s="210">
        <f>[3]ANZ!S$143</f>
        <v>0</v>
      </c>
      <c r="BI407" s="210">
        <f>[3]ANZ!T$143</f>
        <v>0</v>
      </c>
      <c r="BJ407" s="210">
        <v>0</v>
      </c>
      <c r="BK407" s="210">
        <v>0</v>
      </c>
      <c r="BL407" s="210">
        <v>0</v>
      </c>
      <c r="BM407" s="210">
        <v>0</v>
      </c>
      <c r="BN407" s="210">
        <v>0</v>
      </c>
      <c r="BO407" s="210">
        <v>0</v>
      </c>
      <c r="BP407" s="210">
        <v>0</v>
      </c>
      <c r="BQ407" s="210">
        <v>0</v>
      </c>
      <c r="BR407" s="41"/>
      <c r="BS407" s="40">
        <v>0</v>
      </c>
      <c r="BT407" s="40">
        <v>0</v>
      </c>
      <c r="BU407" s="40">
        <v>0</v>
      </c>
      <c r="BV407" s="40">
        <v>0</v>
      </c>
      <c r="BW407" s="40">
        <v>0</v>
      </c>
      <c r="BX407" s="40">
        <v>0</v>
      </c>
      <c r="BY407" s="40">
        <v>0</v>
      </c>
      <c r="BZ407" s="40">
        <v>0</v>
      </c>
      <c r="CA407" s="40">
        <v>0</v>
      </c>
      <c r="CB407" s="40">
        <v>0</v>
      </c>
      <c r="CC407" s="41">
        <f t="shared" si="4224"/>
        <v>0</v>
      </c>
      <c r="CD407" s="41">
        <f t="shared" si="4225"/>
        <v>0</v>
      </c>
      <c r="CE407" s="41">
        <f t="shared" si="4226"/>
        <v>0</v>
      </c>
      <c r="CF407" s="41">
        <f t="shared" si="4227"/>
        <v>0</v>
      </c>
      <c r="CG407" s="41">
        <f t="shared" si="4228"/>
        <v>0</v>
      </c>
      <c r="CH407" s="41">
        <f t="shared" si="4229"/>
        <v>0</v>
      </c>
      <c r="CI407" s="41">
        <f t="shared" si="4230"/>
        <v>-178</v>
      </c>
      <c r="CJ407" s="41">
        <f t="shared" si="4231"/>
        <v>-53</v>
      </c>
      <c r="CK407" s="41">
        <f t="shared" si="4232"/>
        <v>69</v>
      </c>
      <c r="CL407" s="41">
        <f t="shared" si="4233"/>
        <v>4</v>
      </c>
      <c r="CM407" s="41">
        <f t="shared" si="4234"/>
        <v>218</v>
      </c>
      <c r="CN407" s="41">
        <f t="shared" si="4235"/>
        <v>0</v>
      </c>
      <c r="CO407" s="41">
        <f t="shared" si="4236"/>
        <v>127.64285714285714</v>
      </c>
      <c r="CP407" s="41">
        <f t="shared" si="4237"/>
        <v>51</v>
      </c>
      <c r="CQ407" s="41">
        <f t="shared" si="4238"/>
        <v>-390</v>
      </c>
      <c r="CR407" s="41">
        <f t="shared" si="4239"/>
        <v>-197</v>
      </c>
      <c r="CS407" s="41">
        <f t="shared" si="4240"/>
        <v>344</v>
      </c>
      <c r="CT407" s="41">
        <f t="shared" si="4241"/>
        <v>235</v>
      </c>
      <c r="CU407" s="41">
        <f t="shared" si="4242"/>
        <v>-987</v>
      </c>
      <c r="CV407" s="41">
        <f t="shared" si="4243"/>
        <v>-461</v>
      </c>
      <c r="CW407" s="41">
        <f t="shared" si="4244"/>
        <v>287</v>
      </c>
      <c r="CX407" s="41">
        <f t="shared" si="4245"/>
        <v>-50</v>
      </c>
      <c r="CY407" s="41">
        <f t="shared" si="4246"/>
        <v>-10</v>
      </c>
      <c r="CZ407" s="211">
        <f t="shared" si="4247"/>
        <v>-285</v>
      </c>
      <c r="DA407" s="41">
        <f t="shared" si="4248"/>
        <v>0</v>
      </c>
      <c r="DB407" s="41">
        <f t="shared" si="4249"/>
        <v>0</v>
      </c>
      <c r="DC407" s="41">
        <f t="shared" si="4250"/>
        <v>0</v>
      </c>
      <c r="DD407" s="41">
        <f t="shared" si="4251"/>
        <v>0</v>
      </c>
      <c r="DE407" s="41">
        <f t="shared" si="4252"/>
        <v>0</v>
      </c>
      <c r="DF407" s="41">
        <f t="shared" si="4253"/>
        <v>0</v>
      </c>
      <c r="DG407" s="41">
        <f t="shared" si="4254"/>
        <v>0</v>
      </c>
      <c r="DH407" s="41">
        <f t="shared" si="4255"/>
        <v>0</v>
      </c>
      <c r="DI407" s="41">
        <f t="shared" si="4256"/>
        <v>0</v>
      </c>
    </row>
    <row r="408" spans="1:113" s="17" customFormat="1" ht="12" outlineLevel="1">
      <c r="A408" s="1" t="s">
        <v>120</v>
      </c>
      <c r="B408" s="17" t="s">
        <v>168</v>
      </c>
      <c r="C408" s="62">
        <f>C414-SUM(C409:C413)</f>
        <v>1333</v>
      </c>
      <c r="D408" s="62">
        <f>D414-SUM(D409:D413)</f>
        <v>1409</v>
      </c>
      <c r="E408" s="62">
        <f>E414-SUM(E409:E413)</f>
        <v>1481.57</v>
      </c>
      <c r="F408" s="62">
        <f>F414-SUM(F409:F413)</f>
        <v>1453.43</v>
      </c>
      <c r="G408" s="62">
        <f>G414-SUM(G409:G413)</f>
        <v>1566.25</v>
      </c>
      <c r="H408" s="62">
        <f t="shared" ref="H408:L408" si="4282">H414-SUM(H409:H413)</f>
        <v>1683.25</v>
      </c>
      <c r="I408" s="62">
        <f t="shared" si="4282"/>
        <v>1831.69</v>
      </c>
      <c r="J408" s="62">
        <f t="shared" si="4282"/>
        <v>1506.47</v>
      </c>
      <c r="K408" s="62">
        <f t="shared" si="4282"/>
        <v>1635.31</v>
      </c>
      <c r="L408" s="62">
        <f t="shared" si="4282"/>
        <v>1681.58</v>
      </c>
      <c r="M408" s="62">
        <f t="shared" ref="M408:X408" si="4283">M414-SUM(M409:M413)</f>
        <v>1705.99</v>
      </c>
      <c r="N408" s="62">
        <f t="shared" si="4283"/>
        <v>1903.28</v>
      </c>
      <c r="O408" s="62">
        <f t="shared" si="4283"/>
        <v>2082.79</v>
      </c>
      <c r="P408" s="62">
        <f t="shared" si="4283"/>
        <v>2458.69</v>
      </c>
      <c r="Q408" s="62">
        <f t="shared" si="4283"/>
        <v>1966.77</v>
      </c>
      <c r="R408" s="62">
        <f t="shared" si="4283"/>
        <v>1296.1199999999999</v>
      </c>
      <c r="S408" s="62">
        <f t="shared" si="4283"/>
        <v>3106.36</v>
      </c>
      <c r="T408" s="62">
        <f t="shared" si="4283"/>
        <v>2427</v>
      </c>
      <c r="U408" s="62">
        <f t="shared" si="4283"/>
        <v>2635</v>
      </c>
      <c r="V408" s="62">
        <f t="shared" si="4283"/>
        <v>2856</v>
      </c>
      <c r="W408" s="62">
        <f t="shared" si="4283"/>
        <v>2529</v>
      </c>
      <c r="X408" s="62">
        <f t="shared" si="4283"/>
        <v>2736</v>
      </c>
      <c r="Y408" s="62">
        <f t="shared" ref="Y408:AD408" si="4284">Y414-SUM(Y409:Y413)</f>
        <v>3002</v>
      </c>
      <c r="Z408" s="62">
        <f t="shared" si="4284"/>
        <v>2856</v>
      </c>
      <c r="AA408" s="62">
        <f t="shared" si="4284"/>
        <v>2763</v>
      </c>
      <c r="AB408" s="62">
        <f t="shared" si="4284"/>
        <v>2904</v>
      </c>
      <c r="AC408" s="62">
        <f t="shared" si="4284"/>
        <v>2877</v>
      </c>
      <c r="AD408" s="62">
        <f t="shared" si="4284"/>
        <v>3057</v>
      </c>
      <c r="AE408" s="62">
        <f t="shared" ref="AE408:AF408" si="4285">AE414-SUM(AE409:AE413)</f>
        <v>2864</v>
      </c>
      <c r="AF408" s="62">
        <f t="shared" si="4285"/>
        <v>2757</v>
      </c>
      <c r="AG408" s="62">
        <f t="shared" ref="AG408:AH408" si="4286">AG414-SUM(AG409:AG413)</f>
        <v>2742</v>
      </c>
      <c r="AH408" s="62">
        <f t="shared" si="4286"/>
        <v>2557</v>
      </c>
      <c r="AI408" s="62">
        <f t="shared" ref="AI408:AK408" si="4287">AI414-SUM(AI409:AI413)</f>
        <v>2384</v>
      </c>
      <c r="AJ408" s="62">
        <f t="shared" si="4287"/>
        <v>2520</v>
      </c>
      <c r="AK408" s="62">
        <f t="shared" si="4287"/>
        <v>2333</v>
      </c>
      <c r="AL408" s="62">
        <f t="shared" ref="AL408:AM408" si="4288">AL414-SUM(AL409:AL413)</f>
        <v>2447</v>
      </c>
      <c r="AM408" s="62">
        <f t="shared" si="4288"/>
        <v>2243</v>
      </c>
      <c r="AN408" s="62">
        <f t="shared" ref="AN408:AO408" si="4289">AN414-SUM(AN409:AN413)</f>
        <v>1357</v>
      </c>
      <c r="AO408" s="62">
        <f t="shared" si="4289"/>
        <v>2346</v>
      </c>
      <c r="AP408" s="62">
        <f t="shared" ref="AP408:AQ408" si="4290">AP414-SUM(AP409:AP413)</f>
        <v>1437</v>
      </c>
      <c r="AQ408" s="62">
        <f t="shared" si="4290"/>
        <v>1849</v>
      </c>
      <c r="AR408" s="62">
        <f t="shared" ref="AR408:AS408" si="4291">AR414-SUM(AR409:AR413)</f>
        <v>1848</v>
      </c>
      <c r="AS408" s="62">
        <f t="shared" si="4291"/>
        <v>1825</v>
      </c>
      <c r="AT408" s="62">
        <f t="shared" ref="AT408:AU408" si="4292">AT414-SUM(AT409:AT413)</f>
        <v>2040</v>
      </c>
      <c r="AU408" s="62">
        <f t="shared" si="4292"/>
        <v>2291</v>
      </c>
      <c r="AV408" s="62">
        <f t="shared" ref="AV408:AW408" si="4293">AV414-SUM(AV409:AV413)</f>
        <v>2448</v>
      </c>
      <c r="AW408" s="62">
        <f t="shared" si="4293"/>
        <v>2292</v>
      </c>
      <c r="AX408" s="62">
        <f t="shared" ref="AX408:AY408" si="4294">AX414-SUM(AX409:AX413)</f>
        <v>2126</v>
      </c>
      <c r="AY408" s="220">
        <f t="shared" si="4294"/>
        <v>1812</v>
      </c>
      <c r="AZ408" s="62">
        <f t="shared" ref="AZ408:BA408" si="4295">AZ406+AZ407</f>
        <v>2168.1771210547849</v>
      </c>
      <c r="BA408" s="62">
        <f t="shared" si="4295"/>
        <v>2094.4578777721872</v>
      </c>
      <c r="BB408" s="62">
        <f t="shared" ref="BB408:BC408" si="4296">BB406+BB407</f>
        <v>2151.439947652219</v>
      </c>
      <c r="BC408" s="62">
        <f t="shared" si="4296"/>
        <v>2087.9452054538524</v>
      </c>
      <c r="BD408" s="62">
        <f t="shared" ref="BD408:BE408" si="4297">BD406+BD407</f>
        <v>2195.4885078141301</v>
      </c>
      <c r="BE408" s="62">
        <f t="shared" si="4297"/>
        <v>2125.6738675091365</v>
      </c>
      <c r="BF408" s="62">
        <f t="shared" ref="BF408:BG408" si="4298">BF406+BF407</f>
        <v>2216.1827879177358</v>
      </c>
      <c r="BG408" s="62">
        <f t="shared" si="4298"/>
        <v>2149.1932427041211</v>
      </c>
      <c r="BH408" s="62">
        <f t="shared" ref="BH408:BI408" si="4299">BH406+BH407</f>
        <v>2237.81085368408</v>
      </c>
      <c r="BI408" s="62">
        <f t="shared" si="4299"/>
        <v>2171.7876196277816</v>
      </c>
      <c r="BJ408" s="62">
        <f t="shared" ref="BJ408:BK408" si="4300">BJ406+BJ407</f>
        <v>2298.468979967623</v>
      </c>
      <c r="BK408" s="62">
        <f t="shared" si="4300"/>
        <v>2352.4612592137669</v>
      </c>
      <c r="BL408" s="62">
        <f t="shared" ref="BL408:BM408" si="4301">BL406+BL407</f>
        <v>2380.4866898171249</v>
      </c>
      <c r="BM408" s="62">
        <f t="shared" si="4301"/>
        <v>2412.6651869236298</v>
      </c>
      <c r="BN408" s="62">
        <f t="shared" ref="BN408:BO408" si="4302">BN406+BN407</f>
        <v>2443.2000928340995</v>
      </c>
      <c r="BO408" s="62">
        <f t="shared" si="4302"/>
        <v>2499.0988641862464</v>
      </c>
      <c r="BP408" s="62">
        <f t="shared" ref="BP408:BQ408" si="4303">BP406+BP407</f>
        <v>2532.0916045576905</v>
      </c>
      <c r="BQ408" s="62">
        <f t="shared" si="4303"/>
        <v>2597.5454591426551</v>
      </c>
      <c r="BR408" s="62"/>
      <c r="BS408" s="62">
        <f t="shared" ref="BS408:CB408" si="4304">BS414-SUM(BS409:BS413)</f>
        <v>2108.6999999999998</v>
      </c>
      <c r="BT408" s="62">
        <f t="shared" si="4304"/>
        <v>1875</v>
      </c>
      <c r="BU408" s="62">
        <f t="shared" si="4304"/>
        <v>1793</v>
      </c>
      <c r="BV408" s="62">
        <f t="shared" si="4304"/>
        <v>1754</v>
      </c>
      <c r="BW408" s="62">
        <f t="shared" si="4304"/>
        <v>1839</v>
      </c>
      <c r="BX408" s="62">
        <f t="shared" si="4304"/>
        <v>2110</v>
      </c>
      <c r="BY408" s="62">
        <f t="shared" si="4304"/>
        <v>2142</v>
      </c>
      <c r="BZ408" s="62">
        <f t="shared" si="4304"/>
        <v>2377</v>
      </c>
      <c r="CA408" s="62">
        <f t="shared" si="4304"/>
        <v>2583</v>
      </c>
      <c r="CB408" s="62">
        <f t="shared" si="4304"/>
        <v>2573</v>
      </c>
      <c r="CC408" s="62">
        <f t="shared" si="4224"/>
        <v>2890.5699999999997</v>
      </c>
      <c r="CD408" s="62">
        <f t="shared" si="4225"/>
        <v>3019.6800000000003</v>
      </c>
      <c r="CE408" s="62">
        <f t="shared" si="4226"/>
        <v>3514.94</v>
      </c>
      <c r="CF408" s="62">
        <f t="shared" si="4227"/>
        <v>3141.7799999999997</v>
      </c>
      <c r="CG408" s="62">
        <f t="shared" si="4228"/>
        <v>3387.5699999999997</v>
      </c>
      <c r="CH408" s="62">
        <f t="shared" si="4229"/>
        <v>3986.0699999999997</v>
      </c>
      <c r="CI408" s="62">
        <f t="shared" si="4230"/>
        <v>4425.46</v>
      </c>
      <c r="CJ408" s="62">
        <f t="shared" si="4231"/>
        <v>4402.4799999999996</v>
      </c>
      <c r="CK408" s="62">
        <f t="shared" si="4232"/>
        <v>5062</v>
      </c>
      <c r="CL408" s="62">
        <f t="shared" si="4233"/>
        <v>5385</v>
      </c>
      <c r="CM408" s="62">
        <f t="shared" si="4234"/>
        <v>5738</v>
      </c>
      <c r="CN408" s="62">
        <f t="shared" si="4235"/>
        <v>5619</v>
      </c>
      <c r="CO408" s="62">
        <f t="shared" si="4236"/>
        <v>5781</v>
      </c>
      <c r="CP408" s="62">
        <f t="shared" si="4237"/>
        <v>5921</v>
      </c>
      <c r="CQ408" s="62">
        <f t="shared" si="4238"/>
        <v>5499</v>
      </c>
      <c r="CR408" s="62">
        <f t="shared" si="4239"/>
        <v>4941</v>
      </c>
      <c r="CS408" s="62">
        <f t="shared" si="4240"/>
        <v>4853</v>
      </c>
      <c r="CT408" s="62">
        <f t="shared" si="4241"/>
        <v>4690</v>
      </c>
      <c r="CU408" s="62">
        <f t="shared" si="4242"/>
        <v>3703</v>
      </c>
      <c r="CV408" s="62">
        <f t="shared" si="4243"/>
        <v>3286</v>
      </c>
      <c r="CW408" s="62">
        <f t="shared" si="4244"/>
        <v>3673</v>
      </c>
      <c r="CX408" s="62">
        <f t="shared" si="4245"/>
        <v>4331</v>
      </c>
      <c r="CY408" s="62">
        <f t="shared" si="4246"/>
        <v>4740</v>
      </c>
      <c r="CZ408" s="220">
        <f t="shared" si="4247"/>
        <v>3938</v>
      </c>
      <c r="DA408" s="62">
        <f t="shared" si="4248"/>
        <v>4262.6349988269722</v>
      </c>
      <c r="DB408" s="62">
        <f t="shared" si="4249"/>
        <v>4239.3851531060718</v>
      </c>
      <c r="DC408" s="62">
        <f t="shared" si="4250"/>
        <v>4321.162375323267</v>
      </c>
      <c r="DD408" s="62">
        <f t="shared" si="4251"/>
        <v>4365.3760306218574</v>
      </c>
      <c r="DE408" s="62">
        <f t="shared" si="4252"/>
        <v>4409.5984733118621</v>
      </c>
      <c r="DF408" s="62">
        <f t="shared" si="4253"/>
        <v>4650.9302391813899</v>
      </c>
      <c r="DG408" s="62">
        <f t="shared" si="4254"/>
        <v>4793.1518767407542</v>
      </c>
      <c r="DH408" s="62">
        <f t="shared" si="4255"/>
        <v>4942.2989570203463</v>
      </c>
      <c r="DI408" s="62">
        <f t="shared" si="4256"/>
        <v>5129.6370637003456</v>
      </c>
    </row>
    <row r="409" spans="1:113" ht="12" outlineLevel="2">
      <c r="A409" s="1" t="s">
        <v>812</v>
      </c>
      <c r="B409" s="15" t="s">
        <v>857</v>
      </c>
      <c r="C409" s="41">
        <f t="shared" ref="C409:L409" si="4305">-C382</f>
        <v>0</v>
      </c>
      <c r="D409" s="41">
        <f t="shared" si="4305"/>
        <v>0</v>
      </c>
      <c r="E409" s="41">
        <f t="shared" si="4305"/>
        <v>0</v>
      </c>
      <c r="F409" s="41">
        <f t="shared" si="4305"/>
        <v>0</v>
      </c>
      <c r="G409" s="41">
        <f t="shared" si="4305"/>
        <v>0</v>
      </c>
      <c r="H409" s="41">
        <f t="shared" si="4305"/>
        <v>0</v>
      </c>
      <c r="I409" s="41">
        <f t="shared" si="4305"/>
        <v>0</v>
      </c>
      <c r="J409" s="41">
        <f t="shared" si="4305"/>
        <v>0</v>
      </c>
      <c r="K409" s="41">
        <f t="shared" si="4305"/>
        <v>0</v>
      </c>
      <c r="L409" s="41">
        <f t="shared" si="4305"/>
        <v>0</v>
      </c>
      <c r="M409" s="41">
        <f t="shared" ref="M409:AB409" si="4306">-M382</f>
        <v>0</v>
      </c>
      <c r="N409" s="41">
        <f t="shared" si="4306"/>
        <v>0</v>
      </c>
      <c r="O409" s="41">
        <f t="shared" si="4306"/>
        <v>0</v>
      </c>
      <c r="P409" s="41">
        <f t="shared" si="4306"/>
        <v>0</v>
      </c>
      <c r="Q409" s="41">
        <f t="shared" si="4306"/>
        <v>0</v>
      </c>
      <c r="R409" s="41">
        <f t="shared" si="4306"/>
        <v>0</v>
      </c>
      <c r="S409" s="41">
        <f t="shared" si="4306"/>
        <v>0</v>
      </c>
      <c r="T409" s="41">
        <f t="shared" si="4306"/>
        <v>0</v>
      </c>
      <c r="U409" s="41">
        <f>-U382</f>
        <v>0</v>
      </c>
      <c r="V409" s="41">
        <f>-V382</f>
        <v>0</v>
      </c>
      <c r="W409" s="41">
        <f>-W382</f>
        <v>0</v>
      </c>
      <c r="X409" s="41">
        <f>-X382</f>
        <v>0</v>
      </c>
      <c r="Y409" s="41">
        <f>-Y382</f>
        <v>0</v>
      </c>
      <c r="Z409" s="41">
        <f t="shared" si="4306"/>
        <v>0</v>
      </c>
      <c r="AA409" s="41">
        <f t="shared" si="4306"/>
        <v>0</v>
      </c>
      <c r="AB409" s="41">
        <f t="shared" si="4306"/>
        <v>0</v>
      </c>
      <c r="AC409" s="41">
        <f t="shared" ref="AC409:AD409" si="4307">-AC382</f>
        <v>0</v>
      </c>
      <c r="AD409" s="41">
        <f t="shared" si="4307"/>
        <v>0</v>
      </c>
      <c r="AE409" s="41">
        <f t="shared" ref="AE409:AF409" si="4308">-AE382</f>
        <v>0</v>
      </c>
      <c r="AF409" s="41">
        <f t="shared" si="4308"/>
        <v>0</v>
      </c>
      <c r="AG409" s="41">
        <f t="shared" ref="AG409:AH409" si="4309">-AG382</f>
        <v>0</v>
      </c>
      <c r="AH409" s="41">
        <f t="shared" si="4309"/>
        <v>0</v>
      </c>
      <c r="AI409" s="41">
        <f t="shared" ref="AI409:AJ409" si="4310">-AI382</f>
        <v>0</v>
      </c>
      <c r="AJ409" s="41">
        <f t="shared" si="4310"/>
        <v>0</v>
      </c>
      <c r="AK409" s="41">
        <f t="shared" ref="AK409:AL409" si="4311">-AK382</f>
        <v>0</v>
      </c>
      <c r="AL409" s="41">
        <f t="shared" si="4311"/>
        <v>0</v>
      </c>
      <c r="AM409" s="41">
        <f t="shared" ref="AM409:AN409" si="4312">-AM382</f>
        <v>0</v>
      </c>
      <c r="AN409" s="41">
        <f t="shared" si="4312"/>
        <v>0</v>
      </c>
      <c r="AO409" s="41">
        <f t="shared" ref="AO409" si="4313">-AO382</f>
        <v>0</v>
      </c>
      <c r="AP409" s="41">
        <f t="shared" ref="AP409:AQ409" si="4314">-AP382</f>
        <v>0</v>
      </c>
      <c r="AQ409" s="41">
        <f t="shared" si="4314"/>
        <v>0</v>
      </c>
      <c r="AR409" s="41">
        <f t="shared" ref="AR409:AS409" si="4315">-AR382</f>
        <v>0</v>
      </c>
      <c r="AS409" s="41">
        <f t="shared" si="4315"/>
        <v>0</v>
      </c>
      <c r="AT409" s="41">
        <f t="shared" ref="AT409:AU409" si="4316">-AT382</f>
        <v>0</v>
      </c>
      <c r="AU409" s="41">
        <f t="shared" si="4316"/>
        <v>0</v>
      </c>
      <c r="AV409" s="41">
        <f t="shared" ref="AV409:AW409" si="4317">-AV382</f>
        <v>0</v>
      </c>
      <c r="AW409" s="41">
        <f t="shared" si="4317"/>
        <v>0</v>
      </c>
      <c r="AX409" s="41">
        <f t="shared" ref="AX409:AY409" si="4318">-AX382</f>
        <v>0</v>
      </c>
      <c r="AY409" s="211">
        <f t="shared" si="4318"/>
        <v>0</v>
      </c>
      <c r="AZ409" s="41">
        <f t="shared" ref="AZ409:BA409" si="4319">-AZ382</f>
        <v>0</v>
      </c>
      <c r="BA409" s="41">
        <f t="shared" si="4319"/>
        <v>0</v>
      </c>
      <c r="BB409" s="41">
        <f t="shared" ref="BB409:BC409" si="4320">-BB382</f>
        <v>0</v>
      </c>
      <c r="BC409" s="41">
        <f t="shared" si="4320"/>
        <v>0</v>
      </c>
      <c r="BD409" s="41">
        <f t="shared" ref="BD409:BE409" si="4321">-BD382</f>
        <v>0</v>
      </c>
      <c r="BE409" s="41">
        <f t="shared" si="4321"/>
        <v>0</v>
      </c>
      <c r="BF409" s="41">
        <f t="shared" ref="BF409:BG409" si="4322">-BF382</f>
        <v>0</v>
      </c>
      <c r="BG409" s="41">
        <f t="shared" si="4322"/>
        <v>0</v>
      </c>
      <c r="BH409" s="41">
        <f t="shared" ref="BH409:BI409" si="4323">-BH382</f>
        <v>0</v>
      </c>
      <c r="BI409" s="41">
        <f t="shared" si="4323"/>
        <v>0</v>
      </c>
      <c r="BJ409" s="41">
        <f t="shared" ref="BJ409:BK409" si="4324">-BJ382</f>
        <v>0</v>
      </c>
      <c r="BK409" s="41">
        <f t="shared" si="4324"/>
        <v>0</v>
      </c>
      <c r="BL409" s="41">
        <f t="shared" ref="BL409:BM409" si="4325">-BL382</f>
        <v>0</v>
      </c>
      <c r="BM409" s="41">
        <f t="shared" si="4325"/>
        <v>0</v>
      </c>
      <c r="BN409" s="41">
        <f t="shared" ref="BN409:BO409" si="4326">-BN382</f>
        <v>0</v>
      </c>
      <c r="BO409" s="41">
        <f t="shared" si="4326"/>
        <v>0</v>
      </c>
      <c r="BP409" s="41">
        <f t="shared" ref="BP409:BQ409" si="4327">-BP382</f>
        <v>0</v>
      </c>
      <c r="BQ409" s="41">
        <f t="shared" si="4327"/>
        <v>0</v>
      </c>
      <c r="BR409" s="41"/>
      <c r="BS409" s="41">
        <f t="shared" ref="BS409:CB409" si="4328">-BS382</f>
        <v>0</v>
      </c>
      <c r="BT409" s="41">
        <f t="shared" si="4328"/>
        <v>0</v>
      </c>
      <c r="BU409" s="41">
        <f t="shared" si="4328"/>
        <v>0</v>
      </c>
      <c r="BV409" s="41">
        <f t="shared" si="4328"/>
        <v>0</v>
      </c>
      <c r="BW409" s="41">
        <f t="shared" si="4328"/>
        <v>0</v>
      </c>
      <c r="BX409" s="41">
        <f t="shared" si="4328"/>
        <v>0</v>
      </c>
      <c r="BY409" s="41">
        <f t="shared" si="4328"/>
        <v>0</v>
      </c>
      <c r="BZ409" s="41">
        <f t="shared" si="4328"/>
        <v>0</v>
      </c>
      <c r="CA409" s="41">
        <f t="shared" si="4328"/>
        <v>0</v>
      </c>
      <c r="CB409" s="41">
        <f t="shared" si="4328"/>
        <v>0</v>
      </c>
      <c r="CC409" s="41">
        <f t="shared" si="4224"/>
        <v>0</v>
      </c>
      <c r="CD409" s="41">
        <f t="shared" si="4225"/>
        <v>0</v>
      </c>
      <c r="CE409" s="41">
        <f t="shared" si="4226"/>
        <v>0</v>
      </c>
      <c r="CF409" s="41">
        <f t="shared" si="4227"/>
        <v>0</v>
      </c>
      <c r="CG409" s="41">
        <f t="shared" si="4228"/>
        <v>0</v>
      </c>
      <c r="CH409" s="41">
        <f t="shared" si="4229"/>
        <v>0</v>
      </c>
      <c r="CI409" s="41">
        <f t="shared" si="4230"/>
        <v>0</v>
      </c>
      <c r="CJ409" s="41">
        <f t="shared" si="4231"/>
        <v>0</v>
      </c>
      <c r="CK409" s="41">
        <f t="shared" si="4232"/>
        <v>0</v>
      </c>
      <c r="CL409" s="41">
        <f t="shared" si="4233"/>
        <v>0</v>
      </c>
      <c r="CM409" s="41">
        <f t="shared" si="4234"/>
        <v>0</v>
      </c>
      <c r="CN409" s="41">
        <f t="shared" si="4235"/>
        <v>0</v>
      </c>
      <c r="CO409" s="41">
        <f t="shared" si="4236"/>
        <v>0</v>
      </c>
      <c r="CP409" s="41">
        <f t="shared" si="4237"/>
        <v>0</v>
      </c>
      <c r="CQ409" s="41">
        <f t="shared" si="4238"/>
        <v>0</v>
      </c>
      <c r="CR409" s="41">
        <f t="shared" si="4239"/>
        <v>0</v>
      </c>
      <c r="CS409" s="41">
        <f t="shared" si="4240"/>
        <v>0</v>
      </c>
      <c r="CT409" s="41">
        <f t="shared" si="4241"/>
        <v>0</v>
      </c>
      <c r="CU409" s="41">
        <f t="shared" si="4242"/>
        <v>0</v>
      </c>
      <c r="CV409" s="41">
        <f t="shared" si="4243"/>
        <v>0</v>
      </c>
      <c r="CW409" s="41">
        <f t="shared" si="4244"/>
        <v>0</v>
      </c>
      <c r="CX409" s="41">
        <f t="shared" si="4245"/>
        <v>0</v>
      </c>
      <c r="CY409" s="41">
        <f t="shared" si="4246"/>
        <v>0</v>
      </c>
      <c r="CZ409" s="211">
        <f t="shared" si="4247"/>
        <v>0</v>
      </c>
      <c r="DA409" s="41">
        <f t="shared" si="4248"/>
        <v>0</v>
      </c>
      <c r="DB409" s="41">
        <f t="shared" si="4249"/>
        <v>0</v>
      </c>
      <c r="DC409" s="41">
        <f t="shared" si="4250"/>
        <v>0</v>
      </c>
      <c r="DD409" s="41">
        <f t="shared" si="4251"/>
        <v>0</v>
      </c>
      <c r="DE409" s="41">
        <f t="shared" si="4252"/>
        <v>0</v>
      </c>
      <c r="DF409" s="41">
        <f t="shared" si="4253"/>
        <v>0</v>
      </c>
      <c r="DG409" s="41">
        <f t="shared" si="4254"/>
        <v>0</v>
      </c>
      <c r="DH409" s="41">
        <f t="shared" si="4255"/>
        <v>0</v>
      </c>
      <c r="DI409" s="41">
        <f t="shared" si="4256"/>
        <v>0</v>
      </c>
    </row>
    <row r="410" spans="1:113" ht="12" outlineLevel="2">
      <c r="A410" s="1" t="s">
        <v>113</v>
      </c>
      <c r="B410" s="15" t="s">
        <v>370</v>
      </c>
      <c r="C410" s="40">
        <v>0</v>
      </c>
      <c r="D410" s="40">
        <v>0</v>
      </c>
      <c r="E410" s="40">
        <f>-188*0.49</f>
        <v>-92.12</v>
      </c>
      <c r="F410" s="40">
        <f>-207*0.49</f>
        <v>-101.42999999999999</v>
      </c>
      <c r="G410" s="40">
        <f>-196*0.49</f>
        <v>-96.039999999999992</v>
      </c>
      <c r="H410" s="40">
        <f>-198*0.49</f>
        <v>-97.02</v>
      </c>
      <c r="I410" s="40">
        <f>-251*0.49</f>
        <v>-122.99</v>
      </c>
      <c r="J410" s="40">
        <f>(-128-45-15)*0.49</f>
        <v>-92.12</v>
      </c>
      <c r="K410" s="40">
        <f>(-125-39-23)*0.49</f>
        <v>-91.63</v>
      </c>
      <c r="L410" s="40">
        <f>(-133-63-24-4)*0.49</f>
        <v>-109.75999999999999</v>
      </c>
      <c r="M410" s="40">
        <f>(-139-63-15-0)*0.49</f>
        <v>-106.33</v>
      </c>
      <c r="N410" s="40">
        <f>(-148-67-12-29)*0.49</f>
        <v>-125.44</v>
      </c>
      <c r="O410" s="40">
        <f>(-146-72-0-0)*0.49</f>
        <v>-106.82</v>
      </c>
      <c r="P410" s="40">
        <f>(-151-78-7+0)*0.49</f>
        <v>-115.64</v>
      </c>
      <c r="Q410" s="40">
        <f>(-152-79-1-0)*0.49</f>
        <v>-113.67999999999999</v>
      </c>
      <c r="R410" s="40">
        <f>(-144-75-2-25)*0.49</f>
        <v>-120.53999999999999</v>
      </c>
      <c r="S410" s="40">
        <f>(-144-75-4-0)*0.49</f>
        <v>-109.27</v>
      </c>
      <c r="T410" s="40">
        <v>0</v>
      </c>
      <c r="U410" s="40">
        <v>0</v>
      </c>
      <c r="V410" s="40">
        <v>0</v>
      </c>
      <c r="W410" s="40">
        <v>0</v>
      </c>
      <c r="X410" s="40">
        <v>0</v>
      </c>
      <c r="Y410" s="40">
        <v>0</v>
      </c>
      <c r="Z410" s="141">
        <v>0</v>
      </c>
      <c r="AA410" s="141">
        <v>0</v>
      </c>
      <c r="AB410" s="141">
        <v>0</v>
      </c>
      <c r="AC410" s="141">
        <v>0</v>
      </c>
      <c r="AD410" s="141">
        <v>0</v>
      </c>
      <c r="AE410" s="141">
        <v>0</v>
      </c>
      <c r="AF410" s="141">
        <v>0</v>
      </c>
      <c r="AG410" s="141">
        <v>0</v>
      </c>
      <c r="AH410" s="141">
        <v>0</v>
      </c>
      <c r="AI410" s="141">
        <v>0</v>
      </c>
      <c r="AJ410" s="141">
        <v>0</v>
      </c>
      <c r="AK410" s="141">
        <v>0</v>
      </c>
      <c r="AL410" s="141">
        <v>0</v>
      </c>
      <c r="AM410" s="141">
        <v>0</v>
      </c>
      <c r="AN410" s="141">
        <v>0</v>
      </c>
      <c r="AO410" s="141">
        <v>0</v>
      </c>
      <c r="AP410" s="141">
        <v>0</v>
      </c>
      <c r="AQ410" s="141">
        <v>0</v>
      </c>
      <c r="AR410" s="141">
        <v>0</v>
      </c>
      <c r="AS410" s="141">
        <v>0</v>
      </c>
      <c r="AT410" s="141">
        <v>0</v>
      </c>
      <c r="AU410" s="141">
        <v>0</v>
      </c>
      <c r="AV410" s="141">
        <v>0</v>
      </c>
      <c r="AW410" s="141">
        <v>0</v>
      </c>
      <c r="AX410" s="141">
        <v>0</v>
      </c>
      <c r="AY410" s="226">
        <v>0</v>
      </c>
      <c r="AZ410" s="210">
        <v>0</v>
      </c>
      <c r="BA410" s="210">
        <v>0</v>
      </c>
      <c r="BB410" s="210">
        <v>0</v>
      </c>
      <c r="BC410" s="210">
        <v>0</v>
      </c>
      <c r="BD410" s="210">
        <v>0</v>
      </c>
      <c r="BE410" s="210">
        <v>0</v>
      </c>
      <c r="BF410" s="210">
        <v>0</v>
      </c>
      <c r="BG410" s="210">
        <v>0</v>
      </c>
      <c r="BH410" s="210">
        <v>0</v>
      </c>
      <c r="BI410" s="210">
        <v>0</v>
      </c>
      <c r="BJ410" s="210">
        <v>0</v>
      </c>
      <c r="BK410" s="210">
        <v>0</v>
      </c>
      <c r="BL410" s="210">
        <v>0</v>
      </c>
      <c r="BM410" s="210">
        <v>0</v>
      </c>
      <c r="BN410" s="210">
        <v>0</v>
      </c>
      <c r="BO410" s="210">
        <v>0</v>
      </c>
      <c r="BP410" s="210">
        <v>0</v>
      </c>
      <c r="BQ410" s="210">
        <v>0</v>
      </c>
      <c r="BR410" s="41"/>
      <c r="BS410" s="40">
        <v>0</v>
      </c>
      <c r="BT410" s="40">
        <v>0</v>
      </c>
      <c r="BU410" s="40">
        <v>0</v>
      </c>
      <c r="BV410" s="40">
        <v>0</v>
      </c>
      <c r="BW410" s="40">
        <v>0</v>
      </c>
      <c r="BX410" s="40">
        <v>0</v>
      </c>
      <c r="BY410" s="40">
        <v>0</v>
      </c>
      <c r="BZ410" s="40">
        <v>0</v>
      </c>
      <c r="CA410" s="40">
        <v>0</v>
      </c>
      <c r="CB410" s="40">
        <v>0</v>
      </c>
      <c r="CC410" s="41">
        <f t="shared" si="4224"/>
        <v>-92.12</v>
      </c>
      <c r="CD410" s="41">
        <f t="shared" si="4225"/>
        <v>-197.46999999999997</v>
      </c>
      <c r="CE410" s="41">
        <f t="shared" si="4226"/>
        <v>-220.01</v>
      </c>
      <c r="CF410" s="41">
        <f t="shared" si="4227"/>
        <v>-183.75</v>
      </c>
      <c r="CG410" s="41">
        <f t="shared" si="4228"/>
        <v>-216.08999999999997</v>
      </c>
      <c r="CH410" s="41">
        <f t="shared" si="4229"/>
        <v>-232.26</v>
      </c>
      <c r="CI410" s="41">
        <f t="shared" si="4230"/>
        <v>-229.32</v>
      </c>
      <c r="CJ410" s="41">
        <f t="shared" si="4231"/>
        <v>-229.81</v>
      </c>
      <c r="CK410" s="41">
        <f t="shared" si="4232"/>
        <v>0</v>
      </c>
      <c r="CL410" s="41">
        <f t="shared" si="4233"/>
        <v>0</v>
      </c>
      <c r="CM410" s="41">
        <f t="shared" si="4234"/>
        <v>0</v>
      </c>
      <c r="CN410" s="41">
        <f t="shared" si="4235"/>
        <v>0</v>
      </c>
      <c r="CO410" s="41">
        <f t="shared" si="4236"/>
        <v>0</v>
      </c>
      <c r="CP410" s="41">
        <f t="shared" si="4237"/>
        <v>0</v>
      </c>
      <c r="CQ410" s="41">
        <f t="shared" si="4238"/>
        <v>0</v>
      </c>
      <c r="CR410" s="41">
        <f t="shared" si="4239"/>
        <v>0</v>
      </c>
      <c r="CS410" s="41">
        <f t="shared" si="4240"/>
        <v>0</v>
      </c>
      <c r="CT410" s="41">
        <f t="shared" si="4241"/>
        <v>0</v>
      </c>
      <c r="CU410" s="41">
        <f t="shared" si="4242"/>
        <v>0</v>
      </c>
      <c r="CV410" s="41">
        <f t="shared" si="4243"/>
        <v>0</v>
      </c>
      <c r="CW410" s="41">
        <f t="shared" si="4244"/>
        <v>0</v>
      </c>
      <c r="CX410" s="41">
        <f t="shared" si="4245"/>
        <v>0</v>
      </c>
      <c r="CY410" s="41">
        <f t="shared" si="4246"/>
        <v>0</v>
      </c>
      <c r="CZ410" s="211">
        <f t="shared" si="4247"/>
        <v>0</v>
      </c>
      <c r="DA410" s="41">
        <f t="shared" si="4248"/>
        <v>0</v>
      </c>
      <c r="DB410" s="41">
        <f t="shared" si="4249"/>
        <v>0</v>
      </c>
      <c r="DC410" s="41">
        <f t="shared" si="4250"/>
        <v>0</v>
      </c>
      <c r="DD410" s="41">
        <f t="shared" si="4251"/>
        <v>0</v>
      </c>
      <c r="DE410" s="41">
        <f t="shared" si="4252"/>
        <v>0</v>
      </c>
      <c r="DF410" s="41">
        <f t="shared" si="4253"/>
        <v>0</v>
      </c>
      <c r="DG410" s="41">
        <f t="shared" si="4254"/>
        <v>0</v>
      </c>
      <c r="DH410" s="41">
        <f t="shared" si="4255"/>
        <v>0</v>
      </c>
      <c r="DI410" s="41">
        <f t="shared" si="4256"/>
        <v>0</v>
      </c>
    </row>
    <row r="411" spans="1:113" ht="12" outlineLevel="2">
      <c r="A411" s="1" t="s">
        <v>114</v>
      </c>
      <c r="B411" s="15" t="s">
        <v>371</v>
      </c>
      <c r="C411" s="40">
        <v>0</v>
      </c>
      <c r="D411" s="40">
        <v>0</v>
      </c>
      <c r="E411" s="40">
        <v>0</v>
      </c>
      <c r="F411" s="40">
        <v>0</v>
      </c>
      <c r="G411" s="40">
        <v>0</v>
      </c>
      <c r="H411" s="40">
        <v>0</v>
      </c>
      <c r="I411" s="40">
        <v>0</v>
      </c>
      <c r="J411" s="40">
        <v>0</v>
      </c>
      <c r="K411" s="40">
        <v>0</v>
      </c>
      <c r="L411" s="40">
        <v>0</v>
      </c>
      <c r="M411" s="40">
        <v>0</v>
      </c>
      <c r="N411" s="40">
        <v>0</v>
      </c>
      <c r="O411" s="40">
        <v>0</v>
      </c>
      <c r="P411" s="40">
        <v>-45</v>
      </c>
      <c r="Q411" s="40">
        <v>-111</v>
      </c>
      <c r="R411" s="40">
        <v>-92</v>
      </c>
      <c r="S411" s="40">
        <v>10</v>
      </c>
      <c r="T411" s="40">
        <f>47-T407</f>
        <v>-17</v>
      </c>
      <c r="U411" s="40">
        <f>-12-U407</f>
        <v>-17</v>
      </c>
      <c r="V411" s="40">
        <v>0</v>
      </c>
      <c r="W411" s="40">
        <v>0</v>
      </c>
      <c r="X411" s="40">
        <v>0</v>
      </c>
      <c r="Y411" s="40">
        <v>0</v>
      </c>
      <c r="Z411" s="141">
        <v>0</v>
      </c>
      <c r="AA411" s="141">
        <v>0</v>
      </c>
      <c r="AB411" s="141">
        <v>0</v>
      </c>
      <c r="AC411" s="141">
        <v>0</v>
      </c>
      <c r="AD411" s="141">
        <v>0</v>
      </c>
      <c r="AE411" s="141">
        <v>0</v>
      </c>
      <c r="AF411" s="141">
        <v>0</v>
      </c>
      <c r="AG411" s="141">
        <v>0</v>
      </c>
      <c r="AH411" s="141">
        <v>0</v>
      </c>
      <c r="AI411" s="141">
        <v>0</v>
      </c>
      <c r="AJ411" s="141">
        <v>0</v>
      </c>
      <c r="AK411" s="141">
        <v>0</v>
      </c>
      <c r="AL411" s="141">
        <v>0</v>
      </c>
      <c r="AM411" s="141">
        <v>0</v>
      </c>
      <c r="AN411" s="141">
        <v>0</v>
      </c>
      <c r="AO411" s="141">
        <v>0</v>
      </c>
      <c r="AP411" s="141">
        <v>0</v>
      </c>
      <c r="AQ411" s="141">
        <v>0</v>
      </c>
      <c r="AR411" s="141">
        <v>0</v>
      </c>
      <c r="AS411" s="141">
        <v>0</v>
      </c>
      <c r="AT411" s="141">
        <v>0</v>
      </c>
      <c r="AU411" s="141">
        <v>0</v>
      </c>
      <c r="AV411" s="141">
        <v>0</v>
      </c>
      <c r="AW411" s="141">
        <v>0</v>
      </c>
      <c r="AX411" s="141">
        <v>0</v>
      </c>
      <c r="AY411" s="226">
        <v>0</v>
      </c>
      <c r="AZ411" s="210">
        <v>0</v>
      </c>
      <c r="BA411" s="210">
        <v>0</v>
      </c>
      <c r="BB411" s="210">
        <v>0</v>
      </c>
      <c r="BC411" s="210">
        <v>0</v>
      </c>
      <c r="BD411" s="210">
        <v>0</v>
      </c>
      <c r="BE411" s="210">
        <v>0</v>
      </c>
      <c r="BF411" s="210">
        <v>0</v>
      </c>
      <c r="BG411" s="210">
        <v>0</v>
      </c>
      <c r="BH411" s="210">
        <v>0</v>
      </c>
      <c r="BI411" s="210">
        <v>0</v>
      </c>
      <c r="BJ411" s="210">
        <v>0</v>
      </c>
      <c r="BK411" s="210">
        <v>0</v>
      </c>
      <c r="BL411" s="210">
        <v>0</v>
      </c>
      <c r="BM411" s="210">
        <v>0</v>
      </c>
      <c r="BN411" s="210">
        <v>0</v>
      </c>
      <c r="BO411" s="210">
        <v>0</v>
      </c>
      <c r="BP411" s="210">
        <v>0</v>
      </c>
      <c r="BQ411" s="210">
        <v>0</v>
      </c>
      <c r="BR411" s="41"/>
      <c r="BS411" s="40">
        <v>0</v>
      </c>
      <c r="BT411" s="40">
        <v>0</v>
      </c>
      <c r="BU411" s="40">
        <v>0</v>
      </c>
      <c r="BV411" s="40">
        <v>0</v>
      </c>
      <c r="BW411" s="40">
        <v>0</v>
      </c>
      <c r="BX411" s="40">
        <v>0</v>
      </c>
      <c r="BY411" s="40">
        <v>0</v>
      </c>
      <c r="BZ411" s="40">
        <v>0</v>
      </c>
      <c r="CA411" s="40">
        <v>0</v>
      </c>
      <c r="CB411" s="40">
        <v>0</v>
      </c>
      <c r="CC411" s="41">
        <f t="shared" si="4224"/>
        <v>0</v>
      </c>
      <c r="CD411" s="41">
        <f t="shared" si="4225"/>
        <v>0</v>
      </c>
      <c r="CE411" s="41">
        <f t="shared" si="4226"/>
        <v>0</v>
      </c>
      <c r="CF411" s="41">
        <f t="shared" si="4227"/>
        <v>0</v>
      </c>
      <c r="CG411" s="41">
        <f t="shared" si="4228"/>
        <v>0</v>
      </c>
      <c r="CH411" s="41">
        <f t="shared" si="4229"/>
        <v>0</v>
      </c>
      <c r="CI411" s="41">
        <f t="shared" si="4230"/>
        <v>-156</v>
      </c>
      <c r="CJ411" s="41">
        <f t="shared" si="4231"/>
        <v>-82</v>
      </c>
      <c r="CK411" s="41">
        <f t="shared" si="4232"/>
        <v>-34</v>
      </c>
      <c r="CL411" s="41">
        <f t="shared" si="4233"/>
        <v>0</v>
      </c>
      <c r="CM411" s="41">
        <f t="shared" si="4234"/>
        <v>0</v>
      </c>
      <c r="CN411" s="41">
        <f t="shared" si="4235"/>
        <v>0</v>
      </c>
      <c r="CO411" s="41">
        <f t="shared" si="4236"/>
        <v>0</v>
      </c>
      <c r="CP411" s="41">
        <f t="shared" si="4237"/>
        <v>0</v>
      </c>
      <c r="CQ411" s="41">
        <f t="shared" si="4238"/>
        <v>0</v>
      </c>
      <c r="CR411" s="41">
        <f t="shared" si="4239"/>
        <v>0</v>
      </c>
      <c r="CS411" s="41">
        <f t="shared" si="4240"/>
        <v>0</v>
      </c>
      <c r="CT411" s="41">
        <f t="shared" si="4241"/>
        <v>0</v>
      </c>
      <c r="CU411" s="41">
        <f t="shared" si="4242"/>
        <v>0</v>
      </c>
      <c r="CV411" s="41">
        <f t="shared" si="4243"/>
        <v>0</v>
      </c>
      <c r="CW411" s="41">
        <f t="shared" si="4244"/>
        <v>0</v>
      </c>
      <c r="CX411" s="41">
        <f t="shared" si="4245"/>
        <v>0</v>
      </c>
      <c r="CY411" s="41">
        <f t="shared" si="4246"/>
        <v>0</v>
      </c>
      <c r="CZ411" s="211">
        <f t="shared" si="4247"/>
        <v>0</v>
      </c>
      <c r="DA411" s="41">
        <f t="shared" si="4248"/>
        <v>0</v>
      </c>
      <c r="DB411" s="41">
        <f t="shared" si="4249"/>
        <v>0</v>
      </c>
      <c r="DC411" s="41">
        <f t="shared" si="4250"/>
        <v>0</v>
      </c>
      <c r="DD411" s="41">
        <f t="shared" si="4251"/>
        <v>0</v>
      </c>
      <c r="DE411" s="41">
        <f t="shared" si="4252"/>
        <v>0</v>
      </c>
      <c r="DF411" s="41">
        <f t="shared" si="4253"/>
        <v>0</v>
      </c>
      <c r="DG411" s="41">
        <f t="shared" si="4254"/>
        <v>0</v>
      </c>
      <c r="DH411" s="41">
        <f t="shared" si="4255"/>
        <v>0</v>
      </c>
      <c r="DI411" s="41">
        <f t="shared" si="4256"/>
        <v>0</v>
      </c>
    </row>
    <row r="412" spans="1:113" ht="12" outlineLevel="2">
      <c r="A412" s="1" t="s">
        <v>115</v>
      </c>
      <c r="B412" s="15" t="s">
        <v>361</v>
      </c>
      <c r="C412" s="40">
        <v>0</v>
      </c>
      <c r="D412" s="40">
        <v>0</v>
      </c>
      <c r="E412" s="40">
        <f>-5*0.49</f>
        <v>-2.4500000000000002</v>
      </c>
      <c r="F412" s="40">
        <f>0*0.49</f>
        <v>0</v>
      </c>
      <c r="G412" s="40">
        <f>-29*0.49</f>
        <v>-14.209999999999999</v>
      </c>
      <c r="H412" s="40">
        <f>(-27-0)*0.49</f>
        <v>-13.23</v>
      </c>
      <c r="I412" s="40">
        <f>(-30-0)*0.49</f>
        <v>-14.7</v>
      </c>
      <c r="J412" s="40">
        <f>(-15-0)*0.49</f>
        <v>-7.35</v>
      </c>
      <c r="K412" s="40">
        <f>(-32-0)*0.49</f>
        <v>-15.68</v>
      </c>
      <c r="L412" s="40">
        <f>(-18-0)*0.49</f>
        <v>-8.82</v>
      </c>
      <c r="M412" s="40">
        <f>(-34-0)*0.49</f>
        <v>-16.66</v>
      </c>
      <c r="N412" s="40">
        <f>(-15-1)*0.49</f>
        <v>-7.84</v>
      </c>
      <c r="O412" s="40">
        <f>-53*0.49</f>
        <v>-25.97</v>
      </c>
      <c r="P412" s="40">
        <f>-45*0.49</f>
        <v>-22.05</v>
      </c>
      <c r="Q412" s="40">
        <f>-41*0.49</f>
        <v>-20.09</v>
      </c>
      <c r="R412" s="40">
        <f>(-43+1)*0.49</f>
        <v>-20.58</v>
      </c>
      <c r="S412" s="40">
        <f>-(41)*0.49</f>
        <v>-20.09</v>
      </c>
      <c r="T412" s="40">
        <v>0</v>
      </c>
      <c r="U412" s="40">
        <v>0</v>
      </c>
      <c r="V412" s="40">
        <v>0</v>
      </c>
      <c r="W412" s="40">
        <v>0</v>
      </c>
      <c r="X412" s="40">
        <v>0</v>
      </c>
      <c r="Y412" s="40">
        <v>0</v>
      </c>
      <c r="Z412" s="141">
        <v>0</v>
      </c>
      <c r="AA412" s="141">
        <v>0</v>
      </c>
      <c r="AB412" s="141">
        <f t="shared" ref="AB412:AP412" si="4329">Z412/(Z398+Z399+Z400+Z410)*(AB398+AB399+AB400+AB410)</f>
        <v>0</v>
      </c>
      <c r="AC412" s="141">
        <f t="shared" si="4329"/>
        <v>0</v>
      </c>
      <c r="AD412" s="141">
        <f t="shared" si="4329"/>
        <v>0</v>
      </c>
      <c r="AE412" s="141">
        <f t="shared" si="4329"/>
        <v>0</v>
      </c>
      <c r="AF412" s="141">
        <f t="shared" si="4329"/>
        <v>0</v>
      </c>
      <c r="AG412" s="141">
        <f t="shared" si="4329"/>
        <v>0</v>
      </c>
      <c r="AH412" s="141">
        <f t="shared" si="4329"/>
        <v>0</v>
      </c>
      <c r="AI412" s="141">
        <f t="shared" si="4329"/>
        <v>0</v>
      </c>
      <c r="AJ412" s="141">
        <f t="shared" si="4329"/>
        <v>0</v>
      </c>
      <c r="AK412" s="141">
        <f t="shared" si="4329"/>
        <v>0</v>
      </c>
      <c r="AL412" s="141">
        <f t="shared" si="4329"/>
        <v>0</v>
      </c>
      <c r="AM412" s="141">
        <f t="shared" si="4329"/>
        <v>0</v>
      </c>
      <c r="AN412" s="141">
        <f t="shared" si="4329"/>
        <v>0</v>
      </c>
      <c r="AO412" s="141">
        <f t="shared" si="4329"/>
        <v>0</v>
      </c>
      <c r="AP412" s="141">
        <f t="shared" si="4329"/>
        <v>0</v>
      </c>
      <c r="AQ412" s="141">
        <v>0</v>
      </c>
      <c r="AR412" s="141">
        <v>0</v>
      </c>
      <c r="AS412" s="141">
        <v>0</v>
      </c>
      <c r="AT412" s="141">
        <v>0</v>
      </c>
      <c r="AU412" s="141">
        <v>0</v>
      </c>
      <c r="AV412" s="141">
        <v>0</v>
      </c>
      <c r="AW412" s="141">
        <v>0</v>
      </c>
      <c r="AX412" s="141">
        <v>0</v>
      </c>
      <c r="AY412" s="226">
        <v>0</v>
      </c>
      <c r="AZ412" s="210">
        <v>0</v>
      </c>
      <c r="BA412" s="210">
        <v>0</v>
      </c>
      <c r="BB412" s="210">
        <v>0</v>
      </c>
      <c r="BC412" s="210">
        <v>0</v>
      </c>
      <c r="BD412" s="210">
        <v>0</v>
      </c>
      <c r="BE412" s="210">
        <v>0</v>
      </c>
      <c r="BF412" s="210">
        <v>0</v>
      </c>
      <c r="BG412" s="210">
        <v>0</v>
      </c>
      <c r="BH412" s="210">
        <v>0</v>
      </c>
      <c r="BI412" s="210">
        <v>0</v>
      </c>
      <c r="BJ412" s="210">
        <v>0</v>
      </c>
      <c r="BK412" s="210">
        <v>0</v>
      </c>
      <c r="BL412" s="210">
        <v>0</v>
      </c>
      <c r="BM412" s="210">
        <v>0</v>
      </c>
      <c r="BN412" s="210">
        <v>0</v>
      </c>
      <c r="BO412" s="210">
        <v>0</v>
      </c>
      <c r="BP412" s="210">
        <v>0</v>
      </c>
      <c r="BQ412" s="210">
        <v>0</v>
      </c>
      <c r="BR412" s="41"/>
      <c r="BS412" s="40">
        <v>0</v>
      </c>
      <c r="BT412" s="40">
        <v>0</v>
      </c>
      <c r="BU412" s="40">
        <v>0</v>
      </c>
      <c r="BV412" s="40">
        <v>0</v>
      </c>
      <c r="BW412" s="40">
        <v>0</v>
      </c>
      <c r="BX412" s="40">
        <v>0</v>
      </c>
      <c r="BY412" s="40">
        <v>0</v>
      </c>
      <c r="BZ412" s="40">
        <v>0</v>
      </c>
      <c r="CA412" s="40">
        <v>0</v>
      </c>
      <c r="CB412" s="40">
        <v>0</v>
      </c>
      <c r="CC412" s="41">
        <f t="shared" si="4224"/>
        <v>-2.4500000000000002</v>
      </c>
      <c r="CD412" s="41">
        <f t="shared" si="4225"/>
        <v>-14.209999999999999</v>
      </c>
      <c r="CE412" s="41">
        <f t="shared" si="4226"/>
        <v>-27.93</v>
      </c>
      <c r="CF412" s="41">
        <f t="shared" si="4227"/>
        <v>-23.03</v>
      </c>
      <c r="CG412" s="41">
        <f t="shared" si="4228"/>
        <v>-25.48</v>
      </c>
      <c r="CH412" s="41">
        <f t="shared" si="4229"/>
        <v>-33.81</v>
      </c>
      <c r="CI412" s="41">
        <f t="shared" si="4230"/>
        <v>-42.14</v>
      </c>
      <c r="CJ412" s="41">
        <f t="shared" si="4231"/>
        <v>-40.67</v>
      </c>
      <c r="CK412" s="41">
        <f t="shared" si="4232"/>
        <v>0</v>
      </c>
      <c r="CL412" s="41">
        <f t="shared" si="4233"/>
        <v>0</v>
      </c>
      <c r="CM412" s="41">
        <f t="shared" si="4234"/>
        <v>0</v>
      </c>
      <c r="CN412" s="41">
        <f t="shared" si="4235"/>
        <v>0</v>
      </c>
      <c r="CO412" s="41">
        <f t="shared" si="4236"/>
        <v>0</v>
      </c>
      <c r="CP412" s="41">
        <f t="shared" si="4237"/>
        <v>0</v>
      </c>
      <c r="CQ412" s="41">
        <f t="shared" si="4238"/>
        <v>0</v>
      </c>
      <c r="CR412" s="41">
        <f t="shared" si="4239"/>
        <v>0</v>
      </c>
      <c r="CS412" s="41">
        <f t="shared" si="4240"/>
        <v>0</v>
      </c>
      <c r="CT412" s="41">
        <f t="shared" si="4241"/>
        <v>0</v>
      </c>
      <c r="CU412" s="41">
        <f t="shared" si="4242"/>
        <v>0</v>
      </c>
      <c r="CV412" s="41">
        <f t="shared" si="4243"/>
        <v>0</v>
      </c>
      <c r="CW412" s="41">
        <f t="shared" si="4244"/>
        <v>0</v>
      </c>
      <c r="CX412" s="41">
        <f t="shared" si="4245"/>
        <v>0</v>
      </c>
      <c r="CY412" s="41">
        <f t="shared" si="4246"/>
        <v>0</v>
      </c>
      <c r="CZ412" s="211">
        <f t="shared" si="4247"/>
        <v>0</v>
      </c>
      <c r="DA412" s="41">
        <f t="shared" si="4248"/>
        <v>0</v>
      </c>
      <c r="DB412" s="41">
        <f t="shared" si="4249"/>
        <v>0</v>
      </c>
      <c r="DC412" s="41">
        <f t="shared" si="4250"/>
        <v>0</v>
      </c>
      <c r="DD412" s="41">
        <f t="shared" si="4251"/>
        <v>0</v>
      </c>
      <c r="DE412" s="41">
        <f t="shared" si="4252"/>
        <v>0</v>
      </c>
      <c r="DF412" s="41">
        <f t="shared" si="4253"/>
        <v>0</v>
      </c>
      <c r="DG412" s="41">
        <f t="shared" si="4254"/>
        <v>0</v>
      </c>
      <c r="DH412" s="41">
        <f t="shared" si="4255"/>
        <v>0</v>
      </c>
      <c r="DI412" s="41">
        <f t="shared" si="4256"/>
        <v>0</v>
      </c>
    </row>
    <row r="413" spans="1:113" ht="12" outlineLevel="2">
      <c r="A413" s="1" t="s">
        <v>116</v>
      </c>
      <c r="B413" s="15" t="s">
        <v>425</v>
      </c>
      <c r="C413" s="40">
        <v>0</v>
      </c>
      <c r="D413" s="40">
        <v>0</v>
      </c>
      <c r="E413" s="40">
        <v>0</v>
      </c>
      <c r="F413" s="40">
        <v>0</v>
      </c>
      <c r="G413" s="40">
        <v>0</v>
      </c>
      <c r="H413" s="40">
        <v>0</v>
      </c>
      <c r="I413" s="40">
        <v>0</v>
      </c>
      <c r="J413" s="40">
        <v>0</v>
      </c>
      <c r="K413" s="40">
        <v>0</v>
      </c>
      <c r="L413" s="40">
        <v>0</v>
      </c>
      <c r="M413" s="40">
        <v>0</v>
      </c>
      <c r="N413" s="40">
        <v>0</v>
      </c>
      <c r="O413" s="40">
        <v>0</v>
      </c>
      <c r="P413" s="40">
        <f>P414-(1923+353)</f>
        <v>-77</v>
      </c>
      <c r="Q413" s="40">
        <f>Q414-1722</f>
        <v>519</v>
      </c>
      <c r="R413" s="40">
        <f>R414-1063</f>
        <v>1155</v>
      </c>
      <c r="S413" s="40">
        <f>S414+R414-R413-4050</f>
        <v>-728</v>
      </c>
      <c r="T413" s="40">
        <f>T414-2410</f>
        <v>-82</v>
      </c>
      <c r="U413" s="40">
        <f>U414-2618</f>
        <v>-26</v>
      </c>
      <c r="V413" s="40">
        <v>0</v>
      </c>
      <c r="W413" s="40">
        <v>0</v>
      </c>
      <c r="X413" s="40">
        <v>0</v>
      </c>
      <c r="Y413" s="40">
        <v>0</v>
      </c>
      <c r="Z413" s="141">
        <v>0</v>
      </c>
      <c r="AA413" s="141">
        <v>0</v>
      </c>
      <c r="AB413" s="141">
        <v>0</v>
      </c>
      <c r="AC413" s="141">
        <v>0</v>
      </c>
      <c r="AD413" s="141">
        <v>0</v>
      </c>
      <c r="AE413" s="141">
        <v>0</v>
      </c>
      <c r="AF413" s="141">
        <v>0</v>
      </c>
      <c r="AG413" s="141">
        <v>0</v>
      </c>
      <c r="AH413" s="141">
        <v>0</v>
      </c>
      <c r="AI413" s="141">
        <v>0</v>
      </c>
      <c r="AJ413" s="141">
        <v>0</v>
      </c>
      <c r="AK413" s="141">
        <v>0</v>
      </c>
      <c r="AL413" s="141">
        <v>0</v>
      </c>
      <c r="AM413" s="141">
        <v>0</v>
      </c>
      <c r="AN413" s="141">
        <v>0</v>
      </c>
      <c r="AO413" s="141">
        <v>0</v>
      </c>
      <c r="AP413" s="141">
        <v>0</v>
      </c>
      <c r="AQ413" s="141">
        <v>0</v>
      </c>
      <c r="AR413" s="141">
        <v>0</v>
      </c>
      <c r="AS413" s="141">
        <v>0</v>
      </c>
      <c r="AT413" s="141">
        <v>0</v>
      </c>
      <c r="AU413" s="141">
        <v>0</v>
      </c>
      <c r="AV413" s="141">
        <v>0</v>
      </c>
      <c r="AW413" s="141">
        <v>0</v>
      </c>
      <c r="AX413" s="141">
        <v>0</v>
      </c>
      <c r="AY413" s="226">
        <v>0</v>
      </c>
      <c r="AZ413" s="210">
        <v>0</v>
      </c>
      <c r="BA413" s="210">
        <v>0</v>
      </c>
      <c r="BB413" s="210">
        <v>0</v>
      </c>
      <c r="BC413" s="210">
        <v>0</v>
      </c>
      <c r="BD413" s="210">
        <v>0</v>
      </c>
      <c r="BE413" s="210">
        <v>0</v>
      </c>
      <c r="BF413" s="210">
        <v>0</v>
      </c>
      <c r="BG413" s="210">
        <v>0</v>
      </c>
      <c r="BH413" s="210">
        <v>0</v>
      </c>
      <c r="BI413" s="210">
        <v>0</v>
      </c>
      <c r="BJ413" s="210">
        <v>0</v>
      </c>
      <c r="BK413" s="210">
        <v>0</v>
      </c>
      <c r="BL413" s="210">
        <v>0</v>
      </c>
      <c r="BM413" s="210">
        <v>0</v>
      </c>
      <c r="BN413" s="210">
        <v>0</v>
      </c>
      <c r="BO413" s="210">
        <v>0</v>
      </c>
      <c r="BP413" s="210">
        <v>0</v>
      </c>
      <c r="BQ413" s="210">
        <v>0</v>
      </c>
      <c r="BR413" s="41"/>
      <c r="BS413" s="40">
        <v>0</v>
      </c>
      <c r="BT413" s="40">
        <v>0</v>
      </c>
      <c r="BU413" s="40">
        <v>0</v>
      </c>
      <c r="BV413" s="40">
        <v>0</v>
      </c>
      <c r="BW413" s="40">
        <v>0</v>
      </c>
      <c r="BX413" s="40">
        <v>0</v>
      </c>
      <c r="BY413" s="40">
        <v>0</v>
      </c>
      <c r="BZ413" s="40">
        <v>0</v>
      </c>
      <c r="CA413" s="40">
        <v>0</v>
      </c>
      <c r="CB413" s="40">
        <v>0</v>
      </c>
      <c r="CC413" s="41">
        <f t="shared" si="4224"/>
        <v>0</v>
      </c>
      <c r="CD413" s="41">
        <f t="shared" si="4225"/>
        <v>0</v>
      </c>
      <c r="CE413" s="41">
        <f t="shared" si="4226"/>
        <v>0</v>
      </c>
      <c r="CF413" s="41">
        <f t="shared" si="4227"/>
        <v>0</v>
      </c>
      <c r="CG413" s="41">
        <f t="shared" si="4228"/>
        <v>0</v>
      </c>
      <c r="CH413" s="41">
        <f t="shared" si="4229"/>
        <v>0</v>
      </c>
      <c r="CI413" s="41">
        <f t="shared" si="4230"/>
        <v>442</v>
      </c>
      <c r="CJ413" s="41">
        <f t="shared" si="4231"/>
        <v>427</v>
      </c>
      <c r="CK413" s="41">
        <f t="shared" si="4232"/>
        <v>-108</v>
      </c>
      <c r="CL413" s="41">
        <f t="shared" si="4233"/>
        <v>0</v>
      </c>
      <c r="CM413" s="41">
        <f t="shared" si="4234"/>
        <v>0</v>
      </c>
      <c r="CN413" s="41">
        <f t="shared" si="4235"/>
        <v>0</v>
      </c>
      <c r="CO413" s="41">
        <f t="shared" si="4236"/>
        <v>0</v>
      </c>
      <c r="CP413" s="41">
        <f t="shared" si="4237"/>
        <v>0</v>
      </c>
      <c r="CQ413" s="41">
        <f t="shared" si="4238"/>
        <v>0</v>
      </c>
      <c r="CR413" s="41">
        <f t="shared" si="4239"/>
        <v>0</v>
      </c>
      <c r="CS413" s="41">
        <f t="shared" si="4240"/>
        <v>0</v>
      </c>
      <c r="CT413" s="41">
        <f t="shared" si="4241"/>
        <v>0</v>
      </c>
      <c r="CU413" s="41">
        <f t="shared" si="4242"/>
        <v>0</v>
      </c>
      <c r="CV413" s="41">
        <f t="shared" si="4243"/>
        <v>0</v>
      </c>
      <c r="CW413" s="41">
        <f t="shared" si="4244"/>
        <v>0</v>
      </c>
      <c r="CX413" s="41">
        <f t="shared" si="4245"/>
        <v>0</v>
      </c>
      <c r="CY413" s="41">
        <f t="shared" si="4246"/>
        <v>0</v>
      </c>
      <c r="CZ413" s="211">
        <f t="shared" si="4247"/>
        <v>0</v>
      </c>
      <c r="DA413" s="41">
        <f t="shared" si="4248"/>
        <v>0</v>
      </c>
      <c r="DB413" s="41">
        <f t="shared" si="4249"/>
        <v>0</v>
      </c>
      <c r="DC413" s="41">
        <f t="shared" si="4250"/>
        <v>0</v>
      </c>
      <c r="DD413" s="41">
        <f t="shared" si="4251"/>
        <v>0</v>
      </c>
      <c r="DE413" s="41">
        <f t="shared" si="4252"/>
        <v>0</v>
      </c>
      <c r="DF413" s="41">
        <f t="shared" si="4253"/>
        <v>0</v>
      </c>
      <c r="DG413" s="41">
        <f t="shared" si="4254"/>
        <v>0</v>
      </c>
      <c r="DH413" s="41">
        <f t="shared" si="4255"/>
        <v>0</v>
      </c>
      <c r="DI413" s="41">
        <f t="shared" si="4256"/>
        <v>0</v>
      </c>
    </row>
    <row r="414" spans="1:113" s="17" customFormat="1" ht="12" outlineLevel="2">
      <c r="A414" s="1" t="s">
        <v>117</v>
      </c>
      <c r="B414" s="17" t="s">
        <v>581</v>
      </c>
      <c r="C414" s="61">
        <v>1333</v>
      </c>
      <c r="D414" s="61">
        <v>1409</v>
      </c>
      <c r="E414" s="61">
        <f>2796-D414</f>
        <v>1387</v>
      </c>
      <c r="F414" s="61">
        <v>1352</v>
      </c>
      <c r="G414" s="61">
        <f>2808-F414</f>
        <v>1456</v>
      </c>
      <c r="H414" s="61">
        <f>1573</f>
        <v>1573</v>
      </c>
      <c r="I414" s="61">
        <v>1694</v>
      </c>
      <c r="J414" s="61">
        <v>1407</v>
      </c>
      <c r="K414" s="61">
        <f>2935-J414</f>
        <v>1528</v>
      </c>
      <c r="L414" s="61">
        <f>1563</f>
        <v>1563</v>
      </c>
      <c r="M414" s="61">
        <f>1583</f>
        <v>1583</v>
      </c>
      <c r="N414" s="61">
        <v>1770</v>
      </c>
      <c r="O414" s="61">
        <v>1950</v>
      </c>
      <c r="P414" s="61">
        <f>2199</f>
        <v>2199</v>
      </c>
      <c r="Q414" s="61">
        <f>2241</f>
        <v>2241</v>
      </c>
      <c r="R414" s="61">
        <v>2218</v>
      </c>
      <c r="S414" s="61">
        <f>4477-R414</f>
        <v>2259</v>
      </c>
      <c r="T414" s="61">
        <v>2328</v>
      </c>
      <c r="U414" s="61">
        <v>2592</v>
      </c>
      <c r="V414" s="61">
        <f>2856</f>
        <v>2856</v>
      </c>
      <c r="W414" s="61">
        <f>2529</f>
        <v>2529</v>
      </c>
      <c r="X414" s="61">
        <v>2736</v>
      </c>
      <c r="Y414" s="61">
        <v>3002</v>
      </c>
      <c r="Z414" s="194">
        <v>2856</v>
      </c>
      <c r="AA414" s="194">
        <v>2763</v>
      </c>
      <c r="AB414" s="194">
        <v>2904</v>
      </c>
      <c r="AC414" s="194">
        <v>2877</v>
      </c>
      <c r="AD414" s="194">
        <v>3057</v>
      </c>
      <c r="AE414" s="194">
        <v>2864</v>
      </c>
      <c r="AF414" s="194">
        <v>2757</v>
      </c>
      <c r="AG414" s="194">
        <v>2742</v>
      </c>
      <c r="AH414" s="194">
        <v>2557</v>
      </c>
      <c r="AI414" s="194">
        <v>2384</v>
      </c>
      <c r="AJ414" s="194">
        <v>2520</v>
      </c>
      <c r="AK414" s="194">
        <v>2333</v>
      </c>
      <c r="AL414" s="194">
        <v>2447</v>
      </c>
      <c r="AM414" s="194">
        <v>2243</v>
      </c>
      <c r="AN414" s="194">
        <v>1357</v>
      </c>
      <c r="AO414" s="194">
        <v>2346</v>
      </c>
      <c r="AP414" s="194">
        <v>1437</v>
      </c>
      <c r="AQ414" s="194">
        <v>1849</v>
      </c>
      <c r="AR414" s="194">
        <v>1848</v>
      </c>
      <c r="AS414" s="194">
        <v>1825</v>
      </c>
      <c r="AT414" s="194">
        <v>2040</v>
      </c>
      <c r="AU414" s="194">
        <v>2291</v>
      </c>
      <c r="AV414" s="194">
        <v>2448</v>
      </c>
      <c r="AW414" s="194">
        <v>2292</v>
      </c>
      <c r="AX414" s="194">
        <v>2126</v>
      </c>
      <c r="AY414" s="227">
        <v>1812</v>
      </c>
      <c r="AZ414" s="62">
        <f t="shared" ref="AZ414:BA414" si="4330">SUM(AZ408:AZ413)</f>
        <v>2168.1771210547849</v>
      </c>
      <c r="BA414" s="62">
        <f t="shared" si="4330"/>
        <v>2094.4578777721872</v>
      </c>
      <c r="BB414" s="62">
        <f t="shared" ref="BB414:BC414" si="4331">SUM(BB408:BB413)</f>
        <v>2151.439947652219</v>
      </c>
      <c r="BC414" s="62">
        <f t="shared" si="4331"/>
        <v>2087.9452054538524</v>
      </c>
      <c r="BD414" s="62">
        <f t="shared" ref="BD414:BE414" si="4332">SUM(BD408:BD413)</f>
        <v>2195.4885078141301</v>
      </c>
      <c r="BE414" s="62">
        <f t="shared" si="4332"/>
        <v>2125.6738675091365</v>
      </c>
      <c r="BF414" s="62">
        <f t="shared" ref="BF414:BG414" si="4333">SUM(BF408:BF413)</f>
        <v>2216.1827879177358</v>
      </c>
      <c r="BG414" s="62">
        <f t="shared" si="4333"/>
        <v>2149.1932427041211</v>
      </c>
      <c r="BH414" s="62">
        <f t="shared" ref="BH414:BI414" si="4334">SUM(BH408:BH413)</f>
        <v>2237.81085368408</v>
      </c>
      <c r="BI414" s="62">
        <f t="shared" si="4334"/>
        <v>2171.7876196277816</v>
      </c>
      <c r="BJ414" s="62">
        <f t="shared" ref="BJ414:BK414" si="4335">SUM(BJ408:BJ413)</f>
        <v>2298.468979967623</v>
      </c>
      <c r="BK414" s="62">
        <f t="shared" si="4335"/>
        <v>2352.4612592137669</v>
      </c>
      <c r="BL414" s="62">
        <f t="shared" ref="BL414:BM414" si="4336">SUM(BL408:BL413)</f>
        <v>2380.4866898171249</v>
      </c>
      <c r="BM414" s="62">
        <f t="shared" si="4336"/>
        <v>2412.6651869236298</v>
      </c>
      <c r="BN414" s="62">
        <f t="shared" ref="BN414:BO414" si="4337">SUM(BN408:BN413)</f>
        <v>2443.2000928340995</v>
      </c>
      <c r="BO414" s="62">
        <f t="shared" si="4337"/>
        <v>2499.0988641862464</v>
      </c>
      <c r="BP414" s="62">
        <f t="shared" ref="BP414:BQ414" si="4338">SUM(BP408:BP413)</f>
        <v>2532.0916045576905</v>
      </c>
      <c r="BQ414" s="62">
        <f t="shared" si="4338"/>
        <v>2597.5454591426551</v>
      </c>
      <c r="BR414" s="62"/>
      <c r="BS414" s="61">
        <v>2108.6999999999998</v>
      </c>
      <c r="BT414" s="61">
        <v>1875</v>
      </c>
      <c r="BU414" s="61">
        <f>1793</f>
        <v>1793</v>
      </c>
      <c r="BV414" s="61">
        <v>1754</v>
      </c>
      <c r="BW414" s="61">
        <v>1839</v>
      </c>
      <c r="BX414" s="61">
        <v>2110</v>
      </c>
      <c r="BY414" s="61">
        <f>2142</f>
        <v>2142</v>
      </c>
      <c r="BZ414" s="61">
        <f>2377</f>
        <v>2377</v>
      </c>
      <c r="CA414" s="61">
        <v>2583</v>
      </c>
      <c r="CB414" s="61">
        <v>2573</v>
      </c>
      <c r="CC414" s="62">
        <f t="shared" si="4224"/>
        <v>2796</v>
      </c>
      <c r="CD414" s="62">
        <f t="shared" si="4225"/>
        <v>2808</v>
      </c>
      <c r="CE414" s="62">
        <f t="shared" si="4226"/>
        <v>3267</v>
      </c>
      <c r="CF414" s="62">
        <f t="shared" si="4227"/>
        <v>2935</v>
      </c>
      <c r="CG414" s="62">
        <f t="shared" si="4228"/>
        <v>3146</v>
      </c>
      <c r="CH414" s="62">
        <f t="shared" si="4229"/>
        <v>3720</v>
      </c>
      <c r="CI414" s="62">
        <f t="shared" si="4230"/>
        <v>4440</v>
      </c>
      <c r="CJ414" s="62">
        <f t="shared" si="4231"/>
        <v>4477</v>
      </c>
      <c r="CK414" s="62">
        <f t="shared" si="4232"/>
        <v>4920</v>
      </c>
      <c r="CL414" s="62">
        <f t="shared" si="4233"/>
        <v>5385</v>
      </c>
      <c r="CM414" s="62">
        <f t="shared" si="4234"/>
        <v>5738</v>
      </c>
      <c r="CN414" s="62">
        <f t="shared" si="4235"/>
        <v>5619</v>
      </c>
      <c r="CO414" s="62">
        <f t="shared" si="4236"/>
        <v>5781</v>
      </c>
      <c r="CP414" s="62">
        <f t="shared" si="4237"/>
        <v>5921</v>
      </c>
      <c r="CQ414" s="62">
        <f t="shared" si="4238"/>
        <v>5499</v>
      </c>
      <c r="CR414" s="62">
        <f t="shared" si="4239"/>
        <v>4941</v>
      </c>
      <c r="CS414" s="62">
        <f t="shared" si="4240"/>
        <v>4853</v>
      </c>
      <c r="CT414" s="62">
        <f t="shared" si="4241"/>
        <v>4690</v>
      </c>
      <c r="CU414" s="62">
        <f t="shared" si="4242"/>
        <v>3703</v>
      </c>
      <c r="CV414" s="62">
        <f t="shared" si="4243"/>
        <v>3286</v>
      </c>
      <c r="CW414" s="62">
        <f t="shared" si="4244"/>
        <v>3673</v>
      </c>
      <c r="CX414" s="62">
        <f t="shared" si="4245"/>
        <v>4331</v>
      </c>
      <c r="CY414" s="62">
        <f t="shared" si="4246"/>
        <v>4740</v>
      </c>
      <c r="CZ414" s="220">
        <f t="shared" si="4247"/>
        <v>3938</v>
      </c>
      <c r="DA414" s="62">
        <f t="shared" si="4248"/>
        <v>4262.6349988269722</v>
      </c>
      <c r="DB414" s="62">
        <f t="shared" si="4249"/>
        <v>4239.3851531060718</v>
      </c>
      <c r="DC414" s="62">
        <f t="shared" si="4250"/>
        <v>4321.162375323267</v>
      </c>
      <c r="DD414" s="62">
        <f t="shared" si="4251"/>
        <v>4365.3760306218574</v>
      </c>
      <c r="DE414" s="62">
        <f t="shared" si="4252"/>
        <v>4409.5984733118621</v>
      </c>
      <c r="DF414" s="62">
        <f t="shared" si="4253"/>
        <v>4650.9302391813899</v>
      </c>
      <c r="DG414" s="62">
        <f t="shared" si="4254"/>
        <v>4793.1518767407542</v>
      </c>
      <c r="DH414" s="62">
        <f t="shared" si="4255"/>
        <v>4942.2989570203463</v>
      </c>
      <c r="DI414" s="62">
        <f t="shared" si="4256"/>
        <v>5129.6370637003456</v>
      </c>
    </row>
    <row r="415" spans="1:113" ht="12" outlineLevel="2">
      <c r="A415" s="1" t="s">
        <v>118</v>
      </c>
      <c r="B415" s="15" t="s">
        <v>529</v>
      </c>
      <c r="C415" s="41">
        <f t="shared" ref="C415:L415" si="4339">C416-C414</f>
        <v>0</v>
      </c>
      <c r="D415" s="41">
        <f t="shared" si="4339"/>
        <v>0</v>
      </c>
      <c r="E415" s="41">
        <f t="shared" si="4339"/>
        <v>174</v>
      </c>
      <c r="F415" s="41">
        <f t="shared" si="4339"/>
        <v>0</v>
      </c>
      <c r="G415" s="41">
        <f t="shared" si="4339"/>
        <v>0</v>
      </c>
      <c r="H415" s="41">
        <f t="shared" si="4339"/>
        <v>110</v>
      </c>
      <c r="I415" s="41">
        <f t="shared" si="4339"/>
        <v>0</v>
      </c>
      <c r="J415" s="41">
        <f t="shared" si="4339"/>
        <v>310</v>
      </c>
      <c r="K415" s="41">
        <f t="shared" si="4339"/>
        <v>333</v>
      </c>
      <c r="L415" s="41">
        <f t="shared" si="4339"/>
        <v>32</v>
      </c>
      <c r="M415" s="41">
        <f t="shared" ref="M415:X415" si="4340">M416-M414</f>
        <v>31</v>
      </c>
      <c r="N415" s="41">
        <f t="shared" si="4340"/>
        <v>232</v>
      </c>
      <c r="O415" s="41">
        <f t="shared" si="4340"/>
        <v>86</v>
      </c>
      <c r="P415" s="41">
        <f t="shared" si="4340"/>
        <v>159</v>
      </c>
      <c r="Q415" s="41">
        <f t="shared" si="4340"/>
        <v>-290</v>
      </c>
      <c r="R415" s="41">
        <f t="shared" si="4340"/>
        <v>-473</v>
      </c>
      <c r="S415" s="41">
        <f t="shared" si="4340"/>
        <v>-282</v>
      </c>
      <c r="T415" s="41">
        <f t="shared" si="4340"/>
        <v>-347</v>
      </c>
      <c r="U415" s="41">
        <f t="shared" si="4340"/>
        <v>250</v>
      </c>
      <c r="V415" s="41">
        <f t="shared" si="4340"/>
        <v>103</v>
      </c>
      <c r="W415" s="41">
        <f t="shared" si="4340"/>
        <v>-56</v>
      </c>
      <c r="X415" s="41">
        <f t="shared" si="4340"/>
        <v>97</v>
      </c>
      <c r="Y415" s="41">
        <f t="shared" ref="Y415:AE415" si="4341">Y416-Y414</f>
        <v>-234</v>
      </c>
      <c r="Z415" s="41">
        <f t="shared" si="4341"/>
        <v>-120</v>
      </c>
      <c r="AA415" s="41">
        <f t="shared" si="4341"/>
        <v>202</v>
      </c>
      <c r="AB415" s="41">
        <f t="shared" si="4341"/>
        <v>-148</v>
      </c>
      <c r="AC415" s="41">
        <f t="shared" si="4341"/>
        <v>611</v>
      </c>
      <c r="AD415" s="41">
        <f t="shared" si="4341"/>
        <v>45</v>
      </c>
      <c r="AE415" s="41">
        <f t="shared" si="4341"/>
        <v>508</v>
      </c>
      <c r="AF415" s="41">
        <f t="shared" ref="AF415:AG415" si="4342">AF416-AF414</f>
        <v>-51</v>
      </c>
      <c r="AG415" s="41">
        <f t="shared" si="4342"/>
        <v>3</v>
      </c>
      <c r="AH415" s="41">
        <f t="shared" ref="AH415:AI415" si="4343">AH416-AH414</f>
        <v>23</v>
      </c>
      <c r="AI415" s="41">
        <f t="shared" si="4343"/>
        <v>437</v>
      </c>
      <c r="AJ415" s="41">
        <f t="shared" ref="AJ415:AK415" si="4344">AJ416-AJ414</f>
        <v>138</v>
      </c>
      <c r="AK415" s="41">
        <f t="shared" si="4344"/>
        <v>560</v>
      </c>
      <c r="AL415" s="41">
        <f t="shared" ref="AL415:AM415" si="4345">AL416-AL414</f>
        <v>-254</v>
      </c>
      <c r="AM415" s="41">
        <f t="shared" si="4345"/>
        <v>255</v>
      </c>
      <c r="AN415" s="41">
        <f t="shared" ref="AN415:AO415" si="4346">AN416-AN414</f>
        <v>205</v>
      </c>
      <c r="AO415" s="41">
        <f t="shared" si="4346"/>
        <v>-366</v>
      </c>
      <c r="AP415" s="41">
        <f t="shared" ref="AP415:AQ415" si="4347">AP416-AP414</f>
        <v>-29</v>
      </c>
      <c r="AQ415" s="41">
        <f t="shared" si="4347"/>
        <v>29</v>
      </c>
      <c r="AR415" s="41">
        <f t="shared" ref="AR415:AS415" si="4348">AR416-AR414</f>
        <v>594</v>
      </c>
      <c r="AS415" s="41">
        <f t="shared" si="4348"/>
        <v>285</v>
      </c>
      <c r="AT415" s="41">
        <f t="shared" ref="AT415:AU415" si="4349">AT416-AT414</f>
        <v>-389</v>
      </c>
      <c r="AU415" s="41">
        <f t="shared" si="4349"/>
        <v>-45</v>
      </c>
      <c r="AV415" s="41">
        <f t="shared" ref="AV415:AW415" si="4350">AV416-AV414</f>
        <v>-202</v>
      </c>
      <c r="AW415" s="41">
        <f t="shared" si="4350"/>
        <v>-60</v>
      </c>
      <c r="AX415" s="41">
        <f t="shared" ref="AX415:AY415" si="4351">AX416-AX414</f>
        <v>184</v>
      </c>
      <c r="AY415" s="211">
        <f t="shared" si="4351"/>
        <v>103</v>
      </c>
      <c r="AZ415" s="210">
        <v>0</v>
      </c>
      <c r="BA415" s="210">
        <v>0</v>
      </c>
      <c r="BB415" s="210">
        <v>0</v>
      </c>
      <c r="BC415" s="210">
        <v>0</v>
      </c>
      <c r="BD415" s="210">
        <v>0</v>
      </c>
      <c r="BE415" s="210">
        <v>0</v>
      </c>
      <c r="BF415" s="210">
        <v>0</v>
      </c>
      <c r="BG415" s="210">
        <v>0</v>
      </c>
      <c r="BH415" s="210">
        <v>0</v>
      </c>
      <c r="BI415" s="210">
        <v>0</v>
      </c>
      <c r="BJ415" s="210">
        <v>0</v>
      </c>
      <c r="BK415" s="210">
        <v>0</v>
      </c>
      <c r="BL415" s="210">
        <v>0</v>
      </c>
      <c r="BM415" s="210">
        <v>0</v>
      </c>
      <c r="BN415" s="210">
        <v>0</v>
      </c>
      <c r="BO415" s="210">
        <v>0</v>
      </c>
      <c r="BP415" s="210">
        <v>0</v>
      </c>
      <c r="BQ415" s="210">
        <v>0</v>
      </c>
      <c r="BR415" s="41"/>
      <c r="BS415" s="41">
        <f t="shared" ref="BS415:CB415" si="4352">BS416-BS414</f>
        <v>11.699999999999818</v>
      </c>
      <c r="BT415" s="41">
        <f t="shared" si="4352"/>
        <v>-172.5</v>
      </c>
      <c r="BU415" s="41">
        <f t="shared" si="4352"/>
        <v>21</v>
      </c>
      <c r="BV415" s="41">
        <f t="shared" si="4352"/>
        <v>0</v>
      </c>
      <c r="BW415" s="41">
        <f t="shared" si="4352"/>
        <v>0</v>
      </c>
      <c r="BX415" s="41">
        <f t="shared" si="4352"/>
        <v>145</v>
      </c>
      <c r="BY415" s="41">
        <f t="shared" si="4352"/>
        <v>-70</v>
      </c>
      <c r="BZ415" s="41">
        <f t="shared" si="4352"/>
        <v>0</v>
      </c>
      <c r="CA415" s="41">
        <f t="shared" si="4352"/>
        <v>1207</v>
      </c>
      <c r="CB415" s="41">
        <f t="shared" si="4352"/>
        <v>0</v>
      </c>
      <c r="CC415" s="41">
        <f t="shared" ref="CC415:CI415" si="4353">CC416-CC414</f>
        <v>174</v>
      </c>
      <c r="CD415" s="41">
        <f t="shared" si="4353"/>
        <v>0</v>
      </c>
      <c r="CE415" s="41">
        <f t="shared" si="4353"/>
        <v>110</v>
      </c>
      <c r="CF415" s="41">
        <f t="shared" si="4353"/>
        <v>643</v>
      </c>
      <c r="CG415" s="41">
        <f t="shared" si="4353"/>
        <v>63</v>
      </c>
      <c r="CH415" s="41">
        <f t="shared" si="4353"/>
        <v>318</v>
      </c>
      <c r="CI415" s="41">
        <f t="shared" si="4353"/>
        <v>-131</v>
      </c>
      <c r="CJ415" s="41">
        <f>SUM(R415:S415)</f>
        <v>-755</v>
      </c>
      <c r="CK415" s="41">
        <f t="shared" si="4232"/>
        <v>-97</v>
      </c>
      <c r="CL415" s="41">
        <f t="shared" si="4233"/>
        <v>47</v>
      </c>
      <c r="CM415" s="41">
        <f t="shared" si="4234"/>
        <v>-137</v>
      </c>
      <c r="CN415" s="41">
        <f t="shared" si="4235"/>
        <v>82</v>
      </c>
      <c r="CO415" s="41">
        <f t="shared" si="4236"/>
        <v>463</v>
      </c>
      <c r="CP415" s="41">
        <f t="shared" si="4237"/>
        <v>553</v>
      </c>
      <c r="CQ415" s="41">
        <f t="shared" si="4238"/>
        <v>-48</v>
      </c>
      <c r="CR415" s="41">
        <f t="shared" si="4239"/>
        <v>460</v>
      </c>
      <c r="CS415" s="41">
        <f t="shared" si="4240"/>
        <v>698</v>
      </c>
      <c r="CT415" s="41">
        <f t="shared" si="4241"/>
        <v>1</v>
      </c>
      <c r="CU415" s="41">
        <f t="shared" si="4242"/>
        <v>-161</v>
      </c>
      <c r="CV415" s="41">
        <f t="shared" si="4243"/>
        <v>0</v>
      </c>
      <c r="CW415" s="41">
        <f t="shared" si="4244"/>
        <v>879</v>
      </c>
      <c r="CX415" s="41">
        <f t="shared" si="4245"/>
        <v>-434</v>
      </c>
      <c r="CY415" s="41">
        <f t="shared" si="4246"/>
        <v>-262</v>
      </c>
      <c r="CZ415" s="211">
        <f t="shared" si="4247"/>
        <v>287</v>
      </c>
      <c r="DA415" s="41">
        <f t="shared" si="4248"/>
        <v>0</v>
      </c>
      <c r="DB415" s="41">
        <f t="shared" si="4249"/>
        <v>0</v>
      </c>
      <c r="DC415" s="41">
        <f t="shared" si="4250"/>
        <v>0</v>
      </c>
      <c r="DD415" s="41">
        <f t="shared" si="4251"/>
        <v>0</v>
      </c>
      <c r="DE415" s="41">
        <f t="shared" si="4252"/>
        <v>0</v>
      </c>
      <c r="DF415" s="41">
        <f t="shared" si="4253"/>
        <v>0</v>
      </c>
      <c r="DG415" s="41">
        <f t="shared" si="4254"/>
        <v>0</v>
      </c>
      <c r="DH415" s="41">
        <f t="shared" si="4255"/>
        <v>0</v>
      </c>
      <c r="DI415" s="41">
        <f t="shared" si="4256"/>
        <v>0</v>
      </c>
    </row>
    <row r="416" spans="1:113" s="17" customFormat="1" ht="12" outlineLevel="2">
      <c r="A416" s="1" t="s">
        <v>119</v>
      </c>
      <c r="B416" s="17" t="s">
        <v>716</v>
      </c>
      <c r="C416" s="61">
        <v>1333</v>
      </c>
      <c r="D416" s="61">
        <v>1409</v>
      </c>
      <c r="E416" s="61">
        <f>2970-D416</f>
        <v>1561</v>
      </c>
      <c r="F416" s="61">
        <v>1352</v>
      </c>
      <c r="G416" s="61">
        <f>2808-F416</f>
        <v>1456</v>
      </c>
      <c r="H416" s="61">
        <v>1683</v>
      </c>
      <c r="I416" s="61">
        <v>1694</v>
      </c>
      <c r="J416" s="61">
        <v>1717</v>
      </c>
      <c r="K416" s="61">
        <f>3578-J416</f>
        <v>1861</v>
      </c>
      <c r="L416" s="61">
        <f>1595</f>
        <v>1595</v>
      </c>
      <c r="M416" s="61">
        <f>1614</f>
        <v>1614</v>
      </c>
      <c r="N416" s="61">
        <v>2002</v>
      </c>
      <c r="O416" s="61">
        <f>4038-N416</f>
        <v>2036</v>
      </c>
      <c r="P416" s="61">
        <f>2358</f>
        <v>2358</v>
      </c>
      <c r="Q416" s="61">
        <f>1951</f>
        <v>1951</v>
      </c>
      <c r="R416" s="61">
        <v>1745</v>
      </c>
      <c r="S416" s="61">
        <f>3722-R416</f>
        <v>1977</v>
      </c>
      <c r="T416" s="61">
        <v>1981</v>
      </c>
      <c r="U416" s="61">
        <v>2842</v>
      </c>
      <c r="V416" s="61">
        <v>2959</v>
      </c>
      <c r="W416" s="61">
        <f>5432-V416</f>
        <v>2473</v>
      </c>
      <c r="X416" s="61">
        <v>2833</v>
      </c>
      <c r="Y416" s="61">
        <v>2768</v>
      </c>
      <c r="Z416" s="194">
        <v>2736</v>
      </c>
      <c r="AA416" s="194">
        <v>2965</v>
      </c>
      <c r="AB416" s="194">
        <v>2756</v>
      </c>
      <c r="AC416" s="194">
        <v>3488</v>
      </c>
      <c r="AD416" s="194">
        <v>3102</v>
      </c>
      <c r="AE416" s="194">
        <v>3372</v>
      </c>
      <c r="AF416" s="194">
        <v>2706</v>
      </c>
      <c r="AG416" s="194">
        <v>2745</v>
      </c>
      <c r="AH416" s="194">
        <f>2176+6+398</f>
        <v>2580</v>
      </c>
      <c r="AI416" s="194">
        <f>2347+5+469</f>
        <v>2821</v>
      </c>
      <c r="AJ416" s="194">
        <f>2887-655+426</f>
        <v>2658</v>
      </c>
      <c r="AK416" s="194">
        <f>2583+9+301</f>
        <v>2893</v>
      </c>
      <c r="AL416" s="194">
        <f>1994+199</f>
        <v>2193</v>
      </c>
      <c r="AM416" s="194">
        <f>2452+46</f>
        <v>2498</v>
      </c>
      <c r="AN416" s="194">
        <f>8893-7222-109</f>
        <v>1562</v>
      </c>
      <c r="AO416" s="194">
        <f>8744-6827+63</f>
        <v>1980</v>
      </c>
      <c r="AP416" s="194">
        <f>8367-6986+27</f>
        <v>1408</v>
      </c>
      <c r="AQ416" s="194">
        <f>9053-7175+0</f>
        <v>1878</v>
      </c>
      <c r="AR416" s="194">
        <f>9542-7100+0</f>
        <v>2442</v>
      </c>
      <c r="AS416" s="194">
        <f>9884-7774+0</f>
        <v>2110</v>
      </c>
      <c r="AT416" s="194">
        <f>10151-8500+0</f>
        <v>1651</v>
      </c>
      <c r="AU416" s="194">
        <f>10320-8074+0</f>
        <v>2246</v>
      </c>
      <c r="AV416" s="194">
        <f>10145-7899+0</f>
        <v>2246</v>
      </c>
      <c r="AW416" s="194">
        <f>10402-8170+0</f>
        <v>2232</v>
      </c>
      <c r="AX416" s="194">
        <f>11179-8869+0</f>
        <v>2310</v>
      </c>
      <c r="AY416" s="227">
        <v>1915</v>
      </c>
      <c r="AZ416" s="62">
        <f t="shared" ref="AZ416:BA416" si="4354">AZ414+AZ415</f>
        <v>2168.1771210547849</v>
      </c>
      <c r="BA416" s="62">
        <f t="shared" si="4354"/>
        <v>2094.4578777721872</v>
      </c>
      <c r="BB416" s="62">
        <f t="shared" ref="BB416:BC416" si="4355">BB414+BB415</f>
        <v>2151.439947652219</v>
      </c>
      <c r="BC416" s="62">
        <f t="shared" si="4355"/>
        <v>2087.9452054538524</v>
      </c>
      <c r="BD416" s="62">
        <f t="shared" ref="BD416:BE416" si="4356">BD414+BD415</f>
        <v>2195.4885078141301</v>
      </c>
      <c r="BE416" s="62">
        <f t="shared" si="4356"/>
        <v>2125.6738675091365</v>
      </c>
      <c r="BF416" s="62">
        <f t="shared" ref="BF416:BG416" si="4357">BF414+BF415</f>
        <v>2216.1827879177358</v>
      </c>
      <c r="BG416" s="62">
        <f t="shared" si="4357"/>
        <v>2149.1932427041211</v>
      </c>
      <c r="BH416" s="62">
        <f t="shared" ref="BH416:BI416" si="4358">BH414+BH415</f>
        <v>2237.81085368408</v>
      </c>
      <c r="BI416" s="62">
        <f t="shared" si="4358"/>
        <v>2171.7876196277816</v>
      </c>
      <c r="BJ416" s="62">
        <f t="shared" ref="BJ416:BK416" si="4359">BJ414+BJ415</f>
        <v>2298.468979967623</v>
      </c>
      <c r="BK416" s="62">
        <f t="shared" si="4359"/>
        <v>2352.4612592137669</v>
      </c>
      <c r="BL416" s="62">
        <f t="shared" ref="BL416:BM416" si="4360">BL414+BL415</f>
        <v>2380.4866898171249</v>
      </c>
      <c r="BM416" s="62">
        <f t="shared" si="4360"/>
        <v>2412.6651869236298</v>
      </c>
      <c r="BN416" s="62">
        <f t="shared" ref="BN416:BO416" si="4361">BN414+BN415</f>
        <v>2443.2000928340995</v>
      </c>
      <c r="BO416" s="62">
        <f t="shared" si="4361"/>
        <v>2499.0988641862464</v>
      </c>
      <c r="BP416" s="62">
        <f t="shared" ref="BP416:BQ416" si="4362">BP414+BP415</f>
        <v>2532.0916045576905</v>
      </c>
      <c r="BQ416" s="62">
        <f t="shared" si="4362"/>
        <v>2597.5454591426551</v>
      </c>
      <c r="BR416" s="62"/>
      <c r="BS416" s="61">
        <f>2108.7+11.7</f>
        <v>2120.3999999999996</v>
      </c>
      <c r="BT416" s="61">
        <f>1875+15.6-188.1</f>
        <v>1702.5</v>
      </c>
      <c r="BU416" s="61">
        <f>1793+21</f>
        <v>1814</v>
      </c>
      <c r="BV416" s="61">
        <v>1754</v>
      </c>
      <c r="BW416" s="61">
        <v>1839</v>
      </c>
      <c r="BX416" s="61">
        <f>2110+145</f>
        <v>2255</v>
      </c>
      <c r="BY416" s="61">
        <f>2142-70</f>
        <v>2072</v>
      </c>
      <c r="BZ416" s="61">
        <f>2377</f>
        <v>2377</v>
      </c>
      <c r="CA416" s="61">
        <f>2583+1207</f>
        <v>3790</v>
      </c>
      <c r="CB416" s="61">
        <v>2573</v>
      </c>
      <c r="CC416" s="62">
        <f>SUM(D416:E416)</f>
        <v>2970</v>
      </c>
      <c r="CD416" s="62">
        <f>SUM(F416:G416)</f>
        <v>2808</v>
      </c>
      <c r="CE416" s="62">
        <f>SUM(H416:I416)</f>
        <v>3377</v>
      </c>
      <c r="CF416" s="62">
        <f>SUM(J416:K416)</f>
        <v>3578</v>
      </c>
      <c r="CG416" s="62">
        <f>SUM(L416:M416)</f>
        <v>3209</v>
      </c>
      <c r="CH416" s="62">
        <f>SUM(N416:O416)</f>
        <v>4038</v>
      </c>
      <c r="CI416" s="62">
        <f>SUM(P416:Q416)</f>
        <v>4309</v>
      </c>
      <c r="CJ416" s="62">
        <f t="shared" ref="CJ416:CP416" si="4363">CJ414+CJ415</f>
        <v>3722</v>
      </c>
      <c r="CK416" s="62">
        <f t="shared" si="4363"/>
        <v>4823</v>
      </c>
      <c r="CL416" s="62">
        <f t="shared" si="4363"/>
        <v>5432</v>
      </c>
      <c r="CM416" s="62">
        <f t="shared" si="4363"/>
        <v>5601</v>
      </c>
      <c r="CN416" s="62">
        <f t="shared" si="4363"/>
        <v>5701</v>
      </c>
      <c r="CO416" s="62">
        <f t="shared" si="4363"/>
        <v>6244</v>
      </c>
      <c r="CP416" s="62">
        <f t="shared" si="4363"/>
        <v>6474</v>
      </c>
      <c r="CQ416" s="62">
        <f t="shared" ref="CQ416:CX416" si="4364">CQ414+CQ415</f>
        <v>5451</v>
      </c>
      <c r="CR416" s="62">
        <f t="shared" si="4364"/>
        <v>5401</v>
      </c>
      <c r="CS416" s="62">
        <f t="shared" si="4364"/>
        <v>5551</v>
      </c>
      <c r="CT416" s="62">
        <f t="shared" si="4364"/>
        <v>4691</v>
      </c>
      <c r="CU416" s="62">
        <f t="shared" si="4364"/>
        <v>3542</v>
      </c>
      <c r="CV416" s="62">
        <f t="shared" si="4364"/>
        <v>3286</v>
      </c>
      <c r="CW416" s="62">
        <f t="shared" si="4364"/>
        <v>4552</v>
      </c>
      <c r="CX416" s="62">
        <f t="shared" si="4364"/>
        <v>3897</v>
      </c>
      <c r="CY416" s="62">
        <f t="shared" ref="CY416:DD416" si="4365">CY414+CY415</f>
        <v>4478</v>
      </c>
      <c r="CZ416" s="220">
        <f t="shared" si="4365"/>
        <v>4225</v>
      </c>
      <c r="DA416" s="62">
        <f t="shared" si="4365"/>
        <v>4262.6349988269722</v>
      </c>
      <c r="DB416" s="62">
        <f t="shared" si="4365"/>
        <v>4239.3851531060718</v>
      </c>
      <c r="DC416" s="62">
        <f t="shared" si="4365"/>
        <v>4321.162375323267</v>
      </c>
      <c r="DD416" s="62">
        <f t="shared" si="4365"/>
        <v>4365.3760306218574</v>
      </c>
      <c r="DE416" s="62">
        <f t="shared" ref="DE416" si="4366">DE414+DE415</f>
        <v>4409.5984733118621</v>
      </c>
      <c r="DF416" s="62">
        <f t="shared" ref="DF416" si="4367">DF414+DF415</f>
        <v>4650.9302391813899</v>
      </c>
      <c r="DG416" s="62">
        <f>DG414+DG415</f>
        <v>4793.1518767407542</v>
      </c>
      <c r="DH416" s="62">
        <f>DH414+DH415</f>
        <v>4942.2989570203463</v>
      </c>
      <c r="DI416" s="62">
        <f>DI414+DI415</f>
        <v>5129.6370637003456</v>
      </c>
    </row>
    <row r="417" spans="1:113" ht="12" outlineLevel="1">
      <c r="A417" s="74"/>
      <c r="C417" s="41"/>
      <c r="D417" s="41"/>
      <c r="E417" s="41"/>
      <c r="F417" s="41"/>
      <c r="G417" s="41"/>
      <c r="H417" s="41"/>
      <c r="I417" s="41"/>
      <c r="J417" s="41"/>
      <c r="K417" s="41"/>
      <c r="L417" s="41"/>
      <c r="M417" s="41"/>
      <c r="N417" s="41"/>
      <c r="O417" s="41"/>
      <c r="P417" s="41"/>
      <c r="Q417" s="41"/>
      <c r="R417" s="41"/>
      <c r="S417" s="41"/>
      <c r="T417" s="41"/>
      <c r="U417" s="41"/>
      <c r="V417" s="41"/>
      <c r="W417" s="41"/>
      <c r="X417" s="41"/>
      <c r="Y417" s="41"/>
      <c r="Z417" s="41"/>
      <c r="AA417" s="41"/>
      <c r="AB417" s="41"/>
      <c r="AC417" s="41"/>
      <c r="AD417" s="41"/>
      <c r="AE417" s="41"/>
      <c r="AF417" s="41"/>
      <c r="AG417" s="41"/>
      <c r="AH417" s="41"/>
      <c r="AI417" s="41"/>
      <c r="AJ417" s="43"/>
      <c r="AK417" s="62"/>
      <c r="AL417" s="41"/>
      <c r="AM417" s="41"/>
      <c r="AN417" s="41"/>
      <c r="AO417" s="41"/>
      <c r="AP417" s="41"/>
      <c r="AQ417" s="41"/>
      <c r="AR417" s="41"/>
      <c r="AS417" s="41"/>
      <c r="AT417" s="41"/>
      <c r="AU417" s="41"/>
      <c r="AV417" s="41"/>
      <c r="AW417" s="41"/>
      <c r="AX417" s="41"/>
      <c r="AY417" s="211"/>
      <c r="AZ417" s="41"/>
      <c r="BA417" s="41"/>
      <c r="BB417" s="41"/>
      <c r="BC417" s="41"/>
      <c r="BD417" s="41"/>
      <c r="BE417" s="41"/>
      <c r="BF417" s="41"/>
      <c r="BG417" s="41"/>
      <c r="BH417" s="41"/>
      <c r="BI417" s="41"/>
      <c r="BJ417" s="41"/>
      <c r="BK417" s="41"/>
      <c r="BL417" s="41"/>
      <c r="BM417" s="41"/>
      <c r="BN417" s="41"/>
      <c r="BO417" s="41"/>
      <c r="BP417" s="41"/>
      <c r="BQ417" s="41"/>
      <c r="BR417" s="41"/>
      <c r="BS417" s="41"/>
      <c r="BT417" s="41"/>
      <c r="BU417" s="41"/>
      <c r="BV417" s="41"/>
      <c r="BW417" s="41"/>
      <c r="BX417" s="41"/>
      <c r="BY417" s="41"/>
      <c r="BZ417" s="41"/>
      <c r="CA417" s="41"/>
      <c r="CB417" s="41"/>
      <c r="CC417" s="41"/>
      <c r="CD417" s="41"/>
      <c r="CE417" s="41"/>
      <c r="CF417" s="41"/>
      <c r="CG417" s="41"/>
      <c r="CH417" s="41"/>
      <c r="CI417" s="41"/>
      <c r="CJ417" s="41"/>
      <c r="CK417" s="41"/>
      <c r="CL417" s="41"/>
      <c r="CM417" s="41"/>
      <c r="CN417" s="41"/>
      <c r="CO417" s="41"/>
      <c r="CP417" s="41"/>
      <c r="CQ417" s="41"/>
      <c r="CR417" s="41"/>
      <c r="CS417" s="41"/>
      <c r="CT417" s="41"/>
      <c r="CU417" s="41"/>
      <c r="CV417" s="41"/>
      <c r="CW417" s="41"/>
      <c r="CX417" s="41"/>
      <c r="CY417" s="41"/>
      <c r="CZ417" s="211"/>
      <c r="DA417" s="41"/>
      <c r="DB417" s="15"/>
      <c r="DC417" s="15"/>
      <c r="DD417" s="15"/>
      <c r="DE417" s="15"/>
      <c r="DF417" s="15"/>
      <c r="DG417" s="15"/>
      <c r="DH417" s="15"/>
      <c r="DI417" s="15"/>
    </row>
    <row r="418" spans="1:113" ht="12">
      <c r="C418" s="41"/>
      <c r="D418" s="41"/>
      <c r="E418" s="41"/>
      <c r="F418" s="41"/>
      <c r="G418" s="41"/>
      <c r="H418" s="41"/>
      <c r="I418" s="41"/>
      <c r="J418" s="41"/>
      <c r="K418" s="41"/>
      <c r="L418" s="41"/>
      <c r="M418" s="41"/>
      <c r="N418" s="41"/>
      <c r="O418" s="41"/>
      <c r="P418" s="41"/>
      <c r="Q418" s="41"/>
      <c r="R418" s="41"/>
      <c r="S418" s="41"/>
      <c r="T418" s="41"/>
      <c r="U418" s="41"/>
      <c r="V418" s="41"/>
      <c r="W418" s="41"/>
      <c r="X418" s="41"/>
      <c r="Y418" s="41"/>
      <c r="Z418" s="41"/>
      <c r="AA418" s="41"/>
      <c r="AB418" s="361"/>
      <c r="AC418" s="41"/>
      <c r="AD418" s="41"/>
      <c r="AE418" s="41"/>
      <c r="AF418" s="41"/>
      <c r="AG418" s="32"/>
      <c r="AH418" s="41"/>
      <c r="AI418" s="41"/>
      <c r="AJ418" s="41"/>
      <c r="AK418" s="62"/>
      <c r="AL418" s="41"/>
      <c r="AM418" s="41"/>
      <c r="AN418" s="41"/>
      <c r="AO418" s="41"/>
      <c r="AP418" s="41"/>
      <c r="AQ418" s="41"/>
      <c r="AR418" s="41"/>
      <c r="AS418" s="41"/>
      <c r="AT418" s="41"/>
      <c r="AU418" s="41"/>
      <c r="AV418" s="41"/>
      <c r="AW418" s="41"/>
      <c r="AX418" s="41"/>
      <c r="AY418" s="211">
        <f>AY408-[3]ANZ!J$144</f>
        <v>0</v>
      </c>
      <c r="AZ418" s="573">
        <f>AZ408-[3]ANZ!K$144</f>
        <v>0</v>
      </c>
      <c r="BA418" s="573">
        <f>BA408-[3]ANZ!L$144</f>
        <v>0</v>
      </c>
      <c r="BB418" s="573">
        <f>BB408-[3]ANZ!M$144</f>
        <v>0</v>
      </c>
      <c r="BC418" s="573">
        <f>BC408-[3]ANZ!N$144</f>
        <v>0</v>
      </c>
      <c r="BD418" s="573">
        <f>BD408-[3]ANZ!O$144</f>
        <v>0</v>
      </c>
      <c r="BE418" s="573">
        <f>BE408-[3]ANZ!P$144</f>
        <v>0</v>
      </c>
      <c r="BF418" s="573">
        <f>BF408-[3]ANZ!Q$144</f>
        <v>0</v>
      </c>
      <c r="BG418" s="573">
        <f>BG408-[3]ANZ!R$144</f>
        <v>0</v>
      </c>
      <c r="BH418" s="573">
        <f>BH408-[3]ANZ!S$144</f>
        <v>0</v>
      </c>
      <c r="BI418" s="573">
        <f>BI408-[3]ANZ!T$141</f>
        <v>0</v>
      </c>
      <c r="BJ418" s="41"/>
      <c r="BK418" s="41"/>
      <c r="BL418" s="41"/>
      <c r="BM418" s="41"/>
      <c r="BN418" s="41"/>
      <c r="BO418" s="41"/>
      <c r="BP418" s="41"/>
      <c r="BQ418" s="41"/>
      <c r="BR418" s="41"/>
      <c r="BS418" s="41"/>
      <c r="BT418" s="41"/>
      <c r="BU418" s="41"/>
      <c r="BV418" s="41"/>
      <c r="BW418" s="41"/>
      <c r="BX418" s="41"/>
      <c r="BY418" s="41"/>
      <c r="BZ418" s="41"/>
      <c r="CA418" s="41"/>
      <c r="CB418" s="41"/>
      <c r="CC418" s="41"/>
      <c r="CD418" s="41"/>
      <c r="CE418" s="41"/>
      <c r="CF418" s="41"/>
      <c r="CG418" s="41"/>
      <c r="CH418" s="41"/>
      <c r="CI418" s="41"/>
      <c r="CJ418" s="41"/>
      <c r="CK418" s="41"/>
      <c r="CL418" s="41"/>
      <c r="CM418" s="41"/>
      <c r="CN418" s="41"/>
      <c r="CO418" s="118"/>
      <c r="CP418" s="41"/>
      <c r="CQ418" s="41"/>
      <c r="CR418" s="41"/>
      <c r="CS418" s="41"/>
      <c r="CT418" s="41"/>
      <c r="CU418" s="41"/>
      <c r="CV418" s="41"/>
      <c r="CW418" s="41"/>
      <c r="CX418" s="41"/>
      <c r="CY418" s="41"/>
      <c r="CZ418" s="211"/>
      <c r="DA418" s="41"/>
      <c r="DB418" s="15"/>
      <c r="DC418" s="15"/>
      <c r="DD418" s="15"/>
      <c r="DE418" s="15"/>
      <c r="DF418" s="15"/>
      <c r="DG418" s="15"/>
      <c r="DH418" s="15"/>
      <c r="DI418" s="15"/>
    </row>
    <row r="419" spans="1:113" s="26" customFormat="1" ht="12" collapsed="1">
      <c r="A419" s="1" t="s">
        <v>813</v>
      </c>
      <c r="B419" s="2" t="s">
        <v>504</v>
      </c>
      <c r="C419" s="60">
        <f t="shared" ref="C419:L419" si="4368">C408+C381</f>
        <v>3287</v>
      </c>
      <c r="D419" s="60">
        <f t="shared" si="4368"/>
        <v>3374</v>
      </c>
      <c r="E419" s="60">
        <f t="shared" si="4368"/>
        <v>3534.5699999999997</v>
      </c>
      <c r="F419" s="60">
        <f t="shared" si="4368"/>
        <v>3593.4300000000003</v>
      </c>
      <c r="G419" s="60">
        <f t="shared" si="4368"/>
        <v>3737.25</v>
      </c>
      <c r="H419" s="60">
        <f t="shared" si="4368"/>
        <v>4190.25</v>
      </c>
      <c r="I419" s="60">
        <f t="shared" si="4368"/>
        <v>4576.6900000000005</v>
      </c>
      <c r="J419" s="60">
        <f t="shared" si="4368"/>
        <v>4646.47</v>
      </c>
      <c r="K419" s="60">
        <f t="shared" si="4368"/>
        <v>4866.3099999999995</v>
      </c>
      <c r="L419" s="60">
        <f t="shared" si="4368"/>
        <v>5049.58</v>
      </c>
      <c r="M419" s="60">
        <f t="shared" ref="M419:AI419" si="4369">M408+M381</f>
        <v>5280.99</v>
      </c>
      <c r="N419" s="60">
        <f t="shared" si="4369"/>
        <v>5514.28</v>
      </c>
      <c r="O419" s="60">
        <f t="shared" si="4369"/>
        <v>5773.79</v>
      </c>
      <c r="P419" s="60">
        <f t="shared" si="4369"/>
        <v>6238.6900000000005</v>
      </c>
      <c r="Q419" s="60">
        <f t="shared" si="4369"/>
        <v>6036.77</v>
      </c>
      <c r="R419" s="60">
        <f t="shared" si="4369"/>
        <v>6117.12</v>
      </c>
      <c r="S419" s="60">
        <f t="shared" si="4369"/>
        <v>8175.3600000000006</v>
      </c>
      <c r="T419" s="60">
        <f t="shared" si="4369"/>
        <v>7667</v>
      </c>
      <c r="U419" s="60">
        <f t="shared" si="4369"/>
        <v>8267</v>
      </c>
      <c r="V419" s="60">
        <f t="shared" si="4369"/>
        <v>8508</v>
      </c>
      <c r="W419" s="60">
        <f t="shared" si="4369"/>
        <v>8377</v>
      </c>
      <c r="X419" s="60">
        <f t="shared" si="4369"/>
        <v>8720</v>
      </c>
      <c r="Y419" s="60">
        <f t="shared" si="4369"/>
        <v>9128</v>
      </c>
      <c r="Z419" s="60">
        <f t="shared" si="4369"/>
        <v>9092</v>
      </c>
      <c r="AA419" s="60">
        <f t="shared" si="4369"/>
        <v>9299</v>
      </c>
      <c r="AB419" s="60">
        <f t="shared" si="4369"/>
        <v>9668</v>
      </c>
      <c r="AC419" s="60">
        <f t="shared" si="4369"/>
        <v>9910</v>
      </c>
      <c r="AD419" s="60">
        <f t="shared" si="4369"/>
        <v>10195</v>
      </c>
      <c r="AE419" s="60">
        <f t="shared" ref="AE419:AG419" si="4370">AE408+AE381</f>
        <v>10342</v>
      </c>
      <c r="AF419" s="60">
        <f t="shared" si="4370"/>
        <v>10325</v>
      </c>
      <c r="AG419" s="60">
        <f t="shared" si="4370"/>
        <v>10269</v>
      </c>
      <c r="AH419" s="60">
        <f t="shared" ref="AH419" si="4371">AH408+AH381</f>
        <v>9976</v>
      </c>
      <c r="AI419" s="60">
        <f t="shared" si="4369"/>
        <v>9840</v>
      </c>
      <c r="AJ419" s="60">
        <f t="shared" ref="AJ419:AK419" si="4372">AJ408+AJ381</f>
        <v>9870</v>
      </c>
      <c r="AK419" s="60">
        <f t="shared" si="4372"/>
        <v>9497</v>
      </c>
      <c r="AL419" s="60">
        <f t="shared" ref="AL419:AM419" si="4373">AL408+AL381</f>
        <v>9746</v>
      </c>
      <c r="AM419" s="60">
        <f t="shared" si="4373"/>
        <v>9283</v>
      </c>
      <c r="AN419" s="60">
        <f t="shared" ref="AN419:AO419" si="4374">AN408+AN381</f>
        <v>8579</v>
      </c>
      <c r="AO419" s="60">
        <f t="shared" si="4374"/>
        <v>9173</v>
      </c>
      <c r="AP419" s="60">
        <f t="shared" ref="AP419:AQ419" si="4375">AP408+AP381</f>
        <v>8423</v>
      </c>
      <c r="AQ419" s="60">
        <f t="shared" si="4375"/>
        <v>9024</v>
      </c>
      <c r="AR419" s="60">
        <f t="shared" ref="AR419:AS419" si="4376">AR408+AR381</f>
        <v>8948</v>
      </c>
      <c r="AS419" s="60">
        <f t="shared" si="4376"/>
        <v>9599</v>
      </c>
      <c r="AT419" s="60">
        <f t="shared" ref="AT419:AU419" si="4377">AT408+AT381</f>
        <v>10540</v>
      </c>
      <c r="AU419" s="60">
        <f t="shared" si="4377"/>
        <v>10365</v>
      </c>
      <c r="AV419" s="60">
        <f t="shared" ref="AV419:AW419" si="4378">AV408+AV381</f>
        <v>10347</v>
      </c>
      <c r="AW419" s="60">
        <f t="shared" si="4378"/>
        <v>10462</v>
      </c>
      <c r="AX419" s="60">
        <f t="shared" ref="AX419" si="4379">AX408+AX381</f>
        <v>10995</v>
      </c>
      <c r="AY419" s="219">
        <f t="shared" ref="AY419" si="4380">AY408+AY381</f>
        <v>10904</v>
      </c>
      <c r="AZ419" s="60">
        <f t="shared" ref="AZ419:BA419" si="4381">AZ408+AZ381</f>
        <v>11439.39525800059</v>
      </c>
      <c r="BA419" s="60">
        <f t="shared" si="4381"/>
        <v>11618.274989738493</v>
      </c>
      <c r="BB419" s="60">
        <f t="shared" ref="BB419:BC419" si="4382">BB408+BB381</f>
        <v>11677.815341723184</v>
      </c>
      <c r="BC419" s="60">
        <f t="shared" si="4382"/>
        <v>11748.628007616464</v>
      </c>
      <c r="BD419" s="60">
        <f t="shared" ref="BD419:BE419" si="4383">BD408+BD381</f>
        <v>11955.842080500139</v>
      </c>
      <c r="BE419" s="60">
        <f t="shared" si="4383"/>
        <v>12017.905014818869</v>
      </c>
      <c r="BF419" s="60">
        <f t="shared" ref="BF419:BG419" si="4384">BF408+BF381</f>
        <v>12219.554292794566</v>
      </c>
      <c r="BG419" s="60">
        <f t="shared" si="4384"/>
        <v>12334.350595869544</v>
      </c>
      <c r="BH419" s="60">
        <f t="shared" ref="BH419:BI419" si="4385">BH408+BH381</f>
        <v>12476.703349457559</v>
      </c>
      <c r="BI419" s="60">
        <f t="shared" si="4385"/>
        <v>12599.906210482952</v>
      </c>
      <c r="BJ419" s="60">
        <f t="shared" ref="BJ419:BK419" si="4386">BJ408+BJ381</f>
        <v>12790.936820304951</v>
      </c>
      <c r="BK419" s="60">
        <f t="shared" si="4386"/>
        <v>13030.142936945613</v>
      </c>
      <c r="BL419" s="60">
        <f t="shared" ref="BL419:BM419" si="4387">BL408+BL381</f>
        <v>13153.900753019971</v>
      </c>
      <c r="BM419" s="60">
        <f t="shared" si="4387"/>
        <v>13312.271453535328</v>
      </c>
      <c r="BN419" s="60">
        <f t="shared" ref="BN419:BO419" si="4388">BN408+BN381</f>
        <v>13446.146778920782</v>
      </c>
      <c r="BO419" s="60">
        <f t="shared" si="4388"/>
        <v>13703.793698578693</v>
      </c>
      <c r="BP419" s="60">
        <f t="shared" ref="BP419:BQ419" si="4389">BP408+BP381</f>
        <v>13822.352915226738</v>
      </c>
      <c r="BQ419" s="60">
        <f t="shared" si="4389"/>
        <v>14103.940184191684</v>
      </c>
      <c r="BR419" s="60"/>
      <c r="BS419" s="60">
        <f t="shared" ref="BS419:CB419" si="4390">BS408+BS381</f>
        <v>4546.5</v>
      </c>
      <c r="BT419" s="60">
        <f t="shared" si="4390"/>
        <v>4418</v>
      </c>
      <c r="BU419" s="60">
        <f t="shared" si="4390"/>
        <v>4587</v>
      </c>
      <c r="BV419" s="60">
        <f t="shared" si="4390"/>
        <v>4838</v>
      </c>
      <c r="BW419" s="60">
        <f t="shared" si="4390"/>
        <v>5166</v>
      </c>
      <c r="BX419" s="60">
        <f t="shared" si="4390"/>
        <v>5547</v>
      </c>
      <c r="BY419" s="60">
        <f t="shared" si="4390"/>
        <v>5689</v>
      </c>
      <c r="BZ419" s="60">
        <f t="shared" si="4390"/>
        <v>6032</v>
      </c>
      <c r="CA419" s="60">
        <f t="shared" si="4390"/>
        <v>6384</v>
      </c>
      <c r="CB419" s="60">
        <f t="shared" si="4390"/>
        <v>6406</v>
      </c>
      <c r="CC419" s="60">
        <f t="shared" ref="CC419:CR419" si="4391">CC408+CC381</f>
        <v>6908.57</v>
      </c>
      <c r="CD419" s="60">
        <f t="shared" si="4391"/>
        <v>7330.68</v>
      </c>
      <c r="CE419" s="60">
        <f t="shared" si="4391"/>
        <v>8766.94</v>
      </c>
      <c r="CF419" s="60">
        <f t="shared" si="4391"/>
        <v>9512.7799999999988</v>
      </c>
      <c r="CG419" s="60">
        <f t="shared" si="4391"/>
        <v>10330.57</v>
      </c>
      <c r="CH419" s="60">
        <f t="shared" si="4391"/>
        <v>11288.07</v>
      </c>
      <c r="CI419" s="60">
        <f t="shared" si="4391"/>
        <v>12275.46</v>
      </c>
      <c r="CJ419" s="60">
        <f t="shared" si="4391"/>
        <v>14292.48</v>
      </c>
      <c r="CK419" s="60">
        <f t="shared" si="4391"/>
        <v>15934</v>
      </c>
      <c r="CL419" s="60">
        <f t="shared" si="4391"/>
        <v>16885</v>
      </c>
      <c r="CM419" s="60">
        <f t="shared" si="4391"/>
        <v>17848</v>
      </c>
      <c r="CN419" s="60">
        <f t="shared" si="4391"/>
        <v>18391</v>
      </c>
      <c r="CO419" s="60">
        <f t="shared" si="4391"/>
        <v>19578</v>
      </c>
      <c r="CP419" s="60">
        <f>CP408+CP381</f>
        <v>20537</v>
      </c>
      <c r="CQ419" s="60">
        <f t="shared" si="4391"/>
        <v>20594</v>
      </c>
      <c r="CR419" s="60">
        <f t="shared" si="4391"/>
        <v>19816</v>
      </c>
      <c r="CS419" s="60">
        <f t="shared" ref="CS419:CX419" si="4392">CS408+CS381</f>
        <v>19367</v>
      </c>
      <c r="CT419" s="60">
        <f t="shared" si="4392"/>
        <v>19029</v>
      </c>
      <c r="CU419" s="60">
        <f t="shared" si="4392"/>
        <v>17752</v>
      </c>
      <c r="CV419" s="60">
        <f t="shared" si="4392"/>
        <v>17447</v>
      </c>
      <c r="CW419" s="60">
        <f t="shared" si="4392"/>
        <v>18547</v>
      </c>
      <c r="CX419" s="60">
        <f t="shared" si="4392"/>
        <v>20905</v>
      </c>
      <c r="CY419" s="60">
        <f t="shared" ref="CY419:DD419" si="4393">CY408+CY381</f>
        <v>20809</v>
      </c>
      <c r="CZ419" s="219">
        <f t="shared" si="4393"/>
        <v>21899</v>
      </c>
      <c r="DA419" s="60">
        <f t="shared" si="4393"/>
        <v>23057.670247739083</v>
      </c>
      <c r="DB419" s="60">
        <f t="shared" si="4393"/>
        <v>23426.44334933965</v>
      </c>
      <c r="DC419" s="60">
        <f t="shared" si="4393"/>
        <v>23973.74709531901</v>
      </c>
      <c r="DD419" s="60">
        <f t="shared" si="4393"/>
        <v>24553.90488866411</v>
      </c>
      <c r="DE419" s="60">
        <f t="shared" ref="DE419" si="4394">DE408+DE381</f>
        <v>25076.609559940509</v>
      </c>
      <c r="DF419" s="60">
        <f t="shared" ref="DF419" si="4395">DF408+DF381</f>
        <v>25821.079757250562</v>
      </c>
      <c r="DG419" s="60">
        <f>DG408+DG381</f>
        <v>26466.172206555297</v>
      </c>
      <c r="DH419" s="60">
        <f>DH408+DH381</f>
        <v>27149.940477499476</v>
      </c>
      <c r="DI419" s="60">
        <f>DI408+DI381</f>
        <v>27926.293099418424</v>
      </c>
    </row>
    <row r="420" spans="1:113" ht="12" outlineLevel="2">
      <c r="A420" s="1" t="s">
        <v>94</v>
      </c>
      <c r="B420" s="15" t="s">
        <v>857</v>
      </c>
      <c r="C420" s="41">
        <f>C382</f>
        <v>0</v>
      </c>
      <c r="D420" s="41">
        <f>D382</f>
        <v>0</v>
      </c>
      <c r="E420" s="41">
        <f t="shared" ref="E420:L420" si="4396">E382</f>
        <v>0</v>
      </c>
      <c r="F420" s="41">
        <f t="shared" si="4396"/>
        <v>0</v>
      </c>
      <c r="G420" s="41">
        <f t="shared" si="4396"/>
        <v>0</v>
      </c>
      <c r="H420" s="41">
        <f t="shared" si="4396"/>
        <v>0</v>
      </c>
      <c r="I420" s="41">
        <f t="shared" si="4396"/>
        <v>0</v>
      </c>
      <c r="J420" s="41">
        <f t="shared" si="4396"/>
        <v>0</v>
      </c>
      <c r="K420" s="41">
        <f t="shared" si="4396"/>
        <v>0</v>
      </c>
      <c r="L420" s="41">
        <f t="shared" si="4396"/>
        <v>0</v>
      </c>
      <c r="M420" s="41">
        <f t="shared" ref="M420:AD420" si="4397">M382</f>
        <v>0</v>
      </c>
      <c r="N420" s="41">
        <f t="shared" si="4397"/>
        <v>0</v>
      </c>
      <c r="O420" s="41">
        <f t="shared" si="4397"/>
        <v>0</v>
      </c>
      <c r="P420" s="41">
        <f t="shared" si="4397"/>
        <v>0</v>
      </c>
      <c r="Q420" s="41">
        <f t="shared" si="4397"/>
        <v>0</v>
      </c>
      <c r="R420" s="41">
        <f t="shared" si="4397"/>
        <v>0</v>
      </c>
      <c r="S420" s="41">
        <f t="shared" si="4397"/>
        <v>0</v>
      </c>
      <c r="T420" s="41">
        <f t="shared" si="4397"/>
        <v>0</v>
      </c>
      <c r="U420" s="41">
        <f t="shared" si="4397"/>
        <v>0</v>
      </c>
      <c r="V420" s="41">
        <f t="shared" si="4397"/>
        <v>0</v>
      </c>
      <c r="W420" s="41">
        <f t="shared" si="4397"/>
        <v>0</v>
      </c>
      <c r="X420" s="41">
        <f t="shared" si="4397"/>
        <v>0</v>
      </c>
      <c r="Y420" s="41">
        <f t="shared" si="4397"/>
        <v>0</v>
      </c>
      <c r="Z420" s="41">
        <f t="shared" si="4397"/>
        <v>0</v>
      </c>
      <c r="AA420" s="41">
        <f t="shared" si="4397"/>
        <v>0</v>
      </c>
      <c r="AB420" s="41">
        <f t="shared" ref="AB420" si="4398">AB382</f>
        <v>0</v>
      </c>
      <c r="AC420" s="41">
        <f t="shared" si="4397"/>
        <v>0</v>
      </c>
      <c r="AD420" s="41">
        <f t="shared" si="4397"/>
        <v>0</v>
      </c>
      <c r="AE420" s="41">
        <f t="shared" ref="AE420:AF420" si="4399">AE382</f>
        <v>0</v>
      </c>
      <c r="AF420" s="41">
        <f t="shared" si="4399"/>
        <v>0</v>
      </c>
      <c r="AG420" s="41">
        <f t="shared" ref="AG420:AH420" si="4400">AG382</f>
        <v>0</v>
      </c>
      <c r="AH420" s="41">
        <f t="shared" si="4400"/>
        <v>0</v>
      </c>
      <c r="AI420" s="41">
        <f t="shared" ref="AI420:AJ420" si="4401">AI382</f>
        <v>0</v>
      </c>
      <c r="AJ420" s="41">
        <f t="shared" si="4401"/>
        <v>0</v>
      </c>
      <c r="AK420" s="41">
        <f t="shared" ref="AK420:AL420" si="4402">AK382</f>
        <v>0</v>
      </c>
      <c r="AL420" s="41">
        <f t="shared" si="4402"/>
        <v>0</v>
      </c>
      <c r="AM420" s="41">
        <f t="shared" ref="AM420:AN420" si="4403">AM382</f>
        <v>0</v>
      </c>
      <c r="AN420" s="41">
        <f t="shared" si="4403"/>
        <v>0</v>
      </c>
      <c r="AO420" s="41">
        <f t="shared" ref="AO420" si="4404">AO382</f>
        <v>0</v>
      </c>
      <c r="AP420" s="41">
        <f t="shared" ref="AP420:AQ420" si="4405">AP382</f>
        <v>0</v>
      </c>
      <c r="AQ420" s="41">
        <f t="shared" si="4405"/>
        <v>0</v>
      </c>
      <c r="AR420" s="41">
        <f t="shared" ref="AR420:AS420" si="4406">AR382</f>
        <v>0</v>
      </c>
      <c r="AS420" s="41">
        <f t="shared" si="4406"/>
        <v>0</v>
      </c>
      <c r="AT420" s="41">
        <f t="shared" ref="AT420:AU420" si="4407">AT382</f>
        <v>0</v>
      </c>
      <c r="AU420" s="41">
        <f t="shared" si="4407"/>
        <v>0</v>
      </c>
      <c r="AV420" s="41">
        <f t="shared" ref="AV420:AW420" si="4408">AV382</f>
        <v>0</v>
      </c>
      <c r="AW420" s="41">
        <f t="shared" si="4408"/>
        <v>0</v>
      </c>
      <c r="AX420" s="41">
        <f t="shared" ref="AX420:AY420" si="4409">AX382</f>
        <v>0</v>
      </c>
      <c r="AY420" s="211">
        <f t="shared" si="4409"/>
        <v>0</v>
      </c>
      <c r="AZ420" s="41">
        <f t="shared" ref="AZ420:BA420" si="4410">AZ382</f>
        <v>0</v>
      </c>
      <c r="BA420" s="41">
        <f t="shared" si="4410"/>
        <v>0</v>
      </c>
      <c r="BB420" s="41">
        <f t="shared" ref="BB420:BC420" si="4411">BB382</f>
        <v>0</v>
      </c>
      <c r="BC420" s="41">
        <f t="shared" si="4411"/>
        <v>0</v>
      </c>
      <c r="BD420" s="41">
        <f t="shared" ref="BD420:BE420" si="4412">BD382</f>
        <v>0</v>
      </c>
      <c r="BE420" s="41">
        <f t="shared" si="4412"/>
        <v>0</v>
      </c>
      <c r="BF420" s="41">
        <f t="shared" ref="BF420:BG420" si="4413">BF382</f>
        <v>0</v>
      </c>
      <c r="BG420" s="41">
        <f t="shared" si="4413"/>
        <v>0</v>
      </c>
      <c r="BH420" s="41">
        <f t="shared" ref="BH420:BI420" si="4414">BH382</f>
        <v>0</v>
      </c>
      <c r="BI420" s="41">
        <f t="shared" si="4414"/>
        <v>0</v>
      </c>
      <c r="BJ420" s="41">
        <f t="shared" ref="BJ420:BK420" si="4415">BJ382</f>
        <v>0</v>
      </c>
      <c r="BK420" s="41">
        <f t="shared" si="4415"/>
        <v>0</v>
      </c>
      <c r="BL420" s="41">
        <f t="shared" ref="BL420:BM420" si="4416">BL382</f>
        <v>0</v>
      </c>
      <c r="BM420" s="41">
        <f t="shared" si="4416"/>
        <v>0</v>
      </c>
      <c r="BN420" s="41">
        <f t="shared" ref="BN420:BO420" si="4417">BN382</f>
        <v>0</v>
      </c>
      <c r="BO420" s="41">
        <f t="shared" si="4417"/>
        <v>0</v>
      </c>
      <c r="BP420" s="41">
        <f t="shared" ref="BP420:BQ420" si="4418">BP382</f>
        <v>0</v>
      </c>
      <c r="BQ420" s="41">
        <f t="shared" si="4418"/>
        <v>0</v>
      </c>
      <c r="BR420" s="41"/>
      <c r="BS420" s="41">
        <f t="shared" ref="BS420:CB420" si="4419">BS382</f>
        <v>0</v>
      </c>
      <c r="BT420" s="41">
        <f t="shared" si="4419"/>
        <v>0</v>
      </c>
      <c r="BU420" s="41">
        <f t="shared" si="4419"/>
        <v>0</v>
      </c>
      <c r="BV420" s="41">
        <f t="shared" si="4419"/>
        <v>0</v>
      </c>
      <c r="BW420" s="41">
        <f t="shared" si="4419"/>
        <v>0</v>
      </c>
      <c r="BX420" s="41">
        <f t="shared" si="4419"/>
        <v>0</v>
      </c>
      <c r="BY420" s="41">
        <f t="shared" si="4419"/>
        <v>0</v>
      </c>
      <c r="BZ420" s="41">
        <f t="shared" si="4419"/>
        <v>0</v>
      </c>
      <c r="CA420" s="41">
        <f t="shared" si="4419"/>
        <v>0</v>
      </c>
      <c r="CB420" s="41">
        <f t="shared" si="4419"/>
        <v>0</v>
      </c>
      <c r="CC420" s="41">
        <f t="shared" ref="CC420:CR420" si="4420">CC382</f>
        <v>0</v>
      </c>
      <c r="CD420" s="41">
        <f t="shared" si="4420"/>
        <v>0</v>
      </c>
      <c r="CE420" s="41">
        <f t="shared" si="4420"/>
        <v>0</v>
      </c>
      <c r="CF420" s="41">
        <f t="shared" si="4420"/>
        <v>0</v>
      </c>
      <c r="CG420" s="41">
        <f t="shared" si="4420"/>
        <v>0</v>
      </c>
      <c r="CH420" s="41">
        <f t="shared" si="4420"/>
        <v>0</v>
      </c>
      <c r="CI420" s="41">
        <f t="shared" si="4420"/>
        <v>0</v>
      </c>
      <c r="CJ420" s="41">
        <f t="shared" si="4420"/>
        <v>0</v>
      </c>
      <c r="CK420" s="41">
        <f t="shared" si="4420"/>
        <v>0</v>
      </c>
      <c r="CL420" s="41">
        <f t="shared" si="4420"/>
        <v>0</v>
      </c>
      <c r="CM420" s="41">
        <f t="shared" si="4420"/>
        <v>0</v>
      </c>
      <c r="CN420" s="41">
        <f t="shared" si="4420"/>
        <v>0</v>
      </c>
      <c r="CO420" s="41">
        <f t="shared" si="4420"/>
        <v>0</v>
      </c>
      <c r="CP420" s="41">
        <f t="shared" si="4420"/>
        <v>0</v>
      </c>
      <c r="CQ420" s="41">
        <f t="shared" si="4420"/>
        <v>0</v>
      </c>
      <c r="CR420" s="41">
        <f t="shared" si="4420"/>
        <v>0</v>
      </c>
      <c r="CS420" s="41">
        <f t="shared" ref="CS420:CX420" si="4421">CS382</f>
        <v>0</v>
      </c>
      <c r="CT420" s="41">
        <f t="shared" si="4421"/>
        <v>0</v>
      </c>
      <c r="CU420" s="41">
        <f t="shared" si="4421"/>
        <v>0</v>
      </c>
      <c r="CV420" s="41">
        <f t="shared" si="4421"/>
        <v>0</v>
      </c>
      <c r="CW420" s="41">
        <f t="shared" si="4421"/>
        <v>0</v>
      </c>
      <c r="CX420" s="41">
        <f t="shared" si="4421"/>
        <v>0</v>
      </c>
      <c r="CY420" s="41">
        <f t="shared" ref="CY420:DD420" si="4422">CY382</f>
        <v>0</v>
      </c>
      <c r="CZ420" s="211">
        <f t="shared" si="4422"/>
        <v>0</v>
      </c>
      <c r="DA420" s="41">
        <f t="shared" si="4422"/>
        <v>0</v>
      </c>
      <c r="DB420" s="41">
        <f t="shared" si="4422"/>
        <v>0</v>
      </c>
      <c r="DC420" s="41">
        <f t="shared" si="4422"/>
        <v>0</v>
      </c>
      <c r="DD420" s="41">
        <f t="shared" si="4422"/>
        <v>0</v>
      </c>
      <c r="DE420" s="41">
        <f t="shared" ref="DE420" si="4423">DE382</f>
        <v>0</v>
      </c>
      <c r="DF420" s="41">
        <f t="shared" ref="DF420" si="4424">DF382</f>
        <v>0</v>
      </c>
      <c r="DG420" s="41">
        <f>DG382</f>
        <v>0</v>
      </c>
      <c r="DH420" s="41">
        <f>DH382</f>
        <v>0</v>
      </c>
      <c r="DI420" s="41">
        <f>DI382</f>
        <v>0</v>
      </c>
    </row>
    <row r="421" spans="1:113" ht="12" outlineLevel="2">
      <c r="A421" s="1" t="s">
        <v>669</v>
      </c>
      <c r="B421" s="15" t="s">
        <v>447</v>
      </c>
      <c r="C421" s="41">
        <f>C409</f>
        <v>0</v>
      </c>
      <c r="D421" s="41">
        <f>D409</f>
        <v>0</v>
      </c>
      <c r="E421" s="41">
        <f t="shared" ref="E421:L421" si="4425">E409</f>
        <v>0</v>
      </c>
      <c r="F421" s="41">
        <f t="shared" si="4425"/>
        <v>0</v>
      </c>
      <c r="G421" s="41">
        <f t="shared" si="4425"/>
        <v>0</v>
      </c>
      <c r="H421" s="41">
        <f t="shared" si="4425"/>
        <v>0</v>
      </c>
      <c r="I421" s="41">
        <f t="shared" si="4425"/>
        <v>0</v>
      </c>
      <c r="J421" s="41">
        <f t="shared" si="4425"/>
        <v>0</v>
      </c>
      <c r="K421" s="41">
        <f t="shared" si="4425"/>
        <v>0</v>
      </c>
      <c r="L421" s="41">
        <f t="shared" si="4425"/>
        <v>0</v>
      </c>
      <c r="M421" s="41">
        <f t="shared" ref="M421:AD421" si="4426">M409</f>
        <v>0</v>
      </c>
      <c r="N421" s="41">
        <f t="shared" si="4426"/>
        <v>0</v>
      </c>
      <c r="O421" s="41">
        <f t="shared" si="4426"/>
        <v>0</v>
      </c>
      <c r="P421" s="41">
        <f t="shared" si="4426"/>
        <v>0</v>
      </c>
      <c r="Q421" s="41">
        <f t="shared" si="4426"/>
        <v>0</v>
      </c>
      <c r="R421" s="41">
        <f t="shared" si="4426"/>
        <v>0</v>
      </c>
      <c r="S421" s="41">
        <f t="shared" si="4426"/>
        <v>0</v>
      </c>
      <c r="T421" s="41">
        <f t="shared" si="4426"/>
        <v>0</v>
      </c>
      <c r="U421" s="41">
        <f t="shared" si="4426"/>
        <v>0</v>
      </c>
      <c r="V421" s="41">
        <f t="shared" si="4426"/>
        <v>0</v>
      </c>
      <c r="W421" s="41">
        <f t="shared" si="4426"/>
        <v>0</v>
      </c>
      <c r="X421" s="41">
        <f t="shared" si="4426"/>
        <v>0</v>
      </c>
      <c r="Y421" s="41">
        <f t="shared" si="4426"/>
        <v>0</v>
      </c>
      <c r="Z421" s="41">
        <f t="shared" si="4426"/>
        <v>0</v>
      </c>
      <c r="AA421" s="41">
        <f t="shared" si="4426"/>
        <v>0</v>
      </c>
      <c r="AB421" s="41">
        <f t="shared" ref="AB421" si="4427">AB409</f>
        <v>0</v>
      </c>
      <c r="AC421" s="41">
        <f t="shared" si="4426"/>
        <v>0</v>
      </c>
      <c r="AD421" s="41">
        <f t="shared" si="4426"/>
        <v>0</v>
      </c>
      <c r="AE421" s="41">
        <f t="shared" ref="AE421:AF421" si="4428">AE409</f>
        <v>0</v>
      </c>
      <c r="AF421" s="41">
        <f t="shared" si="4428"/>
        <v>0</v>
      </c>
      <c r="AG421" s="41">
        <f t="shared" ref="AG421:AH421" si="4429">AG409</f>
        <v>0</v>
      </c>
      <c r="AH421" s="41">
        <f t="shared" si="4429"/>
        <v>0</v>
      </c>
      <c r="AI421" s="41">
        <f t="shared" ref="AI421:AJ421" si="4430">AI409</f>
        <v>0</v>
      </c>
      <c r="AJ421" s="41">
        <f t="shared" si="4430"/>
        <v>0</v>
      </c>
      <c r="AK421" s="41">
        <f t="shared" ref="AK421:AL421" si="4431">AK409</f>
        <v>0</v>
      </c>
      <c r="AL421" s="41">
        <f t="shared" si="4431"/>
        <v>0</v>
      </c>
      <c r="AM421" s="41">
        <f t="shared" ref="AM421:AN421" si="4432">AM409</f>
        <v>0</v>
      </c>
      <c r="AN421" s="41">
        <f t="shared" si="4432"/>
        <v>0</v>
      </c>
      <c r="AO421" s="41">
        <f t="shared" ref="AO421" si="4433">AO409</f>
        <v>0</v>
      </c>
      <c r="AP421" s="41">
        <f t="shared" ref="AP421:AQ421" si="4434">AP409</f>
        <v>0</v>
      </c>
      <c r="AQ421" s="41">
        <f t="shared" si="4434"/>
        <v>0</v>
      </c>
      <c r="AR421" s="41">
        <f t="shared" ref="AR421:AS421" si="4435">AR409</f>
        <v>0</v>
      </c>
      <c r="AS421" s="41">
        <f t="shared" si="4435"/>
        <v>0</v>
      </c>
      <c r="AT421" s="41">
        <f t="shared" ref="AT421:AU421" si="4436">AT409</f>
        <v>0</v>
      </c>
      <c r="AU421" s="41">
        <f t="shared" si="4436"/>
        <v>0</v>
      </c>
      <c r="AV421" s="41">
        <f t="shared" ref="AV421:AW421" si="4437">AV409</f>
        <v>0</v>
      </c>
      <c r="AW421" s="41">
        <f t="shared" si="4437"/>
        <v>0</v>
      </c>
      <c r="AX421" s="41">
        <f t="shared" ref="AX421:AY421" si="4438">AX409</f>
        <v>0</v>
      </c>
      <c r="AY421" s="211">
        <f t="shared" si="4438"/>
        <v>0</v>
      </c>
      <c r="AZ421" s="41">
        <f t="shared" ref="AZ421:BA421" si="4439">AZ409</f>
        <v>0</v>
      </c>
      <c r="BA421" s="41">
        <f t="shared" si="4439"/>
        <v>0</v>
      </c>
      <c r="BB421" s="41">
        <f t="shared" ref="BB421:BC421" si="4440">BB409</f>
        <v>0</v>
      </c>
      <c r="BC421" s="41">
        <f t="shared" si="4440"/>
        <v>0</v>
      </c>
      <c r="BD421" s="41">
        <f t="shared" ref="BD421:BE421" si="4441">BD409</f>
        <v>0</v>
      </c>
      <c r="BE421" s="41">
        <f t="shared" si="4441"/>
        <v>0</v>
      </c>
      <c r="BF421" s="41">
        <f t="shared" ref="BF421:BG421" si="4442">BF409</f>
        <v>0</v>
      </c>
      <c r="BG421" s="41">
        <f t="shared" si="4442"/>
        <v>0</v>
      </c>
      <c r="BH421" s="41">
        <f t="shared" ref="BH421:BI421" si="4443">BH409</f>
        <v>0</v>
      </c>
      <c r="BI421" s="41">
        <f t="shared" si="4443"/>
        <v>0</v>
      </c>
      <c r="BJ421" s="41">
        <f t="shared" ref="BJ421:BK421" si="4444">BJ409</f>
        <v>0</v>
      </c>
      <c r="BK421" s="41">
        <f t="shared" si="4444"/>
        <v>0</v>
      </c>
      <c r="BL421" s="41">
        <f t="shared" ref="BL421:BM421" si="4445">BL409</f>
        <v>0</v>
      </c>
      <c r="BM421" s="41">
        <f t="shared" si="4445"/>
        <v>0</v>
      </c>
      <c r="BN421" s="41">
        <f t="shared" ref="BN421:BO421" si="4446">BN409</f>
        <v>0</v>
      </c>
      <c r="BO421" s="41">
        <f t="shared" si="4446"/>
        <v>0</v>
      </c>
      <c r="BP421" s="41">
        <f t="shared" ref="BP421:BQ421" si="4447">BP409</f>
        <v>0</v>
      </c>
      <c r="BQ421" s="41">
        <f t="shared" si="4447"/>
        <v>0</v>
      </c>
      <c r="BR421" s="41"/>
      <c r="BS421" s="41">
        <f t="shared" ref="BS421:CB421" si="4448">BS409</f>
        <v>0</v>
      </c>
      <c r="BT421" s="41">
        <f t="shared" si="4448"/>
        <v>0</v>
      </c>
      <c r="BU421" s="41">
        <f t="shared" si="4448"/>
        <v>0</v>
      </c>
      <c r="BV421" s="41">
        <f t="shared" si="4448"/>
        <v>0</v>
      </c>
      <c r="BW421" s="41">
        <f t="shared" si="4448"/>
        <v>0</v>
      </c>
      <c r="BX421" s="41">
        <f t="shared" si="4448"/>
        <v>0</v>
      </c>
      <c r="BY421" s="41">
        <f t="shared" si="4448"/>
        <v>0</v>
      </c>
      <c r="BZ421" s="41">
        <f t="shared" si="4448"/>
        <v>0</v>
      </c>
      <c r="CA421" s="41">
        <f t="shared" si="4448"/>
        <v>0</v>
      </c>
      <c r="CB421" s="41">
        <f t="shared" si="4448"/>
        <v>0</v>
      </c>
      <c r="CC421" s="41">
        <f t="shared" ref="CC421:CR421" si="4449">CC409</f>
        <v>0</v>
      </c>
      <c r="CD421" s="41">
        <f t="shared" si="4449"/>
        <v>0</v>
      </c>
      <c r="CE421" s="41">
        <f t="shared" si="4449"/>
        <v>0</v>
      </c>
      <c r="CF421" s="41">
        <f t="shared" si="4449"/>
        <v>0</v>
      </c>
      <c r="CG421" s="41">
        <f t="shared" si="4449"/>
        <v>0</v>
      </c>
      <c r="CH421" s="41">
        <f t="shared" si="4449"/>
        <v>0</v>
      </c>
      <c r="CI421" s="41">
        <f t="shared" si="4449"/>
        <v>0</v>
      </c>
      <c r="CJ421" s="41">
        <f t="shared" si="4449"/>
        <v>0</v>
      </c>
      <c r="CK421" s="41">
        <f t="shared" si="4449"/>
        <v>0</v>
      </c>
      <c r="CL421" s="41">
        <f t="shared" si="4449"/>
        <v>0</v>
      </c>
      <c r="CM421" s="41">
        <f t="shared" si="4449"/>
        <v>0</v>
      </c>
      <c r="CN421" s="41">
        <f t="shared" si="4449"/>
        <v>0</v>
      </c>
      <c r="CO421" s="41">
        <f t="shared" si="4449"/>
        <v>0</v>
      </c>
      <c r="CP421" s="41">
        <f t="shared" si="4449"/>
        <v>0</v>
      </c>
      <c r="CQ421" s="41">
        <f t="shared" si="4449"/>
        <v>0</v>
      </c>
      <c r="CR421" s="41">
        <f t="shared" si="4449"/>
        <v>0</v>
      </c>
      <c r="CS421" s="41">
        <f t="shared" ref="CS421:CX421" si="4450">CS409</f>
        <v>0</v>
      </c>
      <c r="CT421" s="41">
        <f t="shared" si="4450"/>
        <v>0</v>
      </c>
      <c r="CU421" s="41">
        <f t="shared" si="4450"/>
        <v>0</v>
      </c>
      <c r="CV421" s="41">
        <f t="shared" si="4450"/>
        <v>0</v>
      </c>
      <c r="CW421" s="41">
        <f t="shared" si="4450"/>
        <v>0</v>
      </c>
      <c r="CX421" s="41">
        <f t="shared" si="4450"/>
        <v>0</v>
      </c>
      <c r="CY421" s="41">
        <f t="shared" ref="CY421:DD421" si="4451">CY409</f>
        <v>0</v>
      </c>
      <c r="CZ421" s="211">
        <f t="shared" si="4451"/>
        <v>0</v>
      </c>
      <c r="DA421" s="41">
        <f t="shared" si="4451"/>
        <v>0</v>
      </c>
      <c r="DB421" s="41">
        <f t="shared" si="4451"/>
        <v>0</v>
      </c>
      <c r="DC421" s="41">
        <f t="shared" si="4451"/>
        <v>0</v>
      </c>
      <c r="DD421" s="41">
        <f t="shared" si="4451"/>
        <v>0</v>
      </c>
      <c r="DE421" s="41">
        <f t="shared" ref="DE421" si="4452">DE409</f>
        <v>0</v>
      </c>
      <c r="DF421" s="41">
        <f t="shared" ref="DF421" si="4453">DF409</f>
        <v>0</v>
      </c>
      <c r="DG421" s="41">
        <f>DG409</f>
        <v>0</v>
      </c>
      <c r="DH421" s="41">
        <f>DH409</f>
        <v>0</v>
      </c>
      <c r="DI421" s="41">
        <f>DI409</f>
        <v>0</v>
      </c>
    </row>
    <row r="422" spans="1:113" ht="12" outlineLevel="2">
      <c r="A422" s="1" t="s">
        <v>670</v>
      </c>
      <c r="B422" s="15" t="s">
        <v>370</v>
      </c>
      <c r="C422" s="41">
        <f t="shared" ref="C422:L425" si="4454">C410+C383</f>
        <v>0</v>
      </c>
      <c r="D422" s="41">
        <f t="shared" si="4454"/>
        <v>0</v>
      </c>
      <c r="E422" s="41">
        <f t="shared" si="4454"/>
        <v>-92.12</v>
      </c>
      <c r="F422" s="41">
        <f t="shared" si="4454"/>
        <v>-101.42999999999999</v>
      </c>
      <c r="G422" s="41">
        <f t="shared" si="4454"/>
        <v>-96.039999999999992</v>
      </c>
      <c r="H422" s="41">
        <f t="shared" si="4454"/>
        <v>-97.02</v>
      </c>
      <c r="I422" s="41">
        <f t="shared" si="4454"/>
        <v>-122.99</v>
      </c>
      <c r="J422" s="41">
        <f t="shared" si="4454"/>
        <v>-92.12</v>
      </c>
      <c r="K422" s="41">
        <f t="shared" si="4454"/>
        <v>-91.63</v>
      </c>
      <c r="L422" s="41">
        <f t="shared" si="4454"/>
        <v>-109.75999999999999</v>
      </c>
      <c r="M422" s="41">
        <f t="shared" ref="M422:AD422" si="4455">M410+M383</f>
        <v>-106.33</v>
      </c>
      <c r="N422" s="41">
        <f t="shared" si="4455"/>
        <v>-125.44</v>
      </c>
      <c r="O422" s="41">
        <f t="shared" si="4455"/>
        <v>-106.82</v>
      </c>
      <c r="P422" s="41">
        <f t="shared" si="4455"/>
        <v>-115.64</v>
      </c>
      <c r="Q422" s="41">
        <f t="shared" si="4455"/>
        <v>-113.67999999999999</v>
      </c>
      <c r="R422" s="41">
        <f t="shared" si="4455"/>
        <v>-120.53999999999999</v>
      </c>
      <c r="S422" s="41">
        <f t="shared" si="4455"/>
        <v>-109.27</v>
      </c>
      <c r="T422" s="41">
        <f t="shared" si="4455"/>
        <v>0</v>
      </c>
      <c r="U422" s="41">
        <f t="shared" si="4455"/>
        <v>0</v>
      </c>
      <c r="V422" s="41">
        <f t="shared" si="4455"/>
        <v>0</v>
      </c>
      <c r="W422" s="41">
        <f t="shared" si="4455"/>
        <v>0</v>
      </c>
      <c r="X422" s="41">
        <f t="shared" si="4455"/>
        <v>0</v>
      </c>
      <c r="Y422" s="41">
        <f t="shared" si="4455"/>
        <v>0</v>
      </c>
      <c r="Z422" s="41">
        <f t="shared" si="4455"/>
        <v>0</v>
      </c>
      <c r="AA422" s="41">
        <f t="shared" si="4455"/>
        <v>0</v>
      </c>
      <c r="AB422" s="41">
        <f t="shared" ref="AB422" si="4456">AB410+AB383</f>
        <v>0</v>
      </c>
      <c r="AC422" s="41">
        <f t="shared" si="4455"/>
        <v>0</v>
      </c>
      <c r="AD422" s="41">
        <f t="shared" si="4455"/>
        <v>0</v>
      </c>
      <c r="AE422" s="41">
        <f t="shared" ref="AE422:AF422" si="4457">AE410+AE383</f>
        <v>0</v>
      </c>
      <c r="AF422" s="41">
        <f t="shared" si="4457"/>
        <v>0</v>
      </c>
      <c r="AG422" s="41">
        <f t="shared" ref="AG422:AH422" si="4458">AG410+AG383</f>
        <v>0</v>
      </c>
      <c r="AH422" s="41">
        <f t="shared" si="4458"/>
        <v>0</v>
      </c>
      <c r="AI422" s="41">
        <f t="shared" ref="AI422:AJ422" si="4459">AI410+AI383</f>
        <v>0</v>
      </c>
      <c r="AJ422" s="41">
        <f t="shared" si="4459"/>
        <v>0</v>
      </c>
      <c r="AK422" s="41">
        <f t="shared" ref="AK422:AL422" si="4460">AK410+AK383</f>
        <v>0</v>
      </c>
      <c r="AL422" s="41">
        <f t="shared" si="4460"/>
        <v>0</v>
      </c>
      <c r="AM422" s="41">
        <f t="shared" ref="AM422:AN422" si="4461">AM410+AM383</f>
        <v>0</v>
      </c>
      <c r="AN422" s="41">
        <f t="shared" si="4461"/>
        <v>0</v>
      </c>
      <c r="AO422" s="41">
        <f t="shared" ref="AO422" si="4462">AO410+AO383</f>
        <v>0</v>
      </c>
      <c r="AP422" s="41">
        <f t="shared" ref="AP422:AQ422" si="4463">AP410+AP383</f>
        <v>0</v>
      </c>
      <c r="AQ422" s="41">
        <f t="shared" si="4463"/>
        <v>0</v>
      </c>
      <c r="AR422" s="41">
        <f t="shared" ref="AR422:AS422" si="4464">AR410+AR383</f>
        <v>0</v>
      </c>
      <c r="AS422" s="41">
        <f t="shared" si="4464"/>
        <v>0</v>
      </c>
      <c r="AT422" s="41">
        <f t="shared" ref="AT422:AU422" si="4465">AT410+AT383</f>
        <v>0</v>
      </c>
      <c r="AU422" s="41">
        <f t="shared" si="4465"/>
        <v>0</v>
      </c>
      <c r="AV422" s="41">
        <f t="shared" ref="AV422:AW422" si="4466">AV410+AV383</f>
        <v>0</v>
      </c>
      <c r="AW422" s="41">
        <f t="shared" si="4466"/>
        <v>0</v>
      </c>
      <c r="AX422" s="41">
        <f t="shared" ref="AX422:AY422" si="4467">AX410+AX383</f>
        <v>0</v>
      </c>
      <c r="AY422" s="211">
        <f t="shared" si="4467"/>
        <v>0</v>
      </c>
      <c r="AZ422" s="41">
        <f t="shared" ref="AZ422:BA422" si="4468">AZ410+AZ383</f>
        <v>0</v>
      </c>
      <c r="BA422" s="41">
        <f t="shared" si="4468"/>
        <v>0</v>
      </c>
      <c r="BB422" s="41">
        <f t="shared" ref="BB422:BC422" si="4469">BB410+BB383</f>
        <v>0</v>
      </c>
      <c r="BC422" s="41">
        <f t="shared" si="4469"/>
        <v>0</v>
      </c>
      <c r="BD422" s="41">
        <f t="shared" ref="BD422:BE422" si="4470">BD410+BD383</f>
        <v>0</v>
      </c>
      <c r="BE422" s="41">
        <f t="shared" si="4470"/>
        <v>0</v>
      </c>
      <c r="BF422" s="41">
        <f t="shared" ref="BF422:BG422" si="4471">BF410+BF383</f>
        <v>0</v>
      </c>
      <c r="BG422" s="41">
        <f t="shared" si="4471"/>
        <v>0</v>
      </c>
      <c r="BH422" s="41">
        <f t="shared" ref="BH422:BI422" si="4472">BH410+BH383</f>
        <v>0</v>
      </c>
      <c r="BI422" s="41">
        <f t="shared" si="4472"/>
        <v>0</v>
      </c>
      <c r="BJ422" s="41">
        <f t="shared" ref="BJ422:BK422" si="4473">BJ410+BJ383</f>
        <v>0</v>
      </c>
      <c r="BK422" s="41">
        <f t="shared" si="4473"/>
        <v>0</v>
      </c>
      <c r="BL422" s="41">
        <f t="shared" ref="BL422:BM422" si="4474">BL410+BL383</f>
        <v>0</v>
      </c>
      <c r="BM422" s="41">
        <f t="shared" si="4474"/>
        <v>0</v>
      </c>
      <c r="BN422" s="41">
        <f t="shared" ref="BN422:BO422" si="4475">BN410+BN383</f>
        <v>0</v>
      </c>
      <c r="BO422" s="41">
        <f t="shared" si="4475"/>
        <v>0</v>
      </c>
      <c r="BP422" s="41">
        <f t="shared" ref="BP422:BQ422" si="4476">BP410+BP383</f>
        <v>0</v>
      </c>
      <c r="BQ422" s="41">
        <f t="shared" si="4476"/>
        <v>0</v>
      </c>
      <c r="BR422" s="41"/>
      <c r="BS422" s="41">
        <f t="shared" ref="BS422:CB425" si="4477">BS410+BS383</f>
        <v>0</v>
      </c>
      <c r="BT422" s="41">
        <f t="shared" si="4477"/>
        <v>0</v>
      </c>
      <c r="BU422" s="41">
        <f t="shared" si="4477"/>
        <v>0</v>
      </c>
      <c r="BV422" s="41">
        <f t="shared" si="4477"/>
        <v>0</v>
      </c>
      <c r="BW422" s="41">
        <f t="shared" si="4477"/>
        <v>0</v>
      </c>
      <c r="BX422" s="41">
        <f t="shared" si="4477"/>
        <v>0</v>
      </c>
      <c r="BY422" s="41">
        <f t="shared" si="4477"/>
        <v>0</v>
      </c>
      <c r="BZ422" s="41">
        <f t="shared" si="4477"/>
        <v>0</v>
      </c>
      <c r="CA422" s="41">
        <f t="shared" si="4477"/>
        <v>0</v>
      </c>
      <c r="CB422" s="41">
        <f t="shared" si="4477"/>
        <v>0</v>
      </c>
      <c r="CC422" s="41">
        <f t="shared" ref="CC422:CR422" si="4478">CC410+CC383</f>
        <v>-92.12</v>
      </c>
      <c r="CD422" s="41">
        <f t="shared" si="4478"/>
        <v>-197.46999999999997</v>
      </c>
      <c r="CE422" s="41">
        <f t="shared" si="4478"/>
        <v>-220.01</v>
      </c>
      <c r="CF422" s="41">
        <f t="shared" si="4478"/>
        <v>-183.75</v>
      </c>
      <c r="CG422" s="41">
        <f t="shared" si="4478"/>
        <v>-216.08999999999997</v>
      </c>
      <c r="CH422" s="41">
        <f t="shared" si="4478"/>
        <v>-232.26</v>
      </c>
      <c r="CI422" s="41">
        <f t="shared" si="4478"/>
        <v>-229.32</v>
      </c>
      <c r="CJ422" s="41">
        <f t="shared" si="4478"/>
        <v>-229.81</v>
      </c>
      <c r="CK422" s="41">
        <f t="shared" si="4478"/>
        <v>0</v>
      </c>
      <c r="CL422" s="41">
        <f t="shared" si="4478"/>
        <v>0</v>
      </c>
      <c r="CM422" s="41">
        <f t="shared" si="4478"/>
        <v>0</v>
      </c>
      <c r="CN422" s="41">
        <f t="shared" si="4478"/>
        <v>0</v>
      </c>
      <c r="CO422" s="41">
        <f t="shared" si="4478"/>
        <v>0</v>
      </c>
      <c r="CP422" s="41">
        <f t="shared" si="4478"/>
        <v>0</v>
      </c>
      <c r="CQ422" s="41">
        <f t="shared" si="4478"/>
        <v>0</v>
      </c>
      <c r="CR422" s="41">
        <f t="shared" si="4478"/>
        <v>0</v>
      </c>
      <c r="CS422" s="41">
        <f t="shared" ref="CS422:CX425" si="4479">CS410+CS383</f>
        <v>0</v>
      </c>
      <c r="CT422" s="41">
        <f t="shared" si="4479"/>
        <v>0</v>
      </c>
      <c r="CU422" s="41">
        <f t="shared" si="4479"/>
        <v>0</v>
      </c>
      <c r="CV422" s="41">
        <f t="shared" si="4479"/>
        <v>0</v>
      </c>
      <c r="CW422" s="41">
        <f t="shared" si="4479"/>
        <v>0</v>
      </c>
      <c r="CX422" s="41">
        <f t="shared" si="4479"/>
        <v>0</v>
      </c>
      <c r="CY422" s="41">
        <f t="shared" ref="CY422:CZ425" si="4480">CY410+CY383</f>
        <v>0</v>
      </c>
      <c r="CZ422" s="211">
        <f t="shared" si="4480"/>
        <v>0</v>
      </c>
      <c r="DA422" s="41">
        <f t="shared" ref="DA422:DB422" si="4481">DA410+DA383</f>
        <v>0</v>
      </c>
      <c r="DB422" s="41">
        <f t="shared" si="4481"/>
        <v>0</v>
      </c>
      <c r="DC422" s="41">
        <f t="shared" ref="DC422" si="4482">DC410+DC383</f>
        <v>0</v>
      </c>
      <c r="DD422" s="41">
        <f t="shared" ref="DD422:DE425" si="4483">DD410+DD383</f>
        <v>0</v>
      </c>
      <c r="DE422" s="41">
        <f t="shared" si="4483"/>
        <v>0</v>
      </c>
      <c r="DF422" s="41">
        <f t="shared" ref="DF422:DG425" si="4484">DF410+DF383</f>
        <v>0</v>
      </c>
      <c r="DG422" s="41">
        <f t="shared" si="4484"/>
        <v>0</v>
      </c>
      <c r="DH422" s="41">
        <f t="shared" ref="DH422" si="4485">DH410+DH383</f>
        <v>0</v>
      </c>
      <c r="DI422" s="41">
        <f t="shared" ref="DI422" si="4486">DI410+DI383</f>
        <v>0</v>
      </c>
    </row>
    <row r="423" spans="1:113" ht="12" outlineLevel="2">
      <c r="A423" s="1" t="s">
        <v>88</v>
      </c>
      <c r="B423" s="15" t="s">
        <v>371</v>
      </c>
      <c r="C423" s="41">
        <f t="shared" si="4454"/>
        <v>0</v>
      </c>
      <c r="D423" s="41">
        <f t="shared" si="4454"/>
        <v>0</v>
      </c>
      <c r="E423" s="41">
        <f t="shared" si="4454"/>
        <v>0</v>
      </c>
      <c r="F423" s="41">
        <f t="shared" si="4454"/>
        <v>0</v>
      </c>
      <c r="G423" s="41">
        <f t="shared" si="4454"/>
        <v>0</v>
      </c>
      <c r="H423" s="41">
        <f t="shared" si="4454"/>
        <v>0</v>
      </c>
      <c r="I423" s="41">
        <f t="shared" si="4454"/>
        <v>0</v>
      </c>
      <c r="J423" s="41">
        <f t="shared" si="4454"/>
        <v>0</v>
      </c>
      <c r="K423" s="41">
        <f t="shared" si="4454"/>
        <v>0</v>
      </c>
      <c r="L423" s="41">
        <f t="shared" si="4454"/>
        <v>0</v>
      </c>
      <c r="M423" s="41">
        <f t="shared" ref="M423:AD423" si="4487">M411+M384</f>
        <v>0</v>
      </c>
      <c r="N423" s="41">
        <f t="shared" si="4487"/>
        <v>0</v>
      </c>
      <c r="O423" s="41">
        <f t="shared" si="4487"/>
        <v>0</v>
      </c>
      <c r="P423" s="41">
        <f t="shared" si="4487"/>
        <v>-45</v>
      </c>
      <c r="Q423" s="41">
        <f t="shared" si="4487"/>
        <v>-111</v>
      </c>
      <c r="R423" s="41">
        <f t="shared" si="4487"/>
        <v>-92</v>
      </c>
      <c r="S423" s="41">
        <f t="shared" si="4487"/>
        <v>10</v>
      </c>
      <c r="T423" s="41">
        <f t="shared" si="4487"/>
        <v>-17</v>
      </c>
      <c r="U423" s="41">
        <f t="shared" si="4487"/>
        <v>-17</v>
      </c>
      <c r="V423" s="41">
        <f t="shared" si="4487"/>
        <v>0</v>
      </c>
      <c r="W423" s="41">
        <f t="shared" si="4487"/>
        <v>0</v>
      </c>
      <c r="X423" s="41">
        <f t="shared" si="4487"/>
        <v>0</v>
      </c>
      <c r="Y423" s="41">
        <f t="shared" si="4487"/>
        <v>0</v>
      </c>
      <c r="Z423" s="41">
        <f t="shared" si="4487"/>
        <v>0</v>
      </c>
      <c r="AA423" s="41">
        <f t="shared" si="4487"/>
        <v>0</v>
      </c>
      <c r="AB423" s="41">
        <f t="shared" ref="AB423" si="4488">AB411+AB384</f>
        <v>0</v>
      </c>
      <c r="AC423" s="41">
        <f t="shared" si="4487"/>
        <v>0</v>
      </c>
      <c r="AD423" s="41">
        <f t="shared" si="4487"/>
        <v>0</v>
      </c>
      <c r="AE423" s="41">
        <f t="shared" ref="AE423:AF423" si="4489">AE411+AE384</f>
        <v>0</v>
      </c>
      <c r="AF423" s="41">
        <f t="shared" si="4489"/>
        <v>0</v>
      </c>
      <c r="AG423" s="41">
        <f t="shared" ref="AG423:AH423" si="4490">AG411+AG384</f>
        <v>0</v>
      </c>
      <c r="AH423" s="41">
        <f t="shared" si="4490"/>
        <v>0</v>
      </c>
      <c r="AI423" s="41">
        <f t="shared" ref="AI423:AJ423" si="4491">AI411+AI384</f>
        <v>0</v>
      </c>
      <c r="AJ423" s="41">
        <f t="shared" si="4491"/>
        <v>0</v>
      </c>
      <c r="AK423" s="41">
        <f t="shared" ref="AK423:AL423" si="4492">AK411+AK384</f>
        <v>0</v>
      </c>
      <c r="AL423" s="41">
        <f t="shared" si="4492"/>
        <v>0</v>
      </c>
      <c r="AM423" s="41">
        <f t="shared" ref="AM423:AN423" si="4493">AM411+AM384</f>
        <v>0</v>
      </c>
      <c r="AN423" s="41">
        <f t="shared" si="4493"/>
        <v>0</v>
      </c>
      <c r="AO423" s="41">
        <f t="shared" ref="AO423" si="4494">AO411+AO384</f>
        <v>0</v>
      </c>
      <c r="AP423" s="41">
        <f t="shared" ref="AP423:AQ423" si="4495">AP411+AP384</f>
        <v>0</v>
      </c>
      <c r="AQ423" s="41">
        <f t="shared" si="4495"/>
        <v>0</v>
      </c>
      <c r="AR423" s="41">
        <f t="shared" ref="AR423:AS423" si="4496">AR411+AR384</f>
        <v>0</v>
      </c>
      <c r="AS423" s="41">
        <f t="shared" si="4496"/>
        <v>0</v>
      </c>
      <c r="AT423" s="41">
        <f t="shared" ref="AT423:AU423" si="4497">AT411+AT384</f>
        <v>0</v>
      </c>
      <c r="AU423" s="41">
        <f t="shared" si="4497"/>
        <v>0</v>
      </c>
      <c r="AV423" s="41">
        <f t="shared" ref="AV423:AW423" si="4498">AV411+AV384</f>
        <v>0</v>
      </c>
      <c r="AW423" s="41">
        <f t="shared" si="4498"/>
        <v>0</v>
      </c>
      <c r="AX423" s="41">
        <f t="shared" ref="AX423:AY423" si="4499">AX411+AX384</f>
        <v>0</v>
      </c>
      <c r="AY423" s="211">
        <f t="shared" si="4499"/>
        <v>0</v>
      </c>
      <c r="AZ423" s="41">
        <f t="shared" ref="AZ423:BA423" si="4500">AZ411+AZ384</f>
        <v>0</v>
      </c>
      <c r="BA423" s="41">
        <f t="shared" si="4500"/>
        <v>0</v>
      </c>
      <c r="BB423" s="41">
        <f t="shared" ref="BB423:BC423" si="4501">BB411+BB384</f>
        <v>0</v>
      </c>
      <c r="BC423" s="41">
        <f t="shared" si="4501"/>
        <v>0</v>
      </c>
      <c r="BD423" s="41">
        <f t="shared" ref="BD423:BE423" si="4502">BD411+BD384</f>
        <v>0</v>
      </c>
      <c r="BE423" s="41">
        <f t="shared" si="4502"/>
        <v>0</v>
      </c>
      <c r="BF423" s="41">
        <f t="shared" ref="BF423:BG423" si="4503">BF411+BF384</f>
        <v>0</v>
      </c>
      <c r="BG423" s="41">
        <f t="shared" si="4503"/>
        <v>0</v>
      </c>
      <c r="BH423" s="41">
        <f t="shared" ref="BH423:BI423" si="4504">BH411+BH384</f>
        <v>0</v>
      </c>
      <c r="BI423" s="41">
        <f t="shared" si="4504"/>
        <v>0</v>
      </c>
      <c r="BJ423" s="41">
        <f t="shared" ref="BJ423:BK423" si="4505">BJ411+BJ384</f>
        <v>0</v>
      </c>
      <c r="BK423" s="41">
        <f t="shared" si="4505"/>
        <v>0</v>
      </c>
      <c r="BL423" s="41">
        <f t="shared" ref="BL423:BM423" si="4506">BL411+BL384</f>
        <v>0</v>
      </c>
      <c r="BM423" s="41">
        <f t="shared" si="4506"/>
        <v>0</v>
      </c>
      <c r="BN423" s="41">
        <f t="shared" ref="BN423:BO423" si="4507">BN411+BN384</f>
        <v>0</v>
      </c>
      <c r="BO423" s="41">
        <f t="shared" si="4507"/>
        <v>0</v>
      </c>
      <c r="BP423" s="41">
        <f t="shared" ref="BP423:BQ423" si="4508">BP411+BP384</f>
        <v>0</v>
      </c>
      <c r="BQ423" s="41">
        <f t="shared" si="4508"/>
        <v>0</v>
      </c>
      <c r="BR423" s="41"/>
      <c r="BS423" s="41">
        <f t="shared" si="4477"/>
        <v>0</v>
      </c>
      <c r="BT423" s="41">
        <f t="shared" si="4477"/>
        <v>0</v>
      </c>
      <c r="BU423" s="41">
        <f t="shared" si="4477"/>
        <v>0</v>
      </c>
      <c r="BV423" s="41">
        <f t="shared" si="4477"/>
        <v>0</v>
      </c>
      <c r="BW423" s="41">
        <f t="shared" si="4477"/>
        <v>0</v>
      </c>
      <c r="BX423" s="41">
        <f t="shared" si="4477"/>
        <v>0</v>
      </c>
      <c r="BY423" s="41">
        <f t="shared" si="4477"/>
        <v>0</v>
      </c>
      <c r="BZ423" s="41">
        <f t="shared" si="4477"/>
        <v>0</v>
      </c>
      <c r="CA423" s="41">
        <f t="shared" si="4477"/>
        <v>0</v>
      </c>
      <c r="CB423" s="41">
        <f t="shared" si="4477"/>
        <v>0</v>
      </c>
      <c r="CC423" s="41">
        <f t="shared" ref="CC423:CR423" si="4509">CC411+CC384</f>
        <v>0</v>
      </c>
      <c r="CD423" s="41">
        <f t="shared" si="4509"/>
        <v>0</v>
      </c>
      <c r="CE423" s="41">
        <f t="shared" si="4509"/>
        <v>0</v>
      </c>
      <c r="CF423" s="41">
        <f t="shared" si="4509"/>
        <v>0</v>
      </c>
      <c r="CG423" s="41">
        <f t="shared" si="4509"/>
        <v>0</v>
      </c>
      <c r="CH423" s="41">
        <f t="shared" si="4509"/>
        <v>0</v>
      </c>
      <c r="CI423" s="41">
        <f t="shared" si="4509"/>
        <v>-156</v>
      </c>
      <c r="CJ423" s="41">
        <f t="shared" si="4509"/>
        <v>-82</v>
      </c>
      <c r="CK423" s="41">
        <f t="shared" si="4509"/>
        <v>-34</v>
      </c>
      <c r="CL423" s="41">
        <f t="shared" si="4509"/>
        <v>0</v>
      </c>
      <c r="CM423" s="41">
        <f t="shared" si="4509"/>
        <v>0</v>
      </c>
      <c r="CN423" s="41">
        <f t="shared" si="4509"/>
        <v>0</v>
      </c>
      <c r="CO423" s="41">
        <f t="shared" si="4509"/>
        <v>0</v>
      </c>
      <c r="CP423" s="41">
        <f t="shared" si="4509"/>
        <v>0</v>
      </c>
      <c r="CQ423" s="41">
        <f t="shared" si="4509"/>
        <v>0</v>
      </c>
      <c r="CR423" s="41">
        <f t="shared" si="4509"/>
        <v>0</v>
      </c>
      <c r="CS423" s="41">
        <f t="shared" si="4479"/>
        <v>0</v>
      </c>
      <c r="CT423" s="41">
        <f t="shared" si="4479"/>
        <v>0</v>
      </c>
      <c r="CU423" s="41">
        <f t="shared" si="4479"/>
        <v>0</v>
      </c>
      <c r="CV423" s="41">
        <f t="shared" si="4479"/>
        <v>0</v>
      </c>
      <c r="CW423" s="41">
        <f t="shared" si="4479"/>
        <v>0</v>
      </c>
      <c r="CX423" s="41">
        <f t="shared" si="4479"/>
        <v>0</v>
      </c>
      <c r="CY423" s="41">
        <f t="shared" si="4480"/>
        <v>0</v>
      </c>
      <c r="CZ423" s="211">
        <f t="shared" si="4480"/>
        <v>0</v>
      </c>
      <c r="DA423" s="41">
        <f t="shared" ref="DA423:DB423" si="4510">DA411+DA384</f>
        <v>0</v>
      </c>
      <c r="DB423" s="41">
        <f t="shared" si="4510"/>
        <v>0</v>
      </c>
      <c r="DC423" s="41">
        <f t="shared" ref="DC423" si="4511">DC411+DC384</f>
        <v>0</v>
      </c>
      <c r="DD423" s="41">
        <f t="shared" si="4483"/>
        <v>0</v>
      </c>
      <c r="DE423" s="41">
        <f t="shared" si="4483"/>
        <v>0</v>
      </c>
      <c r="DF423" s="41">
        <f t="shared" si="4484"/>
        <v>0</v>
      </c>
      <c r="DG423" s="41">
        <f t="shared" si="4484"/>
        <v>0</v>
      </c>
      <c r="DH423" s="41">
        <f t="shared" ref="DH423" si="4512">DH411+DH384</f>
        <v>0</v>
      </c>
      <c r="DI423" s="41">
        <f t="shared" ref="DI423" si="4513">DI411+DI384</f>
        <v>0</v>
      </c>
    </row>
    <row r="424" spans="1:113" ht="12" outlineLevel="2">
      <c r="A424" s="1" t="s">
        <v>89</v>
      </c>
      <c r="B424" s="15" t="s">
        <v>361</v>
      </c>
      <c r="C424" s="41">
        <f t="shared" si="4454"/>
        <v>0</v>
      </c>
      <c r="D424" s="41">
        <f t="shared" si="4454"/>
        <v>0</v>
      </c>
      <c r="E424" s="41">
        <f t="shared" si="4454"/>
        <v>-2.4500000000000002</v>
      </c>
      <c r="F424" s="41">
        <f t="shared" si="4454"/>
        <v>0</v>
      </c>
      <c r="G424" s="41">
        <f t="shared" si="4454"/>
        <v>-14.209999999999999</v>
      </c>
      <c r="H424" s="41">
        <f t="shared" si="4454"/>
        <v>-13.23</v>
      </c>
      <c r="I424" s="41">
        <f t="shared" si="4454"/>
        <v>-14.7</v>
      </c>
      <c r="J424" s="41">
        <f t="shared" si="4454"/>
        <v>-7.35</v>
      </c>
      <c r="K424" s="41">
        <f t="shared" si="4454"/>
        <v>-15.68</v>
      </c>
      <c r="L424" s="41">
        <f t="shared" si="4454"/>
        <v>-8.82</v>
      </c>
      <c r="M424" s="41">
        <f t="shared" ref="M424:AD424" si="4514">M412+M385</f>
        <v>-16.66</v>
      </c>
      <c r="N424" s="41">
        <f t="shared" si="4514"/>
        <v>-7.84</v>
      </c>
      <c r="O424" s="41">
        <f t="shared" si="4514"/>
        <v>-25.97</v>
      </c>
      <c r="P424" s="41">
        <f t="shared" si="4514"/>
        <v>-22.05</v>
      </c>
      <c r="Q424" s="41">
        <f t="shared" si="4514"/>
        <v>-20.09</v>
      </c>
      <c r="R424" s="41">
        <f t="shared" si="4514"/>
        <v>-20.58</v>
      </c>
      <c r="S424" s="41">
        <f t="shared" si="4514"/>
        <v>-20.09</v>
      </c>
      <c r="T424" s="41">
        <f t="shared" si="4514"/>
        <v>0</v>
      </c>
      <c r="U424" s="41">
        <f t="shared" si="4514"/>
        <v>0</v>
      </c>
      <c r="V424" s="41">
        <f t="shared" si="4514"/>
        <v>0</v>
      </c>
      <c r="W424" s="41">
        <f t="shared" si="4514"/>
        <v>0</v>
      </c>
      <c r="X424" s="41">
        <f t="shared" si="4514"/>
        <v>0</v>
      </c>
      <c r="Y424" s="41">
        <f t="shared" si="4514"/>
        <v>0</v>
      </c>
      <c r="Z424" s="41">
        <f t="shared" si="4514"/>
        <v>0</v>
      </c>
      <c r="AA424" s="41">
        <f t="shared" si="4514"/>
        <v>0</v>
      </c>
      <c r="AB424" s="41">
        <f t="shared" ref="AB424" si="4515">AB412+AB385</f>
        <v>0</v>
      </c>
      <c r="AC424" s="41">
        <f t="shared" si="4514"/>
        <v>0</v>
      </c>
      <c r="AD424" s="41">
        <f t="shared" si="4514"/>
        <v>0</v>
      </c>
      <c r="AE424" s="41">
        <f t="shared" ref="AE424:AF424" si="4516">AE412+AE385</f>
        <v>0</v>
      </c>
      <c r="AF424" s="41">
        <f t="shared" si="4516"/>
        <v>0</v>
      </c>
      <c r="AG424" s="41">
        <f t="shared" ref="AG424:AH424" si="4517">AG412+AG385</f>
        <v>0</v>
      </c>
      <c r="AH424" s="41">
        <f t="shared" si="4517"/>
        <v>0</v>
      </c>
      <c r="AI424" s="41">
        <f t="shared" ref="AI424:AJ424" si="4518">AI412+AI385</f>
        <v>0</v>
      </c>
      <c r="AJ424" s="41">
        <f t="shared" si="4518"/>
        <v>0</v>
      </c>
      <c r="AK424" s="41">
        <f t="shared" ref="AK424:AL424" si="4519">AK412+AK385</f>
        <v>0</v>
      </c>
      <c r="AL424" s="41">
        <f t="shared" si="4519"/>
        <v>0</v>
      </c>
      <c r="AM424" s="41">
        <f t="shared" ref="AM424:AN424" si="4520">AM412+AM385</f>
        <v>0</v>
      </c>
      <c r="AN424" s="41">
        <f t="shared" si="4520"/>
        <v>0</v>
      </c>
      <c r="AO424" s="41">
        <f t="shared" ref="AO424" si="4521">AO412+AO385</f>
        <v>0</v>
      </c>
      <c r="AP424" s="41">
        <f t="shared" ref="AP424:AQ424" si="4522">AP412+AP385</f>
        <v>0</v>
      </c>
      <c r="AQ424" s="41">
        <f t="shared" si="4522"/>
        <v>0</v>
      </c>
      <c r="AR424" s="41">
        <f t="shared" ref="AR424:AS424" si="4523">AR412+AR385</f>
        <v>0</v>
      </c>
      <c r="AS424" s="41">
        <f t="shared" si="4523"/>
        <v>0</v>
      </c>
      <c r="AT424" s="41">
        <f t="shared" ref="AT424:AU424" si="4524">AT412+AT385</f>
        <v>0</v>
      </c>
      <c r="AU424" s="41">
        <f t="shared" si="4524"/>
        <v>0</v>
      </c>
      <c r="AV424" s="41">
        <f t="shared" ref="AV424:AW424" si="4525">AV412+AV385</f>
        <v>0</v>
      </c>
      <c r="AW424" s="41">
        <f t="shared" si="4525"/>
        <v>0</v>
      </c>
      <c r="AX424" s="41">
        <f t="shared" ref="AX424:AY424" si="4526">AX412+AX385</f>
        <v>0</v>
      </c>
      <c r="AY424" s="211">
        <f t="shared" si="4526"/>
        <v>0</v>
      </c>
      <c r="AZ424" s="41">
        <f t="shared" ref="AZ424:BA424" si="4527">AZ412+AZ385</f>
        <v>0</v>
      </c>
      <c r="BA424" s="41">
        <f t="shared" si="4527"/>
        <v>0</v>
      </c>
      <c r="BB424" s="41">
        <f t="shared" ref="BB424:BC424" si="4528">BB412+BB385</f>
        <v>0</v>
      </c>
      <c r="BC424" s="41">
        <f t="shared" si="4528"/>
        <v>0</v>
      </c>
      <c r="BD424" s="41">
        <f t="shared" ref="BD424:BE424" si="4529">BD412+BD385</f>
        <v>0</v>
      </c>
      <c r="BE424" s="41">
        <f t="shared" si="4529"/>
        <v>0</v>
      </c>
      <c r="BF424" s="41">
        <f t="shared" ref="BF424:BG424" si="4530">BF412+BF385</f>
        <v>0</v>
      </c>
      <c r="BG424" s="41">
        <f t="shared" si="4530"/>
        <v>0</v>
      </c>
      <c r="BH424" s="41">
        <f t="shared" ref="BH424:BI424" si="4531">BH412+BH385</f>
        <v>0</v>
      </c>
      <c r="BI424" s="41">
        <f t="shared" si="4531"/>
        <v>0</v>
      </c>
      <c r="BJ424" s="41">
        <f t="shared" ref="BJ424:BK424" si="4532">BJ412+BJ385</f>
        <v>0</v>
      </c>
      <c r="BK424" s="41">
        <f t="shared" si="4532"/>
        <v>0</v>
      </c>
      <c r="BL424" s="41">
        <f t="shared" ref="BL424:BM424" si="4533">BL412+BL385</f>
        <v>0</v>
      </c>
      <c r="BM424" s="41">
        <f t="shared" si="4533"/>
        <v>0</v>
      </c>
      <c r="BN424" s="41">
        <f t="shared" ref="BN424:BO424" si="4534">BN412+BN385</f>
        <v>0</v>
      </c>
      <c r="BO424" s="41">
        <f t="shared" si="4534"/>
        <v>0</v>
      </c>
      <c r="BP424" s="41">
        <f t="shared" ref="BP424:BQ424" si="4535">BP412+BP385</f>
        <v>0</v>
      </c>
      <c r="BQ424" s="41">
        <f t="shared" si="4535"/>
        <v>0</v>
      </c>
      <c r="BR424" s="41"/>
      <c r="BS424" s="41">
        <f t="shared" si="4477"/>
        <v>0</v>
      </c>
      <c r="BT424" s="41">
        <f t="shared" si="4477"/>
        <v>0</v>
      </c>
      <c r="BU424" s="41">
        <f t="shared" si="4477"/>
        <v>0</v>
      </c>
      <c r="BV424" s="41">
        <f t="shared" si="4477"/>
        <v>0</v>
      </c>
      <c r="BW424" s="41">
        <f t="shared" si="4477"/>
        <v>0</v>
      </c>
      <c r="BX424" s="41">
        <f t="shared" si="4477"/>
        <v>0</v>
      </c>
      <c r="BY424" s="41">
        <f t="shared" si="4477"/>
        <v>0</v>
      </c>
      <c r="BZ424" s="41">
        <f t="shared" si="4477"/>
        <v>0</v>
      </c>
      <c r="CA424" s="41">
        <f t="shared" si="4477"/>
        <v>0</v>
      </c>
      <c r="CB424" s="41">
        <f t="shared" si="4477"/>
        <v>0</v>
      </c>
      <c r="CC424" s="41">
        <f t="shared" ref="CC424:CR424" si="4536">CC412+CC385</f>
        <v>-2.4500000000000002</v>
      </c>
      <c r="CD424" s="41">
        <f t="shared" si="4536"/>
        <v>-14.209999999999999</v>
      </c>
      <c r="CE424" s="41">
        <f t="shared" si="4536"/>
        <v>-27.93</v>
      </c>
      <c r="CF424" s="41">
        <f t="shared" si="4536"/>
        <v>-23.03</v>
      </c>
      <c r="CG424" s="41">
        <f t="shared" si="4536"/>
        <v>-25.48</v>
      </c>
      <c r="CH424" s="41">
        <f t="shared" si="4536"/>
        <v>-33.81</v>
      </c>
      <c r="CI424" s="41">
        <f t="shared" si="4536"/>
        <v>-42.14</v>
      </c>
      <c r="CJ424" s="41">
        <f t="shared" si="4536"/>
        <v>-40.67</v>
      </c>
      <c r="CK424" s="41">
        <f t="shared" si="4536"/>
        <v>0</v>
      </c>
      <c r="CL424" s="41">
        <f t="shared" si="4536"/>
        <v>0</v>
      </c>
      <c r="CM424" s="41">
        <f t="shared" si="4536"/>
        <v>0</v>
      </c>
      <c r="CN424" s="41">
        <f t="shared" si="4536"/>
        <v>0</v>
      </c>
      <c r="CO424" s="41">
        <f t="shared" si="4536"/>
        <v>0</v>
      </c>
      <c r="CP424" s="41">
        <f t="shared" si="4536"/>
        <v>0</v>
      </c>
      <c r="CQ424" s="41">
        <f t="shared" si="4536"/>
        <v>0</v>
      </c>
      <c r="CR424" s="41">
        <f t="shared" si="4536"/>
        <v>0</v>
      </c>
      <c r="CS424" s="41">
        <f t="shared" si="4479"/>
        <v>0</v>
      </c>
      <c r="CT424" s="41">
        <f t="shared" si="4479"/>
        <v>0</v>
      </c>
      <c r="CU424" s="41">
        <f t="shared" si="4479"/>
        <v>0</v>
      </c>
      <c r="CV424" s="41">
        <f t="shared" si="4479"/>
        <v>0</v>
      </c>
      <c r="CW424" s="41">
        <f t="shared" si="4479"/>
        <v>0</v>
      </c>
      <c r="CX424" s="41">
        <f t="shared" si="4479"/>
        <v>0</v>
      </c>
      <c r="CY424" s="41">
        <f t="shared" si="4480"/>
        <v>0</v>
      </c>
      <c r="CZ424" s="211">
        <f t="shared" si="4480"/>
        <v>0</v>
      </c>
      <c r="DA424" s="41">
        <f t="shared" ref="DA424:DB424" si="4537">DA412+DA385</f>
        <v>0</v>
      </c>
      <c r="DB424" s="41">
        <f t="shared" si="4537"/>
        <v>0</v>
      </c>
      <c r="DC424" s="41">
        <f t="shared" ref="DC424" si="4538">DC412+DC385</f>
        <v>0</v>
      </c>
      <c r="DD424" s="41">
        <f t="shared" si="4483"/>
        <v>0</v>
      </c>
      <c r="DE424" s="41">
        <f t="shared" si="4483"/>
        <v>0</v>
      </c>
      <c r="DF424" s="41">
        <f t="shared" si="4484"/>
        <v>0</v>
      </c>
      <c r="DG424" s="41">
        <f t="shared" si="4484"/>
        <v>0</v>
      </c>
      <c r="DH424" s="41">
        <f t="shared" ref="DH424" si="4539">DH412+DH385</f>
        <v>0</v>
      </c>
      <c r="DI424" s="41">
        <f t="shared" ref="DI424" si="4540">DI412+DI385</f>
        <v>0</v>
      </c>
    </row>
    <row r="425" spans="1:113" ht="12" outlineLevel="2">
      <c r="A425" s="1" t="s">
        <v>90</v>
      </c>
      <c r="B425" s="15" t="s">
        <v>425</v>
      </c>
      <c r="C425" s="41">
        <f t="shared" si="4454"/>
        <v>0</v>
      </c>
      <c r="D425" s="41">
        <f t="shared" si="4454"/>
        <v>0</v>
      </c>
      <c r="E425" s="41">
        <f t="shared" si="4454"/>
        <v>0</v>
      </c>
      <c r="F425" s="41">
        <f t="shared" si="4454"/>
        <v>0</v>
      </c>
      <c r="G425" s="41">
        <f t="shared" si="4454"/>
        <v>0</v>
      </c>
      <c r="H425" s="41">
        <f t="shared" si="4454"/>
        <v>0</v>
      </c>
      <c r="I425" s="41">
        <f t="shared" si="4454"/>
        <v>0</v>
      </c>
      <c r="J425" s="41">
        <f t="shared" si="4454"/>
        <v>0</v>
      </c>
      <c r="K425" s="41">
        <f t="shared" si="4454"/>
        <v>0</v>
      </c>
      <c r="L425" s="41">
        <f t="shared" si="4454"/>
        <v>0</v>
      </c>
      <c r="M425" s="41">
        <f t="shared" ref="M425:AD425" si="4541">M413+M386</f>
        <v>0</v>
      </c>
      <c r="N425" s="41">
        <f t="shared" si="4541"/>
        <v>0</v>
      </c>
      <c r="O425" s="41">
        <f t="shared" si="4541"/>
        <v>0</v>
      </c>
      <c r="P425" s="41">
        <f t="shared" si="4541"/>
        <v>-76</v>
      </c>
      <c r="Q425" s="41">
        <f t="shared" si="4541"/>
        <v>523</v>
      </c>
      <c r="R425" s="41">
        <f t="shared" si="4541"/>
        <v>1155</v>
      </c>
      <c r="S425" s="41">
        <f t="shared" si="4541"/>
        <v>-728</v>
      </c>
      <c r="T425" s="41">
        <f t="shared" si="4541"/>
        <v>-83</v>
      </c>
      <c r="U425" s="41">
        <f t="shared" si="4541"/>
        <v>-35</v>
      </c>
      <c r="V425" s="41">
        <f t="shared" si="4541"/>
        <v>0</v>
      </c>
      <c r="W425" s="41">
        <f t="shared" si="4541"/>
        <v>0</v>
      </c>
      <c r="X425" s="41">
        <f t="shared" si="4541"/>
        <v>0</v>
      </c>
      <c r="Y425" s="41">
        <f t="shared" si="4541"/>
        <v>0</v>
      </c>
      <c r="Z425" s="41">
        <f t="shared" si="4541"/>
        <v>0</v>
      </c>
      <c r="AA425" s="41">
        <f t="shared" si="4541"/>
        <v>0</v>
      </c>
      <c r="AB425" s="41">
        <f t="shared" ref="AB425" si="4542">AB413+AB386</f>
        <v>0</v>
      </c>
      <c r="AC425" s="41">
        <f t="shared" si="4541"/>
        <v>0</v>
      </c>
      <c r="AD425" s="41">
        <f t="shared" si="4541"/>
        <v>0</v>
      </c>
      <c r="AE425" s="41">
        <f t="shared" ref="AE425:AF425" si="4543">AE413+AE386</f>
        <v>0</v>
      </c>
      <c r="AF425" s="41">
        <f t="shared" si="4543"/>
        <v>0</v>
      </c>
      <c r="AG425" s="41">
        <f t="shared" ref="AG425:AH425" si="4544">AG413+AG386</f>
        <v>0</v>
      </c>
      <c r="AH425" s="41">
        <f t="shared" si="4544"/>
        <v>0</v>
      </c>
      <c r="AI425" s="41">
        <f t="shared" ref="AI425:AJ425" si="4545">AI413+AI386</f>
        <v>0</v>
      </c>
      <c r="AJ425" s="41">
        <f t="shared" si="4545"/>
        <v>0</v>
      </c>
      <c r="AK425" s="41">
        <f t="shared" ref="AK425:AL425" si="4546">AK413+AK386</f>
        <v>0</v>
      </c>
      <c r="AL425" s="41">
        <f t="shared" si="4546"/>
        <v>0</v>
      </c>
      <c r="AM425" s="41">
        <f t="shared" ref="AM425:AN425" si="4547">AM413+AM386</f>
        <v>0</v>
      </c>
      <c r="AN425" s="41">
        <f t="shared" si="4547"/>
        <v>0</v>
      </c>
      <c r="AO425" s="41">
        <f t="shared" ref="AO425" si="4548">AO413+AO386</f>
        <v>0</v>
      </c>
      <c r="AP425" s="41">
        <f t="shared" ref="AP425:AQ425" si="4549">AP413+AP386</f>
        <v>0</v>
      </c>
      <c r="AQ425" s="41">
        <f t="shared" si="4549"/>
        <v>0</v>
      </c>
      <c r="AR425" s="41">
        <f t="shared" ref="AR425:AS425" si="4550">AR413+AR386</f>
        <v>0</v>
      </c>
      <c r="AS425" s="41">
        <f t="shared" si="4550"/>
        <v>0</v>
      </c>
      <c r="AT425" s="41">
        <f t="shared" ref="AT425:AU425" si="4551">AT413+AT386</f>
        <v>0</v>
      </c>
      <c r="AU425" s="41">
        <f t="shared" si="4551"/>
        <v>0</v>
      </c>
      <c r="AV425" s="41">
        <f t="shared" ref="AV425:AW425" si="4552">AV413+AV386</f>
        <v>0</v>
      </c>
      <c r="AW425" s="41">
        <f t="shared" si="4552"/>
        <v>0</v>
      </c>
      <c r="AX425" s="41">
        <f t="shared" ref="AX425:AY425" si="4553">AX413+AX386</f>
        <v>0</v>
      </c>
      <c r="AY425" s="211">
        <f t="shared" si="4553"/>
        <v>0</v>
      </c>
      <c r="AZ425" s="41">
        <f t="shared" ref="AZ425:BA425" si="4554">AZ413+AZ386</f>
        <v>0</v>
      </c>
      <c r="BA425" s="41">
        <f t="shared" si="4554"/>
        <v>0</v>
      </c>
      <c r="BB425" s="41">
        <f t="shared" ref="BB425:BC425" si="4555">BB413+BB386</f>
        <v>0</v>
      </c>
      <c r="BC425" s="41">
        <f t="shared" si="4555"/>
        <v>0</v>
      </c>
      <c r="BD425" s="41">
        <f t="shared" ref="BD425:BE425" si="4556">BD413+BD386</f>
        <v>0</v>
      </c>
      <c r="BE425" s="41">
        <f t="shared" si="4556"/>
        <v>0</v>
      </c>
      <c r="BF425" s="41">
        <f t="shared" ref="BF425:BG425" si="4557">BF413+BF386</f>
        <v>0</v>
      </c>
      <c r="BG425" s="41">
        <f t="shared" si="4557"/>
        <v>0</v>
      </c>
      <c r="BH425" s="41">
        <f t="shared" ref="BH425:BI425" si="4558">BH413+BH386</f>
        <v>0</v>
      </c>
      <c r="BI425" s="41">
        <f t="shared" si="4558"/>
        <v>0</v>
      </c>
      <c r="BJ425" s="41">
        <f t="shared" ref="BJ425:BK425" si="4559">BJ413+BJ386</f>
        <v>0</v>
      </c>
      <c r="BK425" s="41">
        <f t="shared" si="4559"/>
        <v>0</v>
      </c>
      <c r="BL425" s="41">
        <f t="shared" ref="BL425:BM425" si="4560">BL413+BL386</f>
        <v>0</v>
      </c>
      <c r="BM425" s="41">
        <f t="shared" si="4560"/>
        <v>0</v>
      </c>
      <c r="BN425" s="41">
        <f t="shared" ref="BN425:BO425" si="4561">BN413+BN386</f>
        <v>0</v>
      </c>
      <c r="BO425" s="41">
        <f t="shared" si="4561"/>
        <v>0</v>
      </c>
      <c r="BP425" s="41">
        <f t="shared" ref="BP425:BQ425" si="4562">BP413+BP386</f>
        <v>0</v>
      </c>
      <c r="BQ425" s="41">
        <f t="shared" si="4562"/>
        <v>0</v>
      </c>
      <c r="BR425" s="41"/>
      <c r="BS425" s="41">
        <f t="shared" si="4477"/>
        <v>0</v>
      </c>
      <c r="BT425" s="41">
        <f t="shared" si="4477"/>
        <v>0</v>
      </c>
      <c r="BU425" s="41">
        <f t="shared" si="4477"/>
        <v>0</v>
      </c>
      <c r="BV425" s="41">
        <f t="shared" si="4477"/>
        <v>0</v>
      </c>
      <c r="BW425" s="41">
        <f t="shared" si="4477"/>
        <v>0</v>
      </c>
      <c r="BX425" s="41">
        <f t="shared" si="4477"/>
        <v>0</v>
      </c>
      <c r="BY425" s="41">
        <f t="shared" si="4477"/>
        <v>0</v>
      </c>
      <c r="BZ425" s="41">
        <f t="shared" si="4477"/>
        <v>0</v>
      </c>
      <c r="CA425" s="41">
        <f t="shared" si="4477"/>
        <v>0</v>
      </c>
      <c r="CB425" s="41">
        <f t="shared" si="4477"/>
        <v>0</v>
      </c>
      <c r="CC425" s="41">
        <f t="shared" ref="CC425:CR425" si="4563">CC413+CC386</f>
        <v>0</v>
      </c>
      <c r="CD425" s="41">
        <f t="shared" si="4563"/>
        <v>0</v>
      </c>
      <c r="CE425" s="41">
        <f t="shared" si="4563"/>
        <v>0</v>
      </c>
      <c r="CF425" s="41">
        <f t="shared" si="4563"/>
        <v>0</v>
      </c>
      <c r="CG425" s="41">
        <f t="shared" si="4563"/>
        <v>0</v>
      </c>
      <c r="CH425" s="41">
        <f t="shared" si="4563"/>
        <v>0</v>
      </c>
      <c r="CI425" s="41">
        <f t="shared" si="4563"/>
        <v>447</v>
      </c>
      <c r="CJ425" s="41">
        <f t="shared" si="4563"/>
        <v>427</v>
      </c>
      <c r="CK425" s="41">
        <f t="shared" si="4563"/>
        <v>-118</v>
      </c>
      <c r="CL425" s="41">
        <f t="shared" si="4563"/>
        <v>0</v>
      </c>
      <c r="CM425" s="41">
        <f t="shared" si="4563"/>
        <v>0</v>
      </c>
      <c r="CN425" s="41">
        <f t="shared" si="4563"/>
        <v>0</v>
      </c>
      <c r="CO425" s="41">
        <f t="shared" si="4563"/>
        <v>0</v>
      </c>
      <c r="CP425" s="41">
        <f t="shared" si="4563"/>
        <v>0</v>
      </c>
      <c r="CQ425" s="41">
        <f t="shared" si="4563"/>
        <v>0</v>
      </c>
      <c r="CR425" s="41">
        <f t="shared" si="4563"/>
        <v>0</v>
      </c>
      <c r="CS425" s="41">
        <f t="shared" si="4479"/>
        <v>0</v>
      </c>
      <c r="CT425" s="41">
        <f t="shared" si="4479"/>
        <v>0</v>
      </c>
      <c r="CU425" s="41">
        <f t="shared" si="4479"/>
        <v>0</v>
      </c>
      <c r="CV425" s="41">
        <f t="shared" si="4479"/>
        <v>0</v>
      </c>
      <c r="CW425" s="41">
        <f t="shared" si="4479"/>
        <v>0</v>
      </c>
      <c r="CX425" s="41">
        <f t="shared" si="4479"/>
        <v>0</v>
      </c>
      <c r="CY425" s="41">
        <f t="shared" si="4480"/>
        <v>0</v>
      </c>
      <c r="CZ425" s="211">
        <f t="shared" si="4480"/>
        <v>0</v>
      </c>
      <c r="DA425" s="41">
        <f t="shared" ref="DA425:DB425" si="4564">DA413+DA386</f>
        <v>0</v>
      </c>
      <c r="DB425" s="41">
        <f t="shared" si="4564"/>
        <v>0</v>
      </c>
      <c r="DC425" s="41">
        <f t="shared" ref="DC425" si="4565">DC413+DC386</f>
        <v>0</v>
      </c>
      <c r="DD425" s="41">
        <f t="shared" si="4483"/>
        <v>0</v>
      </c>
      <c r="DE425" s="41">
        <f t="shared" si="4483"/>
        <v>0</v>
      </c>
      <c r="DF425" s="41">
        <f t="shared" si="4484"/>
        <v>0</v>
      </c>
      <c r="DG425" s="41">
        <f t="shared" si="4484"/>
        <v>0</v>
      </c>
      <c r="DH425" s="41">
        <f t="shared" ref="DH425" si="4566">DH413+DH386</f>
        <v>0</v>
      </c>
      <c r="DI425" s="41">
        <f t="shared" ref="DI425" si="4567">DI413+DI386</f>
        <v>0</v>
      </c>
    </row>
    <row r="426" spans="1:113" s="17" customFormat="1" ht="12" outlineLevel="2">
      <c r="A426" s="1" t="s">
        <v>91</v>
      </c>
      <c r="B426" s="17" t="s">
        <v>505</v>
      </c>
      <c r="C426" s="62">
        <f t="shared" ref="C426:L426" si="4568">SUM(C419:C425)</f>
        <v>3287</v>
      </c>
      <c r="D426" s="62">
        <f t="shared" si="4568"/>
        <v>3374</v>
      </c>
      <c r="E426" s="62">
        <f t="shared" si="4568"/>
        <v>3440</v>
      </c>
      <c r="F426" s="62">
        <f t="shared" si="4568"/>
        <v>3492.0000000000005</v>
      </c>
      <c r="G426" s="62">
        <f t="shared" si="4568"/>
        <v>3627</v>
      </c>
      <c r="H426" s="62">
        <f t="shared" si="4568"/>
        <v>4080</v>
      </c>
      <c r="I426" s="62">
        <f t="shared" si="4568"/>
        <v>4439.0000000000009</v>
      </c>
      <c r="J426" s="62">
        <f t="shared" si="4568"/>
        <v>4547</v>
      </c>
      <c r="K426" s="62">
        <f t="shared" si="4568"/>
        <v>4758.9999999999991</v>
      </c>
      <c r="L426" s="62">
        <f t="shared" si="4568"/>
        <v>4931</v>
      </c>
      <c r="M426" s="62">
        <f t="shared" ref="M426:AD426" si="4569">SUM(M419:M425)</f>
        <v>5158</v>
      </c>
      <c r="N426" s="62">
        <f t="shared" si="4569"/>
        <v>5381</v>
      </c>
      <c r="O426" s="62">
        <f t="shared" si="4569"/>
        <v>5641</v>
      </c>
      <c r="P426" s="62">
        <f t="shared" si="4569"/>
        <v>5980</v>
      </c>
      <c r="Q426" s="62">
        <f t="shared" si="4569"/>
        <v>6315</v>
      </c>
      <c r="R426" s="62">
        <f t="shared" si="4569"/>
        <v>7039</v>
      </c>
      <c r="S426" s="62">
        <f t="shared" si="4569"/>
        <v>7328</v>
      </c>
      <c r="T426" s="62">
        <f t="shared" si="4569"/>
        <v>7567</v>
      </c>
      <c r="U426" s="62">
        <f t="shared" si="4569"/>
        <v>8215</v>
      </c>
      <c r="V426" s="62">
        <f t="shared" si="4569"/>
        <v>8508</v>
      </c>
      <c r="W426" s="62">
        <f t="shared" si="4569"/>
        <v>8377</v>
      </c>
      <c r="X426" s="62">
        <f t="shared" si="4569"/>
        <v>8720</v>
      </c>
      <c r="Y426" s="62">
        <f t="shared" si="4569"/>
        <v>9128</v>
      </c>
      <c r="Z426" s="62">
        <f t="shared" si="4569"/>
        <v>9092</v>
      </c>
      <c r="AA426" s="62">
        <f t="shared" si="4569"/>
        <v>9299</v>
      </c>
      <c r="AB426" s="62">
        <f t="shared" ref="AB426" si="4570">SUM(AB419:AB425)</f>
        <v>9668</v>
      </c>
      <c r="AC426" s="62">
        <f t="shared" si="4569"/>
        <v>9910</v>
      </c>
      <c r="AD426" s="62">
        <f t="shared" si="4569"/>
        <v>10195</v>
      </c>
      <c r="AE426" s="62">
        <f t="shared" ref="AE426:AF426" si="4571">SUM(AE419:AE425)</f>
        <v>10342</v>
      </c>
      <c r="AF426" s="62">
        <f t="shared" si="4571"/>
        <v>10325</v>
      </c>
      <c r="AG426" s="62">
        <f t="shared" ref="AG426:AH426" si="4572">SUM(AG419:AG425)</f>
        <v>10269</v>
      </c>
      <c r="AH426" s="62">
        <f t="shared" si="4572"/>
        <v>9976</v>
      </c>
      <c r="AI426" s="62">
        <f t="shared" ref="AI426:AJ426" si="4573">SUM(AI419:AI425)</f>
        <v>9840</v>
      </c>
      <c r="AJ426" s="62">
        <f t="shared" si="4573"/>
        <v>9870</v>
      </c>
      <c r="AK426" s="62">
        <f t="shared" ref="AK426:AL426" si="4574">SUM(AK419:AK425)</f>
        <v>9497</v>
      </c>
      <c r="AL426" s="62">
        <f t="shared" si="4574"/>
        <v>9746</v>
      </c>
      <c r="AM426" s="62">
        <f t="shared" ref="AM426:AN426" si="4575">SUM(AM419:AM425)</f>
        <v>9283</v>
      </c>
      <c r="AN426" s="62">
        <f t="shared" si="4575"/>
        <v>8579</v>
      </c>
      <c r="AO426" s="62">
        <f t="shared" ref="AO426" si="4576">SUM(AO419:AO425)</f>
        <v>9173</v>
      </c>
      <c r="AP426" s="62">
        <f t="shared" ref="AP426:AQ426" si="4577">SUM(AP419:AP425)</f>
        <v>8423</v>
      </c>
      <c r="AQ426" s="62">
        <f t="shared" si="4577"/>
        <v>9024</v>
      </c>
      <c r="AR426" s="62">
        <f t="shared" ref="AR426:AS426" si="4578">SUM(AR419:AR425)</f>
        <v>8948</v>
      </c>
      <c r="AS426" s="62">
        <f t="shared" si="4578"/>
        <v>9599</v>
      </c>
      <c r="AT426" s="62">
        <f t="shared" ref="AT426:AU426" si="4579">SUM(AT419:AT425)</f>
        <v>10540</v>
      </c>
      <c r="AU426" s="62">
        <f t="shared" si="4579"/>
        <v>10365</v>
      </c>
      <c r="AV426" s="62">
        <f t="shared" ref="AV426:AW426" si="4580">SUM(AV419:AV425)</f>
        <v>10347</v>
      </c>
      <c r="AW426" s="62">
        <f t="shared" si="4580"/>
        <v>10462</v>
      </c>
      <c r="AX426" s="62">
        <f t="shared" ref="AX426:AY426" si="4581">SUM(AX419:AX425)</f>
        <v>10995</v>
      </c>
      <c r="AY426" s="220">
        <f t="shared" si="4581"/>
        <v>10904</v>
      </c>
      <c r="AZ426" s="62">
        <f t="shared" ref="AZ426:BA426" si="4582">SUM(AZ419:AZ425)</f>
        <v>11439.39525800059</v>
      </c>
      <c r="BA426" s="62">
        <f t="shared" si="4582"/>
        <v>11618.274989738493</v>
      </c>
      <c r="BB426" s="62">
        <f t="shared" ref="BB426:BC426" si="4583">SUM(BB419:BB425)</f>
        <v>11677.815341723184</v>
      </c>
      <c r="BC426" s="62">
        <f t="shared" si="4583"/>
        <v>11748.628007616464</v>
      </c>
      <c r="BD426" s="62">
        <f t="shared" ref="BD426:BE426" si="4584">SUM(BD419:BD425)</f>
        <v>11955.842080500139</v>
      </c>
      <c r="BE426" s="62">
        <f t="shared" si="4584"/>
        <v>12017.905014818869</v>
      </c>
      <c r="BF426" s="62">
        <f t="shared" ref="BF426:BG426" si="4585">SUM(BF419:BF425)</f>
        <v>12219.554292794566</v>
      </c>
      <c r="BG426" s="62">
        <f t="shared" si="4585"/>
        <v>12334.350595869544</v>
      </c>
      <c r="BH426" s="62">
        <f t="shared" ref="BH426:BI426" si="4586">SUM(BH419:BH425)</f>
        <v>12476.703349457559</v>
      </c>
      <c r="BI426" s="62">
        <f t="shared" si="4586"/>
        <v>12599.906210482952</v>
      </c>
      <c r="BJ426" s="62">
        <f t="shared" ref="BJ426:BK426" si="4587">SUM(BJ419:BJ425)</f>
        <v>12790.936820304951</v>
      </c>
      <c r="BK426" s="62">
        <f t="shared" si="4587"/>
        <v>13030.142936945613</v>
      </c>
      <c r="BL426" s="62">
        <f t="shared" ref="BL426:BM426" si="4588">SUM(BL419:BL425)</f>
        <v>13153.900753019971</v>
      </c>
      <c r="BM426" s="62">
        <f t="shared" si="4588"/>
        <v>13312.271453535328</v>
      </c>
      <c r="BN426" s="62">
        <f t="shared" ref="BN426:BO426" si="4589">SUM(BN419:BN425)</f>
        <v>13446.146778920782</v>
      </c>
      <c r="BO426" s="62">
        <f t="shared" si="4589"/>
        <v>13703.793698578693</v>
      </c>
      <c r="BP426" s="62">
        <f t="shared" ref="BP426:BQ426" si="4590">SUM(BP419:BP425)</f>
        <v>13822.352915226738</v>
      </c>
      <c r="BQ426" s="62">
        <f t="shared" si="4590"/>
        <v>14103.940184191684</v>
      </c>
      <c r="BR426" s="62"/>
      <c r="BS426" s="62">
        <f t="shared" ref="BS426:CB426" si="4591">SUM(BS419:BS425)</f>
        <v>4546.5</v>
      </c>
      <c r="BT426" s="62">
        <f t="shared" si="4591"/>
        <v>4418</v>
      </c>
      <c r="BU426" s="62">
        <f t="shared" si="4591"/>
        <v>4587</v>
      </c>
      <c r="BV426" s="62">
        <f t="shared" si="4591"/>
        <v>4838</v>
      </c>
      <c r="BW426" s="62">
        <f t="shared" si="4591"/>
        <v>5166</v>
      </c>
      <c r="BX426" s="62">
        <f t="shared" si="4591"/>
        <v>5547</v>
      </c>
      <c r="BY426" s="62">
        <f t="shared" si="4591"/>
        <v>5689</v>
      </c>
      <c r="BZ426" s="62">
        <f t="shared" si="4591"/>
        <v>6032</v>
      </c>
      <c r="CA426" s="62">
        <f t="shared" si="4591"/>
        <v>6384</v>
      </c>
      <c r="CB426" s="62">
        <f t="shared" si="4591"/>
        <v>6406</v>
      </c>
      <c r="CC426" s="62">
        <f t="shared" ref="CC426:CP426" si="4592">SUM(CC419:CC425)</f>
        <v>6814</v>
      </c>
      <c r="CD426" s="62">
        <f t="shared" si="4592"/>
        <v>7119</v>
      </c>
      <c r="CE426" s="62">
        <f t="shared" si="4592"/>
        <v>8519</v>
      </c>
      <c r="CF426" s="62">
        <f t="shared" si="4592"/>
        <v>9305.9999999999982</v>
      </c>
      <c r="CG426" s="62">
        <f t="shared" si="4592"/>
        <v>10089</v>
      </c>
      <c r="CH426" s="62">
        <f t="shared" si="4592"/>
        <v>11022</v>
      </c>
      <c r="CI426" s="62">
        <f t="shared" si="4592"/>
        <v>12295</v>
      </c>
      <c r="CJ426" s="62">
        <f t="shared" si="4592"/>
        <v>14367</v>
      </c>
      <c r="CK426" s="62">
        <f t="shared" si="4592"/>
        <v>15782</v>
      </c>
      <c r="CL426" s="62">
        <f t="shared" si="4592"/>
        <v>16885</v>
      </c>
      <c r="CM426" s="62">
        <f t="shared" si="4592"/>
        <v>17848</v>
      </c>
      <c r="CN426" s="62">
        <f t="shared" si="4592"/>
        <v>18391</v>
      </c>
      <c r="CO426" s="62">
        <f t="shared" si="4592"/>
        <v>19578</v>
      </c>
      <c r="CP426" s="62">
        <f t="shared" si="4592"/>
        <v>20537</v>
      </c>
      <c r="CQ426" s="62">
        <f t="shared" ref="CQ426:CX426" si="4593">SUM(CQ419:CQ425)</f>
        <v>20594</v>
      </c>
      <c r="CR426" s="62">
        <f t="shared" si="4593"/>
        <v>19816</v>
      </c>
      <c r="CS426" s="62">
        <f t="shared" si="4593"/>
        <v>19367</v>
      </c>
      <c r="CT426" s="62">
        <f t="shared" si="4593"/>
        <v>19029</v>
      </c>
      <c r="CU426" s="62">
        <f t="shared" si="4593"/>
        <v>17752</v>
      </c>
      <c r="CV426" s="62">
        <f t="shared" si="4593"/>
        <v>17447</v>
      </c>
      <c r="CW426" s="62">
        <f t="shared" si="4593"/>
        <v>18547</v>
      </c>
      <c r="CX426" s="62">
        <f t="shared" si="4593"/>
        <v>20905</v>
      </c>
      <c r="CY426" s="62">
        <f t="shared" ref="CY426:DD426" si="4594">SUM(CY419:CY425)</f>
        <v>20809</v>
      </c>
      <c r="CZ426" s="220">
        <f t="shared" si="4594"/>
        <v>21899</v>
      </c>
      <c r="DA426" s="62">
        <f t="shared" si="4594"/>
        <v>23057.670247739083</v>
      </c>
      <c r="DB426" s="62">
        <f t="shared" si="4594"/>
        <v>23426.44334933965</v>
      </c>
      <c r="DC426" s="62">
        <f t="shared" si="4594"/>
        <v>23973.74709531901</v>
      </c>
      <c r="DD426" s="62">
        <f t="shared" si="4594"/>
        <v>24553.90488866411</v>
      </c>
      <c r="DE426" s="62">
        <f t="shared" ref="DE426" si="4595">SUM(DE419:DE425)</f>
        <v>25076.609559940509</v>
      </c>
      <c r="DF426" s="62">
        <f t="shared" ref="DF426" si="4596">SUM(DF419:DF425)</f>
        <v>25821.079757250562</v>
      </c>
      <c r="DG426" s="62">
        <f>SUM(DG419:DG425)</f>
        <v>26466.172206555297</v>
      </c>
      <c r="DH426" s="62">
        <f>SUM(DH419:DH425)</f>
        <v>27149.940477499476</v>
      </c>
      <c r="DI426" s="62">
        <f>SUM(DI419:DI425)</f>
        <v>27926.293099418424</v>
      </c>
    </row>
    <row r="427" spans="1:113" ht="12" outlineLevel="2">
      <c r="A427" s="1" t="s">
        <v>92</v>
      </c>
      <c r="B427" s="15" t="s">
        <v>529</v>
      </c>
      <c r="C427" s="41">
        <f t="shared" ref="C427:L427" si="4597">C415+C388</f>
        <v>0</v>
      </c>
      <c r="D427" s="41">
        <f t="shared" si="4597"/>
        <v>0</v>
      </c>
      <c r="E427" s="41">
        <f t="shared" si="4597"/>
        <v>174</v>
      </c>
      <c r="F427" s="41">
        <f t="shared" si="4597"/>
        <v>0</v>
      </c>
      <c r="G427" s="41">
        <f t="shared" si="4597"/>
        <v>0</v>
      </c>
      <c r="H427" s="41">
        <f t="shared" si="4597"/>
        <v>112</v>
      </c>
      <c r="I427" s="41">
        <f t="shared" si="4597"/>
        <v>0</v>
      </c>
      <c r="J427" s="41">
        <f t="shared" si="4597"/>
        <v>35</v>
      </c>
      <c r="K427" s="41">
        <f t="shared" si="4597"/>
        <v>55</v>
      </c>
      <c r="L427" s="41">
        <f t="shared" si="4597"/>
        <v>32</v>
      </c>
      <c r="M427" s="41">
        <f t="shared" ref="M427:AD427" si="4598">M415+M388</f>
        <v>31</v>
      </c>
      <c r="N427" s="41">
        <f t="shared" si="4598"/>
        <v>232</v>
      </c>
      <c r="O427" s="41">
        <f t="shared" si="4598"/>
        <v>86</v>
      </c>
      <c r="P427" s="41">
        <f t="shared" si="4598"/>
        <v>158</v>
      </c>
      <c r="Q427" s="41">
        <f t="shared" si="4598"/>
        <v>-294</v>
      </c>
      <c r="R427" s="41">
        <f t="shared" si="4598"/>
        <v>-472</v>
      </c>
      <c r="S427" s="41">
        <f t="shared" si="4598"/>
        <v>-285</v>
      </c>
      <c r="T427" s="41">
        <f t="shared" si="4598"/>
        <v>-350</v>
      </c>
      <c r="U427" s="41">
        <f t="shared" si="4598"/>
        <v>260</v>
      </c>
      <c r="V427" s="41">
        <f t="shared" si="4598"/>
        <v>97</v>
      </c>
      <c r="W427" s="41">
        <f>W415+W388</f>
        <v>-50</v>
      </c>
      <c r="X427" s="41">
        <f>X415+X388</f>
        <v>97</v>
      </c>
      <c r="Y427" s="41">
        <f>Y415+Y388</f>
        <v>-234</v>
      </c>
      <c r="Z427" s="41">
        <f t="shared" si="4598"/>
        <v>-156</v>
      </c>
      <c r="AA427" s="41">
        <f t="shared" si="4598"/>
        <v>224</v>
      </c>
      <c r="AB427" s="41">
        <f t="shared" ref="AB427" si="4599">AB415+AB388</f>
        <v>-134</v>
      </c>
      <c r="AC427" s="41">
        <f t="shared" si="4598"/>
        <v>610</v>
      </c>
      <c r="AD427" s="41">
        <f t="shared" si="4598"/>
        <v>45</v>
      </c>
      <c r="AE427" s="41">
        <f t="shared" ref="AE427:AF427" si="4600">AE415+AE388</f>
        <v>508</v>
      </c>
      <c r="AF427" s="41">
        <f t="shared" si="4600"/>
        <v>-51</v>
      </c>
      <c r="AG427" s="41">
        <f t="shared" ref="AG427:AH427" si="4601">AG415+AG388</f>
        <v>3</v>
      </c>
      <c r="AH427" s="41">
        <f t="shared" si="4601"/>
        <v>20</v>
      </c>
      <c r="AI427" s="41">
        <f t="shared" ref="AI427:AJ427" si="4602">AI415+AI388</f>
        <v>437</v>
      </c>
      <c r="AJ427" s="41">
        <f t="shared" si="4602"/>
        <v>138</v>
      </c>
      <c r="AK427" s="41">
        <f t="shared" ref="AK427:AL427" si="4603">AK415+AK388</f>
        <v>560</v>
      </c>
      <c r="AL427" s="41">
        <f t="shared" si="4603"/>
        <v>-311</v>
      </c>
      <c r="AM427" s="41">
        <f t="shared" ref="AM427:AN427" si="4604">AM415+AM388</f>
        <v>236</v>
      </c>
      <c r="AN427" s="41">
        <f t="shared" si="4604"/>
        <v>200</v>
      </c>
      <c r="AO427" s="41">
        <f t="shared" ref="AO427" si="4605">AO415+AO388</f>
        <v>-366</v>
      </c>
      <c r="AP427" s="41">
        <f t="shared" ref="AP427" si="4606">AP415+AP388</f>
        <v>-29</v>
      </c>
      <c r="AQ427" s="41">
        <f t="shared" ref="AQ427:AV427" si="4607">AQ415+AQ388</f>
        <v>29</v>
      </c>
      <c r="AR427" s="41">
        <f t="shared" si="4607"/>
        <v>594</v>
      </c>
      <c r="AS427" s="41">
        <f t="shared" si="4607"/>
        <v>285</v>
      </c>
      <c r="AT427" s="41">
        <f t="shared" si="4607"/>
        <v>-389</v>
      </c>
      <c r="AU427" s="41">
        <f t="shared" si="4607"/>
        <v>-45</v>
      </c>
      <c r="AV427" s="41">
        <f t="shared" si="4607"/>
        <v>-202</v>
      </c>
      <c r="AW427" s="41">
        <f t="shared" ref="AW427:AX427" si="4608">AW415+AW388</f>
        <v>-60</v>
      </c>
      <c r="AX427" s="41">
        <f t="shared" si="4608"/>
        <v>184</v>
      </c>
      <c r="AY427" s="211">
        <f t="shared" ref="AY427" si="4609">AY415+AY388</f>
        <v>103</v>
      </c>
      <c r="AZ427" s="41">
        <f t="shared" ref="AZ427:BA427" si="4610">AZ415+AZ388</f>
        <v>0</v>
      </c>
      <c r="BA427" s="41">
        <f t="shared" si="4610"/>
        <v>0</v>
      </c>
      <c r="BB427" s="41">
        <f t="shared" ref="BB427:BC427" si="4611">BB415+BB388</f>
        <v>0</v>
      </c>
      <c r="BC427" s="41">
        <f t="shared" si="4611"/>
        <v>0</v>
      </c>
      <c r="BD427" s="41">
        <f t="shared" ref="BD427:BE427" si="4612">BD415+BD388</f>
        <v>0</v>
      </c>
      <c r="BE427" s="41">
        <f t="shared" si="4612"/>
        <v>0</v>
      </c>
      <c r="BF427" s="41">
        <f t="shared" ref="BF427:BG427" si="4613">BF415+BF388</f>
        <v>0</v>
      </c>
      <c r="BG427" s="41">
        <f t="shared" si="4613"/>
        <v>0</v>
      </c>
      <c r="BH427" s="41">
        <f t="shared" ref="BH427:BI427" si="4614">BH415+BH388</f>
        <v>0</v>
      </c>
      <c r="BI427" s="41">
        <f t="shared" si="4614"/>
        <v>0</v>
      </c>
      <c r="BJ427" s="41">
        <f t="shared" ref="BJ427:BK427" si="4615">BJ415+BJ388</f>
        <v>0</v>
      </c>
      <c r="BK427" s="41">
        <f t="shared" si="4615"/>
        <v>0</v>
      </c>
      <c r="BL427" s="41">
        <f t="shared" ref="BL427:BM427" si="4616">BL415+BL388</f>
        <v>0</v>
      </c>
      <c r="BM427" s="41">
        <f t="shared" si="4616"/>
        <v>0</v>
      </c>
      <c r="BN427" s="41">
        <f t="shared" ref="BN427:BO427" si="4617">BN415+BN388</f>
        <v>0</v>
      </c>
      <c r="BO427" s="41">
        <f t="shared" si="4617"/>
        <v>0</v>
      </c>
      <c r="BP427" s="41">
        <f t="shared" ref="BP427:BQ427" si="4618">BP415+BP388</f>
        <v>0</v>
      </c>
      <c r="BQ427" s="41">
        <f t="shared" si="4618"/>
        <v>0</v>
      </c>
      <c r="BR427" s="41"/>
      <c r="BS427" s="41">
        <f t="shared" ref="BS427:CB427" si="4619">BS415+BS388</f>
        <v>11.699999999999818</v>
      </c>
      <c r="BT427" s="41">
        <f t="shared" si="4619"/>
        <v>-172.5</v>
      </c>
      <c r="BU427" s="41">
        <f t="shared" si="4619"/>
        <v>21</v>
      </c>
      <c r="BV427" s="41">
        <f t="shared" si="4619"/>
        <v>0</v>
      </c>
      <c r="BW427" s="41">
        <f t="shared" si="4619"/>
        <v>0</v>
      </c>
      <c r="BX427" s="41">
        <f t="shared" si="4619"/>
        <v>145</v>
      </c>
      <c r="BY427" s="41">
        <f t="shared" si="4619"/>
        <v>-70</v>
      </c>
      <c r="BZ427" s="41">
        <f t="shared" si="4619"/>
        <v>0</v>
      </c>
      <c r="CA427" s="41">
        <f t="shared" si="4619"/>
        <v>1207</v>
      </c>
      <c r="CB427" s="41">
        <f t="shared" si="4619"/>
        <v>0</v>
      </c>
      <c r="CC427" s="41">
        <f t="shared" ref="CC427:CO427" si="4620">CC415+CC388</f>
        <v>174</v>
      </c>
      <c r="CD427" s="41">
        <f t="shared" si="4620"/>
        <v>0</v>
      </c>
      <c r="CE427" s="41">
        <f t="shared" si="4620"/>
        <v>112</v>
      </c>
      <c r="CF427" s="41">
        <f t="shared" si="4620"/>
        <v>90</v>
      </c>
      <c r="CG427" s="41">
        <f t="shared" si="4620"/>
        <v>63</v>
      </c>
      <c r="CH427" s="41">
        <f t="shared" si="4620"/>
        <v>318</v>
      </c>
      <c r="CI427" s="41">
        <f t="shared" si="4620"/>
        <v>-136</v>
      </c>
      <c r="CJ427" s="41">
        <f t="shared" si="4620"/>
        <v>-757</v>
      </c>
      <c r="CK427" s="41">
        <f t="shared" si="4620"/>
        <v>-90</v>
      </c>
      <c r="CL427" s="41">
        <f t="shared" si="4620"/>
        <v>47</v>
      </c>
      <c r="CM427" s="41">
        <f t="shared" si="4620"/>
        <v>-137</v>
      </c>
      <c r="CN427" s="41">
        <f t="shared" si="4620"/>
        <v>68</v>
      </c>
      <c r="CO427" s="41">
        <f t="shared" si="4620"/>
        <v>476</v>
      </c>
      <c r="CP427" s="41">
        <f t="shared" ref="CP427:CX427" si="4621">CP415+CP388</f>
        <v>553</v>
      </c>
      <c r="CQ427" s="41">
        <f t="shared" si="4621"/>
        <v>-48</v>
      </c>
      <c r="CR427" s="41">
        <f t="shared" si="4621"/>
        <v>457</v>
      </c>
      <c r="CS427" s="41">
        <f t="shared" si="4621"/>
        <v>698</v>
      </c>
      <c r="CT427" s="41">
        <f t="shared" si="4621"/>
        <v>-75</v>
      </c>
      <c r="CU427" s="41">
        <f t="shared" si="4621"/>
        <v>-166</v>
      </c>
      <c r="CV427" s="41">
        <f t="shared" si="4621"/>
        <v>0</v>
      </c>
      <c r="CW427" s="41">
        <f t="shared" si="4621"/>
        <v>879</v>
      </c>
      <c r="CX427" s="41">
        <f t="shared" si="4621"/>
        <v>-434</v>
      </c>
      <c r="CY427" s="41">
        <f t="shared" ref="CY427:DD427" si="4622">CY415+CY388</f>
        <v>-262</v>
      </c>
      <c r="CZ427" s="211">
        <f t="shared" si="4622"/>
        <v>287</v>
      </c>
      <c r="DA427" s="41">
        <f t="shared" si="4622"/>
        <v>0</v>
      </c>
      <c r="DB427" s="41">
        <f t="shared" si="4622"/>
        <v>0</v>
      </c>
      <c r="DC427" s="41">
        <f t="shared" si="4622"/>
        <v>0</v>
      </c>
      <c r="DD427" s="41">
        <f t="shared" si="4622"/>
        <v>0</v>
      </c>
      <c r="DE427" s="41">
        <f t="shared" ref="DE427" si="4623">DE415+DE388</f>
        <v>0</v>
      </c>
      <c r="DF427" s="41">
        <f t="shared" ref="DF427" si="4624">DF415+DF388</f>
        <v>0</v>
      </c>
      <c r="DG427" s="41">
        <f>DG415+DG388</f>
        <v>0</v>
      </c>
      <c r="DH427" s="41">
        <f>DH415+DH388</f>
        <v>0</v>
      </c>
      <c r="DI427" s="41">
        <f>DI415+DI388</f>
        <v>0</v>
      </c>
    </row>
    <row r="428" spans="1:113" s="17" customFormat="1" ht="12" outlineLevel="2">
      <c r="A428" s="1" t="s">
        <v>93</v>
      </c>
      <c r="B428" s="17" t="s">
        <v>552</v>
      </c>
      <c r="C428" s="62">
        <f>C426+C427</f>
        <v>3287</v>
      </c>
      <c r="D428" s="62">
        <f>D426+D427</f>
        <v>3374</v>
      </c>
      <c r="E428" s="62">
        <f t="shared" ref="E428:L428" si="4625">E426+E427</f>
        <v>3614</v>
      </c>
      <c r="F428" s="62">
        <f t="shared" si="4625"/>
        <v>3492.0000000000005</v>
      </c>
      <c r="G428" s="62">
        <f t="shared" si="4625"/>
        <v>3627</v>
      </c>
      <c r="H428" s="62">
        <f t="shared" si="4625"/>
        <v>4192</v>
      </c>
      <c r="I428" s="62">
        <f t="shared" si="4625"/>
        <v>4439.0000000000009</v>
      </c>
      <c r="J428" s="62">
        <f t="shared" si="4625"/>
        <v>4582</v>
      </c>
      <c r="K428" s="62">
        <f t="shared" si="4625"/>
        <v>4813.9999999999991</v>
      </c>
      <c r="L428" s="62">
        <f t="shared" si="4625"/>
        <v>4963</v>
      </c>
      <c r="M428" s="62">
        <f t="shared" ref="M428:AD428" si="4626">M426+M427</f>
        <v>5189</v>
      </c>
      <c r="N428" s="62">
        <f t="shared" si="4626"/>
        <v>5613</v>
      </c>
      <c r="O428" s="62">
        <f t="shared" si="4626"/>
        <v>5727</v>
      </c>
      <c r="P428" s="62">
        <f t="shared" si="4626"/>
        <v>6138</v>
      </c>
      <c r="Q428" s="62">
        <f t="shared" si="4626"/>
        <v>6021</v>
      </c>
      <c r="R428" s="62">
        <f t="shared" si="4626"/>
        <v>6567</v>
      </c>
      <c r="S428" s="62">
        <f t="shared" si="4626"/>
        <v>7043</v>
      </c>
      <c r="T428" s="62">
        <f t="shared" si="4626"/>
        <v>7217</v>
      </c>
      <c r="U428" s="62">
        <f t="shared" si="4626"/>
        <v>8475</v>
      </c>
      <c r="V428" s="62">
        <f t="shared" si="4626"/>
        <v>8605</v>
      </c>
      <c r="W428" s="62">
        <f t="shared" si="4626"/>
        <v>8327</v>
      </c>
      <c r="X428" s="62">
        <f t="shared" si="4626"/>
        <v>8817</v>
      </c>
      <c r="Y428" s="62">
        <f t="shared" si="4626"/>
        <v>8894</v>
      </c>
      <c r="Z428" s="62">
        <f t="shared" si="4626"/>
        <v>8936</v>
      </c>
      <c r="AA428" s="62">
        <f t="shared" si="4626"/>
        <v>9523</v>
      </c>
      <c r="AB428" s="62">
        <f t="shared" ref="AB428" si="4627">AB426+AB427</f>
        <v>9534</v>
      </c>
      <c r="AC428" s="62">
        <f t="shared" si="4626"/>
        <v>10520</v>
      </c>
      <c r="AD428" s="62">
        <f t="shared" si="4626"/>
        <v>10240</v>
      </c>
      <c r="AE428" s="62">
        <f t="shared" ref="AE428:AF428" si="4628">AE426+AE427</f>
        <v>10850</v>
      </c>
      <c r="AF428" s="62">
        <f t="shared" si="4628"/>
        <v>10274</v>
      </c>
      <c r="AG428" s="62">
        <f t="shared" ref="AG428:AH428" si="4629">AG426+AG427</f>
        <v>10272</v>
      </c>
      <c r="AH428" s="62">
        <f t="shared" si="4629"/>
        <v>9996</v>
      </c>
      <c r="AI428" s="62">
        <f t="shared" ref="AI428:AJ428" si="4630">AI426+AI427</f>
        <v>10277</v>
      </c>
      <c r="AJ428" s="62">
        <f t="shared" si="4630"/>
        <v>10008</v>
      </c>
      <c r="AK428" s="62">
        <f t="shared" ref="AK428:AL428" si="4631">AK426+AK427</f>
        <v>10057</v>
      </c>
      <c r="AL428" s="62">
        <f t="shared" si="4631"/>
        <v>9435</v>
      </c>
      <c r="AM428" s="62">
        <f t="shared" ref="AM428:AN428" si="4632">AM426+AM427</f>
        <v>9519</v>
      </c>
      <c r="AN428" s="62">
        <f t="shared" si="4632"/>
        <v>8779</v>
      </c>
      <c r="AO428" s="62">
        <f t="shared" ref="AO428" si="4633">AO426+AO427</f>
        <v>8807</v>
      </c>
      <c r="AP428" s="62">
        <f t="shared" ref="AP428:AQ428" si="4634">AP426+AP427</f>
        <v>8394</v>
      </c>
      <c r="AQ428" s="62">
        <f t="shared" si="4634"/>
        <v>9053</v>
      </c>
      <c r="AR428" s="62">
        <f t="shared" ref="AR428:AS428" si="4635">AR426+AR427</f>
        <v>9542</v>
      </c>
      <c r="AS428" s="62">
        <f t="shared" si="4635"/>
        <v>9884</v>
      </c>
      <c r="AT428" s="62">
        <f t="shared" ref="AT428:AU428" si="4636">AT426+AT427</f>
        <v>10151</v>
      </c>
      <c r="AU428" s="62">
        <f t="shared" si="4636"/>
        <v>10320</v>
      </c>
      <c r="AV428" s="62">
        <f t="shared" ref="AV428:AW428" si="4637">AV426+AV427</f>
        <v>10145</v>
      </c>
      <c r="AW428" s="62">
        <f t="shared" si="4637"/>
        <v>10402</v>
      </c>
      <c r="AX428" s="62">
        <f t="shared" ref="AX428:AY428" si="4638">AX426+AX427</f>
        <v>11179</v>
      </c>
      <c r="AY428" s="220">
        <f t="shared" si="4638"/>
        <v>11007</v>
      </c>
      <c r="AZ428" s="62">
        <f t="shared" ref="AZ428:BA428" si="4639">AZ426+AZ427</f>
        <v>11439.39525800059</v>
      </c>
      <c r="BA428" s="62">
        <f t="shared" si="4639"/>
        <v>11618.274989738493</v>
      </c>
      <c r="BB428" s="62">
        <f t="shared" ref="BB428:BC428" si="4640">BB426+BB427</f>
        <v>11677.815341723184</v>
      </c>
      <c r="BC428" s="62">
        <f t="shared" si="4640"/>
        <v>11748.628007616464</v>
      </c>
      <c r="BD428" s="62">
        <f t="shared" ref="BD428:BE428" si="4641">BD426+BD427</f>
        <v>11955.842080500139</v>
      </c>
      <c r="BE428" s="62">
        <f t="shared" si="4641"/>
        <v>12017.905014818869</v>
      </c>
      <c r="BF428" s="62">
        <f t="shared" ref="BF428:BG428" si="4642">BF426+BF427</f>
        <v>12219.554292794566</v>
      </c>
      <c r="BG428" s="62">
        <f t="shared" si="4642"/>
        <v>12334.350595869544</v>
      </c>
      <c r="BH428" s="62">
        <f t="shared" ref="BH428:BI428" si="4643">BH426+BH427</f>
        <v>12476.703349457559</v>
      </c>
      <c r="BI428" s="62">
        <f t="shared" si="4643"/>
        <v>12599.906210482952</v>
      </c>
      <c r="BJ428" s="62">
        <f t="shared" ref="BJ428:BK428" si="4644">BJ426+BJ427</f>
        <v>12790.936820304951</v>
      </c>
      <c r="BK428" s="62">
        <f t="shared" si="4644"/>
        <v>13030.142936945613</v>
      </c>
      <c r="BL428" s="62">
        <f t="shared" ref="BL428:BM428" si="4645">BL426+BL427</f>
        <v>13153.900753019971</v>
      </c>
      <c r="BM428" s="62">
        <f t="shared" si="4645"/>
        <v>13312.271453535328</v>
      </c>
      <c r="BN428" s="62">
        <f t="shared" ref="BN428:BO428" si="4646">BN426+BN427</f>
        <v>13446.146778920782</v>
      </c>
      <c r="BO428" s="62">
        <f t="shared" si="4646"/>
        <v>13703.793698578693</v>
      </c>
      <c r="BP428" s="62">
        <f t="shared" ref="BP428:BQ428" si="4647">BP426+BP427</f>
        <v>13822.352915226738</v>
      </c>
      <c r="BQ428" s="62">
        <f t="shared" si="4647"/>
        <v>14103.940184191684</v>
      </c>
      <c r="BR428" s="62"/>
      <c r="BS428" s="62">
        <f t="shared" ref="BS428:CB428" si="4648">BS426+BS427</f>
        <v>4558.2</v>
      </c>
      <c r="BT428" s="62">
        <f t="shared" si="4648"/>
        <v>4245.5</v>
      </c>
      <c r="BU428" s="62">
        <f t="shared" si="4648"/>
        <v>4608</v>
      </c>
      <c r="BV428" s="62">
        <f t="shared" si="4648"/>
        <v>4838</v>
      </c>
      <c r="BW428" s="62">
        <f t="shared" si="4648"/>
        <v>5166</v>
      </c>
      <c r="BX428" s="62">
        <f t="shared" si="4648"/>
        <v>5692</v>
      </c>
      <c r="BY428" s="62">
        <f t="shared" si="4648"/>
        <v>5619</v>
      </c>
      <c r="BZ428" s="62">
        <f t="shared" si="4648"/>
        <v>6032</v>
      </c>
      <c r="CA428" s="62">
        <f t="shared" si="4648"/>
        <v>7591</v>
      </c>
      <c r="CB428" s="62">
        <f t="shared" si="4648"/>
        <v>6406</v>
      </c>
      <c r="CC428" s="62">
        <f t="shared" ref="CC428:CP428" si="4649">CC426+CC427</f>
        <v>6988</v>
      </c>
      <c r="CD428" s="62">
        <f t="shared" si="4649"/>
        <v>7119</v>
      </c>
      <c r="CE428" s="62">
        <f t="shared" si="4649"/>
        <v>8631</v>
      </c>
      <c r="CF428" s="62">
        <f t="shared" si="4649"/>
        <v>9395.9999999999982</v>
      </c>
      <c r="CG428" s="62">
        <f t="shared" si="4649"/>
        <v>10152</v>
      </c>
      <c r="CH428" s="62">
        <f t="shared" si="4649"/>
        <v>11340</v>
      </c>
      <c r="CI428" s="62">
        <f t="shared" si="4649"/>
        <v>12159</v>
      </c>
      <c r="CJ428" s="62">
        <f t="shared" si="4649"/>
        <v>13610</v>
      </c>
      <c r="CK428" s="62">
        <f t="shared" si="4649"/>
        <v>15692</v>
      </c>
      <c r="CL428" s="62">
        <f t="shared" si="4649"/>
        <v>16932</v>
      </c>
      <c r="CM428" s="62">
        <f t="shared" si="4649"/>
        <v>17711</v>
      </c>
      <c r="CN428" s="62">
        <f t="shared" si="4649"/>
        <v>18459</v>
      </c>
      <c r="CO428" s="62">
        <f t="shared" si="4649"/>
        <v>20054</v>
      </c>
      <c r="CP428" s="62">
        <f t="shared" si="4649"/>
        <v>21090</v>
      </c>
      <c r="CQ428" s="62">
        <f t="shared" ref="CQ428:CX428" si="4650">CQ426+CQ427</f>
        <v>20546</v>
      </c>
      <c r="CR428" s="62">
        <f t="shared" si="4650"/>
        <v>20273</v>
      </c>
      <c r="CS428" s="62">
        <f t="shared" si="4650"/>
        <v>20065</v>
      </c>
      <c r="CT428" s="62">
        <f t="shared" si="4650"/>
        <v>18954</v>
      </c>
      <c r="CU428" s="62">
        <f t="shared" si="4650"/>
        <v>17586</v>
      </c>
      <c r="CV428" s="62">
        <f t="shared" si="4650"/>
        <v>17447</v>
      </c>
      <c r="CW428" s="62">
        <f t="shared" si="4650"/>
        <v>19426</v>
      </c>
      <c r="CX428" s="62">
        <f t="shared" si="4650"/>
        <v>20471</v>
      </c>
      <c r="CY428" s="62">
        <f t="shared" ref="CY428:DD428" si="4651">CY426+CY427</f>
        <v>20547</v>
      </c>
      <c r="CZ428" s="220">
        <f t="shared" si="4651"/>
        <v>22186</v>
      </c>
      <c r="DA428" s="62">
        <f t="shared" si="4651"/>
        <v>23057.670247739083</v>
      </c>
      <c r="DB428" s="62">
        <f t="shared" si="4651"/>
        <v>23426.44334933965</v>
      </c>
      <c r="DC428" s="62">
        <f t="shared" si="4651"/>
        <v>23973.74709531901</v>
      </c>
      <c r="DD428" s="62">
        <f t="shared" si="4651"/>
        <v>24553.90488866411</v>
      </c>
      <c r="DE428" s="62">
        <f t="shared" ref="DE428" si="4652">DE426+DE427</f>
        <v>25076.609559940509</v>
      </c>
      <c r="DF428" s="62">
        <f t="shared" ref="DF428" si="4653">DF426+DF427</f>
        <v>25821.079757250562</v>
      </c>
      <c r="DG428" s="62">
        <f>DG426+DG427</f>
        <v>26466.172206555297</v>
      </c>
      <c r="DH428" s="62">
        <f>DH426+DH427</f>
        <v>27149.940477499476</v>
      </c>
      <c r="DI428" s="62">
        <f>DI426+DI427</f>
        <v>27926.293099418424</v>
      </c>
    </row>
    <row r="429" spans="1:113" ht="12">
      <c r="C429" s="41"/>
      <c r="D429" s="41"/>
      <c r="E429" s="41"/>
      <c r="F429" s="41"/>
      <c r="G429" s="41"/>
      <c r="H429" s="41"/>
      <c r="I429" s="41"/>
      <c r="J429" s="41"/>
      <c r="K429" s="41"/>
      <c r="L429" s="41"/>
      <c r="M429" s="41"/>
      <c r="N429" s="41"/>
      <c r="O429" s="41"/>
      <c r="P429" s="41"/>
      <c r="Q429" s="41"/>
      <c r="R429" s="41"/>
      <c r="S429" s="41"/>
      <c r="T429" s="41"/>
      <c r="U429" s="41"/>
      <c r="V429" s="41"/>
      <c r="W429" s="41"/>
      <c r="X429" s="41"/>
      <c r="Y429" s="41"/>
      <c r="Z429" s="41"/>
      <c r="AA429" s="41"/>
      <c r="AB429" s="361"/>
      <c r="AC429" s="41"/>
      <c r="AD429" s="41"/>
      <c r="AE429" s="41"/>
      <c r="AF429" s="41"/>
      <c r="AG429" s="41"/>
      <c r="AH429" s="41"/>
      <c r="AI429" s="41"/>
      <c r="AJ429" s="41"/>
      <c r="AK429" s="41"/>
      <c r="AL429" s="41"/>
      <c r="AM429" s="41"/>
      <c r="AN429" s="41"/>
      <c r="AO429" s="41"/>
      <c r="AP429" s="41"/>
      <c r="AQ429" s="41"/>
      <c r="AR429" s="41"/>
      <c r="AS429" s="41"/>
      <c r="AT429" s="41"/>
      <c r="AU429" s="41"/>
      <c r="AV429" s="41"/>
      <c r="AW429" s="41"/>
      <c r="AX429" s="41"/>
      <c r="AY429" s="211"/>
      <c r="AZ429" s="41"/>
      <c r="BA429" s="41"/>
      <c r="BB429" s="41"/>
      <c r="BC429" s="41"/>
      <c r="BD429" s="41"/>
      <c r="BE429" s="41"/>
      <c r="BF429" s="41"/>
      <c r="BG429" s="41"/>
      <c r="BH429" s="41"/>
      <c r="BI429" s="41"/>
      <c r="BJ429" s="41"/>
      <c r="BK429" s="41"/>
      <c r="BL429" s="41"/>
      <c r="BM429" s="41"/>
      <c r="BN429" s="41"/>
      <c r="BO429" s="41"/>
      <c r="BP429" s="41"/>
      <c r="BQ429" s="41"/>
      <c r="BR429" s="41"/>
      <c r="BS429" s="41"/>
      <c r="BT429" s="41"/>
      <c r="BU429" s="41"/>
      <c r="BV429" s="41"/>
      <c r="BW429" s="41"/>
      <c r="BX429" s="41"/>
      <c r="BY429" s="41"/>
      <c r="BZ429" s="41"/>
      <c r="CA429" s="41"/>
      <c r="CB429" s="41"/>
      <c r="CC429" s="41"/>
      <c r="CD429" s="41"/>
      <c r="CE429" s="41"/>
      <c r="CF429" s="41"/>
      <c r="CG429" s="41"/>
      <c r="CH429" s="41"/>
      <c r="CI429" s="41"/>
      <c r="CJ429" s="41"/>
      <c r="CK429" s="41"/>
      <c r="CL429" s="41"/>
      <c r="CM429" s="41"/>
      <c r="CN429" s="43"/>
      <c r="CO429" s="32"/>
      <c r="CP429" s="32"/>
      <c r="CQ429" s="32"/>
      <c r="CR429" s="32"/>
      <c r="CS429" s="43"/>
      <c r="CT429" s="32"/>
      <c r="CU429" s="32"/>
      <c r="CV429" s="32"/>
      <c r="CW429" s="32"/>
      <c r="CX429" s="32"/>
      <c r="CY429" s="32"/>
      <c r="CZ429" s="44"/>
      <c r="DA429" s="560"/>
      <c r="DB429" s="42"/>
      <c r="DC429" s="42"/>
      <c r="DD429" s="42"/>
      <c r="DE429" s="42"/>
      <c r="DF429" s="42"/>
      <c r="DG429" s="42"/>
      <c r="DH429" s="42"/>
      <c r="DI429" s="42"/>
    </row>
    <row r="430" spans="1:113" s="26" customFormat="1" ht="12" collapsed="1">
      <c r="A430" s="1" t="s">
        <v>671</v>
      </c>
      <c r="B430" s="2" t="s">
        <v>553</v>
      </c>
      <c r="C430" s="60">
        <f>C443</f>
        <v>-1553</v>
      </c>
      <c r="D430" s="60">
        <f>D443</f>
        <v>-1578</v>
      </c>
      <c r="E430" s="60">
        <f>E443</f>
        <v>-1667.12</v>
      </c>
      <c r="F430" s="60">
        <f t="shared" ref="F430:L430" si="4654">F443</f>
        <v>-1703.43</v>
      </c>
      <c r="G430" s="60">
        <f t="shared" si="4654"/>
        <v>-1722.04</v>
      </c>
      <c r="H430" s="60">
        <f t="shared" si="4654"/>
        <v>-1999.02</v>
      </c>
      <c r="I430" s="60">
        <f t="shared" si="4654"/>
        <v>-2225.9899999999998</v>
      </c>
      <c r="J430" s="60">
        <f t="shared" si="4654"/>
        <v>-2219.12</v>
      </c>
      <c r="K430" s="60">
        <f t="shared" si="4654"/>
        <v>-2304.63</v>
      </c>
      <c r="L430" s="60">
        <f t="shared" si="4654"/>
        <v>-2368.7600000000002</v>
      </c>
      <c r="M430" s="60">
        <f t="shared" ref="M430:AG430" si="4655">M443</f>
        <v>-2452.33</v>
      </c>
      <c r="N430" s="60">
        <f t="shared" si="4655"/>
        <v>-2511.44</v>
      </c>
      <c r="O430" s="60">
        <f t="shared" si="4655"/>
        <v>-2673.82</v>
      </c>
      <c r="P430" s="60">
        <f t="shared" si="4655"/>
        <v>-2782.64</v>
      </c>
      <c r="Q430" s="60">
        <f t="shared" si="4655"/>
        <v>-2890.68</v>
      </c>
      <c r="R430" s="60">
        <f t="shared" si="4655"/>
        <v>-3186.54</v>
      </c>
      <c r="S430" s="60">
        <f t="shared" si="4655"/>
        <v>-3244.27</v>
      </c>
      <c r="T430" s="60">
        <f t="shared" si="4655"/>
        <v>-3256</v>
      </c>
      <c r="U430" s="60">
        <f t="shared" si="4655"/>
        <v>-3729</v>
      </c>
      <c r="V430" s="60">
        <f t="shared" si="4655"/>
        <v>-4026</v>
      </c>
      <c r="W430" s="60">
        <f t="shared" si="4655"/>
        <v>-3997</v>
      </c>
      <c r="X430" s="60">
        <f t="shared" si="4655"/>
        <v>-4133</v>
      </c>
      <c r="Y430" s="60">
        <f>Y443</f>
        <v>-4113</v>
      </c>
      <c r="Z430" s="60">
        <f t="shared" si="4655"/>
        <v>-4044</v>
      </c>
      <c r="AA430" s="60">
        <f t="shared" si="4655"/>
        <v>-4213</v>
      </c>
      <c r="AB430" s="60">
        <f t="shared" si="4655"/>
        <v>-4286</v>
      </c>
      <c r="AC430" s="60">
        <f t="shared" si="4655"/>
        <v>-4474</v>
      </c>
      <c r="AD430" s="60">
        <f t="shared" si="4655"/>
        <v>-4603</v>
      </c>
      <c r="AE430" s="60">
        <f t="shared" ref="AE430:AF430" si="4656">AE443</f>
        <v>-4775</v>
      </c>
      <c r="AF430" s="60">
        <f t="shared" si="4656"/>
        <v>-5488</v>
      </c>
      <c r="AG430" s="60">
        <f t="shared" si="4655"/>
        <v>-4951</v>
      </c>
      <c r="AH430" s="60">
        <f t="shared" ref="AH430:AI430" si="4657">AH443</f>
        <v>-4487</v>
      </c>
      <c r="AI430" s="60">
        <f t="shared" si="4657"/>
        <v>-4480</v>
      </c>
      <c r="AJ430" s="60">
        <f t="shared" ref="AJ430:AK430" si="4658">AJ443</f>
        <v>-4473</v>
      </c>
      <c r="AK430" s="60">
        <f t="shared" si="4658"/>
        <v>-4928</v>
      </c>
      <c r="AL430" s="60">
        <f t="shared" ref="AL430:AM430" si="4659">AL443</f>
        <v>-4365</v>
      </c>
      <c r="AM430" s="60">
        <f t="shared" si="4659"/>
        <v>-4706</v>
      </c>
      <c r="AN430" s="60">
        <f t="shared" ref="AN430:AO430" si="4660">AN443</f>
        <v>-4605</v>
      </c>
      <c r="AO430" s="60">
        <f t="shared" si="4660"/>
        <v>-4778</v>
      </c>
      <c r="AP430" s="60">
        <f t="shared" ref="AP430:AQ430" si="4661">AP443</f>
        <v>-4482</v>
      </c>
      <c r="AQ430" s="60">
        <f t="shared" si="4661"/>
        <v>-4569</v>
      </c>
      <c r="AR430" s="60">
        <f t="shared" ref="AR430:AS430" si="4662">AR443</f>
        <v>-4791</v>
      </c>
      <c r="AS430" s="60">
        <f t="shared" si="4662"/>
        <v>-4788</v>
      </c>
      <c r="AT430" s="60">
        <f t="shared" ref="AT430:AU430" si="4663">AT443</f>
        <v>-4997</v>
      </c>
      <c r="AU430" s="60">
        <f t="shared" si="4663"/>
        <v>-5142</v>
      </c>
      <c r="AV430" s="60">
        <f t="shared" ref="AV430:AW430" si="4664">AV443</f>
        <v>-5215</v>
      </c>
      <c r="AW430" s="60">
        <f t="shared" si="4664"/>
        <v>-5526</v>
      </c>
      <c r="AX430" s="60">
        <f t="shared" ref="AX430" si="4665">AX443</f>
        <v>-5742</v>
      </c>
      <c r="AY430" s="219">
        <f t="shared" ref="AY430" si="4666">AY443</f>
        <v>-7138</v>
      </c>
      <c r="AZ430" s="60">
        <f t="shared" ref="AZ430:BA430" si="4667">AZ443</f>
        <v>-5655.3363965448234</v>
      </c>
      <c r="BA430" s="60">
        <f t="shared" si="4667"/>
        <v>-5842.8664936409004</v>
      </c>
      <c r="BB430" s="60">
        <f t="shared" ref="BB430:BC430" si="4668">BB443</f>
        <v>-5583.4926221265141</v>
      </c>
      <c r="BC430" s="60">
        <f t="shared" si="4668"/>
        <v>-6031.6733273549871</v>
      </c>
      <c r="BD430" s="60">
        <f t="shared" ref="BD430:BE430" si="4669">BD443</f>
        <v>-5624.7316572259006</v>
      </c>
      <c r="BE430" s="60">
        <f t="shared" si="4669"/>
        <v>-6130.8030711120537</v>
      </c>
      <c r="BF430" s="60">
        <f t="shared" ref="BF430:BG430" si="4670">BF443</f>
        <v>-5765.4091812627266</v>
      </c>
      <c r="BG430" s="60">
        <f t="shared" si="4670"/>
        <v>-6237.8275467977164</v>
      </c>
      <c r="BH430" s="60">
        <f t="shared" ref="BH430:BI430" si="4671">BH443</f>
        <v>-5862.8226831828606</v>
      </c>
      <c r="BI430" s="60">
        <f t="shared" si="4671"/>
        <v>-6379.7490209978796</v>
      </c>
      <c r="BJ430" s="60">
        <f t="shared" ref="BJ430:BK430" si="4672">BJ443</f>
        <v>-6132.6309569320729</v>
      </c>
      <c r="BK430" s="60">
        <f t="shared" si="4672"/>
        <v>-6473.7293775789922</v>
      </c>
      <c r="BL430" s="60">
        <f t="shared" ref="BL430:BM430" si="4673">BL443</f>
        <v>-6246.8716708539541</v>
      </c>
      <c r="BM430" s="60">
        <f t="shared" si="4673"/>
        <v>-6599.0425989516634</v>
      </c>
      <c r="BN430" s="60">
        <f t="shared" ref="BN430:BO430" si="4674">BN443</f>
        <v>-6372.5196491489351</v>
      </c>
      <c r="BO430" s="60">
        <f t="shared" si="4674"/>
        <v>-6761.0866308130544</v>
      </c>
      <c r="BP430" s="60">
        <f t="shared" ref="BP430:BQ430" si="4675">BP443</f>
        <v>-6511.0906991425963</v>
      </c>
      <c r="BQ430" s="60">
        <f t="shared" si="4675"/>
        <v>-6916.5775161239162</v>
      </c>
      <c r="BR430" s="60"/>
      <c r="BS430" s="60">
        <f t="shared" ref="BS430:CB430" si="4676">BS443</f>
        <v>-3329</v>
      </c>
      <c r="BT430" s="60">
        <f t="shared" si="4676"/>
        <v>-3124</v>
      </c>
      <c r="BU430" s="60">
        <f t="shared" si="4676"/>
        <v>-3001</v>
      </c>
      <c r="BV430" s="60">
        <f t="shared" si="4676"/>
        <v>-3116</v>
      </c>
      <c r="BW430" s="60">
        <f t="shared" si="4676"/>
        <v>-3397</v>
      </c>
      <c r="BX430" s="60">
        <f t="shared" si="4676"/>
        <v>-3502</v>
      </c>
      <c r="BY430" s="60">
        <f t="shared" si="4676"/>
        <v>-3442</v>
      </c>
      <c r="BZ430" s="60">
        <f t="shared" si="4676"/>
        <v>-3300</v>
      </c>
      <c r="CA430" s="60">
        <f t="shared" si="4676"/>
        <v>-3302</v>
      </c>
      <c r="CB430" s="60">
        <f t="shared" si="4676"/>
        <v>-3075</v>
      </c>
      <c r="CC430" s="60">
        <f t="shared" ref="CC430:CO430" si="4677">CC443</f>
        <v>-3245.12</v>
      </c>
      <c r="CD430" s="60">
        <f t="shared" si="4677"/>
        <v>-3425.4700000000003</v>
      </c>
      <c r="CE430" s="60">
        <f t="shared" si="4677"/>
        <v>-4225.01</v>
      </c>
      <c r="CF430" s="60">
        <f t="shared" si="4677"/>
        <v>-4523.75</v>
      </c>
      <c r="CG430" s="60">
        <f t="shared" si="4677"/>
        <v>-4821.09</v>
      </c>
      <c r="CH430" s="60">
        <f t="shared" si="4677"/>
        <v>-5185.26</v>
      </c>
      <c r="CI430" s="60">
        <f t="shared" si="4677"/>
        <v>-5673.32</v>
      </c>
      <c r="CJ430" s="60">
        <f t="shared" si="4677"/>
        <v>-6430.8099999999995</v>
      </c>
      <c r="CK430" s="60">
        <f t="shared" si="4677"/>
        <v>-6985</v>
      </c>
      <c r="CL430" s="60">
        <f t="shared" si="4677"/>
        <v>-8023</v>
      </c>
      <c r="CM430" s="60">
        <f t="shared" si="4677"/>
        <v>-8246</v>
      </c>
      <c r="CN430" s="60">
        <f t="shared" si="4677"/>
        <v>-8257</v>
      </c>
      <c r="CO430" s="60">
        <f t="shared" si="4677"/>
        <v>-8760</v>
      </c>
      <c r="CP430" s="60">
        <f t="shared" ref="CP430:CX430" si="4678">CP443</f>
        <v>-9378</v>
      </c>
      <c r="CQ430" s="60">
        <f t="shared" si="4678"/>
        <v>-10439</v>
      </c>
      <c r="CR430" s="60">
        <f t="shared" si="4678"/>
        <v>-8967</v>
      </c>
      <c r="CS430" s="60">
        <f t="shared" si="4678"/>
        <v>-9401</v>
      </c>
      <c r="CT430" s="60">
        <f t="shared" si="4678"/>
        <v>-9071</v>
      </c>
      <c r="CU430" s="60">
        <f t="shared" si="4678"/>
        <v>-9383</v>
      </c>
      <c r="CV430" s="60">
        <f t="shared" si="4678"/>
        <v>-9051</v>
      </c>
      <c r="CW430" s="60">
        <f t="shared" si="4678"/>
        <v>-9579</v>
      </c>
      <c r="CX430" s="60">
        <f t="shared" si="4678"/>
        <v>-10139</v>
      </c>
      <c r="CY430" s="60">
        <f t="shared" ref="CY430:DD430" si="4679">CY443</f>
        <v>-10741</v>
      </c>
      <c r="CZ430" s="219">
        <f t="shared" si="4679"/>
        <v>-12880</v>
      </c>
      <c r="DA430" s="60">
        <f t="shared" si="4679"/>
        <v>-11498.202890185723</v>
      </c>
      <c r="DB430" s="60">
        <f t="shared" si="4679"/>
        <v>-11615.165949481501</v>
      </c>
      <c r="DC430" s="60">
        <f t="shared" si="4679"/>
        <v>-11755.534728337954</v>
      </c>
      <c r="DD430" s="60">
        <f t="shared" si="4679"/>
        <v>-12003.236728060443</v>
      </c>
      <c r="DE430" s="60">
        <f t="shared" ref="DE430" si="4680">DE443</f>
        <v>-12242.57170418074</v>
      </c>
      <c r="DF430" s="60">
        <f t="shared" ref="DF430" si="4681">DF443</f>
        <v>-12606.360334511064</v>
      </c>
      <c r="DG430" s="60">
        <f>DG443</f>
        <v>-12845.914269805617</v>
      </c>
      <c r="DH430" s="60">
        <f>DH443</f>
        <v>-13133.60627996199</v>
      </c>
      <c r="DI430" s="60">
        <f>DI443</f>
        <v>-13427.668215266513</v>
      </c>
    </row>
    <row r="431" spans="1:113" ht="12" outlineLevel="1">
      <c r="C431" s="41"/>
      <c r="D431" s="41"/>
      <c r="E431" s="41"/>
      <c r="F431" s="41"/>
      <c r="G431" s="41"/>
      <c r="H431" s="41"/>
      <c r="I431" s="41"/>
      <c r="J431" s="41"/>
      <c r="K431" s="41"/>
      <c r="L431" s="41"/>
      <c r="M431" s="41"/>
      <c r="N431" s="41"/>
      <c r="O431" s="41"/>
      <c r="P431" s="41"/>
      <c r="Q431" s="41"/>
      <c r="R431" s="41"/>
      <c r="S431" s="41"/>
      <c r="T431" s="41"/>
      <c r="U431" s="41"/>
      <c r="V431" s="41"/>
      <c r="W431" s="41"/>
      <c r="X431" s="41"/>
      <c r="Y431" s="41"/>
      <c r="Z431" s="41"/>
      <c r="AA431" s="41"/>
      <c r="AB431" s="41"/>
      <c r="AC431" s="41"/>
      <c r="AD431" s="41"/>
      <c r="AE431" s="41"/>
      <c r="AF431" s="41"/>
      <c r="AG431" s="41"/>
      <c r="AH431" s="41"/>
      <c r="AI431" s="41"/>
      <c r="AJ431" s="32"/>
      <c r="AK431" s="32"/>
      <c r="AL431" s="32"/>
      <c r="AM431" s="32"/>
      <c r="AN431" s="32"/>
      <c r="AO431" s="32"/>
      <c r="AP431" s="32"/>
      <c r="AQ431" s="32"/>
      <c r="AR431" s="32"/>
      <c r="AS431" s="32"/>
      <c r="AT431" s="32"/>
      <c r="AU431" s="32"/>
      <c r="AV431" s="32"/>
      <c r="AW431" s="32"/>
      <c r="AX431" s="32"/>
      <c r="AY431" s="31"/>
      <c r="AZ431" s="562"/>
      <c r="BA431" s="562"/>
      <c r="BB431" s="562"/>
      <c r="BC431" s="562"/>
      <c r="BD431" s="562"/>
      <c r="BE431" s="30"/>
      <c r="BF431" s="30"/>
      <c r="BG431" s="30"/>
      <c r="BH431" s="30"/>
      <c r="BI431" s="30"/>
      <c r="BJ431" s="30"/>
      <c r="BK431" s="30"/>
      <c r="BL431" s="30"/>
      <c r="BM431" s="30"/>
      <c r="BN431" s="30"/>
      <c r="BO431" s="30"/>
      <c r="BP431" s="30"/>
      <c r="BQ431" s="30"/>
      <c r="BR431" s="41"/>
      <c r="BS431" s="41"/>
      <c r="BT431" s="41"/>
      <c r="BU431" s="41"/>
      <c r="BV431" s="41"/>
      <c r="BW431" s="41"/>
      <c r="BX431" s="41"/>
      <c r="BY431" s="41"/>
      <c r="BZ431" s="41"/>
      <c r="CA431" s="41"/>
      <c r="CB431" s="41"/>
      <c r="CC431" s="41"/>
      <c r="CD431" s="41"/>
      <c r="CE431" s="41"/>
      <c r="CF431" s="41"/>
      <c r="CG431" s="41"/>
      <c r="CH431" s="41"/>
      <c r="CI431" s="41"/>
      <c r="CJ431" s="41"/>
      <c r="CK431" s="41"/>
      <c r="CL431" s="41"/>
      <c r="CM431" s="41"/>
      <c r="CN431" s="41"/>
      <c r="CO431" s="41"/>
      <c r="CP431" s="32"/>
      <c r="CQ431" s="32"/>
      <c r="CR431" s="32"/>
      <c r="CS431" s="32"/>
      <c r="CT431" s="32"/>
      <c r="CU431" s="32"/>
      <c r="CV431" s="32"/>
      <c r="CW431" s="32"/>
      <c r="CX431" s="32"/>
      <c r="CY431" s="32"/>
      <c r="CZ431" s="211"/>
      <c r="DA431" s="41"/>
      <c r="DB431" s="15"/>
      <c r="DC431" s="15"/>
      <c r="DD431" s="15"/>
      <c r="DE431" s="15"/>
      <c r="DF431" s="15"/>
      <c r="DG431" s="15"/>
      <c r="DH431" s="15"/>
      <c r="DI431" s="15"/>
    </row>
    <row r="432" spans="1:113" ht="12" outlineLevel="1">
      <c r="A432" s="1" t="s">
        <v>672</v>
      </c>
      <c r="B432" s="15" t="s">
        <v>554</v>
      </c>
      <c r="C432" s="40">
        <f>-1675+836</f>
        <v>-839</v>
      </c>
      <c r="D432" s="40">
        <v>-853</v>
      </c>
      <c r="E432" s="40">
        <f>-1714-D432</f>
        <v>-861</v>
      </c>
      <c r="F432" s="40">
        <v>-873</v>
      </c>
      <c r="G432" s="40">
        <f>-2131-F432</f>
        <v>-1258</v>
      </c>
      <c r="H432" s="40">
        <v>-1012</v>
      </c>
      <c r="I432" s="40">
        <f>-2131-H432</f>
        <v>-1119</v>
      </c>
      <c r="J432" s="40">
        <v>-1219</v>
      </c>
      <c r="K432" s="40">
        <f>-2529-J432</f>
        <v>-1310</v>
      </c>
      <c r="L432" s="40">
        <f>-1365</f>
        <v>-1365</v>
      </c>
      <c r="M432" s="40">
        <f>-1390</f>
        <v>-1390</v>
      </c>
      <c r="N432" s="40">
        <f>-1451</f>
        <v>-1451</v>
      </c>
      <c r="O432" s="40">
        <f>-1540</f>
        <v>-1540</v>
      </c>
      <c r="P432" s="40">
        <f>-1616</f>
        <v>-1616</v>
      </c>
      <c r="Q432" s="40">
        <f>-1628</f>
        <v>-1628</v>
      </c>
      <c r="R432" s="40">
        <v>-1769</v>
      </c>
      <c r="S432" s="40">
        <v>-1824</v>
      </c>
      <c r="T432" s="40">
        <v>-1912</v>
      </c>
      <c r="U432" s="40">
        <f>-4214-T432</f>
        <v>-2302</v>
      </c>
      <c r="V432" s="40">
        <v>-2377</v>
      </c>
      <c r="W432" s="40">
        <f>-4700-V432</f>
        <v>-2323</v>
      </c>
      <c r="X432" s="40">
        <v>-2426</v>
      </c>
      <c r="Y432" s="40">
        <v>-2338</v>
      </c>
      <c r="Z432" s="141">
        <v>-2347</v>
      </c>
      <c r="AA432" s="141">
        <v>-2417</v>
      </c>
      <c r="AB432" s="141">
        <v>-2530</v>
      </c>
      <c r="AC432" s="141">
        <v>-2558</v>
      </c>
      <c r="AD432" s="141">
        <v>-2715</v>
      </c>
      <c r="AE432" s="141">
        <v>-2764</v>
      </c>
      <c r="AF432" s="141">
        <v>-2801</v>
      </c>
      <c r="AG432" s="141">
        <v>-2740</v>
      </c>
      <c r="AH432" s="141">
        <v>-2519</v>
      </c>
      <c r="AI432" s="141">
        <v>-2405</v>
      </c>
      <c r="AJ432" s="141">
        <v>-2355</v>
      </c>
      <c r="AK432" s="141">
        <v>-2260</v>
      </c>
      <c r="AL432" s="141">
        <v>-2370</v>
      </c>
      <c r="AM432" s="141">
        <v>-2395</v>
      </c>
      <c r="AN432" s="141">
        <v>-2465</v>
      </c>
      <c r="AO432" s="141">
        <v>-2413</v>
      </c>
      <c r="AP432" s="141">
        <v>-2449</v>
      </c>
      <c r="AQ432" s="141">
        <v>-2497</v>
      </c>
      <c r="AR432" s="141">
        <v>-2654</v>
      </c>
      <c r="AS432" s="141">
        <v>-2642</v>
      </c>
      <c r="AT432" s="141">
        <v>-2893</v>
      </c>
      <c r="AU432" s="141">
        <v>-2869</v>
      </c>
      <c r="AV432" s="141">
        <v>-3062</v>
      </c>
      <c r="AW432" s="141">
        <v>-3116</v>
      </c>
      <c r="AX432" s="141">
        <v>-3312</v>
      </c>
      <c r="AY432" s="226">
        <v>-3443</v>
      </c>
      <c r="AZ432" s="41">
        <f t="shared" ref="AZ432" si="4682">-AVERAGE(AY92:AZ92)*AZ93/AZ$5/1000000</f>
        <v>-3299.112333333333</v>
      </c>
      <c r="BA432" s="41">
        <f t="shared" ref="BA432" si="4683">-AVERAGE(AZ92:BA92)*BA93/BA$5/1000000</f>
        <v>-3365.4875435184581</v>
      </c>
      <c r="BB432" s="41">
        <f t="shared" ref="BB432" si="4684">-AVERAGE(BA92:BB92)*BB93/BB$5/1000000</f>
        <v>-3254.6519316115391</v>
      </c>
      <c r="BC432" s="41">
        <f t="shared" ref="BC432" si="4685">-AVERAGE(BB92:BC92)*BC93/BC$5/1000000</f>
        <v>-3455.1081919776093</v>
      </c>
      <c r="BD432" s="41">
        <f t="shared" ref="BD432" si="4686">-AVERAGE(BC92:BD92)*BD93/BD$5/1000000</f>
        <v>-3315.9012171760055</v>
      </c>
      <c r="BE432" s="41">
        <f t="shared" ref="BE432" si="4687">-AVERAGE(BD92:BE92)*BE93/BE$5/1000000</f>
        <v>-3550.5330986869935</v>
      </c>
      <c r="BF432" s="41">
        <f t="shared" ref="BF432" si="4688">-AVERAGE(BE92:BF92)*BF93/BF$5/1000000</f>
        <v>-3426.1171232525699</v>
      </c>
      <c r="BG432" s="41">
        <f t="shared" ref="BG432:BK432" si="4689">-AVERAGE(BF92:BG92)*BG93/BG$5/1000000</f>
        <v>-3637.8213565193541</v>
      </c>
      <c r="BH432" s="41">
        <f t="shared" si="4689"/>
        <v>-3508.9353586327497</v>
      </c>
      <c r="BI432" s="41">
        <f t="shared" si="4689"/>
        <v>-3741.5335906509786</v>
      </c>
      <c r="BJ432" s="41">
        <f>-AVERAGE(BI92:BJ92)*BJ93/BJ$5/1000000</f>
        <v>-3757.6404753055795</v>
      </c>
      <c r="BK432" s="41">
        <f t="shared" si="4689"/>
        <v>-3805.21299760998</v>
      </c>
      <c r="BL432" s="41">
        <f t="shared" ref="BL432" si="4690">-AVERAGE(BK92:BL92)*BL93/BL$5/1000000</f>
        <v>-3844.9037331457848</v>
      </c>
      <c r="BM432" s="41">
        <f t="shared" ref="BM432" si="4691">-AVERAGE(BL92:BM92)*BM93/BM$5/1000000</f>
        <v>-3899.7004014792919</v>
      </c>
      <c r="BN432" s="41">
        <f t="shared" ref="BN432" si="4692">-AVERAGE(BM92:BN92)*BN93/BN$5/1000000</f>
        <v>-3944.372325099836</v>
      </c>
      <c r="BO432" s="41">
        <f t="shared" ref="BO432" si="4693">-AVERAGE(BN92:BO92)*BO93/BO$5/1000000</f>
        <v>-4022.4270541723363</v>
      </c>
      <c r="BP432" s="41">
        <f t="shared" ref="BP432" si="4694">-AVERAGE(BO92:BP92)*BP93/BP$5/1000000</f>
        <v>-4057.2478796679393</v>
      </c>
      <c r="BQ432" s="41">
        <f t="shared" ref="BQ432" si="4695">-AVERAGE(BP92:BQ92)*BQ93/BQ$5/1000000</f>
        <v>-4137.3938719181979</v>
      </c>
      <c r="BR432" s="41"/>
      <c r="BS432" s="40">
        <f>-1480.5</f>
        <v>-1480.5</v>
      </c>
      <c r="BT432" s="40">
        <v>-1419.6</v>
      </c>
      <c r="BU432" s="40">
        <v>-1468</v>
      </c>
      <c r="BV432" s="40">
        <v>-1610</v>
      </c>
      <c r="BW432" s="40">
        <v>-1805</v>
      </c>
      <c r="BX432" s="40">
        <v>-1949</v>
      </c>
      <c r="BY432" s="40">
        <v>-1854</v>
      </c>
      <c r="BZ432" s="40">
        <v>-1732</v>
      </c>
      <c r="CA432" s="40">
        <v>-1758</v>
      </c>
      <c r="CB432" s="40">
        <f>-1675+CB410*(0.666666666666667)</f>
        <v>-1675</v>
      </c>
      <c r="CC432" s="41">
        <f>SUM(D432:E432)</f>
        <v>-1714</v>
      </c>
      <c r="CD432" s="41">
        <f>SUM(F432:G432)</f>
        <v>-2131</v>
      </c>
      <c r="CE432" s="41">
        <f>SUM(H432:I432)</f>
        <v>-2131</v>
      </c>
      <c r="CF432" s="41">
        <f>SUM(J432:K432)</f>
        <v>-2529</v>
      </c>
      <c r="CG432" s="41">
        <f>SUM(L432:M432)</f>
        <v>-2755</v>
      </c>
      <c r="CH432" s="41">
        <f>SUM(N432:O432)</f>
        <v>-2991</v>
      </c>
      <c r="CI432" s="41">
        <f>SUM(P432:Q432)</f>
        <v>-3244</v>
      </c>
      <c r="CJ432" s="41">
        <f>SUM(R432:S432)</f>
        <v>-3593</v>
      </c>
      <c r="CK432" s="41">
        <f>SUM(T432:U432)</f>
        <v>-4214</v>
      </c>
      <c r="CL432" s="41">
        <f>SUM(V432:W432)</f>
        <v>-4700</v>
      </c>
      <c r="CM432" s="41">
        <f>SUM(X432:Y432)</f>
        <v>-4764</v>
      </c>
      <c r="CN432" s="41">
        <f>SUM(Z432:AA432)</f>
        <v>-4764</v>
      </c>
      <c r="CO432" s="41">
        <f>SUM(AB432:AC432)</f>
        <v>-5088</v>
      </c>
      <c r="CP432" s="41">
        <f>SUM(AD432:AE432)</f>
        <v>-5479</v>
      </c>
      <c r="CQ432" s="41">
        <f>SUM(AF432:AG432)</f>
        <v>-5541</v>
      </c>
      <c r="CR432" s="41">
        <f>SUM(AH432:AI432)</f>
        <v>-4924</v>
      </c>
      <c r="CS432" s="41">
        <f>SUM(AJ432:AK432)</f>
        <v>-4615</v>
      </c>
      <c r="CT432" s="41">
        <f>SUM(AL432:AM432)</f>
        <v>-4765</v>
      </c>
      <c r="CU432" s="41">
        <f>SUM(AN432:AO432)</f>
        <v>-4878</v>
      </c>
      <c r="CV432" s="41">
        <f>SUM(AP432:AQ432)</f>
        <v>-4946</v>
      </c>
      <c r="CW432" s="41">
        <f>SUM(AR432:AS432)</f>
        <v>-5296</v>
      </c>
      <c r="CX432" s="41">
        <f>SUM(AT432:AU432)</f>
        <v>-5762</v>
      </c>
      <c r="CY432" s="41">
        <f>SUM(AV432:AW432)</f>
        <v>-6178</v>
      </c>
      <c r="CZ432" s="211">
        <f>SUM(AX432:AY432)</f>
        <v>-6755</v>
      </c>
      <c r="DA432" s="41">
        <f>SUM(AZ432:BA432)</f>
        <v>-6664.5998768517911</v>
      </c>
      <c r="DB432" s="41">
        <f>SUM(BB432:BC432)</f>
        <v>-6709.7601235891489</v>
      </c>
      <c r="DC432" s="41">
        <f>SUM(BD432:BE432)</f>
        <v>-6866.434315862999</v>
      </c>
      <c r="DD432" s="41">
        <f>SUM(BF432:BG432)</f>
        <v>-7063.938479771924</v>
      </c>
      <c r="DE432" s="41">
        <f>SUM(BH432:BI432)</f>
        <v>-7250.4689492837279</v>
      </c>
      <c r="DF432" s="41">
        <f>SUM(BJ432:BK432)</f>
        <v>-7562.8534729155599</v>
      </c>
      <c r="DG432" s="41">
        <f>SUM(BL432:BM432)</f>
        <v>-7744.6041346250768</v>
      </c>
      <c r="DH432" s="41">
        <f>SUM(BN432:BO432)</f>
        <v>-7966.7993792721718</v>
      </c>
      <c r="DI432" s="41">
        <f>SUM(BP432:BQ432)</f>
        <v>-8194.6417515861376</v>
      </c>
    </row>
    <row r="433" spans="1:113" ht="12" outlineLevel="1">
      <c r="A433" s="1" t="s">
        <v>673</v>
      </c>
      <c r="B433" s="15" t="s">
        <v>450</v>
      </c>
      <c r="C433" s="40">
        <f t="shared" ref="C433:K433" si="4696">C410*(1/3)</f>
        <v>0</v>
      </c>
      <c r="D433" s="40">
        <f t="shared" si="4696"/>
        <v>0</v>
      </c>
      <c r="E433" s="40">
        <f t="shared" si="4696"/>
        <v>-30.706666666666667</v>
      </c>
      <c r="F433" s="40">
        <f t="shared" si="4696"/>
        <v>-33.809999999999995</v>
      </c>
      <c r="G433" s="40">
        <f t="shared" si="4696"/>
        <v>-32.013333333333328</v>
      </c>
      <c r="H433" s="40">
        <f t="shared" si="4696"/>
        <v>-32.339999999999996</v>
      </c>
      <c r="I433" s="40">
        <f t="shared" si="4696"/>
        <v>-40.996666666666663</v>
      </c>
      <c r="J433" s="40">
        <f t="shared" si="4696"/>
        <v>-30.706666666666667</v>
      </c>
      <c r="K433" s="40">
        <f t="shared" si="4696"/>
        <v>-30.543333333333329</v>
      </c>
      <c r="L433" s="40">
        <f>L410*(1/3)</f>
        <v>-36.586666666666659</v>
      </c>
      <c r="M433" s="40">
        <f t="shared" ref="M433:S433" si="4697">M410*(1/3)</f>
        <v>-35.443333333333328</v>
      </c>
      <c r="N433" s="40">
        <f t="shared" si="4697"/>
        <v>-41.813333333333333</v>
      </c>
      <c r="O433" s="40">
        <f t="shared" si="4697"/>
        <v>-35.606666666666662</v>
      </c>
      <c r="P433" s="40">
        <f t="shared" si="4697"/>
        <v>-38.546666666666667</v>
      </c>
      <c r="Q433" s="40">
        <f t="shared" si="4697"/>
        <v>-37.893333333333331</v>
      </c>
      <c r="R433" s="40">
        <f t="shared" si="4697"/>
        <v>-40.179999999999993</v>
      </c>
      <c r="S433" s="40">
        <f t="shared" si="4697"/>
        <v>-36.423333333333332</v>
      </c>
      <c r="T433" s="40">
        <f>(-321)*(1/3)</f>
        <v>-107</v>
      </c>
      <c r="U433" s="40">
        <f>(-655)*(1/3)-T433</f>
        <v>-111.33333333333331</v>
      </c>
      <c r="V433" s="40">
        <f>(-357)*(1/3)</f>
        <v>-119</v>
      </c>
      <c r="W433" s="40">
        <f>(-853)*(1/3)-V433</f>
        <v>-165.33333333333331</v>
      </c>
      <c r="X433" s="40">
        <f>(-471)*(1/3)</f>
        <v>-157</v>
      </c>
      <c r="Y433" s="40">
        <f>(-496)*(1/3)</f>
        <v>-165.33333333333331</v>
      </c>
      <c r="Z433" s="141">
        <f>(-463)*(1/3)</f>
        <v>-154.33333333333331</v>
      </c>
      <c r="AA433" s="141">
        <f>(-489)*(1/3)</f>
        <v>-163</v>
      </c>
      <c r="AB433" s="141">
        <f>(-484)*(1/3)</f>
        <v>-161.33333333333331</v>
      </c>
      <c r="AC433" s="141">
        <f>(-520)*(1/3)</f>
        <v>-173.33333333333331</v>
      </c>
      <c r="AD433" s="141">
        <f>(-484)*(1/3)</f>
        <v>-161.33333333333331</v>
      </c>
      <c r="AE433" s="141">
        <f>(-481)*(1/3)</f>
        <v>-160.33333333333331</v>
      </c>
      <c r="AF433" s="141">
        <f>(-410)*(1/3)</f>
        <v>-136.66666666666666</v>
      </c>
      <c r="AG433" s="141">
        <f>(-391)*(1/3)</f>
        <v>-130.33333333333331</v>
      </c>
      <c r="AH433" s="141">
        <f>(-126)*(1/3)</f>
        <v>-42</v>
      </c>
      <c r="AI433" s="141">
        <f>(-136)*(1/3)</f>
        <v>-45.333333333333329</v>
      </c>
      <c r="AJ433" s="141">
        <f>(-85)*(1/3)</f>
        <v>-28.333333333333332</v>
      </c>
      <c r="AK433" s="141">
        <f>(-95)*(1/3)</f>
        <v>-31.666666666666664</v>
      </c>
      <c r="AL433" s="141">
        <v>0</v>
      </c>
      <c r="AM433" s="141">
        <v>0</v>
      </c>
      <c r="AN433" s="141">
        <v>0</v>
      </c>
      <c r="AO433" s="141">
        <v>0</v>
      </c>
      <c r="AP433" s="141">
        <v>0</v>
      </c>
      <c r="AQ433" s="141">
        <v>0</v>
      </c>
      <c r="AR433" s="141">
        <v>0</v>
      </c>
      <c r="AS433" s="141">
        <v>0</v>
      </c>
      <c r="AT433" s="141">
        <v>0</v>
      </c>
      <c r="AU433" s="141">
        <v>0</v>
      </c>
      <c r="AV433" s="141">
        <v>0</v>
      </c>
      <c r="AW433" s="141">
        <v>0</v>
      </c>
      <c r="AX433" s="141">
        <v>0</v>
      </c>
      <c r="AY433" s="226">
        <v>0</v>
      </c>
      <c r="AZ433" s="41">
        <v>0</v>
      </c>
      <c r="BA433" s="41">
        <v>0</v>
      </c>
      <c r="BB433" s="41">
        <v>0</v>
      </c>
      <c r="BC433" s="41">
        <v>0</v>
      </c>
      <c r="BD433" s="41">
        <v>0</v>
      </c>
      <c r="BE433" s="41">
        <v>0</v>
      </c>
      <c r="BF433" s="41">
        <v>0</v>
      </c>
      <c r="BG433" s="41">
        <v>0</v>
      </c>
      <c r="BH433" s="41">
        <v>0</v>
      </c>
      <c r="BI433" s="41">
        <v>0</v>
      </c>
      <c r="BJ433" s="41">
        <v>0</v>
      </c>
      <c r="BK433" s="41">
        <v>0</v>
      </c>
      <c r="BL433" s="41">
        <v>0</v>
      </c>
      <c r="BM433" s="41">
        <v>0</v>
      </c>
      <c r="BN433" s="41">
        <v>0</v>
      </c>
      <c r="BO433" s="41">
        <v>0</v>
      </c>
      <c r="BP433" s="41">
        <v>0</v>
      </c>
      <c r="BQ433" s="41">
        <v>0</v>
      </c>
      <c r="BR433" s="41"/>
      <c r="BS433" s="40">
        <v>0</v>
      </c>
      <c r="BT433" s="40">
        <v>0</v>
      </c>
      <c r="BU433" s="40">
        <v>0</v>
      </c>
      <c r="BV433" s="40">
        <v>0</v>
      </c>
      <c r="BW433" s="40">
        <v>0</v>
      </c>
      <c r="BX433" s="40">
        <v>0</v>
      </c>
      <c r="BY433" s="40">
        <v>0</v>
      </c>
      <c r="BZ433" s="40">
        <v>0</v>
      </c>
      <c r="CA433" s="40">
        <v>0</v>
      </c>
      <c r="CB433" s="40">
        <f>CB410*(1/3)</f>
        <v>0</v>
      </c>
      <c r="CC433" s="41">
        <f>SUM(D433:E433)</f>
        <v>-30.706666666666667</v>
      </c>
      <c r="CD433" s="41">
        <f>SUM(F433:G433)</f>
        <v>-65.823333333333323</v>
      </c>
      <c r="CE433" s="41">
        <f>SUM(H433:I433)</f>
        <v>-73.336666666666659</v>
      </c>
      <c r="CF433" s="41">
        <f>SUM(J433:K433)</f>
        <v>-61.25</v>
      </c>
      <c r="CG433" s="41">
        <f>SUM(L433:M433)</f>
        <v>-72.029999999999987</v>
      </c>
      <c r="CH433" s="41">
        <f>SUM(N433:O433)</f>
        <v>-77.419999999999987</v>
      </c>
      <c r="CI433" s="41">
        <f>SUM(P433:Q433)</f>
        <v>-76.44</v>
      </c>
      <c r="CJ433" s="41">
        <f>SUM(R433:S433)</f>
        <v>-76.603333333333325</v>
      </c>
      <c r="CK433" s="41">
        <f>SUM(T433:U433)</f>
        <v>-218.33333333333331</v>
      </c>
      <c r="CL433" s="41">
        <f>SUM(V433:W433)</f>
        <v>-284.33333333333331</v>
      </c>
      <c r="CM433" s="41">
        <f>SUM(X433:Y433)</f>
        <v>-322.33333333333331</v>
      </c>
      <c r="CN433" s="41">
        <f>SUM(Z433:AA433)</f>
        <v>-317.33333333333331</v>
      </c>
      <c r="CO433" s="41">
        <f>SUM(AB433:AC433)</f>
        <v>-334.66666666666663</v>
      </c>
      <c r="CP433" s="41">
        <f>SUM(AD433:AE433)</f>
        <v>-321.66666666666663</v>
      </c>
      <c r="CQ433" s="41">
        <f>SUM(AF433:AG433)</f>
        <v>-267</v>
      </c>
      <c r="CR433" s="41">
        <f>SUM(AH433:AI433)</f>
        <v>-87.333333333333329</v>
      </c>
      <c r="CS433" s="41">
        <f>SUM(AJ433:AK433)</f>
        <v>-60</v>
      </c>
      <c r="CT433" s="41">
        <f>SUM(AL433:AM433)</f>
        <v>0</v>
      </c>
      <c r="CU433" s="41">
        <f>SUM(AN433:AO433)</f>
        <v>0</v>
      </c>
      <c r="CV433" s="41">
        <f>SUM(AP433:AQ433)</f>
        <v>0</v>
      </c>
      <c r="CW433" s="41">
        <f>SUM(AR433:AS433)</f>
        <v>0</v>
      </c>
      <c r="CX433" s="41">
        <f>SUM(AT433:AU433)</f>
        <v>0</v>
      </c>
      <c r="CY433" s="41">
        <f>SUM(AV433:AW433)</f>
        <v>0</v>
      </c>
      <c r="CZ433" s="211">
        <f>SUM(AX433:AY433)</f>
        <v>0</v>
      </c>
      <c r="DA433" s="41">
        <f>SUM(AZ433:BA433)</f>
        <v>0</v>
      </c>
      <c r="DB433" s="41">
        <f>SUM(BB433:BC433)</f>
        <v>0</v>
      </c>
      <c r="DC433" s="41">
        <f>SUM(BD433:BE433)</f>
        <v>0</v>
      </c>
      <c r="DD433" s="41">
        <f>SUM(BF433:BG433)</f>
        <v>0</v>
      </c>
      <c r="DE433" s="41">
        <f>SUM(BH433:BI433)</f>
        <v>0</v>
      </c>
      <c r="DF433" s="41">
        <f>SUM(BJ433:BK433)</f>
        <v>0</v>
      </c>
      <c r="DG433" s="41">
        <f>SUM(BL433:BM433)</f>
        <v>0</v>
      </c>
      <c r="DH433" s="41">
        <f>SUM(BN433:BO433)</f>
        <v>0</v>
      </c>
      <c r="DI433" s="41">
        <f>SUM(BP433:BQ433)</f>
        <v>0</v>
      </c>
    </row>
    <row r="434" spans="1:113" ht="12" outlineLevel="1">
      <c r="A434" s="1" t="s">
        <v>674</v>
      </c>
      <c r="B434" s="15" t="s">
        <v>697</v>
      </c>
      <c r="C434" s="41">
        <f t="shared" ref="C434:AC434" si="4698">C103</f>
        <v>-13</v>
      </c>
      <c r="D434" s="41">
        <f t="shared" si="4698"/>
        <v>-24</v>
      </c>
      <c r="E434" s="41">
        <f t="shared" si="4698"/>
        <v>-26</v>
      </c>
      <c r="F434" s="41">
        <f t="shared" si="4698"/>
        <v>-37</v>
      </c>
      <c r="G434" s="41">
        <f t="shared" si="4698"/>
        <v>-46</v>
      </c>
      <c r="H434" s="41">
        <f t="shared" si="4698"/>
        <v>-63</v>
      </c>
      <c r="I434" s="41">
        <f t="shared" si="4698"/>
        <v>-66</v>
      </c>
      <c r="J434" s="41">
        <f t="shared" si="4698"/>
        <v>-57</v>
      </c>
      <c r="K434" s="41">
        <f t="shared" si="4698"/>
        <v>-64</v>
      </c>
      <c r="L434" s="41">
        <f t="shared" si="4698"/>
        <v>-57</v>
      </c>
      <c r="M434" s="41">
        <f t="shared" si="4698"/>
        <v>-57</v>
      </c>
      <c r="N434" s="41">
        <f t="shared" si="4698"/>
        <v>-58</v>
      </c>
      <c r="O434" s="41">
        <f t="shared" si="4698"/>
        <v>-64</v>
      </c>
      <c r="P434" s="41">
        <f t="shared" si="4698"/>
        <v>-62</v>
      </c>
      <c r="Q434" s="41">
        <f t="shared" si="4698"/>
        <v>-59</v>
      </c>
      <c r="R434" s="41">
        <f t="shared" si="4698"/>
        <v>-83</v>
      </c>
      <c r="S434" s="41">
        <f t="shared" si="4698"/>
        <v>-77</v>
      </c>
      <c r="T434" s="41">
        <f t="shared" si="4698"/>
        <v>-86</v>
      </c>
      <c r="U434" s="41">
        <f t="shared" si="4698"/>
        <v>-121</v>
      </c>
      <c r="V434" s="41">
        <f t="shared" si="4698"/>
        <v>-122</v>
      </c>
      <c r="W434" s="41">
        <f t="shared" si="4698"/>
        <v>-127</v>
      </c>
      <c r="X434" s="41">
        <f t="shared" si="4698"/>
        <v>-150</v>
      </c>
      <c r="Y434" s="41">
        <f t="shared" si="4698"/>
        <v>-170</v>
      </c>
      <c r="Z434" s="41">
        <f t="shared" si="4698"/>
        <v>-181</v>
      </c>
      <c r="AA434" s="41">
        <f t="shared" si="4698"/>
        <v>-202</v>
      </c>
      <c r="AB434" s="41">
        <f t="shared" si="4698"/>
        <v>-205</v>
      </c>
      <c r="AC434" s="41">
        <f t="shared" si="4698"/>
        <v>-221</v>
      </c>
      <c r="AD434" s="41">
        <f t="shared" ref="AD434" si="4699">AD103</f>
        <v>-267</v>
      </c>
      <c r="AE434" s="41">
        <f t="shared" ref="AE434:AF434" si="4700">AE103</f>
        <v>-275</v>
      </c>
      <c r="AF434" s="41">
        <f t="shared" si="4700"/>
        <v>-245</v>
      </c>
      <c r="AG434" s="41">
        <f t="shared" ref="AG434:AH434" si="4701">AG103</f>
        <v>-255</v>
      </c>
      <c r="AH434" s="41">
        <f t="shared" si="4701"/>
        <v>-294</v>
      </c>
      <c r="AI434" s="41">
        <f t="shared" ref="AI434:AJ434" si="4702">AI103</f>
        <v>-271</v>
      </c>
      <c r="AJ434" s="41">
        <f t="shared" si="4702"/>
        <v>-281</v>
      </c>
      <c r="AK434" s="41">
        <f t="shared" ref="AK434:AL434" si="4703">AK103</f>
        <v>-288</v>
      </c>
      <c r="AL434" s="41">
        <f t="shared" si="4703"/>
        <v>-252</v>
      </c>
      <c r="AM434" s="41">
        <f t="shared" ref="AM434:AN434" si="4704">AM103</f>
        <v>-265</v>
      </c>
      <c r="AN434" s="41">
        <f t="shared" si="4704"/>
        <v>-241</v>
      </c>
      <c r="AO434" s="41">
        <f t="shared" ref="AO434" si="4705">AO103</f>
        <v>-219</v>
      </c>
      <c r="AP434" s="41">
        <f t="shared" ref="AP434:AQ434" si="4706">AP103</f>
        <v>-233</v>
      </c>
      <c r="AQ434" s="41">
        <f t="shared" si="4706"/>
        <v>-201</v>
      </c>
      <c r="AR434" s="41">
        <f t="shared" ref="AR434:AS434" si="4707">AR103</f>
        <v>-189</v>
      </c>
      <c r="AS434" s="41">
        <f t="shared" si="4707"/>
        <v>-186</v>
      </c>
      <c r="AT434" s="41">
        <f t="shared" ref="AT434:AU434" si="4708">AT103</f>
        <v>-163</v>
      </c>
      <c r="AU434" s="41">
        <f t="shared" si="4708"/>
        <v>-157</v>
      </c>
      <c r="AV434" s="41">
        <f t="shared" ref="AV434:AW434" si="4709">AV103</f>
        <v>-151</v>
      </c>
      <c r="AW434" s="41">
        <f t="shared" si="4709"/>
        <v>-173</v>
      </c>
      <c r="AX434" s="41">
        <f t="shared" ref="AX434:AY434" si="4710">AX103</f>
        <v>-148</v>
      </c>
      <c r="AY434" s="211">
        <f t="shared" si="4710"/>
        <v>-200</v>
      </c>
      <c r="AZ434" s="41">
        <f t="shared" ref="AZ434:BA434" si="4711">AZ103</f>
        <v>-240.27772227772229</v>
      </c>
      <c r="BA434" s="41">
        <f t="shared" si="4711"/>
        <v>-228.46829010892961</v>
      </c>
      <c r="BB434" s="41">
        <f t="shared" ref="BB434:BC434" si="4712">BB103</f>
        <v>-221.43077589581571</v>
      </c>
      <c r="BC434" s="41">
        <f t="shared" si="4712"/>
        <v>-215.5401097231055</v>
      </c>
      <c r="BD434" s="41">
        <f t="shared" ref="BD434:BE434" si="4713">BD103</f>
        <v>-213.05422453961336</v>
      </c>
      <c r="BE434" s="41">
        <f t="shared" si="4713"/>
        <v>-210.6029156909841</v>
      </c>
      <c r="BF434" s="41">
        <f t="shared" ref="BF434:BG434" si="4714">BF103</f>
        <v>-210.78792723374477</v>
      </c>
      <c r="BG434" s="41">
        <f t="shared" si="4714"/>
        <v>-210.34755433857347</v>
      </c>
      <c r="BH434" s="41">
        <f t="shared" ref="BH434:BI434" si="4715">BH103</f>
        <v>-212.12073477544592</v>
      </c>
      <c r="BI434" s="41">
        <f t="shared" si="4715"/>
        <v>-212.86873920126163</v>
      </c>
      <c r="BJ434" s="41">
        <f t="shared" ref="BJ434:BK434" si="4716">BJ103</f>
        <v>-213.80982943915694</v>
      </c>
      <c r="BK434" s="41">
        <f t="shared" si="4716"/>
        <v>-217.75087244991508</v>
      </c>
      <c r="BL434" s="41">
        <f t="shared" ref="BL434:BM434" si="4717">BL103</f>
        <v>-219.60960870934531</v>
      </c>
      <c r="BM434" s="41">
        <f t="shared" si="4717"/>
        <v>-222.06937899163404</v>
      </c>
      <c r="BN434" s="41">
        <f t="shared" ref="BN434:BO434" si="4718">BN103</f>
        <v>-223.91605980519896</v>
      </c>
      <c r="BO434" s="41">
        <f t="shared" si="4718"/>
        <v>-227.53592078704494</v>
      </c>
      <c r="BP434" s="41">
        <f t="shared" ref="BP434:BQ434" si="4719">BP103</f>
        <v>-228.75815053563804</v>
      </c>
      <c r="BQ434" s="41">
        <f t="shared" si="4719"/>
        <v>-232.53072584255301</v>
      </c>
      <c r="BR434" s="41"/>
      <c r="BS434" s="40">
        <f t="shared" ref="BS434:CB434" si="4720">BS103</f>
        <v>0</v>
      </c>
      <c r="BT434" s="40">
        <f t="shared" si="4720"/>
        <v>0</v>
      </c>
      <c r="BU434" s="40">
        <f t="shared" si="4720"/>
        <v>0</v>
      </c>
      <c r="BV434" s="40">
        <f t="shared" si="4720"/>
        <v>0</v>
      </c>
      <c r="BW434" s="40">
        <f t="shared" si="4720"/>
        <v>0</v>
      </c>
      <c r="BX434" s="40">
        <f t="shared" si="4720"/>
        <v>0</v>
      </c>
      <c r="BY434" s="40">
        <f t="shared" si="4720"/>
        <v>0</v>
      </c>
      <c r="BZ434" s="40">
        <f t="shared" si="4720"/>
        <v>0</v>
      </c>
      <c r="CA434" s="40">
        <f t="shared" si="4720"/>
        <v>0</v>
      </c>
      <c r="CB434" s="40">
        <f t="shared" si="4720"/>
        <v>-22</v>
      </c>
      <c r="CC434" s="41">
        <f>SUM(D434:E434)</f>
        <v>-50</v>
      </c>
      <c r="CD434" s="41">
        <f>SUM(F434:G434)</f>
        <v>-83</v>
      </c>
      <c r="CE434" s="41">
        <f>SUM(H434:I434)</f>
        <v>-129</v>
      </c>
      <c r="CF434" s="41">
        <f>SUM(J434:K434)</f>
        <v>-121</v>
      </c>
      <c r="CG434" s="41">
        <f>SUM(L434:M434)</f>
        <v>-114</v>
      </c>
      <c r="CH434" s="41">
        <f>SUM(N434:O434)</f>
        <v>-122</v>
      </c>
      <c r="CI434" s="41">
        <f>SUM(P434:Q434)</f>
        <v>-121</v>
      </c>
      <c r="CJ434" s="41">
        <f>SUM(R434:S434)</f>
        <v>-160</v>
      </c>
      <c r="CK434" s="41">
        <f>SUM(T434:U434)</f>
        <v>-207</v>
      </c>
      <c r="CL434" s="41">
        <f>SUM(V434:W434)</f>
        <v>-249</v>
      </c>
      <c r="CM434" s="41">
        <f>SUM(X434:Y434)</f>
        <v>-320</v>
      </c>
      <c r="CN434" s="41">
        <f>SUM(Z434:AA434)</f>
        <v>-383</v>
      </c>
      <c r="CO434" s="41">
        <f>SUM(AB434:AC434)</f>
        <v>-426</v>
      </c>
      <c r="CP434" s="41">
        <f>SUM(AD434:AE434)</f>
        <v>-542</v>
      </c>
      <c r="CQ434" s="41">
        <f>SUM(AF434:AG434)</f>
        <v>-500</v>
      </c>
      <c r="CR434" s="41">
        <f>SUM(AH434:AI434)</f>
        <v>-565</v>
      </c>
      <c r="CS434" s="41">
        <f>SUM(AJ434:AK434)</f>
        <v>-569</v>
      </c>
      <c r="CT434" s="41">
        <f>SUM(AL434:AM434)</f>
        <v>-517</v>
      </c>
      <c r="CU434" s="41">
        <f>SUM(AN434:AO434)</f>
        <v>-460</v>
      </c>
      <c r="CV434" s="41">
        <f>SUM(AP434:AQ434)</f>
        <v>-434</v>
      </c>
      <c r="CW434" s="41">
        <f>SUM(AR434:AS434)</f>
        <v>-375</v>
      </c>
      <c r="CX434" s="41">
        <f>SUM(AT434:AU434)</f>
        <v>-320</v>
      </c>
      <c r="CY434" s="41">
        <f>SUM(AV434:AW434)</f>
        <v>-324</v>
      </c>
      <c r="CZ434" s="211">
        <f>SUM(AX434:AY434)</f>
        <v>-348</v>
      </c>
      <c r="DA434" s="41">
        <f>SUM(AZ434:BA434)</f>
        <v>-468.7460123866519</v>
      </c>
      <c r="DB434" s="41">
        <f>SUM(BB434:BC434)</f>
        <v>-436.97088561892122</v>
      </c>
      <c r="DC434" s="41">
        <f>SUM(BD434:BE434)</f>
        <v>-423.65714023059746</v>
      </c>
      <c r="DD434" s="41">
        <f>SUM(BF434:BG434)</f>
        <v>-421.13548157231821</v>
      </c>
      <c r="DE434" s="41">
        <f>SUM(BH434:BI434)</f>
        <v>-424.98947397670759</v>
      </c>
      <c r="DF434" s="41">
        <f>SUM(BJ434:BK434)</f>
        <v>-431.56070188907199</v>
      </c>
      <c r="DG434" s="41">
        <f>SUM(BL434:BM434)</f>
        <v>-441.67898770097935</v>
      </c>
      <c r="DH434" s="41">
        <f>SUM(BN434:BO434)</f>
        <v>-451.4519805922439</v>
      </c>
      <c r="DI434" s="41">
        <f>SUM(BP434:BQ434)</f>
        <v>-461.28887637819105</v>
      </c>
    </row>
    <row r="435" spans="1:113" ht="12" outlineLevel="1">
      <c r="A435" s="1" t="s">
        <v>675</v>
      </c>
      <c r="B435" s="15" t="s">
        <v>451</v>
      </c>
      <c r="C435" s="40">
        <v>0</v>
      </c>
      <c r="D435" s="40">
        <v>0</v>
      </c>
      <c r="E435" s="40">
        <v>0</v>
      </c>
      <c r="F435" s="40">
        <v>0</v>
      </c>
      <c r="G435" s="40">
        <v>0</v>
      </c>
      <c r="H435" s="40">
        <v>0</v>
      </c>
      <c r="I435" s="40">
        <v>0</v>
      </c>
      <c r="J435" s="40">
        <v>0</v>
      </c>
      <c r="K435" s="40">
        <v>0</v>
      </c>
      <c r="L435" s="40">
        <v>0</v>
      </c>
      <c r="M435" s="40">
        <v>0</v>
      </c>
      <c r="N435" s="40">
        <v>0</v>
      </c>
      <c r="O435" s="40">
        <v>0</v>
      </c>
      <c r="P435" s="40">
        <v>0</v>
      </c>
      <c r="Q435" s="40">
        <v>0</v>
      </c>
      <c r="R435" s="40">
        <v>0</v>
      </c>
      <c r="S435" s="40">
        <v>0</v>
      </c>
      <c r="T435" s="40">
        <v>0</v>
      </c>
      <c r="U435" s="40">
        <v>0</v>
      </c>
      <c r="V435" s="40">
        <v>0</v>
      </c>
      <c r="W435" s="40">
        <v>0</v>
      </c>
      <c r="X435" s="40">
        <v>0</v>
      </c>
      <c r="Y435" s="40">
        <v>0</v>
      </c>
      <c r="Z435" s="141">
        <v>0</v>
      </c>
      <c r="AA435" s="141">
        <v>0</v>
      </c>
      <c r="AB435" s="141">
        <v>0</v>
      </c>
      <c r="AC435" s="141">
        <v>0</v>
      </c>
      <c r="AD435" s="141">
        <v>0</v>
      </c>
      <c r="AE435" s="141">
        <v>0</v>
      </c>
      <c r="AF435" s="141">
        <v>0</v>
      </c>
      <c r="AG435" s="141">
        <v>0</v>
      </c>
      <c r="AH435" s="141">
        <v>0</v>
      </c>
      <c r="AI435" s="141">
        <v>0</v>
      </c>
      <c r="AJ435" s="141">
        <v>0</v>
      </c>
      <c r="AK435" s="141">
        <v>0</v>
      </c>
      <c r="AL435" s="141">
        <v>0</v>
      </c>
      <c r="AM435" s="141">
        <v>0</v>
      </c>
      <c r="AN435" s="141">
        <v>0</v>
      </c>
      <c r="AO435" s="141">
        <v>0</v>
      </c>
      <c r="AP435" s="141">
        <v>0</v>
      </c>
      <c r="AQ435" s="141">
        <v>0</v>
      </c>
      <c r="AR435" s="141">
        <v>0</v>
      </c>
      <c r="AS435" s="141">
        <v>0</v>
      </c>
      <c r="AT435" s="141">
        <v>0</v>
      </c>
      <c r="AU435" s="141">
        <v>0</v>
      </c>
      <c r="AV435" s="141">
        <v>0</v>
      </c>
      <c r="AW435" s="141">
        <v>0</v>
      </c>
      <c r="AX435" s="141">
        <v>0</v>
      </c>
      <c r="AY435" s="226">
        <v>0</v>
      </c>
      <c r="AZ435" s="210">
        <v>0</v>
      </c>
      <c r="BA435" s="210">
        <v>0</v>
      </c>
      <c r="BB435" s="210">
        <v>0</v>
      </c>
      <c r="BC435" s="210">
        <v>0</v>
      </c>
      <c r="BD435" s="210">
        <v>0</v>
      </c>
      <c r="BE435" s="210">
        <v>0</v>
      </c>
      <c r="BF435" s="210">
        <v>0</v>
      </c>
      <c r="BG435" s="210">
        <v>0</v>
      </c>
      <c r="BH435" s="210">
        <v>0</v>
      </c>
      <c r="BI435" s="210">
        <v>0</v>
      </c>
      <c r="BJ435" s="210">
        <v>0</v>
      </c>
      <c r="BK435" s="210">
        <v>0</v>
      </c>
      <c r="BL435" s="210">
        <v>0</v>
      </c>
      <c r="BM435" s="210">
        <v>0</v>
      </c>
      <c r="BN435" s="210">
        <v>0</v>
      </c>
      <c r="BO435" s="210">
        <v>0</v>
      </c>
      <c r="BP435" s="210">
        <v>0</v>
      </c>
      <c r="BQ435" s="210">
        <v>0</v>
      </c>
      <c r="BR435" s="210"/>
      <c r="BS435" s="40">
        <v>0</v>
      </c>
      <c r="BT435" s="40">
        <v>0</v>
      </c>
      <c r="BU435" s="40">
        <v>0</v>
      </c>
      <c r="BV435" s="40">
        <v>0</v>
      </c>
      <c r="BW435" s="40">
        <v>0</v>
      </c>
      <c r="BX435" s="40">
        <v>0</v>
      </c>
      <c r="BY435" s="40">
        <v>0</v>
      </c>
      <c r="BZ435" s="40">
        <v>0</v>
      </c>
      <c r="CA435" s="40">
        <v>0</v>
      </c>
      <c r="CB435" s="40">
        <v>0</v>
      </c>
      <c r="CC435" s="41">
        <f>SUM(D435:E435)</f>
        <v>0</v>
      </c>
      <c r="CD435" s="41">
        <f>SUM(F435:G435)</f>
        <v>0</v>
      </c>
      <c r="CE435" s="41">
        <f>SUM(H435:I435)</f>
        <v>0</v>
      </c>
      <c r="CF435" s="41">
        <f>SUM(J435:K435)</f>
        <v>0</v>
      </c>
      <c r="CG435" s="41">
        <f>SUM(L435:M435)</f>
        <v>0</v>
      </c>
      <c r="CH435" s="41">
        <f>SUM(N435:O435)</f>
        <v>0</v>
      </c>
      <c r="CI435" s="41">
        <f>SUM(P435:Q435)</f>
        <v>0</v>
      </c>
      <c r="CJ435" s="41">
        <f>SUM(R435:S435)</f>
        <v>0</v>
      </c>
      <c r="CK435" s="41">
        <f>SUM(T435:U435)</f>
        <v>0</v>
      </c>
      <c r="CL435" s="41">
        <f>SUM(V435:W435)</f>
        <v>0</v>
      </c>
      <c r="CM435" s="41">
        <f>SUM(X435:Y435)</f>
        <v>0</v>
      </c>
      <c r="CN435" s="41">
        <f>SUM(Z435:AA435)</f>
        <v>0</v>
      </c>
      <c r="CO435" s="41">
        <f>SUM(AB435:AC435)</f>
        <v>0</v>
      </c>
      <c r="CP435" s="41">
        <f>SUM(AD435:AE435)</f>
        <v>0</v>
      </c>
      <c r="CQ435" s="41">
        <f>SUM(AF435:AG435)</f>
        <v>0</v>
      </c>
      <c r="CR435" s="41">
        <f>SUM(AH435:AI435)</f>
        <v>0</v>
      </c>
      <c r="CS435" s="41">
        <f>SUM(AJ435:AK435)</f>
        <v>0</v>
      </c>
      <c r="CT435" s="41">
        <f>SUM(AL435:AM435)</f>
        <v>0</v>
      </c>
      <c r="CU435" s="41">
        <f>SUM(AN435:AO435)</f>
        <v>0</v>
      </c>
      <c r="CV435" s="41">
        <f>SUM(AP435:AQ435)</f>
        <v>0</v>
      </c>
      <c r="CW435" s="41">
        <f>SUM(AR435:AS435)</f>
        <v>0</v>
      </c>
      <c r="CX435" s="41">
        <f>SUM(AT435:AU435)</f>
        <v>0</v>
      </c>
      <c r="CY435" s="41">
        <f>SUM(AV435:AW435)</f>
        <v>0</v>
      </c>
      <c r="CZ435" s="211">
        <f>SUM(AX435:AY435)</f>
        <v>0</v>
      </c>
      <c r="DA435" s="41">
        <f>SUM(AZ435:BA435)</f>
        <v>0</v>
      </c>
      <c r="DB435" s="41">
        <f>SUM(BB435:BC435)</f>
        <v>0</v>
      </c>
      <c r="DC435" s="41">
        <f>SUM(BD435:BE435)</f>
        <v>0</v>
      </c>
      <c r="DD435" s="41">
        <f>SUM(BF435:BG435)</f>
        <v>0</v>
      </c>
      <c r="DE435" s="41">
        <f>SUM(BH435:BI435)</f>
        <v>0</v>
      </c>
      <c r="DF435" s="41">
        <f>SUM(BJ435:BK435)</f>
        <v>0</v>
      </c>
      <c r="DG435" s="41">
        <f>SUM(BL435:BM435)</f>
        <v>0</v>
      </c>
      <c r="DH435" s="41">
        <f>SUM(BN435:BO435)</f>
        <v>0</v>
      </c>
      <c r="DI435" s="41">
        <f>SUM(BP435:BQ435)</f>
        <v>0</v>
      </c>
    </row>
    <row r="436" spans="1:113" ht="12" hidden="1" outlineLevel="2">
      <c r="A436" s="1" t="s">
        <v>676</v>
      </c>
      <c r="B436" s="15" t="s">
        <v>804</v>
      </c>
      <c r="C436" s="41"/>
      <c r="D436" s="41"/>
      <c r="E436" s="41"/>
      <c r="F436" s="41"/>
      <c r="G436" s="41"/>
      <c r="H436" s="41"/>
      <c r="I436" s="41"/>
      <c r="J436" s="41"/>
      <c r="K436" s="41"/>
      <c r="L436" s="41"/>
      <c r="M436" s="41"/>
      <c r="N436" s="41"/>
      <c r="O436" s="41"/>
      <c r="P436" s="41"/>
      <c r="Q436" s="41"/>
      <c r="R436" s="41"/>
      <c r="S436" s="41"/>
      <c r="T436" s="41"/>
      <c r="U436" s="41"/>
      <c r="V436" s="41"/>
      <c r="W436" s="41"/>
      <c r="X436" s="41"/>
      <c r="Y436" s="41"/>
      <c r="Z436" s="41"/>
      <c r="AA436" s="41"/>
      <c r="AB436" s="41"/>
      <c r="AC436" s="41"/>
      <c r="AD436" s="41"/>
      <c r="AE436" s="41"/>
      <c r="AF436" s="41"/>
      <c r="AG436" s="41"/>
      <c r="AH436" s="41"/>
      <c r="AI436" s="41"/>
      <c r="AJ436" s="41"/>
      <c r="AK436" s="41"/>
      <c r="AL436" s="41"/>
      <c r="AM436" s="41"/>
      <c r="AN436" s="41"/>
      <c r="AO436" s="41"/>
      <c r="AP436" s="41"/>
      <c r="AQ436" s="41"/>
      <c r="AR436" s="41"/>
      <c r="AS436" s="41"/>
      <c r="AT436" s="41"/>
      <c r="AU436" s="41"/>
      <c r="AV436" s="41"/>
      <c r="AW436" s="41"/>
      <c r="AX436" s="41"/>
      <c r="AY436" s="211"/>
      <c r="AZ436" s="41"/>
      <c r="BA436" s="41"/>
      <c r="BB436" s="41"/>
      <c r="BC436" s="41"/>
      <c r="BD436" s="41"/>
      <c r="BE436" s="41"/>
      <c r="BF436" s="41"/>
      <c r="BG436" s="41"/>
      <c r="BH436" s="41"/>
      <c r="BI436" s="41"/>
      <c r="BJ436" s="41"/>
      <c r="BK436" s="41"/>
      <c r="BL436" s="41"/>
      <c r="BM436" s="41"/>
      <c r="BN436" s="41"/>
      <c r="BO436" s="41"/>
      <c r="BP436" s="41"/>
      <c r="BQ436" s="41"/>
      <c r="BR436" s="41"/>
      <c r="BS436" s="41"/>
      <c r="BT436" s="41"/>
      <c r="BU436" s="41"/>
      <c r="BV436" s="41"/>
      <c r="BW436" s="41"/>
      <c r="BX436" s="41"/>
      <c r="BY436" s="41"/>
      <c r="BZ436" s="41"/>
      <c r="CA436" s="41"/>
      <c r="CB436" s="41"/>
      <c r="CC436" s="41"/>
      <c r="CD436" s="41"/>
      <c r="CE436" s="41"/>
      <c r="CF436" s="41"/>
      <c r="CG436" s="41"/>
      <c r="CH436" s="41"/>
      <c r="CI436" s="41"/>
      <c r="CJ436" s="41"/>
      <c r="CK436" s="41"/>
      <c r="CL436" s="41"/>
      <c r="CM436" s="41"/>
      <c r="CN436" s="41"/>
      <c r="CO436" s="41"/>
      <c r="CP436" s="41"/>
      <c r="CQ436" s="41"/>
      <c r="CR436" s="41"/>
      <c r="CS436" s="41"/>
      <c r="CT436" s="41"/>
      <c r="CU436" s="41"/>
      <c r="CV436" s="41"/>
      <c r="CW436" s="41"/>
      <c r="CX436" s="41"/>
      <c r="CY436" s="41"/>
      <c r="CZ436" s="211"/>
      <c r="DA436" s="41"/>
      <c r="DB436" s="15"/>
      <c r="DC436" s="15"/>
      <c r="DD436" s="15"/>
      <c r="DE436" s="15"/>
      <c r="DF436" s="15"/>
      <c r="DG436" s="15"/>
      <c r="DH436" s="15"/>
      <c r="DI436" s="15"/>
    </row>
    <row r="437" spans="1:113" ht="12" hidden="1" outlineLevel="2">
      <c r="A437" s="1" t="s">
        <v>51</v>
      </c>
      <c r="B437" s="15" t="s">
        <v>804</v>
      </c>
      <c r="C437" s="41"/>
      <c r="D437" s="41"/>
      <c r="E437" s="41"/>
      <c r="F437" s="41"/>
      <c r="G437" s="41"/>
      <c r="H437" s="41"/>
      <c r="I437" s="41"/>
      <c r="J437" s="41"/>
      <c r="K437" s="41"/>
      <c r="L437" s="41"/>
      <c r="M437" s="41"/>
      <c r="N437" s="41"/>
      <c r="O437" s="41"/>
      <c r="P437" s="41"/>
      <c r="Q437" s="41"/>
      <c r="R437" s="41"/>
      <c r="S437" s="41"/>
      <c r="T437" s="41"/>
      <c r="U437" s="41"/>
      <c r="V437" s="41"/>
      <c r="W437" s="41"/>
      <c r="X437" s="41"/>
      <c r="Y437" s="41"/>
      <c r="Z437" s="41"/>
      <c r="AA437" s="41"/>
      <c r="AB437" s="41"/>
      <c r="AC437" s="41"/>
      <c r="AD437" s="41"/>
      <c r="AE437" s="41"/>
      <c r="AF437" s="41"/>
      <c r="AG437" s="41"/>
      <c r="AH437" s="41"/>
      <c r="AI437" s="41"/>
      <c r="AJ437" s="41"/>
      <c r="AK437" s="41"/>
      <c r="AL437" s="41"/>
      <c r="AM437" s="41"/>
      <c r="AN437" s="41"/>
      <c r="AO437" s="41"/>
      <c r="AP437" s="41"/>
      <c r="AQ437" s="41"/>
      <c r="AR437" s="41"/>
      <c r="AS437" s="41"/>
      <c r="AT437" s="41"/>
      <c r="AU437" s="41"/>
      <c r="AV437" s="41"/>
      <c r="AW437" s="41"/>
      <c r="AX437" s="41"/>
      <c r="AY437" s="211"/>
      <c r="AZ437" s="41"/>
      <c r="BA437" s="41"/>
      <c r="BB437" s="41"/>
      <c r="BC437" s="41"/>
      <c r="BD437" s="41"/>
      <c r="BE437" s="41"/>
      <c r="BF437" s="41"/>
      <c r="BG437" s="41"/>
      <c r="BH437" s="41"/>
      <c r="BI437" s="41"/>
      <c r="BJ437" s="41"/>
      <c r="BK437" s="41"/>
      <c r="BL437" s="41"/>
      <c r="BM437" s="41"/>
      <c r="BN437" s="41"/>
      <c r="BO437" s="41"/>
      <c r="BP437" s="41"/>
      <c r="BQ437" s="41"/>
      <c r="BR437" s="41"/>
      <c r="BS437" s="41"/>
      <c r="BT437" s="41"/>
      <c r="BU437" s="41"/>
      <c r="BV437" s="41"/>
      <c r="BW437" s="41"/>
      <c r="BX437" s="41"/>
      <c r="BY437" s="41"/>
      <c r="BZ437" s="41"/>
      <c r="CA437" s="41"/>
      <c r="CB437" s="41"/>
      <c r="CC437" s="41"/>
      <c r="CD437" s="41"/>
      <c r="CE437" s="41"/>
      <c r="CF437" s="41"/>
      <c r="CG437" s="41"/>
      <c r="CH437" s="41"/>
      <c r="CI437" s="41"/>
      <c r="CJ437" s="41"/>
      <c r="CK437" s="41"/>
      <c r="CL437" s="41"/>
      <c r="CM437" s="41"/>
      <c r="CN437" s="41"/>
      <c r="CO437" s="41"/>
      <c r="CP437" s="41"/>
      <c r="CQ437" s="41"/>
      <c r="CR437" s="41"/>
      <c r="CS437" s="41"/>
      <c r="CT437" s="41"/>
      <c r="CU437" s="41"/>
      <c r="CV437" s="41"/>
      <c r="CW437" s="41"/>
      <c r="CX437" s="41"/>
      <c r="CY437" s="41"/>
      <c r="CZ437" s="211"/>
      <c r="DA437" s="41"/>
      <c r="DB437" s="15"/>
      <c r="DC437" s="15"/>
      <c r="DD437" s="15"/>
      <c r="DE437" s="15"/>
      <c r="DF437" s="15"/>
      <c r="DG437" s="15"/>
      <c r="DH437" s="15"/>
      <c r="DI437" s="15"/>
    </row>
    <row r="438" spans="1:113" ht="12" hidden="1" outlineLevel="2">
      <c r="A438" s="1" t="s">
        <v>52</v>
      </c>
      <c r="B438" s="15" t="s">
        <v>804</v>
      </c>
      <c r="C438" s="41"/>
      <c r="D438" s="41"/>
      <c r="E438" s="41"/>
      <c r="F438" s="41"/>
      <c r="G438" s="41"/>
      <c r="H438" s="41"/>
      <c r="I438" s="41"/>
      <c r="J438" s="41"/>
      <c r="K438" s="41"/>
      <c r="L438" s="41"/>
      <c r="M438" s="41"/>
      <c r="N438" s="41"/>
      <c r="O438" s="41"/>
      <c r="P438" s="41"/>
      <c r="Q438" s="41"/>
      <c r="R438" s="41"/>
      <c r="S438" s="41"/>
      <c r="T438" s="41"/>
      <c r="U438" s="41"/>
      <c r="V438" s="41"/>
      <c r="W438" s="41"/>
      <c r="X438" s="41"/>
      <c r="Y438" s="41"/>
      <c r="Z438" s="41"/>
      <c r="AA438" s="41"/>
      <c r="AB438" s="41"/>
      <c r="AC438" s="41"/>
      <c r="AD438" s="41"/>
      <c r="AE438" s="41"/>
      <c r="AF438" s="41"/>
      <c r="AG438" s="41"/>
      <c r="AH438" s="41"/>
      <c r="AI438" s="41"/>
      <c r="AJ438" s="41"/>
      <c r="AK438" s="41"/>
      <c r="AL438" s="41"/>
      <c r="AM438" s="41"/>
      <c r="AN438" s="41"/>
      <c r="AO438" s="41"/>
      <c r="AP438" s="41"/>
      <c r="AQ438" s="41"/>
      <c r="AR438" s="41"/>
      <c r="AS438" s="41"/>
      <c r="AT438" s="41"/>
      <c r="AU438" s="41"/>
      <c r="AV438" s="41"/>
      <c r="AW438" s="41"/>
      <c r="AX438" s="41"/>
      <c r="AY438" s="211"/>
      <c r="AZ438" s="41"/>
      <c r="BA438" s="41"/>
      <c r="BB438" s="41"/>
      <c r="BC438" s="41"/>
      <c r="BD438" s="41"/>
      <c r="BE438" s="41"/>
      <c r="BF438" s="41"/>
      <c r="BG438" s="41"/>
      <c r="BH438" s="41"/>
      <c r="BI438" s="41"/>
      <c r="BJ438" s="41"/>
      <c r="BK438" s="41"/>
      <c r="BL438" s="41"/>
      <c r="BM438" s="41"/>
      <c r="BN438" s="41"/>
      <c r="BO438" s="41"/>
      <c r="BP438" s="41"/>
      <c r="BQ438" s="41"/>
      <c r="BR438" s="41"/>
      <c r="BS438" s="41"/>
      <c r="BT438" s="41"/>
      <c r="BU438" s="41"/>
      <c r="BV438" s="41"/>
      <c r="BW438" s="41"/>
      <c r="BX438" s="41"/>
      <c r="BY438" s="41"/>
      <c r="BZ438" s="41"/>
      <c r="CA438" s="41"/>
      <c r="CB438" s="41"/>
      <c r="CC438" s="41"/>
      <c r="CD438" s="41"/>
      <c r="CE438" s="41"/>
      <c r="CF438" s="41"/>
      <c r="CG438" s="41"/>
      <c r="CH438" s="41"/>
      <c r="CI438" s="41"/>
      <c r="CJ438" s="41"/>
      <c r="CK438" s="41"/>
      <c r="CL438" s="41"/>
      <c r="CM438" s="41"/>
      <c r="CN438" s="41"/>
      <c r="CO438" s="41"/>
      <c r="CP438" s="41"/>
      <c r="CQ438" s="41"/>
      <c r="CR438" s="41"/>
      <c r="CS438" s="41"/>
      <c r="CT438" s="41"/>
      <c r="CU438" s="41"/>
      <c r="CV438" s="41"/>
      <c r="CW438" s="41"/>
      <c r="CX438" s="41"/>
      <c r="CY438" s="41"/>
      <c r="CZ438" s="211"/>
      <c r="DA438" s="41"/>
      <c r="DB438" s="15"/>
      <c r="DC438" s="15"/>
      <c r="DD438" s="15"/>
      <c r="DE438" s="15"/>
      <c r="DF438" s="15"/>
      <c r="DG438" s="15"/>
      <c r="DH438" s="15"/>
      <c r="DI438" s="15"/>
    </row>
    <row r="439" spans="1:113" ht="12" hidden="1" outlineLevel="2">
      <c r="A439" s="1" t="s">
        <v>54</v>
      </c>
      <c r="B439" s="15" t="s">
        <v>804</v>
      </c>
      <c r="C439" s="41"/>
      <c r="D439" s="41"/>
      <c r="E439" s="41"/>
      <c r="F439" s="41"/>
      <c r="G439" s="41"/>
      <c r="H439" s="41"/>
      <c r="I439" s="41"/>
      <c r="J439" s="41"/>
      <c r="K439" s="41"/>
      <c r="L439" s="41"/>
      <c r="M439" s="41"/>
      <c r="N439" s="41"/>
      <c r="O439" s="41"/>
      <c r="P439" s="41"/>
      <c r="Q439" s="41"/>
      <c r="R439" s="41"/>
      <c r="S439" s="41"/>
      <c r="T439" s="41"/>
      <c r="U439" s="41"/>
      <c r="V439" s="41"/>
      <c r="W439" s="41"/>
      <c r="X439" s="41"/>
      <c r="Y439" s="41"/>
      <c r="Z439" s="41"/>
      <c r="AA439" s="41"/>
      <c r="AB439" s="41"/>
      <c r="AC439" s="41"/>
      <c r="AD439" s="41"/>
      <c r="AE439" s="41"/>
      <c r="AF439" s="41"/>
      <c r="AG439" s="41"/>
      <c r="AH439" s="41"/>
      <c r="AI439" s="41"/>
      <c r="AJ439" s="41"/>
      <c r="AK439" s="41"/>
      <c r="AL439" s="41"/>
      <c r="AM439" s="41"/>
      <c r="AN439" s="41"/>
      <c r="AO439" s="41"/>
      <c r="AP439" s="41"/>
      <c r="AQ439" s="41"/>
      <c r="AR439" s="41"/>
      <c r="AS439" s="41"/>
      <c r="AT439" s="41"/>
      <c r="AU439" s="41"/>
      <c r="AV439" s="41"/>
      <c r="AW439" s="41"/>
      <c r="AX439" s="41"/>
      <c r="AY439" s="211"/>
      <c r="AZ439" s="41"/>
      <c r="BA439" s="41"/>
      <c r="BB439" s="41"/>
      <c r="BC439" s="41"/>
      <c r="BD439" s="41"/>
      <c r="BE439" s="41"/>
      <c r="BF439" s="41"/>
      <c r="BG439" s="41"/>
      <c r="BH439" s="41"/>
      <c r="BI439" s="41"/>
      <c r="BJ439" s="41"/>
      <c r="BK439" s="41"/>
      <c r="BL439" s="41"/>
      <c r="BM439" s="41"/>
      <c r="BN439" s="41"/>
      <c r="BO439" s="41"/>
      <c r="BP439" s="41"/>
      <c r="BQ439" s="41"/>
      <c r="BR439" s="41"/>
      <c r="BS439" s="41"/>
      <c r="BT439" s="41"/>
      <c r="BU439" s="41"/>
      <c r="BV439" s="41"/>
      <c r="BW439" s="41"/>
      <c r="BX439" s="41"/>
      <c r="BY439" s="41"/>
      <c r="BZ439" s="41"/>
      <c r="CA439" s="41"/>
      <c r="CB439" s="41"/>
      <c r="CC439" s="41"/>
      <c r="CD439" s="41"/>
      <c r="CE439" s="41"/>
      <c r="CF439" s="41"/>
      <c r="CG439" s="41"/>
      <c r="CH439" s="41"/>
      <c r="CI439" s="41"/>
      <c r="CJ439" s="41"/>
      <c r="CK439" s="41"/>
      <c r="CL439" s="41"/>
      <c r="CM439" s="41"/>
      <c r="CN439" s="41"/>
      <c r="CO439" s="41"/>
      <c r="CP439" s="41"/>
      <c r="CQ439" s="41"/>
      <c r="CR439" s="41"/>
      <c r="CS439" s="41"/>
      <c r="CT439" s="41"/>
      <c r="CU439" s="41"/>
      <c r="CV439" s="41"/>
      <c r="CW439" s="41"/>
      <c r="CX439" s="41"/>
      <c r="CY439" s="41"/>
      <c r="CZ439" s="211"/>
      <c r="DA439" s="41"/>
      <c r="DB439" s="15"/>
      <c r="DC439" s="15"/>
      <c r="DD439" s="15"/>
      <c r="DE439" s="15"/>
      <c r="DF439" s="15"/>
      <c r="DG439" s="15"/>
      <c r="DH439" s="15"/>
      <c r="DI439" s="15"/>
    </row>
    <row r="440" spans="1:113" ht="12" outlineLevel="1" collapsed="1">
      <c r="A440" s="1" t="s">
        <v>678</v>
      </c>
      <c r="B440" s="15" t="s">
        <v>452</v>
      </c>
      <c r="C440" s="41">
        <f>C441-SUM(C432:C434,C435:C439)</f>
        <v>-701</v>
      </c>
      <c r="D440" s="41">
        <f>D441-SUM(D432:D434,D435:D439)</f>
        <v>-701</v>
      </c>
      <c r="E440" s="41">
        <f t="shared" ref="E440:L440" si="4721">E441-SUM(E432:E434,E435:E439)</f>
        <v>-749.41333333333318</v>
      </c>
      <c r="F440" s="41">
        <f t="shared" si="4721"/>
        <v>-759.62000000000012</v>
      </c>
      <c r="G440" s="41">
        <f t="shared" si="4721"/>
        <v>-386.02666666666664</v>
      </c>
      <c r="H440" s="41">
        <f t="shared" si="4721"/>
        <v>-891.68000000000006</v>
      </c>
      <c r="I440" s="41">
        <f t="shared" si="4721"/>
        <v>-999.99333333333311</v>
      </c>
      <c r="J440" s="41">
        <f t="shared" si="4721"/>
        <v>-912.41333333333318</v>
      </c>
      <c r="K440" s="41">
        <f t="shared" si="4721"/>
        <v>-900.08666666666682</v>
      </c>
      <c r="L440" s="41">
        <f t="shared" si="4721"/>
        <v>-910.17333333333363</v>
      </c>
      <c r="M440" s="41">
        <f t="shared" ref="M440:X440" si="4722">M441-SUM(M432:M434,M435:M439)</f>
        <v>-969.88666666666654</v>
      </c>
      <c r="N440" s="41">
        <f t="shared" si="4722"/>
        <v>-960.62666666666678</v>
      </c>
      <c r="O440" s="41">
        <f t="shared" si="4722"/>
        <v>-1034.2133333333336</v>
      </c>
      <c r="P440" s="41">
        <f t="shared" si="4722"/>
        <v>-1066.0933333333332</v>
      </c>
      <c r="Q440" s="41">
        <f t="shared" si="4722"/>
        <v>-1165.7866666666664</v>
      </c>
      <c r="R440" s="41">
        <f t="shared" si="4722"/>
        <v>-1294.3599999999999</v>
      </c>
      <c r="S440" s="41">
        <f t="shared" si="4722"/>
        <v>-1306.8466666666666</v>
      </c>
      <c r="T440" s="41">
        <f t="shared" si="4722"/>
        <v>-1151</v>
      </c>
      <c r="U440" s="41">
        <f t="shared" si="4722"/>
        <v>-1194.6666666666665</v>
      </c>
      <c r="V440" s="41">
        <f t="shared" si="4722"/>
        <v>-1408</v>
      </c>
      <c r="W440" s="41">
        <f t="shared" si="4722"/>
        <v>-1381.6666666666665</v>
      </c>
      <c r="X440" s="41">
        <f t="shared" si="4722"/>
        <v>-1400</v>
      </c>
      <c r="Y440" s="41">
        <f t="shared" ref="Y440:AD440" si="4723">Y441-SUM(Y432:Y434,Y435:Y439)</f>
        <v>-1439.6666666666665</v>
      </c>
      <c r="Z440" s="41">
        <f t="shared" si="4723"/>
        <v>-1361.6666666666665</v>
      </c>
      <c r="AA440" s="41">
        <f t="shared" si="4723"/>
        <v>-1431</v>
      </c>
      <c r="AB440" s="41">
        <f t="shared" si="4723"/>
        <v>-1389.6666666666665</v>
      </c>
      <c r="AC440" s="41">
        <f t="shared" si="4723"/>
        <v>-1396.6666666666665</v>
      </c>
      <c r="AD440" s="41">
        <f t="shared" si="4723"/>
        <v>-1428.6666666666665</v>
      </c>
      <c r="AE440" s="41">
        <f t="shared" ref="AE440:AF440" si="4724">AE441-SUM(AE432:AE434,AE435:AE439)</f>
        <v>-1532.6666666666665</v>
      </c>
      <c r="AF440" s="41">
        <f t="shared" si="4724"/>
        <v>-1600.3333333333335</v>
      </c>
      <c r="AG440" s="41">
        <f t="shared" ref="AG440:AH440" si="4725">AG441-SUM(AG432:AG434,AG435:AG439)</f>
        <v>-1679.6666666666665</v>
      </c>
      <c r="AH440" s="41">
        <f t="shared" si="4725"/>
        <v>-1632</v>
      </c>
      <c r="AI440" s="41">
        <f t="shared" ref="AI440:AJ440" si="4726">AI441-SUM(AI432:AI434,AI435:AI439)</f>
        <v>-1758.6666666666665</v>
      </c>
      <c r="AJ440" s="41">
        <f t="shared" si="4726"/>
        <v>-1629.6666666666665</v>
      </c>
      <c r="AK440" s="41">
        <f t="shared" ref="AK440:AL440" si="4727">AK441-SUM(AK432:AK434,AK435:AK439)</f>
        <v>-1728.3333333333335</v>
      </c>
      <c r="AL440" s="41">
        <f t="shared" si="4727"/>
        <v>-1600</v>
      </c>
      <c r="AM440" s="41">
        <f t="shared" ref="AM440:AN440" si="4728">AM441-SUM(AM432:AM434,AM435:AM439)</f>
        <v>-1645</v>
      </c>
      <c r="AN440" s="41">
        <f t="shared" si="4728"/>
        <v>-1655</v>
      </c>
      <c r="AO440" s="41">
        <f t="shared" ref="AO440" si="4729">AO441-SUM(AO432:AO434,AO435:AO439)</f>
        <v>-1656</v>
      </c>
      <c r="AP440" s="41">
        <f t="shared" ref="AP440:AQ440" si="4730">AP441-SUM(AP432:AP434,AP435:AP439)</f>
        <v>-1505</v>
      </c>
      <c r="AQ440" s="41">
        <f t="shared" si="4730"/>
        <v>-1725</v>
      </c>
      <c r="AR440" s="41">
        <f t="shared" ref="AR440:AS440" si="4731">AR441-SUM(AR432:AR434,AR435:AR439)</f>
        <v>-1701</v>
      </c>
      <c r="AS440" s="41">
        <f t="shared" si="4731"/>
        <v>-1798</v>
      </c>
      <c r="AT440" s="41">
        <f t="shared" ref="AT440:AU440" si="4732">AT441-SUM(AT432:AT434,AT435:AT439)</f>
        <v>-1788</v>
      </c>
      <c r="AU440" s="41">
        <f t="shared" si="4732"/>
        <v>-1848</v>
      </c>
      <c r="AV440" s="41">
        <f t="shared" ref="AV440:AW440" si="4733">AV441-SUM(AV432:AV434,AV435:AV439)</f>
        <v>-2002</v>
      </c>
      <c r="AW440" s="41">
        <f t="shared" si="4733"/>
        <v>-2237</v>
      </c>
      <c r="AX440" s="41">
        <f t="shared" ref="AX440" si="4734">AX441-SUM(AX432:AX434,AX435:AX439)</f>
        <v>-2282</v>
      </c>
      <c r="AY440" s="211">
        <f>AY441-SUM(AY432:AY434,AY435:AY439)</f>
        <v>-2464</v>
      </c>
      <c r="AZ440" s="41">
        <f t="shared" ref="AZ440:BI440" si="4735">AZ441-AZ435-AZ434-AZ433-AZ432</f>
        <v>-2004.6963409337682</v>
      </c>
      <c r="BA440" s="41">
        <f t="shared" si="4735"/>
        <v>-2137.6606600135124</v>
      </c>
      <c r="BB440" s="41">
        <f t="shared" si="4735"/>
        <v>-1996.1599146191593</v>
      </c>
      <c r="BC440" s="41">
        <f t="shared" si="4735"/>
        <v>-2249.7750256542727</v>
      </c>
      <c r="BD440" s="41">
        <f t="shared" si="4735"/>
        <v>-2095.7762155102814</v>
      </c>
      <c r="BE440" s="41">
        <f t="shared" si="4735"/>
        <v>-2369.6670567340757</v>
      </c>
      <c r="BF440" s="41">
        <f t="shared" si="4735"/>
        <v>-2128.5041307764118</v>
      </c>
      <c r="BG440" s="41">
        <f t="shared" si="4735"/>
        <v>-2389.6586359397884</v>
      </c>
      <c r="BH440" s="41">
        <f t="shared" si="4735"/>
        <v>-2141.7665897746647</v>
      </c>
      <c r="BI440" s="41">
        <f t="shared" si="4735"/>
        <v>-2425.3466911456394</v>
      </c>
      <c r="BJ440" s="41">
        <f>BH440*BJ94*(1+BJ95)+BH440*(1-BJ94)*(BJ327+BJ406)/(BI327+BI406)</f>
        <v>-2161.1806521873368</v>
      </c>
      <c r="BK440" s="41">
        <f t="shared" ref="BK440:BQ440" si="4736">BI440*BK94*(1+BK95)+BI440*(1-BK94)*(BK327+BK406)/(BJ327+BJ406)</f>
        <v>-2450.7655075190969</v>
      </c>
      <c r="BL440" s="41">
        <f t="shared" si="4736"/>
        <v>-2182.3583289988242</v>
      </c>
      <c r="BM440" s="41">
        <f t="shared" si="4736"/>
        <v>-2477.2728184807374</v>
      </c>
      <c r="BN440" s="41">
        <f t="shared" si="4736"/>
        <v>-2204.2312642438997</v>
      </c>
      <c r="BO440" s="41">
        <f t="shared" si="4736"/>
        <v>-2511.123655853673</v>
      </c>
      <c r="BP440" s="41">
        <f t="shared" si="4736"/>
        <v>-2225.0846689390191</v>
      </c>
      <c r="BQ440" s="41">
        <f t="shared" si="4736"/>
        <v>-2546.652918363166</v>
      </c>
      <c r="BR440" s="41"/>
      <c r="BS440" s="41">
        <f t="shared" ref="BS440:CA440" si="4737">BS441-SUM(BS432:BS433,BS434:BS439)</f>
        <v>-1848.5</v>
      </c>
      <c r="BT440" s="41">
        <f t="shared" si="4737"/>
        <v>-1704.4</v>
      </c>
      <c r="BU440" s="41">
        <f t="shared" si="4737"/>
        <v>-1533</v>
      </c>
      <c r="BV440" s="41">
        <f t="shared" si="4737"/>
        <v>-1506</v>
      </c>
      <c r="BW440" s="41">
        <f t="shared" si="4737"/>
        <v>-1592</v>
      </c>
      <c r="BX440" s="41">
        <f t="shared" si="4737"/>
        <v>-1553</v>
      </c>
      <c r="BY440" s="41">
        <f t="shared" si="4737"/>
        <v>-1588</v>
      </c>
      <c r="BZ440" s="41">
        <f t="shared" si="4737"/>
        <v>-1568</v>
      </c>
      <c r="CA440" s="41">
        <f t="shared" si="4737"/>
        <v>-1544</v>
      </c>
      <c r="CB440" s="41">
        <f>CB441-SUM(CB432:CB433,CB434:CB439)</f>
        <v>-1378</v>
      </c>
      <c r="CC440" s="41">
        <f t="shared" ref="CC440:CC449" si="4738">SUM(D440:E440)</f>
        <v>-1450.4133333333332</v>
      </c>
      <c r="CD440" s="41">
        <f t="shared" ref="CD440:CD449" si="4739">SUM(F440:G440)</f>
        <v>-1145.6466666666668</v>
      </c>
      <c r="CE440" s="41">
        <f t="shared" ref="CE440:CE449" si="4740">SUM(H440:I440)</f>
        <v>-1891.6733333333332</v>
      </c>
      <c r="CF440" s="41">
        <f t="shared" ref="CF440:CF449" si="4741">SUM(J440:K440)</f>
        <v>-1812.5</v>
      </c>
      <c r="CG440" s="41">
        <f t="shared" ref="CG440:CG449" si="4742">SUM(L440:M440)</f>
        <v>-1880.0600000000002</v>
      </c>
      <c r="CH440" s="41">
        <f t="shared" ref="CH440:CH449" si="4743">SUM(N440:O440)</f>
        <v>-1994.8400000000004</v>
      </c>
      <c r="CI440" s="41">
        <f t="shared" ref="CI440:CI449" si="4744">SUM(P440:Q440)</f>
        <v>-2231.8799999999997</v>
      </c>
      <c r="CJ440" s="41">
        <f t="shared" ref="CJ440:CJ450" si="4745">SUM(R440:S440)</f>
        <v>-2601.2066666666665</v>
      </c>
      <c r="CK440" s="41">
        <f t="shared" ref="CK440:CK450" si="4746">SUM(T440:U440)</f>
        <v>-2345.6666666666665</v>
      </c>
      <c r="CL440" s="41">
        <f t="shared" ref="CL440:CL450" si="4747">SUM(V440:W440)</f>
        <v>-2789.6666666666665</v>
      </c>
      <c r="CM440" s="41">
        <f t="shared" ref="CM440:CM450" si="4748">SUM(X440:Y440)</f>
        <v>-2839.6666666666665</v>
      </c>
      <c r="CN440" s="41">
        <f t="shared" ref="CN440:CN450" si="4749">SUM(Z440:AA440)</f>
        <v>-2792.6666666666665</v>
      </c>
      <c r="CO440" s="41">
        <f t="shared" ref="CO440:CO450" si="4750">SUM(AB440:AC440)</f>
        <v>-2786.333333333333</v>
      </c>
      <c r="CP440" s="41">
        <f t="shared" ref="CP440:CP450" si="4751">SUM(AD440:AE440)</f>
        <v>-2961.333333333333</v>
      </c>
      <c r="CQ440" s="41">
        <f t="shared" ref="CQ440:CQ450" si="4752">SUM(AF440:AG440)</f>
        <v>-3280</v>
      </c>
      <c r="CR440" s="41">
        <f t="shared" ref="CR440:CR450" si="4753">SUM(AH440:AI440)</f>
        <v>-3390.6666666666665</v>
      </c>
      <c r="CS440" s="41">
        <f t="shared" ref="CS440:CS450" si="4754">SUM(AJ440:AK440)</f>
        <v>-3358</v>
      </c>
      <c r="CT440" s="41">
        <f t="shared" ref="CT440:CT450" si="4755">SUM(AL440:AM440)</f>
        <v>-3245</v>
      </c>
      <c r="CU440" s="41">
        <f t="shared" ref="CU440:CU450" si="4756">SUM(AN440:AO440)</f>
        <v>-3311</v>
      </c>
      <c r="CV440" s="41">
        <f t="shared" ref="CV440:CV450" si="4757">SUM(AP440:AQ440)</f>
        <v>-3230</v>
      </c>
      <c r="CW440" s="41">
        <f t="shared" ref="CW440:CW450" si="4758">SUM(AR440:AS440)</f>
        <v>-3499</v>
      </c>
      <c r="CX440" s="41">
        <f t="shared" ref="CX440:CX450" si="4759">SUM(AT440:AU440)</f>
        <v>-3636</v>
      </c>
      <c r="CY440" s="41">
        <f t="shared" ref="CY440:CY450" si="4760">SUM(AV440:AW440)</f>
        <v>-4239</v>
      </c>
      <c r="CZ440" s="211">
        <f t="shared" ref="CZ440:CZ450" si="4761">SUM(AX440:AY440)</f>
        <v>-4746</v>
      </c>
      <c r="DA440" s="41">
        <f t="shared" ref="DA440:DA450" si="4762">SUM(AZ440:BA440)</f>
        <v>-4142.3570009472805</v>
      </c>
      <c r="DB440" s="41">
        <f t="shared" ref="DB440:DB450" si="4763">SUM(BB440:BC440)</f>
        <v>-4245.9349402734315</v>
      </c>
      <c r="DC440" s="41">
        <f t="shared" ref="DC440:DC450" si="4764">SUM(BD440:BE440)</f>
        <v>-4465.4432722443571</v>
      </c>
      <c r="DD440" s="41">
        <f t="shared" ref="DD440:DD450" si="4765">SUM(BF440:BG440)</f>
        <v>-4518.1627667162002</v>
      </c>
      <c r="DE440" s="41">
        <f t="shared" ref="DE440:DE450" si="4766">SUM(BH440:BI440)</f>
        <v>-4567.1132809203045</v>
      </c>
      <c r="DF440" s="41">
        <f t="shared" ref="DF440:DF450" si="4767">SUM(BJ440:BK440)</f>
        <v>-4611.9461597064337</v>
      </c>
      <c r="DG440" s="41">
        <f t="shared" ref="DG440:DG450" si="4768">SUM(BL440:BM440)</f>
        <v>-4659.6311474795621</v>
      </c>
      <c r="DH440" s="41">
        <f t="shared" ref="DH440:DH450" si="4769">SUM(BN440:BO440)</f>
        <v>-4715.3549200975722</v>
      </c>
      <c r="DI440" s="41">
        <f t="shared" ref="DI440:DI450" si="4770">SUM(BP440:BQ440)</f>
        <v>-4771.7375873021847</v>
      </c>
    </row>
    <row r="441" spans="1:113" s="17" customFormat="1" ht="12" outlineLevel="1">
      <c r="A441" s="1" t="s">
        <v>87</v>
      </c>
      <c r="B441" s="17" t="s">
        <v>376</v>
      </c>
      <c r="C441" s="62">
        <f>C443-C442</f>
        <v>-1553</v>
      </c>
      <c r="D441" s="62">
        <f>D443-D442</f>
        <v>-1578</v>
      </c>
      <c r="E441" s="62">
        <f>E443-E442</f>
        <v>-1667.12</v>
      </c>
      <c r="F441" s="62">
        <f t="shared" ref="F441:L441" si="4771">F443-F442</f>
        <v>-1703.43</v>
      </c>
      <c r="G441" s="62">
        <f t="shared" si="4771"/>
        <v>-1722.04</v>
      </c>
      <c r="H441" s="62">
        <f t="shared" si="4771"/>
        <v>-1999.02</v>
      </c>
      <c r="I441" s="62">
        <f t="shared" si="4771"/>
        <v>-2225.9899999999998</v>
      </c>
      <c r="J441" s="62">
        <f t="shared" si="4771"/>
        <v>-2219.12</v>
      </c>
      <c r="K441" s="62">
        <f t="shared" si="4771"/>
        <v>-2304.63</v>
      </c>
      <c r="L441" s="62">
        <f t="shared" si="4771"/>
        <v>-2368.7600000000002</v>
      </c>
      <c r="M441" s="62">
        <f t="shared" ref="M441:T441" si="4772">M443-M442</f>
        <v>-2452.33</v>
      </c>
      <c r="N441" s="62">
        <f t="shared" si="4772"/>
        <v>-2511.44</v>
      </c>
      <c r="O441" s="62">
        <f t="shared" si="4772"/>
        <v>-2673.82</v>
      </c>
      <c r="P441" s="62">
        <f t="shared" si="4772"/>
        <v>-2782.64</v>
      </c>
      <c r="Q441" s="62">
        <f t="shared" si="4772"/>
        <v>-2890.68</v>
      </c>
      <c r="R441" s="62">
        <f t="shared" si="4772"/>
        <v>-3186.54</v>
      </c>
      <c r="S441" s="62">
        <f t="shared" si="4772"/>
        <v>-3244.27</v>
      </c>
      <c r="T441" s="62">
        <f t="shared" si="4772"/>
        <v>-3256</v>
      </c>
      <c r="U441" s="62">
        <f t="shared" ref="U441:AA441" si="4773">U443-U442</f>
        <v>-3729</v>
      </c>
      <c r="V441" s="62">
        <f t="shared" si="4773"/>
        <v>-4026</v>
      </c>
      <c r="W441" s="62">
        <f t="shared" si="4773"/>
        <v>-3997</v>
      </c>
      <c r="X441" s="62">
        <f t="shared" si="4773"/>
        <v>-4133</v>
      </c>
      <c r="Y441" s="62">
        <f t="shared" si="4773"/>
        <v>-4113</v>
      </c>
      <c r="Z441" s="62">
        <f t="shared" si="4773"/>
        <v>-4044</v>
      </c>
      <c r="AA441" s="62">
        <f t="shared" si="4773"/>
        <v>-4213</v>
      </c>
      <c r="AB441" s="62">
        <f t="shared" ref="AB441:AC441" si="4774">AB443-AB442</f>
        <v>-4286</v>
      </c>
      <c r="AC441" s="62">
        <f t="shared" si="4774"/>
        <v>-4349</v>
      </c>
      <c r="AD441" s="62">
        <f t="shared" ref="AD441" si="4775">AD443-AD442</f>
        <v>-4572</v>
      </c>
      <c r="AE441" s="62">
        <f t="shared" ref="AE441:AF441" si="4776">AE443-AE442</f>
        <v>-4732</v>
      </c>
      <c r="AF441" s="62">
        <f t="shared" si="4776"/>
        <v>-4783</v>
      </c>
      <c r="AG441" s="62">
        <f t="shared" ref="AG441:AH441" si="4777">AG443-AG442</f>
        <v>-4805</v>
      </c>
      <c r="AH441" s="62">
        <f t="shared" si="4777"/>
        <v>-4487</v>
      </c>
      <c r="AI441" s="62">
        <f t="shared" ref="AI441:AJ441" si="4778">AI443-AI442</f>
        <v>-4480</v>
      </c>
      <c r="AJ441" s="62">
        <f t="shared" si="4778"/>
        <v>-4294</v>
      </c>
      <c r="AK441" s="62">
        <f t="shared" ref="AK441:AL441" si="4779">AK443-AK442</f>
        <v>-4308</v>
      </c>
      <c r="AL441" s="62">
        <f t="shared" si="4779"/>
        <v>-4222</v>
      </c>
      <c r="AM441" s="62">
        <f t="shared" ref="AM441:AN441" si="4780">AM443-AM442</f>
        <v>-4305</v>
      </c>
      <c r="AN441" s="62">
        <f t="shared" si="4780"/>
        <v>-4361</v>
      </c>
      <c r="AO441" s="62">
        <f t="shared" ref="AO441" si="4781">AO443-AO442</f>
        <v>-4288</v>
      </c>
      <c r="AP441" s="62">
        <f t="shared" ref="AP441:AQ441" si="4782">AP443-AP442</f>
        <v>-4187</v>
      </c>
      <c r="AQ441" s="62">
        <f t="shared" si="4782"/>
        <v>-4423</v>
      </c>
      <c r="AR441" s="62">
        <f t="shared" ref="AR441:AS441" si="4783">AR443-AR442</f>
        <v>-4544</v>
      </c>
      <c r="AS441" s="62">
        <f t="shared" si="4783"/>
        <v>-4626</v>
      </c>
      <c r="AT441" s="62">
        <f t="shared" ref="AT441:AU441" si="4784">AT443-AT442</f>
        <v>-4844</v>
      </c>
      <c r="AU441" s="62">
        <f t="shared" si="4784"/>
        <v>-4874</v>
      </c>
      <c r="AV441" s="62">
        <f t="shared" ref="AV441:AW441" si="4785">AV443-AV442</f>
        <v>-5215</v>
      </c>
      <c r="AW441" s="62">
        <f t="shared" si="4785"/>
        <v>-5526</v>
      </c>
      <c r="AX441" s="62">
        <f t="shared" ref="AX441:BH441" si="4786">AX443-AX442</f>
        <v>-5742</v>
      </c>
      <c r="AY441" s="220">
        <f t="shared" ref="AY441" si="4787">AY443-AY442</f>
        <v>-6107</v>
      </c>
      <c r="AZ441" s="62">
        <f t="shared" si="4786"/>
        <v>-5544.0863965448234</v>
      </c>
      <c r="BA441" s="62">
        <f t="shared" si="4786"/>
        <v>-5731.6164936409004</v>
      </c>
      <c r="BB441" s="62">
        <f t="shared" si="4786"/>
        <v>-5472.2426221265141</v>
      </c>
      <c r="BC441" s="62">
        <f t="shared" si="4786"/>
        <v>-5920.4233273549871</v>
      </c>
      <c r="BD441" s="62">
        <f t="shared" si="4786"/>
        <v>-5624.7316572259006</v>
      </c>
      <c r="BE441" s="62">
        <f t="shared" si="4786"/>
        <v>-6130.8030711120537</v>
      </c>
      <c r="BF441" s="62">
        <f t="shared" si="4786"/>
        <v>-5765.4091812627266</v>
      </c>
      <c r="BG441" s="62">
        <f t="shared" si="4786"/>
        <v>-6237.8275467977164</v>
      </c>
      <c r="BH441" s="62">
        <f t="shared" si="4786"/>
        <v>-5862.8226831828606</v>
      </c>
      <c r="BI441" s="62">
        <f>BI443-BI442</f>
        <v>-6379.7490209978796</v>
      </c>
      <c r="BJ441" s="62">
        <f t="shared" ref="BJ441:BK441" si="4788">SUM(BJ432:BJ440)</f>
        <v>-6132.6309569320729</v>
      </c>
      <c r="BK441" s="62">
        <f t="shared" si="4788"/>
        <v>-6473.7293775789922</v>
      </c>
      <c r="BL441" s="62">
        <f t="shared" ref="BL441:BM441" si="4789">SUM(BL432:BL440)</f>
        <v>-6246.8716708539541</v>
      </c>
      <c r="BM441" s="62">
        <f t="shared" si="4789"/>
        <v>-6599.0425989516634</v>
      </c>
      <c r="BN441" s="62">
        <f t="shared" ref="BN441:BO441" si="4790">SUM(BN432:BN440)</f>
        <v>-6372.5196491489351</v>
      </c>
      <c r="BO441" s="62">
        <f t="shared" si="4790"/>
        <v>-6761.0866308130544</v>
      </c>
      <c r="BP441" s="62">
        <f t="shared" ref="BP441:BQ441" si="4791">SUM(BP432:BP440)</f>
        <v>-6511.0906991425963</v>
      </c>
      <c r="BQ441" s="62">
        <f t="shared" si="4791"/>
        <v>-6916.5775161239162</v>
      </c>
      <c r="BR441" s="62"/>
      <c r="BS441" s="62">
        <f t="shared" ref="BS441:CB441" si="4792">BS443-BS442</f>
        <v>-3329</v>
      </c>
      <c r="BT441" s="62">
        <f t="shared" si="4792"/>
        <v>-3124</v>
      </c>
      <c r="BU441" s="62">
        <f t="shared" si="4792"/>
        <v>-3001</v>
      </c>
      <c r="BV441" s="62">
        <f t="shared" si="4792"/>
        <v>-3116</v>
      </c>
      <c r="BW441" s="62">
        <f t="shared" si="4792"/>
        <v>-3397</v>
      </c>
      <c r="BX441" s="62">
        <f t="shared" si="4792"/>
        <v>-3502</v>
      </c>
      <c r="BY441" s="62">
        <f t="shared" si="4792"/>
        <v>-3442</v>
      </c>
      <c r="BZ441" s="62">
        <f t="shared" si="4792"/>
        <v>-3300</v>
      </c>
      <c r="CA441" s="62">
        <f t="shared" si="4792"/>
        <v>-3302</v>
      </c>
      <c r="CB441" s="62">
        <f t="shared" si="4792"/>
        <v>-3075</v>
      </c>
      <c r="CC441" s="62">
        <f t="shared" si="4738"/>
        <v>-3245.12</v>
      </c>
      <c r="CD441" s="62">
        <f t="shared" si="4739"/>
        <v>-3425.4700000000003</v>
      </c>
      <c r="CE441" s="62">
        <f t="shared" si="4740"/>
        <v>-4225.01</v>
      </c>
      <c r="CF441" s="62">
        <f t="shared" si="4741"/>
        <v>-4523.75</v>
      </c>
      <c r="CG441" s="62">
        <f t="shared" si="4742"/>
        <v>-4821.09</v>
      </c>
      <c r="CH441" s="62">
        <f t="shared" si="4743"/>
        <v>-5185.26</v>
      </c>
      <c r="CI441" s="62">
        <f t="shared" si="4744"/>
        <v>-5673.32</v>
      </c>
      <c r="CJ441" s="62">
        <f t="shared" si="4745"/>
        <v>-6430.8099999999995</v>
      </c>
      <c r="CK441" s="62">
        <f t="shared" si="4746"/>
        <v>-6985</v>
      </c>
      <c r="CL441" s="62">
        <f t="shared" si="4747"/>
        <v>-8023</v>
      </c>
      <c r="CM441" s="62">
        <f t="shared" si="4748"/>
        <v>-8246</v>
      </c>
      <c r="CN441" s="62">
        <f t="shared" si="4749"/>
        <v>-8257</v>
      </c>
      <c r="CO441" s="62">
        <f t="shared" si="4750"/>
        <v>-8635</v>
      </c>
      <c r="CP441" s="62">
        <f t="shared" si="4751"/>
        <v>-9304</v>
      </c>
      <c r="CQ441" s="62">
        <f t="shared" si="4752"/>
        <v>-9588</v>
      </c>
      <c r="CR441" s="62">
        <f t="shared" si="4753"/>
        <v>-8967</v>
      </c>
      <c r="CS441" s="62">
        <f t="shared" si="4754"/>
        <v>-8602</v>
      </c>
      <c r="CT441" s="62">
        <f t="shared" si="4755"/>
        <v>-8527</v>
      </c>
      <c r="CU441" s="62">
        <f t="shared" si="4756"/>
        <v>-8649</v>
      </c>
      <c r="CV441" s="62">
        <f t="shared" si="4757"/>
        <v>-8610</v>
      </c>
      <c r="CW441" s="62">
        <f t="shared" si="4758"/>
        <v>-9170</v>
      </c>
      <c r="CX441" s="62">
        <f t="shared" si="4759"/>
        <v>-9718</v>
      </c>
      <c r="CY441" s="62">
        <f t="shared" si="4760"/>
        <v>-10741</v>
      </c>
      <c r="CZ441" s="220">
        <f t="shared" si="4761"/>
        <v>-11849</v>
      </c>
      <c r="DA441" s="62">
        <f t="shared" si="4762"/>
        <v>-11275.702890185723</v>
      </c>
      <c r="DB441" s="62">
        <f t="shared" si="4763"/>
        <v>-11392.665949481501</v>
      </c>
      <c r="DC441" s="62">
        <f t="shared" si="4764"/>
        <v>-11755.534728337954</v>
      </c>
      <c r="DD441" s="62">
        <f t="shared" si="4765"/>
        <v>-12003.236728060443</v>
      </c>
      <c r="DE441" s="62">
        <f t="shared" si="4766"/>
        <v>-12242.57170418074</v>
      </c>
      <c r="DF441" s="62">
        <f t="shared" si="4767"/>
        <v>-12606.360334511064</v>
      </c>
      <c r="DG441" s="62">
        <f t="shared" si="4768"/>
        <v>-12845.914269805617</v>
      </c>
      <c r="DH441" s="62">
        <f t="shared" si="4769"/>
        <v>-13133.60627996199</v>
      </c>
      <c r="DI441" s="62">
        <f t="shared" si="4770"/>
        <v>-13427.668215266513</v>
      </c>
    </row>
    <row r="442" spans="1:113" ht="12" outlineLevel="1">
      <c r="A442" s="1" t="s">
        <v>0</v>
      </c>
      <c r="B442" s="15" t="s">
        <v>377</v>
      </c>
      <c r="C442" s="41">
        <v>0</v>
      </c>
      <c r="D442" s="41">
        <v>0</v>
      </c>
      <c r="E442" s="41">
        <v>0</v>
      </c>
      <c r="F442" s="41">
        <v>0</v>
      </c>
      <c r="G442" s="41">
        <v>0</v>
      </c>
      <c r="H442" s="41">
        <v>0</v>
      </c>
      <c r="I442" s="41">
        <v>0</v>
      </c>
      <c r="J442" s="41">
        <v>0</v>
      </c>
      <c r="K442" s="41">
        <v>0</v>
      </c>
      <c r="L442" s="41">
        <v>0</v>
      </c>
      <c r="M442" s="41">
        <v>0</v>
      </c>
      <c r="N442" s="41">
        <v>0</v>
      </c>
      <c r="O442" s="41">
        <v>0</v>
      </c>
      <c r="P442" s="41">
        <v>0</v>
      </c>
      <c r="Q442" s="41">
        <v>0</v>
      </c>
      <c r="R442" s="41">
        <v>0</v>
      </c>
      <c r="S442" s="41">
        <v>0</v>
      </c>
      <c r="T442" s="41">
        <v>0</v>
      </c>
      <c r="U442" s="41">
        <v>0</v>
      </c>
      <c r="V442" s="41">
        <v>0</v>
      </c>
      <c r="W442" s="41">
        <v>0</v>
      </c>
      <c r="X442" s="41">
        <v>0</v>
      </c>
      <c r="Y442" s="41">
        <v>0</v>
      </c>
      <c r="Z442" s="41">
        <v>0</v>
      </c>
      <c r="AA442" s="41">
        <v>0</v>
      </c>
      <c r="AB442" s="41">
        <v>0</v>
      </c>
      <c r="AC442" s="141">
        <v>-125</v>
      </c>
      <c r="AD442" s="141">
        <f>-10-21</f>
        <v>-31</v>
      </c>
      <c r="AE442" s="141">
        <f>-21-22</f>
        <v>-43</v>
      </c>
      <c r="AF442" s="141">
        <f>-556-138-11</f>
        <v>-705</v>
      </c>
      <c r="AG442" s="141">
        <f>-140-6</f>
        <v>-146</v>
      </c>
      <c r="AH442" s="141">
        <v>0</v>
      </c>
      <c r="AI442" s="141">
        <v>0</v>
      </c>
      <c r="AJ442" s="141">
        <f>-50-35-16-78</f>
        <v>-179</v>
      </c>
      <c r="AK442" s="141">
        <f>-10-15-156-251-39-149</f>
        <v>-620</v>
      </c>
      <c r="AL442" s="141">
        <f>(-25-18)-36-13-51</f>
        <v>-143</v>
      </c>
      <c r="AM442" s="141">
        <f>(-19-17)-337-2-26</f>
        <v>-401</v>
      </c>
      <c r="AN442" s="141">
        <v>-244</v>
      </c>
      <c r="AO442" s="141">
        <f>-6-16-138-77-56-11*0-197</f>
        <v>-490</v>
      </c>
      <c r="AP442" s="141">
        <f>0-92-69-105-29</f>
        <v>-295</v>
      </c>
      <c r="AQ442" s="141">
        <f>0-93-0-22-31</f>
        <v>-146</v>
      </c>
      <c r="AR442" s="141">
        <v>-247</v>
      </c>
      <c r="AS442" s="141">
        <f>-10-12-42-51-47</f>
        <v>-162</v>
      </c>
      <c r="AT442" s="141">
        <f>-43-0-54-56-0</f>
        <v>-153</v>
      </c>
      <c r="AU442" s="141">
        <f>-41-115-72-40</f>
        <v>-268</v>
      </c>
      <c r="AV442" s="555">
        <f>+[3]ANZ!G181*-1</f>
        <v>0</v>
      </c>
      <c r="AW442" s="555">
        <f>+[3]ANZ!H181*-1</f>
        <v>0</v>
      </c>
      <c r="AX442" s="555">
        <f>+[3]ANZ!I181*-1</f>
        <v>0</v>
      </c>
      <c r="AY442" s="607">
        <f>+[3]ANZ!J181*-1</f>
        <v>-1031</v>
      </c>
      <c r="AZ442" s="555">
        <f>-[3]ANZ!K$181</f>
        <v>-111.25</v>
      </c>
      <c r="BA442" s="555">
        <f>-[3]ANZ!L$181</f>
        <v>-111.25</v>
      </c>
      <c r="BB442" s="555">
        <f>-[3]ANZ!M$181</f>
        <v>-111.25</v>
      </c>
      <c r="BC442" s="555">
        <f>-[3]ANZ!N$181</f>
        <v>-111.25</v>
      </c>
      <c r="BD442" s="555">
        <f>-[3]ANZ!O$181</f>
        <v>0</v>
      </c>
      <c r="BE442" s="555">
        <f>-[3]ANZ!P$181</f>
        <v>0</v>
      </c>
      <c r="BF442" s="555">
        <f>-[3]ANZ!Q$181</f>
        <v>0</v>
      </c>
      <c r="BG442" s="555">
        <f>-[3]ANZ!R$181</f>
        <v>0</v>
      </c>
      <c r="BH442" s="555">
        <f>-[3]ANZ!S$181</f>
        <v>0</v>
      </c>
      <c r="BI442" s="555">
        <f>-[3]ANZ!T$181</f>
        <v>0</v>
      </c>
      <c r="BJ442" s="210">
        <v>0</v>
      </c>
      <c r="BK442" s="210">
        <v>0</v>
      </c>
      <c r="BL442" s="210">
        <v>0</v>
      </c>
      <c r="BM442" s="210">
        <v>0</v>
      </c>
      <c r="BN442" s="210">
        <v>0</v>
      </c>
      <c r="BO442" s="210">
        <v>0</v>
      </c>
      <c r="BP442" s="210">
        <v>0</v>
      </c>
      <c r="BQ442" s="210">
        <v>0</v>
      </c>
      <c r="BR442" s="210"/>
      <c r="BS442" s="40">
        <v>0</v>
      </c>
      <c r="BT442" s="40">
        <v>0</v>
      </c>
      <c r="BU442" s="40">
        <v>0</v>
      </c>
      <c r="BV442" s="40">
        <v>0</v>
      </c>
      <c r="BW442" s="40">
        <v>0</v>
      </c>
      <c r="BX442" s="40">
        <v>0</v>
      </c>
      <c r="BY442" s="40">
        <v>0</v>
      </c>
      <c r="BZ442" s="40">
        <v>0</v>
      </c>
      <c r="CA442" s="40">
        <v>0</v>
      </c>
      <c r="CB442" s="40">
        <v>0</v>
      </c>
      <c r="CC442" s="41">
        <f t="shared" si="4738"/>
        <v>0</v>
      </c>
      <c r="CD442" s="41">
        <f t="shared" si="4739"/>
        <v>0</v>
      </c>
      <c r="CE442" s="41">
        <f t="shared" si="4740"/>
        <v>0</v>
      </c>
      <c r="CF442" s="41">
        <f t="shared" si="4741"/>
        <v>0</v>
      </c>
      <c r="CG442" s="41">
        <f t="shared" si="4742"/>
        <v>0</v>
      </c>
      <c r="CH442" s="41">
        <f t="shared" si="4743"/>
        <v>0</v>
      </c>
      <c r="CI442" s="41">
        <f t="shared" si="4744"/>
        <v>0</v>
      </c>
      <c r="CJ442" s="41">
        <f t="shared" si="4745"/>
        <v>0</v>
      </c>
      <c r="CK442" s="41">
        <f t="shared" si="4746"/>
        <v>0</v>
      </c>
      <c r="CL442" s="41">
        <f t="shared" si="4747"/>
        <v>0</v>
      </c>
      <c r="CM442" s="41">
        <f t="shared" si="4748"/>
        <v>0</v>
      </c>
      <c r="CN442" s="41">
        <f t="shared" si="4749"/>
        <v>0</v>
      </c>
      <c r="CO442" s="41">
        <f t="shared" si="4750"/>
        <v>-125</v>
      </c>
      <c r="CP442" s="41">
        <f t="shared" si="4751"/>
        <v>-74</v>
      </c>
      <c r="CQ442" s="41">
        <f t="shared" si="4752"/>
        <v>-851</v>
      </c>
      <c r="CR442" s="41">
        <f t="shared" si="4753"/>
        <v>0</v>
      </c>
      <c r="CS442" s="41">
        <f t="shared" si="4754"/>
        <v>-799</v>
      </c>
      <c r="CT442" s="41">
        <f t="shared" si="4755"/>
        <v>-544</v>
      </c>
      <c r="CU442" s="41">
        <f t="shared" si="4756"/>
        <v>-734</v>
      </c>
      <c r="CV442" s="41">
        <f t="shared" si="4757"/>
        <v>-441</v>
      </c>
      <c r="CW442" s="41">
        <f t="shared" si="4758"/>
        <v>-409</v>
      </c>
      <c r="CX442" s="41">
        <f t="shared" si="4759"/>
        <v>-421</v>
      </c>
      <c r="CY442" s="41">
        <f t="shared" si="4760"/>
        <v>0</v>
      </c>
      <c r="CZ442" s="211">
        <f t="shared" si="4761"/>
        <v>-1031</v>
      </c>
      <c r="DA442" s="41">
        <f t="shared" si="4762"/>
        <v>-222.5</v>
      </c>
      <c r="DB442" s="41">
        <f t="shared" si="4763"/>
        <v>-222.5</v>
      </c>
      <c r="DC442" s="41">
        <f t="shared" si="4764"/>
        <v>0</v>
      </c>
      <c r="DD442" s="41">
        <f t="shared" si="4765"/>
        <v>0</v>
      </c>
      <c r="DE442" s="41">
        <f t="shared" si="4766"/>
        <v>0</v>
      </c>
      <c r="DF442" s="41">
        <f t="shared" si="4767"/>
        <v>0</v>
      </c>
      <c r="DG442" s="41">
        <f t="shared" si="4768"/>
        <v>0</v>
      </c>
      <c r="DH442" s="41">
        <f t="shared" si="4769"/>
        <v>0</v>
      </c>
      <c r="DI442" s="41">
        <f t="shared" si="4770"/>
        <v>0</v>
      </c>
    </row>
    <row r="443" spans="1:113" s="17" customFormat="1" ht="12" outlineLevel="1">
      <c r="A443" s="1" t="s">
        <v>1</v>
      </c>
      <c r="B443" s="17" t="s">
        <v>168</v>
      </c>
      <c r="C443" s="62">
        <f>C449-SUM(C444:C448)</f>
        <v>-1553</v>
      </c>
      <c r="D443" s="62">
        <f>D449-SUM(D444:D448)</f>
        <v>-1578</v>
      </c>
      <c r="E443" s="62">
        <f>E449-SUM(E444:E448)</f>
        <v>-1667.12</v>
      </c>
      <c r="F443" s="62">
        <f t="shared" ref="F443:L443" si="4793">F449-SUM(F444:F448)</f>
        <v>-1703.43</v>
      </c>
      <c r="G443" s="62">
        <f t="shared" si="4793"/>
        <v>-1722.04</v>
      </c>
      <c r="H443" s="62">
        <f t="shared" si="4793"/>
        <v>-1999.02</v>
      </c>
      <c r="I443" s="62">
        <f t="shared" si="4793"/>
        <v>-2225.9899999999998</v>
      </c>
      <c r="J443" s="62">
        <f t="shared" si="4793"/>
        <v>-2219.12</v>
      </c>
      <c r="K443" s="62">
        <f t="shared" si="4793"/>
        <v>-2304.63</v>
      </c>
      <c r="L443" s="62">
        <f t="shared" si="4793"/>
        <v>-2368.7600000000002</v>
      </c>
      <c r="M443" s="62">
        <f t="shared" ref="M443:T443" si="4794">M449-SUM(M444:M448)</f>
        <v>-2452.33</v>
      </c>
      <c r="N443" s="62">
        <f t="shared" si="4794"/>
        <v>-2511.44</v>
      </c>
      <c r="O443" s="62">
        <f t="shared" si="4794"/>
        <v>-2673.82</v>
      </c>
      <c r="P443" s="62">
        <f t="shared" si="4794"/>
        <v>-2782.64</v>
      </c>
      <c r="Q443" s="62">
        <f t="shared" si="4794"/>
        <v>-2890.68</v>
      </c>
      <c r="R443" s="62">
        <f t="shared" si="4794"/>
        <v>-3186.54</v>
      </c>
      <c r="S443" s="62">
        <f t="shared" si="4794"/>
        <v>-3244.27</v>
      </c>
      <c r="T443" s="62">
        <f t="shared" si="4794"/>
        <v>-3256</v>
      </c>
      <c r="U443" s="62">
        <f t="shared" ref="U443:AA443" si="4795">U449-SUM(U444:U448)</f>
        <v>-3729</v>
      </c>
      <c r="V443" s="62">
        <f t="shared" si="4795"/>
        <v>-4026</v>
      </c>
      <c r="W443" s="62">
        <f t="shared" si="4795"/>
        <v>-3997</v>
      </c>
      <c r="X443" s="62">
        <f t="shared" si="4795"/>
        <v>-4133</v>
      </c>
      <c r="Y443" s="62">
        <f t="shared" si="4795"/>
        <v>-4113</v>
      </c>
      <c r="Z443" s="62">
        <f t="shared" si="4795"/>
        <v>-4044</v>
      </c>
      <c r="AA443" s="62">
        <f t="shared" si="4795"/>
        <v>-4213</v>
      </c>
      <c r="AB443" s="62">
        <f t="shared" ref="AB443:AC443" si="4796">AB449-SUM(AB444:AB448)</f>
        <v>-4286</v>
      </c>
      <c r="AC443" s="62">
        <f t="shared" si="4796"/>
        <v>-4474</v>
      </c>
      <c r="AD443" s="62">
        <f t="shared" ref="AD443" si="4797">AD449-SUM(AD444:AD448)</f>
        <v>-4603</v>
      </c>
      <c r="AE443" s="62">
        <f t="shared" ref="AE443:AF443" si="4798">AE449-SUM(AE444:AE448)</f>
        <v>-4775</v>
      </c>
      <c r="AF443" s="62">
        <f t="shared" si="4798"/>
        <v>-5488</v>
      </c>
      <c r="AG443" s="62">
        <f t="shared" ref="AG443:AH443" si="4799">AG449-SUM(AG444:AG448)</f>
        <v>-4951</v>
      </c>
      <c r="AH443" s="62">
        <f t="shared" si="4799"/>
        <v>-4487</v>
      </c>
      <c r="AI443" s="62">
        <f t="shared" ref="AI443:AJ443" si="4800">AI449-SUM(AI444:AI448)</f>
        <v>-4480</v>
      </c>
      <c r="AJ443" s="62">
        <f t="shared" si="4800"/>
        <v>-4473</v>
      </c>
      <c r="AK443" s="62">
        <f t="shared" ref="AK443:AL443" si="4801">AK449-SUM(AK444:AK448)</f>
        <v>-4928</v>
      </c>
      <c r="AL443" s="62">
        <f t="shared" si="4801"/>
        <v>-4365</v>
      </c>
      <c r="AM443" s="62">
        <f t="shared" ref="AM443:AN443" si="4802">AM449-SUM(AM444:AM448)</f>
        <v>-4706</v>
      </c>
      <c r="AN443" s="62">
        <f t="shared" si="4802"/>
        <v>-4605</v>
      </c>
      <c r="AO443" s="62">
        <f t="shared" ref="AO443" si="4803">AO449-SUM(AO444:AO448)</f>
        <v>-4778</v>
      </c>
      <c r="AP443" s="62">
        <f t="shared" ref="AP443:AQ443" si="4804">AP449-SUM(AP444:AP448)</f>
        <v>-4482</v>
      </c>
      <c r="AQ443" s="62">
        <f t="shared" si="4804"/>
        <v>-4569</v>
      </c>
      <c r="AR443" s="62">
        <f t="shared" ref="AR443:AS443" si="4805">AR449-SUM(AR444:AR448)</f>
        <v>-4791</v>
      </c>
      <c r="AS443" s="62">
        <f t="shared" si="4805"/>
        <v>-4788</v>
      </c>
      <c r="AT443" s="62">
        <f t="shared" ref="AT443:AU443" si="4806">AT449-SUM(AT444:AT448)</f>
        <v>-4997</v>
      </c>
      <c r="AU443" s="62">
        <f t="shared" si="4806"/>
        <v>-5142</v>
      </c>
      <c r="AV443" s="62">
        <f t="shared" ref="AV443:AW443" si="4807">AV449-SUM(AV444:AV448)</f>
        <v>-5215</v>
      </c>
      <c r="AW443" s="62">
        <f t="shared" si="4807"/>
        <v>-5526</v>
      </c>
      <c r="AX443" s="62">
        <f t="shared" ref="AX443:BI443" si="4808">AX449-SUM(AX444:AX448)</f>
        <v>-5742</v>
      </c>
      <c r="AY443" s="220">
        <f t="shared" si="4808"/>
        <v>-7138</v>
      </c>
      <c r="AZ443" s="62">
        <f t="shared" si="4808"/>
        <v>-5655.3363965448234</v>
      </c>
      <c r="BA443" s="62">
        <f t="shared" si="4808"/>
        <v>-5842.8664936409004</v>
      </c>
      <c r="BB443" s="62">
        <f t="shared" si="4808"/>
        <v>-5583.4926221265141</v>
      </c>
      <c r="BC443" s="62">
        <f t="shared" si="4808"/>
        <v>-6031.6733273549871</v>
      </c>
      <c r="BD443" s="62">
        <f t="shared" si="4808"/>
        <v>-5624.7316572259006</v>
      </c>
      <c r="BE443" s="62">
        <f t="shared" si="4808"/>
        <v>-6130.8030711120537</v>
      </c>
      <c r="BF443" s="62">
        <f t="shared" si="4808"/>
        <v>-5765.4091812627266</v>
      </c>
      <c r="BG443" s="62">
        <f t="shared" si="4808"/>
        <v>-6237.8275467977164</v>
      </c>
      <c r="BH443" s="62">
        <f t="shared" si="4808"/>
        <v>-5862.8226831828606</v>
      </c>
      <c r="BI443" s="62">
        <f t="shared" si="4808"/>
        <v>-6379.7490209978796</v>
      </c>
      <c r="BJ443" s="62">
        <f t="shared" ref="BJ443:BK443" si="4809">BJ441+BJ442</f>
        <v>-6132.6309569320729</v>
      </c>
      <c r="BK443" s="62">
        <f t="shared" si="4809"/>
        <v>-6473.7293775789922</v>
      </c>
      <c r="BL443" s="62">
        <f t="shared" ref="BL443:BM443" si="4810">BL441+BL442</f>
        <v>-6246.8716708539541</v>
      </c>
      <c r="BM443" s="62">
        <f t="shared" si="4810"/>
        <v>-6599.0425989516634</v>
      </c>
      <c r="BN443" s="62">
        <f t="shared" ref="BN443:BO443" si="4811">BN441+BN442</f>
        <v>-6372.5196491489351</v>
      </c>
      <c r="BO443" s="62">
        <f t="shared" si="4811"/>
        <v>-6761.0866308130544</v>
      </c>
      <c r="BP443" s="62">
        <f t="shared" ref="BP443:BQ443" si="4812">BP441+BP442</f>
        <v>-6511.0906991425963</v>
      </c>
      <c r="BQ443" s="62">
        <f t="shared" si="4812"/>
        <v>-6916.5775161239162</v>
      </c>
      <c r="BR443" s="62"/>
      <c r="BS443" s="62">
        <f t="shared" ref="BS443:CB443" si="4813">BS449-SUM(BS444:BS448)</f>
        <v>-3329</v>
      </c>
      <c r="BT443" s="62">
        <f t="shared" si="4813"/>
        <v>-3124</v>
      </c>
      <c r="BU443" s="62">
        <f t="shared" si="4813"/>
        <v>-3001</v>
      </c>
      <c r="BV443" s="62">
        <f t="shared" si="4813"/>
        <v>-3116</v>
      </c>
      <c r="BW443" s="62">
        <f t="shared" si="4813"/>
        <v>-3397</v>
      </c>
      <c r="BX443" s="62">
        <f t="shared" si="4813"/>
        <v>-3502</v>
      </c>
      <c r="BY443" s="62">
        <f t="shared" si="4813"/>
        <v>-3442</v>
      </c>
      <c r="BZ443" s="62">
        <f t="shared" si="4813"/>
        <v>-3300</v>
      </c>
      <c r="CA443" s="62">
        <f t="shared" si="4813"/>
        <v>-3302</v>
      </c>
      <c r="CB443" s="62">
        <f t="shared" si="4813"/>
        <v>-3075</v>
      </c>
      <c r="CC443" s="62">
        <f t="shared" si="4738"/>
        <v>-3245.12</v>
      </c>
      <c r="CD443" s="62">
        <f t="shared" si="4739"/>
        <v>-3425.4700000000003</v>
      </c>
      <c r="CE443" s="62">
        <f t="shared" si="4740"/>
        <v>-4225.01</v>
      </c>
      <c r="CF443" s="62">
        <f t="shared" si="4741"/>
        <v>-4523.75</v>
      </c>
      <c r="CG443" s="62">
        <f t="shared" si="4742"/>
        <v>-4821.09</v>
      </c>
      <c r="CH443" s="62">
        <f t="shared" si="4743"/>
        <v>-5185.26</v>
      </c>
      <c r="CI443" s="62">
        <f t="shared" si="4744"/>
        <v>-5673.32</v>
      </c>
      <c r="CJ443" s="62">
        <f t="shared" si="4745"/>
        <v>-6430.8099999999995</v>
      </c>
      <c r="CK443" s="62">
        <f t="shared" si="4746"/>
        <v>-6985</v>
      </c>
      <c r="CL443" s="62">
        <f t="shared" si="4747"/>
        <v>-8023</v>
      </c>
      <c r="CM443" s="62">
        <f t="shared" si="4748"/>
        <v>-8246</v>
      </c>
      <c r="CN443" s="62">
        <f t="shared" si="4749"/>
        <v>-8257</v>
      </c>
      <c r="CO443" s="62">
        <f t="shared" si="4750"/>
        <v>-8760</v>
      </c>
      <c r="CP443" s="62">
        <f t="shared" si="4751"/>
        <v>-9378</v>
      </c>
      <c r="CQ443" s="62">
        <f t="shared" si="4752"/>
        <v>-10439</v>
      </c>
      <c r="CR443" s="62">
        <f t="shared" si="4753"/>
        <v>-8967</v>
      </c>
      <c r="CS443" s="62">
        <f t="shared" si="4754"/>
        <v>-9401</v>
      </c>
      <c r="CT443" s="62">
        <f t="shared" si="4755"/>
        <v>-9071</v>
      </c>
      <c r="CU443" s="62">
        <f t="shared" si="4756"/>
        <v>-9383</v>
      </c>
      <c r="CV443" s="62">
        <f t="shared" si="4757"/>
        <v>-9051</v>
      </c>
      <c r="CW443" s="62">
        <f t="shared" si="4758"/>
        <v>-9579</v>
      </c>
      <c r="CX443" s="62">
        <f t="shared" si="4759"/>
        <v>-10139</v>
      </c>
      <c r="CY443" s="62">
        <f t="shared" si="4760"/>
        <v>-10741</v>
      </c>
      <c r="CZ443" s="220">
        <f t="shared" si="4761"/>
        <v>-12880</v>
      </c>
      <c r="DA443" s="62">
        <f t="shared" si="4762"/>
        <v>-11498.202890185723</v>
      </c>
      <c r="DB443" s="62">
        <f t="shared" si="4763"/>
        <v>-11615.165949481501</v>
      </c>
      <c r="DC443" s="62">
        <f t="shared" si="4764"/>
        <v>-11755.534728337954</v>
      </c>
      <c r="DD443" s="62">
        <f t="shared" si="4765"/>
        <v>-12003.236728060443</v>
      </c>
      <c r="DE443" s="62">
        <f t="shared" si="4766"/>
        <v>-12242.57170418074</v>
      </c>
      <c r="DF443" s="62">
        <f t="shared" si="4767"/>
        <v>-12606.360334511064</v>
      </c>
      <c r="DG443" s="62">
        <f t="shared" si="4768"/>
        <v>-12845.914269805617</v>
      </c>
      <c r="DH443" s="62">
        <f t="shared" si="4769"/>
        <v>-13133.60627996199</v>
      </c>
      <c r="DI443" s="62">
        <f t="shared" si="4770"/>
        <v>-13427.668215266513</v>
      </c>
    </row>
    <row r="444" spans="1:113" ht="12" customHeight="1" outlineLevel="2">
      <c r="A444" s="1" t="s">
        <v>2</v>
      </c>
      <c r="B444" s="15" t="s">
        <v>857</v>
      </c>
      <c r="C444" s="41">
        <f>-C383</f>
        <v>0</v>
      </c>
      <c r="D444" s="41">
        <f>-D383</f>
        <v>0</v>
      </c>
      <c r="E444" s="41">
        <f>-E383</f>
        <v>0</v>
      </c>
      <c r="F444" s="41">
        <f t="shared" ref="F444:L444" si="4814">-F383</f>
        <v>0</v>
      </c>
      <c r="G444" s="41">
        <f t="shared" si="4814"/>
        <v>0</v>
      </c>
      <c r="H444" s="41">
        <f t="shared" si="4814"/>
        <v>0</v>
      </c>
      <c r="I444" s="41">
        <f t="shared" si="4814"/>
        <v>0</v>
      </c>
      <c r="J444" s="41">
        <f t="shared" si="4814"/>
        <v>0</v>
      </c>
      <c r="K444" s="41">
        <f t="shared" si="4814"/>
        <v>0</v>
      </c>
      <c r="L444" s="41">
        <f t="shared" si="4814"/>
        <v>0</v>
      </c>
      <c r="M444" s="41">
        <f t="shared" ref="M444:AB444" si="4815">-M383</f>
        <v>0</v>
      </c>
      <c r="N444" s="41">
        <f t="shared" si="4815"/>
        <v>0</v>
      </c>
      <c r="O444" s="41">
        <f t="shared" si="4815"/>
        <v>0</v>
      </c>
      <c r="P444" s="41">
        <f t="shared" si="4815"/>
        <v>0</v>
      </c>
      <c r="Q444" s="41">
        <f t="shared" si="4815"/>
        <v>0</v>
      </c>
      <c r="R444" s="41">
        <f t="shared" si="4815"/>
        <v>0</v>
      </c>
      <c r="S444" s="41">
        <f t="shared" si="4815"/>
        <v>0</v>
      </c>
      <c r="T444" s="41">
        <f t="shared" si="4815"/>
        <v>0</v>
      </c>
      <c r="U444" s="41">
        <f t="shared" si="4815"/>
        <v>0</v>
      </c>
      <c r="V444" s="41">
        <f t="shared" si="4815"/>
        <v>0</v>
      </c>
      <c r="W444" s="41">
        <f t="shared" si="4815"/>
        <v>0</v>
      </c>
      <c r="X444" s="41">
        <f t="shared" si="4815"/>
        <v>0</v>
      </c>
      <c r="Y444" s="41">
        <f>-Y383</f>
        <v>0</v>
      </c>
      <c r="Z444" s="41">
        <f t="shared" si="4815"/>
        <v>0</v>
      </c>
      <c r="AA444" s="41">
        <f t="shared" si="4815"/>
        <v>0</v>
      </c>
      <c r="AB444" s="41">
        <f t="shared" si="4815"/>
        <v>0</v>
      </c>
      <c r="AC444" s="41">
        <f t="shared" ref="AC444:AD444" si="4816">-AC383</f>
        <v>0</v>
      </c>
      <c r="AD444" s="41">
        <f t="shared" si="4816"/>
        <v>0</v>
      </c>
      <c r="AE444" s="41">
        <f t="shared" ref="AE444:AF444" si="4817">-AE383</f>
        <v>0</v>
      </c>
      <c r="AF444" s="41">
        <f t="shared" si="4817"/>
        <v>0</v>
      </c>
      <c r="AG444" s="41">
        <f t="shared" ref="AG444:AH444" si="4818">-AG383</f>
        <v>0</v>
      </c>
      <c r="AH444" s="41">
        <f t="shared" si="4818"/>
        <v>0</v>
      </c>
      <c r="AI444" s="41">
        <f t="shared" ref="AI444:AJ444" si="4819">-AI383</f>
        <v>0</v>
      </c>
      <c r="AJ444" s="41">
        <f t="shared" si="4819"/>
        <v>0</v>
      </c>
      <c r="AK444" s="41">
        <f t="shared" ref="AK444:AL444" si="4820">-AK383</f>
        <v>0</v>
      </c>
      <c r="AL444" s="41">
        <f t="shared" si="4820"/>
        <v>0</v>
      </c>
      <c r="AM444" s="41">
        <f t="shared" ref="AM444:AN444" si="4821">-AM383</f>
        <v>0</v>
      </c>
      <c r="AN444" s="41">
        <f t="shared" si="4821"/>
        <v>0</v>
      </c>
      <c r="AO444" s="41">
        <f t="shared" ref="AO444" si="4822">-AO383</f>
        <v>0</v>
      </c>
      <c r="AP444" s="41">
        <f t="shared" ref="AP444:AQ444" si="4823">-AP383</f>
        <v>0</v>
      </c>
      <c r="AQ444" s="41">
        <f t="shared" si="4823"/>
        <v>0</v>
      </c>
      <c r="AR444" s="41">
        <f t="shared" ref="AR444:AS444" si="4824">-AR383</f>
        <v>0</v>
      </c>
      <c r="AS444" s="41">
        <f t="shared" si="4824"/>
        <v>0</v>
      </c>
      <c r="AT444" s="41">
        <f t="shared" ref="AT444:AU444" si="4825">-AT383</f>
        <v>0</v>
      </c>
      <c r="AU444" s="41">
        <f t="shared" si="4825"/>
        <v>0</v>
      </c>
      <c r="AV444" s="41">
        <f t="shared" ref="AV444:AW444" si="4826">-AV383</f>
        <v>0</v>
      </c>
      <c r="AW444" s="41">
        <f t="shared" si="4826"/>
        <v>0</v>
      </c>
      <c r="AX444" s="41">
        <f t="shared" ref="AX444:AY444" si="4827">-AX383</f>
        <v>0</v>
      </c>
      <c r="AY444" s="211">
        <f t="shared" si="4827"/>
        <v>0</v>
      </c>
      <c r="AZ444" s="41">
        <f t="shared" ref="AZ444:BA444" si="4828">-AZ383</f>
        <v>0</v>
      </c>
      <c r="BA444" s="41">
        <f t="shared" si="4828"/>
        <v>0</v>
      </c>
      <c r="BB444" s="41">
        <f t="shared" ref="BB444:BC444" si="4829">-BB383</f>
        <v>0</v>
      </c>
      <c r="BC444" s="41">
        <f t="shared" si="4829"/>
        <v>0</v>
      </c>
      <c r="BD444" s="41">
        <f t="shared" ref="BD444:BE444" si="4830">-BD383</f>
        <v>0</v>
      </c>
      <c r="BE444" s="41">
        <f t="shared" si="4830"/>
        <v>0</v>
      </c>
      <c r="BF444" s="41">
        <f t="shared" ref="BF444:BG444" si="4831">-BF383</f>
        <v>0</v>
      </c>
      <c r="BG444" s="41">
        <f t="shared" si="4831"/>
        <v>0</v>
      </c>
      <c r="BH444" s="41">
        <f t="shared" ref="BH444:BI444" si="4832">-BH383</f>
        <v>0</v>
      </c>
      <c r="BI444" s="41">
        <f t="shared" si="4832"/>
        <v>0</v>
      </c>
      <c r="BJ444" s="41">
        <f t="shared" ref="BJ444:BK444" si="4833">-BJ383</f>
        <v>0</v>
      </c>
      <c r="BK444" s="41">
        <f t="shared" si="4833"/>
        <v>0</v>
      </c>
      <c r="BL444" s="41">
        <f t="shared" ref="BL444:BM444" si="4834">-BL383</f>
        <v>0</v>
      </c>
      <c r="BM444" s="41">
        <f t="shared" si="4834"/>
        <v>0</v>
      </c>
      <c r="BN444" s="41">
        <f t="shared" ref="BN444:BO444" si="4835">-BN383</f>
        <v>0</v>
      </c>
      <c r="BO444" s="41">
        <f t="shared" si="4835"/>
        <v>0</v>
      </c>
      <c r="BP444" s="41">
        <f t="shared" ref="BP444:BQ444" si="4836">-BP383</f>
        <v>0</v>
      </c>
      <c r="BQ444" s="41">
        <f t="shared" si="4836"/>
        <v>0</v>
      </c>
      <c r="BR444" s="41"/>
      <c r="BS444" s="41">
        <f t="shared" ref="BS444:CB444" si="4837">-BS383</f>
        <v>0</v>
      </c>
      <c r="BT444" s="41">
        <f t="shared" si="4837"/>
        <v>0</v>
      </c>
      <c r="BU444" s="41">
        <f t="shared" si="4837"/>
        <v>0</v>
      </c>
      <c r="BV444" s="41">
        <f t="shared" si="4837"/>
        <v>0</v>
      </c>
      <c r="BW444" s="41">
        <f t="shared" si="4837"/>
        <v>0</v>
      </c>
      <c r="BX444" s="41">
        <f t="shared" si="4837"/>
        <v>0</v>
      </c>
      <c r="BY444" s="41">
        <f t="shared" si="4837"/>
        <v>0</v>
      </c>
      <c r="BZ444" s="41">
        <f t="shared" si="4837"/>
        <v>0</v>
      </c>
      <c r="CA444" s="41">
        <f t="shared" si="4837"/>
        <v>0</v>
      </c>
      <c r="CB444" s="41">
        <f t="shared" si="4837"/>
        <v>0</v>
      </c>
      <c r="CC444" s="41">
        <f t="shared" si="4738"/>
        <v>0</v>
      </c>
      <c r="CD444" s="41">
        <f t="shared" si="4739"/>
        <v>0</v>
      </c>
      <c r="CE444" s="41">
        <f t="shared" si="4740"/>
        <v>0</v>
      </c>
      <c r="CF444" s="41">
        <f t="shared" si="4741"/>
        <v>0</v>
      </c>
      <c r="CG444" s="41">
        <f t="shared" si="4742"/>
        <v>0</v>
      </c>
      <c r="CH444" s="41">
        <f t="shared" si="4743"/>
        <v>0</v>
      </c>
      <c r="CI444" s="41">
        <f t="shared" si="4744"/>
        <v>0</v>
      </c>
      <c r="CJ444" s="41">
        <f t="shared" si="4745"/>
        <v>0</v>
      </c>
      <c r="CK444" s="41">
        <f t="shared" si="4746"/>
        <v>0</v>
      </c>
      <c r="CL444" s="41">
        <f t="shared" si="4747"/>
        <v>0</v>
      </c>
      <c r="CM444" s="41">
        <f t="shared" si="4748"/>
        <v>0</v>
      </c>
      <c r="CN444" s="41">
        <f t="shared" si="4749"/>
        <v>0</v>
      </c>
      <c r="CO444" s="41">
        <f t="shared" si="4750"/>
        <v>0</v>
      </c>
      <c r="CP444" s="41">
        <f t="shared" si="4751"/>
        <v>0</v>
      </c>
      <c r="CQ444" s="41">
        <f t="shared" si="4752"/>
        <v>0</v>
      </c>
      <c r="CR444" s="41">
        <f t="shared" si="4753"/>
        <v>0</v>
      </c>
      <c r="CS444" s="41">
        <f t="shared" si="4754"/>
        <v>0</v>
      </c>
      <c r="CT444" s="41">
        <f t="shared" si="4755"/>
        <v>0</v>
      </c>
      <c r="CU444" s="41">
        <f t="shared" si="4756"/>
        <v>0</v>
      </c>
      <c r="CV444" s="41">
        <f t="shared" si="4757"/>
        <v>0</v>
      </c>
      <c r="CW444" s="41">
        <f t="shared" si="4758"/>
        <v>0</v>
      </c>
      <c r="CX444" s="41">
        <f t="shared" si="4759"/>
        <v>0</v>
      </c>
      <c r="CY444" s="41">
        <f t="shared" si="4760"/>
        <v>0</v>
      </c>
      <c r="CZ444" s="211">
        <f t="shared" si="4761"/>
        <v>0</v>
      </c>
      <c r="DA444" s="41">
        <f t="shared" si="4762"/>
        <v>0</v>
      </c>
      <c r="DB444" s="41">
        <f t="shared" si="4763"/>
        <v>0</v>
      </c>
      <c r="DC444" s="41">
        <f t="shared" si="4764"/>
        <v>0</v>
      </c>
      <c r="DD444" s="41">
        <f t="shared" si="4765"/>
        <v>0</v>
      </c>
      <c r="DE444" s="41">
        <f t="shared" si="4766"/>
        <v>0</v>
      </c>
      <c r="DF444" s="41">
        <f t="shared" si="4767"/>
        <v>0</v>
      </c>
      <c r="DG444" s="41">
        <f t="shared" si="4768"/>
        <v>0</v>
      </c>
      <c r="DH444" s="41">
        <f t="shared" si="4769"/>
        <v>0</v>
      </c>
      <c r="DI444" s="41">
        <f t="shared" si="4770"/>
        <v>0</v>
      </c>
    </row>
    <row r="445" spans="1:113" ht="12" customHeight="1" outlineLevel="2">
      <c r="A445" s="1" t="s">
        <v>679</v>
      </c>
      <c r="B445" s="15" t="s">
        <v>447</v>
      </c>
      <c r="C445" s="41">
        <f>-C410</f>
        <v>0</v>
      </c>
      <c r="D445" s="41">
        <f>-D410</f>
        <v>0</v>
      </c>
      <c r="E445" s="41">
        <f>-E410</f>
        <v>92.12</v>
      </c>
      <c r="F445" s="41">
        <f t="shared" ref="F445:L445" si="4838">-F410</f>
        <v>101.42999999999999</v>
      </c>
      <c r="G445" s="41">
        <f t="shared" si="4838"/>
        <v>96.039999999999992</v>
      </c>
      <c r="H445" s="41">
        <f t="shared" si="4838"/>
        <v>97.02</v>
      </c>
      <c r="I445" s="41">
        <f t="shared" si="4838"/>
        <v>122.99</v>
      </c>
      <c r="J445" s="41">
        <f t="shared" si="4838"/>
        <v>92.12</v>
      </c>
      <c r="K445" s="41">
        <f t="shared" si="4838"/>
        <v>91.63</v>
      </c>
      <c r="L445" s="41">
        <f t="shared" si="4838"/>
        <v>109.75999999999999</v>
      </c>
      <c r="M445" s="41">
        <f t="shared" ref="M445:AB445" si="4839">-M410</f>
        <v>106.33</v>
      </c>
      <c r="N445" s="41">
        <f t="shared" si="4839"/>
        <v>125.44</v>
      </c>
      <c r="O445" s="41">
        <f t="shared" si="4839"/>
        <v>106.82</v>
      </c>
      <c r="P445" s="41">
        <f t="shared" si="4839"/>
        <v>115.64</v>
      </c>
      <c r="Q445" s="41">
        <f t="shared" si="4839"/>
        <v>113.67999999999999</v>
      </c>
      <c r="R445" s="41">
        <f t="shared" si="4839"/>
        <v>120.53999999999999</v>
      </c>
      <c r="S445" s="41">
        <f t="shared" si="4839"/>
        <v>109.27</v>
      </c>
      <c r="T445" s="41">
        <f t="shared" si="4839"/>
        <v>0</v>
      </c>
      <c r="U445" s="41">
        <f t="shared" si="4839"/>
        <v>0</v>
      </c>
      <c r="V445" s="41">
        <f t="shared" si="4839"/>
        <v>0</v>
      </c>
      <c r="W445" s="41">
        <f t="shared" si="4839"/>
        <v>0</v>
      </c>
      <c r="X445" s="41">
        <f t="shared" si="4839"/>
        <v>0</v>
      </c>
      <c r="Y445" s="41">
        <f>-Y410</f>
        <v>0</v>
      </c>
      <c r="Z445" s="41">
        <f t="shared" si="4839"/>
        <v>0</v>
      </c>
      <c r="AA445" s="41">
        <f t="shared" si="4839"/>
        <v>0</v>
      </c>
      <c r="AB445" s="41">
        <f t="shared" si="4839"/>
        <v>0</v>
      </c>
      <c r="AC445" s="41">
        <f t="shared" ref="AC445:AD445" si="4840">-AC410</f>
        <v>0</v>
      </c>
      <c r="AD445" s="41">
        <f t="shared" si="4840"/>
        <v>0</v>
      </c>
      <c r="AE445" s="41">
        <f t="shared" ref="AE445:AF445" si="4841">-AE410</f>
        <v>0</v>
      </c>
      <c r="AF445" s="41">
        <f t="shared" si="4841"/>
        <v>0</v>
      </c>
      <c r="AG445" s="41">
        <f t="shared" ref="AG445:AH445" si="4842">-AG410</f>
        <v>0</v>
      </c>
      <c r="AH445" s="41">
        <f t="shared" si="4842"/>
        <v>0</v>
      </c>
      <c r="AI445" s="41">
        <f t="shared" ref="AI445:AJ445" si="4843">-AI410</f>
        <v>0</v>
      </c>
      <c r="AJ445" s="41">
        <f t="shared" si="4843"/>
        <v>0</v>
      </c>
      <c r="AK445" s="41">
        <f t="shared" ref="AK445:AL445" si="4844">-AK410</f>
        <v>0</v>
      </c>
      <c r="AL445" s="41">
        <f t="shared" si="4844"/>
        <v>0</v>
      </c>
      <c r="AM445" s="41">
        <f t="shared" ref="AM445:AN445" si="4845">-AM410</f>
        <v>0</v>
      </c>
      <c r="AN445" s="41">
        <f t="shared" si="4845"/>
        <v>0</v>
      </c>
      <c r="AO445" s="41">
        <f t="shared" ref="AO445" si="4846">-AO410</f>
        <v>0</v>
      </c>
      <c r="AP445" s="41">
        <f t="shared" ref="AP445:AQ445" si="4847">-AP410</f>
        <v>0</v>
      </c>
      <c r="AQ445" s="41">
        <f t="shared" si="4847"/>
        <v>0</v>
      </c>
      <c r="AR445" s="41">
        <f t="shared" ref="AR445:AS445" si="4848">-AR410</f>
        <v>0</v>
      </c>
      <c r="AS445" s="41">
        <f t="shared" si="4848"/>
        <v>0</v>
      </c>
      <c r="AT445" s="41">
        <f t="shared" ref="AT445:AU445" si="4849">-AT410</f>
        <v>0</v>
      </c>
      <c r="AU445" s="41">
        <f t="shared" si="4849"/>
        <v>0</v>
      </c>
      <c r="AV445" s="41">
        <f t="shared" ref="AV445:AW445" si="4850">-AV410</f>
        <v>0</v>
      </c>
      <c r="AW445" s="41">
        <f t="shared" si="4850"/>
        <v>0</v>
      </c>
      <c r="AX445" s="41">
        <f t="shared" ref="AX445:AY445" si="4851">-AX410</f>
        <v>0</v>
      </c>
      <c r="AY445" s="211">
        <f t="shared" si="4851"/>
        <v>0</v>
      </c>
      <c r="AZ445" s="41">
        <f t="shared" ref="AZ445:BA445" si="4852">-AZ410</f>
        <v>0</v>
      </c>
      <c r="BA445" s="41">
        <f t="shared" si="4852"/>
        <v>0</v>
      </c>
      <c r="BB445" s="41">
        <f t="shared" ref="BB445:BC445" si="4853">-BB410</f>
        <v>0</v>
      </c>
      <c r="BC445" s="41">
        <f t="shared" si="4853"/>
        <v>0</v>
      </c>
      <c r="BD445" s="41">
        <f t="shared" ref="BD445:BE445" si="4854">-BD410</f>
        <v>0</v>
      </c>
      <c r="BE445" s="41">
        <f t="shared" si="4854"/>
        <v>0</v>
      </c>
      <c r="BF445" s="41">
        <f t="shared" ref="BF445:BG445" si="4855">-BF410</f>
        <v>0</v>
      </c>
      <c r="BG445" s="41">
        <f t="shared" si="4855"/>
        <v>0</v>
      </c>
      <c r="BH445" s="41">
        <f t="shared" ref="BH445:BI445" si="4856">-BH410</f>
        <v>0</v>
      </c>
      <c r="BI445" s="41">
        <f t="shared" si="4856"/>
        <v>0</v>
      </c>
      <c r="BJ445" s="41">
        <f t="shared" ref="BJ445:BK445" si="4857">-BJ410</f>
        <v>0</v>
      </c>
      <c r="BK445" s="41">
        <f t="shared" si="4857"/>
        <v>0</v>
      </c>
      <c r="BL445" s="41">
        <f t="shared" ref="BL445:BM445" si="4858">-BL410</f>
        <v>0</v>
      </c>
      <c r="BM445" s="41">
        <f t="shared" si="4858"/>
        <v>0</v>
      </c>
      <c r="BN445" s="41">
        <f t="shared" ref="BN445:BO445" si="4859">-BN410</f>
        <v>0</v>
      </c>
      <c r="BO445" s="41">
        <f t="shared" si="4859"/>
        <v>0</v>
      </c>
      <c r="BP445" s="41">
        <f t="shared" ref="BP445:BQ445" si="4860">-BP410</f>
        <v>0</v>
      </c>
      <c r="BQ445" s="41">
        <f t="shared" si="4860"/>
        <v>0</v>
      </c>
      <c r="BR445" s="41"/>
      <c r="BS445" s="41">
        <f t="shared" ref="BS445:CB445" si="4861">-BS410</f>
        <v>0</v>
      </c>
      <c r="BT445" s="41">
        <f t="shared" si="4861"/>
        <v>0</v>
      </c>
      <c r="BU445" s="41">
        <f t="shared" si="4861"/>
        <v>0</v>
      </c>
      <c r="BV445" s="41">
        <f t="shared" si="4861"/>
        <v>0</v>
      </c>
      <c r="BW445" s="41">
        <f t="shared" si="4861"/>
        <v>0</v>
      </c>
      <c r="BX445" s="41">
        <f t="shared" si="4861"/>
        <v>0</v>
      </c>
      <c r="BY445" s="41">
        <f t="shared" si="4861"/>
        <v>0</v>
      </c>
      <c r="BZ445" s="41">
        <f t="shared" si="4861"/>
        <v>0</v>
      </c>
      <c r="CA445" s="41">
        <f t="shared" si="4861"/>
        <v>0</v>
      </c>
      <c r="CB445" s="41">
        <f t="shared" si="4861"/>
        <v>0</v>
      </c>
      <c r="CC445" s="41">
        <f t="shared" si="4738"/>
        <v>92.12</v>
      </c>
      <c r="CD445" s="41">
        <f t="shared" si="4739"/>
        <v>197.46999999999997</v>
      </c>
      <c r="CE445" s="41">
        <f t="shared" si="4740"/>
        <v>220.01</v>
      </c>
      <c r="CF445" s="41">
        <f t="shared" si="4741"/>
        <v>183.75</v>
      </c>
      <c r="CG445" s="41">
        <f t="shared" si="4742"/>
        <v>216.08999999999997</v>
      </c>
      <c r="CH445" s="41">
        <f t="shared" si="4743"/>
        <v>232.26</v>
      </c>
      <c r="CI445" s="41">
        <f t="shared" si="4744"/>
        <v>229.32</v>
      </c>
      <c r="CJ445" s="41">
        <f t="shared" si="4745"/>
        <v>229.81</v>
      </c>
      <c r="CK445" s="41">
        <f t="shared" si="4746"/>
        <v>0</v>
      </c>
      <c r="CL445" s="41">
        <f t="shared" si="4747"/>
        <v>0</v>
      </c>
      <c r="CM445" s="41">
        <f t="shared" si="4748"/>
        <v>0</v>
      </c>
      <c r="CN445" s="41">
        <f t="shared" si="4749"/>
        <v>0</v>
      </c>
      <c r="CO445" s="41">
        <f t="shared" si="4750"/>
        <v>0</v>
      </c>
      <c r="CP445" s="41">
        <f t="shared" si="4751"/>
        <v>0</v>
      </c>
      <c r="CQ445" s="41">
        <f t="shared" si="4752"/>
        <v>0</v>
      </c>
      <c r="CR445" s="41">
        <f t="shared" si="4753"/>
        <v>0</v>
      </c>
      <c r="CS445" s="41">
        <f t="shared" si="4754"/>
        <v>0</v>
      </c>
      <c r="CT445" s="41">
        <f t="shared" si="4755"/>
        <v>0</v>
      </c>
      <c r="CU445" s="41">
        <f t="shared" si="4756"/>
        <v>0</v>
      </c>
      <c r="CV445" s="41">
        <f t="shared" si="4757"/>
        <v>0</v>
      </c>
      <c r="CW445" s="41">
        <f t="shared" si="4758"/>
        <v>0</v>
      </c>
      <c r="CX445" s="41">
        <f t="shared" si="4759"/>
        <v>0</v>
      </c>
      <c r="CY445" s="41">
        <f t="shared" si="4760"/>
        <v>0</v>
      </c>
      <c r="CZ445" s="211">
        <f t="shared" si="4761"/>
        <v>0</v>
      </c>
      <c r="DA445" s="41">
        <f t="shared" si="4762"/>
        <v>0</v>
      </c>
      <c r="DB445" s="41">
        <f t="shared" si="4763"/>
        <v>0</v>
      </c>
      <c r="DC445" s="41">
        <f t="shared" si="4764"/>
        <v>0</v>
      </c>
      <c r="DD445" s="41">
        <f t="shared" si="4765"/>
        <v>0</v>
      </c>
      <c r="DE445" s="41">
        <f t="shared" si="4766"/>
        <v>0</v>
      </c>
      <c r="DF445" s="41">
        <f t="shared" si="4767"/>
        <v>0</v>
      </c>
      <c r="DG445" s="41">
        <f t="shared" si="4768"/>
        <v>0</v>
      </c>
      <c r="DH445" s="41">
        <f t="shared" si="4769"/>
        <v>0</v>
      </c>
      <c r="DI445" s="41">
        <f t="shared" si="4770"/>
        <v>0</v>
      </c>
    </row>
    <row r="446" spans="1:113" ht="12" customHeight="1" outlineLevel="2">
      <c r="A446" s="1" t="s">
        <v>3</v>
      </c>
      <c r="B446" s="15" t="s">
        <v>371</v>
      </c>
      <c r="C446" s="40">
        <v>0</v>
      </c>
      <c r="D446" s="40">
        <v>0</v>
      </c>
      <c r="E446" s="40">
        <v>0</v>
      </c>
      <c r="F446" s="40">
        <v>0</v>
      </c>
      <c r="G446" s="40">
        <v>0</v>
      </c>
      <c r="H446" s="40">
        <v>0</v>
      </c>
      <c r="I446" s="40">
        <v>0</v>
      </c>
      <c r="J446" s="40">
        <v>0</v>
      </c>
      <c r="K446" s="40">
        <v>0</v>
      </c>
      <c r="L446" s="40">
        <v>0</v>
      </c>
      <c r="M446" s="40">
        <v>0</v>
      </c>
      <c r="N446" s="40">
        <v>0</v>
      </c>
      <c r="O446" s="40">
        <v>0</v>
      </c>
      <c r="P446" s="40">
        <v>0</v>
      </c>
      <c r="Q446" s="40">
        <v>0</v>
      </c>
      <c r="R446" s="40">
        <v>0</v>
      </c>
      <c r="S446" s="40">
        <v>0</v>
      </c>
      <c r="T446" s="40">
        <v>0</v>
      </c>
      <c r="U446" s="40">
        <v>0</v>
      </c>
      <c r="V446" s="40">
        <v>0</v>
      </c>
      <c r="W446" s="40">
        <v>0</v>
      </c>
      <c r="X446" s="40">
        <v>0</v>
      </c>
      <c r="Y446" s="40">
        <v>0</v>
      </c>
      <c r="Z446" s="141">
        <v>0</v>
      </c>
      <c r="AA446" s="141">
        <v>0</v>
      </c>
      <c r="AB446" s="141">
        <v>0</v>
      </c>
      <c r="AC446" s="141">
        <v>0</v>
      </c>
      <c r="AD446" s="141">
        <v>0</v>
      </c>
      <c r="AE446" s="141">
        <v>0</v>
      </c>
      <c r="AF446" s="141">
        <v>0</v>
      </c>
      <c r="AG446" s="141">
        <v>0</v>
      </c>
      <c r="AH446" s="141">
        <v>0</v>
      </c>
      <c r="AI446" s="141">
        <v>0</v>
      </c>
      <c r="AJ446" s="141">
        <v>0</v>
      </c>
      <c r="AK446" s="141">
        <v>0</v>
      </c>
      <c r="AL446" s="141">
        <v>0</v>
      </c>
      <c r="AM446" s="141">
        <v>0</v>
      </c>
      <c r="AN446" s="141">
        <v>0</v>
      </c>
      <c r="AO446" s="141">
        <v>0</v>
      </c>
      <c r="AP446" s="141">
        <v>0</v>
      </c>
      <c r="AQ446" s="141">
        <v>0</v>
      </c>
      <c r="AR446" s="141">
        <v>0</v>
      </c>
      <c r="AS446" s="141">
        <v>0</v>
      </c>
      <c r="AT446" s="141">
        <v>0</v>
      </c>
      <c r="AU446" s="141">
        <v>0</v>
      </c>
      <c r="AV446" s="141">
        <v>0</v>
      </c>
      <c r="AW446" s="141">
        <v>0</v>
      </c>
      <c r="AX446" s="141">
        <v>0</v>
      </c>
      <c r="AY446" s="226">
        <v>0</v>
      </c>
      <c r="AZ446" s="210">
        <v>0</v>
      </c>
      <c r="BA446" s="210">
        <v>0</v>
      </c>
      <c r="BB446" s="210">
        <v>0</v>
      </c>
      <c r="BC446" s="210">
        <v>0</v>
      </c>
      <c r="BD446" s="210">
        <v>0</v>
      </c>
      <c r="BE446" s="210">
        <v>0</v>
      </c>
      <c r="BF446" s="210">
        <v>0</v>
      </c>
      <c r="BG446" s="210">
        <v>0</v>
      </c>
      <c r="BH446" s="210">
        <v>0</v>
      </c>
      <c r="BI446" s="210">
        <v>0</v>
      </c>
      <c r="BJ446" s="210">
        <v>0</v>
      </c>
      <c r="BK446" s="210">
        <v>0</v>
      </c>
      <c r="BL446" s="210">
        <v>0</v>
      </c>
      <c r="BM446" s="210">
        <v>0</v>
      </c>
      <c r="BN446" s="210">
        <v>0</v>
      </c>
      <c r="BO446" s="210">
        <v>0</v>
      </c>
      <c r="BP446" s="210">
        <v>0</v>
      </c>
      <c r="BQ446" s="210">
        <v>0</v>
      </c>
      <c r="BR446" s="41"/>
      <c r="BS446" s="40">
        <v>0</v>
      </c>
      <c r="BT446" s="40">
        <v>0</v>
      </c>
      <c r="BU446" s="40">
        <v>0</v>
      </c>
      <c r="BV446" s="40">
        <v>0</v>
      </c>
      <c r="BW446" s="40">
        <v>0</v>
      </c>
      <c r="BX446" s="40">
        <v>0</v>
      </c>
      <c r="BY446" s="40">
        <v>0</v>
      </c>
      <c r="BZ446" s="40">
        <v>0</v>
      </c>
      <c r="CA446" s="40">
        <v>0</v>
      </c>
      <c r="CB446" s="40">
        <v>0</v>
      </c>
      <c r="CC446" s="41">
        <f t="shared" si="4738"/>
        <v>0</v>
      </c>
      <c r="CD446" s="41">
        <f t="shared" si="4739"/>
        <v>0</v>
      </c>
      <c r="CE446" s="41">
        <f t="shared" si="4740"/>
        <v>0</v>
      </c>
      <c r="CF446" s="41">
        <f t="shared" si="4741"/>
        <v>0</v>
      </c>
      <c r="CG446" s="41">
        <f t="shared" si="4742"/>
        <v>0</v>
      </c>
      <c r="CH446" s="41">
        <f t="shared" si="4743"/>
        <v>0</v>
      </c>
      <c r="CI446" s="41">
        <f t="shared" si="4744"/>
        <v>0</v>
      </c>
      <c r="CJ446" s="41">
        <f t="shared" si="4745"/>
        <v>0</v>
      </c>
      <c r="CK446" s="41">
        <f t="shared" si="4746"/>
        <v>0</v>
      </c>
      <c r="CL446" s="41">
        <f t="shared" si="4747"/>
        <v>0</v>
      </c>
      <c r="CM446" s="41">
        <f t="shared" si="4748"/>
        <v>0</v>
      </c>
      <c r="CN446" s="41">
        <f t="shared" si="4749"/>
        <v>0</v>
      </c>
      <c r="CO446" s="41">
        <f t="shared" si="4750"/>
        <v>0</v>
      </c>
      <c r="CP446" s="41">
        <f t="shared" si="4751"/>
        <v>0</v>
      </c>
      <c r="CQ446" s="41">
        <f t="shared" si="4752"/>
        <v>0</v>
      </c>
      <c r="CR446" s="41">
        <f t="shared" si="4753"/>
        <v>0</v>
      </c>
      <c r="CS446" s="41">
        <f t="shared" si="4754"/>
        <v>0</v>
      </c>
      <c r="CT446" s="41">
        <f t="shared" si="4755"/>
        <v>0</v>
      </c>
      <c r="CU446" s="41">
        <f t="shared" si="4756"/>
        <v>0</v>
      </c>
      <c r="CV446" s="41">
        <f t="shared" si="4757"/>
        <v>0</v>
      </c>
      <c r="CW446" s="41">
        <f t="shared" si="4758"/>
        <v>0</v>
      </c>
      <c r="CX446" s="41">
        <f t="shared" si="4759"/>
        <v>0</v>
      </c>
      <c r="CY446" s="41">
        <f t="shared" si="4760"/>
        <v>0</v>
      </c>
      <c r="CZ446" s="211">
        <f t="shared" si="4761"/>
        <v>0</v>
      </c>
      <c r="DA446" s="41">
        <f t="shared" si="4762"/>
        <v>0</v>
      </c>
      <c r="DB446" s="41">
        <f t="shared" si="4763"/>
        <v>0</v>
      </c>
      <c r="DC446" s="41">
        <f t="shared" si="4764"/>
        <v>0</v>
      </c>
      <c r="DD446" s="41">
        <f t="shared" si="4765"/>
        <v>0</v>
      </c>
      <c r="DE446" s="41">
        <f t="shared" si="4766"/>
        <v>0</v>
      </c>
      <c r="DF446" s="41">
        <f t="shared" si="4767"/>
        <v>0</v>
      </c>
      <c r="DG446" s="41">
        <f t="shared" si="4768"/>
        <v>0</v>
      </c>
      <c r="DH446" s="41">
        <f t="shared" si="4769"/>
        <v>0</v>
      </c>
      <c r="DI446" s="41">
        <f t="shared" si="4770"/>
        <v>0</v>
      </c>
    </row>
    <row r="447" spans="1:113" ht="12" customHeight="1" outlineLevel="2">
      <c r="A447" s="1" t="s">
        <v>4</v>
      </c>
      <c r="B447" s="15" t="s">
        <v>361</v>
      </c>
      <c r="C447" s="40">
        <v>0</v>
      </c>
      <c r="D447" s="40">
        <v>0</v>
      </c>
      <c r="E447" s="40">
        <v>0</v>
      </c>
      <c r="F447" s="40">
        <v>0</v>
      </c>
      <c r="G447" s="40">
        <v>0</v>
      </c>
      <c r="H447" s="40">
        <v>0</v>
      </c>
      <c r="I447" s="40">
        <v>0</v>
      </c>
      <c r="J447" s="40">
        <v>0</v>
      </c>
      <c r="K447" s="40">
        <v>0</v>
      </c>
      <c r="L447" s="40">
        <v>0</v>
      </c>
      <c r="M447" s="40">
        <v>0</v>
      </c>
      <c r="N447" s="40">
        <v>0</v>
      </c>
      <c r="O447" s="40">
        <v>0</v>
      </c>
      <c r="P447" s="40">
        <v>0</v>
      </c>
      <c r="Q447" s="40">
        <v>0</v>
      </c>
      <c r="R447" s="40">
        <v>0</v>
      </c>
      <c r="S447" s="40">
        <v>0</v>
      </c>
      <c r="T447" s="40">
        <v>0</v>
      </c>
      <c r="U447" s="40">
        <v>0</v>
      </c>
      <c r="V447" s="40">
        <v>0</v>
      </c>
      <c r="W447" s="40">
        <v>0</v>
      </c>
      <c r="X447" s="40">
        <v>0</v>
      </c>
      <c r="Y447" s="40">
        <v>0</v>
      </c>
      <c r="Z447" s="141">
        <v>0</v>
      </c>
      <c r="AA447" s="141">
        <v>0</v>
      </c>
      <c r="AB447" s="141">
        <v>0</v>
      </c>
      <c r="AC447" s="141">
        <v>0</v>
      </c>
      <c r="AD447" s="141">
        <v>0</v>
      </c>
      <c r="AE447" s="141">
        <v>0</v>
      </c>
      <c r="AF447" s="141">
        <v>0</v>
      </c>
      <c r="AG447" s="141">
        <v>0</v>
      </c>
      <c r="AH447" s="141">
        <v>0</v>
      </c>
      <c r="AI447" s="141">
        <v>0</v>
      </c>
      <c r="AJ447" s="141">
        <v>0</v>
      </c>
      <c r="AK447" s="141">
        <v>0</v>
      </c>
      <c r="AL447" s="141">
        <v>0</v>
      </c>
      <c r="AM447" s="141">
        <v>0</v>
      </c>
      <c r="AN447" s="141">
        <v>0</v>
      </c>
      <c r="AO447" s="141">
        <v>0</v>
      </c>
      <c r="AP447" s="141">
        <v>0</v>
      </c>
      <c r="AQ447" s="141">
        <v>0</v>
      </c>
      <c r="AR447" s="141">
        <v>0</v>
      </c>
      <c r="AS447" s="141">
        <v>0</v>
      </c>
      <c r="AT447" s="141">
        <v>0</v>
      </c>
      <c r="AU447" s="141">
        <v>0</v>
      </c>
      <c r="AV447" s="141">
        <v>0</v>
      </c>
      <c r="AW447" s="141">
        <v>0</v>
      </c>
      <c r="AX447" s="141">
        <v>0</v>
      </c>
      <c r="AY447" s="226">
        <v>0</v>
      </c>
      <c r="AZ447" s="210">
        <v>0</v>
      </c>
      <c r="BA447" s="210">
        <v>0</v>
      </c>
      <c r="BB447" s="210">
        <v>0</v>
      </c>
      <c r="BC447" s="210">
        <v>0</v>
      </c>
      <c r="BD447" s="210">
        <v>0</v>
      </c>
      <c r="BE447" s="210">
        <v>0</v>
      </c>
      <c r="BF447" s="210">
        <v>0</v>
      </c>
      <c r="BG447" s="210">
        <v>0</v>
      </c>
      <c r="BH447" s="210">
        <v>0</v>
      </c>
      <c r="BI447" s="210">
        <v>0</v>
      </c>
      <c r="BJ447" s="210">
        <v>0</v>
      </c>
      <c r="BK447" s="210">
        <v>0</v>
      </c>
      <c r="BL447" s="210">
        <v>0</v>
      </c>
      <c r="BM447" s="210">
        <v>0</v>
      </c>
      <c r="BN447" s="210">
        <v>0</v>
      </c>
      <c r="BO447" s="210">
        <v>0</v>
      </c>
      <c r="BP447" s="210">
        <v>0</v>
      </c>
      <c r="BQ447" s="210">
        <v>0</v>
      </c>
      <c r="BR447" s="41"/>
      <c r="BS447" s="40">
        <v>0</v>
      </c>
      <c r="BT447" s="40">
        <v>0</v>
      </c>
      <c r="BU447" s="40">
        <v>0</v>
      </c>
      <c r="BV447" s="40">
        <v>0</v>
      </c>
      <c r="BW447" s="40">
        <v>0</v>
      </c>
      <c r="BX447" s="40">
        <v>0</v>
      </c>
      <c r="BY447" s="40">
        <v>0</v>
      </c>
      <c r="BZ447" s="40">
        <v>0</v>
      </c>
      <c r="CA447" s="40">
        <v>0</v>
      </c>
      <c r="CB447" s="40">
        <v>0</v>
      </c>
      <c r="CC447" s="41">
        <f t="shared" si="4738"/>
        <v>0</v>
      </c>
      <c r="CD447" s="41">
        <f t="shared" si="4739"/>
        <v>0</v>
      </c>
      <c r="CE447" s="41">
        <f t="shared" si="4740"/>
        <v>0</v>
      </c>
      <c r="CF447" s="41">
        <f t="shared" si="4741"/>
        <v>0</v>
      </c>
      <c r="CG447" s="41">
        <f t="shared" si="4742"/>
        <v>0</v>
      </c>
      <c r="CH447" s="41">
        <f t="shared" si="4743"/>
        <v>0</v>
      </c>
      <c r="CI447" s="41">
        <f t="shared" si="4744"/>
        <v>0</v>
      </c>
      <c r="CJ447" s="41">
        <f t="shared" si="4745"/>
        <v>0</v>
      </c>
      <c r="CK447" s="41">
        <f t="shared" si="4746"/>
        <v>0</v>
      </c>
      <c r="CL447" s="41">
        <f t="shared" si="4747"/>
        <v>0</v>
      </c>
      <c r="CM447" s="41">
        <f t="shared" si="4748"/>
        <v>0</v>
      </c>
      <c r="CN447" s="41">
        <f t="shared" si="4749"/>
        <v>0</v>
      </c>
      <c r="CO447" s="41">
        <f t="shared" si="4750"/>
        <v>0</v>
      </c>
      <c r="CP447" s="41">
        <f t="shared" si="4751"/>
        <v>0</v>
      </c>
      <c r="CQ447" s="41">
        <f t="shared" si="4752"/>
        <v>0</v>
      </c>
      <c r="CR447" s="41">
        <f t="shared" si="4753"/>
        <v>0</v>
      </c>
      <c r="CS447" s="41">
        <f t="shared" si="4754"/>
        <v>0</v>
      </c>
      <c r="CT447" s="41">
        <f t="shared" si="4755"/>
        <v>0</v>
      </c>
      <c r="CU447" s="41">
        <f t="shared" si="4756"/>
        <v>0</v>
      </c>
      <c r="CV447" s="41">
        <f t="shared" si="4757"/>
        <v>0</v>
      </c>
      <c r="CW447" s="41">
        <f t="shared" si="4758"/>
        <v>0</v>
      </c>
      <c r="CX447" s="41">
        <f t="shared" si="4759"/>
        <v>0</v>
      </c>
      <c r="CY447" s="41">
        <f t="shared" si="4760"/>
        <v>0</v>
      </c>
      <c r="CZ447" s="211">
        <f t="shared" si="4761"/>
        <v>0</v>
      </c>
      <c r="DA447" s="41">
        <f t="shared" si="4762"/>
        <v>0</v>
      </c>
      <c r="DB447" s="41">
        <f t="shared" si="4763"/>
        <v>0</v>
      </c>
      <c r="DC447" s="41">
        <f t="shared" si="4764"/>
        <v>0</v>
      </c>
      <c r="DD447" s="41">
        <f t="shared" si="4765"/>
        <v>0</v>
      </c>
      <c r="DE447" s="41">
        <f t="shared" si="4766"/>
        <v>0</v>
      </c>
      <c r="DF447" s="41">
        <f t="shared" si="4767"/>
        <v>0</v>
      </c>
      <c r="DG447" s="41">
        <f t="shared" si="4768"/>
        <v>0</v>
      </c>
      <c r="DH447" s="41">
        <f t="shared" si="4769"/>
        <v>0</v>
      </c>
      <c r="DI447" s="41">
        <f t="shared" si="4770"/>
        <v>0</v>
      </c>
    </row>
    <row r="448" spans="1:113" ht="12" customHeight="1" outlineLevel="2">
      <c r="A448" s="1" t="s">
        <v>5</v>
      </c>
      <c r="B448" s="15" t="s">
        <v>425</v>
      </c>
      <c r="C448" s="40">
        <v>0</v>
      </c>
      <c r="D448" s="40">
        <v>0</v>
      </c>
      <c r="E448" s="40">
        <v>0</v>
      </c>
      <c r="F448" s="40">
        <v>0</v>
      </c>
      <c r="G448" s="40">
        <v>0</v>
      </c>
      <c r="H448" s="40">
        <v>0</v>
      </c>
      <c r="I448" s="40">
        <v>0</v>
      </c>
      <c r="J448" s="40">
        <v>0</v>
      </c>
      <c r="K448" s="40">
        <v>0</v>
      </c>
      <c r="L448" s="40">
        <v>0</v>
      </c>
      <c r="M448" s="40">
        <v>0</v>
      </c>
      <c r="N448" s="40">
        <v>0</v>
      </c>
      <c r="O448" s="40">
        <v>0</v>
      </c>
      <c r="P448" s="40">
        <f>P449+2667</f>
        <v>12</v>
      </c>
      <c r="Q448" s="40">
        <f>Q449+2777</f>
        <v>26</v>
      </c>
      <c r="R448" s="40">
        <f>3090+R449-24</f>
        <v>122</v>
      </c>
      <c r="S448" s="40">
        <f>3135+S449</f>
        <v>11</v>
      </c>
      <c r="T448" s="40">
        <f>3256+T449</f>
        <v>7</v>
      </c>
      <c r="U448" s="40">
        <f>3729+U449</f>
        <v>7</v>
      </c>
      <c r="V448" s="40">
        <v>0</v>
      </c>
      <c r="W448" s="40">
        <v>0</v>
      </c>
      <c r="X448" s="40">
        <f>4133+X449</f>
        <v>0</v>
      </c>
      <c r="Y448" s="40">
        <f>4386+Y449-273</f>
        <v>-273</v>
      </c>
      <c r="Z448" s="141">
        <v>0</v>
      </c>
      <c r="AA448" s="141">
        <v>0</v>
      </c>
      <c r="AB448" s="141">
        <v>0</v>
      </c>
      <c r="AC448" s="141">
        <v>0</v>
      </c>
      <c r="AD448" s="141">
        <v>0</v>
      </c>
      <c r="AE448" s="141">
        <v>0</v>
      </c>
      <c r="AF448" s="141">
        <v>0</v>
      </c>
      <c r="AG448" s="141">
        <v>0</v>
      </c>
      <c r="AH448" s="141">
        <v>0</v>
      </c>
      <c r="AI448" s="141">
        <v>0</v>
      </c>
      <c r="AJ448" s="141">
        <v>0</v>
      </c>
      <c r="AK448" s="141">
        <v>0</v>
      </c>
      <c r="AL448" s="141">
        <v>0</v>
      </c>
      <c r="AM448" s="141">
        <v>0</v>
      </c>
      <c r="AN448" s="141">
        <v>0</v>
      </c>
      <c r="AO448" s="141">
        <v>0</v>
      </c>
      <c r="AP448" s="141">
        <v>0</v>
      </c>
      <c r="AQ448" s="141">
        <v>0</v>
      </c>
      <c r="AR448" s="141">
        <v>0</v>
      </c>
      <c r="AS448" s="141">
        <v>0</v>
      </c>
      <c r="AT448" s="141">
        <v>0</v>
      </c>
      <c r="AU448" s="141">
        <v>0</v>
      </c>
      <c r="AV448" s="141">
        <v>0</v>
      </c>
      <c r="AW448" s="141">
        <v>0</v>
      </c>
      <c r="AX448" s="141">
        <v>0</v>
      </c>
      <c r="AY448" s="226">
        <v>0</v>
      </c>
      <c r="AZ448" s="210">
        <v>0</v>
      </c>
      <c r="BA448" s="210">
        <v>0</v>
      </c>
      <c r="BB448" s="210">
        <v>0</v>
      </c>
      <c r="BC448" s="210">
        <v>0</v>
      </c>
      <c r="BD448" s="210">
        <v>0</v>
      </c>
      <c r="BE448" s="210">
        <v>0</v>
      </c>
      <c r="BF448" s="210">
        <v>0</v>
      </c>
      <c r="BG448" s="210">
        <v>0</v>
      </c>
      <c r="BH448" s="210">
        <v>0</v>
      </c>
      <c r="BI448" s="210">
        <v>0</v>
      </c>
      <c r="BJ448" s="210">
        <v>0</v>
      </c>
      <c r="BK448" s="210">
        <v>0</v>
      </c>
      <c r="BL448" s="210">
        <v>0</v>
      </c>
      <c r="BM448" s="210">
        <v>0</v>
      </c>
      <c r="BN448" s="210">
        <v>0</v>
      </c>
      <c r="BO448" s="210">
        <v>0</v>
      </c>
      <c r="BP448" s="210">
        <v>0</v>
      </c>
      <c r="BQ448" s="210">
        <v>0</v>
      </c>
      <c r="BR448" s="41"/>
      <c r="BS448" s="40">
        <v>0</v>
      </c>
      <c r="BT448" s="40">
        <v>0</v>
      </c>
      <c r="BU448" s="40">
        <v>0</v>
      </c>
      <c r="BV448" s="40">
        <v>0</v>
      </c>
      <c r="BW448" s="40">
        <v>0</v>
      </c>
      <c r="BX448" s="40">
        <v>0</v>
      </c>
      <c r="BY448" s="40">
        <v>0</v>
      </c>
      <c r="BZ448" s="40">
        <v>0</v>
      </c>
      <c r="CA448" s="40">
        <v>0</v>
      </c>
      <c r="CB448" s="40">
        <v>0</v>
      </c>
      <c r="CC448" s="41">
        <f t="shared" si="4738"/>
        <v>0</v>
      </c>
      <c r="CD448" s="41">
        <f t="shared" si="4739"/>
        <v>0</v>
      </c>
      <c r="CE448" s="41">
        <f t="shared" si="4740"/>
        <v>0</v>
      </c>
      <c r="CF448" s="41">
        <f t="shared" si="4741"/>
        <v>0</v>
      </c>
      <c r="CG448" s="41">
        <f t="shared" si="4742"/>
        <v>0</v>
      </c>
      <c r="CH448" s="41">
        <f t="shared" si="4743"/>
        <v>0</v>
      </c>
      <c r="CI448" s="41">
        <f t="shared" si="4744"/>
        <v>38</v>
      </c>
      <c r="CJ448" s="41">
        <f t="shared" si="4745"/>
        <v>133</v>
      </c>
      <c r="CK448" s="41">
        <f t="shared" si="4746"/>
        <v>14</v>
      </c>
      <c r="CL448" s="41">
        <f t="shared" si="4747"/>
        <v>0</v>
      </c>
      <c r="CM448" s="41">
        <f t="shared" si="4748"/>
        <v>-273</v>
      </c>
      <c r="CN448" s="41">
        <f t="shared" si="4749"/>
        <v>0</v>
      </c>
      <c r="CO448" s="41">
        <f t="shared" si="4750"/>
        <v>0</v>
      </c>
      <c r="CP448" s="41">
        <f t="shared" si="4751"/>
        <v>0</v>
      </c>
      <c r="CQ448" s="41">
        <f t="shared" si="4752"/>
        <v>0</v>
      </c>
      <c r="CR448" s="41">
        <f t="shared" si="4753"/>
        <v>0</v>
      </c>
      <c r="CS448" s="41">
        <f t="shared" si="4754"/>
        <v>0</v>
      </c>
      <c r="CT448" s="41">
        <f t="shared" si="4755"/>
        <v>0</v>
      </c>
      <c r="CU448" s="41">
        <f t="shared" si="4756"/>
        <v>0</v>
      </c>
      <c r="CV448" s="41">
        <f t="shared" si="4757"/>
        <v>0</v>
      </c>
      <c r="CW448" s="41">
        <f t="shared" si="4758"/>
        <v>0</v>
      </c>
      <c r="CX448" s="41">
        <f t="shared" si="4759"/>
        <v>0</v>
      </c>
      <c r="CY448" s="41">
        <f t="shared" si="4760"/>
        <v>0</v>
      </c>
      <c r="CZ448" s="211">
        <f t="shared" si="4761"/>
        <v>0</v>
      </c>
      <c r="DA448" s="41">
        <f t="shared" si="4762"/>
        <v>0</v>
      </c>
      <c r="DB448" s="41">
        <f t="shared" si="4763"/>
        <v>0</v>
      </c>
      <c r="DC448" s="41">
        <f t="shared" si="4764"/>
        <v>0</v>
      </c>
      <c r="DD448" s="41">
        <f t="shared" si="4765"/>
        <v>0</v>
      </c>
      <c r="DE448" s="41">
        <f t="shared" si="4766"/>
        <v>0</v>
      </c>
      <c r="DF448" s="41">
        <f t="shared" si="4767"/>
        <v>0</v>
      </c>
      <c r="DG448" s="41">
        <f t="shared" si="4768"/>
        <v>0</v>
      </c>
      <c r="DH448" s="41">
        <f t="shared" si="4769"/>
        <v>0</v>
      </c>
      <c r="DI448" s="41">
        <f t="shared" si="4770"/>
        <v>0</v>
      </c>
    </row>
    <row r="449" spans="1:113" s="17" customFormat="1" ht="12" customHeight="1" outlineLevel="2">
      <c r="A449" s="1" t="s">
        <v>84</v>
      </c>
      <c r="B449" s="17" t="s">
        <v>453</v>
      </c>
      <c r="C449" s="61">
        <v>-1553</v>
      </c>
      <c r="D449" s="61">
        <v>-1578</v>
      </c>
      <c r="E449" s="61">
        <f>-3153-D449</f>
        <v>-1575</v>
      </c>
      <c r="F449" s="61">
        <v>-1602</v>
      </c>
      <c r="G449" s="61">
        <f>-3228-F449</f>
        <v>-1626</v>
      </c>
      <c r="H449" s="61">
        <v>-1902</v>
      </c>
      <c r="I449" s="61">
        <v>-2103</v>
      </c>
      <c r="J449" s="61">
        <v>-2127</v>
      </c>
      <c r="K449" s="61">
        <f>-4340-J449</f>
        <v>-2213</v>
      </c>
      <c r="L449" s="61">
        <f>-2259</f>
        <v>-2259</v>
      </c>
      <c r="M449" s="61">
        <f>-2346</f>
        <v>-2346</v>
      </c>
      <c r="N449" s="61">
        <f>-2386</f>
        <v>-2386</v>
      </c>
      <c r="O449" s="61">
        <f>-2567</f>
        <v>-2567</v>
      </c>
      <c r="P449" s="61">
        <f>-2655</f>
        <v>-2655</v>
      </c>
      <c r="Q449" s="61">
        <f>-2751</f>
        <v>-2751</v>
      </c>
      <c r="R449" s="61">
        <v>-2944</v>
      </c>
      <c r="S449" s="61">
        <v>-3124</v>
      </c>
      <c r="T449" s="61">
        <v>-3249</v>
      </c>
      <c r="U449" s="61">
        <v>-3722</v>
      </c>
      <c r="V449" s="61">
        <f>-4026</f>
        <v>-4026</v>
      </c>
      <c r="W449" s="61">
        <f>-3997</f>
        <v>-3997</v>
      </c>
      <c r="X449" s="61">
        <v>-4133</v>
      </c>
      <c r="Y449" s="61">
        <v>-4386</v>
      </c>
      <c r="Z449" s="194">
        <v>-4044</v>
      </c>
      <c r="AA449" s="194">
        <v>-4213</v>
      </c>
      <c r="AB449" s="194">
        <v>-4286</v>
      </c>
      <c r="AC449" s="194">
        <v>-4474</v>
      </c>
      <c r="AD449" s="194">
        <v>-4603</v>
      </c>
      <c r="AE449" s="194">
        <v>-4775</v>
      </c>
      <c r="AF449" s="194">
        <v>-5488</v>
      </c>
      <c r="AG449" s="194">
        <v>-4951</v>
      </c>
      <c r="AH449" s="194">
        <v>-4487</v>
      </c>
      <c r="AI449" s="194">
        <v>-4480</v>
      </c>
      <c r="AJ449" s="194">
        <v>-4473</v>
      </c>
      <c r="AK449" s="194">
        <v>-4928</v>
      </c>
      <c r="AL449" s="194">
        <v>-4365</v>
      </c>
      <c r="AM449" s="194">
        <v>-4706</v>
      </c>
      <c r="AN449" s="194">
        <v>-4605</v>
      </c>
      <c r="AO449" s="194">
        <v>-4778</v>
      </c>
      <c r="AP449" s="194">
        <v>-4482</v>
      </c>
      <c r="AQ449" s="194">
        <v>-4569</v>
      </c>
      <c r="AR449" s="194">
        <v>-4791</v>
      </c>
      <c r="AS449" s="194">
        <v>-4788</v>
      </c>
      <c r="AT449" s="194">
        <v>-4997</v>
      </c>
      <c r="AU449" s="194">
        <v>-5142</v>
      </c>
      <c r="AV449" s="194">
        <v>-5215</v>
      </c>
      <c r="AW449" s="194">
        <v>-5526</v>
      </c>
      <c r="AX449" s="194">
        <v>-5742</v>
      </c>
      <c r="AY449" s="227">
        <v>-7138</v>
      </c>
      <c r="AZ449" s="574">
        <f>-[3]ANZ!K$182</f>
        <v>-5655.3363965448234</v>
      </c>
      <c r="BA449" s="574">
        <f>-[3]ANZ!L$182</f>
        <v>-5842.8664936409004</v>
      </c>
      <c r="BB449" s="574">
        <f>-[3]ANZ!M$182</f>
        <v>-5583.4926221265141</v>
      </c>
      <c r="BC449" s="574">
        <f>-[3]ANZ!N$182</f>
        <v>-6031.6733273549871</v>
      </c>
      <c r="BD449" s="574">
        <f>-[3]ANZ!O$182</f>
        <v>-5624.7316572259006</v>
      </c>
      <c r="BE449" s="574">
        <f>-[3]ANZ!P$182</f>
        <v>-6130.8030711120537</v>
      </c>
      <c r="BF449" s="574">
        <f>-[3]ANZ!Q$182</f>
        <v>-5765.4091812627266</v>
      </c>
      <c r="BG449" s="574">
        <f>-[3]ANZ!R$182</f>
        <v>-6237.8275467977164</v>
      </c>
      <c r="BH449" s="574">
        <f>-[3]ANZ!S$182</f>
        <v>-5862.8226831828606</v>
      </c>
      <c r="BI449" s="574">
        <f>-[3]ANZ!T$182</f>
        <v>-6379.7490209978796</v>
      </c>
      <c r="BJ449" s="62">
        <f t="shared" ref="BJ449:BK449" si="4862">SUM(BJ443:BJ448)</f>
        <v>-6132.6309569320729</v>
      </c>
      <c r="BK449" s="62">
        <f t="shared" si="4862"/>
        <v>-6473.7293775789922</v>
      </c>
      <c r="BL449" s="62">
        <f t="shared" ref="BL449:BM449" si="4863">SUM(BL443:BL448)</f>
        <v>-6246.8716708539541</v>
      </c>
      <c r="BM449" s="62">
        <f t="shared" si="4863"/>
        <v>-6599.0425989516634</v>
      </c>
      <c r="BN449" s="62">
        <f t="shared" ref="BN449:BO449" si="4864">SUM(BN443:BN448)</f>
        <v>-6372.5196491489351</v>
      </c>
      <c r="BO449" s="62">
        <f t="shared" si="4864"/>
        <v>-6761.0866308130544</v>
      </c>
      <c r="BP449" s="62">
        <f t="shared" ref="BP449:BQ449" si="4865">SUM(BP443:BP448)</f>
        <v>-6511.0906991425963</v>
      </c>
      <c r="BQ449" s="62">
        <f t="shared" si="4865"/>
        <v>-6916.5775161239162</v>
      </c>
      <c r="BR449" s="62"/>
      <c r="BS449" s="61">
        <v>-3329</v>
      </c>
      <c r="BT449" s="61">
        <v>-3124</v>
      </c>
      <c r="BU449" s="61">
        <v>-3001</v>
      </c>
      <c r="BV449" s="61">
        <v>-3116</v>
      </c>
      <c r="BW449" s="61">
        <v>-3397</v>
      </c>
      <c r="BX449" s="61">
        <f>-3502</f>
        <v>-3502</v>
      </c>
      <c r="BY449" s="61">
        <f>-3442</f>
        <v>-3442</v>
      </c>
      <c r="BZ449" s="61">
        <v>-3300</v>
      </c>
      <c r="CA449" s="61">
        <f>-3314+12</f>
        <v>-3302</v>
      </c>
      <c r="CB449" s="61">
        <f>-3092+17</f>
        <v>-3075</v>
      </c>
      <c r="CC449" s="62">
        <f t="shared" si="4738"/>
        <v>-3153</v>
      </c>
      <c r="CD449" s="62">
        <f t="shared" si="4739"/>
        <v>-3228</v>
      </c>
      <c r="CE449" s="62">
        <f t="shared" si="4740"/>
        <v>-4005</v>
      </c>
      <c r="CF449" s="62">
        <f t="shared" si="4741"/>
        <v>-4340</v>
      </c>
      <c r="CG449" s="62">
        <f t="shared" si="4742"/>
        <v>-4605</v>
      </c>
      <c r="CH449" s="62">
        <f t="shared" si="4743"/>
        <v>-4953</v>
      </c>
      <c r="CI449" s="62">
        <f t="shared" si="4744"/>
        <v>-5406</v>
      </c>
      <c r="CJ449" s="62">
        <f t="shared" si="4745"/>
        <v>-6068</v>
      </c>
      <c r="CK449" s="62">
        <f t="shared" si="4746"/>
        <v>-6971</v>
      </c>
      <c r="CL449" s="62">
        <f t="shared" si="4747"/>
        <v>-8023</v>
      </c>
      <c r="CM449" s="62">
        <f t="shared" si="4748"/>
        <v>-8519</v>
      </c>
      <c r="CN449" s="62">
        <f t="shared" si="4749"/>
        <v>-8257</v>
      </c>
      <c r="CO449" s="62">
        <f t="shared" si="4750"/>
        <v>-8760</v>
      </c>
      <c r="CP449" s="62">
        <f t="shared" si="4751"/>
        <v>-9378</v>
      </c>
      <c r="CQ449" s="62">
        <f t="shared" si="4752"/>
        <v>-10439</v>
      </c>
      <c r="CR449" s="62">
        <f t="shared" si="4753"/>
        <v>-8967</v>
      </c>
      <c r="CS449" s="62">
        <f t="shared" si="4754"/>
        <v>-9401</v>
      </c>
      <c r="CT449" s="62">
        <f t="shared" si="4755"/>
        <v>-9071</v>
      </c>
      <c r="CU449" s="62">
        <f t="shared" si="4756"/>
        <v>-9383</v>
      </c>
      <c r="CV449" s="62">
        <f t="shared" si="4757"/>
        <v>-9051</v>
      </c>
      <c r="CW449" s="62">
        <f t="shared" si="4758"/>
        <v>-9579</v>
      </c>
      <c r="CX449" s="62">
        <f t="shared" si="4759"/>
        <v>-10139</v>
      </c>
      <c r="CY449" s="62">
        <f t="shared" si="4760"/>
        <v>-10741</v>
      </c>
      <c r="CZ449" s="220">
        <f t="shared" si="4761"/>
        <v>-12880</v>
      </c>
      <c r="DA449" s="62">
        <f t="shared" si="4762"/>
        <v>-11498.202890185723</v>
      </c>
      <c r="DB449" s="62">
        <f t="shared" si="4763"/>
        <v>-11615.165949481501</v>
      </c>
      <c r="DC449" s="62">
        <f t="shared" si="4764"/>
        <v>-11755.534728337954</v>
      </c>
      <c r="DD449" s="62">
        <f t="shared" si="4765"/>
        <v>-12003.236728060443</v>
      </c>
      <c r="DE449" s="62">
        <f t="shared" si="4766"/>
        <v>-12242.57170418074</v>
      </c>
      <c r="DF449" s="62">
        <f t="shared" si="4767"/>
        <v>-12606.360334511064</v>
      </c>
      <c r="DG449" s="62">
        <f t="shared" si="4768"/>
        <v>-12845.914269805617</v>
      </c>
      <c r="DH449" s="62">
        <f t="shared" si="4769"/>
        <v>-13133.60627996199</v>
      </c>
      <c r="DI449" s="62">
        <f t="shared" si="4770"/>
        <v>-13427.668215266513</v>
      </c>
    </row>
    <row r="450" spans="1:113" ht="12" customHeight="1" outlineLevel="2">
      <c r="A450" s="1" t="s">
        <v>85</v>
      </c>
      <c r="B450" s="15" t="s">
        <v>529</v>
      </c>
      <c r="C450" s="41">
        <f t="shared" ref="C450:L450" si="4866">C451-C449</f>
        <v>0</v>
      </c>
      <c r="D450" s="41">
        <f t="shared" si="4866"/>
        <v>248</v>
      </c>
      <c r="E450" s="41">
        <f t="shared" si="4866"/>
        <v>0</v>
      </c>
      <c r="F450" s="41">
        <f t="shared" si="4866"/>
        <v>0</v>
      </c>
      <c r="G450" s="41">
        <f t="shared" si="4866"/>
        <v>0</v>
      </c>
      <c r="H450" s="41">
        <f t="shared" si="4866"/>
        <v>0</v>
      </c>
      <c r="I450" s="41">
        <f t="shared" si="4866"/>
        <v>0</v>
      </c>
      <c r="J450" s="41">
        <f t="shared" si="4866"/>
        <v>-25</v>
      </c>
      <c r="K450" s="41">
        <f t="shared" si="4866"/>
        <v>-53</v>
      </c>
      <c r="L450" s="41">
        <f t="shared" si="4866"/>
        <v>74</v>
      </c>
      <c r="M450" s="41">
        <f t="shared" ref="M450:X450" si="4867">M451-M449</f>
        <v>0</v>
      </c>
      <c r="N450" s="41">
        <f t="shared" si="4867"/>
        <v>0</v>
      </c>
      <c r="O450" s="41">
        <f t="shared" si="4867"/>
        <v>0</v>
      </c>
      <c r="P450" s="41">
        <f t="shared" si="4867"/>
        <v>-46</v>
      </c>
      <c r="Q450" s="41">
        <f t="shared" si="4867"/>
        <v>-244</v>
      </c>
      <c r="R450" s="41">
        <f t="shared" si="4867"/>
        <v>-146</v>
      </c>
      <c r="S450" s="41">
        <f t="shared" si="4867"/>
        <v>-11</v>
      </c>
      <c r="T450" s="41">
        <f t="shared" si="4867"/>
        <v>-133</v>
      </c>
      <c r="U450" s="41">
        <f t="shared" si="4867"/>
        <v>-200</v>
      </c>
      <c r="V450" s="41">
        <f t="shared" si="4867"/>
        <v>0</v>
      </c>
      <c r="W450" s="41">
        <f t="shared" si="4867"/>
        <v>0</v>
      </c>
      <c r="X450" s="41">
        <f t="shared" si="4867"/>
        <v>0</v>
      </c>
      <c r="Y450" s="41">
        <f t="shared" ref="Y450:AE450" si="4868">Y451-Y449</f>
        <v>0</v>
      </c>
      <c r="Z450" s="41">
        <f t="shared" si="4868"/>
        <v>0</v>
      </c>
      <c r="AA450" s="41">
        <f t="shared" si="4868"/>
        <v>0</v>
      </c>
      <c r="AB450" s="41">
        <f t="shared" si="4868"/>
        <v>0</v>
      </c>
      <c r="AC450" s="41">
        <f t="shared" si="4868"/>
        <v>0</v>
      </c>
      <c r="AD450" s="41">
        <f t="shared" si="4868"/>
        <v>0</v>
      </c>
      <c r="AE450" s="41">
        <f t="shared" si="4868"/>
        <v>0</v>
      </c>
      <c r="AF450" s="41">
        <f t="shared" ref="AF450:AG450" si="4869">AF451-AF449</f>
        <v>0</v>
      </c>
      <c r="AG450" s="41">
        <f t="shared" si="4869"/>
        <v>0</v>
      </c>
      <c r="AH450" s="41">
        <f t="shared" ref="AH450:AI450" si="4870">AH451-AH449</f>
        <v>-244</v>
      </c>
      <c r="AI450" s="41">
        <f t="shared" si="4870"/>
        <v>-237</v>
      </c>
      <c r="AJ450" s="41">
        <f t="shared" ref="AJ450:AK450" si="4871">AJ451-AJ449</f>
        <v>-243</v>
      </c>
      <c r="AK450" s="41">
        <f t="shared" si="4871"/>
        <v>-301</v>
      </c>
      <c r="AL450" s="41">
        <f t="shared" ref="AL450:AM450" si="4872">AL451-AL449</f>
        <v>-221</v>
      </c>
      <c r="AM450" s="41">
        <f t="shared" si="4872"/>
        <v>-228</v>
      </c>
      <c r="AN450" s="41">
        <f t="shared" ref="AN450:AO450" si="4873">AN451-AN449</f>
        <v>-120</v>
      </c>
      <c r="AO450" s="41">
        <f t="shared" si="4873"/>
        <v>-80</v>
      </c>
      <c r="AP450" s="41">
        <f t="shared" ref="AP450:AQ450" si="4874">AP451-AP449</f>
        <v>-38</v>
      </c>
      <c r="AQ450" s="41">
        <f t="shared" si="4874"/>
        <v>0</v>
      </c>
      <c r="AR450" s="41">
        <f t="shared" ref="AR450:AS450" si="4875">AR451-AR449</f>
        <v>0</v>
      </c>
      <c r="AS450" s="41">
        <f t="shared" si="4875"/>
        <v>0</v>
      </c>
      <c r="AT450" s="41">
        <f t="shared" ref="AT450:AU450" si="4876">AT451-AT449</f>
        <v>0</v>
      </c>
      <c r="AU450" s="41">
        <f t="shared" si="4876"/>
        <v>0</v>
      </c>
      <c r="AV450" s="41">
        <f t="shared" ref="AV450:AW450" si="4877">AV451-AV449</f>
        <v>0</v>
      </c>
      <c r="AW450" s="41">
        <f t="shared" si="4877"/>
        <v>0</v>
      </c>
      <c r="AX450" s="41">
        <f t="shared" ref="AX450:AY450" si="4878">AX451-AX449</f>
        <v>-82</v>
      </c>
      <c r="AY450" s="211">
        <f t="shared" si="4878"/>
        <v>-61</v>
      </c>
      <c r="AZ450" s="210">
        <v>0</v>
      </c>
      <c r="BA450" s="210">
        <v>0</v>
      </c>
      <c r="BB450" s="210">
        <v>0</v>
      </c>
      <c r="BC450" s="210">
        <v>0</v>
      </c>
      <c r="BD450" s="210">
        <v>0</v>
      </c>
      <c r="BE450" s="210">
        <v>0</v>
      </c>
      <c r="BF450" s="210">
        <v>0</v>
      </c>
      <c r="BG450" s="210">
        <v>0</v>
      </c>
      <c r="BH450" s="210">
        <v>0</v>
      </c>
      <c r="BI450" s="210">
        <v>0</v>
      </c>
      <c r="BJ450" s="210">
        <v>0</v>
      </c>
      <c r="BK450" s="210">
        <v>0</v>
      </c>
      <c r="BL450" s="210">
        <v>0</v>
      </c>
      <c r="BM450" s="210">
        <v>0</v>
      </c>
      <c r="BN450" s="210">
        <v>0</v>
      </c>
      <c r="BO450" s="210">
        <v>0</v>
      </c>
      <c r="BP450" s="210">
        <v>0</v>
      </c>
      <c r="BQ450" s="210">
        <v>0</v>
      </c>
      <c r="BR450" s="41"/>
      <c r="BS450" s="41">
        <f t="shared" ref="BS450:CB450" si="4879">BS451-BS449</f>
        <v>0</v>
      </c>
      <c r="BT450" s="41">
        <f t="shared" si="4879"/>
        <v>0</v>
      </c>
      <c r="BU450" s="41">
        <f t="shared" si="4879"/>
        <v>0</v>
      </c>
      <c r="BV450" s="41">
        <f t="shared" si="4879"/>
        <v>0</v>
      </c>
      <c r="BW450" s="41">
        <f t="shared" si="4879"/>
        <v>0</v>
      </c>
      <c r="BX450" s="41">
        <f t="shared" si="4879"/>
        <v>-327</v>
      </c>
      <c r="BY450" s="41">
        <f t="shared" si="4879"/>
        <v>-32</v>
      </c>
      <c r="BZ450" s="41">
        <f t="shared" si="4879"/>
        <v>0</v>
      </c>
      <c r="CA450" s="41">
        <f t="shared" si="4879"/>
        <v>-998</v>
      </c>
      <c r="CB450" s="41">
        <f t="shared" si="4879"/>
        <v>-17</v>
      </c>
      <c r="CC450" s="41">
        <f t="shared" ref="CC450:CI450" si="4880">CC451-CC449</f>
        <v>248</v>
      </c>
      <c r="CD450" s="41">
        <f t="shared" si="4880"/>
        <v>0</v>
      </c>
      <c r="CE450" s="41">
        <f t="shared" si="4880"/>
        <v>0</v>
      </c>
      <c r="CF450" s="41">
        <f t="shared" si="4880"/>
        <v>-78</v>
      </c>
      <c r="CG450" s="41">
        <f t="shared" si="4880"/>
        <v>74</v>
      </c>
      <c r="CH450" s="41">
        <f t="shared" si="4880"/>
        <v>0</v>
      </c>
      <c r="CI450" s="41">
        <f t="shared" si="4880"/>
        <v>-290</v>
      </c>
      <c r="CJ450" s="41">
        <f t="shared" si="4745"/>
        <v>-157</v>
      </c>
      <c r="CK450" s="41">
        <f t="shared" si="4746"/>
        <v>-333</v>
      </c>
      <c r="CL450" s="41">
        <f t="shared" si="4747"/>
        <v>0</v>
      </c>
      <c r="CM450" s="41">
        <f t="shared" si="4748"/>
        <v>0</v>
      </c>
      <c r="CN450" s="41">
        <f t="shared" si="4749"/>
        <v>0</v>
      </c>
      <c r="CO450" s="41">
        <f t="shared" si="4750"/>
        <v>0</v>
      </c>
      <c r="CP450" s="41">
        <f t="shared" si="4751"/>
        <v>0</v>
      </c>
      <c r="CQ450" s="41">
        <f t="shared" si="4752"/>
        <v>0</v>
      </c>
      <c r="CR450" s="41">
        <f t="shared" si="4753"/>
        <v>-481</v>
      </c>
      <c r="CS450" s="41">
        <f t="shared" si="4754"/>
        <v>-544</v>
      </c>
      <c r="CT450" s="41">
        <f t="shared" si="4755"/>
        <v>-449</v>
      </c>
      <c r="CU450" s="41">
        <f t="shared" si="4756"/>
        <v>-200</v>
      </c>
      <c r="CV450" s="41">
        <f t="shared" si="4757"/>
        <v>-38</v>
      </c>
      <c r="CW450" s="41">
        <f t="shared" si="4758"/>
        <v>0</v>
      </c>
      <c r="CX450" s="41">
        <f t="shared" si="4759"/>
        <v>0</v>
      </c>
      <c r="CY450" s="41">
        <f t="shared" si="4760"/>
        <v>0</v>
      </c>
      <c r="CZ450" s="211">
        <f t="shared" si="4761"/>
        <v>-143</v>
      </c>
      <c r="DA450" s="41">
        <f t="shared" si="4762"/>
        <v>0</v>
      </c>
      <c r="DB450" s="41">
        <f t="shared" si="4763"/>
        <v>0</v>
      </c>
      <c r="DC450" s="41">
        <f t="shared" si="4764"/>
        <v>0</v>
      </c>
      <c r="DD450" s="41">
        <f t="shared" si="4765"/>
        <v>0</v>
      </c>
      <c r="DE450" s="41">
        <f t="shared" si="4766"/>
        <v>0</v>
      </c>
      <c r="DF450" s="41">
        <f t="shared" si="4767"/>
        <v>0</v>
      </c>
      <c r="DG450" s="41">
        <f t="shared" si="4768"/>
        <v>0</v>
      </c>
      <c r="DH450" s="41">
        <f t="shared" si="4769"/>
        <v>0</v>
      </c>
      <c r="DI450" s="41">
        <f t="shared" si="4770"/>
        <v>0</v>
      </c>
    </row>
    <row r="451" spans="1:113" s="17" customFormat="1" ht="12" customHeight="1" outlineLevel="2">
      <c r="A451" s="1" t="s">
        <v>86</v>
      </c>
      <c r="B451" s="17" t="s">
        <v>380</v>
      </c>
      <c r="C451" s="61">
        <v>-1553</v>
      </c>
      <c r="D451" s="61">
        <v>-1330</v>
      </c>
      <c r="E451" s="61">
        <f>-2905-D451</f>
        <v>-1575</v>
      </c>
      <c r="F451" s="61">
        <v>-1602</v>
      </c>
      <c r="G451" s="61">
        <f>-3228-F451</f>
        <v>-1626</v>
      </c>
      <c r="H451" s="61">
        <v>-1902</v>
      </c>
      <c r="I451" s="61">
        <v>-2103</v>
      </c>
      <c r="J451" s="61">
        <v>-2152</v>
      </c>
      <c r="K451" s="61">
        <f>-4418-J451</f>
        <v>-2266</v>
      </c>
      <c r="L451" s="61">
        <f>-2185</f>
        <v>-2185</v>
      </c>
      <c r="M451" s="61">
        <f>-2346</f>
        <v>-2346</v>
      </c>
      <c r="N451" s="61">
        <f>-2386</f>
        <v>-2386</v>
      </c>
      <c r="O451" s="61">
        <f>-2567</f>
        <v>-2567</v>
      </c>
      <c r="P451" s="61">
        <f>-2701</f>
        <v>-2701</v>
      </c>
      <c r="Q451" s="61">
        <f>-2995</f>
        <v>-2995</v>
      </c>
      <c r="R451" s="61">
        <v>-3090</v>
      </c>
      <c r="S451" s="61">
        <f>-6225-R451</f>
        <v>-3135</v>
      </c>
      <c r="T451" s="61">
        <v>-3382</v>
      </c>
      <c r="U451" s="61">
        <v>-3922</v>
      </c>
      <c r="V451" s="61">
        <v>-4026</v>
      </c>
      <c r="W451" s="61">
        <v>-3997</v>
      </c>
      <c r="X451" s="61">
        <v>-4133</v>
      </c>
      <c r="Y451" s="61">
        <v>-4386</v>
      </c>
      <c r="Z451" s="194">
        <v>-4044</v>
      </c>
      <c r="AA451" s="194">
        <v>-4213</v>
      </c>
      <c r="AB451" s="194">
        <v>-4286</v>
      </c>
      <c r="AC451" s="194">
        <v>-4474</v>
      </c>
      <c r="AD451" s="194">
        <v>-4603</v>
      </c>
      <c r="AE451" s="194">
        <v>-4775</v>
      </c>
      <c r="AF451" s="194">
        <v>-5488</v>
      </c>
      <c r="AG451" s="194">
        <v>-4951</v>
      </c>
      <c r="AH451" s="194">
        <f>-4487-244</f>
        <v>-4731</v>
      </c>
      <c r="AI451" s="194">
        <f>-4480-237</f>
        <v>-4717</v>
      </c>
      <c r="AJ451" s="194">
        <f>-4473-243</f>
        <v>-4716</v>
      </c>
      <c r="AK451" s="194">
        <f>-4928-301</f>
        <v>-5229</v>
      </c>
      <c r="AL451" s="194">
        <f>-4365-221</f>
        <v>-4586</v>
      </c>
      <c r="AM451" s="194">
        <f>-4706-228</f>
        <v>-4934</v>
      </c>
      <c r="AN451" s="194">
        <f>-4605-120</f>
        <v>-4725</v>
      </c>
      <c r="AO451" s="194">
        <f>-4778-80</f>
        <v>-4858</v>
      </c>
      <c r="AP451" s="194">
        <f>-4482-38</f>
        <v>-4520</v>
      </c>
      <c r="AQ451" s="194">
        <v>-4569</v>
      </c>
      <c r="AR451" s="194">
        <v>-4791</v>
      </c>
      <c r="AS451" s="194">
        <v>-4788</v>
      </c>
      <c r="AT451" s="194">
        <v>-4997</v>
      </c>
      <c r="AU451" s="194">
        <v>-5142</v>
      </c>
      <c r="AV451" s="194">
        <v>-5215</v>
      </c>
      <c r="AW451" s="194">
        <v>-5526</v>
      </c>
      <c r="AX451" s="194">
        <v>-5824</v>
      </c>
      <c r="AY451" s="227">
        <v>-7199</v>
      </c>
      <c r="AZ451" s="62">
        <f t="shared" ref="AZ451:BA451" si="4881">AZ449+AZ450</f>
        <v>-5655.3363965448234</v>
      </c>
      <c r="BA451" s="62">
        <f t="shared" si="4881"/>
        <v>-5842.8664936409004</v>
      </c>
      <c r="BB451" s="62">
        <f t="shared" ref="BB451:BC451" si="4882">BB449+BB450</f>
        <v>-5583.4926221265141</v>
      </c>
      <c r="BC451" s="62">
        <f t="shared" si="4882"/>
        <v>-6031.6733273549871</v>
      </c>
      <c r="BD451" s="62">
        <f t="shared" ref="BD451:BE451" si="4883">BD449+BD450</f>
        <v>-5624.7316572259006</v>
      </c>
      <c r="BE451" s="62">
        <f t="shared" si="4883"/>
        <v>-6130.8030711120537</v>
      </c>
      <c r="BF451" s="62">
        <f t="shared" ref="BF451:BG451" si="4884">BF449+BF450</f>
        <v>-5765.4091812627266</v>
      </c>
      <c r="BG451" s="62">
        <f t="shared" si="4884"/>
        <v>-6237.8275467977164</v>
      </c>
      <c r="BH451" s="62">
        <f t="shared" ref="BH451:BI451" si="4885">BH449+BH450</f>
        <v>-5862.8226831828606</v>
      </c>
      <c r="BI451" s="62">
        <f t="shared" si="4885"/>
        <v>-6379.7490209978796</v>
      </c>
      <c r="BJ451" s="62">
        <f t="shared" ref="BJ451:BK451" si="4886">BJ449+BJ450</f>
        <v>-6132.6309569320729</v>
      </c>
      <c r="BK451" s="62">
        <f t="shared" si="4886"/>
        <v>-6473.7293775789922</v>
      </c>
      <c r="BL451" s="62">
        <f t="shared" ref="BL451:BM451" si="4887">BL449+BL450</f>
        <v>-6246.8716708539541</v>
      </c>
      <c r="BM451" s="62">
        <f t="shared" si="4887"/>
        <v>-6599.0425989516634</v>
      </c>
      <c r="BN451" s="62">
        <f t="shared" ref="BN451:BO451" si="4888">BN449+BN450</f>
        <v>-6372.5196491489351</v>
      </c>
      <c r="BO451" s="62">
        <f t="shared" si="4888"/>
        <v>-6761.0866308130544</v>
      </c>
      <c r="BP451" s="62">
        <f t="shared" ref="BP451:BQ451" si="4889">BP449+BP450</f>
        <v>-6511.0906991425963</v>
      </c>
      <c r="BQ451" s="62">
        <f t="shared" si="4889"/>
        <v>-6916.5775161239162</v>
      </c>
      <c r="BR451" s="62"/>
      <c r="BS451" s="61">
        <v>-3329</v>
      </c>
      <c r="BT451" s="61">
        <v>-3124</v>
      </c>
      <c r="BU451" s="61">
        <v>-3001</v>
      </c>
      <c r="BV451" s="61">
        <v>-3116</v>
      </c>
      <c r="BW451" s="61">
        <v>-3397</v>
      </c>
      <c r="BX451" s="61">
        <f>-3502-327</f>
        <v>-3829</v>
      </c>
      <c r="BY451" s="61">
        <f>-3442-32</f>
        <v>-3474</v>
      </c>
      <c r="BZ451" s="61">
        <v>-3300</v>
      </c>
      <c r="CA451" s="61">
        <f>-3314-986</f>
        <v>-4300</v>
      </c>
      <c r="CB451" s="61">
        <v>-3092</v>
      </c>
      <c r="CC451" s="62">
        <f>SUM(D451:E451)</f>
        <v>-2905</v>
      </c>
      <c r="CD451" s="62">
        <f>SUM(F451:G451)</f>
        <v>-3228</v>
      </c>
      <c r="CE451" s="62">
        <f>SUM(H451:I451)</f>
        <v>-4005</v>
      </c>
      <c r="CF451" s="62">
        <f>SUM(J451:K451)</f>
        <v>-4418</v>
      </c>
      <c r="CG451" s="62">
        <f>SUM(L451:M451)</f>
        <v>-4531</v>
      </c>
      <c r="CH451" s="62">
        <f>SUM(N451:O451)</f>
        <v>-4953</v>
      </c>
      <c r="CI451" s="62">
        <f>SUM(P451:Q451)</f>
        <v>-5696</v>
      </c>
      <c r="CJ451" s="62">
        <f t="shared" ref="CJ451:CP451" si="4890">CJ449+CJ450</f>
        <v>-6225</v>
      </c>
      <c r="CK451" s="62">
        <f t="shared" si="4890"/>
        <v>-7304</v>
      </c>
      <c r="CL451" s="62">
        <f t="shared" si="4890"/>
        <v>-8023</v>
      </c>
      <c r="CM451" s="62">
        <f t="shared" si="4890"/>
        <v>-8519</v>
      </c>
      <c r="CN451" s="62">
        <f t="shared" si="4890"/>
        <v>-8257</v>
      </c>
      <c r="CO451" s="62">
        <f t="shared" si="4890"/>
        <v>-8760</v>
      </c>
      <c r="CP451" s="62">
        <f t="shared" si="4890"/>
        <v>-9378</v>
      </c>
      <c r="CQ451" s="62">
        <f t="shared" ref="CQ451:CX451" si="4891">CQ449+CQ450</f>
        <v>-10439</v>
      </c>
      <c r="CR451" s="62">
        <f t="shared" si="4891"/>
        <v>-9448</v>
      </c>
      <c r="CS451" s="62">
        <f t="shared" si="4891"/>
        <v>-9945</v>
      </c>
      <c r="CT451" s="62">
        <f t="shared" si="4891"/>
        <v>-9520</v>
      </c>
      <c r="CU451" s="62">
        <f t="shared" si="4891"/>
        <v>-9583</v>
      </c>
      <c r="CV451" s="62">
        <f t="shared" si="4891"/>
        <v>-9089</v>
      </c>
      <c r="CW451" s="62">
        <f t="shared" si="4891"/>
        <v>-9579</v>
      </c>
      <c r="CX451" s="62">
        <f t="shared" si="4891"/>
        <v>-10139</v>
      </c>
      <c r="CY451" s="62">
        <f t="shared" ref="CY451:DD451" si="4892">CY449+CY450</f>
        <v>-10741</v>
      </c>
      <c r="CZ451" s="220">
        <f t="shared" si="4892"/>
        <v>-13023</v>
      </c>
      <c r="DA451" s="62">
        <f t="shared" si="4892"/>
        <v>-11498.202890185723</v>
      </c>
      <c r="DB451" s="62">
        <f t="shared" si="4892"/>
        <v>-11615.165949481501</v>
      </c>
      <c r="DC451" s="62">
        <f t="shared" si="4892"/>
        <v>-11755.534728337954</v>
      </c>
      <c r="DD451" s="62">
        <f t="shared" si="4892"/>
        <v>-12003.236728060443</v>
      </c>
      <c r="DE451" s="62">
        <f t="shared" ref="DE451" si="4893">DE449+DE450</f>
        <v>-12242.57170418074</v>
      </c>
      <c r="DF451" s="62">
        <f t="shared" ref="DF451" si="4894">DF449+DF450</f>
        <v>-12606.360334511064</v>
      </c>
      <c r="DG451" s="62">
        <f>DG449+DG450</f>
        <v>-12845.914269805617</v>
      </c>
      <c r="DH451" s="62">
        <f>DH449+DH450</f>
        <v>-13133.60627996199</v>
      </c>
      <c r="DI451" s="62">
        <f>DI449+DI450</f>
        <v>-13427.668215266513</v>
      </c>
    </row>
    <row r="452" spans="1:113" ht="12" outlineLevel="1">
      <c r="A452" s="74"/>
      <c r="C452" s="41"/>
      <c r="D452" s="41"/>
      <c r="E452" s="41"/>
      <c r="F452" s="41"/>
      <c r="G452" s="41"/>
      <c r="H452" s="41"/>
      <c r="I452" s="41"/>
      <c r="J452" s="41"/>
      <c r="K452" s="41"/>
      <c r="L452" s="41"/>
      <c r="M452" s="41"/>
      <c r="N452" s="41"/>
      <c r="O452" s="41"/>
      <c r="P452" s="41"/>
      <c r="Q452" s="41"/>
      <c r="R452" s="41"/>
      <c r="S452" s="41"/>
      <c r="T452" s="41"/>
      <c r="U452" s="41"/>
      <c r="V452" s="41"/>
      <c r="W452" s="41"/>
      <c r="X452" s="41"/>
      <c r="Y452" s="41"/>
      <c r="Z452" s="32"/>
      <c r="AA452" s="43"/>
      <c r="AB452" s="41"/>
      <c r="AC452" s="41"/>
      <c r="AD452" s="41"/>
      <c r="AE452" s="41"/>
      <c r="AF452" s="41"/>
      <c r="AG452" s="41"/>
      <c r="AH452" s="32"/>
      <c r="AI452" s="32"/>
      <c r="AJ452" s="32"/>
      <c r="AK452" s="403"/>
      <c r="AL452" s="502"/>
      <c r="AX452" s="37"/>
      <c r="AY452" s="36"/>
      <c r="AZ452" s="575"/>
      <c r="BA452" s="575"/>
      <c r="BB452" s="575"/>
      <c r="BC452" s="575"/>
      <c r="BD452" s="575"/>
      <c r="BE452" s="575"/>
      <c r="BF452" s="575"/>
      <c r="BG452" s="575"/>
      <c r="BH452" s="575"/>
      <c r="BI452" s="575"/>
      <c r="BJ452" s="575"/>
      <c r="BK452" s="575"/>
      <c r="BL452" s="575"/>
      <c r="BM452" s="575"/>
      <c r="BN452" s="575"/>
      <c r="BO452" s="575"/>
      <c r="BP452" s="575"/>
      <c r="BQ452" s="575"/>
      <c r="BR452" s="41"/>
      <c r="BS452" s="41"/>
      <c r="BT452" s="41"/>
      <c r="BU452" s="41"/>
      <c r="BV452" s="41"/>
      <c r="BW452" s="41"/>
      <c r="BX452" s="41"/>
      <c r="BY452" s="41"/>
      <c r="BZ452" s="41"/>
      <c r="CA452" s="41"/>
      <c r="CB452" s="41"/>
      <c r="CC452" s="41"/>
      <c r="CD452" s="41"/>
      <c r="CE452" s="41"/>
      <c r="CF452" s="41"/>
      <c r="CG452" s="41"/>
      <c r="CH452" s="41"/>
      <c r="CI452" s="41"/>
      <c r="CJ452" s="41"/>
      <c r="CK452" s="41"/>
      <c r="CL452" s="41"/>
      <c r="CM452" s="41"/>
      <c r="CN452" s="32"/>
      <c r="CO452" s="32"/>
      <c r="CP452" s="41"/>
      <c r="CQ452" s="41"/>
      <c r="CR452" s="41"/>
      <c r="CS452" s="32"/>
      <c r="CT452" s="403"/>
      <c r="CU452" s="15"/>
      <c r="CV452" s="15"/>
      <c r="CW452" s="403"/>
      <c r="CX452" s="403"/>
      <c r="CY452" s="15"/>
      <c r="CZ452" s="31"/>
      <c r="DA452" s="30"/>
      <c r="DB452" s="30"/>
      <c r="DC452" s="15"/>
      <c r="DD452" s="15"/>
      <c r="DE452" s="15"/>
      <c r="DF452" s="15"/>
      <c r="DG452" s="15"/>
      <c r="DH452" s="15"/>
      <c r="DI452" s="15"/>
    </row>
    <row r="453" spans="1:113" ht="12">
      <c r="C453" s="41"/>
      <c r="D453" s="41"/>
      <c r="E453" s="41"/>
      <c r="F453" s="41"/>
      <c r="G453" s="41"/>
      <c r="H453" s="41"/>
      <c r="I453" s="41"/>
      <c r="J453" s="41"/>
      <c r="K453" s="41"/>
      <c r="L453" s="41"/>
      <c r="M453" s="41"/>
      <c r="N453" s="41"/>
      <c r="O453" s="41"/>
      <c r="P453" s="41"/>
      <c r="Q453" s="41"/>
      <c r="R453" s="41"/>
      <c r="S453" s="41"/>
      <c r="T453" s="41"/>
      <c r="U453" s="41"/>
      <c r="V453" s="41"/>
      <c r="W453" s="41"/>
      <c r="X453" s="41"/>
      <c r="Y453" s="41"/>
      <c r="Z453" s="41"/>
      <c r="AA453" s="41"/>
      <c r="AB453" s="41"/>
      <c r="AC453" s="41"/>
      <c r="AD453" s="41"/>
      <c r="AE453" s="41"/>
      <c r="AF453" s="41"/>
      <c r="AG453" s="41"/>
      <c r="AH453" s="41"/>
      <c r="AI453" s="41"/>
      <c r="AJ453" s="41"/>
      <c r="AK453" s="32"/>
      <c r="AL453" s="41"/>
      <c r="AM453" s="41"/>
      <c r="AN453" s="41"/>
      <c r="AO453" s="41"/>
      <c r="AP453" s="41"/>
      <c r="AQ453" s="41"/>
      <c r="AR453" s="41"/>
      <c r="AS453" s="41"/>
      <c r="AT453" s="41"/>
      <c r="AU453" s="41"/>
      <c r="AV453" s="41"/>
      <c r="AW453" s="41"/>
      <c r="AX453" s="41"/>
      <c r="AY453" s="211">
        <f>-AY443-[3]ANZ!J$182</f>
        <v>0</v>
      </c>
      <c r="AZ453" s="573">
        <f>-AZ443-[3]ANZ!K$182</f>
        <v>0</v>
      </c>
      <c r="BA453" s="573">
        <f>-BA443-[3]ANZ!L$182</f>
        <v>0</v>
      </c>
      <c r="BB453" s="573">
        <f>-BB443-[3]ANZ!M$182</f>
        <v>0</v>
      </c>
      <c r="BC453" s="573">
        <f>-BC443-[3]ANZ!N$182</f>
        <v>0</v>
      </c>
      <c r="BD453" s="573">
        <f>-BD443-[3]ANZ!O$182</f>
        <v>0</v>
      </c>
      <c r="BE453" s="573">
        <f>-BE443-[3]ANZ!P$182</f>
        <v>0</v>
      </c>
      <c r="BF453" s="573">
        <f>-BF443-[3]ANZ!Q$182</f>
        <v>0</v>
      </c>
      <c r="BG453" s="573">
        <f>-BG443-[3]ANZ!R$182</f>
        <v>0</v>
      </c>
      <c r="BH453" s="573">
        <f>-BH443-[3]ANZ!S$182</f>
        <v>0</v>
      </c>
      <c r="BI453" s="573">
        <f>-BI443-[3]ANZ!T$182</f>
        <v>0</v>
      </c>
      <c r="BJ453" s="41"/>
      <c r="BK453" s="41"/>
      <c r="BL453" s="41"/>
      <c r="BM453" s="41"/>
      <c r="BN453" s="41"/>
      <c r="BO453" s="41"/>
      <c r="BP453" s="41"/>
      <c r="BQ453" s="41"/>
      <c r="BR453" s="41"/>
      <c r="BS453" s="41"/>
      <c r="BT453" s="41"/>
      <c r="BU453" s="41"/>
      <c r="BV453" s="41"/>
      <c r="BW453" s="41"/>
      <c r="BX453" s="41"/>
      <c r="BY453" s="41"/>
      <c r="BZ453" s="41"/>
      <c r="CA453" s="41"/>
      <c r="CB453" s="41"/>
      <c r="CC453" s="41"/>
      <c r="CD453" s="41"/>
      <c r="CE453" s="41"/>
      <c r="CF453" s="41"/>
      <c r="CG453" s="41"/>
      <c r="CH453" s="41"/>
      <c r="CI453" s="41"/>
      <c r="CJ453" s="41"/>
      <c r="CK453" s="41"/>
      <c r="CL453" s="41"/>
      <c r="CM453" s="41"/>
      <c r="CN453" s="41"/>
      <c r="CO453" s="41"/>
      <c r="CP453" s="32"/>
      <c r="CQ453" s="41"/>
      <c r="CR453" s="41"/>
      <c r="CS453" s="41"/>
      <c r="CT453" s="41"/>
      <c r="CU453" s="41"/>
      <c r="CV453" s="41"/>
      <c r="CW453" s="41"/>
      <c r="CX453" s="41"/>
      <c r="CY453" s="43"/>
      <c r="CZ453" s="31"/>
      <c r="DA453" s="30"/>
      <c r="DB453" s="30"/>
      <c r="DC453" s="15"/>
      <c r="DD453" s="15"/>
      <c r="DE453" s="15"/>
      <c r="DF453" s="15"/>
      <c r="DG453" s="15"/>
      <c r="DH453" s="15"/>
      <c r="DI453" s="15"/>
    </row>
    <row r="454" spans="1:113" s="26" customFormat="1" ht="12" collapsed="1">
      <c r="A454" s="1" t="s">
        <v>100</v>
      </c>
      <c r="B454" s="2" t="s">
        <v>381</v>
      </c>
      <c r="C454" s="60">
        <f t="shared" ref="C454:L454" si="4895">C419+C443</f>
        <v>1734</v>
      </c>
      <c r="D454" s="60">
        <f t="shared" si="4895"/>
        <v>1796</v>
      </c>
      <c r="E454" s="60">
        <f t="shared" si="4895"/>
        <v>1867.4499999999998</v>
      </c>
      <c r="F454" s="60">
        <f t="shared" si="4895"/>
        <v>1890.0000000000002</v>
      </c>
      <c r="G454" s="60">
        <f t="shared" si="4895"/>
        <v>2015.21</v>
      </c>
      <c r="H454" s="60">
        <f t="shared" si="4895"/>
        <v>2191.23</v>
      </c>
      <c r="I454" s="60">
        <f t="shared" si="4895"/>
        <v>2350.7000000000007</v>
      </c>
      <c r="J454" s="60">
        <f t="shared" si="4895"/>
        <v>2427.3500000000004</v>
      </c>
      <c r="K454" s="60">
        <f t="shared" si="4895"/>
        <v>2561.6799999999994</v>
      </c>
      <c r="L454" s="60">
        <f t="shared" si="4895"/>
        <v>2680.8199999999997</v>
      </c>
      <c r="M454" s="60">
        <f t="shared" ref="M454:AD454" si="4896">M419+M443</f>
        <v>2828.66</v>
      </c>
      <c r="N454" s="60">
        <f t="shared" si="4896"/>
        <v>3002.8399999999997</v>
      </c>
      <c r="O454" s="60">
        <f t="shared" si="4896"/>
        <v>3099.97</v>
      </c>
      <c r="P454" s="60">
        <f t="shared" si="4896"/>
        <v>3456.0500000000006</v>
      </c>
      <c r="Q454" s="60">
        <f t="shared" si="4896"/>
        <v>3146.0900000000006</v>
      </c>
      <c r="R454" s="60">
        <f t="shared" si="4896"/>
        <v>2930.58</v>
      </c>
      <c r="S454" s="60">
        <f t="shared" si="4896"/>
        <v>4931.09</v>
      </c>
      <c r="T454" s="60">
        <f t="shared" si="4896"/>
        <v>4411</v>
      </c>
      <c r="U454" s="60">
        <f t="shared" si="4896"/>
        <v>4538</v>
      </c>
      <c r="V454" s="60">
        <f t="shared" si="4896"/>
        <v>4482</v>
      </c>
      <c r="W454" s="60">
        <f t="shared" si="4896"/>
        <v>4380</v>
      </c>
      <c r="X454" s="60">
        <f t="shared" si="4896"/>
        <v>4587</v>
      </c>
      <c r="Y454" s="60">
        <f t="shared" si="4896"/>
        <v>5015</v>
      </c>
      <c r="Z454" s="60">
        <f t="shared" si="4896"/>
        <v>5048</v>
      </c>
      <c r="AA454" s="60">
        <f t="shared" si="4896"/>
        <v>5086</v>
      </c>
      <c r="AB454" s="60">
        <f t="shared" si="4896"/>
        <v>5382</v>
      </c>
      <c r="AC454" s="60">
        <f t="shared" si="4896"/>
        <v>5436</v>
      </c>
      <c r="AD454" s="60">
        <f t="shared" si="4896"/>
        <v>5592</v>
      </c>
      <c r="AE454" s="60">
        <f t="shared" ref="AE454" si="4897">AE419+AE443</f>
        <v>5567</v>
      </c>
      <c r="AF454" s="60">
        <f t="shared" ref="AF454:AH454" si="4898">AF419+AF443</f>
        <v>4837</v>
      </c>
      <c r="AG454" s="60">
        <f t="shared" si="4898"/>
        <v>5318</v>
      </c>
      <c r="AH454" s="60">
        <f t="shared" si="4898"/>
        <v>5489</v>
      </c>
      <c r="AI454" s="60">
        <f t="shared" ref="AI454:AJ454" si="4899">AI419+AI443</f>
        <v>5360</v>
      </c>
      <c r="AJ454" s="60">
        <f t="shared" si="4899"/>
        <v>5397</v>
      </c>
      <c r="AK454" s="60">
        <f t="shared" ref="AK454:AL454" si="4900">AK419+AK443</f>
        <v>4569</v>
      </c>
      <c r="AL454" s="60">
        <f t="shared" si="4900"/>
        <v>5381</v>
      </c>
      <c r="AM454" s="60">
        <f t="shared" ref="AM454:AN454" si="4901">AM419+AM443</f>
        <v>4577</v>
      </c>
      <c r="AN454" s="60">
        <f t="shared" si="4901"/>
        <v>3974</v>
      </c>
      <c r="AO454" s="60">
        <f t="shared" ref="AO454" si="4902">AO419+AO443</f>
        <v>4395</v>
      </c>
      <c r="AP454" s="60">
        <f t="shared" ref="AP454:AQ454" si="4903">AP419+AP443</f>
        <v>3941</v>
      </c>
      <c r="AQ454" s="60">
        <f t="shared" si="4903"/>
        <v>4455</v>
      </c>
      <c r="AR454" s="60">
        <f t="shared" ref="AR454:AS454" si="4904">AR419+AR443</f>
        <v>4157</v>
      </c>
      <c r="AS454" s="60">
        <f t="shared" si="4904"/>
        <v>4811</v>
      </c>
      <c r="AT454" s="60">
        <f t="shared" ref="AT454:AU454" si="4905">AT419+AT443</f>
        <v>5543</v>
      </c>
      <c r="AU454" s="60">
        <f t="shared" si="4905"/>
        <v>5223</v>
      </c>
      <c r="AV454" s="60">
        <f t="shared" ref="AV454:AW454" si="4906">AV419+AV443</f>
        <v>5132</v>
      </c>
      <c r="AW454" s="60">
        <f t="shared" si="4906"/>
        <v>4936</v>
      </c>
      <c r="AX454" s="60">
        <f t="shared" ref="AX454" si="4907">AX419+AX443</f>
        <v>5253</v>
      </c>
      <c r="AY454" s="219">
        <f t="shared" ref="AY454" si="4908">AY419+AY443</f>
        <v>3766</v>
      </c>
      <c r="AZ454" s="60">
        <f t="shared" ref="AZ454:BA454" si="4909">AZ419+AZ443</f>
        <v>5784.0588614557664</v>
      </c>
      <c r="BA454" s="60">
        <f t="shared" si="4909"/>
        <v>5775.4084960975924</v>
      </c>
      <c r="BB454" s="60">
        <f t="shared" ref="BB454:BC454" si="4910">BB419+BB443</f>
        <v>6094.3227195966701</v>
      </c>
      <c r="BC454" s="60">
        <f t="shared" si="4910"/>
        <v>5716.9546802614768</v>
      </c>
      <c r="BD454" s="60">
        <f t="shared" ref="BD454:BE454" si="4911">BD419+BD443</f>
        <v>6331.1104232742382</v>
      </c>
      <c r="BE454" s="60">
        <f t="shared" si="4911"/>
        <v>5887.1019437068153</v>
      </c>
      <c r="BF454" s="60">
        <f t="shared" ref="BF454:BG454" si="4912">BF419+BF443</f>
        <v>6454.1451115318396</v>
      </c>
      <c r="BG454" s="60">
        <f t="shared" si="4912"/>
        <v>6096.5230490718277</v>
      </c>
      <c r="BH454" s="60">
        <f t="shared" ref="BH454:BI454" si="4913">BH419+BH443</f>
        <v>6613.8806662746983</v>
      </c>
      <c r="BI454" s="60">
        <f t="shared" si="4913"/>
        <v>6220.1571894850722</v>
      </c>
      <c r="BJ454" s="60">
        <f t="shared" ref="BJ454:BK454" si="4914">BJ419+BJ443</f>
        <v>6658.3058633728779</v>
      </c>
      <c r="BK454" s="60">
        <f t="shared" si="4914"/>
        <v>6556.4135593666206</v>
      </c>
      <c r="BL454" s="60">
        <f t="shared" ref="BL454:BM454" si="4915">BL419+BL443</f>
        <v>6907.0290821660165</v>
      </c>
      <c r="BM454" s="60">
        <f t="shared" si="4915"/>
        <v>6713.2288545836645</v>
      </c>
      <c r="BN454" s="60">
        <f t="shared" ref="BN454:BO454" si="4916">BN419+BN443</f>
        <v>7073.6271297718467</v>
      </c>
      <c r="BO454" s="60">
        <f t="shared" si="4916"/>
        <v>6942.7070677656384</v>
      </c>
      <c r="BP454" s="60">
        <f t="shared" ref="BP454:BQ454" si="4917">BP419+BP443</f>
        <v>7311.262216084142</v>
      </c>
      <c r="BQ454" s="60">
        <f t="shared" si="4917"/>
        <v>7187.362668067768</v>
      </c>
      <c r="BR454" s="60"/>
      <c r="BS454" s="60">
        <f t="shared" ref="BS454:CB454" si="4918">BS419+BS443</f>
        <v>1217.5</v>
      </c>
      <c r="BT454" s="60">
        <f t="shared" si="4918"/>
        <v>1294</v>
      </c>
      <c r="BU454" s="60">
        <f t="shared" si="4918"/>
        <v>1586</v>
      </c>
      <c r="BV454" s="60">
        <f t="shared" si="4918"/>
        <v>1722</v>
      </c>
      <c r="BW454" s="60">
        <f t="shared" si="4918"/>
        <v>1769</v>
      </c>
      <c r="BX454" s="60">
        <f t="shared" si="4918"/>
        <v>2045</v>
      </c>
      <c r="BY454" s="60">
        <f t="shared" si="4918"/>
        <v>2247</v>
      </c>
      <c r="BZ454" s="60">
        <f t="shared" si="4918"/>
        <v>2732</v>
      </c>
      <c r="CA454" s="60">
        <f t="shared" si="4918"/>
        <v>3082</v>
      </c>
      <c r="CB454" s="60">
        <f t="shared" si="4918"/>
        <v>3331</v>
      </c>
      <c r="CC454" s="60">
        <f t="shared" ref="CC454:CR454" si="4919">CC419+CC443</f>
        <v>3663.45</v>
      </c>
      <c r="CD454" s="60">
        <f t="shared" si="4919"/>
        <v>3905.21</v>
      </c>
      <c r="CE454" s="60">
        <f t="shared" si="4919"/>
        <v>4541.93</v>
      </c>
      <c r="CF454" s="60">
        <f t="shared" si="4919"/>
        <v>4989.0299999999988</v>
      </c>
      <c r="CG454" s="60">
        <f t="shared" si="4919"/>
        <v>5509.48</v>
      </c>
      <c r="CH454" s="60">
        <f t="shared" si="4919"/>
        <v>6102.8099999999995</v>
      </c>
      <c r="CI454" s="60">
        <f t="shared" si="4919"/>
        <v>6602.1399999999994</v>
      </c>
      <c r="CJ454" s="60">
        <f t="shared" si="4919"/>
        <v>7861.67</v>
      </c>
      <c r="CK454" s="60">
        <f t="shared" si="4919"/>
        <v>8949</v>
      </c>
      <c r="CL454" s="60">
        <f t="shared" si="4919"/>
        <v>8862</v>
      </c>
      <c r="CM454" s="60">
        <f t="shared" si="4919"/>
        <v>9602</v>
      </c>
      <c r="CN454" s="60">
        <f t="shared" si="4919"/>
        <v>10134</v>
      </c>
      <c r="CO454" s="60">
        <f t="shared" si="4919"/>
        <v>10818</v>
      </c>
      <c r="CP454" s="60">
        <f t="shared" si="4919"/>
        <v>11159</v>
      </c>
      <c r="CQ454" s="60">
        <f t="shared" si="4919"/>
        <v>10155</v>
      </c>
      <c r="CR454" s="60">
        <f t="shared" si="4919"/>
        <v>10849</v>
      </c>
      <c r="CS454" s="60">
        <f t="shared" ref="CS454:CX454" si="4920">CS419+CS443</f>
        <v>9966</v>
      </c>
      <c r="CT454" s="60">
        <f t="shared" si="4920"/>
        <v>9958</v>
      </c>
      <c r="CU454" s="60">
        <f t="shared" si="4920"/>
        <v>8369</v>
      </c>
      <c r="CV454" s="60">
        <f t="shared" si="4920"/>
        <v>8396</v>
      </c>
      <c r="CW454" s="60">
        <f t="shared" si="4920"/>
        <v>8968</v>
      </c>
      <c r="CX454" s="60">
        <f t="shared" si="4920"/>
        <v>10766</v>
      </c>
      <c r="CY454" s="60">
        <f t="shared" ref="CY454:DD454" si="4921">CY419+CY443</f>
        <v>10068</v>
      </c>
      <c r="CZ454" s="219">
        <f t="shared" si="4921"/>
        <v>9019</v>
      </c>
      <c r="DA454" s="60">
        <f t="shared" si="4921"/>
        <v>11559.46735755336</v>
      </c>
      <c r="DB454" s="60">
        <f t="shared" si="4921"/>
        <v>11811.277399858149</v>
      </c>
      <c r="DC454" s="60">
        <f t="shared" si="4921"/>
        <v>12218.212366981055</v>
      </c>
      <c r="DD454" s="60">
        <f t="shared" si="4921"/>
        <v>12550.668160603667</v>
      </c>
      <c r="DE454" s="60">
        <f t="shared" ref="DE454" si="4922">DE419+DE443</f>
        <v>12834.037855759769</v>
      </c>
      <c r="DF454" s="60">
        <f t="shared" ref="DF454" si="4923">DF419+DF443</f>
        <v>13214.719422739498</v>
      </c>
      <c r="DG454" s="60">
        <f>DG419+DG443</f>
        <v>13620.25793674968</v>
      </c>
      <c r="DH454" s="60">
        <f>DH419+DH443</f>
        <v>14016.334197537486</v>
      </c>
      <c r="DI454" s="60">
        <f>DI419+DI443</f>
        <v>14498.624884151912</v>
      </c>
    </row>
    <row r="455" spans="1:113" ht="12" outlineLevel="2">
      <c r="A455" s="1" t="s">
        <v>176</v>
      </c>
      <c r="B455" s="15" t="s">
        <v>857</v>
      </c>
      <c r="C455" s="41">
        <f>C444+C420</f>
        <v>0</v>
      </c>
      <c r="D455" s="41">
        <f>D444+D420</f>
        <v>0</v>
      </c>
      <c r="E455" s="41">
        <f t="shared" ref="E455:L455" si="4924">E444+E420</f>
        <v>0</v>
      </c>
      <c r="F455" s="41">
        <f t="shared" si="4924"/>
        <v>0</v>
      </c>
      <c r="G455" s="41">
        <f t="shared" si="4924"/>
        <v>0</v>
      </c>
      <c r="H455" s="41">
        <f t="shared" si="4924"/>
        <v>0</v>
      </c>
      <c r="I455" s="41">
        <f t="shared" si="4924"/>
        <v>0</v>
      </c>
      <c r="J455" s="41">
        <f t="shared" si="4924"/>
        <v>0</v>
      </c>
      <c r="K455" s="41">
        <f t="shared" si="4924"/>
        <v>0</v>
      </c>
      <c r="L455" s="41">
        <f t="shared" si="4924"/>
        <v>0</v>
      </c>
      <c r="M455" s="41">
        <f t="shared" ref="M455:AD455" si="4925">M444+M420</f>
        <v>0</v>
      </c>
      <c r="N455" s="41">
        <f t="shared" si="4925"/>
        <v>0</v>
      </c>
      <c r="O455" s="41">
        <f t="shared" si="4925"/>
        <v>0</v>
      </c>
      <c r="P455" s="41">
        <f t="shared" si="4925"/>
        <v>0</v>
      </c>
      <c r="Q455" s="41">
        <f t="shared" si="4925"/>
        <v>0</v>
      </c>
      <c r="R455" s="41">
        <f t="shared" si="4925"/>
        <v>0</v>
      </c>
      <c r="S455" s="41">
        <f t="shared" si="4925"/>
        <v>0</v>
      </c>
      <c r="T455" s="41">
        <f t="shared" si="4925"/>
        <v>0</v>
      </c>
      <c r="U455" s="41">
        <f t="shared" si="4925"/>
        <v>0</v>
      </c>
      <c r="V455" s="41">
        <f t="shared" si="4925"/>
        <v>0</v>
      </c>
      <c r="W455" s="41">
        <f t="shared" si="4925"/>
        <v>0</v>
      </c>
      <c r="X455" s="41">
        <f t="shared" si="4925"/>
        <v>0</v>
      </c>
      <c r="Y455" s="41">
        <f t="shared" si="4925"/>
        <v>0</v>
      </c>
      <c r="Z455" s="41">
        <f t="shared" si="4925"/>
        <v>0</v>
      </c>
      <c r="AA455" s="41">
        <f t="shared" si="4925"/>
        <v>0</v>
      </c>
      <c r="AB455" s="41">
        <f t="shared" ref="AB455" si="4926">AB444+AB420</f>
        <v>0</v>
      </c>
      <c r="AC455" s="41">
        <f t="shared" si="4925"/>
        <v>0</v>
      </c>
      <c r="AD455" s="41">
        <f t="shared" si="4925"/>
        <v>0</v>
      </c>
      <c r="AE455" s="41">
        <f t="shared" ref="AE455:AF455" si="4927">AE444+AE420</f>
        <v>0</v>
      </c>
      <c r="AF455" s="41">
        <f t="shared" si="4927"/>
        <v>0</v>
      </c>
      <c r="AG455" s="41">
        <f t="shared" ref="AG455:AH455" si="4928">AG444+AG420</f>
        <v>0</v>
      </c>
      <c r="AH455" s="41">
        <f t="shared" si="4928"/>
        <v>0</v>
      </c>
      <c r="AI455" s="41">
        <f t="shared" ref="AI455:AJ455" si="4929">AI444+AI420</f>
        <v>0</v>
      </c>
      <c r="AJ455" s="41">
        <f t="shared" si="4929"/>
        <v>0</v>
      </c>
      <c r="AK455" s="41">
        <f t="shared" ref="AK455:AL455" si="4930">AK444+AK420</f>
        <v>0</v>
      </c>
      <c r="AL455" s="41">
        <f t="shared" si="4930"/>
        <v>0</v>
      </c>
      <c r="AM455" s="41">
        <f t="shared" ref="AM455:AN455" si="4931">AM444+AM420</f>
        <v>0</v>
      </c>
      <c r="AN455" s="41">
        <f t="shared" si="4931"/>
        <v>0</v>
      </c>
      <c r="AO455" s="41">
        <f t="shared" ref="AO455" si="4932">AO444+AO420</f>
        <v>0</v>
      </c>
      <c r="AP455" s="41">
        <f t="shared" ref="AP455:AQ455" si="4933">AP444+AP420</f>
        <v>0</v>
      </c>
      <c r="AQ455" s="41">
        <f t="shared" si="4933"/>
        <v>0</v>
      </c>
      <c r="AR455" s="41">
        <f t="shared" ref="AR455:AS455" si="4934">AR444+AR420</f>
        <v>0</v>
      </c>
      <c r="AS455" s="41">
        <f t="shared" si="4934"/>
        <v>0</v>
      </c>
      <c r="AT455" s="41">
        <f t="shared" ref="AT455:AU455" si="4935">AT444+AT420</f>
        <v>0</v>
      </c>
      <c r="AU455" s="41">
        <f t="shared" si="4935"/>
        <v>0</v>
      </c>
      <c r="AV455" s="41">
        <f t="shared" ref="AV455:AW455" si="4936">AV444+AV420</f>
        <v>0</v>
      </c>
      <c r="AW455" s="41">
        <f t="shared" si="4936"/>
        <v>0</v>
      </c>
      <c r="AX455" s="41">
        <f t="shared" ref="AX455:AY455" si="4937">AX444+AX420</f>
        <v>0</v>
      </c>
      <c r="AY455" s="211">
        <f t="shared" si="4937"/>
        <v>0</v>
      </c>
      <c r="AZ455" s="41">
        <f t="shared" ref="AZ455:BA455" si="4938">AZ444+AZ420</f>
        <v>0</v>
      </c>
      <c r="BA455" s="41">
        <f t="shared" si="4938"/>
        <v>0</v>
      </c>
      <c r="BB455" s="41">
        <f t="shared" ref="BB455:BC455" si="4939">BB444+BB420</f>
        <v>0</v>
      </c>
      <c r="BC455" s="41">
        <f t="shared" si="4939"/>
        <v>0</v>
      </c>
      <c r="BD455" s="41">
        <f t="shared" ref="BD455:BE455" si="4940">BD444+BD420</f>
        <v>0</v>
      </c>
      <c r="BE455" s="41">
        <f t="shared" si="4940"/>
        <v>0</v>
      </c>
      <c r="BF455" s="41">
        <f t="shared" ref="BF455:BG455" si="4941">BF444+BF420</f>
        <v>0</v>
      </c>
      <c r="BG455" s="41">
        <f t="shared" si="4941"/>
        <v>0</v>
      </c>
      <c r="BH455" s="41">
        <f t="shared" ref="BH455:BI455" si="4942">BH444+BH420</f>
        <v>0</v>
      </c>
      <c r="BI455" s="41">
        <f t="shared" si="4942"/>
        <v>0</v>
      </c>
      <c r="BJ455" s="41">
        <f t="shared" ref="BJ455:BK455" si="4943">BJ444+BJ420</f>
        <v>0</v>
      </c>
      <c r="BK455" s="41">
        <f t="shared" si="4943"/>
        <v>0</v>
      </c>
      <c r="BL455" s="41">
        <f t="shared" ref="BL455:BM455" si="4944">BL444+BL420</f>
        <v>0</v>
      </c>
      <c r="BM455" s="41">
        <f t="shared" si="4944"/>
        <v>0</v>
      </c>
      <c r="BN455" s="41">
        <f t="shared" ref="BN455:BO455" si="4945">BN444+BN420</f>
        <v>0</v>
      </c>
      <c r="BO455" s="41">
        <f t="shared" si="4945"/>
        <v>0</v>
      </c>
      <c r="BP455" s="41">
        <f t="shared" ref="BP455:BQ455" si="4946">BP444+BP420</f>
        <v>0</v>
      </c>
      <c r="BQ455" s="41">
        <f t="shared" si="4946"/>
        <v>0</v>
      </c>
      <c r="BR455" s="41"/>
      <c r="BS455" s="41">
        <f t="shared" ref="BS455:CB455" si="4947">BS444+BS420</f>
        <v>0</v>
      </c>
      <c r="BT455" s="41">
        <f t="shared" si="4947"/>
        <v>0</v>
      </c>
      <c r="BU455" s="41">
        <f t="shared" si="4947"/>
        <v>0</v>
      </c>
      <c r="BV455" s="41">
        <f t="shared" si="4947"/>
        <v>0</v>
      </c>
      <c r="BW455" s="41">
        <f t="shared" si="4947"/>
        <v>0</v>
      </c>
      <c r="BX455" s="41">
        <f t="shared" si="4947"/>
        <v>0</v>
      </c>
      <c r="BY455" s="41">
        <f t="shared" si="4947"/>
        <v>0</v>
      </c>
      <c r="BZ455" s="41">
        <f t="shared" si="4947"/>
        <v>0</v>
      </c>
      <c r="CA455" s="41">
        <f t="shared" si="4947"/>
        <v>0</v>
      </c>
      <c r="CB455" s="41">
        <f t="shared" si="4947"/>
        <v>0</v>
      </c>
      <c r="CC455" s="41">
        <f t="shared" ref="CC455:CR455" si="4948">CC444+CC420</f>
        <v>0</v>
      </c>
      <c r="CD455" s="41">
        <f t="shared" si="4948"/>
        <v>0</v>
      </c>
      <c r="CE455" s="41">
        <f t="shared" si="4948"/>
        <v>0</v>
      </c>
      <c r="CF455" s="41">
        <f t="shared" si="4948"/>
        <v>0</v>
      </c>
      <c r="CG455" s="41">
        <f t="shared" si="4948"/>
        <v>0</v>
      </c>
      <c r="CH455" s="41">
        <f t="shared" si="4948"/>
        <v>0</v>
      </c>
      <c r="CI455" s="41">
        <f t="shared" si="4948"/>
        <v>0</v>
      </c>
      <c r="CJ455" s="41">
        <f t="shared" si="4948"/>
        <v>0</v>
      </c>
      <c r="CK455" s="41">
        <f t="shared" si="4948"/>
        <v>0</v>
      </c>
      <c r="CL455" s="41">
        <f t="shared" si="4948"/>
        <v>0</v>
      </c>
      <c r="CM455" s="41">
        <f t="shared" si="4948"/>
        <v>0</v>
      </c>
      <c r="CN455" s="41">
        <f t="shared" si="4948"/>
        <v>0</v>
      </c>
      <c r="CO455" s="41">
        <f t="shared" si="4948"/>
        <v>0</v>
      </c>
      <c r="CP455" s="41">
        <f t="shared" si="4948"/>
        <v>0</v>
      </c>
      <c r="CQ455" s="41">
        <f t="shared" si="4948"/>
        <v>0</v>
      </c>
      <c r="CR455" s="41">
        <f t="shared" si="4948"/>
        <v>0</v>
      </c>
      <c r="CS455" s="41">
        <f t="shared" ref="CS455:CX455" si="4949">CS444+CS420</f>
        <v>0</v>
      </c>
      <c r="CT455" s="41">
        <f t="shared" si="4949"/>
        <v>0</v>
      </c>
      <c r="CU455" s="41">
        <f t="shared" si="4949"/>
        <v>0</v>
      </c>
      <c r="CV455" s="41">
        <f t="shared" si="4949"/>
        <v>0</v>
      </c>
      <c r="CW455" s="41">
        <f t="shared" si="4949"/>
        <v>0</v>
      </c>
      <c r="CX455" s="41">
        <f t="shared" si="4949"/>
        <v>0</v>
      </c>
      <c r="CY455" s="41">
        <f t="shared" ref="CY455:DD455" si="4950">CY444+CY420</f>
        <v>0</v>
      </c>
      <c r="CZ455" s="211">
        <f t="shared" si="4950"/>
        <v>0</v>
      </c>
      <c r="DA455" s="41">
        <f t="shared" si="4950"/>
        <v>0</v>
      </c>
      <c r="DB455" s="41">
        <f t="shared" si="4950"/>
        <v>0</v>
      </c>
      <c r="DC455" s="41">
        <f t="shared" si="4950"/>
        <v>0</v>
      </c>
      <c r="DD455" s="41">
        <f t="shared" si="4950"/>
        <v>0</v>
      </c>
      <c r="DE455" s="41">
        <f t="shared" ref="DE455" si="4951">DE444+DE420</f>
        <v>0</v>
      </c>
      <c r="DF455" s="41">
        <f t="shared" ref="DF455" si="4952">DF444+DF420</f>
        <v>0</v>
      </c>
      <c r="DG455" s="41">
        <f>DG444+DG420</f>
        <v>0</v>
      </c>
      <c r="DH455" s="41">
        <f>DH444+DH420</f>
        <v>0</v>
      </c>
      <c r="DI455" s="41">
        <f>DI444+DI420</f>
        <v>0</v>
      </c>
    </row>
    <row r="456" spans="1:113" ht="12" outlineLevel="2">
      <c r="A456" s="1" t="s">
        <v>680</v>
      </c>
      <c r="B456" s="15" t="s">
        <v>447</v>
      </c>
      <c r="C456" s="41">
        <f>C421+C445</f>
        <v>0</v>
      </c>
      <c r="D456" s="41">
        <f>D421+D445</f>
        <v>0</v>
      </c>
      <c r="E456" s="41">
        <f t="shared" ref="E456:L456" si="4953">E421+E445</f>
        <v>92.12</v>
      </c>
      <c r="F456" s="41">
        <f t="shared" si="4953"/>
        <v>101.42999999999999</v>
      </c>
      <c r="G456" s="41">
        <f t="shared" si="4953"/>
        <v>96.039999999999992</v>
      </c>
      <c r="H456" s="41">
        <f t="shared" si="4953"/>
        <v>97.02</v>
      </c>
      <c r="I456" s="41">
        <f t="shared" si="4953"/>
        <v>122.99</v>
      </c>
      <c r="J456" s="41">
        <f t="shared" si="4953"/>
        <v>92.12</v>
      </c>
      <c r="K456" s="41">
        <f t="shared" si="4953"/>
        <v>91.63</v>
      </c>
      <c r="L456" s="41">
        <f t="shared" si="4953"/>
        <v>109.75999999999999</v>
      </c>
      <c r="M456" s="41">
        <f t="shared" ref="M456:AD456" si="4954">M421+M445</f>
        <v>106.33</v>
      </c>
      <c r="N456" s="41">
        <f t="shared" si="4954"/>
        <v>125.44</v>
      </c>
      <c r="O456" s="41">
        <f t="shared" si="4954"/>
        <v>106.82</v>
      </c>
      <c r="P456" s="41">
        <f t="shared" si="4954"/>
        <v>115.64</v>
      </c>
      <c r="Q456" s="41">
        <f t="shared" si="4954"/>
        <v>113.67999999999999</v>
      </c>
      <c r="R456" s="41">
        <f t="shared" si="4954"/>
        <v>120.53999999999999</v>
      </c>
      <c r="S456" s="41">
        <f t="shared" si="4954"/>
        <v>109.27</v>
      </c>
      <c r="T456" s="41">
        <f t="shared" si="4954"/>
        <v>0</v>
      </c>
      <c r="U456" s="41">
        <f t="shared" si="4954"/>
        <v>0</v>
      </c>
      <c r="V456" s="41">
        <f t="shared" si="4954"/>
        <v>0</v>
      </c>
      <c r="W456" s="41">
        <f t="shared" si="4954"/>
        <v>0</v>
      </c>
      <c r="X456" s="41">
        <f t="shared" si="4954"/>
        <v>0</v>
      </c>
      <c r="Y456" s="41">
        <f t="shared" si="4954"/>
        <v>0</v>
      </c>
      <c r="Z456" s="41">
        <f t="shared" si="4954"/>
        <v>0</v>
      </c>
      <c r="AA456" s="41">
        <f t="shared" si="4954"/>
        <v>0</v>
      </c>
      <c r="AB456" s="41">
        <f t="shared" ref="AB456" si="4955">AB421+AB445</f>
        <v>0</v>
      </c>
      <c r="AC456" s="41">
        <f t="shared" si="4954"/>
        <v>0</v>
      </c>
      <c r="AD456" s="41">
        <f t="shared" si="4954"/>
        <v>0</v>
      </c>
      <c r="AE456" s="41">
        <f t="shared" ref="AE456:AF456" si="4956">AE421+AE445</f>
        <v>0</v>
      </c>
      <c r="AF456" s="41">
        <f t="shared" si="4956"/>
        <v>0</v>
      </c>
      <c r="AG456" s="41">
        <f t="shared" ref="AG456:AH456" si="4957">AG421+AG445</f>
        <v>0</v>
      </c>
      <c r="AH456" s="41">
        <f t="shared" si="4957"/>
        <v>0</v>
      </c>
      <c r="AI456" s="41">
        <f t="shared" ref="AI456:AJ456" si="4958">AI421+AI445</f>
        <v>0</v>
      </c>
      <c r="AJ456" s="41">
        <f t="shared" si="4958"/>
        <v>0</v>
      </c>
      <c r="AK456" s="41">
        <f t="shared" ref="AK456:AL456" si="4959">AK421+AK445</f>
        <v>0</v>
      </c>
      <c r="AL456" s="41">
        <f t="shared" si="4959"/>
        <v>0</v>
      </c>
      <c r="AM456" s="41">
        <f t="shared" ref="AM456:AN456" si="4960">AM421+AM445</f>
        <v>0</v>
      </c>
      <c r="AN456" s="41">
        <f t="shared" si="4960"/>
        <v>0</v>
      </c>
      <c r="AO456" s="41">
        <f t="shared" ref="AO456" si="4961">AO421+AO445</f>
        <v>0</v>
      </c>
      <c r="AP456" s="41">
        <f t="shared" ref="AP456:AQ456" si="4962">AP421+AP445</f>
        <v>0</v>
      </c>
      <c r="AQ456" s="41">
        <f t="shared" si="4962"/>
        <v>0</v>
      </c>
      <c r="AR456" s="41">
        <f t="shared" ref="AR456:AS456" si="4963">AR421+AR445</f>
        <v>0</v>
      </c>
      <c r="AS456" s="41">
        <f t="shared" si="4963"/>
        <v>0</v>
      </c>
      <c r="AT456" s="41">
        <f t="shared" ref="AT456:AU456" si="4964">AT421+AT445</f>
        <v>0</v>
      </c>
      <c r="AU456" s="41">
        <f t="shared" si="4964"/>
        <v>0</v>
      </c>
      <c r="AV456" s="41">
        <f t="shared" ref="AV456:AW456" si="4965">AV421+AV445</f>
        <v>0</v>
      </c>
      <c r="AW456" s="41">
        <f t="shared" si="4965"/>
        <v>0</v>
      </c>
      <c r="AX456" s="41">
        <f t="shared" ref="AX456:AY456" si="4966">AX421+AX445</f>
        <v>0</v>
      </c>
      <c r="AY456" s="211">
        <f t="shared" si="4966"/>
        <v>0</v>
      </c>
      <c r="AZ456" s="41">
        <f t="shared" ref="AZ456:BA456" si="4967">AZ421+AZ445</f>
        <v>0</v>
      </c>
      <c r="BA456" s="41">
        <f t="shared" si="4967"/>
        <v>0</v>
      </c>
      <c r="BB456" s="41">
        <f t="shared" ref="BB456:BC456" si="4968">BB421+BB445</f>
        <v>0</v>
      </c>
      <c r="BC456" s="41">
        <f t="shared" si="4968"/>
        <v>0</v>
      </c>
      <c r="BD456" s="41">
        <f t="shared" ref="BD456:BE456" si="4969">BD421+BD445</f>
        <v>0</v>
      </c>
      <c r="BE456" s="41">
        <f t="shared" si="4969"/>
        <v>0</v>
      </c>
      <c r="BF456" s="41">
        <f t="shared" ref="BF456:BG456" si="4970">BF421+BF445</f>
        <v>0</v>
      </c>
      <c r="BG456" s="41">
        <f t="shared" si="4970"/>
        <v>0</v>
      </c>
      <c r="BH456" s="41">
        <f t="shared" ref="BH456:BI456" si="4971">BH421+BH445</f>
        <v>0</v>
      </c>
      <c r="BI456" s="41">
        <f t="shared" si="4971"/>
        <v>0</v>
      </c>
      <c r="BJ456" s="41">
        <f t="shared" ref="BJ456:BK456" si="4972">BJ421+BJ445</f>
        <v>0</v>
      </c>
      <c r="BK456" s="41">
        <f t="shared" si="4972"/>
        <v>0</v>
      </c>
      <c r="BL456" s="41">
        <f t="shared" ref="BL456:BM456" si="4973">BL421+BL445</f>
        <v>0</v>
      </c>
      <c r="BM456" s="41">
        <f t="shared" si="4973"/>
        <v>0</v>
      </c>
      <c r="BN456" s="41">
        <f t="shared" ref="BN456:BO456" si="4974">BN421+BN445</f>
        <v>0</v>
      </c>
      <c r="BO456" s="41">
        <f t="shared" si="4974"/>
        <v>0</v>
      </c>
      <c r="BP456" s="41">
        <f t="shared" ref="BP456:BQ456" si="4975">BP421+BP445</f>
        <v>0</v>
      </c>
      <c r="BQ456" s="41">
        <f t="shared" si="4975"/>
        <v>0</v>
      </c>
      <c r="BR456" s="41"/>
      <c r="BS456" s="41">
        <f t="shared" ref="BS456:CB456" si="4976">BS421+BS445</f>
        <v>0</v>
      </c>
      <c r="BT456" s="41">
        <f t="shared" si="4976"/>
        <v>0</v>
      </c>
      <c r="BU456" s="41">
        <f t="shared" si="4976"/>
        <v>0</v>
      </c>
      <c r="BV456" s="41">
        <f t="shared" si="4976"/>
        <v>0</v>
      </c>
      <c r="BW456" s="41">
        <f t="shared" si="4976"/>
        <v>0</v>
      </c>
      <c r="BX456" s="41">
        <f t="shared" si="4976"/>
        <v>0</v>
      </c>
      <c r="BY456" s="41">
        <f t="shared" si="4976"/>
        <v>0</v>
      </c>
      <c r="BZ456" s="41">
        <f t="shared" si="4976"/>
        <v>0</v>
      </c>
      <c r="CA456" s="41">
        <f t="shared" si="4976"/>
        <v>0</v>
      </c>
      <c r="CB456" s="41">
        <f t="shared" si="4976"/>
        <v>0</v>
      </c>
      <c r="CC456" s="41">
        <f t="shared" ref="CC456:CR456" si="4977">CC421+CC445</f>
        <v>92.12</v>
      </c>
      <c r="CD456" s="41">
        <f t="shared" si="4977"/>
        <v>197.46999999999997</v>
      </c>
      <c r="CE456" s="41">
        <f t="shared" si="4977"/>
        <v>220.01</v>
      </c>
      <c r="CF456" s="41">
        <f t="shared" si="4977"/>
        <v>183.75</v>
      </c>
      <c r="CG456" s="41">
        <f t="shared" si="4977"/>
        <v>216.08999999999997</v>
      </c>
      <c r="CH456" s="41">
        <f t="shared" si="4977"/>
        <v>232.26</v>
      </c>
      <c r="CI456" s="41">
        <f t="shared" si="4977"/>
        <v>229.32</v>
      </c>
      <c r="CJ456" s="41">
        <f t="shared" si="4977"/>
        <v>229.81</v>
      </c>
      <c r="CK456" s="41">
        <f t="shared" si="4977"/>
        <v>0</v>
      </c>
      <c r="CL456" s="41">
        <f t="shared" si="4977"/>
        <v>0</v>
      </c>
      <c r="CM456" s="41">
        <f t="shared" si="4977"/>
        <v>0</v>
      </c>
      <c r="CN456" s="41">
        <f t="shared" si="4977"/>
        <v>0</v>
      </c>
      <c r="CO456" s="41">
        <f t="shared" si="4977"/>
        <v>0</v>
      </c>
      <c r="CP456" s="41">
        <f t="shared" si="4977"/>
        <v>0</v>
      </c>
      <c r="CQ456" s="41">
        <f t="shared" si="4977"/>
        <v>0</v>
      </c>
      <c r="CR456" s="41">
        <f t="shared" si="4977"/>
        <v>0</v>
      </c>
      <c r="CS456" s="41">
        <f t="shared" ref="CS456:CX456" si="4978">CS421+CS445</f>
        <v>0</v>
      </c>
      <c r="CT456" s="41">
        <f t="shared" si="4978"/>
        <v>0</v>
      </c>
      <c r="CU456" s="41">
        <f t="shared" si="4978"/>
        <v>0</v>
      </c>
      <c r="CV456" s="41">
        <f t="shared" si="4978"/>
        <v>0</v>
      </c>
      <c r="CW456" s="41">
        <f t="shared" si="4978"/>
        <v>0</v>
      </c>
      <c r="CX456" s="41">
        <f t="shared" si="4978"/>
        <v>0</v>
      </c>
      <c r="CY456" s="41">
        <f t="shared" ref="CY456:DD456" si="4979">CY421+CY445</f>
        <v>0</v>
      </c>
      <c r="CZ456" s="211">
        <f t="shared" si="4979"/>
        <v>0</v>
      </c>
      <c r="DA456" s="41">
        <f t="shared" si="4979"/>
        <v>0</v>
      </c>
      <c r="DB456" s="41">
        <f t="shared" si="4979"/>
        <v>0</v>
      </c>
      <c r="DC456" s="41">
        <f t="shared" si="4979"/>
        <v>0</v>
      </c>
      <c r="DD456" s="41">
        <f t="shared" si="4979"/>
        <v>0</v>
      </c>
      <c r="DE456" s="41">
        <f t="shared" ref="DE456" si="4980">DE421+DE445</f>
        <v>0</v>
      </c>
      <c r="DF456" s="41">
        <f t="shared" ref="DF456" si="4981">DF421+DF445</f>
        <v>0</v>
      </c>
      <c r="DG456" s="41">
        <f>DG421+DG445</f>
        <v>0</v>
      </c>
      <c r="DH456" s="41">
        <f>DH421+DH445</f>
        <v>0</v>
      </c>
      <c r="DI456" s="41">
        <f>DI421+DI445</f>
        <v>0</v>
      </c>
    </row>
    <row r="457" spans="1:113" ht="12" outlineLevel="2">
      <c r="A457" s="1" t="s">
        <v>681</v>
      </c>
      <c r="B457" s="15" t="s">
        <v>370</v>
      </c>
      <c r="C457" s="41">
        <f>C422</f>
        <v>0</v>
      </c>
      <c r="D457" s="41">
        <f>D422</f>
        <v>0</v>
      </c>
      <c r="E457" s="41">
        <f t="shared" ref="E457:L457" si="4982">E422</f>
        <v>-92.12</v>
      </c>
      <c r="F457" s="41">
        <f t="shared" si="4982"/>
        <v>-101.42999999999999</v>
      </c>
      <c r="G457" s="41">
        <f t="shared" si="4982"/>
        <v>-96.039999999999992</v>
      </c>
      <c r="H457" s="41">
        <f t="shared" si="4982"/>
        <v>-97.02</v>
      </c>
      <c r="I457" s="41">
        <f t="shared" si="4982"/>
        <v>-122.99</v>
      </c>
      <c r="J457" s="41">
        <f t="shared" si="4982"/>
        <v>-92.12</v>
      </c>
      <c r="K457" s="41">
        <f t="shared" si="4982"/>
        <v>-91.63</v>
      </c>
      <c r="L457" s="41">
        <f t="shared" si="4982"/>
        <v>-109.75999999999999</v>
      </c>
      <c r="M457" s="41">
        <f t="shared" ref="M457:AD457" si="4983">M422</f>
        <v>-106.33</v>
      </c>
      <c r="N457" s="41">
        <f t="shared" si="4983"/>
        <v>-125.44</v>
      </c>
      <c r="O457" s="41">
        <f t="shared" si="4983"/>
        <v>-106.82</v>
      </c>
      <c r="P457" s="41">
        <f t="shared" si="4983"/>
        <v>-115.64</v>
      </c>
      <c r="Q457" s="41">
        <f t="shared" si="4983"/>
        <v>-113.67999999999999</v>
      </c>
      <c r="R457" s="41">
        <f t="shared" si="4983"/>
        <v>-120.53999999999999</v>
      </c>
      <c r="S457" s="41">
        <f t="shared" si="4983"/>
        <v>-109.27</v>
      </c>
      <c r="T457" s="41">
        <f t="shared" si="4983"/>
        <v>0</v>
      </c>
      <c r="U457" s="41">
        <f t="shared" si="4983"/>
        <v>0</v>
      </c>
      <c r="V457" s="41">
        <f t="shared" si="4983"/>
        <v>0</v>
      </c>
      <c r="W457" s="41">
        <f t="shared" si="4983"/>
        <v>0</v>
      </c>
      <c r="X457" s="41">
        <f t="shared" si="4983"/>
        <v>0</v>
      </c>
      <c r="Y457" s="41">
        <f t="shared" si="4983"/>
        <v>0</v>
      </c>
      <c r="Z457" s="41">
        <f t="shared" si="4983"/>
        <v>0</v>
      </c>
      <c r="AA457" s="41">
        <f t="shared" si="4983"/>
        <v>0</v>
      </c>
      <c r="AB457" s="41">
        <f t="shared" ref="AB457" si="4984">AB422</f>
        <v>0</v>
      </c>
      <c r="AC457" s="41">
        <f t="shared" si="4983"/>
        <v>0</v>
      </c>
      <c r="AD457" s="41">
        <f t="shared" si="4983"/>
        <v>0</v>
      </c>
      <c r="AE457" s="41">
        <f t="shared" ref="AE457:AF457" si="4985">AE422</f>
        <v>0</v>
      </c>
      <c r="AF457" s="41">
        <f t="shared" si="4985"/>
        <v>0</v>
      </c>
      <c r="AG457" s="41">
        <f t="shared" ref="AG457:AH457" si="4986">AG422</f>
        <v>0</v>
      </c>
      <c r="AH457" s="41">
        <f t="shared" si="4986"/>
        <v>0</v>
      </c>
      <c r="AI457" s="41">
        <f t="shared" ref="AI457:AJ457" si="4987">AI422</f>
        <v>0</v>
      </c>
      <c r="AJ457" s="41">
        <f t="shared" si="4987"/>
        <v>0</v>
      </c>
      <c r="AK457" s="41">
        <f t="shared" ref="AK457:AL457" si="4988">AK422</f>
        <v>0</v>
      </c>
      <c r="AL457" s="41">
        <f t="shared" si="4988"/>
        <v>0</v>
      </c>
      <c r="AM457" s="41">
        <f t="shared" ref="AM457:AN457" si="4989">AM422</f>
        <v>0</v>
      </c>
      <c r="AN457" s="41">
        <f t="shared" si="4989"/>
        <v>0</v>
      </c>
      <c r="AO457" s="41">
        <f t="shared" ref="AO457" si="4990">AO422</f>
        <v>0</v>
      </c>
      <c r="AP457" s="41">
        <f t="shared" ref="AP457:AQ457" si="4991">AP422</f>
        <v>0</v>
      </c>
      <c r="AQ457" s="41">
        <f t="shared" si="4991"/>
        <v>0</v>
      </c>
      <c r="AR457" s="41">
        <f t="shared" ref="AR457:AS457" si="4992">AR422</f>
        <v>0</v>
      </c>
      <c r="AS457" s="41">
        <f t="shared" si="4992"/>
        <v>0</v>
      </c>
      <c r="AT457" s="41">
        <f t="shared" ref="AT457:AU457" si="4993">AT422</f>
        <v>0</v>
      </c>
      <c r="AU457" s="41">
        <f t="shared" si="4993"/>
        <v>0</v>
      </c>
      <c r="AV457" s="41">
        <f t="shared" ref="AV457:AW457" si="4994">AV422</f>
        <v>0</v>
      </c>
      <c r="AW457" s="41">
        <f t="shared" si="4994"/>
        <v>0</v>
      </c>
      <c r="AX457" s="41">
        <f t="shared" ref="AX457:AY457" si="4995">AX422</f>
        <v>0</v>
      </c>
      <c r="AY457" s="211">
        <f t="shared" si="4995"/>
        <v>0</v>
      </c>
      <c r="AZ457" s="41">
        <f t="shared" ref="AZ457:BA457" si="4996">AZ422</f>
        <v>0</v>
      </c>
      <c r="BA457" s="41">
        <f t="shared" si="4996"/>
        <v>0</v>
      </c>
      <c r="BB457" s="41">
        <f t="shared" ref="BB457:BC457" si="4997">BB422</f>
        <v>0</v>
      </c>
      <c r="BC457" s="41">
        <f t="shared" si="4997"/>
        <v>0</v>
      </c>
      <c r="BD457" s="41">
        <f t="shared" ref="BD457:BE457" si="4998">BD422</f>
        <v>0</v>
      </c>
      <c r="BE457" s="41">
        <f t="shared" si="4998"/>
        <v>0</v>
      </c>
      <c r="BF457" s="41">
        <f t="shared" ref="BF457:BG457" si="4999">BF422</f>
        <v>0</v>
      </c>
      <c r="BG457" s="41">
        <f t="shared" si="4999"/>
        <v>0</v>
      </c>
      <c r="BH457" s="41">
        <f t="shared" ref="BH457:BI457" si="5000">BH422</f>
        <v>0</v>
      </c>
      <c r="BI457" s="41">
        <f t="shared" si="5000"/>
        <v>0</v>
      </c>
      <c r="BJ457" s="41">
        <f t="shared" ref="BJ457:BK457" si="5001">BJ422</f>
        <v>0</v>
      </c>
      <c r="BK457" s="41">
        <f t="shared" si="5001"/>
        <v>0</v>
      </c>
      <c r="BL457" s="41">
        <f t="shared" ref="BL457:BM457" si="5002">BL422</f>
        <v>0</v>
      </c>
      <c r="BM457" s="41">
        <f t="shared" si="5002"/>
        <v>0</v>
      </c>
      <c r="BN457" s="41">
        <f t="shared" ref="BN457:BO457" si="5003">BN422</f>
        <v>0</v>
      </c>
      <c r="BO457" s="41">
        <f t="shared" si="5003"/>
        <v>0</v>
      </c>
      <c r="BP457" s="41">
        <f t="shared" ref="BP457:BQ457" si="5004">BP422</f>
        <v>0</v>
      </c>
      <c r="BQ457" s="41">
        <f t="shared" si="5004"/>
        <v>0</v>
      </c>
      <c r="BR457" s="41"/>
      <c r="BS457" s="41">
        <f t="shared" ref="BS457:CB457" si="5005">BS422</f>
        <v>0</v>
      </c>
      <c r="BT457" s="41">
        <f t="shared" si="5005"/>
        <v>0</v>
      </c>
      <c r="BU457" s="41">
        <f t="shared" si="5005"/>
        <v>0</v>
      </c>
      <c r="BV457" s="41">
        <f t="shared" si="5005"/>
        <v>0</v>
      </c>
      <c r="BW457" s="41">
        <f t="shared" si="5005"/>
        <v>0</v>
      </c>
      <c r="BX457" s="41">
        <f t="shared" si="5005"/>
        <v>0</v>
      </c>
      <c r="BY457" s="41">
        <f t="shared" si="5005"/>
        <v>0</v>
      </c>
      <c r="BZ457" s="41">
        <f t="shared" si="5005"/>
        <v>0</v>
      </c>
      <c r="CA457" s="41">
        <f t="shared" si="5005"/>
        <v>0</v>
      </c>
      <c r="CB457" s="41">
        <f t="shared" si="5005"/>
        <v>0</v>
      </c>
      <c r="CC457" s="41">
        <f t="shared" ref="CC457:CR457" si="5006">CC422</f>
        <v>-92.12</v>
      </c>
      <c r="CD457" s="41">
        <f t="shared" si="5006"/>
        <v>-197.46999999999997</v>
      </c>
      <c r="CE457" s="41">
        <f t="shared" si="5006"/>
        <v>-220.01</v>
      </c>
      <c r="CF457" s="41">
        <f t="shared" si="5006"/>
        <v>-183.75</v>
      </c>
      <c r="CG457" s="41">
        <f t="shared" si="5006"/>
        <v>-216.08999999999997</v>
      </c>
      <c r="CH457" s="41">
        <f t="shared" si="5006"/>
        <v>-232.26</v>
      </c>
      <c r="CI457" s="41">
        <f t="shared" si="5006"/>
        <v>-229.32</v>
      </c>
      <c r="CJ457" s="41">
        <f t="shared" si="5006"/>
        <v>-229.81</v>
      </c>
      <c r="CK457" s="41">
        <f t="shared" si="5006"/>
        <v>0</v>
      </c>
      <c r="CL457" s="41">
        <f t="shared" si="5006"/>
        <v>0</v>
      </c>
      <c r="CM457" s="41">
        <f t="shared" si="5006"/>
        <v>0</v>
      </c>
      <c r="CN457" s="41">
        <f t="shared" si="5006"/>
        <v>0</v>
      </c>
      <c r="CO457" s="41">
        <f t="shared" si="5006"/>
        <v>0</v>
      </c>
      <c r="CP457" s="41">
        <f t="shared" si="5006"/>
        <v>0</v>
      </c>
      <c r="CQ457" s="41">
        <f t="shared" si="5006"/>
        <v>0</v>
      </c>
      <c r="CR457" s="41">
        <f t="shared" si="5006"/>
        <v>0</v>
      </c>
      <c r="CS457" s="41">
        <f t="shared" ref="CS457:CX457" si="5007">CS422</f>
        <v>0</v>
      </c>
      <c r="CT457" s="41">
        <f t="shared" si="5007"/>
        <v>0</v>
      </c>
      <c r="CU457" s="41">
        <f t="shared" si="5007"/>
        <v>0</v>
      </c>
      <c r="CV457" s="41">
        <f t="shared" si="5007"/>
        <v>0</v>
      </c>
      <c r="CW457" s="41">
        <f t="shared" si="5007"/>
        <v>0</v>
      </c>
      <c r="CX457" s="41">
        <f t="shared" si="5007"/>
        <v>0</v>
      </c>
      <c r="CY457" s="41">
        <f t="shared" ref="CY457:DD457" si="5008">CY422</f>
        <v>0</v>
      </c>
      <c r="CZ457" s="211">
        <f t="shared" si="5008"/>
        <v>0</v>
      </c>
      <c r="DA457" s="41">
        <f t="shared" si="5008"/>
        <v>0</v>
      </c>
      <c r="DB457" s="41">
        <f t="shared" si="5008"/>
        <v>0</v>
      </c>
      <c r="DC457" s="41">
        <f t="shared" si="5008"/>
        <v>0</v>
      </c>
      <c r="DD457" s="41">
        <f t="shared" si="5008"/>
        <v>0</v>
      </c>
      <c r="DE457" s="41">
        <f t="shared" ref="DE457" si="5009">DE422</f>
        <v>0</v>
      </c>
      <c r="DF457" s="41">
        <f t="shared" ref="DF457" si="5010">DF422</f>
        <v>0</v>
      </c>
      <c r="DG457" s="41">
        <f>DG422</f>
        <v>0</v>
      </c>
      <c r="DH457" s="41">
        <f>DH422</f>
        <v>0</v>
      </c>
      <c r="DI457" s="41">
        <f>DI422</f>
        <v>0</v>
      </c>
    </row>
    <row r="458" spans="1:113" ht="12" outlineLevel="2">
      <c r="A458" s="1" t="s">
        <v>177</v>
      </c>
      <c r="B458" s="15" t="s">
        <v>371</v>
      </c>
      <c r="C458" s="41">
        <f t="shared" ref="C458:L460" si="5011">C423+C446</f>
        <v>0</v>
      </c>
      <c r="D458" s="41">
        <f t="shared" si="5011"/>
        <v>0</v>
      </c>
      <c r="E458" s="41">
        <f t="shared" si="5011"/>
        <v>0</v>
      </c>
      <c r="F458" s="41">
        <f t="shared" si="5011"/>
        <v>0</v>
      </c>
      <c r="G458" s="41">
        <f t="shared" si="5011"/>
        <v>0</v>
      </c>
      <c r="H458" s="41">
        <f t="shared" si="5011"/>
        <v>0</v>
      </c>
      <c r="I458" s="41">
        <f t="shared" si="5011"/>
        <v>0</v>
      </c>
      <c r="J458" s="41">
        <f t="shared" si="5011"/>
        <v>0</v>
      </c>
      <c r="K458" s="41">
        <f t="shared" si="5011"/>
        <v>0</v>
      </c>
      <c r="L458" s="41">
        <f t="shared" si="5011"/>
        <v>0</v>
      </c>
      <c r="M458" s="41">
        <f t="shared" ref="M458:AD458" si="5012">M423+M446</f>
        <v>0</v>
      </c>
      <c r="N458" s="41">
        <f t="shared" si="5012"/>
        <v>0</v>
      </c>
      <c r="O458" s="41">
        <f t="shared" si="5012"/>
        <v>0</v>
      </c>
      <c r="P458" s="41">
        <f t="shared" si="5012"/>
        <v>-45</v>
      </c>
      <c r="Q458" s="41">
        <f t="shared" si="5012"/>
        <v>-111</v>
      </c>
      <c r="R458" s="41">
        <f t="shared" si="5012"/>
        <v>-92</v>
      </c>
      <c r="S458" s="41">
        <f t="shared" si="5012"/>
        <v>10</v>
      </c>
      <c r="T458" s="41">
        <f t="shared" si="5012"/>
        <v>-17</v>
      </c>
      <c r="U458" s="41">
        <f t="shared" si="5012"/>
        <v>-17</v>
      </c>
      <c r="V458" s="41">
        <f t="shared" si="5012"/>
        <v>0</v>
      </c>
      <c r="W458" s="41">
        <f t="shared" si="5012"/>
        <v>0</v>
      </c>
      <c r="X458" s="41">
        <f t="shared" si="5012"/>
        <v>0</v>
      </c>
      <c r="Y458" s="41">
        <f t="shared" si="5012"/>
        <v>0</v>
      </c>
      <c r="Z458" s="41">
        <f t="shared" si="5012"/>
        <v>0</v>
      </c>
      <c r="AA458" s="41">
        <f t="shared" si="5012"/>
        <v>0</v>
      </c>
      <c r="AB458" s="41">
        <f t="shared" ref="AB458" si="5013">AB423+AB446</f>
        <v>0</v>
      </c>
      <c r="AC458" s="41">
        <f t="shared" si="5012"/>
        <v>0</v>
      </c>
      <c r="AD458" s="41">
        <f t="shared" si="5012"/>
        <v>0</v>
      </c>
      <c r="AE458" s="41">
        <f t="shared" ref="AE458:AF458" si="5014">AE423+AE446</f>
        <v>0</v>
      </c>
      <c r="AF458" s="41">
        <f t="shared" si="5014"/>
        <v>0</v>
      </c>
      <c r="AG458" s="41">
        <f t="shared" ref="AG458:AH458" si="5015">AG423+AG446</f>
        <v>0</v>
      </c>
      <c r="AH458" s="41">
        <f t="shared" si="5015"/>
        <v>0</v>
      </c>
      <c r="AI458" s="41">
        <f t="shared" ref="AI458:AJ458" si="5016">AI423+AI446</f>
        <v>0</v>
      </c>
      <c r="AJ458" s="41">
        <f t="shared" si="5016"/>
        <v>0</v>
      </c>
      <c r="AK458" s="41">
        <f t="shared" ref="AK458:AL458" si="5017">AK423+AK446</f>
        <v>0</v>
      </c>
      <c r="AL458" s="41">
        <f t="shared" si="5017"/>
        <v>0</v>
      </c>
      <c r="AM458" s="41">
        <f t="shared" ref="AM458:AN458" si="5018">AM423+AM446</f>
        <v>0</v>
      </c>
      <c r="AN458" s="41">
        <f t="shared" si="5018"/>
        <v>0</v>
      </c>
      <c r="AO458" s="41">
        <f t="shared" ref="AO458" si="5019">AO423+AO446</f>
        <v>0</v>
      </c>
      <c r="AP458" s="41">
        <f t="shared" ref="AP458:AQ458" si="5020">AP423+AP446</f>
        <v>0</v>
      </c>
      <c r="AQ458" s="41">
        <f t="shared" si="5020"/>
        <v>0</v>
      </c>
      <c r="AR458" s="41">
        <f t="shared" ref="AR458:AS458" si="5021">AR423+AR446</f>
        <v>0</v>
      </c>
      <c r="AS458" s="41">
        <f t="shared" si="5021"/>
        <v>0</v>
      </c>
      <c r="AT458" s="41">
        <f t="shared" ref="AT458:AU458" si="5022">AT423+AT446</f>
        <v>0</v>
      </c>
      <c r="AU458" s="41">
        <f t="shared" si="5022"/>
        <v>0</v>
      </c>
      <c r="AV458" s="41">
        <f t="shared" ref="AV458:AW458" si="5023">AV423+AV446</f>
        <v>0</v>
      </c>
      <c r="AW458" s="41">
        <f t="shared" si="5023"/>
        <v>0</v>
      </c>
      <c r="AX458" s="41">
        <f t="shared" ref="AX458:AY458" si="5024">AX423+AX446</f>
        <v>0</v>
      </c>
      <c r="AY458" s="211">
        <f t="shared" si="5024"/>
        <v>0</v>
      </c>
      <c r="AZ458" s="41">
        <f t="shared" ref="AZ458:BA458" si="5025">AZ423+AZ446</f>
        <v>0</v>
      </c>
      <c r="BA458" s="41">
        <f t="shared" si="5025"/>
        <v>0</v>
      </c>
      <c r="BB458" s="41">
        <f t="shared" ref="BB458:BC458" si="5026">BB423+BB446</f>
        <v>0</v>
      </c>
      <c r="BC458" s="41">
        <f t="shared" si="5026"/>
        <v>0</v>
      </c>
      <c r="BD458" s="41">
        <f t="shared" ref="BD458:BE458" si="5027">BD423+BD446</f>
        <v>0</v>
      </c>
      <c r="BE458" s="41">
        <f t="shared" si="5027"/>
        <v>0</v>
      </c>
      <c r="BF458" s="41">
        <f t="shared" ref="BF458:BG458" si="5028">BF423+BF446</f>
        <v>0</v>
      </c>
      <c r="BG458" s="41">
        <f t="shared" si="5028"/>
        <v>0</v>
      </c>
      <c r="BH458" s="41">
        <f t="shared" ref="BH458:BI458" si="5029">BH423+BH446</f>
        <v>0</v>
      </c>
      <c r="BI458" s="41">
        <f t="shared" si="5029"/>
        <v>0</v>
      </c>
      <c r="BJ458" s="41">
        <f t="shared" ref="BJ458:BK458" si="5030">BJ423+BJ446</f>
        <v>0</v>
      </c>
      <c r="BK458" s="41">
        <f t="shared" si="5030"/>
        <v>0</v>
      </c>
      <c r="BL458" s="41">
        <f t="shared" ref="BL458:BM458" si="5031">BL423+BL446</f>
        <v>0</v>
      </c>
      <c r="BM458" s="41">
        <f t="shared" si="5031"/>
        <v>0</v>
      </c>
      <c r="BN458" s="41">
        <f t="shared" ref="BN458:BO458" si="5032">BN423+BN446</f>
        <v>0</v>
      </c>
      <c r="BO458" s="41">
        <f t="shared" si="5032"/>
        <v>0</v>
      </c>
      <c r="BP458" s="41">
        <f t="shared" ref="BP458:BQ458" si="5033">BP423+BP446</f>
        <v>0</v>
      </c>
      <c r="BQ458" s="41">
        <f t="shared" si="5033"/>
        <v>0</v>
      </c>
      <c r="BR458" s="41"/>
      <c r="BS458" s="41">
        <f t="shared" ref="BS458:CB460" si="5034">BS423+BS446</f>
        <v>0</v>
      </c>
      <c r="BT458" s="41">
        <f t="shared" si="5034"/>
        <v>0</v>
      </c>
      <c r="BU458" s="41">
        <f t="shared" si="5034"/>
        <v>0</v>
      </c>
      <c r="BV458" s="41">
        <f t="shared" si="5034"/>
        <v>0</v>
      </c>
      <c r="BW458" s="41">
        <f t="shared" si="5034"/>
        <v>0</v>
      </c>
      <c r="BX458" s="41">
        <f t="shared" si="5034"/>
        <v>0</v>
      </c>
      <c r="BY458" s="41">
        <f t="shared" si="5034"/>
        <v>0</v>
      </c>
      <c r="BZ458" s="41">
        <f t="shared" si="5034"/>
        <v>0</v>
      </c>
      <c r="CA458" s="41">
        <f t="shared" si="5034"/>
        <v>0</v>
      </c>
      <c r="CB458" s="41">
        <f t="shared" si="5034"/>
        <v>0</v>
      </c>
      <c r="CC458" s="41">
        <f t="shared" ref="CC458:CR458" si="5035">CC423+CC446</f>
        <v>0</v>
      </c>
      <c r="CD458" s="41">
        <f t="shared" si="5035"/>
        <v>0</v>
      </c>
      <c r="CE458" s="41">
        <f t="shared" si="5035"/>
        <v>0</v>
      </c>
      <c r="CF458" s="41">
        <f t="shared" si="5035"/>
        <v>0</v>
      </c>
      <c r="CG458" s="41">
        <f t="shared" si="5035"/>
        <v>0</v>
      </c>
      <c r="CH458" s="41">
        <f t="shared" si="5035"/>
        <v>0</v>
      </c>
      <c r="CI458" s="41">
        <f t="shared" si="5035"/>
        <v>-156</v>
      </c>
      <c r="CJ458" s="41">
        <f t="shared" si="5035"/>
        <v>-82</v>
      </c>
      <c r="CK458" s="41">
        <f t="shared" si="5035"/>
        <v>-34</v>
      </c>
      <c r="CL458" s="41">
        <f t="shared" si="5035"/>
        <v>0</v>
      </c>
      <c r="CM458" s="41">
        <f t="shared" si="5035"/>
        <v>0</v>
      </c>
      <c r="CN458" s="41">
        <f t="shared" si="5035"/>
        <v>0</v>
      </c>
      <c r="CO458" s="41">
        <f t="shared" si="5035"/>
        <v>0</v>
      </c>
      <c r="CP458" s="41">
        <f t="shared" si="5035"/>
        <v>0</v>
      </c>
      <c r="CQ458" s="41">
        <f t="shared" si="5035"/>
        <v>0</v>
      </c>
      <c r="CR458" s="41">
        <f t="shared" si="5035"/>
        <v>0</v>
      </c>
      <c r="CS458" s="41">
        <f t="shared" ref="CS458:CX460" si="5036">CS423+CS446</f>
        <v>0</v>
      </c>
      <c r="CT458" s="41">
        <f t="shared" si="5036"/>
        <v>0</v>
      </c>
      <c r="CU458" s="41">
        <f t="shared" si="5036"/>
        <v>0</v>
      </c>
      <c r="CV458" s="41">
        <f t="shared" si="5036"/>
        <v>0</v>
      </c>
      <c r="CW458" s="41">
        <f t="shared" si="5036"/>
        <v>0</v>
      </c>
      <c r="CX458" s="41">
        <f t="shared" si="5036"/>
        <v>0</v>
      </c>
      <c r="CY458" s="41">
        <f t="shared" ref="CY458:CZ460" si="5037">CY423+CY446</f>
        <v>0</v>
      </c>
      <c r="CZ458" s="211">
        <f t="shared" si="5037"/>
        <v>0</v>
      </c>
      <c r="DA458" s="41">
        <f t="shared" ref="DA458:DB458" si="5038">DA423+DA446</f>
        <v>0</v>
      </c>
      <c r="DB458" s="41">
        <f t="shared" si="5038"/>
        <v>0</v>
      </c>
      <c r="DC458" s="41">
        <f t="shared" ref="DC458" si="5039">DC423+DC446</f>
        <v>0</v>
      </c>
      <c r="DD458" s="41">
        <f t="shared" ref="DD458:DE460" si="5040">DD423+DD446</f>
        <v>0</v>
      </c>
      <c r="DE458" s="41">
        <f t="shared" si="5040"/>
        <v>0</v>
      </c>
      <c r="DF458" s="41">
        <f t="shared" ref="DF458:DG460" si="5041">DF423+DF446</f>
        <v>0</v>
      </c>
      <c r="DG458" s="41">
        <f t="shared" si="5041"/>
        <v>0</v>
      </c>
      <c r="DH458" s="41">
        <f t="shared" ref="DH458" si="5042">DH423+DH446</f>
        <v>0</v>
      </c>
      <c r="DI458" s="41">
        <f t="shared" ref="DI458" si="5043">DI423+DI446</f>
        <v>0</v>
      </c>
    </row>
    <row r="459" spans="1:113" ht="12" outlineLevel="2">
      <c r="A459" s="1" t="s">
        <v>95</v>
      </c>
      <c r="B459" s="15" t="s">
        <v>361</v>
      </c>
      <c r="C459" s="41">
        <f t="shared" si="5011"/>
        <v>0</v>
      </c>
      <c r="D459" s="41">
        <f t="shared" si="5011"/>
        <v>0</v>
      </c>
      <c r="E459" s="41">
        <f t="shared" si="5011"/>
        <v>-2.4500000000000002</v>
      </c>
      <c r="F459" s="41">
        <f t="shared" si="5011"/>
        <v>0</v>
      </c>
      <c r="G459" s="41">
        <f t="shared" si="5011"/>
        <v>-14.209999999999999</v>
      </c>
      <c r="H459" s="41">
        <f t="shared" si="5011"/>
        <v>-13.23</v>
      </c>
      <c r="I459" s="41">
        <f t="shared" si="5011"/>
        <v>-14.7</v>
      </c>
      <c r="J459" s="41">
        <f t="shared" si="5011"/>
        <v>-7.35</v>
      </c>
      <c r="K459" s="41">
        <f t="shared" si="5011"/>
        <v>-15.68</v>
      </c>
      <c r="L459" s="41">
        <f t="shared" si="5011"/>
        <v>-8.82</v>
      </c>
      <c r="M459" s="41">
        <f t="shared" ref="M459:AD459" si="5044">M424+M447</f>
        <v>-16.66</v>
      </c>
      <c r="N459" s="41">
        <f t="shared" si="5044"/>
        <v>-7.84</v>
      </c>
      <c r="O459" s="41">
        <f t="shared" si="5044"/>
        <v>-25.97</v>
      </c>
      <c r="P459" s="41">
        <f t="shared" si="5044"/>
        <v>-22.05</v>
      </c>
      <c r="Q459" s="41">
        <f t="shared" si="5044"/>
        <v>-20.09</v>
      </c>
      <c r="R459" s="41">
        <f t="shared" si="5044"/>
        <v>-20.58</v>
      </c>
      <c r="S459" s="41">
        <f t="shared" si="5044"/>
        <v>-20.09</v>
      </c>
      <c r="T459" s="41">
        <f t="shared" si="5044"/>
        <v>0</v>
      </c>
      <c r="U459" s="41">
        <f t="shared" si="5044"/>
        <v>0</v>
      </c>
      <c r="V459" s="41">
        <f t="shared" si="5044"/>
        <v>0</v>
      </c>
      <c r="W459" s="41">
        <f t="shared" si="5044"/>
        <v>0</v>
      </c>
      <c r="X459" s="41">
        <f t="shared" si="5044"/>
        <v>0</v>
      </c>
      <c r="Y459" s="41">
        <f t="shared" si="5044"/>
        <v>0</v>
      </c>
      <c r="Z459" s="41">
        <f t="shared" si="5044"/>
        <v>0</v>
      </c>
      <c r="AA459" s="41">
        <f t="shared" si="5044"/>
        <v>0</v>
      </c>
      <c r="AB459" s="41">
        <f t="shared" ref="AB459" si="5045">AB424+AB447</f>
        <v>0</v>
      </c>
      <c r="AC459" s="41">
        <f t="shared" si="5044"/>
        <v>0</v>
      </c>
      <c r="AD459" s="41">
        <f t="shared" si="5044"/>
        <v>0</v>
      </c>
      <c r="AE459" s="41">
        <f t="shared" ref="AE459:AF459" si="5046">AE424+AE447</f>
        <v>0</v>
      </c>
      <c r="AF459" s="41">
        <f t="shared" si="5046"/>
        <v>0</v>
      </c>
      <c r="AG459" s="41">
        <f t="shared" ref="AG459:AH459" si="5047">AG424+AG447</f>
        <v>0</v>
      </c>
      <c r="AH459" s="41">
        <f t="shared" si="5047"/>
        <v>0</v>
      </c>
      <c r="AI459" s="41">
        <f t="shared" ref="AI459:AJ459" si="5048">AI424+AI447</f>
        <v>0</v>
      </c>
      <c r="AJ459" s="41">
        <f t="shared" si="5048"/>
        <v>0</v>
      </c>
      <c r="AK459" s="41">
        <f t="shared" ref="AK459:AL459" si="5049">AK424+AK447</f>
        <v>0</v>
      </c>
      <c r="AL459" s="41">
        <f t="shared" si="5049"/>
        <v>0</v>
      </c>
      <c r="AM459" s="41">
        <f t="shared" ref="AM459:AN459" si="5050">AM424+AM447</f>
        <v>0</v>
      </c>
      <c r="AN459" s="41">
        <f t="shared" si="5050"/>
        <v>0</v>
      </c>
      <c r="AO459" s="41">
        <f t="shared" ref="AO459" si="5051">AO424+AO447</f>
        <v>0</v>
      </c>
      <c r="AP459" s="41">
        <f t="shared" ref="AP459:AQ459" si="5052">AP424+AP447</f>
        <v>0</v>
      </c>
      <c r="AQ459" s="41">
        <f t="shared" si="5052"/>
        <v>0</v>
      </c>
      <c r="AR459" s="41">
        <f t="shared" ref="AR459:AS459" si="5053">AR424+AR447</f>
        <v>0</v>
      </c>
      <c r="AS459" s="41">
        <f t="shared" si="5053"/>
        <v>0</v>
      </c>
      <c r="AT459" s="41">
        <f t="shared" ref="AT459:AU459" si="5054">AT424+AT447</f>
        <v>0</v>
      </c>
      <c r="AU459" s="41">
        <f t="shared" si="5054"/>
        <v>0</v>
      </c>
      <c r="AV459" s="41">
        <f t="shared" ref="AV459:AW459" si="5055">AV424+AV447</f>
        <v>0</v>
      </c>
      <c r="AW459" s="41">
        <f t="shared" si="5055"/>
        <v>0</v>
      </c>
      <c r="AX459" s="41">
        <f t="shared" ref="AX459:AY459" si="5056">AX424+AX447</f>
        <v>0</v>
      </c>
      <c r="AY459" s="211">
        <f t="shared" si="5056"/>
        <v>0</v>
      </c>
      <c r="AZ459" s="41">
        <f t="shared" ref="AZ459:BA459" si="5057">AZ424+AZ447</f>
        <v>0</v>
      </c>
      <c r="BA459" s="41">
        <f t="shared" si="5057"/>
        <v>0</v>
      </c>
      <c r="BB459" s="41">
        <f t="shared" ref="BB459:BC459" si="5058">BB424+BB447</f>
        <v>0</v>
      </c>
      <c r="BC459" s="41">
        <f t="shared" si="5058"/>
        <v>0</v>
      </c>
      <c r="BD459" s="41">
        <f t="shared" ref="BD459:BE459" si="5059">BD424+BD447</f>
        <v>0</v>
      </c>
      <c r="BE459" s="41">
        <f t="shared" si="5059"/>
        <v>0</v>
      </c>
      <c r="BF459" s="41">
        <f t="shared" ref="BF459:BG459" si="5060">BF424+BF447</f>
        <v>0</v>
      </c>
      <c r="BG459" s="41">
        <f t="shared" si="5060"/>
        <v>0</v>
      </c>
      <c r="BH459" s="41">
        <f t="shared" ref="BH459:BI459" si="5061">BH424+BH447</f>
        <v>0</v>
      </c>
      <c r="BI459" s="41">
        <f t="shared" si="5061"/>
        <v>0</v>
      </c>
      <c r="BJ459" s="41">
        <f t="shared" ref="BJ459:BK459" si="5062">BJ424+BJ447</f>
        <v>0</v>
      </c>
      <c r="BK459" s="41">
        <f t="shared" si="5062"/>
        <v>0</v>
      </c>
      <c r="BL459" s="41">
        <f t="shared" ref="BL459:BM459" si="5063">BL424+BL447</f>
        <v>0</v>
      </c>
      <c r="BM459" s="41">
        <f t="shared" si="5063"/>
        <v>0</v>
      </c>
      <c r="BN459" s="41">
        <f t="shared" ref="BN459:BO459" si="5064">BN424+BN447</f>
        <v>0</v>
      </c>
      <c r="BO459" s="41">
        <f t="shared" si="5064"/>
        <v>0</v>
      </c>
      <c r="BP459" s="41">
        <f t="shared" ref="BP459:BQ459" si="5065">BP424+BP447</f>
        <v>0</v>
      </c>
      <c r="BQ459" s="41">
        <f t="shared" si="5065"/>
        <v>0</v>
      </c>
      <c r="BR459" s="41"/>
      <c r="BS459" s="41">
        <f t="shared" si="5034"/>
        <v>0</v>
      </c>
      <c r="BT459" s="41">
        <f t="shared" si="5034"/>
        <v>0</v>
      </c>
      <c r="BU459" s="41">
        <f t="shared" si="5034"/>
        <v>0</v>
      </c>
      <c r="BV459" s="41">
        <f t="shared" si="5034"/>
        <v>0</v>
      </c>
      <c r="BW459" s="41">
        <f t="shared" si="5034"/>
        <v>0</v>
      </c>
      <c r="BX459" s="41">
        <f t="shared" si="5034"/>
        <v>0</v>
      </c>
      <c r="BY459" s="41">
        <f t="shared" si="5034"/>
        <v>0</v>
      </c>
      <c r="BZ459" s="41">
        <f t="shared" si="5034"/>
        <v>0</v>
      </c>
      <c r="CA459" s="41">
        <f t="shared" si="5034"/>
        <v>0</v>
      </c>
      <c r="CB459" s="41">
        <f t="shared" si="5034"/>
        <v>0</v>
      </c>
      <c r="CC459" s="41">
        <f t="shared" ref="CC459:CR459" si="5066">CC424+CC447</f>
        <v>-2.4500000000000002</v>
      </c>
      <c r="CD459" s="41">
        <f t="shared" si="5066"/>
        <v>-14.209999999999999</v>
      </c>
      <c r="CE459" s="41">
        <f t="shared" si="5066"/>
        <v>-27.93</v>
      </c>
      <c r="CF459" s="41">
        <f t="shared" si="5066"/>
        <v>-23.03</v>
      </c>
      <c r="CG459" s="41">
        <f t="shared" si="5066"/>
        <v>-25.48</v>
      </c>
      <c r="CH459" s="41">
        <f t="shared" si="5066"/>
        <v>-33.81</v>
      </c>
      <c r="CI459" s="41">
        <f t="shared" si="5066"/>
        <v>-42.14</v>
      </c>
      <c r="CJ459" s="41">
        <f t="shared" si="5066"/>
        <v>-40.67</v>
      </c>
      <c r="CK459" s="41">
        <f t="shared" si="5066"/>
        <v>0</v>
      </c>
      <c r="CL459" s="41">
        <f t="shared" si="5066"/>
        <v>0</v>
      </c>
      <c r="CM459" s="41">
        <f t="shared" si="5066"/>
        <v>0</v>
      </c>
      <c r="CN459" s="41">
        <f t="shared" si="5066"/>
        <v>0</v>
      </c>
      <c r="CO459" s="41">
        <f t="shared" si="5066"/>
        <v>0</v>
      </c>
      <c r="CP459" s="41">
        <f t="shared" si="5066"/>
        <v>0</v>
      </c>
      <c r="CQ459" s="41">
        <f t="shared" si="5066"/>
        <v>0</v>
      </c>
      <c r="CR459" s="41">
        <f t="shared" si="5066"/>
        <v>0</v>
      </c>
      <c r="CS459" s="41">
        <f t="shared" si="5036"/>
        <v>0</v>
      </c>
      <c r="CT459" s="41">
        <f t="shared" si="5036"/>
        <v>0</v>
      </c>
      <c r="CU459" s="41">
        <f t="shared" si="5036"/>
        <v>0</v>
      </c>
      <c r="CV459" s="41">
        <f t="shared" si="5036"/>
        <v>0</v>
      </c>
      <c r="CW459" s="41">
        <f t="shared" si="5036"/>
        <v>0</v>
      </c>
      <c r="CX459" s="41">
        <f t="shared" si="5036"/>
        <v>0</v>
      </c>
      <c r="CY459" s="41">
        <f t="shared" si="5037"/>
        <v>0</v>
      </c>
      <c r="CZ459" s="211">
        <f t="shared" si="5037"/>
        <v>0</v>
      </c>
      <c r="DA459" s="41">
        <f t="shared" ref="DA459:DB459" si="5067">DA424+DA447</f>
        <v>0</v>
      </c>
      <c r="DB459" s="41">
        <f t="shared" si="5067"/>
        <v>0</v>
      </c>
      <c r="DC459" s="41">
        <f t="shared" ref="DC459" si="5068">DC424+DC447</f>
        <v>0</v>
      </c>
      <c r="DD459" s="41">
        <f t="shared" si="5040"/>
        <v>0</v>
      </c>
      <c r="DE459" s="41">
        <f t="shared" si="5040"/>
        <v>0</v>
      </c>
      <c r="DF459" s="41">
        <f t="shared" si="5041"/>
        <v>0</v>
      </c>
      <c r="DG459" s="41">
        <f t="shared" si="5041"/>
        <v>0</v>
      </c>
      <c r="DH459" s="41">
        <f t="shared" ref="DH459" si="5069">DH424+DH447</f>
        <v>0</v>
      </c>
      <c r="DI459" s="41">
        <f t="shared" ref="DI459" si="5070">DI424+DI447</f>
        <v>0</v>
      </c>
    </row>
    <row r="460" spans="1:113" ht="12" outlineLevel="2">
      <c r="A460" s="1" t="s">
        <v>96</v>
      </c>
      <c r="B460" s="15" t="s">
        <v>425</v>
      </c>
      <c r="C460" s="41">
        <f t="shared" si="5011"/>
        <v>0</v>
      </c>
      <c r="D460" s="41">
        <f t="shared" si="5011"/>
        <v>0</v>
      </c>
      <c r="E460" s="41">
        <f t="shared" si="5011"/>
        <v>0</v>
      </c>
      <c r="F460" s="41">
        <f t="shared" si="5011"/>
        <v>0</v>
      </c>
      <c r="G460" s="41">
        <f t="shared" si="5011"/>
        <v>0</v>
      </c>
      <c r="H460" s="41">
        <f t="shared" si="5011"/>
        <v>0</v>
      </c>
      <c r="I460" s="41">
        <f t="shared" si="5011"/>
        <v>0</v>
      </c>
      <c r="J460" s="41">
        <f t="shared" si="5011"/>
        <v>0</v>
      </c>
      <c r="K460" s="41">
        <f t="shared" si="5011"/>
        <v>0</v>
      </c>
      <c r="L460" s="41">
        <f t="shared" si="5011"/>
        <v>0</v>
      </c>
      <c r="M460" s="41">
        <f t="shared" ref="M460:AD460" si="5071">M425+M448</f>
        <v>0</v>
      </c>
      <c r="N460" s="41">
        <f t="shared" si="5071"/>
        <v>0</v>
      </c>
      <c r="O460" s="41">
        <f t="shared" si="5071"/>
        <v>0</v>
      </c>
      <c r="P460" s="41">
        <f t="shared" si="5071"/>
        <v>-64</v>
      </c>
      <c r="Q460" s="41">
        <f t="shared" si="5071"/>
        <v>549</v>
      </c>
      <c r="R460" s="41">
        <f t="shared" si="5071"/>
        <v>1277</v>
      </c>
      <c r="S460" s="41">
        <f t="shared" si="5071"/>
        <v>-717</v>
      </c>
      <c r="T460" s="41">
        <f t="shared" si="5071"/>
        <v>-76</v>
      </c>
      <c r="U460" s="41">
        <f t="shared" si="5071"/>
        <v>-28</v>
      </c>
      <c r="V460" s="41">
        <f t="shared" si="5071"/>
        <v>0</v>
      </c>
      <c r="W460" s="41">
        <f t="shared" si="5071"/>
        <v>0</v>
      </c>
      <c r="X460" s="41">
        <f t="shared" si="5071"/>
        <v>0</v>
      </c>
      <c r="Y460" s="41">
        <f>Y425+Y448</f>
        <v>-273</v>
      </c>
      <c r="Z460" s="41">
        <f t="shared" si="5071"/>
        <v>0</v>
      </c>
      <c r="AA460" s="41">
        <f t="shared" si="5071"/>
        <v>0</v>
      </c>
      <c r="AB460" s="41">
        <f t="shared" ref="AB460" si="5072">AB425+AB448</f>
        <v>0</v>
      </c>
      <c r="AC460" s="41">
        <f t="shared" si="5071"/>
        <v>0</v>
      </c>
      <c r="AD460" s="41">
        <f t="shared" si="5071"/>
        <v>0</v>
      </c>
      <c r="AE460" s="41">
        <f t="shared" ref="AE460:AF460" si="5073">AE425+AE448</f>
        <v>0</v>
      </c>
      <c r="AF460" s="41">
        <f t="shared" si="5073"/>
        <v>0</v>
      </c>
      <c r="AG460" s="41">
        <f t="shared" ref="AG460:AH460" si="5074">AG425+AG448</f>
        <v>0</v>
      </c>
      <c r="AH460" s="41">
        <f t="shared" si="5074"/>
        <v>0</v>
      </c>
      <c r="AI460" s="41">
        <f t="shared" ref="AI460:AJ460" si="5075">AI425+AI448</f>
        <v>0</v>
      </c>
      <c r="AJ460" s="41">
        <f t="shared" si="5075"/>
        <v>0</v>
      </c>
      <c r="AK460" s="41">
        <f t="shared" ref="AK460:AL460" si="5076">AK425+AK448</f>
        <v>0</v>
      </c>
      <c r="AL460" s="41">
        <f t="shared" si="5076"/>
        <v>0</v>
      </c>
      <c r="AM460" s="41">
        <f t="shared" ref="AM460:AN460" si="5077">AM425+AM448</f>
        <v>0</v>
      </c>
      <c r="AN460" s="41">
        <f t="shared" si="5077"/>
        <v>0</v>
      </c>
      <c r="AO460" s="41">
        <f t="shared" ref="AO460" si="5078">AO425+AO448</f>
        <v>0</v>
      </c>
      <c r="AP460" s="41">
        <f t="shared" ref="AP460:AQ460" si="5079">AP425+AP448</f>
        <v>0</v>
      </c>
      <c r="AQ460" s="41">
        <f t="shared" si="5079"/>
        <v>0</v>
      </c>
      <c r="AR460" s="41">
        <f t="shared" ref="AR460:AS460" si="5080">AR425+AR448</f>
        <v>0</v>
      </c>
      <c r="AS460" s="41">
        <f t="shared" si="5080"/>
        <v>0</v>
      </c>
      <c r="AT460" s="41">
        <f t="shared" ref="AT460:AU460" si="5081">AT425+AT448</f>
        <v>0</v>
      </c>
      <c r="AU460" s="41">
        <f t="shared" si="5081"/>
        <v>0</v>
      </c>
      <c r="AV460" s="41">
        <f t="shared" ref="AV460:AW460" si="5082">AV425+AV448</f>
        <v>0</v>
      </c>
      <c r="AW460" s="41">
        <f t="shared" si="5082"/>
        <v>0</v>
      </c>
      <c r="AX460" s="41">
        <f t="shared" ref="AX460:AY460" si="5083">AX425+AX448</f>
        <v>0</v>
      </c>
      <c r="AY460" s="211">
        <f t="shared" si="5083"/>
        <v>0</v>
      </c>
      <c r="AZ460" s="41">
        <f t="shared" ref="AZ460:BA460" si="5084">AZ425+AZ448</f>
        <v>0</v>
      </c>
      <c r="BA460" s="41">
        <f t="shared" si="5084"/>
        <v>0</v>
      </c>
      <c r="BB460" s="41">
        <f t="shared" ref="BB460:BC460" si="5085">BB425+BB448</f>
        <v>0</v>
      </c>
      <c r="BC460" s="41">
        <f t="shared" si="5085"/>
        <v>0</v>
      </c>
      <c r="BD460" s="41">
        <f t="shared" ref="BD460:BE460" si="5086">BD425+BD448</f>
        <v>0</v>
      </c>
      <c r="BE460" s="41">
        <f t="shared" si="5086"/>
        <v>0</v>
      </c>
      <c r="BF460" s="41">
        <f t="shared" ref="BF460:BG460" si="5087">BF425+BF448</f>
        <v>0</v>
      </c>
      <c r="BG460" s="41">
        <f t="shared" si="5087"/>
        <v>0</v>
      </c>
      <c r="BH460" s="41">
        <f t="shared" ref="BH460:BI460" si="5088">BH425+BH448</f>
        <v>0</v>
      </c>
      <c r="BI460" s="41">
        <f t="shared" si="5088"/>
        <v>0</v>
      </c>
      <c r="BJ460" s="41">
        <f t="shared" ref="BJ460:BK460" si="5089">BJ425+BJ448</f>
        <v>0</v>
      </c>
      <c r="BK460" s="41">
        <f t="shared" si="5089"/>
        <v>0</v>
      </c>
      <c r="BL460" s="41">
        <f t="shared" ref="BL460:BM460" si="5090">BL425+BL448</f>
        <v>0</v>
      </c>
      <c r="BM460" s="41">
        <f t="shared" si="5090"/>
        <v>0</v>
      </c>
      <c r="BN460" s="41">
        <f t="shared" ref="BN460:BO460" si="5091">BN425+BN448</f>
        <v>0</v>
      </c>
      <c r="BO460" s="41">
        <f t="shared" si="5091"/>
        <v>0</v>
      </c>
      <c r="BP460" s="41">
        <f t="shared" ref="BP460:BQ460" si="5092">BP425+BP448</f>
        <v>0</v>
      </c>
      <c r="BQ460" s="41">
        <f t="shared" si="5092"/>
        <v>0</v>
      </c>
      <c r="BR460" s="41"/>
      <c r="BS460" s="41">
        <f t="shared" si="5034"/>
        <v>0</v>
      </c>
      <c r="BT460" s="41">
        <f t="shared" si="5034"/>
        <v>0</v>
      </c>
      <c r="BU460" s="41">
        <f t="shared" si="5034"/>
        <v>0</v>
      </c>
      <c r="BV460" s="41">
        <f t="shared" si="5034"/>
        <v>0</v>
      </c>
      <c r="BW460" s="41">
        <f t="shared" si="5034"/>
        <v>0</v>
      </c>
      <c r="BX460" s="41">
        <f t="shared" si="5034"/>
        <v>0</v>
      </c>
      <c r="BY460" s="41">
        <f t="shared" si="5034"/>
        <v>0</v>
      </c>
      <c r="BZ460" s="41">
        <f t="shared" si="5034"/>
        <v>0</v>
      </c>
      <c r="CA460" s="41">
        <f t="shared" si="5034"/>
        <v>0</v>
      </c>
      <c r="CB460" s="41">
        <f t="shared" si="5034"/>
        <v>0</v>
      </c>
      <c r="CC460" s="41">
        <f t="shared" ref="CC460:CR460" si="5093">CC425+CC448</f>
        <v>0</v>
      </c>
      <c r="CD460" s="41">
        <f t="shared" si="5093"/>
        <v>0</v>
      </c>
      <c r="CE460" s="41">
        <f t="shared" si="5093"/>
        <v>0</v>
      </c>
      <c r="CF460" s="41">
        <f t="shared" si="5093"/>
        <v>0</v>
      </c>
      <c r="CG460" s="41">
        <f t="shared" si="5093"/>
        <v>0</v>
      </c>
      <c r="CH460" s="41">
        <f t="shared" si="5093"/>
        <v>0</v>
      </c>
      <c r="CI460" s="41">
        <f t="shared" si="5093"/>
        <v>485</v>
      </c>
      <c r="CJ460" s="41">
        <f t="shared" si="5093"/>
        <v>560</v>
      </c>
      <c r="CK460" s="41">
        <f t="shared" si="5093"/>
        <v>-104</v>
      </c>
      <c r="CL460" s="41">
        <f t="shared" si="5093"/>
        <v>0</v>
      </c>
      <c r="CM460" s="41">
        <f t="shared" si="5093"/>
        <v>-273</v>
      </c>
      <c r="CN460" s="41">
        <f t="shared" si="5093"/>
        <v>0</v>
      </c>
      <c r="CO460" s="41">
        <f t="shared" si="5093"/>
        <v>0</v>
      </c>
      <c r="CP460" s="41">
        <f t="shared" si="5093"/>
        <v>0</v>
      </c>
      <c r="CQ460" s="41">
        <f t="shared" si="5093"/>
        <v>0</v>
      </c>
      <c r="CR460" s="41">
        <f t="shared" si="5093"/>
        <v>0</v>
      </c>
      <c r="CS460" s="41">
        <f t="shared" si="5036"/>
        <v>0</v>
      </c>
      <c r="CT460" s="41">
        <f t="shared" si="5036"/>
        <v>0</v>
      </c>
      <c r="CU460" s="41">
        <f t="shared" si="5036"/>
        <v>0</v>
      </c>
      <c r="CV460" s="41">
        <f t="shared" si="5036"/>
        <v>0</v>
      </c>
      <c r="CW460" s="41">
        <f t="shared" si="5036"/>
        <v>0</v>
      </c>
      <c r="CX460" s="41">
        <f t="shared" si="5036"/>
        <v>0</v>
      </c>
      <c r="CY460" s="41">
        <f t="shared" si="5037"/>
        <v>0</v>
      </c>
      <c r="CZ460" s="211">
        <f t="shared" si="5037"/>
        <v>0</v>
      </c>
      <c r="DA460" s="41">
        <f t="shared" ref="DA460:DB460" si="5094">DA425+DA448</f>
        <v>0</v>
      </c>
      <c r="DB460" s="41">
        <f t="shared" si="5094"/>
        <v>0</v>
      </c>
      <c r="DC460" s="41">
        <f t="shared" ref="DC460" si="5095">DC425+DC448</f>
        <v>0</v>
      </c>
      <c r="DD460" s="41">
        <f t="shared" si="5040"/>
        <v>0</v>
      </c>
      <c r="DE460" s="41">
        <f t="shared" si="5040"/>
        <v>0</v>
      </c>
      <c r="DF460" s="41">
        <f t="shared" si="5041"/>
        <v>0</v>
      </c>
      <c r="DG460" s="41">
        <f t="shared" si="5041"/>
        <v>0</v>
      </c>
      <c r="DH460" s="41">
        <f t="shared" ref="DH460" si="5096">DH425+DH448</f>
        <v>0</v>
      </c>
      <c r="DI460" s="41">
        <f t="shared" ref="DI460" si="5097">DI425+DI448</f>
        <v>0</v>
      </c>
    </row>
    <row r="461" spans="1:113" s="17" customFormat="1" ht="12" outlineLevel="2">
      <c r="A461" s="1" t="s">
        <v>97</v>
      </c>
      <c r="B461" s="17" t="s">
        <v>321</v>
      </c>
      <c r="C461" s="62">
        <f t="shared" ref="C461:L461" si="5098">SUM(C454:C460)</f>
        <v>1734</v>
      </c>
      <c r="D461" s="62">
        <f t="shared" si="5098"/>
        <v>1796</v>
      </c>
      <c r="E461" s="62">
        <f t="shared" si="5098"/>
        <v>1864.9999999999998</v>
      </c>
      <c r="F461" s="62">
        <f t="shared" si="5098"/>
        <v>1890.0000000000002</v>
      </c>
      <c r="G461" s="62">
        <f t="shared" si="5098"/>
        <v>2001</v>
      </c>
      <c r="H461" s="62">
        <f t="shared" si="5098"/>
        <v>2178</v>
      </c>
      <c r="I461" s="62">
        <f t="shared" si="5098"/>
        <v>2336.0000000000009</v>
      </c>
      <c r="J461" s="62">
        <f t="shared" si="5098"/>
        <v>2420.0000000000005</v>
      </c>
      <c r="K461" s="62">
        <f t="shared" si="5098"/>
        <v>2545.9999999999995</v>
      </c>
      <c r="L461" s="62">
        <f t="shared" si="5098"/>
        <v>2671.9999999999995</v>
      </c>
      <c r="M461" s="62">
        <f t="shared" ref="M461:AD461" si="5099">SUM(M454:M460)</f>
        <v>2812</v>
      </c>
      <c r="N461" s="62">
        <f t="shared" si="5099"/>
        <v>2994.9999999999995</v>
      </c>
      <c r="O461" s="62">
        <f t="shared" si="5099"/>
        <v>3074</v>
      </c>
      <c r="P461" s="62">
        <f t="shared" si="5099"/>
        <v>3325.0000000000005</v>
      </c>
      <c r="Q461" s="62">
        <f t="shared" si="5099"/>
        <v>3564.0000000000005</v>
      </c>
      <c r="R461" s="62">
        <f t="shared" si="5099"/>
        <v>4095</v>
      </c>
      <c r="S461" s="62">
        <f t="shared" si="5099"/>
        <v>4204</v>
      </c>
      <c r="T461" s="62">
        <f t="shared" si="5099"/>
        <v>4318</v>
      </c>
      <c r="U461" s="62">
        <f t="shared" si="5099"/>
        <v>4493</v>
      </c>
      <c r="V461" s="62">
        <f t="shared" si="5099"/>
        <v>4482</v>
      </c>
      <c r="W461" s="62">
        <f t="shared" si="5099"/>
        <v>4380</v>
      </c>
      <c r="X461" s="62">
        <f t="shared" si="5099"/>
        <v>4587</v>
      </c>
      <c r="Y461" s="62">
        <f t="shared" si="5099"/>
        <v>4742</v>
      </c>
      <c r="Z461" s="62">
        <f t="shared" si="5099"/>
        <v>5048</v>
      </c>
      <c r="AA461" s="62">
        <f t="shared" si="5099"/>
        <v>5086</v>
      </c>
      <c r="AB461" s="62">
        <f t="shared" ref="AB461" si="5100">SUM(AB454:AB460)</f>
        <v>5382</v>
      </c>
      <c r="AC461" s="62">
        <f t="shared" si="5099"/>
        <v>5436</v>
      </c>
      <c r="AD461" s="62">
        <f t="shared" si="5099"/>
        <v>5592</v>
      </c>
      <c r="AE461" s="62">
        <f t="shared" ref="AE461" si="5101">SUM(AE454:AE460)</f>
        <v>5567</v>
      </c>
      <c r="AF461" s="62">
        <f t="shared" ref="AF461:AG461" si="5102">SUM(AF454:AF460)</f>
        <v>4837</v>
      </c>
      <c r="AG461" s="62">
        <f t="shared" si="5102"/>
        <v>5318</v>
      </c>
      <c r="AH461" s="62">
        <f t="shared" ref="AH461:AI461" si="5103">SUM(AH454:AH460)</f>
        <v>5489</v>
      </c>
      <c r="AI461" s="62">
        <f t="shared" si="5103"/>
        <v>5360</v>
      </c>
      <c r="AJ461" s="62">
        <f t="shared" ref="AJ461:AK461" si="5104">SUM(AJ454:AJ460)</f>
        <v>5397</v>
      </c>
      <c r="AK461" s="62">
        <f t="shared" si="5104"/>
        <v>4569</v>
      </c>
      <c r="AL461" s="62">
        <f t="shared" ref="AL461:AM461" si="5105">SUM(AL454:AL460)</f>
        <v>5381</v>
      </c>
      <c r="AM461" s="62">
        <f t="shared" si="5105"/>
        <v>4577</v>
      </c>
      <c r="AN461" s="62">
        <f t="shared" ref="AN461:AO461" si="5106">SUM(AN454:AN460)</f>
        <v>3974</v>
      </c>
      <c r="AO461" s="62">
        <f t="shared" si="5106"/>
        <v>4395</v>
      </c>
      <c r="AP461" s="62">
        <f t="shared" ref="AP461:AQ461" si="5107">SUM(AP454:AP460)</f>
        <v>3941</v>
      </c>
      <c r="AQ461" s="62">
        <f t="shared" si="5107"/>
        <v>4455</v>
      </c>
      <c r="AR461" s="62">
        <f t="shared" ref="AR461:AS461" si="5108">SUM(AR454:AR460)</f>
        <v>4157</v>
      </c>
      <c r="AS461" s="62">
        <f t="shared" si="5108"/>
        <v>4811</v>
      </c>
      <c r="AT461" s="62">
        <f t="shared" ref="AT461:AU461" si="5109">SUM(AT454:AT460)</f>
        <v>5543</v>
      </c>
      <c r="AU461" s="62">
        <f t="shared" si="5109"/>
        <v>5223</v>
      </c>
      <c r="AV461" s="62">
        <f t="shared" ref="AV461:AW461" si="5110">SUM(AV454:AV460)</f>
        <v>5132</v>
      </c>
      <c r="AW461" s="62">
        <f t="shared" si="5110"/>
        <v>4936</v>
      </c>
      <c r="AX461" s="62">
        <f t="shared" ref="AX461:AY461" si="5111">SUM(AX454:AX460)</f>
        <v>5253</v>
      </c>
      <c r="AY461" s="220">
        <f t="shared" si="5111"/>
        <v>3766</v>
      </c>
      <c r="AZ461" s="62">
        <f t="shared" ref="AZ461:BA461" si="5112">SUM(AZ454:AZ460)</f>
        <v>5784.0588614557664</v>
      </c>
      <c r="BA461" s="62">
        <f t="shared" si="5112"/>
        <v>5775.4084960975924</v>
      </c>
      <c r="BB461" s="62">
        <f t="shared" ref="BB461:BC461" si="5113">SUM(BB454:BB460)</f>
        <v>6094.3227195966701</v>
      </c>
      <c r="BC461" s="62">
        <f t="shared" si="5113"/>
        <v>5716.9546802614768</v>
      </c>
      <c r="BD461" s="62">
        <f t="shared" ref="BD461:BE461" si="5114">SUM(BD454:BD460)</f>
        <v>6331.1104232742382</v>
      </c>
      <c r="BE461" s="62">
        <f t="shared" si="5114"/>
        <v>5887.1019437068153</v>
      </c>
      <c r="BF461" s="62">
        <f t="shared" ref="BF461:BG461" si="5115">SUM(BF454:BF460)</f>
        <v>6454.1451115318396</v>
      </c>
      <c r="BG461" s="62">
        <f t="shared" si="5115"/>
        <v>6096.5230490718277</v>
      </c>
      <c r="BH461" s="62">
        <f t="shared" ref="BH461:BI461" si="5116">SUM(BH454:BH460)</f>
        <v>6613.8806662746983</v>
      </c>
      <c r="BI461" s="62">
        <f t="shared" si="5116"/>
        <v>6220.1571894850722</v>
      </c>
      <c r="BJ461" s="62">
        <f t="shared" ref="BJ461:BK461" si="5117">SUM(BJ454:BJ460)</f>
        <v>6658.3058633728779</v>
      </c>
      <c r="BK461" s="62">
        <f t="shared" si="5117"/>
        <v>6556.4135593666206</v>
      </c>
      <c r="BL461" s="62">
        <f t="shared" ref="BL461:BM461" si="5118">SUM(BL454:BL460)</f>
        <v>6907.0290821660165</v>
      </c>
      <c r="BM461" s="62">
        <f t="shared" si="5118"/>
        <v>6713.2288545836645</v>
      </c>
      <c r="BN461" s="62">
        <f t="shared" ref="BN461:BO461" si="5119">SUM(BN454:BN460)</f>
        <v>7073.6271297718467</v>
      </c>
      <c r="BO461" s="62">
        <f t="shared" si="5119"/>
        <v>6942.7070677656384</v>
      </c>
      <c r="BP461" s="62">
        <f t="shared" ref="BP461:BQ461" si="5120">SUM(BP454:BP460)</f>
        <v>7311.262216084142</v>
      </c>
      <c r="BQ461" s="62">
        <f t="shared" si="5120"/>
        <v>7187.362668067768</v>
      </c>
      <c r="BR461" s="62"/>
      <c r="BS461" s="62">
        <f t="shared" ref="BS461:CB461" si="5121">SUM(BS454:BS460)</f>
        <v>1217.5</v>
      </c>
      <c r="BT461" s="62">
        <f t="shared" si="5121"/>
        <v>1294</v>
      </c>
      <c r="BU461" s="62">
        <f t="shared" si="5121"/>
        <v>1586</v>
      </c>
      <c r="BV461" s="62">
        <f t="shared" si="5121"/>
        <v>1722</v>
      </c>
      <c r="BW461" s="62">
        <f t="shared" si="5121"/>
        <v>1769</v>
      </c>
      <c r="BX461" s="62">
        <f t="shared" si="5121"/>
        <v>2045</v>
      </c>
      <c r="BY461" s="62">
        <f t="shared" si="5121"/>
        <v>2247</v>
      </c>
      <c r="BZ461" s="62">
        <f t="shared" si="5121"/>
        <v>2732</v>
      </c>
      <c r="CA461" s="62">
        <f t="shared" si="5121"/>
        <v>3082</v>
      </c>
      <c r="CB461" s="62">
        <f t="shared" si="5121"/>
        <v>3331</v>
      </c>
      <c r="CC461" s="62">
        <f t="shared" ref="CC461:CP461" si="5122">SUM(CC454:CC460)</f>
        <v>3661</v>
      </c>
      <c r="CD461" s="62">
        <f t="shared" si="5122"/>
        <v>3891.0000000000005</v>
      </c>
      <c r="CE461" s="62">
        <f t="shared" si="5122"/>
        <v>4514</v>
      </c>
      <c r="CF461" s="62">
        <f t="shared" si="5122"/>
        <v>4965.9999999999991</v>
      </c>
      <c r="CG461" s="62">
        <f t="shared" si="5122"/>
        <v>5484</v>
      </c>
      <c r="CH461" s="62">
        <f t="shared" si="5122"/>
        <v>6068.9999999999991</v>
      </c>
      <c r="CI461" s="62">
        <f t="shared" si="5122"/>
        <v>6888.9999999999991</v>
      </c>
      <c r="CJ461" s="62">
        <f>SUM(CJ454:CJ460)</f>
        <v>8299</v>
      </c>
      <c r="CK461" s="62">
        <f t="shared" si="5122"/>
        <v>8811</v>
      </c>
      <c r="CL461" s="62">
        <f t="shared" si="5122"/>
        <v>8862</v>
      </c>
      <c r="CM461" s="62">
        <f t="shared" si="5122"/>
        <v>9329</v>
      </c>
      <c r="CN461" s="62">
        <f t="shared" si="5122"/>
        <v>10134</v>
      </c>
      <c r="CO461" s="62">
        <f t="shared" si="5122"/>
        <v>10818</v>
      </c>
      <c r="CP461" s="62">
        <f t="shared" si="5122"/>
        <v>11159</v>
      </c>
      <c r="CQ461" s="62">
        <f t="shared" ref="CQ461:CX461" si="5123">SUM(CQ454:CQ460)</f>
        <v>10155</v>
      </c>
      <c r="CR461" s="62">
        <f t="shared" si="5123"/>
        <v>10849</v>
      </c>
      <c r="CS461" s="62">
        <f t="shared" si="5123"/>
        <v>9966</v>
      </c>
      <c r="CT461" s="62">
        <f t="shared" si="5123"/>
        <v>9958</v>
      </c>
      <c r="CU461" s="62">
        <f t="shared" si="5123"/>
        <v>8369</v>
      </c>
      <c r="CV461" s="62">
        <f t="shared" si="5123"/>
        <v>8396</v>
      </c>
      <c r="CW461" s="62">
        <f t="shared" si="5123"/>
        <v>8968</v>
      </c>
      <c r="CX461" s="62">
        <f t="shared" si="5123"/>
        <v>10766</v>
      </c>
      <c r="CY461" s="62">
        <f t="shared" ref="CY461:DD461" si="5124">SUM(CY454:CY460)</f>
        <v>10068</v>
      </c>
      <c r="CZ461" s="220">
        <f t="shared" si="5124"/>
        <v>9019</v>
      </c>
      <c r="DA461" s="62">
        <f t="shared" si="5124"/>
        <v>11559.46735755336</v>
      </c>
      <c r="DB461" s="62">
        <f t="shared" si="5124"/>
        <v>11811.277399858149</v>
      </c>
      <c r="DC461" s="62">
        <f t="shared" si="5124"/>
        <v>12218.212366981055</v>
      </c>
      <c r="DD461" s="62">
        <f t="shared" si="5124"/>
        <v>12550.668160603667</v>
      </c>
      <c r="DE461" s="62">
        <f t="shared" ref="DE461" si="5125">SUM(DE454:DE460)</f>
        <v>12834.037855759769</v>
      </c>
      <c r="DF461" s="62">
        <f t="shared" ref="DF461" si="5126">SUM(DF454:DF460)</f>
        <v>13214.719422739498</v>
      </c>
      <c r="DG461" s="62">
        <f>SUM(DG454:DG460)</f>
        <v>13620.25793674968</v>
      </c>
      <c r="DH461" s="62">
        <f>SUM(DH454:DH460)</f>
        <v>14016.334197537486</v>
      </c>
      <c r="DI461" s="62">
        <f>SUM(DI454:DI460)</f>
        <v>14498.624884151912</v>
      </c>
    </row>
    <row r="462" spans="1:113" ht="12" outlineLevel="2">
      <c r="A462" s="1" t="s">
        <v>98</v>
      </c>
      <c r="B462" s="15" t="s">
        <v>529</v>
      </c>
      <c r="C462" s="41">
        <f t="shared" ref="C462:L462" si="5127">C427+C450</f>
        <v>0</v>
      </c>
      <c r="D462" s="41">
        <f t="shared" si="5127"/>
        <v>248</v>
      </c>
      <c r="E462" s="41">
        <f t="shared" si="5127"/>
        <v>174</v>
      </c>
      <c r="F462" s="41">
        <f t="shared" si="5127"/>
        <v>0</v>
      </c>
      <c r="G462" s="41">
        <f t="shared" si="5127"/>
        <v>0</v>
      </c>
      <c r="H462" s="41">
        <f t="shared" si="5127"/>
        <v>112</v>
      </c>
      <c r="I462" s="41">
        <f t="shared" si="5127"/>
        <v>0</v>
      </c>
      <c r="J462" s="41">
        <f>J427+J450</f>
        <v>10</v>
      </c>
      <c r="K462" s="41">
        <f t="shared" si="5127"/>
        <v>2</v>
      </c>
      <c r="L462" s="41">
        <f t="shared" si="5127"/>
        <v>106</v>
      </c>
      <c r="M462" s="41">
        <f t="shared" ref="M462:T462" si="5128">M427+M450</f>
        <v>31</v>
      </c>
      <c r="N462" s="41">
        <f t="shared" si="5128"/>
        <v>232</v>
      </c>
      <c r="O462" s="41">
        <f t="shared" si="5128"/>
        <v>86</v>
      </c>
      <c r="P462" s="41">
        <f t="shared" si="5128"/>
        <v>112</v>
      </c>
      <c r="Q462" s="41">
        <f t="shared" si="5128"/>
        <v>-538</v>
      </c>
      <c r="R462" s="41">
        <f t="shared" si="5128"/>
        <v>-618</v>
      </c>
      <c r="S462" s="41">
        <f t="shared" si="5128"/>
        <v>-296</v>
      </c>
      <c r="T462" s="41">
        <f t="shared" si="5128"/>
        <v>-483</v>
      </c>
      <c r="U462" s="41">
        <f t="shared" ref="U462:AD462" si="5129">U427+U450</f>
        <v>60</v>
      </c>
      <c r="V462" s="41">
        <f t="shared" si="5129"/>
        <v>97</v>
      </c>
      <c r="W462" s="41">
        <f t="shared" si="5129"/>
        <v>-50</v>
      </c>
      <c r="X462" s="41">
        <f t="shared" si="5129"/>
        <v>97</v>
      </c>
      <c r="Y462" s="41">
        <f t="shared" si="5129"/>
        <v>-234</v>
      </c>
      <c r="Z462" s="41">
        <f t="shared" si="5129"/>
        <v>-156</v>
      </c>
      <c r="AA462" s="41">
        <f t="shared" si="5129"/>
        <v>224</v>
      </c>
      <c r="AB462" s="41">
        <f t="shared" ref="AB462" si="5130">AB427+AB450</f>
        <v>-134</v>
      </c>
      <c r="AC462" s="41">
        <f t="shared" si="5129"/>
        <v>610</v>
      </c>
      <c r="AD462" s="41">
        <f t="shared" si="5129"/>
        <v>45</v>
      </c>
      <c r="AE462" s="41">
        <f t="shared" ref="AE462:AF462" si="5131">AE427+AE450</f>
        <v>508</v>
      </c>
      <c r="AF462" s="41">
        <f t="shared" si="5131"/>
        <v>-51</v>
      </c>
      <c r="AG462" s="41">
        <f t="shared" ref="AG462:AH462" si="5132">AG427+AG450</f>
        <v>3</v>
      </c>
      <c r="AH462" s="41">
        <f t="shared" si="5132"/>
        <v>-224</v>
      </c>
      <c r="AI462" s="41">
        <f t="shared" ref="AI462:AJ462" si="5133">AI427+AI450</f>
        <v>200</v>
      </c>
      <c r="AJ462" s="41">
        <f t="shared" si="5133"/>
        <v>-105</v>
      </c>
      <c r="AK462" s="41">
        <f t="shared" ref="AK462:AL462" si="5134">AK427+AK450</f>
        <v>259</v>
      </c>
      <c r="AL462" s="41">
        <f t="shared" si="5134"/>
        <v>-532</v>
      </c>
      <c r="AM462" s="41">
        <f t="shared" ref="AM462:AN462" si="5135">AM427+AM450</f>
        <v>8</v>
      </c>
      <c r="AN462" s="41">
        <f t="shared" si="5135"/>
        <v>80</v>
      </c>
      <c r="AO462" s="41">
        <f t="shared" ref="AO462" si="5136">AO427+AO450</f>
        <v>-446</v>
      </c>
      <c r="AP462" s="41">
        <f t="shared" ref="AP462" si="5137">AP427+AP450</f>
        <v>-67</v>
      </c>
      <c r="AQ462" s="41">
        <f t="shared" ref="AQ462:AV462" si="5138">AQ427+AQ450</f>
        <v>29</v>
      </c>
      <c r="AR462" s="41">
        <f t="shared" si="5138"/>
        <v>594</v>
      </c>
      <c r="AS462" s="41">
        <f t="shared" si="5138"/>
        <v>285</v>
      </c>
      <c r="AT462" s="41">
        <f t="shared" si="5138"/>
        <v>-389</v>
      </c>
      <c r="AU462" s="41">
        <f t="shared" si="5138"/>
        <v>-45</v>
      </c>
      <c r="AV462" s="41">
        <f t="shared" si="5138"/>
        <v>-202</v>
      </c>
      <c r="AW462" s="41">
        <f t="shared" ref="AW462:AX462" si="5139">AW427+AW450</f>
        <v>-60</v>
      </c>
      <c r="AX462" s="41">
        <f t="shared" si="5139"/>
        <v>102</v>
      </c>
      <c r="AY462" s="211">
        <f t="shared" ref="AY462" si="5140">AY427+AY450</f>
        <v>42</v>
      </c>
      <c r="AZ462" s="41">
        <f t="shared" ref="AZ462:BA462" si="5141">AZ427+AZ450</f>
        <v>0</v>
      </c>
      <c r="BA462" s="41">
        <f t="shared" si="5141"/>
        <v>0</v>
      </c>
      <c r="BB462" s="41">
        <f t="shared" ref="BB462:BC462" si="5142">BB427+BB450</f>
        <v>0</v>
      </c>
      <c r="BC462" s="41">
        <f t="shared" si="5142"/>
        <v>0</v>
      </c>
      <c r="BD462" s="41">
        <f t="shared" ref="BD462:BE462" si="5143">BD427+BD450</f>
        <v>0</v>
      </c>
      <c r="BE462" s="41">
        <f t="shared" si="5143"/>
        <v>0</v>
      </c>
      <c r="BF462" s="41">
        <f t="shared" ref="BF462:BG462" si="5144">BF427+BF450</f>
        <v>0</v>
      </c>
      <c r="BG462" s="41">
        <f t="shared" si="5144"/>
        <v>0</v>
      </c>
      <c r="BH462" s="41">
        <f t="shared" ref="BH462:BI462" si="5145">BH427+BH450</f>
        <v>0</v>
      </c>
      <c r="BI462" s="41">
        <f t="shared" si="5145"/>
        <v>0</v>
      </c>
      <c r="BJ462" s="41">
        <f t="shared" ref="BJ462:BK462" si="5146">BJ427+BJ450</f>
        <v>0</v>
      </c>
      <c r="BK462" s="41">
        <f t="shared" si="5146"/>
        <v>0</v>
      </c>
      <c r="BL462" s="41">
        <f t="shared" ref="BL462:BM462" si="5147">BL427+BL450</f>
        <v>0</v>
      </c>
      <c r="BM462" s="41">
        <f t="shared" si="5147"/>
        <v>0</v>
      </c>
      <c r="BN462" s="41">
        <f t="shared" ref="BN462:BO462" si="5148">BN427+BN450</f>
        <v>0</v>
      </c>
      <c r="BO462" s="41">
        <f t="shared" si="5148"/>
        <v>0</v>
      </c>
      <c r="BP462" s="41">
        <f t="shared" ref="BP462:BQ462" si="5149">BP427+BP450</f>
        <v>0</v>
      </c>
      <c r="BQ462" s="41">
        <f t="shared" si="5149"/>
        <v>0</v>
      </c>
      <c r="BR462" s="41"/>
      <c r="BS462" s="41">
        <f t="shared" ref="BS462:CB462" si="5150">BS427+BS450</f>
        <v>11.699999999999818</v>
      </c>
      <c r="BT462" s="41">
        <f t="shared" si="5150"/>
        <v>-172.5</v>
      </c>
      <c r="BU462" s="41">
        <f t="shared" si="5150"/>
        <v>21</v>
      </c>
      <c r="BV462" s="41">
        <f t="shared" si="5150"/>
        <v>0</v>
      </c>
      <c r="BW462" s="41">
        <f t="shared" si="5150"/>
        <v>0</v>
      </c>
      <c r="BX462" s="41">
        <f t="shared" si="5150"/>
        <v>-182</v>
      </c>
      <c r="BY462" s="41">
        <f t="shared" si="5150"/>
        <v>-102</v>
      </c>
      <c r="BZ462" s="41">
        <f t="shared" si="5150"/>
        <v>0</v>
      </c>
      <c r="CA462" s="41">
        <f t="shared" si="5150"/>
        <v>209</v>
      </c>
      <c r="CB462" s="41">
        <f t="shared" si="5150"/>
        <v>-17</v>
      </c>
      <c r="CC462" s="41">
        <f t="shared" ref="CC462:CO462" si="5151">CC427+CC450</f>
        <v>422</v>
      </c>
      <c r="CD462" s="41">
        <f t="shared" si="5151"/>
        <v>0</v>
      </c>
      <c r="CE462" s="41">
        <f t="shared" si="5151"/>
        <v>112</v>
      </c>
      <c r="CF462" s="41">
        <f t="shared" si="5151"/>
        <v>12</v>
      </c>
      <c r="CG462" s="41">
        <f t="shared" si="5151"/>
        <v>137</v>
      </c>
      <c r="CH462" s="41">
        <f t="shared" si="5151"/>
        <v>318</v>
      </c>
      <c r="CI462" s="41">
        <f t="shared" si="5151"/>
        <v>-426</v>
      </c>
      <c r="CJ462" s="41">
        <f t="shared" si="5151"/>
        <v>-914</v>
      </c>
      <c r="CK462" s="41">
        <f t="shared" si="5151"/>
        <v>-423</v>
      </c>
      <c r="CL462" s="41">
        <f t="shared" si="5151"/>
        <v>47</v>
      </c>
      <c r="CM462" s="41">
        <f t="shared" si="5151"/>
        <v>-137</v>
      </c>
      <c r="CN462" s="41">
        <f t="shared" si="5151"/>
        <v>68</v>
      </c>
      <c r="CO462" s="41">
        <f t="shared" si="5151"/>
        <v>476</v>
      </c>
      <c r="CP462" s="41">
        <f t="shared" ref="CP462:CX462" si="5152">CP427+CP450</f>
        <v>553</v>
      </c>
      <c r="CQ462" s="41">
        <f t="shared" si="5152"/>
        <v>-48</v>
      </c>
      <c r="CR462" s="41">
        <f t="shared" si="5152"/>
        <v>-24</v>
      </c>
      <c r="CS462" s="41">
        <f t="shared" si="5152"/>
        <v>154</v>
      </c>
      <c r="CT462" s="41">
        <f t="shared" si="5152"/>
        <v>-524</v>
      </c>
      <c r="CU462" s="41">
        <f t="shared" si="5152"/>
        <v>-366</v>
      </c>
      <c r="CV462" s="41">
        <f t="shared" si="5152"/>
        <v>-38</v>
      </c>
      <c r="CW462" s="41">
        <f t="shared" si="5152"/>
        <v>879</v>
      </c>
      <c r="CX462" s="41">
        <f t="shared" si="5152"/>
        <v>-434</v>
      </c>
      <c r="CY462" s="41">
        <f t="shared" ref="CY462:DD462" si="5153">CY427+CY450</f>
        <v>-262</v>
      </c>
      <c r="CZ462" s="211">
        <f t="shared" si="5153"/>
        <v>144</v>
      </c>
      <c r="DA462" s="41">
        <f t="shared" si="5153"/>
        <v>0</v>
      </c>
      <c r="DB462" s="41">
        <f t="shared" si="5153"/>
        <v>0</v>
      </c>
      <c r="DC462" s="41">
        <f t="shared" si="5153"/>
        <v>0</v>
      </c>
      <c r="DD462" s="41">
        <f t="shared" si="5153"/>
        <v>0</v>
      </c>
      <c r="DE462" s="41">
        <f t="shared" ref="DE462" si="5154">DE427+DE450</f>
        <v>0</v>
      </c>
      <c r="DF462" s="41">
        <f t="shared" ref="DF462" si="5155">DF427+DF450</f>
        <v>0</v>
      </c>
      <c r="DG462" s="41">
        <f>DG427+DG450</f>
        <v>0</v>
      </c>
      <c r="DH462" s="41">
        <f>DH427+DH450</f>
        <v>0</v>
      </c>
      <c r="DI462" s="41">
        <f>DI427+DI450</f>
        <v>0</v>
      </c>
    </row>
    <row r="463" spans="1:113" s="17" customFormat="1" ht="12" outlineLevel="2">
      <c r="A463" s="1" t="s">
        <v>99</v>
      </c>
      <c r="B463" s="17" t="s">
        <v>478</v>
      </c>
      <c r="C463" s="62">
        <f>C461+C462</f>
        <v>1734</v>
      </c>
      <c r="D463" s="62">
        <f>D461+D462</f>
        <v>2044</v>
      </c>
      <c r="E463" s="62">
        <f t="shared" ref="E463:L463" si="5156">E461+E462</f>
        <v>2038.9999999999998</v>
      </c>
      <c r="F463" s="62">
        <f t="shared" si="5156"/>
        <v>1890.0000000000002</v>
      </c>
      <c r="G463" s="62">
        <f t="shared" si="5156"/>
        <v>2001</v>
      </c>
      <c r="H463" s="62">
        <f t="shared" si="5156"/>
        <v>2290</v>
      </c>
      <c r="I463" s="62">
        <f t="shared" si="5156"/>
        <v>2336.0000000000009</v>
      </c>
      <c r="J463" s="62">
        <f t="shared" si="5156"/>
        <v>2430.0000000000005</v>
      </c>
      <c r="K463" s="62">
        <f t="shared" si="5156"/>
        <v>2547.9999999999995</v>
      </c>
      <c r="L463" s="62">
        <f t="shared" si="5156"/>
        <v>2777.9999999999995</v>
      </c>
      <c r="M463" s="62">
        <f t="shared" ref="M463:AD463" si="5157">M461+M462</f>
        <v>2843</v>
      </c>
      <c r="N463" s="62">
        <f t="shared" si="5157"/>
        <v>3226.9999999999995</v>
      </c>
      <c r="O463" s="62">
        <f t="shared" si="5157"/>
        <v>3160</v>
      </c>
      <c r="P463" s="62">
        <f t="shared" si="5157"/>
        <v>3437.0000000000005</v>
      </c>
      <c r="Q463" s="62">
        <f t="shared" si="5157"/>
        <v>3026.0000000000005</v>
      </c>
      <c r="R463" s="62">
        <f t="shared" si="5157"/>
        <v>3477</v>
      </c>
      <c r="S463" s="62">
        <f t="shared" si="5157"/>
        <v>3908</v>
      </c>
      <c r="T463" s="62">
        <f t="shared" si="5157"/>
        <v>3835</v>
      </c>
      <c r="U463" s="62">
        <f t="shared" si="5157"/>
        <v>4553</v>
      </c>
      <c r="V463" s="62">
        <f t="shared" si="5157"/>
        <v>4579</v>
      </c>
      <c r="W463" s="62">
        <f t="shared" si="5157"/>
        <v>4330</v>
      </c>
      <c r="X463" s="62">
        <f t="shared" si="5157"/>
        <v>4684</v>
      </c>
      <c r="Y463" s="62">
        <f t="shared" si="5157"/>
        <v>4508</v>
      </c>
      <c r="Z463" s="62">
        <f t="shared" si="5157"/>
        <v>4892</v>
      </c>
      <c r="AA463" s="62">
        <f t="shared" si="5157"/>
        <v>5310</v>
      </c>
      <c r="AB463" s="62">
        <f t="shared" ref="AB463" si="5158">AB461+AB462</f>
        <v>5248</v>
      </c>
      <c r="AC463" s="62">
        <f t="shared" si="5157"/>
        <v>6046</v>
      </c>
      <c r="AD463" s="62">
        <f t="shared" si="5157"/>
        <v>5637</v>
      </c>
      <c r="AE463" s="62">
        <f t="shared" ref="AE463:AF463" si="5159">AE461+AE462</f>
        <v>6075</v>
      </c>
      <c r="AF463" s="62">
        <f t="shared" si="5159"/>
        <v>4786</v>
      </c>
      <c r="AG463" s="62">
        <f t="shared" ref="AG463:AH463" si="5160">AG461+AG462</f>
        <v>5321</v>
      </c>
      <c r="AH463" s="62">
        <f t="shared" si="5160"/>
        <v>5265</v>
      </c>
      <c r="AI463" s="62">
        <f t="shared" ref="AI463:AJ463" si="5161">AI461+AI462</f>
        <v>5560</v>
      </c>
      <c r="AJ463" s="62">
        <f t="shared" si="5161"/>
        <v>5292</v>
      </c>
      <c r="AK463" s="62">
        <f t="shared" ref="AK463:AL463" si="5162">AK461+AK462</f>
        <v>4828</v>
      </c>
      <c r="AL463" s="62">
        <f t="shared" si="5162"/>
        <v>4849</v>
      </c>
      <c r="AM463" s="62">
        <f t="shared" ref="AM463:AN463" si="5163">AM461+AM462</f>
        <v>4585</v>
      </c>
      <c r="AN463" s="62">
        <f t="shared" si="5163"/>
        <v>4054</v>
      </c>
      <c r="AO463" s="62">
        <f t="shared" ref="AO463" si="5164">AO461+AO462</f>
        <v>3949</v>
      </c>
      <c r="AP463" s="62">
        <f t="shared" ref="AP463:AQ463" si="5165">AP461+AP462</f>
        <v>3874</v>
      </c>
      <c r="AQ463" s="62">
        <f t="shared" si="5165"/>
        <v>4484</v>
      </c>
      <c r="AR463" s="62">
        <f t="shared" ref="AR463:AS463" si="5166">AR461+AR462</f>
        <v>4751</v>
      </c>
      <c r="AS463" s="62">
        <f t="shared" si="5166"/>
        <v>5096</v>
      </c>
      <c r="AT463" s="62">
        <f t="shared" ref="AT463:AU463" si="5167">AT461+AT462</f>
        <v>5154</v>
      </c>
      <c r="AU463" s="62">
        <f t="shared" si="5167"/>
        <v>5178</v>
      </c>
      <c r="AV463" s="62">
        <f t="shared" ref="AV463:AW463" si="5168">AV461+AV462</f>
        <v>4930</v>
      </c>
      <c r="AW463" s="62">
        <f t="shared" si="5168"/>
        <v>4876</v>
      </c>
      <c r="AX463" s="62">
        <f t="shared" ref="AX463:AY463" si="5169">AX461+AX462</f>
        <v>5355</v>
      </c>
      <c r="AY463" s="220">
        <f t="shared" si="5169"/>
        <v>3808</v>
      </c>
      <c r="AZ463" s="62">
        <f t="shared" ref="AZ463:BA463" si="5170">AZ461+AZ462</f>
        <v>5784.0588614557664</v>
      </c>
      <c r="BA463" s="62">
        <f t="shared" si="5170"/>
        <v>5775.4084960975924</v>
      </c>
      <c r="BB463" s="62">
        <f t="shared" ref="BB463:BC463" si="5171">BB461+BB462</f>
        <v>6094.3227195966701</v>
      </c>
      <c r="BC463" s="62">
        <f t="shared" si="5171"/>
        <v>5716.9546802614768</v>
      </c>
      <c r="BD463" s="62">
        <f t="shared" ref="BD463:BE463" si="5172">BD461+BD462</f>
        <v>6331.1104232742382</v>
      </c>
      <c r="BE463" s="62">
        <f t="shared" si="5172"/>
        <v>5887.1019437068153</v>
      </c>
      <c r="BF463" s="62">
        <f t="shared" ref="BF463:BG463" si="5173">BF461+BF462</f>
        <v>6454.1451115318396</v>
      </c>
      <c r="BG463" s="62">
        <f t="shared" si="5173"/>
        <v>6096.5230490718277</v>
      </c>
      <c r="BH463" s="62">
        <f t="shared" ref="BH463:BI463" si="5174">BH461+BH462</f>
        <v>6613.8806662746983</v>
      </c>
      <c r="BI463" s="62">
        <f t="shared" si="5174"/>
        <v>6220.1571894850722</v>
      </c>
      <c r="BJ463" s="62">
        <f t="shared" ref="BJ463:BK463" si="5175">BJ461+BJ462</f>
        <v>6658.3058633728779</v>
      </c>
      <c r="BK463" s="62">
        <f t="shared" si="5175"/>
        <v>6556.4135593666206</v>
      </c>
      <c r="BL463" s="62">
        <f t="shared" ref="BL463:BM463" si="5176">BL461+BL462</f>
        <v>6907.0290821660165</v>
      </c>
      <c r="BM463" s="62">
        <f t="shared" si="5176"/>
        <v>6713.2288545836645</v>
      </c>
      <c r="BN463" s="62">
        <f t="shared" ref="BN463:BO463" si="5177">BN461+BN462</f>
        <v>7073.6271297718467</v>
      </c>
      <c r="BO463" s="62">
        <f t="shared" si="5177"/>
        <v>6942.7070677656384</v>
      </c>
      <c r="BP463" s="62">
        <f t="shared" ref="BP463:BQ463" si="5178">BP461+BP462</f>
        <v>7311.262216084142</v>
      </c>
      <c r="BQ463" s="62">
        <f t="shared" si="5178"/>
        <v>7187.362668067768</v>
      </c>
      <c r="BR463" s="62"/>
      <c r="BS463" s="62">
        <f t="shared" ref="BS463:CB463" si="5179">BS461+BS462</f>
        <v>1229.1999999999998</v>
      </c>
      <c r="BT463" s="62">
        <f t="shared" si="5179"/>
        <v>1121.5</v>
      </c>
      <c r="BU463" s="62">
        <f t="shared" si="5179"/>
        <v>1607</v>
      </c>
      <c r="BV463" s="62">
        <f t="shared" si="5179"/>
        <v>1722</v>
      </c>
      <c r="BW463" s="62">
        <f t="shared" si="5179"/>
        <v>1769</v>
      </c>
      <c r="BX463" s="62">
        <f t="shared" si="5179"/>
        <v>1863</v>
      </c>
      <c r="BY463" s="62">
        <f t="shared" si="5179"/>
        <v>2145</v>
      </c>
      <c r="BZ463" s="62">
        <f t="shared" si="5179"/>
        <v>2732</v>
      </c>
      <c r="CA463" s="62">
        <f t="shared" si="5179"/>
        <v>3291</v>
      </c>
      <c r="CB463" s="62">
        <f t="shared" si="5179"/>
        <v>3314</v>
      </c>
      <c r="CC463" s="62">
        <f t="shared" ref="CC463:CP463" si="5180">CC461+CC462</f>
        <v>4083</v>
      </c>
      <c r="CD463" s="62">
        <f t="shared" si="5180"/>
        <v>3891.0000000000005</v>
      </c>
      <c r="CE463" s="62">
        <f t="shared" si="5180"/>
        <v>4626</v>
      </c>
      <c r="CF463" s="62">
        <f t="shared" si="5180"/>
        <v>4977.9999999999991</v>
      </c>
      <c r="CG463" s="62">
        <f t="shared" si="5180"/>
        <v>5621</v>
      </c>
      <c r="CH463" s="62">
        <f t="shared" si="5180"/>
        <v>6386.9999999999991</v>
      </c>
      <c r="CI463" s="62">
        <f t="shared" si="5180"/>
        <v>6462.9999999999991</v>
      </c>
      <c r="CJ463" s="62">
        <f>CJ461+CJ462</f>
        <v>7385</v>
      </c>
      <c r="CK463" s="62">
        <f t="shared" si="5180"/>
        <v>8388</v>
      </c>
      <c r="CL463" s="62">
        <f t="shared" si="5180"/>
        <v>8909</v>
      </c>
      <c r="CM463" s="62">
        <f t="shared" si="5180"/>
        <v>9192</v>
      </c>
      <c r="CN463" s="62">
        <f t="shared" si="5180"/>
        <v>10202</v>
      </c>
      <c r="CO463" s="62">
        <f t="shared" si="5180"/>
        <v>11294</v>
      </c>
      <c r="CP463" s="62">
        <f t="shared" si="5180"/>
        <v>11712</v>
      </c>
      <c r="CQ463" s="62">
        <f t="shared" ref="CQ463:CX463" si="5181">CQ461+CQ462</f>
        <v>10107</v>
      </c>
      <c r="CR463" s="62">
        <f t="shared" si="5181"/>
        <v>10825</v>
      </c>
      <c r="CS463" s="62">
        <f t="shared" si="5181"/>
        <v>10120</v>
      </c>
      <c r="CT463" s="62">
        <f t="shared" si="5181"/>
        <v>9434</v>
      </c>
      <c r="CU463" s="62">
        <f t="shared" si="5181"/>
        <v>8003</v>
      </c>
      <c r="CV463" s="62">
        <f t="shared" si="5181"/>
        <v>8358</v>
      </c>
      <c r="CW463" s="62">
        <f t="shared" si="5181"/>
        <v>9847</v>
      </c>
      <c r="CX463" s="62">
        <f t="shared" si="5181"/>
        <v>10332</v>
      </c>
      <c r="CY463" s="62">
        <f t="shared" ref="CY463:DD463" si="5182">CY461+CY462</f>
        <v>9806</v>
      </c>
      <c r="CZ463" s="220">
        <f t="shared" si="5182"/>
        <v>9163</v>
      </c>
      <c r="DA463" s="62">
        <f t="shared" si="5182"/>
        <v>11559.46735755336</v>
      </c>
      <c r="DB463" s="62">
        <f t="shared" si="5182"/>
        <v>11811.277399858149</v>
      </c>
      <c r="DC463" s="62">
        <f t="shared" si="5182"/>
        <v>12218.212366981055</v>
      </c>
      <c r="DD463" s="62">
        <f t="shared" si="5182"/>
        <v>12550.668160603667</v>
      </c>
      <c r="DE463" s="62">
        <f t="shared" ref="DE463" si="5183">DE461+DE462</f>
        <v>12834.037855759769</v>
      </c>
      <c r="DF463" s="62">
        <f t="shared" ref="DF463" si="5184">DF461+DF462</f>
        <v>13214.719422739498</v>
      </c>
      <c r="DG463" s="62">
        <f>DG461+DG462</f>
        <v>13620.25793674968</v>
      </c>
      <c r="DH463" s="62">
        <f>DH461+DH462</f>
        <v>14016.334197537486</v>
      </c>
      <c r="DI463" s="62">
        <f>DI461+DI462</f>
        <v>14498.624884151912</v>
      </c>
    </row>
    <row r="464" spans="1:113" ht="12">
      <c r="C464" s="41"/>
      <c r="D464" s="41"/>
      <c r="E464" s="41"/>
      <c r="F464" s="41"/>
      <c r="G464" s="41"/>
      <c r="H464" s="41"/>
      <c r="I464" s="41"/>
      <c r="J464" s="41"/>
      <c r="K464" s="41"/>
      <c r="L464" s="41"/>
      <c r="M464" s="41"/>
      <c r="N464" s="41"/>
      <c r="O464" s="41"/>
      <c r="P464" s="41"/>
      <c r="Q464" s="41"/>
      <c r="R464" s="41"/>
      <c r="S464" s="41"/>
      <c r="T464" s="41"/>
      <c r="U464" s="41"/>
      <c r="V464" s="41"/>
      <c r="W464" s="41"/>
      <c r="X464" s="41"/>
      <c r="Y464" s="41"/>
      <c r="Z464" s="41"/>
      <c r="AA464" s="41"/>
      <c r="AB464" s="41"/>
      <c r="AC464" s="41"/>
      <c r="AD464" s="41"/>
      <c r="AE464" s="41"/>
      <c r="AF464" s="41"/>
      <c r="AG464" s="41"/>
      <c r="AH464" s="41"/>
      <c r="AI464" s="41"/>
      <c r="AJ464" s="41"/>
      <c r="AK464" s="41"/>
      <c r="AL464" s="41"/>
      <c r="AM464" s="41"/>
      <c r="AN464" s="41"/>
      <c r="AO464" s="41"/>
      <c r="AP464" s="41"/>
      <c r="AQ464" s="41"/>
      <c r="AR464" s="41"/>
      <c r="AS464" s="41"/>
      <c r="AT464" s="41"/>
      <c r="AU464" s="41"/>
      <c r="AV464" s="41"/>
      <c r="AW464" s="41"/>
      <c r="AX464" s="41"/>
      <c r="AY464" s="211"/>
      <c r="AZ464" s="41"/>
      <c r="BA464" s="41"/>
      <c r="BB464" s="41"/>
      <c r="BC464" s="41"/>
      <c r="BD464" s="41"/>
      <c r="BE464" s="41"/>
      <c r="BF464" s="41"/>
      <c r="BG464" s="41"/>
      <c r="BH464" s="41"/>
      <c r="BI464" s="41"/>
      <c r="BJ464" s="41"/>
      <c r="BK464" s="41"/>
      <c r="BL464" s="41"/>
      <c r="BM464" s="41"/>
      <c r="BN464" s="41"/>
      <c r="BO464" s="41"/>
      <c r="BP464" s="41"/>
      <c r="BQ464" s="41"/>
      <c r="BR464" s="41"/>
      <c r="BS464" s="41"/>
      <c r="BT464" s="41"/>
      <c r="BU464" s="41"/>
      <c r="BV464" s="41"/>
      <c r="BW464" s="41"/>
      <c r="BX464" s="41"/>
      <c r="BY464" s="41"/>
      <c r="BZ464" s="41"/>
      <c r="CA464" s="41"/>
      <c r="CB464" s="41"/>
      <c r="CC464" s="41"/>
      <c r="CD464" s="41"/>
      <c r="CE464" s="41"/>
      <c r="CF464" s="41"/>
      <c r="CG464" s="41"/>
      <c r="CH464" s="41"/>
      <c r="CI464" s="41"/>
      <c r="CJ464" s="41"/>
      <c r="CK464" s="41"/>
      <c r="CL464" s="41"/>
      <c r="CM464" s="41"/>
      <c r="CN464" s="41"/>
      <c r="CO464" s="41"/>
      <c r="CP464" s="32"/>
      <c r="CQ464" s="41"/>
      <c r="CR464" s="41"/>
      <c r="CS464" s="41"/>
      <c r="CT464" s="41"/>
      <c r="CU464" s="41"/>
      <c r="CV464" s="41"/>
      <c r="CW464" s="41"/>
      <c r="CX464" s="41"/>
      <c r="CY464" s="41"/>
      <c r="CZ464" s="211"/>
      <c r="DA464" s="41"/>
      <c r="DB464" s="41"/>
      <c r="DC464" s="41"/>
      <c r="DD464" s="41"/>
      <c r="DE464" s="41"/>
      <c r="DF464" s="41"/>
      <c r="DG464" s="41"/>
      <c r="DH464" s="41"/>
      <c r="DI464" s="41"/>
    </row>
    <row r="465" spans="1:113" s="26" customFormat="1" ht="12" collapsed="1">
      <c r="A465" s="1" t="s">
        <v>682</v>
      </c>
      <c r="B465" s="2" t="s">
        <v>479</v>
      </c>
      <c r="C465" s="60">
        <f>C472</f>
        <v>-290</v>
      </c>
      <c r="D465" s="60">
        <f>D472</f>
        <v>-301</v>
      </c>
      <c r="E465" s="60">
        <f>E472</f>
        <v>-309</v>
      </c>
      <c r="F465" s="60">
        <f t="shared" ref="F465:L465" si="5185">F472</f>
        <v>-303</v>
      </c>
      <c r="G465" s="60">
        <f t="shared" si="5185"/>
        <v>-311</v>
      </c>
      <c r="H465" s="60">
        <f t="shared" si="5185"/>
        <v>-313</v>
      </c>
      <c r="I465" s="60">
        <f t="shared" si="5185"/>
        <v>-319</v>
      </c>
      <c r="J465" s="60">
        <f t="shared" si="5185"/>
        <v>-240</v>
      </c>
      <c r="K465" s="60">
        <f t="shared" si="5185"/>
        <v>-325</v>
      </c>
      <c r="L465" s="60">
        <f t="shared" si="5185"/>
        <v>-224</v>
      </c>
      <c r="M465" s="60">
        <f t="shared" ref="M465:AD465" si="5186">M472</f>
        <v>-183</v>
      </c>
      <c r="N465" s="60">
        <f t="shared" si="5186"/>
        <v>-240</v>
      </c>
      <c r="O465" s="60">
        <f t="shared" si="5186"/>
        <v>-282</v>
      </c>
      <c r="P465" s="60">
        <f t="shared" si="5186"/>
        <v>-726</v>
      </c>
      <c r="Q465" s="60">
        <f t="shared" si="5186"/>
        <v>-1378</v>
      </c>
      <c r="R465" s="60">
        <f t="shared" si="5186"/>
        <v>-1465</v>
      </c>
      <c r="S465" s="60">
        <f t="shared" si="5186"/>
        <v>-1622</v>
      </c>
      <c r="T465" s="60">
        <f t="shared" si="5186"/>
        <v>-1099</v>
      </c>
      <c r="U465" s="60">
        <f t="shared" si="5186"/>
        <v>-722</v>
      </c>
      <c r="V465" s="60">
        <f t="shared" si="5186"/>
        <v>-660</v>
      </c>
      <c r="W465" s="60">
        <f t="shared" si="5186"/>
        <v>-560</v>
      </c>
      <c r="X465" s="60">
        <f t="shared" si="5186"/>
        <v>-570</v>
      </c>
      <c r="Y465" s="60">
        <f>Y472</f>
        <v>-688</v>
      </c>
      <c r="Z465" s="60">
        <f t="shared" si="5186"/>
        <v>-599</v>
      </c>
      <c r="AA465" s="60">
        <f t="shared" si="5186"/>
        <v>-598</v>
      </c>
      <c r="AB465" s="60">
        <f t="shared" si="5186"/>
        <v>-528</v>
      </c>
      <c r="AC465" s="60">
        <f t="shared" si="5186"/>
        <v>-461</v>
      </c>
      <c r="AD465" s="60">
        <f t="shared" si="5186"/>
        <v>-510</v>
      </c>
      <c r="AE465" s="60">
        <f t="shared" ref="AE465:AF465" si="5187">AE472</f>
        <v>-695</v>
      </c>
      <c r="AF465" s="60">
        <f t="shared" si="5187"/>
        <v>-918</v>
      </c>
      <c r="AG465" s="60">
        <f t="shared" ref="AG465:AH465" si="5188">AG472</f>
        <v>-1038</v>
      </c>
      <c r="AH465" s="60">
        <f t="shared" si="5188"/>
        <v>-720</v>
      </c>
      <c r="AI465" s="60">
        <f t="shared" ref="AI465:AJ465" si="5189">AI472</f>
        <v>-479</v>
      </c>
      <c r="AJ465" s="60">
        <f t="shared" si="5189"/>
        <v>-408</v>
      </c>
      <c r="AK465" s="60">
        <f t="shared" ref="AK465:AP465" si="5190">AK472</f>
        <v>-280</v>
      </c>
      <c r="AL465" s="60">
        <f t="shared" si="5190"/>
        <v>-393</v>
      </c>
      <c r="AM465" s="60">
        <f t="shared" si="5190"/>
        <v>-402</v>
      </c>
      <c r="AN465" s="60">
        <f t="shared" si="5190"/>
        <v>-1674</v>
      </c>
      <c r="AO465" s="60">
        <f t="shared" si="5190"/>
        <v>-1064</v>
      </c>
      <c r="AP465" s="60">
        <f t="shared" si="5190"/>
        <v>491</v>
      </c>
      <c r="AQ465" s="60">
        <f t="shared" ref="AQ465:AR465" si="5191">AQ472</f>
        <v>76</v>
      </c>
      <c r="AR465" s="60">
        <f t="shared" si="5191"/>
        <v>284</v>
      </c>
      <c r="AS465" s="60">
        <f t="shared" ref="AS465:AT465" si="5192">AS472</f>
        <v>-52</v>
      </c>
      <c r="AT465" s="60">
        <f t="shared" si="5192"/>
        <v>-133</v>
      </c>
      <c r="AU465" s="60">
        <f t="shared" ref="AU465:AV465" si="5193">AU472</f>
        <v>-112</v>
      </c>
      <c r="AV465" s="60">
        <f t="shared" si="5193"/>
        <v>-70</v>
      </c>
      <c r="AW465" s="60">
        <f t="shared" ref="AW465:AX465" si="5194">AW472</f>
        <v>-336</v>
      </c>
      <c r="AX465" s="60">
        <f t="shared" si="5194"/>
        <v>-145</v>
      </c>
      <c r="AY465" s="219">
        <f t="shared" ref="AY465" si="5195">AY472</f>
        <v>-296</v>
      </c>
      <c r="AZ465" s="60">
        <f t="shared" ref="AZ465:BA465" si="5196">AZ472</f>
        <v>-315.8678176424711</v>
      </c>
      <c r="BA465" s="60">
        <f t="shared" si="5196"/>
        <v>-356.07823082477046</v>
      </c>
      <c r="BB465" s="60">
        <f t="shared" ref="BB465:BC465" si="5197">BB472</f>
        <v>-427.72863205069257</v>
      </c>
      <c r="BC465" s="60">
        <f t="shared" si="5197"/>
        <v>-534.19107553923209</v>
      </c>
      <c r="BD465" s="60">
        <f t="shared" ref="BD465:BE465" si="5198">BD472</f>
        <v>-529.99517101503318</v>
      </c>
      <c r="BE465" s="60">
        <f t="shared" si="5198"/>
        <v>-510.25994074499647</v>
      </c>
      <c r="BF465" s="60">
        <f t="shared" ref="BF465:BG465" si="5199">BF472</f>
        <v>-485.54714579794796</v>
      </c>
      <c r="BG465" s="60">
        <f t="shared" si="5199"/>
        <v>-466.53979881955439</v>
      </c>
      <c r="BH465" s="60">
        <f t="shared" ref="BH465:BI465" si="5200">BH472</f>
        <v>-500.5185726410823</v>
      </c>
      <c r="BI465" s="60">
        <f t="shared" si="5200"/>
        <v>-497.7997009460351</v>
      </c>
      <c r="BJ465" s="60">
        <f t="shared" ref="BJ465:BK465" si="5201">BJ472</f>
        <v>-339.49528212692508</v>
      </c>
      <c r="BK465" s="60">
        <f t="shared" si="5201"/>
        <v>-367.92022945396303</v>
      </c>
      <c r="BL465" s="60">
        <f t="shared" ref="BL465:BM465" si="5202">BL472</f>
        <v>-409.53317829099836</v>
      </c>
      <c r="BM465" s="60">
        <f t="shared" si="5202"/>
        <v>-470.58727237260905</v>
      </c>
      <c r="BN465" s="60">
        <f t="shared" ref="BN465:BO465" si="5203">BN472</f>
        <v>-546.51020343847154</v>
      </c>
      <c r="BO465" s="60">
        <f t="shared" si="5203"/>
        <v>-612.69213577501034</v>
      </c>
      <c r="BP465" s="60">
        <f t="shared" ref="BP465:BQ465" si="5204">BP472</f>
        <v>-675.72808775103431</v>
      </c>
      <c r="BQ465" s="60">
        <f t="shared" si="5204"/>
        <v>-691.97776031678177</v>
      </c>
      <c r="BR465" s="60"/>
      <c r="BS465" s="60">
        <f t="shared" ref="BS465:CB465" si="5205">BS472</f>
        <v>-1937</v>
      </c>
      <c r="BT465" s="60">
        <f t="shared" si="5205"/>
        <v>-634</v>
      </c>
      <c r="BU465" s="60">
        <f t="shared" si="5205"/>
        <v>-388</v>
      </c>
      <c r="BV465" s="60">
        <f t="shared" si="5205"/>
        <v>-237</v>
      </c>
      <c r="BW465" s="60">
        <f t="shared" si="5205"/>
        <v>-175</v>
      </c>
      <c r="BX465" s="60">
        <f t="shared" si="5205"/>
        <v>-400</v>
      </c>
      <c r="BY465" s="60">
        <f t="shared" si="5205"/>
        <v>-487</v>
      </c>
      <c r="BZ465" s="60">
        <f t="shared" si="5205"/>
        <v>-510</v>
      </c>
      <c r="CA465" s="60">
        <f t="shared" si="5205"/>
        <v>-502</v>
      </c>
      <c r="CB465" s="60">
        <f t="shared" si="5205"/>
        <v>-531</v>
      </c>
      <c r="CC465" s="60">
        <f t="shared" ref="CC465:CO465" si="5206">CC472</f>
        <v>-610</v>
      </c>
      <c r="CD465" s="60">
        <f t="shared" si="5206"/>
        <v>-614</v>
      </c>
      <c r="CE465" s="60">
        <f t="shared" si="5206"/>
        <v>-632</v>
      </c>
      <c r="CF465" s="60">
        <f t="shared" si="5206"/>
        <v>-565</v>
      </c>
      <c r="CG465" s="60">
        <f t="shared" si="5206"/>
        <v>-407</v>
      </c>
      <c r="CH465" s="60">
        <f t="shared" si="5206"/>
        <v>-522</v>
      </c>
      <c r="CI465" s="60">
        <f t="shared" si="5206"/>
        <v>-2104</v>
      </c>
      <c r="CJ465" s="60">
        <f t="shared" si="5206"/>
        <v>-3087</v>
      </c>
      <c r="CK465" s="60">
        <f t="shared" si="5206"/>
        <v>-1821</v>
      </c>
      <c r="CL465" s="60">
        <f t="shared" si="5206"/>
        <v>-1220</v>
      </c>
      <c r="CM465" s="60">
        <f t="shared" si="5206"/>
        <v>-1258</v>
      </c>
      <c r="CN465" s="60">
        <f t="shared" si="5206"/>
        <v>-1197</v>
      </c>
      <c r="CO465" s="60">
        <f t="shared" si="5206"/>
        <v>-989</v>
      </c>
      <c r="CP465" s="60">
        <f t="shared" ref="CP465:CX465" si="5207">CP472</f>
        <v>-1205</v>
      </c>
      <c r="CQ465" s="60">
        <f t="shared" si="5207"/>
        <v>-1956</v>
      </c>
      <c r="CR465" s="60">
        <f t="shared" si="5207"/>
        <v>-1199</v>
      </c>
      <c r="CS465" s="60">
        <f t="shared" si="5207"/>
        <v>-688</v>
      </c>
      <c r="CT465" s="60">
        <f t="shared" si="5207"/>
        <v>-795</v>
      </c>
      <c r="CU465" s="60">
        <f t="shared" si="5207"/>
        <v>-2738</v>
      </c>
      <c r="CV465" s="60">
        <f t="shared" si="5207"/>
        <v>567</v>
      </c>
      <c r="CW465" s="60">
        <f t="shared" si="5207"/>
        <v>232</v>
      </c>
      <c r="CX465" s="60">
        <f t="shared" si="5207"/>
        <v>-245</v>
      </c>
      <c r="CY465" s="60">
        <f t="shared" ref="CY465:DD465" si="5208">CY472</f>
        <v>-406</v>
      </c>
      <c r="CZ465" s="219">
        <f t="shared" si="5208"/>
        <v>-441</v>
      </c>
      <c r="DA465" s="60">
        <f t="shared" si="5208"/>
        <v>-671.94604846724155</v>
      </c>
      <c r="DB465" s="60">
        <f t="shared" si="5208"/>
        <v>-961.91970758992466</v>
      </c>
      <c r="DC465" s="60">
        <f t="shared" si="5208"/>
        <v>-1040.2551117600296</v>
      </c>
      <c r="DD465" s="60">
        <f t="shared" si="5208"/>
        <v>-952.08694461750235</v>
      </c>
      <c r="DE465" s="60">
        <f t="shared" ref="DE465" si="5209">DE472</f>
        <v>-998.31827358711735</v>
      </c>
      <c r="DF465" s="60">
        <f t="shared" ref="DF465" si="5210">DF472</f>
        <v>-707.41551158088805</v>
      </c>
      <c r="DG465" s="60">
        <f>DG472</f>
        <v>-880.12045066360747</v>
      </c>
      <c r="DH465" s="60">
        <f>DH472</f>
        <v>-1159.202339213482</v>
      </c>
      <c r="DI465" s="60">
        <f>DI472</f>
        <v>-1367.7058480678161</v>
      </c>
    </row>
    <row r="466" spans="1:113" ht="12" outlineLevel="1">
      <c r="C466" s="41"/>
      <c r="D466" s="41"/>
      <c r="E466" s="41"/>
      <c r="F466" s="41"/>
      <c r="G466" s="41"/>
      <c r="H466" s="41"/>
      <c r="I466" s="41"/>
      <c r="J466" s="212"/>
      <c r="K466" s="41"/>
      <c r="L466" s="41"/>
      <c r="M466" s="41"/>
      <c r="N466" s="41"/>
      <c r="O466" s="41"/>
      <c r="P466" s="41"/>
      <c r="Q466" s="41"/>
      <c r="R466" s="41"/>
      <c r="S466" s="41"/>
      <c r="T466" s="41"/>
      <c r="U466" s="41"/>
      <c r="V466" s="41"/>
      <c r="W466" s="41"/>
      <c r="X466" s="41"/>
      <c r="Y466" s="41"/>
      <c r="Z466" s="41"/>
      <c r="AA466" s="43"/>
      <c r="AB466" s="41"/>
      <c r="AC466" s="41"/>
      <c r="AD466" s="41"/>
      <c r="AE466" s="41"/>
      <c r="AF466" s="41"/>
      <c r="AG466" s="41"/>
      <c r="AH466" s="41"/>
      <c r="AI466" s="41"/>
      <c r="AJ466" s="41"/>
      <c r="AY466" s="200"/>
      <c r="AZ466" s="41"/>
      <c r="BA466" s="41"/>
      <c r="BB466" s="41"/>
      <c r="BC466" s="41"/>
      <c r="BD466" s="41"/>
      <c r="BE466" s="41"/>
      <c r="BF466" s="41"/>
      <c r="BG466" s="41"/>
      <c r="BH466" s="41"/>
      <c r="BI466" s="41"/>
      <c r="BJ466" s="41"/>
      <c r="BK466" s="41"/>
      <c r="BL466" s="41"/>
      <c r="BM466" s="41"/>
      <c r="BN466" s="41"/>
      <c r="BO466" s="41"/>
      <c r="BP466" s="41"/>
      <c r="BQ466" s="41"/>
      <c r="BR466" s="41"/>
      <c r="BS466" s="41"/>
      <c r="BT466" s="41"/>
      <c r="BU466" s="41"/>
      <c r="BV466" s="41"/>
      <c r="BW466" s="41"/>
      <c r="BX466" s="41"/>
      <c r="BY466" s="41"/>
      <c r="BZ466" s="41"/>
      <c r="CA466" s="41"/>
      <c r="CB466" s="41"/>
      <c r="CC466" s="41"/>
      <c r="CD466" s="41"/>
      <c r="CE466" s="41"/>
      <c r="CF466" s="41"/>
      <c r="CG466" s="41"/>
      <c r="CH466" s="41"/>
      <c r="CI466" s="41"/>
      <c r="CJ466" s="41"/>
      <c r="CK466" s="41"/>
      <c r="CL466" s="41"/>
      <c r="CM466" s="41"/>
      <c r="CN466" s="41"/>
      <c r="CO466" s="41"/>
      <c r="CP466" s="41"/>
      <c r="CQ466" s="41"/>
      <c r="CR466" s="41"/>
      <c r="CS466" s="41"/>
      <c r="CT466" s="41"/>
      <c r="CU466" s="41"/>
      <c r="CV466" s="41"/>
      <c r="CW466" s="41"/>
      <c r="CX466" s="41"/>
      <c r="CY466" s="41"/>
      <c r="CZ466" s="211"/>
      <c r="DA466" s="41"/>
      <c r="DB466" s="15"/>
      <c r="DC466" s="15"/>
      <c r="DD466" s="15"/>
      <c r="DE466" s="15"/>
      <c r="DF466" s="15"/>
      <c r="DG466" s="15"/>
      <c r="DH466" s="15"/>
      <c r="DI466" s="15"/>
    </row>
    <row r="467" spans="1:113" ht="12" outlineLevel="1">
      <c r="A467" s="1" t="s">
        <v>683</v>
      </c>
      <c r="B467" s="15" t="s">
        <v>489</v>
      </c>
      <c r="C467" s="41">
        <f>-C109*C232/C$5</f>
        <v>-9.8593467231948324</v>
      </c>
      <c r="D467" s="41">
        <f>-D109*D232/D$5</f>
        <v>-258.66168160586744</v>
      </c>
      <c r="E467" s="41">
        <f>BS467-D467</f>
        <v>-10.452474578106091</v>
      </c>
      <c r="F467" s="41">
        <f>-F109*F232/F$5</f>
        <v>-487.75978615216303</v>
      </c>
      <c r="G467" s="41">
        <f>BT467-F467</f>
        <v>137.49737675498989</v>
      </c>
      <c r="H467" s="41">
        <f>-H109*H232/H$5</f>
        <v>-739.82280707023631</v>
      </c>
      <c r="I467" s="41">
        <f>BU467-H467</f>
        <v>510.77384108182804</v>
      </c>
      <c r="J467" s="41">
        <f>-J109*J232/J$5</f>
        <v>-475.25821218701623</v>
      </c>
      <c r="K467" s="41">
        <f>BV467-J467</f>
        <v>407.44597789264128</v>
      </c>
      <c r="L467" s="41">
        <f>-L109*L232/L$5</f>
        <v>-182.93834524812877</v>
      </c>
      <c r="M467" s="41">
        <f>CG467-L467</f>
        <v>178.11186803428168</v>
      </c>
      <c r="N467" s="41">
        <f>-N109*N232/N$5</f>
        <v>-3.9285647730803865</v>
      </c>
      <c r="O467" s="41">
        <f>CH467-N467</f>
        <v>-6.8148893801259867</v>
      </c>
      <c r="P467" s="41">
        <f>-45*P$470/SUM(P$470:Q$470)</f>
        <v>-20.809682804674459</v>
      </c>
      <c r="Q467" s="40">
        <f>-45-P467</f>
        <v>-24.190317195325541</v>
      </c>
      <c r="R467" s="40">
        <v>-14</v>
      </c>
      <c r="S467" s="40">
        <v>-32</v>
      </c>
      <c r="T467" s="40">
        <f>-52-0</f>
        <v>-52</v>
      </c>
      <c r="U467" s="40">
        <f>-117-T467</f>
        <v>-65</v>
      </c>
      <c r="V467" s="40">
        <f>-40-0</f>
        <v>-40</v>
      </c>
      <c r="W467" s="40">
        <f>-44-8</f>
        <v>-52</v>
      </c>
      <c r="X467" s="40">
        <f>-46-1</f>
        <v>-47</v>
      </c>
      <c r="Y467" s="40">
        <f>-42-1</f>
        <v>-43</v>
      </c>
      <c r="Z467" s="40">
        <f>-31-1</f>
        <v>-32</v>
      </c>
      <c r="AA467" s="40">
        <f>-51-5</f>
        <v>-56</v>
      </c>
      <c r="AB467" s="40">
        <f>-18-11</f>
        <v>-29</v>
      </c>
      <c r="AC467" s="40">
        <f>-27-2</f>
        <v>-29</v>
      </c>
      <c r="AD467" s="40">
        <f>-21-4</f>
        <v>-25</v>
      </c>
      <c r="AE467" s="40">
        <f>-17-4</f>
        <v>-21</v>
      </c>
      <c r="AF467" s="40">
        <f>-16-4</f>
        <v>-20</v>
      </c>
      <c r="AG467" s="40">
        <f>-17-3</f>
        <v>-20</v>
      </c>
      <c r="AH467" s="40">
        <f>-22-1</f>
        <v>-23</v>
      </c>
      <c r="AI467" s="40">
        <f>-20-1</f>
        <v>-21</v>
      </c>
      <c r="AJ467" s="40">
        <f>-24-1</f>
        <v>-25</v>
      </c>
      <c r="AK467" s="40">
        <f>-41-3</f>
        <v>-44</v>
      </c>
      <c r="AL467" s="40">
        <f>-50-1</f>
        <v>-51</v>
      </c>
      <c r="AM467" s="40">
        <f>-67-1</f>
        <v>-68</v>
      </c>
      <c r="AN467" s="40">
        <f>-47-1</f>
        <v>-48</v>
      </c>
      <c r="AO467" s="40">
        <f>-32-2</f>
        <v>-34</v>
      </c>
      <c r="AP467" s="40">
        <f>-71-2</f>
        <v>-73</v>
      </c>
      <c r="AQ467" s="40">
        <f>-21-1</f>
        <v>-22</v>
      </c>
      <c r="AR467" s="40">
        <f>-20-1</f>
        <v>-21</v>
      </c>
      <c r="AS467" s="40">
        <f>-14-1</f>
        <v>-15</v>
      </c>
      <c r="AT467" s="40">
        <f>-12-0</f>
        <v>-12</v>
      </c>
      <c r="AU467" s="40">
        <f>-12-0</f>
        <v>-12</v>
      </c>
      <c r="AV467" s="40">
        <v>-10</v>
      </c>
      <c r="AW467" s="40">
        <v>-11</v>
      </c>
      <c r="AX467" s="40">
        <v>-11</v>
      </c>
      <c r="AY467" s="429">
        <v>-11</v>
      </c>
      <c r="AZ467" s="41">
        <f t="shared" ref="AZ467:BA467" si="5211">-AZ109*AZ232/AZ$5</f>
        <v>-17.162733328188157</v>
      </c>
      <c r="BA467" s="41">
        <f t="shared" si="5211"/>
        <v>-23.784170515887446</v>
      </c>
      <c r="BB467" s="41">
        <f t="shared" ref="BB467:BC467" si="5212">-BB109*BB232/BB$5</f>
        <v>-30.240714329350507</v>
      </c>
      <c r="BC467" s="41">
        <f t="shared" si="5212"/>
        <v>-37.433864747729686</v>
      </c>
      <c r="BD467" s="41">
        <f t="shared" ref="BD467:BE467" si="5213">-BD109*BD232/BD$5</f>
        <v>-44.777624894500384</v>
      </c>
      <c r="BE467" s="41">
        <f t="shared" si="5213"/>
        <v>-52.534764071208784</v>
      </c>
      <c r="BF467" s="41">
        <f t="shared" ref="BF467:BG467" si="5214">-BF109*BF232/BF$5</f>
        <v>-60.419503530492349</v>
      </c>
      <c r="BG467" s="41">
        <f t="shared" si="5214"/>
        <v>-69.09111406518403</v>
      </c>
      <c r="BH467" s="41">
        <f t="shared" ref="BH467:BI467" si="5215">-BH109*BH232/BH$5</f>
        <v>-77.244507255586939</v>
      </c>
      <c r="BI467" s="41">
        <f t="shared" si="5215"/>
        <v>-79.156716304412768</v>
      </c>
      <c r="BJ467" s="41">
        <f t="shared" ref="BJ467:BK467" si="5216">-BJ109*BJ232/BJ$5</f>
        <v>-94.939595529956421</v>
      </c>
      <c r="BK467" s="41">
        <f t="shared" si="5216"/>
        <v>-97.338881760223018</v>
      </c>
      <c r="BL467" s="41">
        <f t="shared" ref="BL467:BM467" si="5217">-BL109*BL232/BL$5</f>
        <v>-99.026040136227792</v>
      </c>
      <c r="BM467" s="41">
        <f t="shared" si="5217"/>
        <v>-101.01848711399833</v>
      </c>
      <c r="BN467" s="41">
        <f t="shared" ref="BN467:BO467" si="5218">-BN109*BN232/BN$5</f>
        <v>-102.76873153881171</v>
      </c>
      <c r="BO467" s="41">
        <f t="shared" si="5218"/>
        <v>-105.41259082723496</v>
      </c>
      <c r="BP467" s="41">
        <f t="shared" ref="BP467:BQ467" si="5219">-BP109*BP232/BP$5</f>
        <v>-106.94605071806212</v>
      </c>
      <c r="BQ467" s="41">
        <f t="shared" si="5219"/>
        <v>-109.69746685323848</v>
      </c>
      <c r="BR467" s="41"/>
      <c r="BS467" s="41">
        <f t="shared" ref="BS467:CH467" si="5220">-BS109*BS232/BS$5</f>
        <v>-269.11415618397353</v>
      </c>
      <c r="BT467" s="41">
        <f t="shared" si="5220"/>
        <v>-350.26240939717314</v>
      </c>
      <c r="BU467" s="41">
        <f t="shared" si="5220"/>
        <v>-229.04896598840827</v>
      </c>
      <c r="BV467" s="41">
        <f t="shared" si="5220"/>
        <v>-67.81223429437496</v>
      </c>
      <c r="BW467" s="41">
        <f t="shared" si="5220"/>
        <v>-49.558816770964597</v>
      </c>
      <c r="BX467" s="41">
        <f t="shared" si="5220"/>
        <v>-14.149170451478</v>
      </c>
      <c r="BY467" s="41">
        <f t="shared" si="5220"/>
        <v>-27.849971527729181</v>
      </c>
      <c r="BZ467" s="41">
        <f t="shared" si="5220"/>
        <v>-11.292859513393125</v>
      </c>
      <c r="CA467" s="41">
        <f t="shared" si="5220"/>
        <v>-36.331645929965873</v>
      </c>
      <c r="CB467" s="41">
        <f t="shared" si="5220"/>
        <v>-7.8973099170014658</v>
      </c>
      <c r="CC467" s="41">
        <f t="shared" si="5220"/>
        <v>-12.156296589252658</v>
      </c>
      <c r="CD467" s="41">
        <f t="shared" si="5220"/>
        <v>-7.1135069017578596</v>
      </c>
      <c r="CE467" s="41">
        <f t="shared" si="5220"/>
        <v>-5.9876842889998141</v>
      </c>
      <c r="CF467" s="41">
        <f t="shared" si="5220"/>
        <v>-3.7093420519782816</v>
      </c>
      <c r="CG467" s="41">
        <f t="shared" si="5220"/>
        <v>-4.8264772138470864</v>
      </c>
      <c r="CH467" s="41">
        <f t="shared" si="5220"/>
        <v>-10.743454153206374</v>
      </c>
      <c r="CI467" s="41">
        <f t="shared" ref="CI467:CI478" si="5221">SUM(P467:Q467)</f>
        <v>-45</v>
      </c>
      <c r="CJ467" s="41">
        <f t="shared" ref="CJ467:CJ479" si="5222">SUM(R467:S467)</f>
        <v>-46</v>
      </c>
      <c r="CK467" s="41">
        <f t="shared" ref="CK467:CK479" si="5223">SUM(T467:U467)</f>
        <v>-117</v>
      </c>
      <c r="CL467" s="41">
        <f t="shared" ref="CL467:CL479" si="5224">SUM(V467:W467)</f>
        <v>-92</v>
      </c>
      <c r="CM467" s="41">
        <f t="shared" ref="CM467:CM479" si="5225">SUM(X467:Y467)</f>
        <v>-90</v>
      </c>
      <c r="CN467" s="41">
        <f t="shared" ref="CN467:CN479" si="5226">SUM(Z467:AA467)</f>
        <v>-88</v>
      </c>
      <c r="CO467" s="41">
        <f t="shared" ref="CO467:CO479" si="5227">SUM(AB467:AC467)</f>
        <v>-58</v>
      </c>
      <c r="CP467" s="41">
        <f t="shared" ref="CP467:CP479" si="5228">SUM(AD467:AE467)</f>
        <v>-46</v>
      </c>
      <c r="CQ467" s="41">
        <f t="shared" ref="CQ467:CQ479" si="5229">SUM(AF467:AG467)</f>
        <v>-40</v>
      </c>
      <c r="CR467" s="41">
        <f t="shared" ref="CR467:CR479" si="5230">SUM(AH467:AI467)</f>
        <v>-44</v>
      </c>
      <c r="CS467" s="41">
        <f t="shared" ref="CS467:CS479" si="5231">SUM(AJ467:AK467)</f>
        <v>-69</v>
      </c>
      <c r="CT467" s="41">
        <f t="shared" ref="CT467:CT479" si="5232">SUM(AL467:AM467)</f>
        <v>-119</v>
      </c>
      <c r="CU467" s="41">
        <f t="shared" ref="CU467:CU479" si="5233">SUM(AN467:AO467)</f>
        <v>-82</v>
      </c>
      <c r="CV467" s="41">
        <f t="shared" ref="CV467:CV479" si="5234">SUM(AP467:AQ467)</f>
        <v>-95</v>
      </c>
      <c r="CW467" s="41">
        <f t="shared" ref="CW467:CW479" si="5235">SUM(AR467:AS467)</f>
        <v>-36</v>
      </c>
      <c r="CX467" s="41">
        <f t="shared" ref="CX467:CX479" si="5236">SUM(AT467:AU467)</f>
        <v>-24</v>
      </c>
      <c r="CY467" s="41">
        <f t="shared" ref="CY467:CY479" si="5237">SUM(AV467:AW467)</f>
        <v>-21</v>
      </c>
      <c r="CZ467" s="211">
        <f t="shared" ref="CZ467:CZ479" si="5238">SUM(AX467:AY467)</f>
        <v>-22</v>
      </c>
      <c r="DA467" s="41">
        <f t="shared" ref="DA467:DA479" si="5239">SUM(AZ467:BA467)</f>
        <v>-40.946903844075607</v>
      </c>
      <c r="DB467" s="41">
        <f t="shared" ref="DB467:DB479" si="5240">SUM(BB467:BC467)</f>
        <v>-67.674579077080196</v>
      </c>
      <c r="DC467" s="41">
        <f t="shared" ref="DC467:DC479" si="5241">SUM(BD467:BE467)</f>
        <v>-97.312388965709175</v>
      </c>
      <c r="DD467" s="41">
        <f t="shared" ref="DD467:DD479" si="5242">SUM(BF467:BG467)</f>
        <v>-129.51061759567636</v>
      </c>
      <c r="DE467" s="41">
        <f t="shared" ref="DE467:DE479" si="5243">SUM(BH467:BI467)</f>
        <v>-156.40122355999972</v>
      </c>
      <c r="DF467" s="41">
        <f t="shared" ref="DF467:DF479" si="5244">SUM(BJ467:BK467)</f>
        <v>-192.27847729017944</v>
      </c>
      <c r="DG467" s="41">
        <f t="shared" ref="DG467:DG479" si="5245">SUM(BL467:BM467)</f>
        <v>-200.04452725022611</v>
      </c>
      <c r="DH467" s="41">
        <f t="shared" ref="DH467:DH479" si="5246">SUM(BN467:BO467)</f>
        <v>-208.18132236604669</v>
      </c>
      <c r="DI467" s="41">
        <f t="shared" ref="DI467:DI479" si="5247">SUM(BP467:BQ467)</f>
        <v>-216.64351757130061</v>
      </c>
    </row>
    <row r="468" spans="1:113" ht="12" outlineLevel="1">
      <c r="A468" s="1" t="s">
        <v>684</v>
      </c>
      <c r="B468" s="15" t="s">
        <v>491</v>
      </c>
      <c r="C468" s="41">
        <f>C470-C467-C469</f>
        <v>-381.19790288135243</v>
      </c>
      <c r="D468" s="41">
        <f>D470-D467-D469</f>
        <v>-18.697740865121105</v>
      </c>
      <c r="E468" s="41">
        <f t="shared" ref="E468:K468" si="5248">E470-E467-E469</f>
        <v>-397.26491812649977</v>
      </c>
      <c r="F468" s="41">
        <f t="shared" si="5248"/>
        <v>231.60292052516814</v>
      </c>
      <c r="G468" s="41">
        <f t="shared" si="5248"/>
        <v>-496.00404596069609</v>
      </c>
      <c r="H468" s="41">
        <f t="shared" si="5248"/>
        <v>428.51252127595558</v>
      </c>
      <c r="I468" s="41">
        <f t="shared" si="5248"/>
        <v>-869.88649904859108</v>
      </c>
      <c r="J468" s="41">
        <f>J470-J467-J469</f>
        <v>231.11619818475003</v>
      </c>
      <c r="K468" s="41">
        <f t="shared" si="5248"/>
        <v>-722.56839026571549</v>
      </c>
      <c r="L468" s="41">
        <f>L470-L467-L469</f>
        <v>75.294141880740426</v>
      </c>
      <c r="M468" s="41">
        <f t="shared" ref="M468:X468" si="5249">M470-M467-M469</f>
        <v>-252.53367922161002</v>
      </c>
      <c r="N468" s="41">
        <f t="shared" si="5249"/>
        <v>-85.698205002718069</v>
      </c>
      <c r="O468" s="41">
        <f t="shared" si="5249"/>
        <v>-191.63828694232376</v>
      </c>
      <c r="P468" s="41">
        <f t="shared" si="5249"/>
        <v>-59.346132442960453</v>
      </c>
      <c r="Q468" s="41">
        <f t="shared" si="5249"/>
        <v>-68.98720089037289</v>
      </c>
      <c r="R468" s="41">
        <f t="shared" si="5249"/>
        <v>-539</v>
      </c>
      <c r="S468" s="41">
        <f t="shared" si="5249"/>
        <v>-652</v>
      </c>
      <c r="T468" s="41">
        <f t="shared" si="5249"/>
        <v>-563.33333333333326</v>
      </c>
      <c r="U468" s="41">
        <f t="shared" si="5249"/>
        <v>-359.33333333333331</v>
      </c>
      <c r="V468" s="41">
        <f t="shared" si="5249"/>
        <v>-256.33333333333331</v>
      </c>
      <c r="W468" s="41">
        <f t="shared" si="5249"/>
        <v>-193.33333333333326</v>
      </c>
      <c r="X468" s="41">
        <f t="shared" si="5249"/>
        <v>-190.99999999999994</v>
      </c>
      <c r="Y468" s="41">
        <f t="shared" ref="Y468:AD468" si="5250">Y470-Y467-Y469</f>
        <v>-353.33333333333331</v>
      </c>
      <c r="Z468" s="41">
        <f t="shared" si="5250"/>
        <v>-434.99999999999994</v>
      </c>
      <c r="AA468" s="41">
        <f t="shared" si="5250"/>
        <v>-271.33333333333326</v>
      </c>
      <c r="AB468" s="41">
        <f t="shared" si="5250"/>
        <v>-199</v>
      </c>
      <c r="AC468" s="41">
        <f t="shared" si="5250"/>
        <v>-392.66666666666669</v>
      </c>
      <c r="AD468" s="41">
        <f t="shared" si="5250"/>
        <v>-107.66666666666669</v>
      </c>
      <c r="AE468" s="41">
        <f t="shared" ref="AE468:AF468" si="5251">AE470-AE467-AE469</f>
        <v>-204</v>
      </c>
      <c r="AF468" s="41">
        <f t="shared" si="5251"/>
        <v>-86</v>
      </c>
      <c r="AG468" s="41">
        <f t="shared" ref="AG468:AI468" si="5252">AG470-AG467-AG469</f>
        <v>-457</v>
      </c>
      <c r="AH468" s="41">
        <f t="shared" si="5252"/>
        <v>-290</v>
      </c>
      <c r="AI468" s="41">
        <f t="shared" si="5252"/>
        <v>-192</v>
      </c>
      <c r="AJ468" s="41">
        <f t="shared" ref="AJ468:AK468" si="5253">AJ470-AJ467-AJ469</f>
        <v>-90.666666666666686</v>
      </c>
      <c r="AK468" s="41">
        <f t="shared" si="5253"/>
        <v>-16.333333333333314</v>
      </c>
      <c r="AL468" s="41">
        <f t="shared" ref="AL468:AM468" si="5254">AL470-AL467-AL469</f>
        <v>-27</v>
      </c>
      <c r="AM468" s="41">
        <f t="shared" si="5254"/>
        <v>-36.666666666666686</v>
      </c>
      <c r="AN468" s="41">
        <f t="shared" ref="AN468" si="5255">AN470-AN467-AN469</f>
        <v>-41.666666666666686</v>
      </c>
      <c r="AO468" s="41">
        <f t="shared" ref="AO468" si="5256">AO470-AO467-AO469</f>
        <v>-283.33333333333331</v>
      </c>
      <c r="AP468" s="41">
        <f t="shared" ref="AP468:AQ468" si="5257">AP470-AP467-AP469</f>
        <v>-21.333333333333343</v>
      </c>
      <c r="AQ468" s="41">
        <f t="shared" si="5257"/>
        <v>-18.333333333333343</v>
      </c>
      <c r="AR468" s="41">
        <f t="shared" ref="AR468:AS468" si="5258">AR470-AR467-AR469</f>
        <v>31</v>
      </c>
      <c r="AS468" s="41">
        <f t="shared" si="5258"/>
        <v>32.666666666666671</v>
      </c>
      <c r="AT468" s="41">
        <f t="shared" ref="AT468:AU468" si="5259">AT470-AT467-AT469</f>
        <v>-40.666666666666664</v>
      </c>
      <c r="AU468" s="41">
        <f t="shared" si="5259"/>
        <v>-91</v>
      </c>
      <c r="AV468" s="41">
        <f t="shared" ref="AV468:AW468" si="5260">AV470-AV467-AV469</f>
        <v>-16</v>
      </c>
      <c r="AW468" s="41">
        <f t="shared" si="5260"/>
        <v>-44.666666666666664</v>
      </c>
      <c r="AX468" s="41">
        <f t="shared" ref="AX468:AY468" si="5261">AX470-AX467-AX469</f>
        <v>-44.666666666666664</v>
      </c>
      <c r="AY468" s="211">
        <f t="shared" si="5261"/>
        <v>-40.666666666666657</v>
      </c>
      <c r="AZ468" s="41">
        <f t="shared" ref="AZ468" si="5262">-AZ110*(AZ237-AZ232-((SUM(AVERAGE(AY160:AZ160),AVERAGE(AY166:AZ166),AVERAGE(AY172:AZ172))/AVERAGE(AY178:AZ178))*AZ234))/AZ$5</f>
        <v>-70.782515128552731</v>
      </c>
      <c r="BA468" s="41">
        <f t="shared" ref="BA468" si="5263">-BA110*(BA237-BA232-((SUM(AVERAGE(AZ160:BA160),AVERAGE(AZ166:BA166),AVERAGE(AZ172:BA172))/AVERAGE(AZ178:BA178))*BA234))/BA$5</f>
        <v>-102.28836642460232</v>
      </c>
      <c r="BB468" s="41">
        <f t="shared" ref="BB468" si="5264">-BB110*(BB237-BB232-((SUM(AVERAGE(BA160:BB160),AVERAGE(BA166:BB166),AVERAGE(BA172:BB172))/AVERAGE(BA178:BB178))*BB234))/BB$5</f>
        <v>-164.15447525801218</v>
      </c>
      <c r="BC468" s="41">
        <f t="shared" ref="BC468" si="5265">-BC110*(BC237-BC232-((SUM(AVERAGE(BB160:BC160),AVERAGE(BB166:BC166),AVERAGE(BB172:BC172))/AVERAGE(BB178:BC178))*BC234))/BC$5</f>
        <v>-228.32093557863035</v>
      </c>
      <c r="BD468" s="41">
        <f t="shared" ref="BD468" si="5266">-BD110*(BD237-BD232-((SUM(AVERAGE(BC160:BD160),AVERAGE(BC166:BD166),AVERAGE(BC172:BD172))/AVERAGE(BC178:BD178))*BD234))/BD$5</f>
        <v>-197.58699082713258</v>
      </c>
      <c r="BE468" s="41">
        <f t="shared" ref="BE468" si="5267">-BE110*(BE237-BE232-((SUM(AVERAGE(BD160:BE160),AVERAGE(BD166:BE166),AVERAGE(BD172:BE172))/AVERAGE(BD178:BE178))*BE234))/BE$5</f>
        <v>-167.2671057912948</v>
      </c>
      <c r="BF468" s="41">
        <f t="shared" ref="BF468" si="5268">-BF110*(BF237-BF232-((SUM(AVERAGE(BE160:BF160),AVERAGE(BE166:BF166),AVERAGE(BE172:BF172))/AVERAGE(BE178:BF178))*BF234))/BF$5</f>
        <v>-120.51711414545724</v>
      </c>
      <c r="BG468" s="41">
        <f t="shared" ref="BG468:BK468" si="5269">-BG110*(BG237-BG232-((SUM(AVERAGE(BF160:BG160),AVERAGE(BF166:BG166),AVERAGE(BF172:BG172))/AVERAGE(BF178:BG178))*BG234))/BG$5</f>
        <v>-74.086658787223811</v>
      </c>
      <c r="BH468" s="41">
        <f t="shared" si="5269"/>
        <v>-74.469956419938029</v>
      </c>
      <c r="BI468" s="41">
        <f t="shared" si="5269"/>
        <v>-76.134355592852074</v>
      </c>
      <c r="BJ468" s="41">
        <f t="shared" si="5269"/>
        <v>-93.622979153124106</v>
      </c>
      <c r="BK468" s="41">
        <f t="shared" si="5269"/>
        <v>-129.62992174347468</v>
      </c>
      <c r="BL468" s="41">
        <f t="shared" ref="BL468" si="5270">-BL110*(BL237-BL232-((SUM(AVERAGE(BK160:BL160),AVERAGE(BK166:BL166),AVERAGE(BK172:BL172))/AVERAGE(BK178:BL178))*BL234))/BL$5</f>
        <v>-165.61815251484134</v>
      </c>
      <c r="BM468" s="41">
        <f t="shared" ref="BM468" si="5271">-BM110*(BM237-BM232-((SUM(AVERAGE(BL160:BM160),AVERAGE(BL166:BM166),AVERAGE(BL172:BM172))/AVERAGE(BL178:BM178))*BM234))/BM$5</f>
        <v>-220.51746507095194</v>
      </c>
      <c r="BN468" s="41">
        <f t="shared" ref="BN468" si="5272">-BN110*(BN237-BN232-((SUM(AVERAGE(BM160:BN160),AVERAGE(BM166:BN166),AVERAGE(BM172:BN172))/AVERAGE(BM178:BN178))*BN234))/BN$5</f>
        <v>-276.8314957475402</v>
      </c>
      <c r="BO468" s="41">
        <f t="shared" ref="BO468" si="5273">-BO110*(BO237-BO232-((SUM(AVERAGE(BN160:BO160),AVERAGE(BN166:BO166),AVERAGE(BN172:BO172))/AVERAGE(BN178:BO178))*BO234))/BO$5</f>
        <v>-338.07489844421747</v>
      </c>
      <c r="BP468" s="41">
        <f t="shared" ref="BP468" si="5274">-BP110*(BP237-BP232-((SUM(AVERAGE(BO160:BP160),AVERAGE(BO166:BP166),AVERAGE(BO172:BP172))/AVERAGE(BO178:BP178))*BP234))/BP$5</f>
        <v>-386.09272431393146</v>
      </c>
      <c r="BQ468" s="41">
        <f t="shared" ref="BQ468" si="5275">-BQ110*(BQ237-BQ232-((SUM(AVERAGE(BP160:BQ160),AVERAGE(BP166:BQ166),AVERAGE(BP172:BQ172))/AVERAGE(BP178:BQ178))*BQ234))/BQ$5</f>
        <v>-396.71460594297275</v>
      </c>
      <c r="BR468" s="41"/>
      <c r="BS468" s="41">
        <f t="shared" ref="BS468:CB468" si="5276">BS470-BS467-BS469</f>
        <v>-450.6626589916209</v>
      </c>
      <c r="BT468" s="41">
        <f t="shared" si="5276"/>
        <v>-993.401125435528</v>
      </c>
      <c r="BU468" s="41">
        <f t="shared" si="5276"/>
        <v>-1100.3739777726353</v>
      </c>
      <c r="BV468" s="41">
        <f t="shared" si="5276"/>
        <v>-365.45219208096546</v>
      </c>
      <c r="BW468" s="41">
        <f t="shared" si="5276"/>
        <v>-238.58484852987323</v>
      </c>
      <c r="BX468" s="41">
        <f t="shared" si="5276"/>
        <v>-121.17560117614099</v>
      </c>
      <c r="BY468" s="41">
        <f t="shared" si="5276"/>
        <v>-135.22110829271043</v>
      </c>
      <c r="BZ468" s="41">
        <f t="shared" si="5276"/>
        <v>-319.17915121564437</v>
      </c>
      <c r="CA468" s="41">
        <f t="shared" si="5276"/>
        <v>-414.11013978193472</v>
      </c>
      <c r="CB468" s="41">
        <f t="shared" si="5276"/>
        <v>-657.96220016648101</v>
      </c>
      <c r="CC468" s="41">
        <f t="shared" ref="CC468:CH468" si="5277">CC470-CC467-CC469</f>
        <v>-608.33336574346265</v>
      </c>
      <c r="CD468" s="41">
        <f t="shared" si="5277"/>
        <v>-575.18179168929566</v>
      </c>
      <c r="CE468" s="41">
        <f t="shared" si="5277"/>
        <v>-616.65419871177278</v>
      </c>
      <c r="CF468" s="41">
        <f t="shared" si="5277"/>
        <v>-499.15345411233022</v>
      </c>
      <c r="CG468" s="41">
        <f t="shared" si="5277"/>
        <v>-177.23953734086959</v>
      </c>
      <c r="CH468" s="41">
        <f t="shared" si="5277"/>
        <v>-277.33649194504187</v>
      </c>
      <c r="CI468" s="41">
        <f>SUM(P468:Q468)</f>
        <v>-128.33333333333334</v>
      </c>
      <c r="CJ468" s="41">
        <f>SUM(R468:S468)</f>
        <v>-1191</v>
      </c>
      <c r="CK468" s="41">
        <f>SUM(T468:U468)</f>
        <v>-922.66666666666652</v>
      </c>
      <c r="CL468" s="41">
        <f>SUM(V468:W468)</f>
        <v>-449.66666666666657</v>
      </c>
      <c r="CM468" s="41">
        <f>SUM(X468:Y468)</f>
        <v>-544.33333333333326</v>
      </c>
      <c r="CN468" s="41">
        <f>SUM(Z468:AA468)</f>
        <v>-706.33333333333326</v>
      </c>
      <c r="CO468" s="41">
        <f>SUM(AB468:AC468)</f>
        <v>-591.66666666666674</v>
      </c>
      <c r="CP468" s="41">
        <f>SUM(AD468:AE468)</f>
        <v>-311.66666666666669</v>
      </c>
      <c r="CQ468" s="41">
        <f>SUM(AF468:AG468)</f>
        <v>-543</v>
      </c>
      <c r="CR468" s="41">
        <f>SUM(AH468:AI468)</f>
        <v>-482</v>
      </c>
      <c r="CS468" s="41">
        <f t="shared" si="5231"/>
        <v>-107</v>
      </c>
      <c r="CT468" s="41">
        <f t="shared" si="5232"/>
        <v>-63.666666666666686</v>
      </c>
      <c r="CU468" s="41">
        <f t="shared" si="5233"/>
        <v>-325</v>
      </c>
      <c r="CV468" s="41">
        <f t="shared" si="5234"/>
        <v>-39.666666666666686</v>
      </c>
      <c r="CW468" s="41">
        <f t="shared" si="5235"/>
        <v>63.666666666666671</v>
      </c>
      <c r="CX468" s="41">
        <f t="shared" si="5236"/>
        <v>-131.66666666666666</v>
      </c>
      <c r="CY468" s="41">
        <f t="shared" si="5237"/>
        <v>-60.666666666666664</v>
      </c>
      <c r="CZ468" s="211">
        <f t="shared" si="5238"/>
        <v>-85.333333333333314</v>
      </c>
      <c r="DA468" s="41">
        <f t="shared" si="5239"/>
        <v>-173.07088155315506</v>
      </c>
      <c r="DB468" s="41">
        <f t="shared" si="5240"/>
        <v>-392.47541083664254</v>
      </c>
      <c r="DC468" s="41">
        <f t="shared" si="5241"/>
        <v>-364.85409661842738</v>
      </c>
      <c r="DD468" s="41">
        <f t="shared" si="5242"/>
        <v>-194.60377293268107</v>
      </c>
      <c r="DE468" s="41">
        <f t="shared" si="5243"/>
        <v>-150.6043120127901</v>
      </c>
      <c r="DF468" s="41">
        <f t="shared" si="5244"/>
        <v>-223.25290089659879</v>
      </c>
      <c r="DG468" s="41">
        <f t="shared" si="5245"/>
        <v>-386.13561758579328</v>
      </c>
      <c r="DH468" s="41">
        <f t="shared" si="5246"/>
        <v>-614.90639419175773</v>
      </c>
      <c r="DI468" s="41">
        <f t="shared" si="5247"/>
        <v>-782.80733025690415</v>
      </c>
    </row>
    <row r="469" spans="1:113" ht="12" outlineLevel="1">
      <c r="A469" s="1" t="s">
        <v>685</v>
      </c>
      <c r="B469" s="15" t="s">
        <v>490</v>
      </c>
      <c r="C469" s="41">
        <f>-C111*((SUM(AVERAGE(B160:C160),AVERAGE(B166:C166),AVERAGE(B172:C172))/AVERAGE(B178:C178))*C234)/C$5</f>
        <v>-65.94275039545272</v>
      </c>
      <c r="D469" s="41">
        <f>-D111*((SUM(AVERAGE(C160:D160),AVERAGE(C166:D166),AVERAGE(C172:D172))/AVERAGE(C178:D178))*D234)/D$5</f>
        <v>-15.640577529011454</v>
      </c>
      <c r="E469" s="41">
        <f>BS469-D469</f>
        <v>3.7173927046058566</v>
      </c>
      <c r="F469" s="41">
        <f>-F111*((SUM(AVERAGE(E160:F160),AVERAGE(E166:F166),AVERAGE(E172:F172))/AVERAGE(E178:F178))*F234)/F$5</f>
        <v>-26.843134373005121</v>
      </c>
      <c r="G469" s="41">
        <f>BT469-F469</f>
        <v>1.5066692057062134</v>
      </c>
      <c r="H469" s="41">
        <f>-H111*((SUM(AVERAGE(G160:H160),AVERAGE(G166:H166),AVERAGE(G172:H172))/AVERAGE(G178:H178))*H234)/H$5</f>
        <v>-27.689714205719273</v>
      </c>
      <c r="I469" s="41">
        <f>BU469-H469</f>
        <v>18.112657966762931</v>
      </c>
      <c r="J469" s="41">
        <f>-J111*((SUM(AVERAGE(I160:J160),AVERAGE(I166:J166),AVERAGE(I172:J172))/AVERAGE(I178:J178))*J234)/J$5</f>
        <v>-16.857985997733795</v>
      </c>
      <c r="K469" s="41">
        <f>BV469-J469</f>
        <v>5.122412373074205</v>
      </c>
      <c r="L469" s="41">
        <f>-L111*((SUM(AVERAGE(K160:L160),AVERAGE(K166:L166),AVERAGE(K172:L172))/AVERAGE(K178:L178))*L234)/L$5</f>
        <v>-20.355796632611654</v>
      </c>
      <c r="M469" s="41">
        <f>CG469-L469</f>
        <v>-91.578188812671641</v>
      </c>
      <c r="N469" s="41">
        <f>-N111*((SUM(AVERAGE(M160:N160),AVERAGE(M166:N166),AVERAGE(M172:N172))/AVERAGE(M178:N178))*N234)/N$5</f>
        <v>-66.373230224201549</v>
      </c>
      <c r="O469" s="41">
        <f>CH469-N469</f>
        <v>-78.54682367755025</v>
      </c>
      <c r="P469" s="41">
        <f>(-270-189+100*(1/3))*P$470/SUM(P$470:Q$470)</f>
        <v>-196.84418475236507</v>
      </c>
      <c r="Q469" s="40">
        <f>-270-189-P469+100*(1/3)</f>
        <v>-228.82248191430159</v>
      </c>
      <c r="R469" s="40">
        <f>-124-170+42*(0.333333333333333)</f>
        <v>-280</v>
      </c>
      <c r="S469" s="40">
        <f>-138-245+42*(0.333333333333333)</f>
        <v>-369</v>
      </c>
      <c r="T469" s="40">
        <f>-128-174-24+(58)*(0.333333333333333)</f>
        <v>-306.66666666666669</v>
      </c>
      <c r="U469" s="40">
        <f>-262-330+(85+58)*(0.333333333333333)-T469</f>
        <v>-237.66666666666669</v>
      </c>
      <c r="V469" s="40">
        <f>-135-142-48-17+(97)*(0.333333333333333)</f>
        <v>-309.66666666666669</v>
      </c>
      <c r="W469" s="40">
        <f>-154-173-42-17+(130)*(0.333333333333333)</f>
        <v>-342.66666666666674</v>
      </c>
      <c r="X469" s="40">
        <f>-146-148-37-15+(117)*(0.333333333333333)</f>
        <v>-307.00000000000006</v>
      </c>
      <c r="Y469" s="40">
        <f>-161-178-30-11+(97)*(0.333333333333333)</f>
        <v>-347.66666666666669</v>
      </c>
      <c r="Z469" s="40">
        <f>-146-150-8-19+(111)*(0.333333333333333)</f>
        <v>-286.00000000000006</v>
      </c>
      <c r="AA469" s="40">
        <f>-152-188-3-32+(136)*(0.333333333333333)</f>
        <v>-329.66666666666674</v>
      </c>
      <c r="AB469" s="141">
        <f>-134-186-33-35+108*(1/3)</f>
        <v>-352</v>
      </c>
      <c r="AC469" s="141">
        <f>-139-211-23-39+116*(1/3)</f>
        <v>-373.33333333333331</v>
      </c>
      <c r="AD469" s="141">
        <f>-129-206-25-45+107*(1/3)</f>
        <v>-369.33333333333331</v>
      </c>
      <c r="AE469" s="141">
        <f>-145-272-85-0+132*(1/3)</f>
        <v>-458</v>
      </c>
      <c r="AF469" s="141">
        <f>-130-250-104+99*(1/3)</f>
        <v>-451</v>
      </c>
      <c r="AG469" s="141">
        <f>-141-275-91+123*(1/3)</f>
        <v>-466</v>
      </c>
      <c r="AH469" s="141">
        <f>-141-270-102+114*(1/3)</f>
        <v>-475</v>
      </c>
      <c r="AI469" s="40">
        <f>-137-275-90+114*(1/3)</f>
        <v>-464</v>
      </c>
      <c r="AJ469" s="40">
        <f>-139-287-38+107*(1/3)</f>
        <v>-428.33333333333331</v>
      </c>
      <c r="AK469" s="40">
        <f>-140-277-3+139*(1/3)</f>
        <v>-373.66666666666669</v>
      </c>
      <c r="AL469" s="40">
        <f>-123-232-3+93*(1/3)</f>
        <v>-327</v>
      </c>
      <c r="AM469" s="40">
        <f>-126-264-4+119*(1/3)</f>
        <v>-354.33333333333331</v>
      </c>
      <c r="AN469" s="40">
        <f>-113-196-1+104*(1/3)</f>
        <v>-275.33333333333331</v>
      </c>
      <c r="AO469" s="40">
        <f>-107-131-8+115*(1/3)</f>
        <v>-207.66666666666669</v>
      </c>
      <c r="AP469" s="40">
        <f>-61-126-0+88*(1/3)</f>
        <v>-157.66666666666666</v>
      </c>
      <c r="AQ469" s="40">
        <f>-60-123-0+94*(1/3)</f>
        <v>-151.66666666666666</v>
      </c>
      <c r="AR469" s="40">
        <f>-58-106-2+99*(1/3)</f>
        <v>-133</v>
      </c>
      <c r="AS469" s="40">
        <f>-45-106-0+109*(1/3)</f>
        <v>-114.66666666666667</v>
      </c>
      <c r="AT469" s="40">
        <f>-42-23-0+101*(1/3)</f>
        <v>-31.333333333333336</v>
      </c>
      <c r="AU469" s="40">
        <f>-43-34-0+66*(1/3)</f>
        <v>-55</v>
      </c>
      <c r="AV469" s="40">
        <f>-43-25-0+78*(1/3)</f>
        <v>-42</v>
      </c>
      <c r="AW469" s="40">
        <f>-46-29-0+59*(1/3)</f>
        <v>-55.333333333333336</v>
      </c>
      <c r="AX469" s="40">
        <f>-46-29-0+59*(1/3)</f>
        <v>-55.333333333333336</v>
      </c>
      <c r="AY469" s="429">
        <f>-56-29-0+56*(1/3)</f>
        <v>-66.333333333333343</v>
      </c>
      <c r="AZ469" s="41">
        <f t="shared" ref="AZ469" si="5278">-AZ111*((SUM(AVERAGE(AY160:AZ160),AVERAGE(AY166:AZ166),AVERAGE(AY172:AZ172))/AVERAGE(AY178:AZ178))*AZ234)/AZ$5</f>
        <v>-76.089072046996577</v>
      </c>
      <c r="BA469" s="41">
        <f t="shared" ref="BA469" si="5279">-BA111*((SUM(AVERAGE(AZ160:BA160),AVERAGE(AZ166:BA166),AVERAGE(AZ172:BA172))/AVERAGE(AZ178:BA178))*BA234)/BA$5</f>
        <v>-88.07527316398847</v>
      </c>
      <c r="BB469" s="41">
        <f t="shared" ref="BB469" si="5280">-BB111*((SUM(AVERAGE(BA160:BB160),AVERAGE(BA166:BB166),AVERAGE(BA172:BB172))/AVERAGE(BA178:BB178))*BB234)/BB$5</f>
        <v>-98.53490157716665</v>
      </c>
      <c r="BC469" s="41">
        <f t="shared" ref="BC469" si="5281">-BC111*((SUM(AVERAGE(BB160:BC160),AVERAGE(BB166:BC166),AVERAGE(BB172:BC172))/AVERAGE(BB178:BC178))*BC234)/BC$5</f>
        <v>-109.94845914533518</v>
      </c>
      <c r="BD469" s="41">
        <f t="shared" ref="BD469" si="5282">-BD111*((SUM(AVERAGE(BC160:BD160),AVERAGE(BC166:BD166),AVERAGE(BC172:BD172))/AVERAGE(BC178:BD178))*BD234)/BD$5</f>
        <v>-99.279656274308962</v>
      </c>
      <c r="BE469" s="41">
        <f t="shared" ref="BE469" si="5283">-BE111*((SUM(AVERAGE(BD160:BE160),AVERAGE(BD166:BE166),AVERAGE(BD172:BE172))/AVERAGE(BD178:BE178))*BE234)/BE$5</f>
        <v>-88.99012975370664</v>
      </c>
      <c r="BF469" s="41">
        <f t="shared" ref="BF469" si="5284">-BF111*((SUM(AVERAGE(BE160:BF160),AVERAGE(BE166:BF166),AVERAGE(BE172:BF172))/AVERAGE(BE178:BF178))*BF234)/BF$5</f>
        <v>-78.416914417979271</v>
      </c>
      <c r="BG469" s="41">
        <f t="shared" ref="BG469:BK469" si="5285">-BG111*((SUM(AVERAGE(BF160:BG160),AVERAGE(BF166:BG166),AVERAGE(BF172:BG172))/AVERAGE(BF178:BG178))*BG234)/BG$5</f>
        <v>-68.349508266017196</v>
      </c>
      <c r="BH469" s="41">
        <f t="shared" si="5285"/>
        <v>-60.614824693911665</v>
      </c>
      <c r="BI469" s="41">
        <f t="shared" si="5285"/>
        <v>-53.483018230485925</v>
      </c>
      <c r="BJ469" s="41">
        <f t="shared" si="5285"/>
        <v>-55.931099343649805</v>
      </c>
      <c r="BK469" s="41">
        <f t="shared" si="5285"/>
        <v>-59.077716938074282</v>
      </c>
      <c r="BL469" s="41">
        <f t="shared" ref="BL469" si="5286">-BL111*((SUM(AVERAGE(BK160:BL160),AVERAGE(BK166:BL166),AVERAGE(BK172:BL172))/AVERAGE(BK178:BL178))*BL234)/BL$5</f>
        <v>-61.81330586064545</v>
      </c>
      <c r="BM469" s="41">
        <f t="shared" ref="BM469" si="5287">-BM111*((SUM(AVERAGE(BL160:BM160),AVERAGE(BL166:BM166),AVERAGE(BL172:BM172))/AVERAGE(BL178:BM178))*BM234)/BM$5</f>
        <v>-64.763193486108776</v>
      </c>
      <c r="BN469" s="41">
        <f t="shared" ref="BN469" si="5288">-BN111*((SUM(AVERAGE(BM160:BN160),AVERAGE(BM166:BN166),AVERAGE(BM172:BN172))/AVERAGE(BM178:BN178))*BN234)/BN$5</f>
        <v>-66.874584291146078</v>
      </c>
      <c r="BO469" s="41">
        <f t="shared" ref="BO469" si="5289">-BO111*((SUM(AVERAGE(BN160:BO160),AVERAGE(BN166:BO166),AVERAGE(BN172:BO172))/AVERAGE(BN178:BO178))*BO234)/BO$5</f>
        <v>-67.932847490425871</v>
      </c>
      <c r="BP469" s="41">
        <f t="shared" ref="BP469" si="5290">-BP111*((SUM(AVERAGE(BO160:BP160),AVERAGE(BO166:BP166),AVERAGE(BO172:BP172))/AVERAGE(BO178:BP178))*BP234)/BP$5</f>
        <v>-68.259381746260601</v>
      </c>
      <c r="BQ469" s="41">
        <f t="shared" ref="BQ469" si="5291">-BQ111*((SUM(AVERAGE(BP160:BQ160),AVERAGE(BP166:BQ166),AVERAGE(BP172:BQ172))/AVERAGE(BP178:BQ178))*BQ234)/BQ$5</f>
        <v>-69.346977000847133</v>
      </c>
      <c r="BR469" s="41"/>
      <c r="BS469" s="41">
        <f t="shared" ref="BS469:CH469" si="5292">-BS111*((SUM(AVERAGE(BR160:BS160),AVERAGE(BR166:BS166),AVERAGE(BR172:BS172))/AVERAGE(BR178:BS178))*BS234)/BS$5</f>
        <v>-11.923184824405597</v>
      </c>
      <c r="BT469" s="41">
        <f t="shared" si="5292"/>
        <v>-25.336465167298908</v>
      </c>
      <c r="BU469" s="41">
        <f t="shared" si="5292"/>
        <v>-9.5770562389563434</v>
      </c>
      <c r="BV469" s="41">
        <f t="shared" si="5292"/>
        <v>-11.73557362465959</v>
      </c>
      <c r="BW469" s="41">
        <f t="shared" si="5292"/>
        <v>-11.856334699162177</v>
      </c>
      <c r="BX469" s="41">
        <f t="shared" si="5292"/>
        <v>-14.675228372381012</v>
      </c>
      <c r="BY469" s="41">
        <f t="shared" si="5292"/>
        <v>-20.928920179560418</v>
      </c>
      <c r="BZ469" s="41">
        <f t="shared" si="5292"/>
        <v>-18.527989270962514</v>
      </c>
      <c r="CA469" s="41">
        <f t="shared" si="5292"/>
        <v>-42.558214288099386</v>
      </c>
      <c r="CB469" s="41">
        <f t="shared" si="5292"/>
        <v>-93.14048991651751</v>
      </c>
      <c r="CC469" s="41">
        <f t="shared" si="5292"/>
        <v>-76.510337667284745</v>
      </c>
      <c r="CD469" s="41">
        <f t="shared" si="5292"/>
        <v>-57.704701408946462</v>
      </c>
      <c r="CE469" s="41">
        <f t="shared" si="5292"/>
        <v>-57.358116999227363</v>
      </c>
      <c r="CF469" s="41">
        <f t="shared" si="5292"/>
        <v>-68.137203835691452</v>
      </c>
      <c r="CG469" s="41">
        <f t="shared" si="5292"/>
        <v>-111.9339854452833</v>
      </c>
      <c r="CH469" s="41">
        <f t="shared" si="5292"/>
        <v>-144.9200539017518</v>
      </c>
      <c r="CI469" s="41">
        <f t="shared" si="5221"/>
        <v>-425.66666666666663</v>
      </c>
      <c r="CJ469" s="41">
        <f t="shared" si="5222"/>
        <v>-649</v>
      </c>
      <c r="CK469" s="41">
        <f t="shared" si="5223"/>
        <v>-544.33333333333337</v>
      </c>
      <c r="CL469" s="41">
        <f t="shared" si="5224"/>
        <v>-652.33333333333348</v>
      </c>
      <c r="CM469" s="41">
        <f t="shared" si="5225"/>
        <v>-654.66666666666674</v>
      </c>
      <c r="CN469" s="41">
        <f t="shared" si="5226"/>
        <v>-615.66666666666674</v>
      </c>
      <c r="CO469" s="41">
        <f t="shared" si="5227"/>
        <v>-725.33333333333326</v>
      </c>
      <c r="CP469" s="41">
        <f t="shared" si="5228"/>
        <v>-827.33333333333326</v>
      </c>
      <c r="CQ469" s="41">
        <f t="shared" si="5229"/>
        <v>-917</v>
      </c>
      <c r="CR469" s="41">
        <f t="shared" si="5230"/>
        <v>-939</v>
      </c>
      <c r="CS469" s="41">
        <f t="shared" si="5231"/>
        <v>-802</v>
      </c>
      <c r="CT469" s="41">
        <f t="shared" si="5232"/>
        <v>-681.33333333333326</v>
      </c>
      <c r="CU469" s="41">
        <f t="shared" si="5233"/>
        <v>-483</v>
      </c>
      <c r="CV469" s="41">
        <f t="shared" si="5234"/>
        <v>-309.33333333333331</v>
      </c>
      <c r="CW469" s="41">
        <f t="shared" si="5235"/>
        <v>-247.66666666666669</v>
      </c>
      <c r="CX469" s="41">
        <f t="shared" si="5236"/>
        <v>-86.333333333333343</v>
      </c>
      <c r="CY469" s="41">
        <f t="shared" si="5237"/>
        <v>-97.333333333333343</v>
      </c>
      <c r="CZ469" s="211">
        <f t="shared" si="5238"/>
        <v>-121.66666666666669</v>
      </c>
      <c r="DA469" s="41">
        <f t="shared" si="5239"/>
        <v>-164.16434521098506</v>
      </c>
      <c r="DB469" s="41">
        <f t="shared" si="5240"/>
        <v>-208.48336072250183</v>
      </c>
      <c r="DC469" s="41">
        <f t="shared" si="5241"/>
        <v>-188.2697860280156</v>
      </c>
      <c r="DD469" s="41">
        <f t="shared" si="5242"/>
        <v>-146.76642268399647</v>
      </c>
      <c r="DE469" s="41">
        <f t="shared" si="5243"/>
        <v>-114.09784292439758</v>
      </c>
      <c r="DF469" s="41">
        <f t="shared" si="5244"/>
        <v>-115.00881628172408</v>
      </c>
      <c r="DG469" s="41">
        <f t="shared" si="5245"/>
        <v>-126.57649934675422</v>
      </c>
      <c r="DH469" s="41">
        <f t="shared" si="5246"/>
        <v>-134.80743178157195</v>
      </c>
      <c r="DI469" s="41">
        <f t="shared" si="5247"/>
        <v>-137.60635874710772</v>
      </c>
    </row>
    <row r="470" spans="1:113" s="17" customFormat="1" ht="12" outlineLevel="1">
      <c r="A470" s="1" t="s">
        <v>686</v>
      </c>
      <c r="B470" s="17" t="s">
        <v>480</v>
      </c>
      <c r="C470" s="61">
        <f>(-834+377)+(0-0)-C474</f>
        <v>-457</v>
      </c>
      <c r="D470" s="61">
        <f>-293-D474</f>
        <v>-293</v>
      </c>
      <c r="E470" s="61">
        <f>(-697+293)+(0-0)-E474</f>
        <v>-404</v>
      </c>
      <c r="F470" s="61">
        <f>-283-F474</f>
        <v>-283</v>
      </c>
      <c r="G470" s="61">
        <f>(-640+283)+(0-0)-G474</f>
        <v>-357</v>
      </c>
      <c r="H470" s="61">
        <f>-339-H474</f>
        <v>-339</v>
      </c>
      <c r="I470" s="61">
        <f>(-680+339)+(0-0)-I474</f>
        <v>-341</v>
      </c>
      <c r="J470" s="61">
        <f>-261+0-J474</f>
        <v>-261</v>
      </c>
      <c r="K470" s="61">
        <f>(-571+261)+(0-0)-K474</f>
        <v>-310</v>
      </c>
      <c r="L470" s="61">
        <f>-182+54-L474</f>
        <v>-128</v>
      </c>
      <c r="M470" s="61">
        <f>-239+73-M474</f>
        <v>-166</v>
      </c>
      <c r="N470" s="61">
        <f>-253+97</f>
        <v>-156</v>
      </c>
      <c r="O470" s="61">
        <f>-331+54-O474</f>
        <v>-277</v>
      </c>
      <c r="P470" s="61">
        <f>-323+46</f>
        <v>-277</v>
      </c>
      <c r="Q470" s="61">
        <f>-376+54</f>
        <v>-322</v>
      </c>
      <c r="R470" s="61">
        <f>-783+42-R474</f>
        <v>-833</v>
      </c>
      <c r="S470" s="61">
        <f>-1106+43-S474</f>
        <v>-1053</v>
      </c>
      <c r="T470" s="61">
        <f>-963+58-T474</f>
        <v>-922</v>
      </c>
      <c r="U470" s="61">
        <f>-730+85-U474</f>
        <v>-662</v>
      </c>
      <c r="V470" s="61">
        <f>-703+97-V474</f>
        <v>-606</v>
      </c>
      <c r="W470" s="61">
        <f>-718+130-W474</f>
        <v>-588</v>
      </c>
      <c r="X470" s="61">
        <f>-662+117-X474</f>
        <v>-545</v>
      </c>
      <c r="Y470" s="61">
        <f>-841+97-Y474</f>
        <v>-744</v>
      </c>
      <c r="Z470" s="194">
        <f>-864+111</f>
        <v>-753</v>
      </c>
      <c r="AA470" s="194">
        <f>-793+136</f>
        <v>-657</v>
      </c>
      <c r="AB470" s="194">
        <f>-688+108</f>
        <v>-580</v>
      </c>
      <c r="AC470" s="194">
        <f>-911+116</f>
        <v>-795</v>
      </c>
      <c r="AD470" s="194">
        <f>-609+107</f>
        <v>-502</v>
      </c>
      <c r="AE470" s="194">
        <f>-815+132</f>
        <v>-683</v>
      </c>
      <c r="AF470" s="194">
        <f>-656+99</f>
        <v>-557</v>
      </c>
      <c r="AG470" s="194">
        <f>-1066+123</f>
        <v>-943</v>
      </c>
      <c r="AH470" s="194">
        <f>-902+114</f>
        <v>-788</v>
      </c>
      <c r="AI470" s="194">
        <f>-791+114</f>
        <v>-677</v>
      </c>
      <c r="AJ470" s="194">
        <f>-651+107</f>
        <v>-544</v>
      </c>
      <c r="AK470" s="194">
        <f>-573+139</f>
        <v>-434</v>
      </c>
      <c r="AL470" s="194">
        <f>-498+93</f>
        <v>-405</v>
      </c>
      <c r="AM470" s="194">
        <f>-578+119</f>
        <v>-459</v>
      </c>
      <c r="AN470" s="194">
        <f>-469+104</f>
        <v>-365</v>
      </c>
      <c r="AO470" s="194">
        <f>-640+115</f>
        <v>-525</v>
      </c>
      <c r="AP470" s="61">
        <f>-340+88</f>
        <v>-252</v>
      </c>
      <c r="AQ470" s="61">
        <f>-286+94</f>
        <v>-192</v>
      </c>
      <c r="AR470" s="61">
        <f>-222+99</f>
        <v>-123</v>
      </c>
      <c r="AS470" s="61">
        <f>-206+109</f>
        <v>-97</v>
      </c>
      <c r="AT470" s="61">
        <f>-185+101</f>
        <v>-84</v>
      </c>
      <c r="AU470" s="61">
        <f>-224+66</f>
        <v>-158</v>
      </c>
      <c r="AV470" s="61">
        <f>-146+78</f>
        <v>-68</v>
      </c>
      <c r="AW470" s="61">
        <f>-170+59</f>
        <v>-111</v>
      </c>
      <c r="AX470" s="61">
        <f>-170+59</f>
        <v>-111</v>
      </c>
      <c r="AY470" s="512">
        <f>-174+56</f>
        <v>-118</v>
      </c>
      <c r="AZ470" s="62">
        <f t="shared" ref="AZ470:BA470" si="5293">SUM(AZ467:AZ469)</f>
        <v>-164.03432050373746</v>
      </c>
      <c r="BA470" s="62">
        <f t="shared" si="5293"/>
        <v>-214.14781010447822</v>
      </c>
      <c r="BB470" s="62">
        <f t="shared" ref="BB470:BC470" si="5294">SUM(BB467:BB469)</f>
        <v>-292.93009116452936</v>
      </c>
      <c r="BC470" s="62">
        <f t="shared" si="5294"/>
        <v>-375.70325947169522</v>
      </c>
      <c r="BD470" s="62">
        <f t="shared" ref="BD470:BE470" si="5295">SUM(BD467:BD469)</f>
        <v>-341.64427199594195</v>
      </c>
      <c r="BE470" s="62">
        <f t="shared" si="5295"/>
        <v>-308.79199961621021</v>
      </c>
      <c r="BF470" s="62">
        <f t="shared" ref="BF470:BG470" si="5296">SUM(BF467:BF469)</f>
        <v>-259.35353209392889</v>
      </c>
      <c r="BG470" s="62">
        <f t="shared" si="5296"/>
        <v>-211.52728111842504</v>
      </c>
      <c r="BH470" s="62">
        <f t="shared" ref="BH470:BI470" si="5297">SUM(BH467:BH469)</f>
        <v>-212.32928836943663</v>
      </c>
      <c r="BI470" s="62">
        <f t="shared" si="5297"/>
        <v>-208.77409012775075</v>
      </c>
      <c r="BJ470" s="62">
        <f t="shared" ref="BJ470:BK470" si="5298">SUM(BJ467:BJ469)</f>
        <v>-244.49367402673033</v>
      </c>
      <c r="BK470" s="62">
        <f t="shared" si="5298"/>
        <v>-286.04652044177197</v>
      </c>
      <c r="BL470" s="62">
        <f t="shared" ref="BL470:BM470" si="5299">SUM(BL467:BL469)</f>
        <v>-326.45749851171462</v>
      </c>
      <c r="BM470" s="62">
        <f t="shared" si="5299"/>
        <v>-386.29914567105902</v>
      </c>
      <c r="BN470" s="62">
        <f t="shared" ref="BN470:BO470" si="5300">SUM(BN467:BN469)</f>
        <v>-446.47481157749803</v>
      </c>
      <c r="BO470" s="62">
        <f t="shared" si="5300"/>
        <v>-511.42033676187827</v>
      </c>
      <c r="BP470" s="62">
        <f t="shared" ref="BP470:BQ470" si="5301">SUM(BP467:BP469)</f>
        <v>-561.29815677825422</v>
      </c>
      <c r="BQ470" s="62">
        <f t="shared" si="5301"/>
        <v>-575.75904979705842</v>
      </c>
      <c r="BR470" s="62"/>
      <c r="BS470" s="61">
        <f>-768.6+36.9</f>
        <v>-731.7</v>
      </c>
      <c r="BT470" s="61">
        <f>-1440+71</f>
        <v>-1369</v>
      </c>
      <c r="BU470" s="61">
        <f>-1427+88</f>
        <v>-1339</v>
      </c>
      <c r="BV470" s="61">
        <f>-497+52</f>
        <v>-445</v>
      </c>
      <c r="BW470" s="61">
        <f>-346+46</f>
        <v>-300</v>
      </c>
      <c r="BX470" s="61">
        <f>-199+49</f>
        <v>-150</v>
      </c>
      <c r="BY470" s="61">
        <f>-221+37</f>
        <v>-184</v>
      </c>
      <c r="BZ470" s="61">
        <f>-382+33</f>
        <v>-349</v>
      </c>
      <c r="CA470" s="61">
        <f>-539+46</f>
        <v>-493</v>
      </c>
      <c r="CB470" s="61">
        <f>-834+75</f>
        <v>-759</v>
      </c>
      <c r="CC470" s="62">
        <f t="shared" ref="CC470:CC478" si="5302">SUM(D470:E470)</f>
        <v>-697</v>
      </c>
      <c r="CD470" s="62">
        <f t="shared" ref="CD470:CD478" si="5303">SUM(F470:G470)</f>
        <v>-640</v>
      </c>
      <c r="CE470" s="62">
        <f t="shared" ref="CE470:CE478" si="5304">SUM(H470:I470)</f>
        <v>-680</v>
      </c>
      <c r="CF470" s="62">
        <f t="shared" ref="CF470:CF478" si="5305">SUM(J470:K470)</f>
        <v>-571</v>
      </c>
      <c r="CG470" s="62">
        <f t="shared" ref="CG470:CG478" si="5306">SUM(L470:M470)</f>
        <v>-294</v>
      </c>
      <c r="CH470" s="62">
        <f t="shared" ref="CH470:CH478" si="5307">SUM(N470:O470)</f>
        <v>-433</v>
      </c>
      <c r="CI470" s="62">
        <f t="shared" si="5221"/>
        <v>-599</v>
      </c>
      <c r="CJ470" s="62">
        <f t="shared" si="5222"/>
        <v>-1886</v>
      </c>
      <c r="CK470" s="62">
        <f t="shared" si="5223"/>
        <v>-1584</v>
      </c>
      <c r="CL470" s="62">
        <f t="shared" si="5224"/>
        <v>-1194</v>
      </c>
      <c r="CM470" s="62">
        <f t="shared" si="5225"/>
        <v>-1289</v>
      </c>
      <c r="CN470" s="62">
        <f t="shared" si="5226"/>
        <v>-1410</v>
      </c>
      <c r="CO470" s="62">
        <f t="shared" si="5227"/>
        <v>-1375</v>
      </c>
      <c r="CP470" s="62">
        <f t="shared" si="5228"/>
        <v>-1185</v>
      </c>
      <c r="CQ470" s="62">
        <f t="shared" si="5229"/>
        <v>-1500</v>
      </c>
      <c r="CR470" s="62">
        <f t="shared" si="5230"/>
        <v>-1465</v>
      </c>
      <c r="CS470" s="62">
        <f t="shared" si="5231"/>
        <v>-978</v>
      </c>
      <c r="CT470" s="62">
        <f t="shared" si="5232"/>
        <v>-864</v>
      </c>
      <c r="CU470" s="62">
        <f t="shared" si="5233"/>
        <v>-890</v>
      </c>
      <c r="CV470" s="62">
        <f t="shared" si="5234"/>
        <v>-444</v>
      </c>
      <c r="CW470" s="62">
        <f t="shared" si="5235"/>
        <v>-220</v>
      </c>
      <c r="CX470" s="62">
        <f t="shared" si="5236"/>
        <v>-242</v>
      </c>
      <c r="CY470" s="62">
        <f t="shared" si="5237"/>
        <v>-179</v>
      </c>
      <c r="CZ470" s="220">
        <f t="shared" si="5238"/>
        <v>-229</v>
      </c>
      <c r="DA470" s="62">
        <f t="shared" si="5239"/>
        <v>-378.18213060821569</v>
      </c>
      <c r="DB470" s="62">
        <f t="shared" si="5240"/>
        <v>-668.63335063622458</v>
      </c>
      <c r="DC470" s="62">
        <f t="shared" si="5241"/>
        <v>-650.43627161215215</v>
      </c>
      <c r="DD470" s="62">
        <f t="shared" si="5242"/>
        <v>-470.88081321235393</v>
      </c>
      <c r="DE470" s="62">
        <f t="shared" si="5243"/>
        <v>-421.10337849718735</v>
      </c>
      <c r="DF470" s="62">
        <f t="shared" si="5244"/>
        <v>-530.54019446850225</v>
      </c>
      <c r="DG470" s="62">
        <f t="shared" si="5245"/>
        <v>-712.7566441827737</v>
      </c>
      <c r="DH470" s="62">
        <f t="shared" si="5246"/>
        <v>-957.89514833937631</v>
      </c>
      <c r="DI470" s="62">
        <f t="shared" si="5247"/>
        <v>-1137.0572065753126</v>
      </c>
    </row>
    <row r="471" spans="1:113" ht="12" outlineLevel="1">
      <c r="A471" s="1" t="s">
        <v>687</v>
      </c>
      <c r="B471" s="15" t="s">
        <v>481</v>
      </c>
      <c r="C471" s="41">
        <f t="shared" ref="C471:L471" si="5308">C472-C470</f>
        <v>167</v>
      </c>
      <c r="D471" s="41">
        <f t="shared" si="5308"/>
        <v>-8</v>
      </c>
      <c r="E471" s="41">
        <f t="shared" si="5308"/>
        <v>95</v>
      </c>
      <c r="F471" s="41">
        <f t="shared" si="5308"/>
        <v>-20</v>
      </c>
      <c r="G471" s="41">
        <f t="shared" si="5308"/>
        <v>46</v>
      </c>
      <c r="H471" s="41">
        <f t="shared" si="5308"/>
        <v>26</v>
      </c>
      <c r="I471" s="41">
        <f t="shared" si="5308"/>
        <v>22</v>
      </c>
      <c r="J471" s="41">
        <f t="shared" si="5308"/>
        <v>21</v>
      </c>
      <c r="K471" s="41">
        <f t="shared" si="5308"/>
        <v>-15</v>
      </c>
      <c r="L471" s="41">
        <f t="shared" si="5308"/>
        <v>-96</v>
      </c>
      <c r="M471" s="41">
        <f t="shared" ref="M471:X471" si="5309">M472-M470</f>
        <v>-17</v>
      </c>
      <c r="N471" s="41">
        <f t="shared" si="5309"/>
        <v>-84</v>
      </c>
      <c r="O471" s="41">
        <f t="shared" si="5309"/>
        <v>-5</v>
      </c>
      <c r="P471" s="41">
        <f t="shared" si="5309"/>
        <v>-449</v>
      </c>
      <c r="Q471" s="41">
        <f t="shared" si="5309"/>
        <v>-1056</v>
      </c>
      <c r="R471" s="41">
        <f t="shared" si="5309"/>
        <v>-632</v>
      </c>
      <c r="S471" s="41">
        <f t="shared" si="5309"/>
        <v>-569</v>
      </c>
      <c r="T471" s="41">
        <f t="shared" si="5309"/>
        <v>-177</v>
      </c>
      <c r="U471" s="41">
        <f t="shared" si="5309"/>
        <v>-60</v>
      </c>
      <c r="V471" s="41">
        <f t="shared" si="5309"/>
        <v>-54</v>
      </c>
      <c r="W471" s="41">
        <f t="shared" si="5309"/>
        <v>28</v>
      </c>
      <c r="X471" s="41">
        <f t="shared" si="5309"/>
        <v>-25</v>
      </c>
      <c r="Y471" s="41">
        <f t="shared" ref="Y471:AD471" si="5310">Y472-Y470</f>
        <v>56</v>
      </c>
      <c r="Z471" s="41">
        <f t="shared" si="5310"/>
        <v>154</v>
      </c>
      <c r="AA471" s="41">
        <f t="shared" si="5310"/>
        <v>59</v>
      </c>
      <c r="AB471" s="41">
        <f t="shared" si="5310"/>
        <v>52</v>
      </c>
      <c r="AC471" s="41">
        <f t="shared" si="5310"/>
        <v>334</v>
      </c>
      <c r="AD471" s="41">
        <f t="shared" si="5310"/>
        <v>-8</v>
      </c>
      <c r="AE471" s="41">
        <f t="shared" ref="AE471:AF471" si="5311">AE472-AE470</f>
        <v>-12</v>
      </c>
      <c r="AF471" s="41">
        <f t="shared" si="5311"/>
        <v>-361</v>
      </c>
      <c r="AG471" s="41">
        <f t="shared" ref="AG471:AH471" si="5312">AG472-AG470</f>
        <v>-95</v>
      </c>
      <c r="AH471" s="41">
        <f t="shared" si="5312"/>
        <v>68</v>
      </c>
      <c r="AI471" s="41">
        <f t="shared" ref="AI471:AL471" si="5313">AI472-AI470</f>
        <v>198</v>
      </c>
      <c r="AJ471" s="41">
        <f t="shared" si="5313"/>
        <v>136</v>
      </c>
      <c r="AK471" s="41">
        <f t="shared" si="5313"/>
        <v>154</v>
      </c>
      <c r="AL471" s="41">
        <f t="shared" si="5313"/>
        <v>12</v>
      </c>
      <c r="AM471" s="41">
        <f t="shared" ref="AM471:AN471" si="5314">AM472-AM470</f>
        <v>57</v>
      </c>
      <c r="AN471" s="41">
        <f t="shared" si="5314"/>
        <v>-1309</v>
      </c>
      <c r="AO471" s="41">
        <f t="shared" ref="AO471" si="5315">AO472-AO470</f>
        <v>-539</v>
      </c>
      <c r="AP471" s="41">
        <f t="shared" ref="AP471:AQ471" si="5316">AP472-AP470</f>
        <v>743</v>
      </c>
      <c r="AQ471" s="41">
        <f t="shared" si="5316"/>
        <v>268</v>
      </c>
      <c r="AR471" s="41">
        <f t="shared" ref="AR471:AS471" si="5317">AR472-AR470</f>
        <v>407</v>
      </c>
      <c r="AS471" s="41">
        <f t="shared" si="5317"/>
        <v>45</v>
      </c>
      <c r="AT471" s="41">
        <f t="shared" ref="AT471:AU471" si="5318">AT472-AT470</f>
        <v>-49</v>
      </c>
      <c r="AU471" s="41">
        <f t="shared" si="5318"/>
        <v>46</v>
      </c>
      <c r="AV471" s="41">
        <f t="shared" ref="AV471:AW471" si="5319">AV472-AV470</f>
        <v>-2</v>
      </c>
      <c r="AW471" s="41">
        <f t="shared" si="5319"/>
        <v>-225</v>
      </c>
      <c r="AX471" s="41">
        <f t="shared" ref="AX471:AY471" si="5320">AX472-AX470</f>
        <v>-34</v>
      </c>
      <c r="AY471" s="211">
        <f t="shared" si="5320"/>
        <v>-178</v>
      </c>
      <c r="AZ471" s="41">
        <f t="shared" ref="AZ471" si="5321">(AY120-AZ120)+(AY121-AZ121)</f>
        <v>-151.83349713873361</v>
      </c>
      <c r="BA471" s="41">
        <f>(AZ120-BA120)+(AZ121-BA121)</f>
        <v>-141.9304207202922</v>
      </c>
      <c r="BB471" s="41">
        <f t="shared" ref="BB471" si="5322">(BA120-BB120)+(BA121-BB121)</f>
        <v>-134.79854088616321</v>
      </c>
      <c r="BC471" s="41">
        <f t="shared" ref="BC471" si="5323">(BB120-BC120)+(BB121-BC121)</f>
        <v>-158.48781606753687</v>
      </c>
      <c r="BD471" s="41">
        <f t="shared" ref="BD471" si="5324">(BC120-BD120)+(BC121-BD121)</f>
        <v>-188.35089901909123</v>
      </c>
      <c r="BE471" s="41">
        <f t="shared" ref="BE471" si="5325">(BD120-BE120)+(BD121-BE121)</f>
        <v>-201.46794112878626</v>
      </c>
      <c r="BF471" s="41">
        <f t="shared" ref="BF471" si="5326">(BE120-BF120)+(BE121-BF121)</f>
        <v>-226.19361370401907</v>
      </c>
      <c r="BG471" s="41">
        <f t="shared" ref="BG471:BK471" si="5327">(BF120-BG120)+(BF121-BG121)</f>
        <v>-255.01251770112935</v>
      </c>
      <c r="BH471" s="41">
        <f t="shared" si="5327"/>
        <v>-288.18928427164565</v>
      </c>
      <c r="BI471" s="41">
        <f>(BH120-BI120)+(BH121-BI121)</f>
        <v>-289.02561081828435</v>
      </c>
      <c r="BJ471" s="41">
        <f t="shared" si="5327"/>
        <v>-95.001608100194744</v>
      </c>
      <c r="BK471" s="41">
        <f t="shared" si="5327"/>
        <v>-81.873709012191057</v>
      </c>
      <c r="BL471" s="41">
        <f t="shared" ref="BL471" si="5328">(BK120-BL120)+(BK121-BL121)</f>
        <v>-83.075679779283746</v>
      </c>
      <c r="BM471" s="41">
        <f t="shared" ref="BM471" si="5329">(BL120-BM120)+(BL121-BM121)</f>
        <v>-84.288126701550027</v>
      </c>
      <c r="BN471" s="41">
        <f t="shared" ref="BN471" si="5330">(BM120-BN120)+(BM121-BN121)</f>
        <v>-100.0353918609735</v>
      </c>
      <c r="BO471" s="41">
        <f t="shared" ref="BO471" si="5331">(BN120-BO120)+(BN121-BO121)</f>
        <v>-101.27179901313207</v>
      </c>
      <c r="BP471" s="41">
        <f t="shared" ref="BP471" si="5332">(BO120-BP120)+(BO121-BP121)</f>
        <v>-114.42993097278008</v>
      </c>
      <c r="BQ471" s="41">
        <f t="shared" ref="BQ471" si="5333">(BP120-BQ120)+(BP121-BQ121)</f>
        <v>-116.21871051972334</v>
      </c>
      <c r="BR471" s="41"/>
      <c r="BS471" s="41">
        <f t="shared" ref="BS471:CB471" si="5334">BS472-BS470</f>
        <v>-1205.3</v>
      </c>
      <c r="BT471" s="41">
        <f t="shared" si="5334"/>
        <v>735</v>
      </c>
      <c r="BU471" s="41">
        <f t="shared" si="5334"/>
        <v>951</v>
      </c>
      <c r="BV471" s="41">
        <f t="shared" si="5334"/>
        <v>208</v>
      </c>
      <c r="BW471" s="41">
        <f t="shared" si="5334"/>
        <v>125</v>
      </c>
      <c r="BX471" s="41">
        <f t="shared" si="5334"/>
        <v>-250</v>
      </c>
      <c r="BY471" s="41">
        <f t="shared" si="5334"/>
        <v>-303</v>
      </c>
      <c r="BZ471" s="41">
        <f t="shared" si="5334"/>
        <v>-161</v>
      </c>
      <c r="CA471" s="41">
        <f t="shared" si="5334"/>
        <v>-9</v>
      </c>
      <c r="CB471" s="41">
        <f t="shared" si="5334"/>
        <v>228</v>
      </c>
      <c r="CC471" s="41">
        <f t="shared" si="5302"/>
        <v>87</v>
      </c>
      <c r="CD471" s="41">
        <f t="shared" si="5303"/>
        <v>26</v>
      </c>
      <c r="CE471" s="41">
        <f t="shared" si="5304"/>
        <v>48</v>
      </c>
      <c r="CF471" s="41">
        <f t="shared" si="5305"/>
        <v>6</v>
      </c>
      <c r="CG471" s="41">
        <f t="shared" si="5306"/>
        <v>-113</v>
      </c>
      <c r="CH471" s="41">
        <f t="shared" si="5307"/>
        <v>-89</v>
      </c>
      <c r="CI471" s="41">
        <f t="shared" si="5221"/>
        <v>-1505</v>
      </c>
      <c r="CJ471" s="41">
        <f t="shared" si="5222"/>
        <v>-1201</v>
      </c>
      <c r="CK471" s="41">
        <f t="shared" si="5223"/>
        <v>-237</v>
      </c>
      <c r="CL471" s="41">
        <f t="shared" si="5224"/>
        <v>-26</v>
      </c>
      <c r="CM471" s="41">
        <f t="shared" si="5225"/>
        <v>31</v>
      </c>
      <c r="CN471" s="41">
        <f t="shared" si="5226"/>
        <v>213</v>
      </c>
      <c r="CO471" s="41">
        <f t="shared" si="5227"/>
        <v>386</v>
      </c>
      <c r="CP471" s="41">
        <f t="shared" si="5228"/>
        <v>-20</v>
      </c>
      <c r="CQ471" s="41">
        <f t="shared" si="5229"/>
        <v>-456</v>
      </c>
      <c r="CR471" s="41">
        <f t="shared" si="5230"/>
        <v>266</v>
      </c>
      <c r="CS471" s="41">
        <f t="shared" si="5231"/>
        <v>290</v>
      </c>
      <c r="CT471" s="41">
        <f t="shared" si="5232"/>
        <v>69</v>
      </c>
      <c r="CU471" s="41">
        <f t="shared" si="5233"/>
        <v>-1848</v>
      </c>
      <c r="CV471" s="41">
        <f t="shared" si="5234"/>
        <v>1011</v>
      </c>
      <c r="CW471" s="41">
        <f t="shared" si="5235"/>
        <v>452</v>
      </c>
      <c r="CX471" s="41">
        <f t="shared" si="5236"/>
        <v>-3</v>
      </c>
      <c r="CY471" s="41">
        <f t="shared" si="5237"/>
        <v>-227</v>
      </c>
      <c r="CZ471" s="211">
        <f t="shared" si="5238"/>
        <v>-212</v>
      </c>
      <c r="DA471" s="41">
        <f t="shared" si="5239"/>
        <v>-293.76391785902581</v>
      </c>
      <c r="DB471" s="41">
        <f t="shared" si="5240"/>
        <v>-293.28635695370008</v>
      </c>
      <c r="DC471" s="41">
        <f t="shared" si="5241"/>
        <v>-389.81884014787749</v>
      </c>
      <c r="DD471" s="41">
        <f t="shared" si="5242"/>
        <v>-481.20613140514843</v>
      </c>
      <c r="DE471" s="41">
        <f t="shared" si="5243"/>
        <v>-577.21489508993</v>
      </c>
      <c r="DF471" s="41">
        <f t="shared" si="5244"/>
        <v>-176.8753171123858</v>
      </c>
      <c r="DG471" s="41">
        <f t="shared" si="5245"/>
        <v>-167.36380648083377</v>
      </c>
      <c r="DH471" s="41">
        <f t="shared" si="5246"/>
        <v>-201.30719087410557</v>
      </c>
      <c r="DI471" s="41">
        <f t="shared" si="5247"/>
        <v>-230.64864149250343</v>
      </c>
    </row>
    <row r="472" spans="1:113" s="17" customFormat="1" ht="12" outlineLevel="1">
      <c r="A472" s="1" t="s">
        <v>106</v>
      </c>
      <c r="B472" s="17" t="s">
        <v>168</v>
      </c>
      <c r="C472" s="62">
        <f>C478-SUM(C473:C477)</f>
        <v>-290</v>
      </c>
      <c r="D472" s="62">
        <f>D478-SUM(D473:D477)</f>
        <v>-301</v>
      </c>
      <c r="E472" s="62">
        <f>E478-SUM(E473:E477)</f>
        <v>-309</v>
      </c>
      <c r="F472" s="62">
        <f>F478-SUM(F473:F477)</f>
        <v>-303</v>
      </c>
      <c r="G472" s="62">
        <f>G478-SUM(G473:G477)</f>
        <v>-311</v>
      </c>
      <c r="H472" s="62">
        <f t="shared" ref="H472:L472" si="5335">H478-SUM(H473:H477)</f>
        <v>-313</v>
      </c>
      <c r="I472" s="62">
        <f t="shared" si="5335"/>
        <v>-319</v>
      </c>
      <c r="J472" s="62">
        <f t="shared" si="5335"/>
        <v>-240</v>
      </c>
      <c r="K472" s="62">
        <f t="shared" si="5335"/>
        <v>-325</v>
      </c>
      <c r="L472" s="62">
        <f t="shared" si="5335"/>
        <v>-224</v>
      </c>
      <c r="M472" s="62">
        <f t="shared" ref="M472:T472" si="5336">M478-SUM(M473:M477)</f>
        <v>-183</v>
      </c>
      <c r="N472" s="62">
        <f t="shared" si="5336"/>
        <v>-240</v>
      </c>
      <c r="O472" s="62">
        <f t="shared" si="5336"/>
        <v>-282</v>
      </c>
      <c r="P472" s="62">
        <f t="shared" si="5336"/>
        <v>-726</v>
      </c>
      <c r="Q472" s="62">
        <f t="shared" si="5336"/>
        <v>-1378</v>
      </c>
      <c r="R472" s="62">
        <f t="shared" si="5336"/>
        <v>-1465</v>
      </c>
      <c r="S472" s="62">
        <f t="shared" si="5336"/>
        <v>-1622</v>
      </c>
      <c r="T472" s="62">
        <f t="shared" si="5336"/>
        <v>-1099</v>
      </c>
      <c r="U472" s="62">
        <f t="shared" ref="U472:AA472" si="5337">U478-SUM(U473:U477)</f>
        <v>-722</v>
      </c>
      <c r="V472" s="62">
        <f t="shared" si="5337"/>
        <v>-660</v>
      </c>
      <c r="W472" s="62">
        <f t="shared" si="5337"/>
        <v>-560</v>
      </c>
      <c r="X472" s="62">
        <f t="shared" si="5337"/>
        <v>-570</v>
      </c>
      <c r="Y472" s="62">
        <f t="shared" si="5337"/>
        <v>-688</v>
      </c>
      <c r="Z472" s="62">
        <f t="shared" si="5337"/>
        <v>-599</v>
      </c>
      <c r="AA472" s="62">
        <f t="shared" si="5337"/>
        <v>-598</v>
      </c>
      <c r="AB472" s="62">
        <f t="shared" ref="AB472:AC472" si="5338">AB478-SUM(AB473:AB477)</f>
        <v>-528</v>
      </c>
      <c r="AC472" s="62">
        <f t="shared" si="5338"/>
        <v>-461</v>
      </c>
      <c r="AD472" s="62">
        <f t="shared" ref="AD472:AE472" si="5339">AD478-SUM(AD473:AD477)</f>
        <v>-510</v>
      </c>
      <c r="AE472" s="62">
        <f t="shared" si="5339"/>
        <v>-695</v>
      </c>
      <c r="AF472" s="62">
        <f t="shared" ref="AF472:AG472" si="5340">AF478-SUM(AF473:AF477)</f>
        <v>-918</v>
      </c>
      <c r="AG472" s="62">
        <f t="shared" si="5340"/>
        <v>-1038</v>
      </c>
      <c r="AH472" s="62">
        <f t="shared" ref="AH472:AI472" si="5341">AH478-SUM(AH473:AH477)</f>
        <v>-720</v>
      </c>
      <c r="AI472" s="62">
        <f t="shared" si="5341"/>
        <v>-479</v>
      </c>
      <c r="AJ472" s="62">
        <f t="shared" ref="AJ472:AK472" si="5342">AJ478-SUM(AJ473:AJ477)</f>
        <v>-408</v>
      </c>
      <c r="AK472" s="62">
        <f t="shared" si="5342"/>
        <v>-280</v>
      </c>
      <c r="AL472" s="62">
        <f t="shared" ref="AL472:AM472" si="5343">AL478-SUM(AL473:AL477)</f>
        <v>-393</v>
      </c>
      <c r="AM472" s="62">
        <f t="shared" si="5343"/>
        <v>-402</v>
      </c>
      <c r="AN472" s="62">
        <f t="shared" ref="AN472:AO472" si="5344">AN478-SUM(AN473:AN477)</f>
        <v>-1674</v>
      </c>
      <c r="AO472" s="62">
        <f t="shared" si="5344"/>
        <v>-1064</v>
      </c>
      <c r="AP472" s="62">
        <f t="shared" ref="AP472:AQ472" si="5345">AP478-SUM(AP473:AP477)</f>
        <v>491</v>
      </c>
      <c r="AQ472" s="62">
        <f t="shared" si="5345"/>
        <v>76</v>
      </c>
      <c r="AR472" s="62">
        <f t="shared" ref="AR472:AS472" si="5346">AR478-SUM(AR473:AR477)</f>
        <v>284</v>
      </c>
      <c r="AS472" s="62">
        <f t="shared" si="5346"/>
        <v>-52</v>
      </c>
      <c r="AT472" s="62">
        <f t="shared" ref="AT472:AU472" si="5347">AT478-SUM(AT473:AT477)</f>
        <v>-133</v>
      </c>
      <c r="AU472" s="62">
        <f t="shared" si="5347"/>
        <v>-112</v>
      </c>
      <c r="AV472" s="62">
        <f t="shared" ref="AV472:AW472" si="5348">AV478-SUM(AV473:AV477)</f>
        <v>-70</v>
      </c>
      <c r="AW472" s="62">
        <f t="shared" si="5348"/>
        <v>-336</v>
      </c>
      <c r="AX472" s="62">
        <f t="shared" ref="AX472:AY472" si="5349">AX478-SUM(AX473:AX477)</f>
        <v>-145</v>
      </c>
      <c r="AY472" s="220">
        <f t="shared" si="5349"/>
        <v>-296</v>
      </c>
      <c r="AZ472" s="62">
        <f t="shared" ref="AZ472:BA472" si="5350">AZ470+AZ471</f>
        <v>-315.8678176424711</v>
      </c>
      <c r="BA472" s="62">
        <f t="shared" si="5350"/>
        <v>-356.07823082477046</v>
      </c>
      <c r="BB472" s="62">
        <f t="shared" ref="BB472:BC472" si="5351">BB470+BB471</f>
        <v>-427.72863205069257</v>
      </c>
      <c r="BC472" s="62">
        <f t="shared" si="5351"/>
        <v>-534.19107553923209</v>
      </c>
      <c r="BD472" s="62">
        <f t="shared" ref="BD472:BE472" si="5352">BD470+BD471</f>
        <v>-529.99517101503318</v>
      </c>
      <c r="BE472" s="62">
        <f t="shared" si="5352"/>
        <v>-510.25994074499647</v>
      </c>
      <c r="BF472" s="62">
        <f t="shared" ref="BF472:BG472" si="5353">BF470+BF471</f>
        <v>-485.54714579794796</v>
      </c>
      <c r="BG472" s="62">
        <f t="shared" si="5353"/>
        <v>-466.53979881955439</v>
      </c>
      <c r="BH472" s="62">
        <f t="shared" ref="BH472:BI472" si="5354">BH470+BH471</f>
        <v>-500.5185726410823</v>
      </c>
      <c r="BI472" s="62">
        <f t="shared" si="5354"/>
        <v>-497.7997009460351</v>
      </c>
      <c r="BJ472" s="62">
        <f t="shared" ref="BJ472:BK472" si="5355">BJ470+BJ471</f>
        <v>-339.49528212692508</v>
      </c>
      <c r="BK472" s="62">
        <f t="shared" si="5355"/>
        <v>-367.92022945396303</v>
      </c>
      <c r="BL472" s="62">
        <f t="shared" ref="BL472:BM472" si="5356">BL470+BL471</f>
        <v>-409.53317829099836</v>
      </c>
      <c r="BM472" s="62">
        <f t="shared" si="5356"/>
        <v>-470.58727237260905</v>
      </c>
      <c r="BN472" s="62">
        <f t="shared" ref="BN472:BO472" si="5357">BN470+BN471</f>
        <v>-546.51020343847154</v>
      </c>
      <c r="BO472" s="62">
        <f t="shared" si="5357"/>
        <v>-612.69213577501034</v>
      </c>
      <c r="BP472" s="62">
        <f t="shared" ref="BP472:BQ472" si="5358">BP470+BP471</f>
        <v>-675.72808775103431</v>
      </c>
      <c r="BQ472" s="62">
        <f t="shared" si="5358"/>
        <v>-691.97776031678177</v>
      </c>
      <c r="BR472" s="62"/>
      <c r="BS472" s="62">
        <f t="shared" ref="BS472:CB472" si="5359">BS478-SUM(BS473:BS477)</f>
        <v>-1937</v>
      </c>
      <c r="BT472" s="62">
        <f t="shared" si="5359"/>
        <v>-634</v>
      </c>
      <c r="BU472" s="62">
        <f t="shared" si="5359"/>
        <v>-388</v>
      </c>
      <c r="BV472" s="62">
        <f t="shared" si="5359"/>
        <v>-237</v>
      </c>
      <c r="BW472" s="62">
        <f t="shared" si="5359"/>
        <v>-175</v>
      </c>
      <c r="BX472" s="62">
        <f t="shared" si="5359"/>
        <v>-400</v>
      </c>
      <c r="BY472" s="62">
        <f t="shared" si="5359"/>
        <v>-487</v>
      </c>
      <c r="BZ472" s="62">
        <f t="shared" si="5359"/>
        <v>-510</v>
      </c>
      <c r="CA472" s="62">
        <f t="shared" si="5359"/>
        <v>-502</v>
      </c>
      <c r="CB472" s="62">
        <f t="shared" si="5359"/>
        <v>-531</v>
      </c>
      <c r="CC472" s="62">
        <f t="shared" si="5302"/>
        <v>-610</v>
      </c>
      <c r="CD472" s="62">
        <f t="shared" si="5303"/>
        <v>-614</v>
      </c>
      <c r="CE472" s="62">
        <f t="shared" si="5304"/>
        <v>-632</v>
      </c>
      <c r="CF472" s="62">
        <f t="shared" si="5305"/>
        <v>-565</v>
      </c>
      <c r="CG472" s="62">
        <f t="shared" si="5306"/>
        <v>-407</v>
      </c>
      <c r="CH472" s="62">
        <f t="shared" si="5307"/>
        <v>-522</v>
      </c>
      <c r="CI472" s="62">
        <f t="shared" si="5221"/>
        <v>-2104</v>
      </c>
      <c r="CJ472" s="62">
        <f t="shared" si="5222"/>
        <v>-3087</v>
      </c>
      <c r="CK472" s="62">
        <f t="shared" si="5223"/>
        <v>-1821</v>
      </c>
      <c r="CL472" s="62">
        <f t="shared" si="5224"/>
        <v>-1220</v>
      </c>
      <c r="CM472" s="62">
        <f t="shared" si="5225"/>
        <v>-1258</v>
      </c>
      <c r="CN472" s="62">
        <f t="shared" si="5226"/>
        <v>-1197</v>
      </c>
      <c r="CO472" s="62">
        <f t="shared" si="5227"/>
        <v>-989</v>
      </c>
      <c r="CP472" s="62">
        <f t="shared" si="5228"/>
        <v>-1205</v>
      </c>
      <c r="CQ472" s="62">
        <f t="shared" si="5229"/>
        <v>-1956</v>
      </c>
      <c r="CR472" s="62">
        <f t="shared" si="5230"/>
        <v>-1199</v>
      </c>
      <c r="CS472" s="62">
        <f t="shared" si="5231"/>
        <v>-688</v>
      </c>
      <c r="CT472" s="62">
        <f t="shared" si="5232"/>
        <v>-795</v>
      </c>
      <c r="CU472" s="62">
        <f t="shared" si="5233"/>
        <v>-2738</v>
      </c>
      <c r="CV472" s="62">
        <f t="shared" si="5234"/>
        <v>567</v>
      </c>
      <c r="CW472" s="62">
        <f t="shared" si="5235"/>
        <v>232</v>
      </c>
      <c r="CX472" s="62">
        <f t="shared" si="5236"/>
        <v>-245</v>
      </c>
      <c r="CY472" s="62">
        <f t="shared" si="5237"/>
        <v>-406</v>
      </c>
      <c r="CZ472" s="220">
        <f t="shared" si="5238"/>
        <v>-441</v>
      </c>
      <c r="DA472" s="62">
        <f t="shared" si="5239"/>
        <v>-671.94604846724155</v>
      </c>
      <c r="DB472" s="62">
        <f t="shared" si="5240"/>
        <v>-961.91970758992466</v>
      </c>
      <c r="DC472" s="62">
        <f t="shared" si="5241"/>
        <v>-1040.2551117600296</v>
      </c>
      <c r="DD472" s="62">
        <f t="shared" si="5242"/>
        <v>-952.08694461750235</v>
      </c>
      <c r="DE472" s="62">
        <f t="shared" si="5243"/>
        <v>-998.31827358711735</v>
      </c>
      <c r="DF472" s="62">
        <f t="shared" si="5244"/>
        <v>-707.41551158088805</v>
      </c>
      <c r="DG472" s="62">
        <f t="shared" si="5245"/>
        <v>-880.12045066360747</v>
      </c>
      <c r="DH472" s="62">
        <f t="shared" si="5246"/>
        <v>-1159.202339213482</v>
      </c>
      <c r="DI472" s="62">
        <f t="shared" si="5247"/>
        <v>-1367.7058480678161</v>
      </c>
    </row>
    <row r="473" spans="1:113" ht="12" hidden="1" outlineLevel="2">
      <c r="A473" s="1" t="s">
        <v>363</v>
      </c>
      <c r="B473" s="15" t="s">
        <v>857</v>
      </c>
      <c r="C473" s="41">
        <f>-C384</f>
        <v>0</v>
      </c>
      <c r="D473" s="41">
        <f>-D384</f>
        <v>0</v>
      </c>
      <c r="E473" s="41">
        <f>-E384</f>
        <v>0</v>
      </c>
      <c r="F473" s="41">
        <f t="shared" ref="F473:L473" si="5360">-F384</f>
        <v>0</v>
      </c>
      <c r="G473" s="41">
        <f t="shared" si="5360"/>
        <v>0</v>
      </c>
      <c r="H473" s="41">
        <f t="shared" si="5360"/>
        <v>0</v>
      </c>
      <c r="I473" s="41">
        <f t="shared" si="5360"/>
        <v>0</v>
      </c>
      <c r="J473" s="41">
        <f t="shared" si="5360"/>
        <v>0</v>
      </c>
      <c r="K473" s="41">
        <f t="shared" si="5360"/>
        <v>0</v>
      </c>
      <c r="L473" s="41">
        <f t="shared" si="5360"/>
        <v>0</v>
      </c>
      <c r="M473" s="41">
        <f t="shared" ref="M473:AA473" si="5361">-M384</f>
        <v>0</v>
      </c>
      <c r="N473" s="41">
        <f t="shared" si="5361"/>
        <v>0</v>
      </c>
      <c r="O473" s="41">
        <f t="shared" si="5361"/>
        <v>0</v>
      </c>
      <c r="P473" s="41">
        <f t="shared" si="5361"/>
        <v>0</v>
      </c>
      <c r="Q473" s="41">
        <f t="shared" si="5361"/>
        <v>0</v>
      </c>
      <c r="R473" s="41">
        <f t="shared" si="5361"/>
        <v>0</v>
      </c>
      <c r="S473" s="41">
        <f t="shared" si="5361"/>
        <v>0</v>
      </c>
      <c r="T473" s="41">
        <f t="shared" si="5361"/>
        <v>0</v>
      </c>
      <c r="U473" s="41">
        <f t="shared" si="5361"/>
        <v>0</v>
      </c>
      <c r="V473" s="41">
        <f t="shared" si="5361"/>
        <v>0</v>
      </c>
      <c r="W473" s="41">
        <f t="shared" si="5361"/>
        <v>0</v>
      </c>
      <c r="X473" s="41">
        <f t="shared" si="5361"/>
        <v>0</v>
      </c>
      <c r="Y473" s="41">
        <f>-Y384</f>
        <v>0</v>
      </c>
      <c r="Z473" s="41">
        <f t="shared" si="5361"/>
        <v>0</v>
      </c>
      <c r="AA473" s="41">
        <f t="shared" si="5361"/>
        <v>0</v>
      </c>
      <c r="AB473" s="41">
        <f t="shared" ref="AB473:AC473" si="5362">-AB384</f>
        <v>0</v>
      </c>
      <c r="AC473" s="41">
        <f t="shared" si="5362"/>
        <v>0</v>
      </c>
      <c r="AD473" s="41">
        <f t="shared" ref="AD473:AE473" si="5363">-AD384</f>
        <v>0</v>
      </c>
      <c r="AE473" s="41">
        <f t="shared" si="5363"/>
        <v>0</v>
      </c>
      <c r="AF473" s="41">
        <f t="shared" ref="AF473:AG473" si="5364">-AF384</f>
        <v>0</v>
      </c>
      <c r="AG473" s="41">
        <f t="shared" si="5364"/>
        <v>0</v>
      </c>
      <c r="AH473" s="41">
        <f t="shared" ref="AH473:AI473" si="5365">-AH384</f>
        <v>0</v>
      </c>
      <c r="AI473" s="41">
        <f t="shared" si="5365"/>
        <v>0</v>
      </c>
      <c r="AJ473" s="41">
        <f t="shared" ref="AJ473:AK473" si="5366">-AJ384</f>
        <v>0</v>
      </c>
      <c r="AK473" s="41">
        <f t="shared" si="5366"/>
        <v>0</v>
      </c>
      <c r="AL473" s="41">
        <f t="shared" ref="AL473:AM473" si="5367">-AL384</f>
        <v>0</v>
      </c>
      <c r="AM473" s="41">
        <f t="shared" si="5367"/>
        <v>0</v>
      </c>
      <c r="AN473" s="41">
        <f t="shared" ref="AN473:AO473" si="5368">-AN384</f>
        <v>0</v>
      </c>
      <c r="AO473" s="41">
        <f t="shared" si="5368"/>
        <v>0</v>
      </c>
      <c r="AP473" s="41">
        <f t="shared" ref="AP473:AQ473" si="5369">-AP384</f>
        <v>0</v>
      </c>
      <c r="AQ473" s="41">
        <f t="shared" si="5369"/>
        <v>0</v>
      </c>
      <c r="AR473" s="41">
        <f t="shared" ref="AR473:AS473" si="5370">-AR384</f>
        <v>0</v>
      </c>
      <c r="AS473" s="41">
        <f t="shared" si="5370"/>
        <v>0</v>
      </c>
      <c r="AT473" s="41">
        <f t="shared" ref="AT473:AU473" si="5371">-AT384</f>
        <v>0</v>
      </c>
      <c r="AU473" s="41">
        <f t="shared" si="5371"/>
        <v>0</v>
      </c>
      <c r="AV473" s="41">
        <f t="shared" ref="AV473:AW473" si="5372">-AV384</f>
        <v>0</v>
      </c>
      <c r="AW473" s="41">
        <f t="shared" si="5372"/>
        <v>0</v>
      </c>
      <c r="AX473" s="41">
        <f t="shared" ref="AX473:AY473" si="5373">-AX384</f>
        <v>0</v>
      </c>
      <c r="AY473" s="211">
        <f t="shared" si="5373"/>
        <v>0</v>
      </c>
      <c r="AZ473" s="41">
        <f t="shared" ref="AZ473:BA473" si="5374">-AZ384</f>
        <v>0</v>
      </c>
      <c r="BA473" s="41">
        <f t="shared" si="5374"/>
        <v>0</v>
      </c>
      <c r="BB473" s="41">
        <f t="shared" ref="BB473:BC473" si="5375">-BB384</f>
        <v>0</v>
      </c>
      <c r="BC473" s="41">
        <f t="shared" si="5375"/>
        <v>0</v>
      </c>
      <c r="BD473" s="41">
        <f t="shared" ref="BD473:BE473" si="5376">-BD384</f>
        <v>0</v>
      </c>
      <c r="BE473" s="41">
        <f t="shared" si="5376"/>
        <v>0</v>
      </c>
      <c r="BF473" s="41">
        <f t="shared" ref="BF473:BG473" si="5377">-BF384</f>
        <v>0</v>
      </c>
      <c r="BG473" s="41">
        <f t="shared" si="5377"/>
        <v>0</v>
      </c>
      <c r="BH473" s="41">
        <f t="shared" ref="BH473:BI473" si="5378">-BH384</f>
        <v>0</v>
      </c>
      <c r="BI473" s="41">
        <f t="shared" si="5378"/>
        <v>0</v>
      </c>
      <c r="BJ473" s="41">
        <f t="shared" ref="BJ473:BK473" si="5379">-BJ384</f>
        <v>0</v>
      </c>
      <c r="BK473" s="41">
        <f t="shared" si="5379"/>
        <v>0</v>
      </c>
      <c r="BL473" s="41">
        <f t="shared" ref="BL473:BM473" si="5380">-BL384</f>
        <v>0</v>
      </c>
      <c r="BM473" s="41">
        <f t="shared" si="5380"/>
        <v>0</v>
      </c>
      <c r="BN473" s="41">
        <f t="shared" ref="BN473:BO473" si="5381">-BN384</f>
        <v>0</v>
      </c>
      <c r="BO473" s="41">
        <f t="shared" si="5381"/>
        <v>0</v>
      </c>
      <c r="BP473" s="41">
        <f t="shared" ref="BP473:BQ473" si="5382">-BP384</f>
        <v>0</v>
      </c>
      <c r="BQ473" s="41">
        <f t="shared" si="5382"/>
        <v>0</v>
      </c>
      <c r="BR473" s="41"/>
      <c r="BS473" s="41">
        <f t="shared" ref="BS473:CB473" si="5383">-BS384</f>
        <v>0</v>
      </c>
      <c r="BT473" s="41">
        <f t="shared" si="5383"/>
        <v>0</v>
      </c>
      <c r="BU473" s="41">
        <f t="shared" si="5383"/>
        <v>0</v>
      </c>
      <c r="BV473" s="41">
        <f t="shared" si="5383"/>
        <v>0</v>
      </c>
      <c r="BW473" s="41">
        <f t="shared" si="5383"/>
        <v>0</v>
      </c>
      <c r="BX473" s="41">
        <f t="shared" si="5383"/>
        <v>0</v>
      </c>
      <c r="BY473" s="41">
        <f t="shared" si="5383"/>
        <v>0</v>
      </c>
      <c r="BZ473" s="41">
        <f t="shared" si="5383"/>
        <v>0</v>
      </c>
      <c r="CA473" s="41">
        <f t="shared" si="5383"/>
        <v>0</v>
      </c>
      <c r="CB473" s="41">
        <f t="shared" si="5383"/>
        <v>0</v>
      </c>
      <c r="CC473" s="41">
        <f t="shared" si="5302"/>
        <v>0</v>
      </c>
      <c r="CD473" s="41">
        <f t="shared" si="5303"/>
        <v>0</v>
      </c>
      <c r="CE473" s="41">
        <f t="shared" si="5304"/>
        <v>0</v>
      </c>
      <c r="CF473" s="41">
        <f t="shared" si="5305"/>
        <v>0</v>
      </c>
      <c r="CG473" s="41">
        <f t="shared" si="5306"/>
        <v>0</v>
      </c>
      <c r="CH473" s="41">
        <f t="shared" si="5307"/>
        <v>0</v>
      </c>
      <c r="CI473" s="41">
        <f t="shared" si="5221"/>
        <v>0</v>
      </c>
      <c r="CJ473" s="41">
        <f t="shared" si="5222"/>
        <v>0</v>
      </c>
      <c r="CK473" s="41">
        <f t="shared" si="5223"/>
        <v>0</v>
      </c>
      <c r="CL473" s="41">
        <f t="shared" si="5224"/>
        <v>0</v>
      </c>
      <c r="CM473" s="41">
        <f t="shared" si="5225"/>
        <v>0</v>
      </c>
      <c r="CN473" s="41">
        <f t="shared" si="5226"/>
        <v>0</v>
      </c>
      <c r="CO473" s="41">
        <f t="shared" si="5227"/>
        <v>0</v>
      </c>
      <c r="CP473" s="41">
        <f t="shared" si="5228"/>
        <v>0</v>
      </c>
      <c r="CQ473" s="41">
        <f t="shared" si="5229"/>
        <v>0</v>
      </c>
      <c r="CR473" s="41">
        <f t="shared" si="5230"/>
        <v>0</v>
      </c>
      <c r="CS473" s="41">
        <f t="shared" si="5231"/>
        <v>0</v>
      </c>
      <c r="CT473" s="41">
        <f t="shared" si="5232"/>
        <v>0</v>
      </c>
      <c r="CU473" s="41">
        <f t="shared" si="5233"/>
        <v>0</v>
      </c>
      <c r="CV473" s="41">
        <f t="shared" si="5234"/>
        <v>0</v>
      </c>
      <c r="CW473" s="41">
        <f t="shared" si="5235"/>
        <v>0</v>
      </c>
      <c r="CX473" s="41">
        <f t="shared" si="5236"/>
        <v>0</v>
      </c>
      <c r="CY473" s="41">
        <f t="shared" si="5237"/>
        <v>0</v>
      </c>
      <c r="CZ473" s="211">
        <f t="shared" si="5238"/>
        <v>0</v>
      </c>
      <c r="DA473" s="41">
        <f t="shared" si="5239"/>
        <v>0</v>
      </c>
      <c r="DB473" s="41">
        <f t="shared" si="5240"/>
        <v>0</v>
      </c>
      <c r="DC473" s="41">
        <f t="shared" si="5241"/>
        <v>0</v>
      </c>
      <c r="DD473" s="41">
        <f t="shared" si="5242"/>
        <v>0</v>
      </c>
      <c r="DE473" s="41">
        <f t="shared" si="5243"/>
        <v>0</v>
      </c>
      <c r="DF473" s="41">
        <f t="shared" si="5244"/>
        <v>0</v>
      </c>
      <c r="DG473" s="41">
        <f t="shared" si="5245"/>
        <v>0</v>
      </c>
      <c r="DH473" s="41">
        <f t="shared" si="5246"/>
        <v>0</v>
      </c>
      <c r="DI473" s="41">
        <f t="shared" si="5247"/>
        <v>0</v>
      </c>
    </row>
    <row r="474" spans="1:113" ht="12" hidden="1" outlineLevel="2">
      <c r="A474" s="1" t="s">
        <v>364</v>
      </c>
      <c r="B474" s="15" t="s">
        <v>447</v>
      </c>
      <c r="C474" s="41">
        <f>-C411</f>
        <v>0</v>
      </c>
      <c r="D474" s="41">
        <f>-D411</f>
        <v>0</v>
      </c>
      <c r="E474" s="41">
        <f>-E411</f>
        <v>0</v>
      </c>
      <c r="F474" s="41">
        <f t="shared" ref="F474:L474" si="5384">-F411</f>
        <v>0</v>
      </c>
      <c r="G474" s="41">
        <f t="shared" si="5384"/>
        <v>0</v>
      </c>
      <c r="H474" s="41">
        <f t="shared" si="5384"/>
        <v>0</v>
      </c>
      <c r="I474" s="41">
        <f t="shared" si="5384"/>
        <v>0</v>
      </c>
      <c r="J474" s="41">
        <f t="shared" si="5384"/>
        <v>0</v>
      </c>
      <c r="K474" s="41">
        <f t="shared" si="5384"/>
        <v>0</v>
      </c>
      <c r="L474" s="41">
        <f t="shared" si="5384"/>
        <v>0</v>
      </c>
      <c r="M474" s="41">
        <f t="shared" ref="M474:AA474" si="5385">-M411</f>
        <v>0</v>
      </c>
      <c r="N474" s="41">
        <f t="shared" si="5385"/>
        <v>0</v>
      </c>
      <c r="O474" s="41">
        <f t="shared" si="5385"/>
        <v>0</v>
      </c>
      <c r="P474" s="41">
        <f t="shared" si="5385"/>
        <v>45</v>
      </c>
      <c r="Q474" s="41">
        <f t="shared" si="5385"/>
        <v>111</v>
      </c>
      <c r="R474" s="41">
        <f t="shared" si="5385"/>
        <v>92</v>
      </c>
      <c r="S474" s="41">
        <f t="shared" si="5385"/>
        <v>-10</v>
      </c>
      <c r="T474" s="41">
        <f t="shared" si="5385"/>
        <v>17</v>
      </c>
      <c r="U474" s="41">
        <f t="shared" si="5385"/>
        <v>17</v>
      </c>
      <c r="V474" s="41">
        <f t="shared" si="5385"/>
        <v>0</v>
      </c>
      <c r="W474" s="41">
        <f t="shared" si="5385"/>
        <v>0</v>
      </c>
      <c r="X474" s="41">
        <f t="shared" si="5385"/>
        <v>0</v>
      </c>
      <c r="Y474" s="41">
        <f>-Y411</f>
        <v>0</v>
      </c>
      <c r="Z474" s="41">
        <f t="shared" si="5385"/>
        <v>0</v>
      </c>
      <c r="AA474" s="41">
        <f t="shared" si="5385"/>
        <v>0</v>
      </c>
      <c r="AB474" s="41">
        <f t="shared" ref="AB474:AC474" si="5386">-AB411</f>
        <v>0</v>
      </c>
      <c r="AC474" s="41">
        <f t="shared" si="5386"/>
        <v>0</v>
      </c>
      <c r="AD474" s="41">
        <f t="shared" ref="AD474:AE474" si="5387">-AD411</f>
        <v>0</v>
      </c>
      <c r="AE474" s="41">
        <f t="shared" si="5387"/>
        <v>0</v>
      </c>
      <c r="AF474" s="41">
        <f t="shared" ref="AF474:AG474" si="5388">-AF411</f>
        <v>0</v>
      </c>
      <c r="AG474" s="41">
        <f t="shared" si="5388"/>
        <v>0</v>
      </c>
      <c r="AH474" s="41">
        <f t="shared" ref="AH474:AI474" si="5389">-AH411</f>
        <v>0</v>
      </c>
      <c r="AI474" s="41">
        <f t="shared" si="5389"/>
        <v>0</v>
      </c>
      <c r="AJ474" s="41">
        <f t="shared" ref="AJ474:AK474" si="5390">-AJ411</f>
        <v>0</v>
      </c>
      <c r="AK474" s="41">
        <f t="shared" si="5390"/>
        <v>0</v>
      </c>
      <c r="AL474" s="41">
        <f t="shared" ref="AL474:AM474" si="5391">-AL411</f>
        <v>0</v>
      </c>
      <c r="AM474" s="41">
        <f t="shared" si="5391"/>
        <v>0</v>
      </c>
      <c r="AN474" s="41">
        <f t="shared" ref="AN474:AO474" si="5392">-AN411</f>
        <v>0</v>
      </c>
      <c r="AO474" s="41">
        <f t="shared" si="5392"/>
        <v>0</v>
      </c>
      <c r="AP474" s="41">
        <f t="shared" ref="AP474:AQ474" si="5393">-AP411</f>
        <v>0</v>
      </c>
      <c r="AQ474" s="41">
        <f t="shared" si="5393"/>
        <v>0</v>
      </c>
      <c r="AR474" s="41">
        <f t="shared" ref="AR474:AS474" si="5394">-AR411</f>
        <v>0</v>
      </c>
      <c r="AS474" s="41">
        <f t="shared" si="5394"/>
        <v>0</v>
      </c>
      <c r="AT474" s="41">
        <f t="shared" ref="AT474:AU474" si="5395">-AT411</f>
        <v>0</v>
      </c>
      <c r="AU474" s="41">
        <f t="shared" si="5395"/>
        <v>0</v>
      </c>
      <c r="AV474" s="41">
        <f t="shared" ref="AV474:AW474" si="5396">-AV411</f>
        <v>0</v>
      </c>
      <c r="AW474" s="41">
        <f t="shared" si="5396"/>
        <v>0</v>
      </c>
      <c r="AX474" s="41">
        <f t="shared" ref="AX474:AY474" si="5397">-AX411</f>
        <v>0</v>
      </c>
      <c r="AY474" s="211">
        <f t="shared" si="5397"/>
        <v>0</v>
      </c>
      <c r="AZ474" s="41">
        <f t="shared" ref="AZ474:BA474" si="5398">-AZ411</f>
        <v>0</v>
      </c>
      <c r="BA474" s="41">
        <f t="shared" si="5398"/>
        <v>0</v>
      </c>
      <c r="BB474" s="41">
        <f t="shared" ref="BB474:BC474" si="5399">-BB411</f>
        <v>0</v>
      </c>
      <c r="BC474" s="41">
        <f t="shared" si="5399"/>
        <v>0</v>
      </c>
      <c r="BD474" s="41">
        <f t="shared" ref="BD474:BE474" si="5400">-BD411</f>
        <v>0</v>
      </c>
      <c r="BE474" s="41">
        <f t="shared" si="5400"/>
        <v>0</v>
      </c>
      <c r="BF474" s="41">
        <f t="shared" ref="BF474:BG474" si="5401">-BF411</f>
        <v>0</v>
      </c>
      <c r="BG474" s="41">
        <f t="shared" si="5401"/>
        <v>0</v>
      </c>
      <c r="BH474" s="41">
        <f t="shared" ref="BH474:BI474" si="5402">-BH411</f>
        <v>0</v>
      </c>
      <c r="BI474" s="41">
        <f t="shared" si="5402"/>
        <v>0</v>
      </c>
      <c r="BJ474" s="41">
        <f t="shared" ref="BJ474:BK474" si="5403">-BJ411</f>
        <v>0</v>
      </c>
      <c r="BK474" s="41">
        <f t="shared" si="5403"/>
        <v>0</v>
      </c>
      <c r="BL474" s="41">
        <f t="shared" ref="BL474:BM474" si="5404">-BL411</f>
        <v>0</v>
      </c>
      <c r="BM474" s="41">
        <f t="shared" si="5404"/>
        <v>0</v>
      </c>
      <c r="BN474" s="41">
        <f t="shared" ref="BN474:BO474" si="5405">-BN411</f>
        <v>0</v>
      </c>
      <c r="BO474" s="41">
        <f t="shared" si="5405"/>
        <v>0</v>
      </c>
      <c r="BP474" s="41">
        <f t="shared" ref="BP474:BQ474" si="5406">-BP411</f>
        <v>0</v>
      </c>
      <c r="BQ474" s="41">
        <f t="shared" si="5406"/>
        <v>0</v>
      </c>
      <c r="BR474" s="41"/>
      <c r="BS474" s="41">
        <f t="shared" ref="BS474:CB474" si="5407">-BS411</f>
        <v>0</v>
      </c>
      <c r="BT474" s="41">
        <f t="shared" si="5407"/>
        <v>0</v>
      </c>
      <c r="BU474" s="41">
        <f t="shared" si="5407"/>
        <v>0</v>
      </c>
      <c r="BV474" s="41">
        <f t="shared" si="5407"/>
        <v>0</v>
      </c>
      <c r="BW474" s="41">
        <f t="shared" si="5407"/>
        <v>0</v>
      </c>
      <c r="BX474" s="41">
        <f t="shared" si="5407"/>
        <v>0</v>
      </c>
      <c r="BY474" s="41">
        <f t="shared" si="5407"/>
        <v>0</v>
      </c>
      <c r="BZ474" s="41">
        <f t="shared" si="5407"/>
        <v>0</v>
      </c>
      <c r="CA474" s="41">
        <f t="shared" si="5407"/>
        <v>0</v>
      </c>
      <c r="CB474" s="41">
        <f t="shared" si="5407"/>
        <v>0</v>
      </c>
      <c r="CC474" s="41">
        <f t="shared" si="5302"/>
        <v>0</v>
      </c>
      <c r="CD474" s="41">
        <f t="shared" si="5303"/>
        <v>0</v>
      </c>
      <c r="CE474" s="41">
        <f t="shared" si="5304"/>
        <v>0</v>
      </c>
      <c r="CF474" s="41">
        <f t="shared" si="5305"/>
        <v>0</v>
      </c>
      <c r="CG474" s="41">
        <f t="shared" si="5306"/>
        <v>0</v>
      </c>
      <c r="CH474" s="41">
        <f t="shared" si="5307"/>
        <v>0</v>
      </c>
      <c r="CI474" s="41">
        <f t="shared" si="5221"/>
        <v>156</v>
      </c>
      <c r="CJ474" s="41">
        <f t="shared" si="5222"/>
        <v>82</v>
      </c>
      <c r="CK474" s="41">
        <f t="shared" si="5223"/>
        <v>34</v>
      </c>
      <c r="CL474" s="41">
        <f t="shared" si="5224"/>
        <v>0</v>
      </c>
      <c r="CM474" s="41">
        <f t="shared" si="5225"/>
        <v>0</v>
      </c>
      <c r="CN474" s="41">
        <f t="shared" si="5226"/>
        <v>0</v>
      </c>
      <c r="CO474" s="41">
        <f t="shared" si="5227"/>
        <v>0</v>
      </c>
      <c r="CP474" s="41">
        <f t="shared" si="5228"/>
        <v>0</v>
      </c>
      <c r="CQ474" s="41">
        <f t="shared" si="5229"/>
        <v>0</v>
      </c>
      <c r="CR474" s="41">
        <f t="shared" si="5230"/>
        <v>0</v>
      </c>
      <c r="CS474" s="41">
        <f t="shared" si="5231"/>
        <v>0</v>
      </c>
      <c r="CT474" s="41">
        <f t="shared" si="5232"/>
        <v>0</v>
      </c>
      <c r="CU474" s="41">
        <f t="shared" si="5233"/>
        <v>0</v>
      </c>
      <c r="CV474" s="41">
        <f t="shared" si="5234"/>
        <v>0</v>
      </c>
      <c r="CW474" s="41">
        <f t="shared" si="5235"/>
        <v>0</v>
      </c>
      <c r="CX474" s="41">
        <f t="shared" si="5236"/>
        <v>0</v>
      </c>
      <c r="CY474" s="41">
        <f t="shared" si="5237"/>
        <v>0</v>
      </c>
      <c r="CZ474" s="211">
        <f t="shared" si="5238"/>
        <v>0</v>
      </c>
      <c r="DA474" s="41">
        <f t="shared" si="5239"/>
        <v>0</v>
      </c>
      <c r="DB474" s="41">
        <f t="shared" si="5240"/>
        <v>0</v>
      </c>
      <c r="DC474" s="41">
        <f t="shared" si="5241"/>
        <v>0</v>
      </c>
      <c r="DD474" s="41">
        <f t="shared" si="5242"/>
        <v>0</v>
      </c>
      <c r="DE474" s="41">
        <f t="shared" si="5243"/>
        <v>0</v>
      </c>
      <c r="DF474" s="41">
        <f t="shared" si="5244"/>
        <v>0</v>
      </c>
      <c r="DG474" s="41">
        <f t="shared" si="5245"/>
        <v>0</v>
      </c>
      <c r="DH474" s="41">
        <f t="shared" si="5246"/>
        <v>0</v>
      </c>
      <c r="DI474" s="41">
        <f t="shared" si="5247"/>
        <v>0</v>
      </c>
    </row>
    <row r="475" spans="1:113" ht="12" hidden="1" outlineLevel="2">
      <c r="A475" s="1" t="s">
        <v>688</v>
      </c>
      <c r="B475" s="15" t="s">
        <v>370</v>
      </c>
      <c r="C475" s="41">
        <f>-C446</f>
        <v>0</v>
      </c>
      <c r="D475" s="41">
        <f>-D446</f>
        <v>0</v>
      </c>
      <c r="E475" s="41">
        <f>-E446</f>
        <v>0</v>
      </c>
      <c r="F475" s="41">
        <f t="shared" ref="F475:L475" si="5408">-F446</f>
        <v>0</v>
      </c>
      <c r="G475" s="41">
        <f t="shared" si="5408"/>
        <v>0</v>
      </c>
      <c r="H475" s="41">
        <f t="shared" si="5408"/>
        <v>0</v>
      </c>
      <c r="I475" s="41">
        <f t="shared" si="5408"/>
        <v>0</v>
      </c>
      <c r="J475" s="41">
        <f t="shared" si="5408"/>
        <v>0</v>
      </c>
      <c r="K475" s="41">
        <f t="shared" si="5408"/>
        <v>0</v>
      </c>
      <c r="L475" s="41">
        <f t="shared" si="5408"/>
        <v>0</v>
      </c>
      <c r="M475" s="41">
        <f t="shared" ref="M475:AB475" si="5409">-M446</f>
        <v>0</v>
      </c>
      <c r="N475" s="41">
        <f t="shared" si="5409"/>
        <v>0</v>
      </c>
      <c r="O475" s="41">
        <f t="shared" si="5409"/>
        <v>0</v>
      </c>
      <c r="P475" s="41">
        <f t="shared" si="5409"/>
        <v>0</v>
      </c>
      <c r="Q475" s="41">
        <f t="shared" si="5409"/>
        <v>0</v>
      </c>
      <c r="R475" s="41">
        <f t="shared" si="5409"/>
        <v>0</v>
      </c>
      <c r="S475" s="41">
        <f t="shared" si="5409"/>
        <v>0</v>
      </c>
      <c r="T475" s="41">
        <f t="shared" si="5409"/>
        <v>0</v>
      </c>
      <c r="U475" s="41">
        <f t="shared" si="5409"/>
        <v>0</v>
      </c>
      <c r="V475" s="41">
        <f t="shared" si="5409"/>
        <v>0</v>
      </c>
      <c r="W475" s="41">
        <f t="shared" si="5409"/>
        <v>0</v>
      </c>
      <c r="X475" s="41">
        <f t="shared" si="5409"/>
        <v>0</v>
      </c>
      <c r="Y475" s="41">
        <f>-Y446</f>
        <v>0</v>
      </c>
      <c r="Z475" s="41">
        <f t="shared" si="5409"/>
        <v>0</v>
      </c>
      <c r="AA475" s="41">
        <f t="shared" si="5409"/>
        <v>0</v>
      </c>
      <c r="AB475" s="41">
        <f t="shared" si="5409"/>
        <v>0</v>
      </c>
      <c r="AC475" s="41">
        <f t="shared" ref="AC475:AD475" si="5410">-AC446</f>
        <v>0</v>
      </c>
      <c r="AD475" s="41">
        <f t="shared" si="5410"/>
        <v>0</v>
      </c>
      <c r="AE475" s="41">
        <f t="shared" ref="AE475:AF475" si="5411">-AE446</f>
        <v>0</v>
      </c>
      <c r="AF475" s="41">
        <f t="shared" si="5411"/>
        <v>0</v>
      </c>
      <c r="AG475" s="41">
        <f t="shared" ref="AG475:AH475" si="5412">-AG446</f>
        <v>0</v>
      </c>
      <c r="AH475" s="41">
        <f t="shared" si="5412"/>
        <v>0</v>
      </c>
      <c r="AI475" s="41">
        <f t="shared" ref="AI475:AJ475" si="5413">-AI446</f>
        <v>0</v>
      </c>
      <c r="AJ475" s="41">
        <f t="shared" si="5413"/>
        <v>0</v>
      </c>
      <c r="AK475" s="41">
        <f t="shared" ref="AK475" si="5414">-AK446</f>
        <v>0</v>
      </c>
      <c r="AL475" s="41">
        <f t="shared" ref="AL475:AM475" si="5415">-AL446</f>
        <v>0</v>
      </c>
      <c r="AM475" s="41">
        <f t="shared" si="5415"/>
        <v>0</v>
      </c>
      <c r="AN475" s="41">
        <f t="shared" ref="AN475:AO475" si="5416">-AN446</f>
        <v>0</v>
      </c>
      <c r="AO475" s="41">
        <f t="shared" si="5416"/>
        <v>0</v>
      </c>
      <c r="AP475" s="41">
        <f t="shared" ref="AP475:AQ475" si="5417">-AP446</f>
        <v>0</v>
      </c>
      <c r="AQ475" s="41">
        <f t="shared" si="5417"/>
        <v>0</v>
      </c>
      <c r="AR475" s="41">
        <f t="shared" ref="AR475:AS475" si="5418">-AR446</f>
        <v>0</v>
      </c>
      <c r="AS475" s="41">
        <f t="shared" si="5418"/>
        <v>0</v>
      </c>
      <c r="AT475" s="41">
        <f t="shared" ref="AT475:AU475" si="5419">-AT446</f>
        <v>0</v>
      </c>
      <c r="AU475" s="41">
        <f t="shared" si="5419"/>
        <v>0</v>
      </c>
      <c r="AV475" s="41">
        <f t="shared" ref="AV475:AW475" si="5420">-AV446</f>
        <v>0</v>
      </c>
      <c r="AW475" s="41">
        <f t="shared" si="5420"/>
        <v>0</v>
      </c>
      <c r="AX475" s="41">
        <f t="shared" ref="AX475:AY475" si="5421">-AX446</f>
        <v>0</v>
      </c>
      <c r="AY475" s="211">
        <f t="shared" si="5421"/>
        <v>0</v>
      </c>
      <c r="AZ475" s="41">
        <f t="shared" ref="AZ475:BA475" si="5422">-AZ446</f>
        <v>0</v>
      </c>
      <c r="BA475" s="41">
        <f t="shared" si="5422"/>
        <v>0</v>
      </c>
      <c r="BB475" s="41">
        <f t="shared" ref="BB475:BC475" si="5423">-BB446</f>
        <v>0</v>
      </c>
      <c r="BC475" s="41">
        <f t="shared" si="5423"/>
        <v>0</v>
      </c>
      <c r="BD475" s="41">
        <f t="shared" ref="BD475:BE475" si="5424">-BD446</f>
        <v>0</v>
      </c>
      <c r="BE475" s="41">
        <f t="shared" si="5424"/>
        <v>0</v>
      </c>
      <c r="BF475" s="41">
        <f t="shared" ref="BF475:BG475" si="5425">-BF446</f>
        <v>0</v>
      </c>
      <c r="BG475" s="41">
        <f t="shared" si="5425"/>
        <v>0</v>
      </c>
      <c r="BH475" s="41">
        <f t="shared" ref="BH475:BI475" si="5426">-BH446</f>
        <v>0</v>
      </c>
      <c r="BI475" s="41">
        <f t="shared" si="5426"/>
        <v>0</v>
      </c>
      <c r="BJ475" s="41">
        <f t="shared" ref="BJ475:BK475" si="5427">-BJ446</f>
        <v>0</v>
      </c>
      <c r="BK475" s="41">
        <f t="shared" si="5427"/>
        <v>0</v>
      </c>
      <c r="BL475" s="41">
        <f t="shared" ref="BL475:BM475" si="5428">-BL446</f>
        <v>0</v>
      </c>
      <c r="BM475" s="41">
        <f t="shared" si="5428"/>
        <v>0</v>
      </c>
      <c r="BN475" s="41">
        <f t="shared" ref="BN475:BO475" si="5429">-BN446</f>
        <v>0</v>
      </c>
      <c r="BO475" s="41">
        <f t="shared" si="5429"/>
        <v>0</v>
      </c>
      <c r="BP475" s="41">
        <f t="shared" ref="BP475:BQ475" si="5430">-BP446</f>
        <v>0</v>
      </c>
      <c r="BQ475" s="41">
        <f t="shared" si="5430"/>
        <v>0</v>
      </c>
      <c r="BR475" s="41"/>
      <c r="BS475" s="41">
        <f t="shared" ref="BS475:CB475" si="5431">-BS446</f>
        <v>0</v>
      </c>
      <c r="BT475" s="41">
        <f t="shared" si="5431"/>
        <v>0</v>
      </c>
      <c r="BU475" s="41">
        <f t="shared" si="5431"/>
        <v>0</v>
      </c>
      <c r="BV475" s="41">
        <f t="shared" si="5431"/>
        <v>0</v>
      </c>
      <c r="BW475" s="41">
        <f t="shared" si="5431"/>
        <v>0</v>
      </c>
      <c r="BX475" s="41">
        <f t="shared" si="5431"/>
        <v>0</v>
      </c>
      <c r="BY475" s="41">
        <f t="shared" si="5431"/>
        <v>0</v>
      </c>
      <c r="BZ475" s="41">
        <f t="shared" si="5431"/>
        <v>0</v>
      </c>
      <c r="CA475" s="41">
        <f t="shared" si="5431"/>
        <v>0</v>
      </c>
      <c r="CB475" s="41">
        <f t="shared" si="5431"/>
        <v>0</v>
      </c>
      <c r="CC475" s="41">
        <f t="shared" si="5302"/>
        <v>0</v>
      </c>
      <c r="CD475" s="41">
        <f t="shared" si="5303"/>
        <v>0</v>
      </c>
      <c r="CE475" s="41">
        <f t="shared" si="5304"/>
        <v>0</v>
      </c>
      <c r="CF475" s="41">
        <f t="shared" si="5305"/>
        <v>0</v>
      </c>
      <c r="CG475" s="41">
        <f t="shared" si="5306"/>
        <v>0</v>
      </c>
      <c r="CH475" s="41">
        <f t="shared" si="5307"/>
        <v>0</v>
      </c>
      <c r="CI475" s="41">
        <f t="shared" si="5221"/>
        <v>0</v>
      </c>
      <c r="CJ475" s="41">
        <f t="shared" si="5222"/>
        <v>0</v>
      </c>
      <c r="CK475" s="41">
        <f t="shared" si="5223"/>
        <v>0</v>
      </c>
      <c r="CL475" s="41">
        <f t="shared" si="5224"/>
        <v>0</v>
      </c>
      <c r="CM475" s="41">
        <f t="shared" si="5225"/>
        <v>0</v>
      </c>
      <c r="CN475" s="41">
        <f t="shared" si="5226"/>
        <v>0</v>
      </c>
      <c r="CO475" s="41">
        <f t="shared" si="5227"/>
        <v>0</v>
      </c>
      <c r="CP475" s="41">
        <f t="shared" si="5228"/>
        <v>0</v>
      </c>
      <c r="CQ475" s="41">
        <f t="shared" si="5229"/>
        <v>0</v>
      </c>
      <c r="CR475" s="41">
        <f t="shared" si="5230"/>
        <v>0</v>
      </c>
      <c r="CS475" s="41">
        <f t="shared" si="5231"/>
        <v>0</v>
      </c>
      <c r="CT475" s="41">
        <f t="shared" si="5232"/>
        <v>0</v>
      </c>
      <c r="CU475" s="41">
        <f t="shared" si="5233"/>
        <v>0</v>
      </c>
      <c r="CV475" s="41">
        <f t="shared" si="5234"/>
        <v>0</v>
      </c>
      <c r="CW475" s="41">
        <f t="shared" si="5235"/>
        <v>0</v>
      </c>
      <c r="CX475" s="41">
        <f t="shared" si="5236"/>
        <v>0</v>
      </c>
      <c r="CY475" s="41">
        <f t="shared" si="5237"/>
        <v>0</v>
      </c>
      <c r="CZ475" s="211">
        <f t="shared" si="5238"/>
        <v>0</v>
      </c>
      <c r="DA475" s="41">
        <f t="shared" si="5239"/>
        <v>0</v>
      </c>
      <c r="DB475" s="41">
        <f t="shared" si="5240"/>
        <v>0</v>
      </c>
      <c r="DC475" s="41">
        <f t="shared" si="5241"/>
        <v>0</v>
      </c>
      <c r="DD475" s="41">
        <f t="shared" si="5242"/>
        <v>0</v>
      </c>
      <c r="DE475" s="41">
        <f t="shared" si="5243"/>
        <v>0</v>
      </c>
      <c r="DF475" s="41">
        <f t="shared" si="5244"/>
        <v>0</v>
      </c>
      <c r="DG475" s="41">
        <f t="shared" si="5245"/>
        <v>0</v>
      </c>
      <c r="DH475" s="41">
        <f t="shared" si="5246"/>
        <v>0</v>
      </c>
      <c r="DI475" s="41">
        <f t="shared" si="5247"/>
        <v>0</v>
      </c>
    </row>
    <row r="476" spans="1:113" ht="12" hidden="1" outlineLevel="2">
      <c r="A476" s="1" t="s">
        <v>101</v>
      </c>
      <c r="B476" s="15" t="s">
        <v>361</v>
      </c>
      <c r="C476" s="40">
        <v>0</v>
      </c>
      <c r="D476" s="40">
        <v>0</v>
      </c>
      <c r="E476" s="40">
        <v>0</v>
      </c>
      <c r="F476" s="40">
        <v>0</v>
      </c>
      <c r="G476" s="40">
        <v>0</v>
      </c>
      <c r="H476" s="40">
        <v>0</v>
      </c>
      <c r="I476" s="40">
        <v>0</v>
      </c>
      <c r="J476" s="40">
        <v>0</v>
      </c>
      <c r="K476" s="40">
        <v>0</v>
      </c>
      <c r="L476" s="40">
        <v>0</v>
      </c>
      <c r="M476" s="40">
        <v>0</v>
      </c>
      <c r="N476" s="40">
        <v>0</v>
      </c>
      <c r="O476" s="40">
        <v>0</v>
      </c>
      <c r="P476" s="40">
        <v>0</v>
      </c>
      <c r="Q476" s="40">
        <v>0</v>
      </c>
      <c r="R476" s="40">
        <v>0</v>
      </c>
      <c r="S476" s="40">
        <v>0</v>
      </c>
      <c r="T476" s="40">
        <v>0</v>
      </c>
      <c r="U476" s="40">
        <v>0</v>
      </c>
      <c r="V476" s="40">
        <v>0</v>
      </c>
      <c r="W476" s="40">
        <v>0</v>
      </c>
      <c r="X476" s="40">
        <v>0</v>
      </c>
      <c r="Y476" s="40">
        <v>0</v>
      </c>
      <c r="Z476" s="141">
        <v>0</v>
      </c>
      <c r="AA476" s="141">
        <v>0</v>
      </c>
      <c r="AB476" s="141">
        <v>0</v>
      </c>
      <c r="AC476" s="141">
        <v>0</v>
      </c>
      <c r="AD476" s="141">
        <v>0</v>
      </c>
      <c r="AE476" s="141">
        <v>0</v>
      </c>
      <c r="AF476" s="141">
        <v>0</v>
      </c>
      <c r="AG476" s="141">
        <v>0</v>
      </c>
      <c r="AH476" s="141">
        <v>0</v>
      </c>
      <c r="AI476" s="141">
        <v>0</v>
      </c>
      <c r="AJ476" s="141">
        <v>0</v>
      </c>
      <c r="AK476" s="141">
        <v>0</v>
      </c>
      <c r="AL476" s="141">
        <v>0</v>
      </c>
      <c r="AM476" s="141">
        <v>0</v>
      </c>
      <c r="AN476" s="141">
        <v>0</v>
      </c>
      <c r="AO476" s="141">
        <v>0</v>
      </c>
      <c r="AP476" s="141">
        <v>0</v>
      </c>
      <c r="AQ476" s="141">
        <v>0</v>
      </c>
      <c r="AR476" s="141">
        <v>0</v>
      </c>
      <c r="AS476" s="141">
        <v>0</v>
      </c>
      <c r="AT476" s="141">
        <v>0</v>
      </c>
      <c r="AU476" s="141">
        <v>0</v>
      </c>
      <c r="AV476" s="141">
        <v>0</v>
      </c>
      <c r="AW476" s="141">
        <v>0</v>
      </c>
      <c r="AX476" s="141">
        <v>0</v>
      </c>
      <c r="AY476" s="226">
        <v>0</v>
      </c>
      <c r="AZ476" s="210">
        <v>0</v>
      </c>
      <c r="BA476" s="210">
        <v>0</v>
      </c>
      <c r="BB476" s="210">
        <v>0</v>
      </c>
      <c r="BC476" s="210">
        <v>0</v>
      </c>
      <c r="BD476" s="210">
        <v>0</v>
      </c>
      <c r="BE476" s="210">
        <v>0</v>
      </c>
      <c r="BF476" s="210">
        <v>0</v>
      </c>
      <c r="BG476" s="210">
        <v>0</v>
      </c>
      <c r="BH476" s="210">
        <v>0</v>
      </c>
      <c r="BI476" s="210">
        <v>0</v>
      </c>
      <c r="BJ476" s="210">
        <v>0</v>
      </c>
      <c r="BK476" s="210">
        <v>0</v>
      </c>
      <c r="BL476" s="210">
        <v>0</v>
      </c>
      <c r="BM476" s="210">
        <v>0</v>
      </c>
      <c r="BN476" s="210">
        <v>0</v>
      </c>
      <c r="BO476" s="210">
        <v>0</v>
      </c>
      <c r="BP476" s="210">
        <v>0</v>
      </c>
      <c r="BQ476" s="210">
        <v>0</v>
      </c>
      <c r="BR476" s="41"/>
      <c r="BS476" s="40">
        <v>0</v>
      </c>
      <c r="BT476" s="40">
        <v>0</v>
      </c>
      <c r="BU476" s="40">
        <v>0</v>
      </c>
      <c r="BV476" s="40">
        <v>0</v>
      </c>
      <c r="BW476" s="40">
        <v>0</v>
      </c>
      <c r="BX476" s="40">
        <v>0</v>
      </c>
      <c r="BY476" s="40">
        <v>0</v>
      </c>
      <c r="BZ476" s="40">
        <v>0</v>
      </c>
      <c r="CA476" s="40">
        <v>0</v>
      </c>
      <c r="CB476" s="40">
        <v>0</v>
      </c>
      <c r="CC476" s="41">
        <f t="shared" si="5302"/>
        <v>0</v>
      </c>
      <c r="CD476" s="41">
        <f t="shared" si="5303"/>
        <v>0</v>
      </c>
      <c r="CE476" s="41">
        <f t="shared" si="5304"/>
        <v>0</v>
      </c>
      <c r="CF476" s="41">
        <f t="shared" si="5305"/>
        <v>0</v>
      </c>
      <c r="CG476" s="41">
        <f t="shared" si="5306"/>
        <v>0</v>
      </c>
      <c r="CH476" s="41">
        <f t="shared" si="5307"/>
        <v>0</v>
      </c>
      <c r="CI476" s="41">
        <f t="shared" si="5221"/>
        <v>0</v>
      </c>
      <c r="CJ476" s="41">
        <f t="shared" si="5222"/>
        <v>0</v>
      </c>
      <c r="CK476" s="41">
        <f t="shared" si="5223"/>
        <v>0</v>
      </c>
      <c r="CL476" s="41">
        <f t="shared" si="5224"/>
        <v>0</v>
      </c>
      <c r="CM476" s="41">
        <f t="shared" si="5225"/>
        <v>0</v>
      </c>
      <c r="CN476" s="41">
        <f t="shared" si="5226"/>
        <v>0</v>
      </c>
      <c r="CO476" s="41">
        <f t="shared" si="5227"/>
        <v>0</v>
      </c>
      <c r="CP476" s="41">
        <f t="shared" si="5228"/>
        <v>0</v>
      </c>
      <c r="CQ476" s="41">
        <f t="shared" si="5229"/>
        <v>0</v>
      </c>
      <c r="CR476" s="41">
        <f t="shared" si="5230"/>
        <v>0</v>
      </c>
      <c r="CS476" s="41">
        <f t="shared" si="5231"/>
        <v>0</v>
      </c>
      <c r="CT476" s="41">
        <f t="shared" si="5232"/>
        <v>0</v>
      </c>
      <c r="CU476" s="41">
        <f t="shared" si="5233"/>
        <v>0</v>
      </c>
      <c r="CV476" s="41">
        <f t="shared" si="5234"/>
        <v>0</v>
      </c>
      <c r="CW476" s="41">
        <f t="shared" si="5235"/>
        <v>0</v>
      </c>
      <c r="CX476" s="41">
        <f t="shared" si="5236"/>
        <v>0</v>
      </c>
      <c r="CY476" s="41">
        <f t="shared" si="5237"/>
        <v>0</v>
      </c>
      <c r="CZ476" s="211">
        <f t="shared" si="5238"/>
        <v>0</v>
      </c>
      <c r="DA476" s="41">
        <f t="shared" si="5239"/>
        <v>0</v>
      </c>
      <c r="DB476" s="41">
        <f t="shared" si="5240"/>
        <v>0</v>
      </c>
      <c r="DC476" s="41">
        <f t="shared" si="5241"/>
        <v>0</v>
      </c>
      <c r="DD476" s="41">
        <f t="shared" si="5242"/>
        <v>0</v>
      </c>
      <c r="DE476" s="41">
        <f t="shared" si="5243"/>
        <v>0</v>
      </c>
      <c r="DF476" s="41">
        <f t="shared" si="5244"/>
        <v>0</v>
      </c>
      <c r="DG476" s="41">
        <f t="shared" si="5245"/>
        <v>0</v>
      </c>
      <c r="DH476" s="41">
        <f t="shared" si="5246"/>
        <v>0</v>
      </c>
      <c r="DI476" s="41">
        <f t="shared" si="5247"/>
        <v>0</v>
      </c>
    </row>
    <row r="477" spans="1:113" ht="12" hidden="1" outlineLevel="2">
      <c r="A477" s="1" t="s">
        <v>102</v>
      </c>
      <c r="B477" s="15" t="s">
        <v>425</v>
      </c>
      <c r="C477" s="40">
        <v>0</v>
      </c>
      <c r="D477" s="40">
        <v>0</v>
      </c>
      <c r="E477" s="40">
        <v>0</v>
      </c>
      <c r="F477" s="40">
        <v>0</v>
      </c>
      <c r="G477" s="40">
        <v>0</v>
      </c>
      <c r="H477" s="40">
        <v>0</v>
      </c>
      <c r="I477" s="40">
        <v>0</v>
      </c>
      <c r="J477" s="40">
        <v>0</v>
      </c>
      <c r="K477" s="40">
        <v>0</v>
      </c>
      <c r="L477" s="40">
        <v>0</v>
      </c>
      <c r="M477" s="40">
        <v>0</v>
      </c>
      <c r="N477" s="40">
        <v>0</v>
      </c>
      <c r="O477" s="40">
        <v>0</v>
      </c>
      <c r="P477" s="40">
        <f>P478+681</f>
        <v>-45</v>
      </c>
      <c r="Q477" s="40">
        <f>Q478+1267</f>
        <v>-97</v>
      </c>
      <c r="R477" s="40">
        <f>1373+R478</f>
        <v>-62</v>
      </c>
      <c r="S477" s="40">
        <f>1632+S478</f>
        <v>11</v>
      </c>
      <c r="T477" s="40">
        <f>1082+T478</f>
        <v>-16</v>
      </c>
      <c r="U477" s="40">
        <f>705+U478</f>
        <v>-17</v>
      </c>
      <c r="V477" s="40">
        <f>660+V478</f>
        <v>0</v>
      </c>
      <c r="W477" s="40">
        <f>560+W478</f>
        <v>0</v>
      </c>
      <c r="X477" s="40">
        <f>570+X478</f>
        <v>0</v>
      </c>
      <c r="Y477" s="40">
        <f>688+Y478</f>
        <v>0</v>
      </c>
      <c r="Z477" s="141">
        <v>0</v>
      </c>
      <c r="AA477" s="141">
        <v>0</v>
      </c>
      <c r="AB477" s="141">
        <v>0</v>
      </c>
      <c r="AC477" s="141">
        <v>0</v>
      </c>
      <c r="AD477" s="141">
        <v>0</v>
      </c>
      <c r="AE477" s="141">
        <v>0</v>
      </c>
      <c r="AF477" s="141">
        <v>0</v>
      </c>
      <c r="AG477" s="141">
        <v>0</v>
      </c>
      <c r="AH477" s="141">
        <v>0</v>
      </c>
      <c r="AI477" s="141">
        <v>0</v>
      </c>
      <c r="AJ477" s="141">
        <v>0</v>
      </c>
      <c r="AK477" s="141">
        <v>0</v>
      </c>
      <c r="AL477" s="141">
        <v>0</v>
      </c>
      <c r="AM477" s="141">
        <v>0</v>
      </c>
      <c r="AN477" s="141">
        <v>0</v>
      </c>
      <c r="AO477" s="141">
        <v>0</v>
      </c>
      <c r="AP477" s="141">
        <v>0</v>
      </c>
      <c r="AQ477" s="141">
        <v>0</v>
      </c>
      <c r="AR477" s="141">
        <v>0</v>
      </c>
      <c r="AS477" s="141">
        <v>0</v>
      </c>
      <c r="AT477" s="141">
        <v>0</v>
      </c>
      <c r="AU477" s="141">
        <v>0</v>
      </c>
      <c r="AV477" s="141">
        <v>0</v>
      </c>
      <c r="AW477" s="141">
        <v>0</v>
      </c>
      <c r="AX477" s="141">
        <v>0</v>
      </c>
      <c r="AY477" s="226">
        <v>0</v>
      </c>
      <c r="AZ477" s="210">
        <v>0</v>
      </c>
      <c r="BA477" s="210">
        <v>0</v>
      </c>
      <c r="BB477" s="210">
        <v>0</v>
      </c>
      <c r="BC477" s="210">
        <v>0</v>
      </c>
      <c r="BD477" s="210">
        <v>0</v>
      </c>
      <c r="BE477" s="210">
        <v>0</v>
      </c>
      <c r="BF477" s="210">
        <v>0</v>
      </c>
      <c r="BG477" s="210">
        <v>0</v>
      </c>
      <c r="BH477" s="210">
        <v>0</v>
      </c>
      <c r="BI477" s="210">
        <v>0</v>
      </c>
      <c r="BJ477" s="210">
        <v>0</v>
      </c>
      <c r="BK477" s="210">
        <v>0</v>
      </c>
      <c r="BL477" s="210">
        <v>0</v>
      </c>
      <c r="BM477" s="210">
        <v>0</v>
      </c>
      <c r="BN477" s="210">
        <v>0</v>
      </c>
      <c r="BO477" s="210">
        <v>0</v>
      </c>
      <c r="BP477" s="210">
        <v>0</v>
      </c>
      <c r="BQ477" s="210">
        <v>0</v>
      </c>
      <c r="BR477" s="41"/>
      <c r="BS477" s="40">
        <v>0</v>
      </c>
      <c r="BT477" s="40">
        <v>0</v>
      </c>
      <c r="BU477" s="40">
        <v>0</v>
      </c>
      <c r="BV477" s="40">
        <v>0</v>
      </c>
      <c r="BW477" s="40">
        <v>0</v>
      </c>
      <c r="BX477" s="40">
        <v>0</v>
      </c>
      <c r="BY477" s="40">
        <v>0</v>
      </c>
      <c r="BZ477" s="40">
        <v>0</v>
      </c>
      <c r="CA477" s="40">
        <v>0</v>
      </c>
      <c r="CB477" s="40">
        <v>0</v>
      </c>
      <c r="CC477" s="41">
        <f t="shared" si="5302"/>
        <v>0</v>
      </c>
      <c r="CD477" s="41">
        <f t="shared" si="5303"/>
        <v>0</v>
      </c>
      <c r="CE477" s="41">
        <f t="shared" si="5304"/>
        <v>0</v>
      </c>
      <c r="CF477" s="41">
        <f t="shared" si="5305"/>
        <v>0</v>
      </c>
      <c r="CG477" s="41">
        <f t="shared" si="5306"/>
        <v>0</v>
      </c>
      <c r="CH477" s="41">
        <f t="shared" si="5307"/>
        <v>0</v>
      </c>
      <c r="CI477" s="41">
        <f t="shared" si="5221"/>
        <v>-142</v>
      </c>
      <c r="CJ477" s="41">
        <f t="shared" si="5222"/>
        <v>-51</v>
      </c>
      <c r="CK477" s="41">
        <f t="shared" si="5223"/>
        <v>-33</v>
      </c>
      <c r="CL477" s="41">
        <f t="shared" si="5224"/>
        <v>0</v>
      </c>
      <c r="CM477" s="41">
        <f t="shared" si="5225"/>
        <v>0</v>
      </c>
      <c r="CN477" s="41">
        <f t="shared" si="5226"/>
        <v>0</v>
      </c>
      <c r="CO477" s="41">
        <f t="shared" si="5227"/>
        <v>0</v>
      </c>
      <c r="CP477" s="41">
        <f t="shared" si="5228"/>
        <v>0</v>
      </c>
      <c r="CQ477" s="41">
        <f t="shared" si="5229"/>
        <v>0</v>
      </c>
      <c r="CR477" s="41">
        <f t="shared" si="5230"/>
        <v>0</v>
      </c>
      <c r="CS477" s="41">
        <f t="shared" si="5231"/>
        <v>0</v>
      </c>
      <c r="CT477" s="41">
        <f t="shared" si="5232"/>
        <v>0</v>
      </c>
      <c r="CU477" s="41">
        <f t="shared" si="5233"/>
        <v>0</v>
      </c>
      <c r="CV477" s="41">
        <f t="shared" si="5234"/>
        <v>0</v>
      </c>
      <c r="CW477" s="41">
        <f t="shared" si="5235"/>
        <v>0</v>
      </c>
      <c r="CX477" s="41">
        <f t="shared" si="5236"/>
        <v>0</v>
      </c>
      <c r="CY477" s="41">
        <f t="shared" si="5237"/>
        <v>0</v>
      </c>
      <c r="CZ477" s="211">
        <f t="shared" si="5238"/>
        <v>0</v>
      </c>
      <c r="DA477" s="41">
        <f t="shared" si="5239"/>
        <v>0</v>
      </c>
      <c r="DB477" s="41">
        <f t="shared" si="5240"/>
        <v>0</v>
      </c>
      <c r="DC477" s="41">
        <f t="shared" si="5241"/>
        <v>0</v>
      </c>
      <c r="DD477" s="41">
        <f t="shared" si="5242"/>
        <v>0</v>
      </c>
      <c r="DE477" s="41">
        <f t="shared" si="5243"/>
        <v>0</v>
      </c>
      <c r="DF477" s="41">
        <f t="shared" si="5244"/>
        <v>0</v>
      </c>
      <c r="DG477" s="41">
        <f t="shared" si="5245"/>
        <v>0</v>
      </c>
      <c r="DH477" s="41">
        <f t="shared" si="5246"/>
        <v>0</v>
      </c>
      <c r="DI477" s="41">
        <f t="shared" si="5247"/>
        <v>0</v>
      </c>
    </row>
    <row r="478" spans="1:113" s="17" customFormat="1" ht="12" hidden="1" outlineLevel="2">
      <c r="A478" s="1" t="s">
        <v>103</v>
      </c>
      <c r="B478" s="17" t="s">
        <v>498</v>
      </c>
      <c r="C478" s="61">
        <v>-290</v>
      </c>
      <c r="D478" s="61">
        <v>-301</v>
      </c>
      <c r="E478" s="61">
        <f>-610-D478</f>
        <v>-309</v>
      </c>
      <c r="F478" s="61">
        <v>-303</v>
      </c>
      <c r="G478" s="61">
        <f>-614-F478</f>
        <v>-311</v>
      </c>
      <c r="H478" s="61">
        <v>-313</v>
      </c>
      <c r="I478" s="61">
        <f>-632-H478</f>
        <v>-319</v>
      </c>
      <c r="J478" s="61">
        <v>-240</v>
      </c>
      <c r="K478" s="61">
        <f>-565-J478</f>
        <v>-325</v>
      </c>
      <c r="L478" s="61">
        <f>-224</f>
        <v>-224</v>
      </c>
      <c r="M478" s="61">
        <f>-183</f>
        <v>-183</v>
      </c>
      <c r="N478" s="61">
        <v>-240</v>
      </c>
      <c r="O478" s="61">
        <v>-282</v>
      </c>
      <c r="P478" s="61">
        <f>-726</f>
        <v>-726</v>
      </c>
      <c r="Q478" s="61">
        <f>-1364</f>
        <v>-1364</v>
      </c>
      <c r="R478" s="61">
        <f>-1435</f>
        <v>-1435</v>
      </c>
      <c r="S478" s="61">
        <f>-1621</f>
        <v>-1621</v>
      </c>
      <c r="T478" s="61">
        <v>-1098</v>
      </c>
      <c r="U478" s="61">
        <v>-722</v>
      </c>
      <c r="V478" s="61">
        <v>-660</v>
      </c>
      <c r="W478" s="61">
        <f>-560</f>
        <v>-560</v>
      </c>
      <c r="X478" s="61">
        <v>-570</v>
      </c>
      <c r="Y478" s="61">
        <v>-688</v>
      </c>
      <c r="Z478" s="194">
        <v>-599</v>
      </c>
      <c r="AA478" s="194">
        <v>-598</v>
      </c>
      <c r="AB478" s="194">
        <v>-528</v>
      </c>
      <c r="AC478" s="194">
        <v>-461</v>
      </c>
      <c r="AD478" s="194">
        <v>-510</v>
      </c>
      <c r="AE478" s="194">
        <v>-695</v>
      </c>
      <c r="AF478" s="194">
        <v>-918</v>
      </c>
      <c r="AG478" s="194">
        <v>-1038</v>
      </c>
      <c r="AH478" s="194">
        <v>-720</v>
      </c>
      <c r="AI478" s="194">
        <v>-479</v>
      </c>
      <c r="AJ478" s="194">
        <v>-408</v>
      </c>
      <c r="AK478" s="194">
        <v>-280</v>
      </c>
      <c r="AL478" s="194">
        <v>-393</v>
      </c>
      <c r="AM478" s="194">
        <v>-402</v>
      </c>
      <c r="AN478" s="194">
        <v>-1674</v>
      </c>
      <c r="AO478" s="194">
        <v>-1064</v>
      </c>
      <c r="AP478" s="194">
        <v>491</v>
      </c>
      <c r="AQ478" s="194">
        <v>76</v>
      </c>
      <c r="AR478" s="194">
        <v>284</v>
      </c>
      <c r="AS478" s="194">
        <v>-52</v>
      </c>
      <c r="AT478" s="194">
        <v>-133</v>
      </c>
      <c r="AU478" s="194">
        <v>-112</v>
      </c>
      <c r="AV478" s="194">
        <v>-70</v>
      </c>
      <c r="AW478" s="194">
        <v>-336</v>
      </c>
      <c r="AX478" s="194">
        <v>-145</v>
      </c>
      <c r="AY478" s="227">
        <v>-296</v>
      </c>
      <c r="AZ478" s="62">
        <f t="shared" ref="AZ478:BA478" si="5432">SUM(AZ472:AZ477)</f>
        <v>-315.8678176424711</v>
      </c>
      <c r="BA478" s="62">
        <f t="shared" si="5432"/>
        <v>-356.07823082477046</v>
      </c>
      <c r="BB478" s="62">
        <f t="shared" ref="BB478:BC478" si="5433">SUM(BB472:BB477)</f>
        <v>-427.72863205069257</v>
      </c>
      <c r="BC478" s="62">
        <f t="shared" si="5433"/>
        <v>-534.19107553923209</v>
      </c>
      <c r="BD478" s="62">
        <f t="shared" ref="BD478:BE478" si="5434">SUM(BD472:BD477)</f>
        <v>-529.99517101503318</v>
      </c>
      <c r="BE478" s="62">
        <f t="shared" si="5434"/>
        <v>-510.25994074499647</v>
      </c>
      <c r="BF478" s="62">
        <f t="shared" ref="BF478:BG478" si="5435">SUM(BF472:BF477)</f>
        <v>-485.54714579794796</v>
      </c>
      <c r="BG478" s="62">
        <f t="shared" si="5435"/>
        <v>-466.53979881955439</v>
      </c>
      <c r="BH478" s="62">
        <f t="shared" ref="BH478:BI478" si="5436">SUM(BH472:BH477)</f>
        <v>-500.5185726410823</v>
      </c>
      <c r="BI478" s="62">
        <f t="shared" si="5436"/>
        <v>-497.7997009460351</v>
      </c>
      <c r="BJ478" s="62">
        <f t="shared" ref="BJ478:BK478" si="5437">SUM(BJ472:BJ477)</f>
        <v>-339.49528212692508</v>
      </c>
      <c r="BK478" s="62">
        <f t="shared" si="5437"/>
        <v>-367.92022945396303</v>
      </c>
      <c r="BL478" s="62">
        <f t="shared" ref="BL478:BM478" si="5438">SUM(BL472:BL477)</f>
        <v>-409.53317829099836</v>
      </c>
      <c r="BM478" s="62">
        <f t="shared" si="5438"/>
        <v>-470.58727237260905</v>
      </c>
      <c r="BN478" s="62">
        <f t="shared" ref="BN478:BO478" si="5439">SUM(BN472:BN477)</f>
        <v>-546.51020343847154</v>
      </c>
      <c r="BO478" s="62">
        <f t="shared" si="5439"/>
        <v>-612.69213577501034</v>
      </c>
      <c r="BP478" s="62">
        <f t="shared" ref="BP478:BQ478" si="5440">SUM(BP472:BP477)</f>
        <v>-675.72808775103431</v>
      </c>
      <c r="BQ478" s="62">
        <f t="shared" si="5440"/>
        <v>-691.97776031678177</v>
      </c>
      <c r="BR478" s="62"/>
      <c r="BS478" s="61">
        <f>-1600-337</f>
        <v>-1937</v>
      </c>
      <c r="BT478" s="61">
        <f>-629-5</f>
        <v>-634</v>
      </c>
      <c r="BU478" s="61">
        <v>-388</v>
      </c>
      <c r="BV478" s="61">
        <v>-237</v>
      </c>
      <c r="BW478" s="61">
        <v>-175</v>
      </c>
      <c r="BX478" s="61">
        <v>-400</v>
      </c>
      <c r="BY478" s="61">
        <v>-487</v>
      </c>
      <c r="BZ478" s="61">
        <v>-510</v>
      </c>
      <c r="CA478" s="61">
        <v>-502</v>
      </c>
      <c r="CB478" s="61">
        <v>-531</v>
      </c>
      <c r="CC478" s="62">
        <f t="shared" si="5302"/>
        <v>-610</v>
      </c>
      <c r="CD478" s="62">
        <f t="shared" si="5303"/>
        <v>-614</v>
      </c>
      <c r="CE478" s="62">
        <f t="shared" si="5304"/>
        <v>-632</v>
      </c>
      <c r="CF478" s="62">
        <f t="shared" si="5305"/>
        <v>-565</v>
      </c>
      <c r="CG478" s="62">
        <f t="shared" si="5306"/>
        <v>-407</v>
      </c>
      <c r="CH478" s="62">
        <f t="shared" si="5307"/>
        <v>-522</v>
      </c>
      <c r="CI478" s="62">
        <f t="shared" si="5221"/>
        <v>-2090</v>
      </c>
      <c r="CJ478" s="62">
        <f t="shared" si="5222"/>
        <v>-3056</v>
      </c>
      <c r="CK478" s="62">
        <f t="shared" si="5223"/>
        <v>-1820</v>
      </c>
      <c r="CL478" s="62">
        <f t="shared" si="5224"/>
        <v>-1220</v>
      </c>
      <c r="CM478" s="62">
        <f t="shared" si="5225"/>
        <v>-1258</v>
      </c>
      <c r="CN478" s="62">
        <f t="shared" si="5226"/>
        <v>-1197</v>
      </c>
      <c r="CO478" s="62">
        <f t="shared" si="5227"/>
        <v>-989</v>
      </c>
      <c r="CP478" s="62">
        <f t="shared" si="5228"/>
        <v>-1205</v>
      </c>
      <c r="CQ478" s="62">
        <f t="shared" si="5229"/>
        <v>-1956</v>
      </c>
      <c r="CR478" s="62">
        <f t="shared" si="5230"/>
        <v>-1199</v>
      </c>
      <c r="CS478" s="62">
        <f t="shared" si="5231"/>
        <v>-688</v>
      </c>
      <c r="CT478" s="62">
        <f t="shared" si="5232"/>
        <v>-795</v>
      </c>
      <c r="CU478" s="62">
        <f t="shared" si="5233"/>
        <v>-2738</v>
      </c>
      <c r="CV478" s="62">
        <f t="shared" si="5234"/>
        <v>567</v>
      </c>
      <c r="CW478" s="62">
        <f t="shared" si="5235"/>
        <v>232</v>
      </c>
      <c r="CX478" s="62">
        <f t="shared" si="5236"/>
        <v>-245</v>
      </c>
      <c r="CY478" s="62">
        <f t="shared" si="5237"/>
        <v>-406</v>
      </c>
      <c r="CZ478" s="220">
        <f t="shared" si="5238"/>
        <v>-441</v>
      </c>
      <c r="DA478" s="62">
        <f t="shared" si="5239"/>
        <v>-671.94604846724155</v>
      </c>
      <c r="DB478" s="62">
        <f t="shared" si="5240"/>
        <v>-961.91970758992466</v>
      </c>
      <c r="DC478" s="62">
        <f t="shared" si="5241"/>
        <v>-1040.2551117600296</v>
      </c>
      <c r="DD478" s="62">
        <f t="shared" si="5242"/>
        <v>-952.08694461750235</v>
      </c>
      <c r="DE478" s="62">
        <f t="shared" si="5243"/>
        <v>-998.31827358711735</v>
      </c>
      <c r="DF478" s="62">
        <f t="shared" si="5244"/>
        <v>-707.41551158088805</v>
      </c>
      <c r="DG478" s="62">
        <f t="shared" si="5245"/>
        <v>-880.12045066360747</v>
      </c>
      <c r="DH478" s="62">
        <f t="shared" si="5246"/>
        <v>-1159.202339213482</v>
      </c>
      <c r="DI478" s="62">
        <f t="shared" si="5247"/>
        <v>-1367.7058480678161</v>
      </c>
    </row>
    <row r="479" spans="1:113" ht="12" hidden="1" outlineLevel="2">
      <c r="A479" s="1" t="s">
        <v>104</v>
      </c>
      <c r="B479" s="15" t="s">
        <v>529</v>
      </c>
      <c r="C479" s="41">
        <f t="shared" ref="C479:L479" si="5441">C480-C478</f>
        <v>0</v>
      </c>
      <c r="D479" s="41">
        <f t="shared" si="5441"/>
        <v>-250</v>
      </c>
      <c r="E479" s="41">
        <f t="shared" si="5441"/>
        <v>0</v>
      </c>
      <c r="F479" s="41">
        <f t="shared" si="5441"/>
        <v>0</v>
      </c>
      <c r="G479" s="41">
        <f t="shared" si="5441"/>
        <v>0</v>
      </c>
      <c r="H479" s="41">
        <f t="shared" si="5441"/>
        <v>0</v>
      </c>
      <c r="I479" s="41">
        <f t="shared" si="5441"/>
        <v>0</v>
      </c>
      <c r="J479" s="41">
        <f t="shared" si="5441"/>
        <v>-44</v>
      </c>
      <c r="K479" s="41">
        <f t="shared" si="5441"/>
        <v>29</v>
      </c>
      <c r="L479" s="41">
        <f t="shared" si="5441"/>
        <v>0</v>
      </c>
      <c r="M479" s="41">
        <f t="shared" ref="M479:X479" si="5442">M480-M478</f>
        <v>0</v>
      </c>
      <c r="N479" s="41">
        <f t="shared" si="5442"/>
        <v>0</v>
      </c>
      <c r="O479" s="41">
        <f t="shared" si="5442"/>
        <v>0</v>
      </c>
      <c r="P479" s="41">
        <f t="shared" si="5442"/>
        <v>45</v>
      </c>
      <c r="Q479" s="41">
        <f t="shared" si="5442"/>
        <v>97</v>
      </c>
      <c r="R479" s="41">
        <f t="shared" si="5442"/>
        <v>62</v>
      </c>
      <c r="S479" s="41">
        <f t="shared" si="5442"/>
        <v>-11</v>
      </c>
      <c r="T479" s="41">
        <f t="shared" si="5442"/>
        <v>16</v>
      </c>
      <c r="U479" s="41">
        <f t="shared" si="5442"/>
        <v>17</v>
      </c>
      <c r="V479" s="41">
        <f t="shared" si="5442"/>
        <v>-15</v>
      </c>
      <c r="W479" s="41">
        <f t="shared" si="5442"/>
        <v>-2</v>
      </c>
      <c r="X479" s="41">
        <f t="shared" si="5442"/>
        <v>32</v>
      </c>
      <c r="Y479" s="41">
        <f t="shared" ref="Y479:AE479" si="5443">Y480-Y478</f>
        <v>28</v>
      </c>
      <c r="Z479" s="41">
        <f t="shared" si="5443"/>
        <v>11</v>
      </c>
      <c r="AA479" s="41">
        <f t="shared" si="5443"/>
        <v>-2</v>
      </c>
      <c r="AB479" s="41">
        <f t="shared" si="5443"/>
        <v>1</v>
      </c>
      <c r="AC479" s="41">
        <f t="shared" si="5443"/>
        <v>2</v>
      </c>
      <c r="AD479" s="41">
        <f t="shared" si="5443"/>
        <v>16</v>
      </c>
      <c r="AE479" s="41">
        <f t="shared" si="5443"/>
        <v>10</v>
      </c>
      <c r="AF479" s="41">
        <f t="shared" ref="AF479:AG479" si="5444">AF480-AF478</f>
        <v>14</v>
      </c>
      <c r="AG479" s="41">
        <f t="shared" si="5444"/>
        <v>13</v>
      </c>
      <c r="AH479" s="41">
        <f t="shared" ref="AH479:AI479" si="5445">AH480-AH478</f>
        <v>1</v>
      </c>
      <c r="AI479" s="41">
        <f t="shared" si="5445"/>
        <v>0</v>
      </c>
      <c r="AJ479" s="41">
        <f t="shared" ref="AJ479:AK479" si="5446">AJ480-AJ478</f>
        <v>0</v>
      </c>
      <c r="AK479" s="41">
        <f t="shared" si="5446"/>
        <v>0</v>
      </c>
      <c r="AL479" s="41">
        <f t="shared" ref="AL479:AM479" si="5447">AL480-AL478</f>
        <v>1</v>
      </c>
      <c r="AM479" s="41">
        <f t="shared" si="5447"/>
        <v>0</v>
      </c>
      <c r="AN479" s="41">
        <f t="shared" ref="AN479:AO479" si="5448">AN480-AN478</f>
        <v>0</v>
      </c>
      <c r="AO479" s="41">
        <f t="shared" si="5448"/>
        <v>0</v>
      </c>
      <c r="AP479" s="41">
        <f t="shared" ref="AP479:AQ479" si="5449">AP480-AP478</f>
        <v>0</v>
      </c>
      <c r="AQ479" s="41">
        <f t="shared" si="5449"/>
        <v>0</v>
      </c>
      <c r="AR479" s="41">
        <f t="shared" ref="AR479:AS479" si="5450">AR480-AR478</f>
        <v>0</v>
      </c>
      <c r="AS479" s="41">
        <f t="shared" si="5450"/>
        <v>0</v>
      </c>
      <c r="AT479" s="41">
        <f t="shared" ref="AT479:AU479" si="5451">AT480-AT478</f>
        <v>0</v>
      </c>
      <c r="AU479" s="41">
        <f t="shared" si="5451"/>
        <v>0</v>
      </c>
      <c r="AV479" s="41">
        <f t="shared" ref="AV479:AW479" si="5452">AV480-AV478</f>
        <v>0</v>
      </c>
      <c r="AW479" s="41">
        <f t="shared" si="5452"/>
        <v>0</v>
      </c>
      <c r="AX479" s="41">
        <f t="shared" ref="AX479:AY479" si="5453">AX480-AX478</f>
        <v>0</v>
      </c>
      <c r="AY479" s="211">
        <f t="shared" si="5453"/>
        <v>0</v>
      </c>
      <c r="AZ479" s="210">
        <v>0</v>
      </c>
      <c r="BA479" s="210">
        <v>0</v>
      </c>
      <c r="BB479" s="210">
        <v>0</v>
      </c>
      <c r="BC479" s="210">
        <v>0</v>
      </c>
      <c r="BD479" s="210">
        <v>0</v>
      </c>
      <c r="BE479" s="210">
        <v>0</v>
      </c>
      <c r="BF479" s="210">
        <v>0</v>
      </c>
      <c r="BG479" s="210">
        <v>0</v>
      </c>
      <c r="BH479" s="210">
        <v>0</v>
      </c>
      <c r="BI479" s="210">
        <v>0</v>
      </c>
      <c r="BJ479" s="210">
        <v>0</v>
      </c>
      <c r="BK479" s="210">
        <v>0</v>
      </c>
      <c r="BL479" s="210">
        <v>0</v>
      </c>
      <c r="BM479" s="210">
        <v>0</v>
      </c>
      <c r="BN479" s="210">
        <v>0</v>
      </c>
      <c r="BO479" s="210">
        <v>0</v>
      </c>
      <c r="BP479" s="210">
        <v>0</v>
      </c>
      <c r="BQ479" s="210">
        <v>0</v>
      </c>
      <c r="BR479" s="41"/>
      <c r="BS479" s="41">
        <f t="shared" ref="BS479:CB479" si="5454">BS480-BS478</f>
        <v>0</v>
      </c>
      <c r="BT479" s="41">
        <f t="shared" si="5454"/>
        <v>0</v>
      </c>
      <c r="BU479" s="41">
        <f t="shared" si="5454"/>
        <v>0</v>
      </c>
      <c r="BV479" s="41">
        <f t="shared" si="5454"/>
        <v>0</v>
      </c>
      <c r="BW479" s="41">
        <f t="shared" si="5454"/>
        <v>0</v>
      </c>
      <c r="BX479" s="41">
        <f t="shared" si="5454"/>
        <v>0</v>
      </c>
      <c r="BY479" s="41">
        <f t="shared" si="5454"/>
        <v>0</v>
      </c>
      <c r="BZ479" s="41">
        <f t="shared" si="5454"/>
        <v>0</v>
      </c>
      <c r="CA479" s="41">
        <f t="shared" si="5454"/>
        <v>0</v>
      </c>
      <c r="CB479" s="41">
        <f t="shared" si="5454"/>
        <v>0</v>
      </c>
      <c r="CC479" s="41">
        <f t="shared" ref="CC479:CI479" si="5455">CC480-CC478</f>
        <v>-250</v>
      </c>
      <c r="CD479" s="41">
        <f t="shared" si="5455"/>
        <v>0</v>
      </c>
      <c r="CE479" s="41">
        <f t="shared" si="5455"/>
        <v>0</v>
      </c>
      <c r="CF479" s="41">
        <f t="shared" si="5455"/>
        <v>-15</v>
      </c>
      <c r="CG479" s="41">
        <f t="shared" si="5455"/>
        <v>0</v>
      </c>
      <c r="CH479" s="41">
        <f t="shared" si="5455"/>
        <v>0</v>
      </c>
      <c r="CI479" s="41">
        <f t="shared" si="5455"/>
        <v>142</v>
      </c>
      <c r="CJ479" s="41">
        <f t="shared" si="5222"/>
        <v>51</v>
      </c>
      <c r="CK479" s="41">
        <f t="shared" si="5223"/>
        <v>33</v>
      </c>
      <c r="CL479" s="41">
        <f t="shared" si="5224"/>
        <v>-17</v>
      </c>
      <c r="CM479" s="41">
        <f t="shared" si="5225"/>
        <v>60</v>
      </c>
      <c r="CN479" s="41">
        <f t="shared" si="5226"/>
        <v>9</v>
      </c>
      <c r="CO479" s="41">
        <f t="shared" si="5227"/>
        <v>3</v>
      </c>
      <c r="CP479" s="41">
        <f t="shared" si="5228"/>
        <v>26</v>
      </c>
      <c r="CQ479" s="41">
        <f t="shared" si="5229"/>
        <v>27</v>
      </c>
      <c r="CR479" s="41">
        <f t="shared" si="5230"/>
        <v>1</v>
      </c>
      <c r="CS479" s="41">
        <f t="shared" si="5231"/>
        <v>0</v>
      </c>
      <c r="CT479" s="41">
        <f t="shared" si="5232"/>
        <v>1</v>
      </c>
      <c r="CU479" s="41">
        <f t="shared" si="5233"/>
        <v>0</v>
      </c>
      <c r="CV479" s="41">
        <f t="shared" si="5234"/>
        <v>0</v>
      </c>
      <c r="CW479" s="41">
        <f t="shared" si="5235"/>
        <v>0</v>
      </c>
      <c r="CX479" s="41">
        <f t="shared" si="5236"/>
        <v>0</v>
      </c>
      <c r="CY479" s="41">
        <f t="shared" si="5237"/>
        <v>0</v>
      </c>
      <c r="CZ479" s="211">
        <f t="shared" si="5238"/>
        <v>0</v>
      </c>
      <c r="DA479" s="41">
        <f t="shared" si="5239"/>
        <v>0</v>
      </c>
      <c r="DB479" s="41">
        <f t="shared" si="5240"/>
        <v>0</v>
      </c>
      <c r="DC479" s="41">
        <f t="shared" si="5241"/>
        <v>0</v>
      </c>
      <c r="DD479" s="41">
        <f t="shared" si="5242"/>
        <v>0</v>
      </c>
      <c r="DE479" s="41">
        <f t="shared" si="5243"/>
        <v>0</v>
      </c>
      <c r="DF479" s="41">
        <f t="shared" si="5244"/>
        <v>0</v>
      </c>
      <c r="DG479" s="41">
        <f t="shared" si="5245"/>
        <v>0</v>
      </c>
      <c r="DH479" s="41">
        <f t="shared" si="5246"/>
        <v>0</v>
      </c>
      <c r="DI479" s="41">
        <f t="shared" si="5247"/>
        <v>0</v>
      </c>
    </row>
    <row r="480" spans="1:113" s="17" customFormat="1" ht="12" hidden="1" outlineLevel="2">
      <c r="A480" s="1" t="s">
        <v>105</v>
      </c>
      <c r="B480" s="17" t="s">
        <v>507</v>
      </c>
      <c r="C480" s="61">
        <v>-290</v>
      </c>
      <c r="D480" s="61">
        <v>-551</v>
      </c>
      <c r="E480" s="61">
        <f>-860-D480</f>
        <v>-309</v>
      </c>
      <c r="F480" s="61">
        <v>-303</v>
      </c>
      <c r="G480" s="61">
        <f>-614-F480</f>
        <v>-311</v>
      </c>
      <c r="H480" s="61">
        <v>-313</v>
      </c>
      <c r="I480" s="61">
        <f>-632-H480</f>
        <v>-319</v>
      </c>
      <c r="J480" s="61">
        <v>-284</v>
      </c>
      <c r="K480" s="61">
        <f>-580-J480</f>
        <v>-296</v>
      </c>
      <c r="L480" s="61">
        <f>-224</f>
        <v>-224</v>
      </c>
      <c r="M480" s="61">
        <f>-183</f>
        <v>-183</v>
      </c>
      <c r="N480" s="61">
        <f>-240</f>
        <v>-240</v>
      </c>
      <c r="O480" s="61">
        <f>-282</f>
        <v>-282</v>
      </c>
      <c r="P480" s="61">
        <f>-681</f>
        <v>-681</v>
      </c>
      <c r="Q480" s="61">
        <v>-1267</v>
      </c>
      <c r="R480" s="61">
        <f>-1373</f>
        <v>-1373</v>
      </c>
      <c r="S480" s="61">
        <f>-1632</f>
        <v>-1632</v>
      </c>
      <c r="T480" s="61">
        <v>-1082</v>
      </c>
      <c r="U480" s="61">
        <v>-705</v>
      </c>
      <c r="V480" s="61">
        <v>-675</v>
      </c>
      <c r="W480" s="61">
        <v>-562</v>
      </c>
      <c r="X480" s="61">
        <v>-538</v>
      </c>
      <c r="Y480" s="61">
        <v>-660</v>
      </c>
      <c r="Z480" s="194">
        <v>-588</v>
      </c>
      <c r="AA480" s="194">
        <v>-600</v>
      </c>
      <c r="AB480" s="194">
        <v>-527</v>
      </c>
      <c r="AC480" s="194">
        <v>-459</v>
      </c>
      <c r="AD480" s="194">
        <v>-494</v>
      </c>
      <c r="AE480" s="194">
        <v>-685</v>
      </c>
      <c r="AF480" s="194">
        <v>-904</v>
      </c>
      <c r="AG480" s="194">
        <v>-1025</v>
      </c>
      <c r="AH480" s="194">
        <v>-719</v>
      </c>
      <c r="AI480" s="194">
        <v>-479</v>
      </c>
      <c r="AJ480" s="194">
        <v>-408</v>
      </c>
      <c r="AK480" s="194">
        <v>-280</v>
      </c>
      <c r="AL480" s="194">
        <f>-393+1</f>
        <v>-392</v>
      </c>
      <c r="AM480" s="194">
        <v>-402</v>
      </c>
      <c r="AN480" s="194">
        <f>-1674-0</f>
        <v>-1674</v>
      </c>
      <c r="AO480" s="194">
        <f>-1064-0</f>
        <v>-1064</v>
      </c>
      <c r="AP480" s="194">
        <v>491</v>
      </c>
      <c r="AQ480" s="194">
        <v>76</v>
      </c>
      <c r="AR480" s="194">
        <v>284</v>
      </c>
      <c r="AS480" s="194">
        <v>-52</v>
      </c>
      <c r="AT480" s="194">
        <v>-133</v>
      </c>
      <c r="AU480" s="194">
        <v>-112</v>
      </c>
      <c r="AV480" s="194">
        <v>-70</v>
      </c>
      <c r="AW480" s="194">
        <v>-336</v>
      </c>
      <c r="AX480" s="194">
        <v>-145</v>
      </c>
      <c r="AY480" s="227">
        <v>-296</v>
      </c>
      <c r="AZ480" s="62">
        <f t="shared" ref="AZ480:BA480" si="5456">AZ478+AZ479</f>
        <v>-315.8678176424711</v>
      </c>
      <c r="BA480" s="62">
        <f t="shared" si="5456"/>
        <v>-356.07823082477046</v>
      </c>
      <c r="BB480" s="62">
        <f t="shared" ref="BB480:BC480" si="5457">BB478+BB479</f>
        <v>-427.72863205069257</v>
      </c>
      <c r="BC480" s="62">
        <f t="shared" si="5457"/>
        <v>-534.19107553923209</v>
      </c>
      <c r="BD480" s="62">
        <f t="shared" ref="BD480:BE480" si="5458">BD478+BD479</f>
        <v>-529.99517101503318</v>
      </c>
      <c r="BE480" s="62">
        <f t="shared" si="5458"/>
        <v>-510.25994074499647</v>
      </c>
      <c r="BF480" s="62">
        <f t="shared" ref="BF480:BG480" si="5459">BF478+BF479</f>
        <v>-485.54714579794796</v>
      </c>
      <c r="BG480" s="62">
        <f t="shared" si="5459"/>
        <v>-466.53979881955439</v>
      </c>
      <c r="BH480" s="62">
        <f t="shared" ref="BH480:BI480" si="5460">BH478+BH479</f>
        <v>-500.5185726410823</v>
      </c>
      <c r="BI480" s="62">
        <f t="shared" si="5460"/>
        <v>-497.7997009460351</v>
      </c>
      <c r="BJ480" s="62">
        <f t="shared" ref="BJ480:BK480" si="5461">BJ478+BJ479</f>
        <v>-339.49528212692508</v>
      </c>
      <c r="BK480" s="62">
        <f t="shared" si="5461"/>
        <v>-367.92022945396303</v>
      </c>
      <c r="BL480" s="62">
        <f t="shared" ref="BL480:BM480" si="5462">BL478+BL479</f>
        <v>-409.53317829099836</v>
      </c>
      <c r="BM480" s="62">
        <f t="shared" si="5462"/>
        <v>-470.58727237260905</v>
      </c>
      <c r="BN480" s="62">
        <f t="shared" ref="BN480:BO480" si="5463">BN478+BN479</f>
        <v>-546.51020343847154</v>
      </c>
      <c r="BO480" s="62">
        <f t="shared" si="5463"/>
        <v>-612.69213577501034</v>
      </c>
      <c r="BP480" s="62">
        <f t="shared" ref="BP480:BQ480" si="5464">BP478+BP479</f>
        <v>-675.72808775103431</v>
      </c>
      <c r="BQ480" s="62">
        <f t="shared" si="5464"/>
        <v>-691.97776031678177</v>
      </c>
      <c r="BR480" s="62"/>
      <c r="BS480" s="61">
        <f>-1600-337</f>
        <v>-1937</v>
      </c>
      <c r="BT480" s="61">
        <f>-629-5</f>
        <v>-634</v>
      </c>
      <c r="BU480" s="61">
        <v>-388</v>
      </c>
      <c r="BV480" s="61">
        <v>-237</v>
      </c>
      <c r="BW480" s="61">
        <v>-175</v>
      </c>
      <c r="BX480" s="61">
        <v>-400</v>
      </c>
      <c r="BY480" s="61">
        <v>-487</v>
      </c>
      <c r="BZ480" s="61">
        <v>-510</v>
      </c>
      <c r="CA480" s="61">
        <v>-502</v>
      </c>
      <c r="CB480" s="61">
        <v>-531</v>
      </c>
      <c r="CC480" s="62">
        <f>SUM(D480:E480)</f>
        <v>-860</v>
      </c>
      <c r="CD480" s="62">
        <f>SUM(F480:G480)</f>
        <v>-614</v>
      </c>
      <c r="CE480" s="62">
        <f>SUM(H480:I480)</f>
        <v>-632</v>
      </c>
      <c r="CF480" s="62">
        <f>SUM(J480:K480)</f>
        <v>-580</v>
      </c>
      <c r="CG480" s="62">
        <f>SUM(L480:M480)</f>
        <v>-407</v>
      </c>
      <c r="CH480" s="62">
        <f>SUM(N480:O480)</f>
        <v>-522</v>
      </c>
      <c r="CI480" s="62">
        <f>SUM(P480:Q480)</f>
        <v>-1948</v>
      </c>
      <c r="CJ480" s="62">
        <f t="shared" ref="CJ480:CP480" si="5465">CJ478+CJ479</f>
        <v>-3005</v>
      </c>
      <c r="CK480" s="62">
        <f t="shared" si="5465"/>
        <v>-1787</v>
      </c>
      <c r="CL480" s="62">
        <f t="shared" si="5465"/>
        <v>-1237</v>
      </c>
      <c r="CM480" s="62">
        <f t="shared" si="5465"/>
        <v>-1198</v>
      </c>
      <c r="CN480" s="62">
        <f t="shared" si="5465"/>
        <v>-1188</v>
      </c>
      <c r="CO480" s="62">
        <f t="shared" si="5465"/>
        <v>-986</v>
      </c>
      <c r="CP480" s="62">
        <f t="shared" si="5465"/>
        <v>-1179</v>
      </c>
      <c r="CQ480" s="62">
        <f t="shared" ref="CQ480:CX480" si="5466">CQ478+CQ479</f>
        <v>-1929</v>
      </c>
      <c r="CR480" s="62">
        <f t="shared" si="5466"/>
        <v>-1198</v>
      </c>
      <c r="CS480" s="62">
        <f t="shared" si="5466"/>
        <v>-688</v>
      </c>
      <c r="CT480" s="62">
        <f t="shared" si="5466"/>
        <v>-794</v>
      </c>
      <c r="CU480" s="62">
        <f t="shared" si="5466"/>
        <v>-2738</v>
      </c>
      <c r="CV480" s="62">
        <f t="shared" si="5466"/>
        <v>567</v>
      </c>
      <c r="CW480" s="62">
        <f t="shared" si="5466"/>
        <v>232</v>
      </c>
      <c r="CX480" s="62">
        <f t="shared" si="5466"/>
        <v>-245</v>
      </c>
      <c r="CY480" s="62">
        <f t="shared" ref="CY480:DD480" si="5467">CY478+CY479</f>
        <v>-406</v>
      </c>
      <c r="CZ480" s="220">
        <f t="shared" si="5467"/>
        <v>-441</v>
      </c>
      <c r="DA480" s="62">
        <f t="shared" si="5467"/>
        <v>-671.94604846724155</v>
      </c>
      <c r="DB480" s="62">
        <f t="shared" si="5467"/>
        <v>-961.91970758992466</v>
      </c>
      <c r="DC480" s="62">
        <f t="shared" si="5467"/>
        <v>-1040.2551117600296</v>
      </c>
      <c r="DD480" s="62">
        <f t="shared" si="5467"/>
        <v>-952.08694461750235</v>
      </c>
      <c r="DE480" s="62">
        <f t="shared" ref="DE480" si="5468">DE478+DE479</f>
        <v>-998.31827358711735</v>
      </c>
      <c r="DF480" s="62">
        <f t="shared" ref="DF480" si="5469">DF478+DF479</f>
        <v>-707.41551158088805</v>
      </c>
      <c r="DG480" s="62">
        <f>DG478+DG479</f>
        <v>-880.12045066360747</v>
      </c>
      <c r="DH480" s="62">
        <f>DH478+DH479</f>
        <v>-1159.202339213482</v>
      </c>
      <c r="DI480" s="62">
        <f>DI478+DI479</f>
        <v>-1367.7058480678161</v>
      </c>
    </row>
    <row r="481" spans="1:113" ht="12" outlineLevel="1" collapsed="1">
      <c r="A481" s="74"/>
      <c r="C481" s="41"/>
      <c r="D481" s="41"/>
      <c r="E481" s="41"/>
      <c r="F481" s="41"/>
      <c r="G481" s="41"/>
      <c r="H481" s="41"/>
      <c r="I481" s="41"/>
      <c r="J481" s="41"/>
      <c r="K481" s="41"/>
      <c r="L481" s="41"/>
      <c r="M481" s="41"/>
      <c r="N481" s="41"/>
      <c r="O481" s="41"/>
      <c r="P481" s="41"/>
      <c r="Q481" s="41"/>
      <c r="R481" s="41"/>
      <c r="S481" s="41"/>
      <c r="T481" s="41"/>
      <c r="U481" s="41"/>
      <c r="V481" s="41"/>
      <c r="W481" s="41"/>
      <c r="X481" s="41"/>
      <c r="Y481" s="41"/>
      <c r="Z481" s="41"/>
      <c r="AA481" s="32"/>
      <c r="AB481" s="41"/>
      <c r="AC481" s="41"/>
      <c r="AD481" s="41"/>
      <c r="AE481" s="41"/>
      <c r="AF481" s="41"/>
      <c r="AG481" s="41"/>
      <c r="AH481" s="41"/>
      <c r="AI481" s="41"/>
      <c r="AJ481" s="41"/>
      <c r="AK481" s="43"/>
      <c r="AL481" s="41"/>
      <c r="AM481" s="41"/>
      <c r="AN481" s="41"/>
      <c r="AO481" s="41"/>
      <c r="AP481" s="41"/>
      <c r="AQ481" s="41"/>
      <c r="AR481" s="41"/>
      <c r="AS481" s="41"/>
      <c r="AT481" s="41"/>
      <c r="AU481" s="41"/>
      <c r="AV481" s="41"/>
      <c r="AW481" s="41"/>
      <c r="AX481" s="41"/>
      <c r="AY481" s="211"/>
      <c r="AZ481" s="562"/>
      <c r="BA481" s="562"/>
      <c r="BB481" s="562"/>
      <c r="BC481" s="562"/>
      <c r="BD481" s="562"/>
      <c r="BE481" s="562"/>
      <c r="BF481" s="562"/>
      <c r="BG481" s="562"/>
      <c r="BH481" s="562"/>
      <c r="BI481" s="562"/>
      <c r="BJ481" s="41"/>
      <c r="BK481" s="41"/>
      <c r="BL481" s="41"/>
      <c r="BM481" s="41"/>
      <c r="BN481" s="41"/>
      <c r="BO481" s="41"/>
      <c r="BP481" s="41"/>
      <c r="BQ481" s="41"/>
      <c r="BR481" s="41"/>
      <c r="BS481" s="41"/>
      <c r="BT481" s="41"/>
      <c r="BU481" s="41"/>
      <c r="BV481" s="41"/>
      <c r="BW481" s="41"/>
      <c r="BX481" s="41"/>
      <c r="BY481" s="41"/>
      <c r="BZ481" s="41"/>
      <c r="CA481" s="41"/>
      <c r="CB481" s="41"/>
      <c r="CC481" s="41"/>
      <c r="CD481" s="41"/>
      <c r="CE481" s="41"/>
      <c r="CF481" s="41"/>
      <c r="CG481" s="41"/>
      <c r="CH481" s="41"/>
      <c r="CI481" s="41"/>
      <c r="CJ481" s="41"/>
      <c r="CK481" s="41"/>
      <c r="CL481" s="41"/>
      <c r="CM481" s="41"/>
      <c r="CN481" s="32"/>
      <c r="CO481" s="41"/>
      <c r="CP481" s="41"/>
      <c r="CQ481" s="41"/>
      <c r="CR481" s="41"/>
      <c r="CS481" s="41"/>
      <c r="CT481" s="41"/>
      <c r="CU481" s="41"/>
      <c r="CV481" s="41"/>
      <c r="CW481" s="41"/>
      <c r="CX481" s="41"/>
      <c r="CY481" s="41"/>
      <c r="CZ481" s="211"/>
      <c r="DA481" s="41"/>
      <c r="DB481" s="15"/>
      <c r="DC481" s="15"/>
      <c r="DD481" s="15"/>
      <c r="DE481" s="15"/>
      <c r="DF481" s="15"/>
      <c r="DG481" s="15"/>
      <c r="DH481" s="15"/>
      <c r="DI481" s="15"/>
    </row>
    <row r="482" spans="1:113" ht="12">
      <c r="C482" s="41"/>
      <c r="D482" s="41"/>
      <c r="E482" s="41"/>
      <c r="F482" s="41"/>
      <c r="G482" s="41"/>
      <c r="H482" s="41"/>
      <c r="I482" s="41"/>
      <c r="J482" s="41"/>
      <c r="K482" s="41"/>
      <c r="L482" s="41"/>
      <c r="M482" s="41"/>
      <c r="N482" s="41"/>
      <c r="O482" s="41"/>
      <c r="P482" s="41"/>
      <c r="Q482" s="41"/>
      <c r="R482" s="41"/>
      <c r="S482" s="41"/>
      <c r="T482" s="41"/>
      <c r="U482" s="41"/>
      <c r="V482" s="41"/>
      <c r="W482" s="41"/>
      <c r="X482" s="41"/>
      <c r="Y482" s="41"/>
      <c r="Z482" s="41"/>
      <c r="AA482" s="41"/>
      <c r="AB482" s="41"/>
      <c r="AC482" s="41"/>
      <c r="AD482" s="41"/>
      <c r="AE482" s="41"/>
      <c r="AF482" s="41"/>
      <c r="AG482" s="41"/>
      <c r="AH482" s="41"/>
      <c r="AI482" s="41"/>
      <c r="AJ482" s="41"/>
      <c r="AK482" s="41"/>
      <c r="AL482" s="41"/>
      <c r="AM482" s="41"/>
      <c r="AN482" s="41"/>
      <c r="AO482" s="41"/>
      <c r="AP482" s="41"/>
      <c r="AQ482" s="41"/>
      <c r="AR482" s="41"/>
      <c r="AS482" s="41"/>
      <c r="AT482" s="41"/>
      <c r="AU482" s="41"/>
      <c r="AV482" s="41"/>
      <c r="AW482" s="41"/>
      <c r="AX482" s="41"/>
      <c r="AY482" s="211">
        <f>-AY472-[3]ANZ!J$255</f>
        <v>0</v>
      </c>
      <c r="AZ482" s="573">
        <f>-AZ472-[3]ANZ!K$255</f>
        <v>0</v>
      </c>
      <c r="BA482" s="573">
        <f>-BA472-[3]ANZ!L$255</f>
        <v>0</v>
      </c>
      <c r="BB482" s="573">
        <f>-BB472-[3]ANZ!M$255</f>
        <v>0</v>
      </c>
      <c r="BC482" s="573">
        <f>-BC472-[3]ANZ!N$255</f>
        <v>0</v>
      </c>
      <c r="BD482" s="573">
        <f>-BD472-[3]ANZ!O$255</f>
        <v>0</v>
      </c>
      <c r="BE482" s="573">
        <f>-BE472-[3]ANZ!P$255</f>
        <v>0</v>
      </c>
      <c r="BF482" s="573">
        <f>-BF472-[3]ANZ!Q$255</f>
        <v>0</v>
      </c>
      <c r="BG482" s="573">
        <f>-BG472-[3]ANZ!R$255</f>
        <v>0</v>
      </c>
      <c r="BH482" s="573">
        <f>-BH472-[3]ANZ!S$255</f>
        <v>0</v>
      </c>
      <c r="BI482" s="573">
        <f>-BI472-[3]ANZ!T$255</f>
        <v>0</v>
      </c>
      <c r="BJ482" s="41"/>
      <c r="BK482" s="41"/>
      <c r="BL482" s="41"/>
      <c r="BM482" s="41"/>
      <c r="BN482" s="41"/>
      <c r="BO482" s="41"/>
      <c r="BP482" s="41"/>
      <c r="BQ482" s="41"/>
      <c r="BR482" s="41"/>
      <c r="BS482" s="41"/>
      <c r="BT482" s="41"/>
      <c r="BU482" s="41"/>
      <c r="BV482" s="41"/>
      <c r="BW482" s="41"/>
      <c r="BX482" s="41"/>
      <c r="BY482" s="41"/>
      <c r="BZ482" s="41"/>
      <c r="CA482" s="41"/>
      <c r="CB482" s="41"/>
      <c r="CC482" s="41"/>
      <c r="CD482" s="41"/>
      <c r="CE482" s="41"/>
      <c r="CF482" s="41"/>
      <c r="CG482" s="41"/>
      <c r="CH482" s="41"/>
      <c r="CI482" s="41"/>
      <c r="CJ482" s="41"/>
      <c r="CK482" s="41"/>
      <c r="CL482" s="41"/>
      <c r="CM482" s="41"/>
      <c r="CN482" s="41"/>
      <c r="CO482" s="41"/>
      <c r="CP482" s="41"/>
      <c r="CQ482" s="41"/>
      <c r="CR482" s="41"/>
      <c r="CS482" s="41"/>
      <c r="CT482" s="41"/>
      <c r="CU482" s="41"/>
      <c r="CV482" s="41"/>
      <c r="CW482" s="41"/>
      <c r="CX482" s="41"/>
      <c r="CY482" s="41"/>
      <c r="CZ482" s="211"/>
      <c r="DA482" s="41"/>
      <c r="DB482" s="15"/>
      <c r="DC482" s="15"/>
      <c r="DD482" s="15"/>
      <c r="DE482" s="15"/>
      <c r="DF482" s="15"/>
      <c r="DG482" s="15"/>
      <c r="DH482" s="15"/>
      <c r="DI482" s="15"/>
    </row>
    <row r="483" spans="1:113" s="26" customFormat="1" ht="12" collapsed="1">
      <c r="A483" s="1" t="s">
        <v>288</v>
      </c>
      <c r="B483" s="2" t="s">
        <v>349</v>
      </c>
      <c r="C483" s="60">
        <f t="shared" ref="C483:L486" si="5470">C454+C472</f>
        <v>1444</v>
      </c>
      <c r="D483" s="60">
        <f t="shared" si="5470"/>
        <v>1495</v>
      </c>
      <c r="E483" s="60">
        <f t="shared" si="5470"/>
        <v>1558.4499999999998</v>
      </c>
      <c r="F483" s="60">
        <f t="shared" si="5470"/>
        <v>1587.0000000000002</v>
      </c>
      <c r="G483" s="60">
        <f t="shared" si="5470"/>
        <v>1704.21</v>
      </c>
      <c r="H483" s="60">
        <f t="shared" si="5470"/>
        <v>1878.23</v>
      </c>
      <c r="I483" s="60">
        <f t="shared" si="5470"/>
        <v>2031.7000000000007</v>
      </c>
      <c r="J483" s="60">
        <f t="shared" si="5470"/>
        <v>2187.3500000000004</v>
      </c>
      <c r="K483" s="60">
        <f t="shared" si="5470"/>
        <v>2236.6799999999994</v>
      </c>
      <c r="L483" s="60">
        <f t="shared" si="5470"/>
        <v>2456.8199999999997</v>
      </c>
      <c r="M483" s="60">
        <f t="shared" ref="M483:AD483" si="5471">M454+M472</f>
        <v>2645.66</v>
      </c>
      <c r="N483" s="60">
        <f t="shared" si="5471"/>
        <v>2762.8399999999997</v>
      </c>
      <c r="O483" s="60">
        <f t="shared" si="5471"/>
        <v>2817.97</v>
      </c>
      <c r="P483" s="60">
        <f t="shared" si="5471"/>
        <v>2730.0500000000006</v>
      </c>
      <c r="Q483" s="60">
        <f t="shared" si="5471"/>
        <v>1768.0900000000006</v>
      </c>
      <c r="R483" s="60">
        <f t="shared" si="5471"/>
        <v>1465.58</v>
      </c>
      <c r="S483" s="60">
        <f t="shared" si="5471"/>
        <v>3309.09</v>
      </c>
      <c r="T483" s="60">
        <f t="shared" si="5471"/>
        <v>3312</v>
      </c>
      <c r="U483" s="60">
        <f t="shared" si="5471"/>
        <v>3816</v>
      </c>
      <c r="V483" s="60">
        <f t="shared" si="5471"/>
        <v>3822</v>
      </c>
      <c r="W483" s="60">
        <f t="shared" si="5471"/>
        <v>3820</v>
      </c>
      <c r="X483" s="60">
        <f t="shared" si="5471"/>
        <v>4017</v>
      </c>
      <c r="Y483" s="60">
        <f t="shared" si="5471"/>
        <v>4327</v>
      </c>
      <c r="Z483" s="60">
        <f t="shared" si="5471"/>
        <v>4449</v>
      </c>
      <c r="AA483" s="60">
        <f t="shared" si="5471"/>
        <v>4488</v>
      </c>
      <c r="AB483" s="60">
        <f t="shared" si="5471"/>
        <v>4854</v>
      </c>
      <c r="AC483" s="60">
        <f t="shared" si="5471"/>
        <v>4975</v>
      </c>
      <c r="AD483" s="60">
        <f t="shared" si="5471"/>
        <v>5082</v>
      </c>
      <c r="AE483" s="60">
        <f t="shared" ref="AE483:AF483" si="5472">AE454+AE472</f>
        <v>4872</v>
      </c>
      <c r="AF483" s="60">
        <f t="shared" si="5472"/>
        <v>3919</v>
      </c>
      <c r="AG483" s="60">
        <f t="shared" ref="AG483:AH483" si="5473">AG454+AG472</f>
        <v>4280</v>
      </c>
      <c r="AH483" s="60">
        <f t="shared" si="5473"/>
        <v>4769</v>
      </c>
      <c r="AI483" s="60">
        <f t="shared" ref="AI483:AJ483" si="5474">AI454+AI472</f>
        <v>4881</v>
      </c>
      <c r="AJ483" s="60">
        <f t="shared" si="5474"/>
        <v>4989</v>
      </c>
      <c r="AK483" s="60">
        <f t="shared" ref="AK483:AL483" si="5475">AK454+AK472</f>
        <v>4289</v>
      </c>
      <c r="AL483" s="60">
        <f t="shared" si="5475"/>
        <v>4988</v>
      </c>
      <c r="AM483" s="60">
        <f t="shared" ref="AM483:AN483" si="5476">AM454+AM472</f>
        <v>4175</v>
      </c>
      <c r="AN483" s="60">
        <f t="shared" si="5476"/>
        <v>2300</v>
      </c>
      <c r="AO483" s="60">
        <f t="shared" ref="AO483" si="5477">AO454+AO472</f>
        <v>3331</v>
      </c>
      <c r="AP483" s="60">
        <f t="shared" ref="AP483:AQ483" si="5478">AP454+AP472</f>
        <v>4432</v>
      </c>
      <c r="AQ483" s="60">
        <f t="shared" si="5478"/>
        <v>4531</v>
      </c>
      <c r="AR483" s="60">
        <f t="shared" ref="AR483:AS483" si="5479">AR454+AR472</f>
        <v>4441</v>
      </c>
      <c r="AS483" s="60">
        <f t="shared" si="5479"/>
        <v>4759</v>
      </c>
      <c r="AT483" s="60">
        <f t="shared" ref="AT483:AU483" si="5480">AT454+AT472</f>
        <v>5410</v>
      </c>
      <c r="AU483" s="60">
        <f t="shared" si="5480"/>
        <v>5111</v>
      </c>
      <c r="AV483" s="60">
        <f t="shared" ref="AV483:AW483" si="5481">AV454+AV472</f>
        <v>5062</v>
      </c>
      <c r="AW483" s="60">
        <f t="shared" si="5481"/>
        <v>4600</v>
      </c>
      <c r="AX483" s="60">
        <f t="shared" ref="AX483" si="5482">AX454+AX472</f>
        <v>5108</v>
      </c>
      <c r="AY483" s="219">
        <f t="shared" ref="AY483" si="5483">AY454+AY472</f>
        <v>3470</v>
      </c>
      <c r="AZ483" s="60">
        <f t="shared" ref="AZ483:BA483" si="5484">AZ454+AZ472</f>
        <v>5468.1910438132954</v>
      </c>
      <c r="BA483" s="60">
        <f t="shared" si="5484"/>
        <v>5419.3302652728216</v>
      </c>
      <c r="BB483" s="60">
        <f t="shared" ref="BB483:BC483" si="5485">BB454+BB472</f>
        <v>5666.5940875459773</v>
      </c>
      <c r="BC483" s="60">
        <f t="shared" si="5485"/>
        <v>5182.763604722245</v>
      </c>
      <c r="BD483" s="60">
        <f t="shared" ref="BD483:BE483" si="5486">BD454+BD472</f>
        <v>5801.1152522592047</v>
      </c>
      <c r="BE483" s="60">
        <f t="shared" si="5486"/>
        <v>5376.8420029618192</v>
      </c>
      <c r="BF483" s="60">
        <f t="shared" ref="BF483:BG483" si="5487">BF454+BF472</f>
        <v>5968.5979657338912</v>
      </c>
      <c r="BG483" s="60">
        <f t="shared" si="5487"/>
        <v>5629.9832502522731</v>
      </c>
      <c r="BH483" s="60">
        <f t="shared" ref="BH483:BI483" si="5488">BH454+BH472</f>
        <v>6113.3620936336156</v>
      </c>
      <c r="BI483" s="60">
        <f t="shared" si="5488"/>
        <v>5722.3574885390371</v>
      </c>
      <c r="BJ483" s="60">
        <f t="shared" ref="BJ483:BK483" si="5489">BJ454+BJ472</f>
        <v>6318.8105812459526</v>
      </c>
      <c r="BK483" s="60">
        <f t="shared" si="5489"/>
        <v>6188.4933299126578</v>
      </c>
      <c r="BL483" s="60">
        <f t="shared" ref="BL483:BM483" si="5490">BL454+BL472</f>
        <v>6497.4959038750185</v>
      </c>
      <c r="BM483" s="60">
        <f t="shared" si="5490"/>
        <v>6242.6415822110557</v>
      </c>
      <c r="BN483" s="60">
        <f t="shared" ref="BN483:BO483" si="5491">BN454+BN472</f>
        <v>6527.116926333375</v>
      </c>
      <c r="BO483" s="60">
        <f t="shared" si="5491"/>
        <v>6330.0149319906277</v>
      </c>
      <c r="BP483" s="60">
        <f t="shared" ref="BP483:BQ483" si="5492">BP454+BP472</f>
        <v>6635.5341283331072</v>
      </c>
      <c r="BQ483" s="60">
        <f t="shared" si="5492"/>
        <v>6495.3849077509858</v>
      </c>
      <c r="BR483" s="60"/>
      <c r="BS483" s="60">
        <f t="shared" ref="BS483:CB486" si="5493">BS454+BS472</f>
        <v>-719.5</v>
      </c>
      <c r="BT483" s="60">
        <f t="shared" si="5493"/>
        <v>660</v>
      </c>
      <c r="BU483" s="60">
        <f t="shared" si="5493"/>
        <v>1198</v>
      </c>
      <c r="BV483" s="60">
        <f t="shared" si="5493"/>
        <v>1485</v>
      </c>
      <c r="BW483" s="60">
        <f t="shared" si="5493"/>
        <v>1594</v>
      </c>
      <c r="BX483" s="60">
        <f t="shared" si="5493"/>
        <v>1645</v>
      </c>
      <c r="BY483" s="60">
        <f t="shared" si="5493"/>
        <v>1760</v>
      </c>
      <c r="BZ483" s="60">
        <f t="shared" si="5493"/>
        <v>2222</v>
      </c>
      <c r="CA483" s="60">
        <f t="shared" si="5493"/>
        <v>2580</v>
      </c>
      <c r="CB483" s="60">
        <f t="shared" si="5493"/>
        <v>2800</v>
      </c>
      <c r="CC483" s="60">
        <f t="shared" ref="CC483:CR483" si="5494">CC454+CC472</f>
        <v>3053.45</v>
      </c>
      <c r="CD483" s="60">
        <f t="shared" si="5494"/>
        <v>3291.21</v>
      </c>
      <c r="CE483" s="60">
        <f t="shared" si="5494"/>
        <v>3909.9300000000003</v>
      </c>
      <c r="CF483" s="60">
        <f t="shared" si="5494"/>
        <v>4424.0299999999988</v>
      </c>
      <c r="CG483" s="60">
        <f t="shared" si="5494"/>
        <v>5102.4799999999996</v>
      </c>
      <c r="CH483" s="60">
        <f t="shared" si="5494"/>
        <v>5580.8099999999995</v>
      </c>
      <c r="CI483" s="60">
        <f t="shared" si="5494"/>
        <v>4498.1399999999994</v>
      </c>
      <c r="CJ483" s="60">
        <f t="shared" si="5494"/>
        <v>4774.67</v>
      </c>
      <c r="CK483" s="60">
        <f t="shared" si="5494"/>
        <v>7128</v>
      </c>
      <c r="CL483" s="60">
        <f t="shared" si="5494"/>
        <v>7642</v>
      </c>
      <c r="CM483" s="60">
        <f t="shared" si="5494"/>
        <v>8344</v>
      </c>
      <c r="CN483" s="60">
        <f t="shared" si="5494"/>
        <v>8937</v>
      </c>
      <c r="CO483" s="60">
        <f t="shared" si="5494"/>
        <v>9829</v>
      </c>
      <c r="CP483" s="60">
        <f t="shared" si="5494"/>
        <v>9954</v>
      </c>
      <c r="CQ483" s="60">
        <f t="shared" si="5494"/>
        <v>8199</v>
      </c>
      <c r="CR483" s="60">
        <f t="shared" si="5494"/>
        <v>9650</v>
      </c>
      <c r="CS483" s="60">
        <f t="shared" ref="CS483:CX486" si="5495">CS454+CS472</f>
        <v>9278</v>
      </c>
      <c r="CT483" s="60">
        <f t="shared" si="5495"/>
        <v>9163</v>
      </c>
      <c r="CU483" s="60">
        <f t="shared" si="5495"/>
        <v>5631</v>
      </c>
      <c r="CV483" s="60">
        <f t="shared" si="5495"/>
        <v>8963</v>
      </c>
      <c r="CW483" s="60">
        <f t="shared" si="5495"/>
        <v>9200</v>
      </c>
      <c r="CX483" s="60">
        <f t="shared" si="5495"/>
        <v>10521</v>
      </c>
      <c r="CY483" s="60">
        <f t="shared" ref="CY483:CZ486" si="5496">CY454+CY472</f>
        <v>9662</v>
      </c>
      <c r="CZ483" s="219">
        <f t="shared" si="5496"/>
        <v>8578</v>
      </c>
      <c r="DA483" s="60">
        <f t="shared" ref="DA483:DB483" si="5497">DA454+DA472</f>
        <v>10887.521309086118</v>
      </c>
      <c r="DB483" s="60">
        <f t="shared" si="5497"/>
        <v>10849.357692268224</v>
      </c>
      <c r="DC483" s="60">
        <f t="shared" ref="DC483" si="5498">DC454+DC472</f>
        <v>11177.957255221027</v>
      </c>
      <c r="DD483" s="60">
        <f t="shared" ref="DD483:DE486" si="5499">DD454+DD472</f>
        <v>11598.581215986165</v>
      </c>
      <c r="DE483" s="60">
        <f t="shared" si="5499"/>
        <v>11835.719582172651</v>
      </c>
      <c r="DF483" s="60">
        <f t="shared" ref="DF483:DG486" si="5500">DF454+DF472</f>
        <v>12507.303911158609</v>
      </c>
      <c r="DG483" s="60">
        <f t="shared" si="5500"/>
        <v>12740.137486086072</v>
      </c>
      <c r="DH483" s="60">
        <f t="shared" ref="DH483" si="5501">DH454+DH472</f>
        <v>12857.131858324004</v>
      </c>
      <c r="DI483" s="60">
        <f t="shared" ref="DI483" si="5502">DI454+DI472</f>
        <v>13130.919036084095</v>
      </c>
    </row>
    <row r="484" spans="1:113" ht="12" outlineLevel="2">
      <c r="A484" s="1" t="s">
        <v>107</v>
      </c>
      <c r="B484" s="15" t="s">
        <v>857</v>
      </c>
      <c r="C484" s="41">
        <f t="shared" si="5470"/>
        <v>0</v>
      </c>
      <c r="D484" s="41">
        <f t="shared" si="5470"/>
        <v>0</v>
      </c>
      <c r="E484" s="41">
        <f t="shared" si="5470"/>
        <v>0</v>
      </c>
      <c r="F484" s="41">
        <f t="shared" si="5470"/>
        <v>0</v>
      </c>
      <c r="G484" s="41">
        <f t="shared" si="5470"/>
        <v>0</v>
      </c>
      <c r="H484" s="41">
        <f t="shared" si="5470"/>
        <v>0</v>
      </c>
      <c r="I484" s="41">
        <f t="shared" si="5470"/>
        <v>0</v>
      </c>
      <c r="J484" s="41">
        <f t="shared" si="5470"/>
        <v>0</v>
      </c>
      <c r="K484" s="41">
        <f t="shared" si="5470"/>
        <v>0</v>
      </c>
      <c r="L484" s="41">
        <f t="shared" si="5470"/>
        <v>0</v>
      </c>
      <c r="M484" s="41">
        <f t="shared" ref="M484:AD484" si="5503">M455+M473</f>
        <v>0</v>
      </c>
      <c r="N484" s="41">
        <f t="shared" si="5503"/>
        <v>0</v>
      </c>
      <c r="O484" s="41">
        <f t="shared" si="5503"/>
        <v>0</v>
      </c>
      <c r="P484" s="41">
        <f t="shared" si="5503"/>
        <v>0</v>
      </c>
      <c r="Q484" s="41">
        <f t="shared" si="5503"/>
        <v>0</v>
      </c>
      <c r="R484" s="41">
        <f t="shared" si="5503"/>
        <v>0</v>
      </c>
      <c r="S484" s="41">
        <f t="shared" si="5503"/>
        <v>0</v>
      </c>
      <c r="T484" s="41">
        <f t="shared" si="5503"/>
        <v>0</v>
      </c>
      <c r="U484" s="41">
        <f t="shared" si="5503"/>
        <v>0</v>
      </c>
      <c r="V484" s="41">
        <f t="shared" si="5503"/>
        <v>0</v>
      </c>
      <c r="W484" s="41">
        <f t="shared" si="5503"/>
        <v>0</v>
      </c>
      <c r="X484" s="41">
        <f t="shared" si="5503"/>
        <v>0</v>
      </c>
      <c r="Y484" s="41">
        <f t="shared" si="5503"/>
        <v>0</v>
      </c>
      <c r="Z484" s="41">
        <f t="shared" si="5503"/>
        <v>0</v>
      </c>
      <c r="AA484" s="41">
        <f t="shared" si="5503"/>
        <v>0</v>
      </c>
      <c r="AB484" s="41">
        <f t="shared" si="5503"/>
        <v>0</v>
      </c>
      <c r="AC484" s="41">
        <f t="shared" si="5503"/>
        <v>0</v>
      </c>
      <c r="AD484" s="41">
        <f t="shared" si="5503"/>
        <v>0</v>
      </c>
      <c r="AE484" s="41">
        <f t="shared" ref="AE484:AF484" si="5504">AE455+AE473</f>
        <v>0</v>
      </c>
      <c r="AF484" s="41">
        <f t="shared" si="5504"/>
        <v>0</v>
      </c>
      <c r="AG484" s="41">
        <f t="shared" ref="AG484:AH484" si="5505">AG455+AG473</f>
        <v>0</v>
      </c>
      <c r="AH484" s="41">
        <f t="shared" si="5505"/>
        <v>0</v>
      </c>
      <c r="AI484" s="41">
        <f t="shared" ref="AI484:AJ484" si="5506">AI455+AI473</f>
        <v>0</v>
      </c>
      <c r="AJ484" s="41">
        <f t="shared" si="5506"/>
        <v>0</v>
      </c>
      <c r="AK484" s="41">
        <f t="shared" ref="AK484:AL484" si="5507">AK455+AK473</f>
        <v>0</v>
      </c>
      <c r="AL484" s="41">
        <f t="shared" si="5507"/>
        <v>0</v>
      </c>
      <c r="AM484" s="41">
        <f t="shared" ref="AM484:AN484" si="5508">AM455+AM473</f>
        <v>0</v>
      </c>
      <c r="AN484" s="41">
        <f t="shared" si="5508"/>
        <v>0</v>
      </c>
      <c r="AO484" s="41">
        <f t="shared" ref="AO484" si="5509">AO455+AO473</f>
        <v>0</v>
      </c>
      <c r="AP484" s="41">
        <f t="shared" ref="AP484:AQ484" si="5510">AP455+AP473</f>
        <v>0</v>
      </c>
      <c r="AQ484" s="41">
        <f t="shared" si="5510"/>
        <v>0</v>
      </c>
      <c r="AR484" s="41">
        <f t="shared" ref="AR484:AS484" si="5511">AR455+AR473</f>
        <v>0</v>
      </c>
      <c r="AS484" s="41">
        <f t="shared" si="5511"/>
        <v>0</v>
      </c>
      <c r="AT484" s="41">
        <f t="shared" ref="AT484:AU484" si="5512">AT455+AT473</f>
        <v>0</v>
      </c>
      <c r="AU484" s="41">
        <f t="shared" si="5512"/>
        <v>0</v>
      </c>
      <c r="AV484" s="41">
        <f t="shared" ref="AV484:AW484" si="5513">AV455+AV473</f>
        <v>0</v>
      </c>
      <c r="AW484" s="41">
        <f t="shared" si="5513"/>
        <v>0</v>
      </c>
      <c r="AX484" s="41">
        <f t="shared" ref="AX484:AY484" si="5514">AX455+AX473</f>
        <v>0</v>
      </c>
      <c r="AY484" s="211">
        <f t="shared" si="5514"/>
        <v>0</v>
      </c>
      <c r="AZ484" s="41">
        <f t="shared" ref="AZ484:BA484" si="5515">AZ455+AZ473</f>
        <v>0</v>
      </c>
      <c r="BA484" s="41">
        <f t="shared" si="5515"/>
        <v>0</v>
      </c>
      <c r="BB484" s="41">
        <f t="shared" ref="BB484:BC484" si="5516">BB455+BB473</f>
        <v>0</v>
      </c>
      <c r="BC484" s="41">
        <f t="shared" si="5516"/>
        <v>0</v>
      </c>
      <c r="BD484" s="41">
        <f t="shared" ref="BD484:BE484" si="5517">BD455+BD473</f>
        <v>0</v>
      </c>
      <c r="BE484" s="41">
        <f t="shared" si="5517"/>
        <v>0</v>
      </c>
      <c r="BF484" s="41">
        <f t="shared" ref="BF484:BG484" si="5518">BF455+BF473</f>
        <v>0</v>
      </c>
      <c r="BG484" s="41">
        <f t="shared" si="5518"/>
        <v>0</v>
      </c>
      <c r="BH484" s="41">
        <f t="shared" ref="BH484:BI484" si="5519">BH455+BH473</f>
        <v>0</v>
      </c>
      <c r="BI484" s="41">
        <f t="shared" si="5519"/>
        <v>0</v>
      </c>
      <c r="BJ484" s="41">
        <f t="shared" ref="BJ484:BK484" si="5520">BJ455+BJ473</f>
        <v>0</v>
      </c>
      <c r="BK484" s="41">
        <f t="shared" si="5520"/>
        <v>0</v>
      </c>
      <c r="BL484" s="41">
        <f t="shared" ref="BL484:BM484" si="5521">BL455+BL473</f>
        <v>0</v>
      </c>
      <c r="BM484" s="41">
        <f t="shared" si="5521"/>
        <v>0</v>
      </c>
      <c r="BN484" s="41">
        <f t="shared" ref="BN484:BO484" si="5522">BN455+BN473</f>
        <v>0</v>
      </c>
      <c r="BO484" s="41">
        <f t="shared" si="5522"/>
        <v>0</v>
      </c>
      <c r="BP484" s="41">
        <f t="shared" ref="BP484:BQ484" si="5523">BP455+BP473</f>
        <v>0</v>
      </c>
      <c r="BQ484" s="41">
        <f t="shared" si="5523"/>
        <v>0</v>
      </c>
      <c r="BR484" s="41"/>
      <c r="BS484" s="41">
        <f t="shared" si="5493"/>
        <v>0</v>
      </c>
      <c r="BT484" s="41">
        <f t="shared" si="5493"/>
        <v>0</v>
      </c>
      <c r="BU484" s="41">
        <f t="shared" si="5493"/>
        <v>0</v>
      </c>
      <c r="BV484" s="41">
        <f t="shared" si="5493"/>
        <v>0</v>
      </c>
      <c r="BW484" s="41">
        <f t="shared" si="5493"/>
        <v>0</v>
      </c>
      <c r="BX484" s="41">
        <f t="shared" si="5493"/>
        <v>0</v>
      </c>
      <c r="BY484" s="41">
        <f t="shared" si="5493"/>
        <v>0</v>
      </c>
      <c r="BZ484" s="41">
        <f t="shared" si="5493"/>
        <v>0</v>
      </c>
      <c r="CA484" s="41">
        <f t="shared" si="5493"/>
        <v>0</v>
      </c>
      <c r="CB484" s="41">
        <f t="shared" si="5493"/>
        <v>0</v>
      </c>
      <c r="CC484" s="41">
        <f t="shared" ref="CC484:CR484" si="5524">CC455+CC473</f>
        <v>0</v>
      </c>
      <c r="CD484" s="41">
        <f t="shared" si="5524"/>
        <v>0</v>
      </c>
      <c r="CE484" s="41">
        <f t="shared" si="5524"/>
        <v>0</v>
      </c>
      <c r="CF484" s="41">
        <f t="shared" si="5524"/>
        <v>0</v>
      </c>
      <c r="CG484" s="41">
        <f t="shared" si="5524"/>
        <v>0</v>
      </c>
      <c r="CH484" s="41">
        <f t="shared" si="5524"/>
        <v>0</v>
      </c>
      <c r="CI484" s="41">
        <f t="shared" si="5524"/>
        <v>0</v>
      </c>
      <c r="CJ484" s="41">
        <f t="shared" si="5524"/>
        <v>0</v>
      </c>
      <c r="CK484" s="41">
        <f t="shared" si="5524"/>
        <v>0</v>
      </c>
      <c r="CL484" s="41">
        <f t="shared" si="5524"/>
        <v>0</v>
      </c>
      <c r="CM484" s="41">
        <f t="shared" si="5524"/>
        <v>0</v>
      </c>
      <c r="CN484" s="41">
        <f t="shared" si="5524"/>
        <v>0</v>
      </c>
      <c r="CO484" s="41">
        <f t="shared" si="5524"/>
        <v>0</v>
      </c>
      <c r="CP484" s="41">
        <f t="shared" si="5524"/>
        <v>0</v>
      </c>
      <c r="CQ484" s="41">
        <f t="shared" si="5524"/>
        <v>0</v>
      </c>
      <c r="CR484" s="41">
        <f t="shared" si="5524"/>
        <v>0</v>
      </c>
      <c r="CS484" s="41">
        <f t="shared" si="5495"/>
        <v>0</v>
      </c>
      <c r="CT484" s="41">
        <f t="shared" si="5495"/>
        <v>0</v>
      </c>
      <c r="CU484" s="41">
        <f t="shared" si="5495"/>
        <v>0</v>
      </c>
      <c r="CV484" s="41">
        <f t="shared" si="5495"/>
        <v>0</v>
      </c>
      <c r="CW484" s="41">
        <f t="shared" si="5495"/>
        <v>0</v>
      </c>
      <c r="CX484" s="41">
        <f t="shared" si="5495"/>
        <v>0</v>
      </c>
      <c r="CY484" s="41">
        <f t="shared" si="5496"/>
        <v>0</v>
      </c>
      <c r="CZ484" s="211">
        <f t="shared" si="5496"/>
        <v>0</v>
      </c>
      <c r="DA484" s="41">
        <f t="shared" ref="DA484:DB484" si="5525">DA455+DA473</f>
        <v>0</v>
      </c>
      <c r="DB484" s="41">
        <f t="shared" si="5525"/>
        <v>0</v>
      </c>
      <c r="DC484" s="41">
        <f t="shared" ref="DC484" si="5526">DC455+DC473</f>
        <v>0</v>
      </c>
      <c r="DD484" s="41">
        <f t="shared" si="5499"/>
        <v>0</v>
      </c>
      <c r="DE484" s="41">
        <f t="shared" si="5499"/>
        <v>0</v>
      </c>
      <c r="DF484" s="41">
        <f t="shared" si="5500"/>
        <v>0</v>
      </c>
      <c r="DG484" s="41">
        <f t="shared" si="5500"/>
        <v>0</v>
      </c>
      <c r="DH484" s="41">
        <f t="shared" ref="DH484" si="5527">DH455+DH473</f>
        <v>0</v>
      </c>
      <c r="DI484" s="41">
        <f t="shared" ref="DI484" si="5528">DI455+DI473</f>
        <v>0</v>
      </c>
    </row>
    <row r="485" spans="1:113" ht="12" outlineLevel="2">
      <c r="A485" s="1" t="s">
        <v>181</v>
      </c>
      <c r="B485" s="15" t="s">
        <v>447</v>
      </c>
      <c r="C485" s="41">
        <f t="shared" si="5470"/>
        <v>0</v>
      </c>
      <c r="D485" s="41">
        <f t="shared" si="5470"/>
        <v>0</v>
      </c>
      <c r="E485" s="41">
        <f t="shared" si="5470"/>
        <v>92.12</v>
      </c>
      <c r="F485" s="41">
        <f t="shared" si="5470"/>
        <v>101.42999999999999</v>
      </c>
      <c r="G485" s="41">
        <f t="shared" si="5470"/>
        <v>96.039999999999992</v>
      </c>
      <c r="H485" s="41">
        <f t="shared" si="5470"/>
        <v>97.02</v>
      </c>
      <c r="I485" s="41">
        <f t="shared" si="5470"/>
        <v>122.99</v>
      </c>
      <c r="J485" s="41">
        <f t="shared" si="5470"/>
        <v>92.12</v>
      </c>
      <c r="K485" s="41">
        <f t="shared" si="5470"/>
        <v>91.63</v>
      </c>
      <c r="L485" s="41">
        <f t="shared" si="5470"/>
        <v>109.75999999999999</v>
      </c>
      <c r="M485" s="41">
        <f t="shared" ref="M485:AD485" si="5529">M456+M474</f>
        <v>106.33</v>
      </c>
      <c r="N485" s="41">
        <f t="shared" si="5529"/>
        <v>125.44</v>
      </c>
      <c r="O485" s="41">
        <f t="shared" si="5529"/>
        <v>106.82</v>
      </c>
      <c r="P485" s="41">
        <f t="shared" si="5529"/>
        <v>160.63999999999999</v>
      </c>
      <c r="Q485" s="41">
        <f t="shared" si="5529"/>
        <v>224.68</v>
      </c>
      <c r="R485" s="41">
        <f t="shared" si="5529"/>
        <v>212.54</v>
      </c>
      <c r="S485" s="41">
        <f t="shared" si="5529"/>
        <v>99.27</v>
      </c>
      <c r="T485" s="41">
        <f t="shared" si="5529"/>
        <v>17</v>
      </c>
      <c r="U485" s="41">
        <f t="shared" si="5529"/>
        <v>17</v>
      </c>
      <c r="V485" s="41">
        <f t="shared" si="5529"/>
        <v>0</v>
      </c>
      <c r="W485" s="41">
        <f t="shared" si="5529"/>
        <v>0</v>
      </c>
      <c r="X485" s="41">
        <f t="shared" si="5529"/>
        <v>0</v>
      </c>
      <c r="Y485" s="41">
        <f t="shared" si="5529"/>
        <v>0</v>
      </c>
      <c r="Z485" s="41">
        <f t="shared" si="5529"/>
        <v>0</v>
      </c>
      <c r="AA485" s="41">
        <f t="shared" si="5529"/>
        <v>0</v>
      </c>
      <c r="AB485" s="41">
        <f t="shared" si="5529"/>
        <v>0</v>
      </c>
      <c r="AC485" s="41">
        <f t="shared" si="5529"/>
        <v>0</v>
      </c>
      <c r="AD485" s="41">
        <f t="shared" si="5529"/>
        <v>0</v>
      </c>
      <c r="AE485" s="41">
        <f t="shared" ref="AE485:AF485" si="5530">AE456+AE474</f>
        <v>0</v>
      </c>
      <c r="AF485" s="41">
        <f t="shared" si="5530"/>
        <v>0</v>
      </c>
      <c r="AG485" s="41">
        <f t="shared" ref="AG485:AH485" si="5531">AG456+AG474</f>
        <v>0</v>
      </c>
      <c r="AH485" s="41">
        <f t="shared" si="5531"/>
        <v>0</v>
      </c>
      <c r="AI485" s="41">
        <f t="shared" ref="AI485:AJ485" si="5532">AI456+AI474</f>
        <v>0</v>
      </c>
      <c r="AJ485" s="41">
        <f t="shared" si="5532"/>
        <v>0</v>
      </c>
      <c r="AK485" s="41">
        <f t="shared" ref="AK485:AL485" si="5533">AK456+AK474</f>
        <v>0</v>
      </c>
      <c r="AL485" s="41">
        <f t="shared" si="5533"/>
        <v>0</v>
      </c>
      <c r="AM485" s="41">
        <f t="shared" ref="AM485:AN485" si="5534">AM456+AM474</f>
        <v>0</v>
      </c>
      <c r="AN485" s="41">
        <f t="shared" si="5534"/>
        <v>0</v>
      </c>
      <c r="AO485" s="41">
        <f t="shared" ref="AO485" si="5535">AO456+AO474</f>
        <v>0</v>
      </c>
      <c r="AP485" s="41">
        <f t="shared" ref="AP485:AQ485" si="5536">AP456+AP474</f>
        <v>0</v>
      </c>
      <c r="AQ485" s="41">
        <f t="shared" si="5536"/>
        <v>0</v>
      </c>
      <c r="AR485" s="41">
        <f t="shared" ref="AR485:AS485" si="5537">AR456+AR474</f>
        <v>0</v>
      </c>
      <c r="AS485" s="41">
        <f t="shared" si="5537"/>
        <v>0</v>
      </c>
      <c r="AT485" s="41">
        <f t="shared" ref="AT485:AU485" si="5538">AT456+AT474</f>
        <v>0</v>
      </c>
      <c r="AU485" s="41">
        <f t="shared" si="5538"/>
        <v>0</v>
      </c>
      <c r="AV485" s="41">
        <f t="shared" ref="AV485:AW485" si="5539">AV456+AV474</f>
        <v>0</v>
      </c>
      <c r="AW485" s="41">
        <f t="shared" si="5539"/>
        <v>0</v>
      </c>
      <c r="AX485" s="41">
        <f t="shared" ref="AX485:AY485" si="5540">AX456+AX474</f>
        <v>0</v>
      </c>
      <c r="AY485" s="211">
        <f t="shared" si="5540"/>
        <v>0</v>
      </c>
      <c r="AZ485" s="41">
        <f t="shared" ref="AZ485:BA485" si="5541">AZ456+AZ474</f>
        <v>0</v>
      </c>
      <c r="BA485" s="41">
        <f t="shared" si="5541"/>
        <v>0</v>
      </c>
      <c r="BB485" s="41">
        <f t="shared" ref="BB485:BC485" si="5542">BB456+BB474</f>
        <v>0</v>
      </c>
      <c r="BC485" s="41">
        <f t="shared" si="5542"/>
        <v>0</v>
      </c>
      <c r="BD485" s="41">
        <f t="shared" ref="BD485:BE485" si="5543">BD456+BD474</f>
        <v>0</v>
      </c>
      <c r="BE485" s="41">
        <f t="shared" si="5543"/>
        <v>0</v>
      </c>
      <c r="BF485" s="41">
        <f t="shared" ref="BF485:BG485" si="5544">BF456+BF474</f>
        <v>0</v>
      </c>
      <c r="BG485" s="41">
        <f t="shared" si="5544"/>
        <v>0</v>
      </c>
      <c r="BH485" s="41">
        <f t="shared" ref="BH485:BI485" si="5545">BH456+BH474</f>
        <v>0</v>
      </c>
      <c r="BI485" s="41">
        <f t="shared" si="5545"/>
        <v>0</v>
      </c>
      <c r="BJ485" s="41">
        <f t="shared" ref="BJ485:BK485" si="5546">BJ456+BJ474</f>
        <v>0</v>
      </c>
      <c r="BK485" s="41">
        <f t="shared" si="5546"/>
        <v>0</v>
      </c>
      <c r="BL485" s="41">
        <f t="shared" ref="BL485:BM485" si="5547">BL456+BL474</f>
        <v>0</v>
      </c>
      <c r="BM485" s="41">
        <f t="shared" si="5547"/>
        <v>0</v>
      </c>
      <c r="BN485" s="41">
        <f t="shared" ref="BN485:BO485" si="5548">BN456+BN474</f>
        <v>0</v>
      </c>
      <c r="BO485" s="41">
        <f t="shared" si="5548"/>
        <v>0</v>
      </c>
      <c r="BP485" s="41">
        <f t="shared" ref="BP485:BQ485" si="5549">BP456+BP474</f>
        <v>0</v>
      </c>
      <c r="BQ485" s="41">
        <f t="shared" si="5549"/>
        <v>0</v>
      </c>
      <c r="BR485" s="41"/>
      <c r="BS485" s="41">
        <f t="shared" si="5493"/>
        <v>0</v>
      </c>
      <c r="BT485" s="41">
        <f t="shared" si="5493"/>
        <v>0</v>
      </c>
      <c r="BU485" s="41">
        <f t="shared" si="5493"/>
        <v>0</v>
      </c>
      <c r="BV485" s="41">
        <f t="shared" si="5493"/>
        <v>0</v>
      </c>
      <c r="BW485" s="41">
        <f t="shared" si="5493"/>
        <v>0</v>
      </c>
      <c r="BX485" s="41">
        <f t="shared" si="5493"/>
        <v>0</v>
      </c>
      <c r="BY485" s="41">
        <f t="shared" si="5493"/>
        <v>0</v>
      </c>
      <c r="BZ485" s="41">
        <f t="shared" si="5493"/>
        <v>0</v>
      </c>
      <c r="CA485" s="41">
        <f t="shared" si="5493"/>
        <v>0</v>
      </c>
      <c r="CB485" s="41">
        <f t="shared" si="5493"/>
        <v>0</v>
      </c>
      <c r="CC485" s="41">
        <f t="shared" ref="CC485:CR485" si="5550">CC456+CC474</f>
        <v>92.12</v>
      </c>
      <c r="CD485" s="41">
        <f t="shared" si="5550"/>
        <v>197.46999999999997</v>
      </c>
      <c r="CE485" s="41">
        <f t="shared" si="5550"/>
        <v>220.01</v>
      </c>
      <c r="CF485" s="41">
        <f t="shared" si="5550"/>
        <v>183.75</v>
      </c>
      <c r="CG485" s="41">
        <f t="shared" si="5550"/>
        <v>216.08999999999997</v>
      </c>
      <c r="CH485" s="41">
        <f t="shared" si="5550"/>
        <v>232.26</v>
      </c>
      <c r="CI485" s="41">
        <f t="shared" si="5550"/>
        <v>385.32</v>
      </c>
      <c r="CJ485" s="41">
        <f t="shared" si="5550"/>
        <v>311.81</v>
      </c>
      <c r="CK485" s="41">
        <f t="shared" si="5550"/>
        <v>34</v>
      </c>
      <c r="CL485" s="41">
        <f t="shared" si="5550"/>
        <v>0</v>
      </c>
      <c r="CM485" s="41">
        <f t="shared" si="5550"/>
        <v>0</v>
      </c>
      <c r="CN485" s="41">
        <f t="shared" si="5550"/>
        <v>0</v>
      </c>
      <c r="CO485" s="41">
        <f t="shared" si="5550"/>
        <v>0</v>
      </c>
      <c r="CP485" s="41">
        <f t="shared" si="5550"/>
        <v>0</v>
      </c>
      <c r="CQ485" s="41">
        <f t="shared" si="5550"/>
        <v>0</v>
      </c>
      <c r="CR485" s="41">
        <f t="shared" si="5550"/>
        <v>0</v>
      </c>
      <c r="CS485" s="41">
        <f t="shared" si="5495"/>
        <v>0</v>
      </c>
      <c r="CT485" s="41">
        <f t="shared" si="5495"/>
        <v>0</v>
      </c>
      <c r="CU485" s="41">
        <f t="shared" si="5495"/>
        <v>0</v>
      </c>
      <c r="CV485" s="41">
        <f t="shared" si="5495"/>
        <v>0</v>
      </c>
      <c r="CW485" s="41">
        <f t="shared" si="5495"/>
        <v>0</v>
      </c>
      <c r="CX485" s="41">
        <f t="shared" si="5495"/>
        <v>0</v>
      </c>
      <c r="CY485" s="41">
        <f t="shared" si="5496"/>
        <v>0</v>
      </c>
      <c r="CZ485" s="211">
        <f t="shared" si="5496"/>
        <v>0</v>
      </c>
      <c r="DA485" s="41">
        <f t="shared" ref="DA485:DB485" si="5551">DA456+DA474</f>
        <v>0</v>
      </c>
      <c r="DB485" s="41">
        <f t="shared" si="5551"/>
        <v>0</v>
      </c>
      <c r="DC485" s="41">
        <f t="shared" ref="DC485" si="5552">DC456+DC474</f>
        <v>0</v>
      </c>
      <c r="DD485" s="41">
        <f t="shared" si="5499"/>
        <v>0</v>
      </c>
      <c r="DE485" s="41">
        <f t="shared" si="5499"/>
        <v>0</v>
      </c>
      <c r="DF485" s="41">
        <f t="shared" si="5500"/>
        <v>0</v>
      </c>
      <c r="DG485" s="41">
        <f t="shared" si="5500"/>
        <v>0</v>
      </c>
      <c r="DH485" s="41">
        <f t="shared" ref="DH485" si="5553">DH456+DH474</f>
        <v>0</v>
      </c>
      <c r="DI485" s="41">
        <f t="shared" ref="DI485" si="5554">DI456+DI474</f>
        <v>0</v>
      </c>
    </row>
    <row r="486" spans="1:113" ht="12" outlineLevel="2">
      <c r="A486" s="1" t="s">
        <v>282</v>
      </c>
      <c r="B486" s="15" t="s">
        <v>370</v>
      </c>
      <c r="C486" s="41">
        <f t="shared" si="5470"/>
        <v>0</v>
      </c>
      <c r="D486" s="41">
        <f t="shared" si="5470"/>
        <v>0</v>
      </c>
      <c r="E486" s="41">
        <f t="shared" si="5470"/>
        <v>-92.12</v>
      </c>
      <c r="F486" s="41">
        <f t="shared" si="5470"/>
        <v>-101.42999999999999</v>
      </c>
      <c r="G486" s="41">
        <f t="shared" si="5470"/>
        <v>-96.039999999999992</v>
      </c>
      <c r="H486" s="41">
        <f t="shared" si="5470"/>
        <v>-97.02</v>
      </c>
      <c r="I486" s="41">
        <f t="shared" si="5470"/>
        <v>-122.99</v>
      </c>
      <c r="J486" s="41">
        <f t="shared" si="5470"/>
        <v>-92.12</v>
      </c>
      <c r="K486" s="41">
        <f t="shared" si="5470"/>
        <v>-91.63</v>
      </c>
      <c r="L486" s="41">
        <f t="shared" si="5470"/>
        <v>-109.75999999999999</v>
      </c>
      <c r="M486" s="41">
        <f t="shared" ref="M486:AD486" si="5555">M457+M475</f>
        <v>-106.33</v>
      </c>
      <c r="N486" s="41">
        <f t="shared" si="5555"/>
        <v>-125.44</v>
      </c>
      <c r="O486" s="41">
        <f t="shared" si="5555"/>
        <v>-106.82</v>
      </c>
      <c r="P486" s="41">
        <f t="shared" si="5555"/>
        <v>-115.64</v>
      </c>
      <c r="Q486" s="41">
        <f t="shared" si="5555"/>
        <v>-113.67999999999999</v>
      </c>
      <c r="R486" s="41">
        <f t="shared" si="5555"/>
        <v>-120.53999999999999</v>
      </c>
      <c r="S486" s="41">
        <f t="shared" si="5555"/>
        <v>-109.27</v>
      </c>
      <c r="T486" s="41">
        <f t="shared" si="5555"/>
        <v>0</v>
      </c>
      <c r="U486" s="41">
        <f t="shared" si="5555"/>
        <v>0</v>
      </c>
      <c r="V486" s="41">
        <f t="shared" si="5555"/>
        <v>0</v>
      </c>
      <c r="W486" s="41">
        <f t="shared" si="5555"/>
        <v>0</v>
      </c>
      <c r="X486" s="41">
        <f t="shared" si="5555"/>
        <v>0</v>
      </c>
      <c r="Y486" s="41">
        <f t="shared" si="5555"/>
        <v>0</v>
      </c>
      <c r="Z486" s="41">
        <f t="shared" si="5555"/>
        <v>0</v>
      </c>
      <c r="AA486" s="41">
        <f t="shared" si="5555"/>
        <v>0</v>
      </c>
      <c r="AB486" s="41">
        <f t="shared" si="5555"/>
        <v>0</v>
      </c>
      <c r="AC486" s="41">
        <f t="shared" si="5555"/>
        <v>0</v>
      </c>
      <c r="AD486" s="41">
        <f t="shared" si="5555"/>
        <v>0</v>
      </c>
      <c r="AE486" s="41">
        <f t="shared" ref="AE486:AF486" si="5556">AE457+AE475</f>
        <v>0</v>
      </c>
      <c r="AF486" s="41">
        <f t="shared" si="5556"/>
        <v>0</v>
      </c>
      <c r="AG486" s="41">
        <f t="shared" ref="AG486:AH486" si="5557">AG457+AG475</f>
        <v>0</v>
      </c>
      <c r="AH486" s="41">
        <f t="shared" si="5557"/>
        <v>0</v>
      </c>
      <c r="AI486" s="41">
        <f t="shared" ref="AI486:AJ486" si="5558">AI457+AI475</f>
        <v>0</v>
      </c>
      <c r="AJ486" s="41">
        <f t="shared" si="5558"/>
        <v>0</v>
      </c>
      <c r="AK486" s="41">
        <f t="shared" ref="AK486:AL486" si="5559">AK457+AK475</f>
        <v>0</v>
      </c>
      <c r="AL486" s="41">
        <f t="shared" si="5559"/>
        <v>0</v>
      </c>
      <c r="AM486" s="41">
        <f t="shared" ref="AM486:AN486" si="5560">AM457+AM475</f>
        <v>0</v>
      </c>
      <c r="AN486" s="41">
        <f t="shared" si="5560"/>
        <v>0</v>
      </c>
      <c r="AO486" s="41">
        <f t="shared" ref="AO486" si="5561">AO457+AO475</f>
        <v>0</v>
      </c>
      <c r="AP486" s="41">
        <f t="shared" ref="AP486:AQ486" si="5562">AP457+AP475</f>
        <v>0</v>
      </c>
      <c r="AQ486" s="41">
        <f t="shared" si="5562"/>
        <v>0</v>
      </c>
      <c r="AR486" s="41">
        <f t="shared" ref="AR486:AS486" si="5563">AR457+AR475</f>
        <v>0</v>
      </c>
      <c r="AS486" s="41">
        <f t="shared" si="5563"/>
        <v>0</v>
      </c>
      <c r="AT486" s="41">
        <f t="shared" ref="AT486:AU486" si="5564">AT457+AT475</f>
        <v>0</v>
      </c>
      <c r="AU486" s="41">
        <f t="shared" si="5564"/>
        <v>0</v>
      </c>
      <c r="AV486" s="41">
        <f t="shared" ref="AV486:AW486" si="5565">AV457+AV475</f>
        <v>0</v>
      </c>
      <c r="AW486" s="41">
        <f t="shared" si="5565"/>
        <v>0</v>
      </c>
      <c r="AX486" s="41">
        <f t="shared" ref="AX486:AY486" si="5566">AX457+AX475</f>
        <v>0</v>
      </c>
      <c r="AY486" s="211">
        <f t="shared" si="5566"/>
        <v>0</v>
      </c>
      <c r="AZ486" s="41">
        <f t="shared" ref="AZ486:BA486" si="5567">AZ457+AZ475</f>
        <v>0</v>
      </c>
      <c r="BA486" s="41">
        <f t="shared" si="5567"/>
        <v>0</v>
      </c>
      <c r="BB486" s="41">
        <f t="shared" ref="BB486:BC486" si="5568">BB457+BB475</f>
        <v>0</v>
      </c>
      <c r="BC486" s="41">
        <f t="shared" si="5568"/>
        <v>0</v>
      </c>
      <c r="BD486" s="41">
        <f t="shared" ref="BD486:BE486" si="5569">BD457+BD475</f>
        <v>0</v>
      </c>
      <c r="BE486" s="41">
        <f t="shared" si="5569"/>
        <v>0</v>
      </c>
      <c r="BF486" s="41">
        <f t="shared" ref="BF486:BG486" si="5570">BF457+BF475</f>
        <v>0</v>
      </c>
      <c r="BG486" s="41">
        <f t="shared" si="5570"/>
        <v>0</v>
      </c>
      <c r="BH486" s="41">
        <f t="shared" ref="BH486:BI486" si="5571">BH457+BH475</f>
        <v>0</v>
      </c>
      <c r="BI486" s="41">
        <f t="shared" si="5571"/>
        <v>0</v>
      </c>
      <c r="BJ486" s="41">
        <f t="shared" ref="BJ486:BK486" si="5572">BJ457+BJ475</f>
        <v>0</v>
      </c>
      <c r="BK486" s="41">
        <f t="shared" si="5572"/>
        <v>0</v>
      </c>
      <c r="BL486" s="41">
        <f t="shared" ref="BL486:BM486" si="5573">BL457+BL475</f>
        <v>0</v>
      </c>
      <c r="BM486" s="41">
        <f t="shared" si="5573"/>
        <v>0</v>
      </c>
      <c r="BN486" s="41">
        <f t="shared" ref="BN486:BO486" si="5574">BN457+BN475</f>
        <v>0</v>
      </c>
      <c r="BO486" s="41">
        <f t="shared" si="5574"/>
        <v>0</v>
      </c>
      <c r="BP486" s="41">
        <f t="shared" ref="BP486:BQ486" si="5575">BP457+BP475</f>
        <v>0</v>
      </c>
      <c r="BQ486" s="41">
        <f t="shared" si="5575"/>
        <v>0</v>
      </c>
      <c r="BR486" s="41"/>
      <c r="BS486" s="41">
        <f t="shared" si="5493"/>
        <v>0</v>
      </c>
      <c r="BT486" s="41">
        <f t="shared" si="5493"/>
        <v>0</v>
      </c>
      <c r="BU486" s="41">
        <f t="shared" si="5493"/>
        <v>0</v>
      </c>
      <c r="BV486" s="41">
        <f t="shared" si="5493"/>
        <v>0</v>
      </c>
      <c r="BW486" s="41">
        <f t="shared" si="5493"/>
        <v>0</v>
      </c>
      <c r="BX486" s="41">
        <f t="shared" si="5493"/>
        <v>0</v>
      </c>
      <c r="BY486" s="41">
        <f t="shared" si="5493"/>
        <v>0</v>
      </c>
      <c r="BZ486" s="41">
        <f t="shared" si="5493"/>
        <v>0</v>
      </c>
      <c r="CA486" s="41">
        <f t="shared" si="5493"/>
        <v>0</v>
      </c>
      <c r="CB486" s="41">
        <f t="shared" si="5493"/>
        <v>0</v>
      </c>
      <c r="CC486" s="41">
        <f t="shared" ref="CC486:CR486" si="5576">CC457+CC475</f>
        <v>-92.12</v>
      </c>
      <c r="CD486" s="41">
        <f t="shared" si="5576"/>
        <v>-197.46999999999997</v>
      </c>
      <c r="CE486" s="41">
        <f t="shared" si="5576"/>
        <v>-220.01</v>
      </c>
      <c r="CF486" s="41">
        <f t="shared" si="5576"/>
        <v>-183.75</v>
      </c>
      <c r="CG486" s="41">
        <f t="shared" si="5576"/>
        <v>-216.08999999999997</v>
      </c>
      <c r="CH486" s="41">
        <f t="shared" si="5576"/>
        <v>-232.26</v>
      </c>
      <c r="CI486" s="41">
        <f t="shared" si="5576"/>
        <v>-229.32</v>
      </c>
      <c r="CJ486" s="41">
        <f t="shared" si="5576"/>
        <v>-229.81</v>
      </c>
      <c r="CK486" s="41">
        <f t="shared" si="5576"/>
        <v>0</v>
      </c>
      <c r="CL486" s="41">
        <f t="shared" si="5576"/>
        <v>0</v>
      </c>
      <c r="CM486" s="41">
        <f t="shared" si="5576"/>
        <v>0</v>
      </c>
      <c r="CN486" s="41">
        <f t="shared" si="5576"/>
        <v>0</v>
      </c>
      <c r="CO486" s="41">
        <f t="shared" si="5576"/>
        <v>0</v>
      </c>
      <c r="CP486" s="41">
        <f t="shared" si="5576"/>
        <v>0</v>
      </c>
      <c r="CQ486" s="41">
        <f t="shared" si="5576"/>
        <v>0</v>
      </c>
      <c r="CR486" s="41">
        <f t="shared" si="5576"/>
        <v>0</v>
      </c>
      <c r="CS486" s="41">
        <f t="shared" si="5495"/>
        <v>0</v>
      </c>
      <c r="CT486" s="41">
        <f t="shared" si="5495"/>
        <v>0</v>
      </c>
      <c r="CU486" s="41">
        <f t="shared" si="5495"/>
        <v>0</v>
      </c>
      <c r="CV486" s="41">
        <f t="shared" si="5495"/>
        <v>0</v>
      </c>
      <c r="CW486" s="41">
        <f t="shared" si="5495"/>
        <v>0</v>
      </c>
      <c r="CX486" s="41">
        <f t="shared" si="5495"/>
        <v>0</v>
      </c>
      <c r="CY486" s="41">
        <f t="shared" si="5496"/>
        <v>0</v>
      </c>
      <c r="CZ486" s="211">
        <f t="shared" si="5496"/>
        <v>0</v>
      </c>
      <c r="DA486" s="41">
        <f t="shared" ref="DA486:DB486" si="5577">DA457+DA475</f>
        <v>0</v>
      </c>
      <c r="DB486" s="41">
        <f t="shared" si="5577"/>
        <v>0</v>
      </c>
      <c r="DC486" s="41">
        <f t="shared" ref="DC486" si="5578">DC457+DC475</f>
        <v>0</v>
      </c>
      <c r="DD486" s="41">
        <f t="shared" si="5499"/>
        <v>0</v>
      </c>
      <c r="DE486" s="41">
        <f t="shared" si="5499"/>
        <v>0</v>
      </c>
      <c r="DF486" s="41">
        <f t="shared" si="5500"/>
        <v>0</v>
      </c>
      <c r="DG486" s="41">
        <f t="shared" si="5500"/>
        <v>0</v>
      </c>
      <c r="DH486" s="41">
        <f t="shared" ref="DH486" si="5579">DH457+DH475</f>
        <v>0</v>
      </c>
      <c r="DI486" s="41">
        <f t="shared" ref="DI486" si="5580">DI457+DI475</f>
        <v>0</v>
      </c>
    </row>
    <row r="487" spans="1:113" ht="12" outlineLevel="2">
      <c r="A487" s="1" t="s">
        <v>283</v>
      </c>
      <c r="B487" s="15" t="s">
        <v>371</v>
      </c>
      <c r="C487" s="41">
        <f>C458</f>
        <v>0</v>
      </c>
      <c r="D487" s="41">
        <f>D458</f>
        <v>0</v>
      </c>
      <c r="E487" s="41">
        <f t="shared" ref="E487:L487" si="5581">E458</f>
        <v>0</v>
      </c>
      <c r="F487" s="41">
        <f t="shared" si="5581"/>
        <v>0</v>
      </c>
      <c r="G487" s="41">
        <f t="shared" si="5581"/>
        <v>0</v>
      </c>
      <c r="H487" s="41">
        <f t="shared" si="5581"/>
        <v>0</v>
      </c>
      <c r="I487" s="41">
        <f t="shared" si="5581"/>
        <v>0</v>
      </c>
      <c r="J487" s="41">
        <f t="shared" si="5581"/>
        <v>0</v>
      </c>
      <c r="K487" s="41">
        <f t="shared" si="5581"/>
        <v>0</v>
      </c>
      <c r="L487" s="41">
        <f t="shared" si="5581"/>
        <v>0</v>
      </c>
      <c r="M487" s="41">
        <f t="shared" ref="M487:AD487" si="5582">M458</f>
        <v>0</v>
      </c>
      <c r="N487" s="41">
        <f t="shared" si="5582"/>
        <v>0</v>
      </c>
      <c r="O487" s="41">
        <f t="shared" si="5582"/>
        <v>0</v>
      </c>
      <c r="P487" s="41">
        <f t="shared" si="5582"/>
        <v>-45</v>
      </c>
      <c r="Q487" s="41">
        <f t="shared" si="5582"/>
        <v>-111</v>
      </c>
      <c r="R487" s="41">
        <f t="shared" si="5582"/>
        <v>-92</v>
      </c>
      <c r="S487" s="41">
        <f t="shared" si="5582"/>
        <v>10</v>
      </c>
      <c r="T487" s="41">
        <f t="shared" si="5582"/>
        <v>-17</v>
      </c>
      <c r="U487" s="41">
        <f t="shared" si="5582"/>
        <v>-17</v>
      </c>
      <c r="V487" s="41">
        <f t="shared" si="5582"/>
        <v>0</v>
      </c>
      <c r="W487" s="41">
        <f t="shared" si="5582"/>
        <v>0</v>
      </c>
      <c r="X487" s="41">
        <f t="shared" si="5582"/>
        <v>0</v>
      </c>
      <c r="Y487" s="41">
        <f t="shared" si="5582"/>
        <v>0</v>
      </c>
      <c r="Z487" s="41">
        <f t="shared" si="5582"/>
        <v>0</v>
      </c>
      <c r="AA487" s="41">
        <f t="shared" si="5582"/>
        <v>0</v>
      </c>
      <c r="AB487" s="41">
        <f t="shared" si="5582"/>
        <v>0</v>
      </c>
      <c r="AC487" s="41">
        <f t="shared" si="5582"/>
        <v>0</v>
      </c>
      <c r="AD487" s="41">
        <f t="shared" si="5582"/>
        <v>0</v>
      </c>
      <c r="AE487" s="41">
        <f t="shared" ref="AE487:AF487" si="5583">AE458</f>
        <v>0</v>
      </c>
      <c r="AF487" s="41">
        <f t="shared" si="5583"/>
        <v>0</v>
      </c>
      <c r="AG487" s="41">
        <f t="shared" ref="AG487:AH487" si="5584">AG458</f>
        <v>0</v>
      </c>
      <c r="AH487" s="41">
        <f t="shared" si="5584"/>
        <v>0</v>
      </c>
      <c r="AI487" s="41">
        <f t="shared" ref="AI487:AJ487" si="5585">AI458</f>
        <v>0</v>
      </c>
      <c r="AJ487" s="41">
        <f t="shared" si="5585"/>
        <v>0</v>
      </c>
      <c r="AK487" s="41">
        <f t="shared" ref="AK487:AL487" si="5586">AK458</f>
        <v>0</v>
      </c>
      <c r="AL487" s="41">
        <f t="shared" si="5586"/>
        <v>0</v>
      </c>
      <c r="AM487" s="41">
        <f t="shared" ref="AM487:AN487" si="5587">AM458</f>
        <v>0</v>
      </c>
      <c r="AN487" s="41">
        <f t="shared" si="5587"/>
        <v>0</v>
      </c>
      <c r="AO487" s="41">
        <f t="shared" ref="AO487" si="5588">AO458</f>
        <v>0</v>
      </c>
      <c r="AP487" s="41">
        <f t="shared" ref="AP487:AQ487" si="5589">AP458</f>
        <v>0</v>
      </c>
      <c r="AQ487" s="41">
        <f t="shared" si="5589"/>
        <v>0</v>
      </c>
      <c r="AR487" s="41">
        <f t="shared" ref="AR487:AS487" si="5590">AR458</f>
        <v>0</v>
      </c>
      <c r="AS487" s="41">
        <f t="shared" si="5590"/>
        <v>0</v>
      </c>
      <c r="AT487" s="41">
        <f t="shared" ref="AT487:AU487" si="5591">AT458</f>
        <v>0</v>
      </c>
      <c r="AU487" s="41">
        <f t="shared" si="5591"/>
        <v>0</v>
      </c>
      <c r="AV487" s="41">
        <f t="shared" ref="AV487:AW487" si="5592">AV458</f>
        <v>0</v>
      </c>
      <c r="AW487" s="41">
        <f t="shared" si="5592"/>
        <v>0</v>
      </c>
      <c r="AX487" s="41">
        <f t="shared" ref="AX487:AY487" si="5593">AX458</f>
        <v>0</v>
      </c>
      <c r="AY487" s="211">
        <f t="shared" si="5593"/>
        <v>0</v>
      </c>
      <c r="AZ487" s="41">
        <f t="shared" ref="AZ487:BA487" si="5594">AZ458</f>
        <v>0</v>
      </c>
      <c r="BA487" s="41">
        <f t="shared" si="5594"/>
        <v>0</v>
      </c>
      <c r="BB487" s="41">
        <f t="shared" ref="BB487:BC487" si="5595">BB458</f>
        <v>0</v>
      </c>
      <c r="BC487" s="41">
        <f t="shared" si="5595"/>
        <v>0</v>
      </c>
      <c r="BD487" s="41">
        <f t="shared" ref="BD487:BE487" si="5596">BD458</f>
        <v>0</v>
      </c>
      <c r="BE487" s="41">
        <f t="shared" si="5596"/>
        <v>0</v>
      </c>
      <c r="BF487" s="41">
        <f t="shared" ref="BF487:BG487" si="5597">BF458</f>
        <v>0</v>
      </c>
      <c r="BG487" s="41">
        <f t="shared" si="5597"/>
        <v>0</v>
      </c>
      <c r="BH487" s="41">
        <f t="shared" ref="BH487:BI487" si="5598">BH458</f>
        <v>0</v>
      </c>
      <c r="BI487" s="41">
        <f t="shared" si="5598"/>
        <v>0</v>
      </c>
      <c r="BJ487" s="41">
        <f t="shared" ref="BJ487:BK487" si="5599">BJ458</f>
        <v>0</v>
      </c>
      <c r="BK487" s="41">
        <f t="shared" si="5599"/>
        <v>0</v>
      </c>
      <c r="BL487" s="41">
        <f t="shared" ref="BL487:BM487" si="5600">BL458</f>
        <v>0</v>
      </c>
      <c r="BM487" s="41">
        <f t="shared" si="5600"/>
        <v>0</v>
      </c>
      <c r="BN487" s="41">
        <f t="shared" ref="BN487:BO487" si="5601">BN458</f>
        <v>0</v>
      </c>
      <c r="BO487" s="41">
        <f t="shared" si="5601"/>
        <v>0</v>
      </c>
      <c r="BP487" s="41">
        <f t="shared" ref="BP487:BQ487" si="5602">BP458</f>
        <v>0</v>
      </c>
      <c r="BQ487" s="41">
        <f t="shared" si="5602"/>
        <v>0</v>
      </c>
      <c r="BR487" s="41"/>
      <c r="BS487" s="41">
        <f t="shared" ref="BS487:CB487" si="5603">BS458</f>
        <v>0</v>
      </c>
      <c r="BT487" s="41">
        <f t="shared" si="5603"/>
        <v>0</v>
      </c>
      <c r="BU487" s="41">
        <f t="shared" si="5603"/>
        <v>0</v>
      </c>
      <c r="BV487" s="41">
        <f t="shared" si="5603"/>
        <v>0</v>
      </c>
      <c r="BW487" s="41">
        <f t="shared" si="5603"/>
        <v>0</v>
      </c>
      <c r="BX487" s="41">
        <f t="shared" si="5603"/>
        <v>0</v>
      </c>
      <c r="BY487" s="41">
        <f t="shared" si="5603"/>
        <v>0</v>
      </c>
      <c r="BZ487" s="41">
        <f t="shared" si="5603"/>
        <v>0</v>
      </c>
      <c r="CA487" s="41">
        <f t="shared" si="5603"/>
        <v>0</v>
      </c>
      <c r="CB487" s="41">
        <f t="shared" si="5603"/>
        <v>0</v>
      </c>
      <c r="CC487" s="41">
        <f t="shared" ref="CC487:CR487" si="5604">CC458</f>
        <v>0</v>
      </c>
      <c r="CD487" s="41">
        <f t="shared" si="5604"/>
        <v>0</v>
      </c>
      <c r="CE487" s="41">
        <f t="shared" si="5604"/>
        <v>0</v>
      </c>
      <c r="CF487" s="41">
        <f t="shared" si="5604"/>
        <v>0</v>
      </c>
      <c r="CG487" s="41">
        <f t="shared" si="5604"/>
        <v>0</v>
      </c>
      <c r="CH487" s="41">
        <f t="shared" si="5604"/>
        <v>0</v>
      </c>
      <c r="CI487" s="41">
        <f t="shared" si="5604"/>
        <v>-156</v>
      </c>
      <c r="CJ487" s="41">
        <f t="shared" si="5604"/>
        <v>-82</v>
      </c>
      <c r="CK487" s="41">
        <f t="shared" si="5604"/>
        <v>-34</v>
      </c>
      <c r="CL487" s="41">
        <f t="shared" si="5604"/>
        <v>0</v>
      </c>
      <c r="CM487" s="41">
        <f t="shared" si="5604"/>
        <v>0</v>
      </c>
      <c r="CN487" s="41">
        <f t="shared" si="5604"/>
        <v>0</v>
      </c>
      <c r="CO487" s="41">
        <f t="shared" si="5604"/>
        <v>0</v>
      </c>
      <c r="CP487" s="41">
        <f t="shared" si="5604"/>
        <v>0</v>
      </c>
      <c r="CQ487" s="41">
        <f t="shared" si="5604"/>
        <v>0</v>
      </c>
      <c r="CR487" s="41">
        <f t="shared" si="5604"/>
        <v>0</v>
      </c>
      <c r="CS487" s="41">
        <f t="shared" ref="CS487:CX487" si="5605">CS458</f>
        <v>0</v>
      </c>
      <c r="CT487" s="41">
        <f t="shared" si="5605"/>
        <v>0</v>
      </c>
      <c r="CU487" s="41">
        <f t="shared" si="5605"/>
        <v>0</v>
      </c>
      <c r="CV487" s="41">
        <f t="shared" si="5605"/>
        <v>0</v>
      </c>
      <c r="CW487" s="41">
        <f t="shared" si="5605"/>
        <v>0</v>
      </c>
      <c r="CX487" s="41">
        <f t="shared" si="5605"/>
        <v>0</v>
      </c>
      <c r="CY487" s="41">
        <f t="shared" ref="CY487:DD487" si="5606">CY458</f>
        <v>0</v>
      </c>
      <c r="CZ487" s="211">
        <f t="shared" si="5606"/>
        <v>0</v>
      </c>
      <c r="DA487" s="41">
        <f t="shared" si="5606"/>
        <v>0</v>
      </c>
      <c r="DB487" s="41">
        <f t="shared" si="5606"/>
        <v>0</v>
      </c>
      <c r="DC487" s="41">
        <f t="shared" si="5606"/>
        <v>0</v>
      </c>
      <c r="DD487" s="41">
        <f t="shared" si="5606"/>
        <v>0</v>
      </c>
      <c r="DE487" s="41">
        <f t="shared" ref="DE487" si="5607">DE458</f>
        <v>0</v>
      </c>
      <c r="DF487" s="41">
        <f t="shared" ref="DF487" si="5608">DF458</f>
        <v>0</v>
      </c>
      <c r="DG487" s="41">
        <f>DG458</f>
        <v>0</v>
      </c>
      <c r="DH487" s="41">
        <f>DH458</f>
        <v>0</v>
      </c>
      <c r="DI487" s="41">
        <f>DI458</f>
        <v>0</v>
      </c>
    </row>
    <row r="488" spans="1:113" ht="12" outlineLevel="2">
      <c r="A488" s="1" t="s">
        <v>689</v>
      </c>
      <c r="B488" s="15" t="s">
        <v>361</v>
      </c>
      <c r="C488" s="41">
        <f>C459+C476</f>
        <v>0</v>
      </c>
      <c r="D488" s="41">
        <f>D459+D476</f>
        <v>0</v>
      </c>
      <c r="E488" s="41">
        <f t="shared" ref="E488:L489" si="5609">E459+E476</f>
        <v>-2.4500000000000002</v>
      </c>
      <c r="F488" s="41">
        <f t="shared" si="5609"/>
        <v>0</v>
      </c>
      <c r="G488" s="41">
        <f t="shared" si="5609"/>
        <v>-14.209999999999999</v>
      </c>
      <c r="H488" s="41">
        <f t="shared" si="5609"/>
        <v>-13.23</v>
      </c>
      <c r="I488" s="41">
        <f>I459+I476</f>
        <v>-14.7</v>
      </c>
      <c r="J488" s="41">
        <f t="shared" si="5609"/>
        <v>-7.35</v>
      </c>
      <c r="K488" s="41">
        <f t="shared" si="5609"/>
        <v>-15.68</v>
      </c>
      <c r="L488" s="41">
        <f t="shared" si="5609"/>
        <v>-8.82</v>
      </c>
      <c r="M488" s="41">
        <f t="shared" ref="M488:AD488" si="5610">M459+M476</f>
        <v>-16.66</v>
      </c>
      <c r="N488" s="41">
        <f t="shared" si="5610"/>
        <v>-7.84</v>
      </c>
      <c r="O488" s="41">
        <f t="shared" si="5610"/>
        <v>-25.97</v>
      </c>
      <c r="P488" s="41">
        <f t="shared" si="5610"/>
        <v>-22.05</v>
      </c>
      <c r="Q488" s="41">
        <f t="shared" si="5610"/>
        <v>-20.09</v>
      </c>
      <c r="R488" s="41">
        <f t="shared" si="5610"/>
        <v>-20.58</v>
      </c>
      <c r="S488" s="41">
        <f t="shared" si="5610"/>
        <v>-20.09</v>
      </c>
      <c r="T488" s="41">
        <f t="shared" si="5610"/>
        <v>0</v>
      </c>
      <c r="U488" s="41">
        <f t="shared" si="5610"/>
        <v>0</v>
      </c>
      <c r="V488" s="41">
        <f t="shared" si="5610"/>
        <v>0</v>
      </c>
      <c r="W488" s="41">
        <f t="shared" si="5610"/>
        <v>0</v>
      </c>
      <c r="X488" s="41">
        <f t="shared" si="5610"/>
        <v>0</v>
      </c>
      <c r="Y488" s="41">
        <f t="shared" si="5610"/>
        <v>0</v>
      </c>
      <c r="Z488" s="41">
        <f t="shared" si="5610"/>
        <v>0</v>
      </c>
      <c r="AA488" s="41">
        <f t="shared" si="5610"/>
        <v>0</v>
      </c>
      <c r="AB488" s="41">
        <f t="shared" si="5610"/>
        <v>0</v>
      </c>
      <c r="AC488" s="41">
        <f t="shared" si="5610"/>
        <v>0</v>
      </c>
      <c r="AD488" s="41">
        <f t="shared" si="5610"/>
        <v>0</v>
      </c>
      <c r="AE488" s="41">
        <f t="shared" ref="AE488:AF488" si="5611">AE459+AE476</f>
        <v>0</v>
      </c>
      <c r="AF488" s="41">
        <f t="shared" si="5611"/>
        <v>0</v>
      </c>
      <c r="AG488" s="41">
        <f t="shared" ref="AG488:AH488" si="5612">AG459+AG476</f>
        <v>0</v>
      </c>
      <c r="AH488" s="41">
        <f t="shared" si="5612"/>
        <v>0</v>
      </c>
      <c r="AI488" s="41">
        <f t="shared" ref="AI488:AJ488" si="5613">AI459+AI476</f>
        <v>0</v>
      </c>
      <c r="AJ488" s="41">
        <f t="shared" si="5613"/>
        <v>0</v>
      </c>
      <c r="AK488" s="41">
        <f t="shared" ref="AK488:AL488" si="5614">AK459+AK476</f>
        <v>0</v>
      </c>
      <c r="AL488" s="41">
        <f t="shared" si="5614"/>
        <v>0</v>
      </c>
      <c r="AM488" s="41">
        <f t="shared" ref="AM488:AN488" si="5615">AM459+AM476</f>
        <v>0</v>
      </c>
      <c r="AN488" s="41">
        <f t="shared" si="5615"/>
        <v>0</v>
      </c>
      <c r="AO488" s="41">
        <f t="shared" ref="AO488" si="5616">AO459+AO476</f>
        <v>0</v>
      </c>
      <c r="AP488" s="41">
        <f t="shared" ref="AP488:AQ488" si="5617">AP459+AP476</f>
        <v>0</v>
      </c>
      <c r="AQ488" s="41">
        <f t="shared" si="5617"/>
        <v>0</v>
      </c>
      <c r="AR488" s="41">
        <f t="shared" ref="AR488:AS488" si="5618">AR459+AR476</f>
        <v>0</v>
      </c>
      <c r="AS488" s="41">
        <f t="shared" si="5618"/>
        <v>0</v>
      </c>
      <c r="AT488" s="41">
        <f t="shared" ref="AT488:AU488" si="5619">AT459+AT476</f>
        <v>0</v>
      </c>
      <c r="AU488" s="41">
        <f t="shared" si="5619"/>
        <v>0</v>
      </c>
      <c r="AV488" s="41">
        <f t="shared" ref="AV488:AW488" si="5620">AV459+AV476</f>
        <v>0</v>
      </c>
      <c r="AW488" s="41">
        <f t="shared" si="5620"/>
        <v>0</v>
      </c>
      <c r="AX488" s="41">
        <f t="shared" ref="AX488:AY488" si="5621">AX459+AX476</f>
        <v>0</v>
      </c>
      <c r="AY488" s="211">
        <f t="shared" si="5621"/>
        <v>0</v>
      </c>
      <c r="AZ488" s="41">
        <f t="shared" ref="AZ488:BA488" si="5622">AZ459+AZ476</f>
        <v>0</v>
      </c>
      <c r="BA488" s="41">
        <f t="shared" si="5622"/>
        <v>0</v>
      </c>
      <c r="BB488" s="41">
        <f t="shared" ref="BB488:BC488" si="5623">BB459+BB476</f>
        <v>0</v>
      </c>
      <c r="BC488" s="41">
        <f t="shared" si="5623"/>
        <v>0</v>
      </c>
      <c r="BD488" s="41">
        <f t="shared" ref="BD488:BE488" si="5624">BD459+BD476</f>
        <v>0</v>
      </c>
      <c r="BE488" s="41">
        <f t="shared" si="5624"/>
        <v>0</v>
      </c>
      <c r="BF488" s="41">
        <f t="shared" ref="BF488:BG488" si="5625">BF459+BF476</f>
        <v>0</v>
      </c>
      <c r="BG488" s="41">
        <f t="shared" si="5625"/>
        <v>0</v>
      </c>
      <c r="BH488" s="41">
        <f t="shared" ref="BH488:BI488" si="5626">BH459+BH476</f>
        <v>0</v>
      </c>
      <c r="BI488" s="41">
        <f t="shared" si="5626"/>
        <v>0</v>
      </c>
      <c r="BJ488" s="41">
        <f t="shared" ref="BJ488:BK488" si="5627">BJ459+BJ476</f>
        <v>0</v>
      </c>
      <c r="BK488" s="41">
        <f t="shared" si="5627"/>
        <v>0</v>
      </c>
      <c r="BL488" s="41">
        <f t="shared" ref="BL488:BM488" si="5628">BL459+BL476</f>
        <v>0</v>
      </c>
      <c r="BM488" s="41">
        <f t="shared" si="5628"/>
        <v>0</v>
      </c>
      <c r="BN488" s="41">
        <f t="shared" ref="BN488:BO488" si="5629">BN459+BN476</f>
        <v>0</v>
      </c>
      <c r="BO488" s="41">
        <f t="shared" si="5629"/>
        <v>0</v>
      </c>
      <c r="BP488" s="41">
        <f t="shared" ref="BP488:BQ488" si="5630">BP459+BP476</f>
        <v>0</v>
      </c>
      <c r="BQ488" s="41">
        <f t="shared" si="5630"/>
        <v>0</v>
      </c>
      <c r="BR488" s="41"/>
      <c r="BS488" s="41">
        <f t="shared" ref="BS488:CB489" si="5631">BS459+BS476</f>
        <v>0</v>
      </c>
      <c r="BT488" s="41">
        <f t="shared" si="5631"/>
        <v>0</v>
      </c>
      <c r="BU488" s="41">
        <f t="shared" si="5631"/>
        <v>0</v>
      </c>
      <c r="BV488" s="41">
        <f t="shared" si="5631"/>
        <v>0</v>
      </c>
      <c r="BW488" s="41">
        <f t="shared" si="5631"/>
        <v>0</v>
      </c>
      <c r="BX488" s="41">
        <f t="shared" si="5631"/>
        <v>0</v>
      </c>
      <c r="BY488" s="41">
        <f t="shared" si="5631"/>
        <v>0</v>
      </c>
      <c r="BZ488" s="41">
        <f t="shared" si="5631"/>
        <v>0</v>
      </c>
      <c r="CA488" s="41">
        <f t="shared" si="5631"/>
        <v>0</v>
      </c>
      <c r="CB488" s="41">
        <f t="shared" si="5631"/>
        <v>0</v>
      </c>
      <c r="CC488" s="41">
        <f t="shared" ref="CC488:CR488" si="5632">CC459+CC476</f>
        <v>-2.4500000000000002</v>
      </c>
      <c r="CD488" s="41">
        <f t="shared" si="5632"/>
        <v>-14.209999999999999</v>
      </c>
      <c r="CE488" s="41">
        <f t="shared" si="5632"/>
        <v>-27.93</v>
      </c>
      <c r="CF488" s="41">
        <f t="shared" si="5632"/>
        <v>-23.03</v>
      </c>
      <c r="CG488" s="41">
        <f t="shared" si="5632"/>
        <v>-25.48</v>
      </c>
      <c r="CH488" s="41">
        <f t="shared" si="5632"/>
        <v>-33.81</v>
      </c>
      <c r="CI488" s="41">
        <f t="shared" si="5632"/>
        <v>-42.14</v>
      </c>
      <c r="CJ488" s="41">
        <f t="shared" si="5632"/>
        <v>-40.67</v>
      </c>
      <c r="CK488" s="41">
        <f t="shared" si="5632"/>
        <v>0</v>
      </c>
      <c r="CL488" s="41">
        <f t="shared" si="5632"/>
        <v>0</v>
      </c>
      <c r="CM488" s="41">
        <f t="shared" si="5632"/>
        <v>0</v>
      </c>
      <c r="CN488" s="41">
        <f t="shared" si="5632"/>
        <v>0</v>
      </c>
      <c r="CO488" s="41">
        <f t="shared" si="5632"/>
        <v>0</v>
      </c>
      <c r="CP488" s="41">
        <f t="shared" si="5632"/>
        <v>0</v>
      </c>
      <c r="CQ488" s="41">
        <f t="shared" si="5632"/>
        <v>0</v>
      </c>
      <c r="CR488" s="41">
        <f t="shared" si="5632"/>
        <v>0</v>
      </c>
      <c r="CS488" s="41">
        <f t="shared" ref="CS488:CX489" si="5633">CS459+CS476</f>
        <v>0</v>
      </c>
      <c r="CT488" s="41">
        <f t="shared" si="5633"/>
        <v>0</v>
      </c>
      <c r="CU488" s="41">
        <f t="shared" si="5633"/>
        <v>0</v>
      </c>
      <c r="CV488" s="41">
        <f t="shared" si="5633"/>
        <v>0</v>
      </c>
      <c r="CW488" s="41">
        <f t="shared" si="5633"/>
        <v>0</v>
      </c>
      <c r="CX488" s="41">
        <f t="shared" si="5633"/>
        <v>0</v>
      </c>
      <c r="CY488" s="41">
        <f t="shared" ref="CY488:DA489" si="5634">CY459+CY476</f>
        <v>0</v>
      </c>
      <c r="CZ488" s="211">
        <f t="shared" si="5634"/>
        <v>0</v>
      </c>
      <c r="DA488" s="41">
        <f t="shared" si="5634"/>
        <v>0</v>
      </c>
      <c r="DB488" s="41">
        <f t="shared" ref="DB488:DC488" si="5635">DB459+DB476</f>
        <v>0</v>
      </c>
      <c r="DC488" s="41">
        <f t="shared" si="5635"/>
        <v>0</v>
      </c>
      <c r="DD488" s="41">
        <f t="shared" ref="DD488" si="5636">DD459+DD476</f>
        <v>0</v>
      </c>
      <c r="DE488" s="41">
        <f t="shared" ref="DE488:DG489" si="5637">DE459+DE476</f>
        <v>0</v>
      </c>
      <c r="DF488" s="41">
        <f t="shared" si="5637"/>
        <v>0</v>
      </c>
      <c r="DG488" s="41">
        <f t="shared" si="5637"/>
        <v>0</v>
      </c>
      <c r="DH488" s="41">
        <f t="shared" ref="DH488" si="5638">DH459+DH476</f>
        <v>0</v>
      </c>
      <c r="DI488" s="41">
        <f t="shared" ref="DI488" si="5639">DI459+DI476</f>
        <v>0</v>
      </c>
    </row>
    <row r="489" spans="1:113" ht="12" outlineLevel="2">
      <c r="A489" s="1" t="s">
        <v>284</v>
      </c>
      <c r="B489" s="15" t="s">
        <v>425</v>
      </c>
      <c r="C489" s="41">
        <f>C460+C477</f>
        <v>0</v>
      </c>
      <c r="D489" s="41">
        <f>D460+D477</f>
        <v>0</v>
      </c>
      <c r="E489" s="41">
        <f t="shared" si="5609"/>
        <v>0</v>
      </c>
      <c r="F489" s="41">
        <f t="shared" si="5609"/>
        <v>0</v>
      </c>
      <c r="G489" s="41">
        <f t="shared" si="5609"/>
        <v>0</v>
      </c>
      <c r="H489" s="41">
        <f t="shared" si="5609"/>
        <v>0</v>
      </c>
      <c r="I489" s="41">
        <f t="shared" si="5609"/>
        <v>0</v>
      </c>
      <c r="J489" s="41">
        <f t="shared" si="5609"/>
        <v>0</v>
      </c>
      <c r="K489" s="41">
        <f t="shared" si="5609"/>
        <v>0</v>
      </c>
      <c r="L489" s="41">
        <f t="shared" si="5609"/>
        <v>0</v>
      </c>
      <c r="M489" s="41">
        <f t="shared" ref="M489:AD489" si="5640">M460+M477</f>
        <v>0</v>
      </c>
      <c r="N489" s="41">
        <f t="shared" si="5640"/>
        <v>0</v>
      </c>
      <c r="O489" s="41">
        <f t="shared" si="5640"/>
        <v>0</v>
      </c>
      <c r="P489" s="41">
        <f t="shared" si="5640"/>
        <v>-109</v>
      </c>
      <c r="Q489" s="41">
        <f t="shared" si="5640"/>
        <v>452</v>
      </c>
      <c r="R489" s="41">
        <f t="shared" si="5640"/>
        <v>1215</v>
      </c>
      <c r="S489" s="41">
        <f t="shared" si="5640"/>
        <v>-706</v>
      </c>
      <c r="T489" s="41">
        <f t="shared" si="5640"/>
        <v>-92</v>
      </c>
      <c r="U489" s="41">
        <f t="shared" si="5640"/>
        <v>-45</v>
      </c>
      <c r="V489" s="41">
        <f t="shared" si="5640"/>
        <v>0</v>
      </c>
      <c r="W489" s="41">
        <f t="shared" si="5640"/>
        <v>0</v>
      </c>
      <c r="X489" s="41">
        <f t="shared" si="5640"/>
        <v>0</v>
      </c>
      <c r="Y489" s="41">
        <f t="shared" si="5640"/>
        <v>-273</v>
      </c>
      <c r="Z489" s="41">
        <f t="shared" si="5640"/>
        <v>0</v>
      </c>
      <c r="AA489" s="41">
        <f t="shared" si="5640"/>
        <v>0</v>
      </c>
      <c r="AB489" s="41">
        <f t="shared" si="5640"/>
        <v>0</v>
      </c>
      <c r="AC489" s="41">
        <f t="shared" si="5640"/>
        <v>0</v>
      </c>
      <c r="AD489" s="41">
        <f t="shared" si="5640"/>
        <v>0</v>
      </c>
      <c r="AE489" s="41">
        <f t="shared" ref="AE489:AF489" si="5641">AE460+AE477</f>
        <v>0</v>
      </c>
      <c r="AF489" s="41">
        <f t="shared" si="5641"/>
        <v>0</v>
      </c>
      <c r="AG489" s="41">
        <f t="shared" ref="AG489:AH489" si="5642">AG460+AG477</f>
        <v>0</v>
      </c>
      <c r="AH489" s="41">
        <f t="shared" si="5642"/>
        <v>0</v>
      </c>
      <c r="AI489" s="41">
        <f t="shared" ref="AI489:AJ489" si="5643">AI460+AI477</f>
        <v>0</v>
      </c>
      <c r="AJ489" s="41">
        <f t="shared" si="5643"/>
        <v>0</v>
      </c>
      <c r="AK489" s="41">
        <f t="shared" ref="AK489:AL489" si="5644">AK460+AK477</f>
        <v>0</v>
      </c>
      <c r="AL489" s="41">
        <f t="shared" si="5644"/>
        <v>0</v>
      </c>
      <c r="AM489" s="41">
        <f t="shared" ref="AM489:AN489" si="5645">AM460+AM477</f>
        <v>0</v>
      </c>
      <c r="AN489" s="41">
        <f t="shared" si="5645"/>
        <v>0</v>
      </c>
      <c r="AO489" s="41">
        <f t="shared" ref="AO489" si="5646">AO460+AO477</f>
        <v>0</v>
      </c>
      <c r="AP489" s="41">
        <f t="shared" ref="AP489:AQ489" si="5647">AP460+AP477</f>
        <v>0</v>
      </c>
      <c r="AQ489" s="41">
        <f t="shared" si="5647"/>
        <v>0</v>
      </c>
      <c r="AR489" s="41">
        <f t="shared" ref="AR489:AS489" si="5648">AR460+AR477</f>
        <v>0</v>
      </c>
      <c r="AS489" s="41">
        <f t="shared" si="5648"/>
        <v>0</v>
      </c>
      <c r="AT489" s="41">
        <f t="shared" ref="AT489:AU489" si="5649">AT460+AT477</f>
        <v>0</v>
      </c>
      <c r="AU489" s="41">
        <f t="shared" si="5649"/>
        <v>0</v>
      </c>
      <c r="AV489" s="41">
        <f t="shared" ref="AV489:AW489" si="5650">AV460+AV477</f>
        <v>0</v>
      </c>
      <c r="AW489" s="41">
        <f t="shared" si="5650"/>
        <v>0</v>
      </c>
      <c r="AX489" s="41">
        <f t="shared" ref="AX489:AY489" si="5651">AX460+AX477</f>
        <v>0</v>
      </c>
      <c r="AY489" s="211">
        <f t="shared" si="5651"/>
        <v>0</v>
      </c>
      <c r="AZ489" s="41">
        <f t="shared" ref="AZ489:BA489" si="5652">AZ460+AZ477</f>
        <v>0</v>
      </c>
      <c r="BA489" s="41">
        <f t="shared" si="5652"/>
        <v>0</v>
      </c>
      <c r="BB489" s="41">
        <f t="shared" ref="BB489:BC489" si="5653">BB460+BB477</f>
        <v>0</v>
      </c>
      <c r="BC489" s="41">
        <f t="shared" si="5653"/>
        <v>0</v>
      </c>
      <c r="BD489" s="41">
        <f t="shared" ref="BD489:BE489" si="5654">BD460+BD477</f>
        <v>0</v>
      </c>
      <c r="BE489" s="41">
        <f t="shared" si="5654"/>
        <v>0</v>
      </c>
      <c r="BF489" s="41">
        <f t="shared" ref="BF489:BG489" si="5655">BF460+BF477</f>
        <v>0</v>
      </c>
      <c r="BG489" s="41">
        <f t="shared" si="5655"/>
        <v>0</v>
      </c>
      <c r="BH489" s="41">
        <f t="shared" ref="BH489:BI489" si="5656">BH460+BH477</f>
        <v>0</v>
      </c>
      <c r="BI489" s="41">
        <f t="shared" si="5656"/>
        <v>0</v>
      </c>
      <c r="BJ489" s="41">
        <f t="shared" ref="BJ489:BK489" si="5657">BJ460+BJ477</f>
        <v>0</v>
      </c>
      <c r="BK489" s="41">
        <f t="shared" si="5657"/>
        <v>0</v>
      </c>
      <c r="BL489" s="41">
        <f t="shared" ref="BL489:BM489" si="5658">BL460+BL477</f>
        <v>0</v>
      </c>
      <c r="BM489" s="41">
        <f t="shared" si="5658"/>
        <v>0</v>
      </c>
      <c r="BN489" s="41">
        <f t="shared" ref="BN489:BO489" si="5659">BN460+BN477</f>
        <v>0</v>
      </c>
      <c r="BO489" s="41">
        <f t="shared" si="5659"/>
        <v>0</v>
      </c>
      <c r="BP489" s="41">
        <f t="shared" ref="BP489:BQ489" si="5660">BP460+BP477</f>
        <v>0</v>
      </c>
      <c r="BQ489" s="41">
        <f t="shared" si="5660"/>
        <v>0</v>
      </c>
      <c r="BR489" s="41"/>
      <c r="BS489" s="41">
        <f t="shared" si="5631"/>
        <v>0</v>
      </c>
      <c r="BT489" s="41">
        <f t="shared" si="5631"/>
        <v>0</v>
      </c>
      <c r="BU489" s="41">
        <f t="shared" si="5631"/>
        <v>0</v>
      </c>
      <c r="BV489" s="41">
        <f t="shared" si="5631"/>
        <v>0</v>
      </c>
      <c r="BW489" s="41">
        <f t="shared" si="5631"/>
        <v>0</v>
      </c>
      <c r="BX489" s="41">
        <f t="shared" si="5631"/>
        <v>0</v>
      </c>
      <c r="BY489" s="41">
        <f t="shared" si="5631"/>
        <v>0</v>
      </c>
      <c r="BZ489" s="41">
        <f t="shared" si="5631"/>
        <v>0</v>
      </c>
      <c r="CA489" s="41">
        <f t="shared" si="5631"/>
        <v>0</v>
      </c>
      <c r="CB489" s="41">
        <f t="shared" si="5631"/>
        <v>0</v>
      </c>
      <c r="CC489" s="41">
        <f t="shared" ref="CC489:CR489" si="5661">CC460+CC477</f>
        <v>0</v>
      </c>
      <c r="CD489" s="41">
        <f t="shared" si="5661"/>
        <v>0</v>
      </c>
      <c r="CE489" s="41">
        <f t="shared" si="5661"/>
        <v>0</v>
      </c>
      <c r="CF489" s="41">
        <f t="shared" si="5661"/>
        <v>0</v>
      </c>
      <c r="CG489" s="41">
        <f t="shared" si="5661"/>
        <v>0</v>
      </c>
      <c r="CH489" s="41">
        <f t="shared" si="5661"/>
        <v>0</v>
      </c>
      <c r="CI489" s="41">
        <f t="shared" si="5661"/>
        <v>343</v>
      </c>
      <c r="CJ489" s="41">
        <f t="shared" si="5661"/>
        <v>509</v>
      </c>
      <c r="CK489" s="41">
        <f t="shared" si="5661"/>
        <v>-137</v>
      </c>
      <c r="CL489" s="41">
        <f t="shared" si="5661"/>
        <v>0</v>
      </c>
      <c r="CM489" s="41">
        <f t="shared" si="5661"/>
        <v>-273</v>
      </c>
      <c r="CN489" s="41">
        <f t="shared" si="5661"/>
        <v>0</v>
      </c>
      <c r="CO489" s="41">
        <f t="shared" si="5661"/>
        <v>0</v>
      </c>
      <c r="CP489" s="41">
        <f t="shared" si="5661"/>
        <v>0</v>
      </c>
      <c r="CQ489" s="41">
        <f t="shared" si="5661"/>
        <v>0</v>
      </c>
      <c r="CR489" s="41">
        <f t="shared" si="5661"/>
        <v>0</v>
      </c>
      <c r="CS489" s="41">
        <f t="shared" si="5633"/>
        <v>0</v>
      </c>
      <c r="CT489" s="41">
        <f t="shared" si="5633"/>
        <v>0</v>
      </c>
      <c r="CU489" s="41">
        <f t="shared" si="5633"/>
        <v>0</v>
      </c>
      <c r="CV489" s="41">
        <f t="shared" si="5633"/>
        <v>0</v>
      </c>
      <c r="CW489" s="41">
        <f t="shared" si="5633"/>
        <v>0</v>
      </c>
      <c r="CX489" s="41">
        <f t="shared" si="5633"/>
        <v>0</v>
      </c>
      <c r="CY489" s="41">
        <f t="shared" si="5634"/>
        <v>0</v>
      </c>
      <c r="CZ489" s="211">
        <f t="shared" si="5634"/>
        <v>0</v>
      </c>
      <c r="DA489" s="41">
        <f t="shared" si="5634"/>
        <v>0</v>
      </c>
      <c r="DB489" s="41">
        <f t="shared" ref="DB489:DC489" si="5662">DB460+DB477</f>
        <v>0</v>
      </c>
      <c r="DC489" s="41">
        <f t="shared" si="5662"/>
        <v>0</v>
      </c>
      <c r="DD489" s="41">
        <f t="shared" ref="DD489" si="5663">DD460+DD477</f>
        <v>0</v>
      </c>
      <c r="DE489" s="41">
        <f t="shared" si="5637"/>
        <v>0</v>
      </c>
      <c r="DF489" s="41">
        <f t="shared" si="5637"/>
        <v>0</v>
      </c>
      <c r="DG489" s="41">
        <f t="shared" si="5637"/>
        <v>0</v>
      </c>
      <c r="DH489" s="41">
        <f t="shared" ref="DH489" si="5664">DH460+DH477</f>
        <v>0</v>
      </c>
      <c r="DI489" s="41">
        <f t="shared" ref="DI489" si="5665">DI460+DI477</f>
        <v>0</v>
      </c>
    </row>
    <row r="490" spans="1:113" s="17" customFormat="1" ht="12" outlineLevel="2">
      <c r="A490" s="1" t="s">
        <v>285</v>
      </c>
      <c r="B490" s="17" t="s">
        <v>350</v>
      </c>
      <c r="C490" s="62">
        <f t="shared" ref="C490:L490" si="5666">SUM(C483:C489)</f>
        <v>1444</v>
      </c>
      <c r="D490" s="62">
        <f t="shared" si="5666"/>
        <v>1495</v>
      </c>
      <c r="E490" s="62">
        <f t="shared" si="5666"/>
        <v>1555.9999999999998</v>
      </c>
      <c r="F490" s="62">
        <f t="shared" si="5666"/>
        <v>1587.0000000000002</v>
      </c>
      <c r="G490" s="62">
        <f t="shared" si="5666"/>
        <v>1690</v>
      </c>
      <c r="H490" s="62">
        <f t="shared" si="5666"/>
        <v>1865</v>
      </c>
      <c r="I490" s="62">
        <f t="shared" si="5666"/>
        <v>2017.0000000000005</v>
      </c>
      <c r="J490" s="62">
        <f t="shared" si="5666"/>
        <v>2180.0000000000005</v>
      </c>
      <c r="K490" s="62">
        <f t="shared" si="5666"/>
        <v>2220.9999999999995</v>
      </c>
      <c r="L490" s="62">
        <f t="shared" si="5666"/>
        <v>2447.9999999999995</v>
      </c>
      <c r="M490" s="62">
        <f t="shared" ref="M490:AD490" si="5667">SUM(M483:M489)</f>
        <v>2629</v>
      </c>
      <c r="N490" s="62">
        <f t="shared" si="5667"/>
        <v>2754.9999999999995</v>
      </c>
      <c r="O490" s="62">
        <f t="shared" si="5667"/>
        <v>2792</v>
      </c>
      <c r="P490" s="62">
        <f t="shared" si="5667"/>
        <v>2599.0000000000005</v>
      </c>
      <c r="Q490" s="62">
        <f t="shared" si="5667"/>
        <v>2200.0000000000009</v>
      </c>
      <c r="R490" s="62">
        <f t="shared" si="5667"/>
        <v>2660</v>
      </c>
      <c r="S490" s="62">
        <f t="shared" si="5667"/>
        <v>2583</v>
      </c>
      <c r="T490" s="62">
        <f t="shared" si="5667"/>
        <v>3220</v>
      </c>
      <c r="U490" s="62">
        <f t="shared" si="5667"/>
        <v>3771</v>
      </c>
      <c r="V490" s="62">
        <f t="shared" si="5667"/>
        <v>3822</v>
      </c>
      <c r="W490" s="62">
        <f t="shared" si="5667"/>
        <v>3820</v>
      </c>
      <c r="X490" s="62">
        <f t="shared" si="5667"/>
        <v>4017</v>
      </c>
      <c r="Y490" s="62">
        <f t="shared" si="5667"/>
        <v>4054</v>
      </c>
      <c r="Z490" s="62">
        <f t="shared" si="5667"/>
        <v>4449</v>
      </c>
      <c r="AA490" s="62">
        <f t="shared" si="5667"/>
        <v>4488</v>
      </c>
      <c r="AB490" s="62">
        <f t="shared" si="5667"/>
        <v>4854</v>
      </c>
      <c r="AC490" s="62">
        <f t="shared" si="5667"/>
        <v>4975</v>
      </c>
      <c r="AD490" s="62">
        <f t="shared" si="5667"/>
        <v>5082</v>
      </c>
      <c r="AE490" s="62">
        <f t="shared" ref="AE490:AF490" si="5668">SUM(AE483:AE489)</f>
        <v>4872</v>
      </c>
      <c r="AF490" s="62">
        <f t="shared" si="5668"/>
        <v>3919</v>
      </c>
      <c r="AG490" s="62">
        <f t="shared" ref="AG490:AH490" si="5669">SUM(AG483:AG489)</f>
        <v>4280</v>
      </c>
      <c r="AH490" s="62">
        <f t="shared" si="5669"/>
        <v>4769</v>
      </c>
      <c r="AI490" s="62">
        <f t="shared" ref="AI490:AJ490" si="5670">SUM(AI483:AI489)</f>
        <v>4881</v>
      </c>
      <c r="AJ490" s="62">
        <f t="shared" si="5670"/>
        <v>4989</v>
      </c>
      <c r="AK490" s="62">
        <f t="shared" ref="AK490:AL490" si="5671">SUM(AK483:AK489)</f>
        <v>4289</v>
      </c>
      <c r="AL490" s="62">
        <f t="shared" si="5671"/>
        <v>4988</v>
      </c>
      <c r="AM490" s="62">
        <f t="shared" ref="AM490:AN490" si="5672">SUM(AM483:AM489)</f>
        <v>4175</v>
      </c>
      <c r="AN490" s="62">
        <f t="shared" si="5672"/>
        <v>2300</v>
      </c>
      <c r="AO490" s="62">
        <f t="shared" ref="AO490" si="5673">SUM(AO483:AO489)</f>
        <v>3331</v>
      </c>
      <c r="AP490" s="62">
        <f t="shared" ref="AP490:AQ490" si="5674">SUM(AP483:AP489)</f>
        <v>4432</v>
      </c>
      <c r="AQ490" s="62">
        <f t="shared" si="5674"/>
        <v>4531</v>
      </c>
      <c r="AR490" s="62">
        <f t="shared" ref="AR490:AS490" si="5675">SUM(AR483:AR489)</f>
        <v>4441</v>
      </c>
      <c r="AS490" s="62">
        <f t="shared" si="5675"/>
        <v>4759</v>
      </c>
      <c r="AT490" s="62">
        <f t="shared" ref="AT490:AU490" si="5676">SUM(AT483:AT489)</f>
        <v>5410</v>
      </c>
      <c r="AU490" s="62">
        <f t="shared" si="5676"/>
        <v>5111</v>
      </c>
      <c r="AV490" s="62">
        <f t="shared" ref="AV490:AW490" si="5677">SUM(AV483:AV489)</f>
        <v>5062</v>
      </c>
      <c r="AW490" s="62">
        <f t="shared" si="5677"/>
        <v>4600</v>
      </c>
      <c r="AX490" s="62">
        <f t="shared" ref="AX490:AY490" si="5678">SUM(AX483:AX489)</f>
        <v>5108</v>
      </c>
      <c r="AY490" s="220">
        <f t="shared" si="5678"/>
        <v>3470</v>
      </c>
      <c r="AZ490" s="62">
        <f t="shared" ref="AZ490:BA490" si="5679">SUM(AZ483:AZ489)</f>
        <v>5468.1910438132954</v>
      </c>
      <c r="BA490" s="62">
        <f t="shared" si="5679"/>
        <v>5419.3302652728216</v>
      </c>
      <c r="BB490" s="62">
        <f t="shared" ref="BB490:BC490" si="5680">SUM(BB483:BB489)</f>
        <v>5666.5940875459773</v>
      </c>
      <c r="BC490" s="62">
        <f t="shared" si="5680"/>
        <v>5182.763604722245</v>
      </c>
      <c r="BD490" s="62">
        <f t="shared" ref="BD490:BE490" si="5681">SUM(BD483:BD489)</f>
        <v>5801.1152522592047</v>
      </c>
      <c r="BE490" s="62">
        <f t="shared" si="5681"/>
        <v>5376.8420029618192</v>
      </c>
      <c r="BF490" s="62">
        <f t="shared" ref="BF490:BG490" si="5682">SUM(BF483:BF489)</f>
        <v>5968.5979657338912</v>
      </c>
      <c r="BG490" s="62">
        <f t="shared" si="5682"/>
        <v>5629.9832502522731</v>
      </c>
      <c r="BH490" s="62">
        <f t="shared" ref="BH490:BI490" si="5683">SUM(BH483:BH489)</f>
        <v>6113.3620936336156</v>
      </c>
      <c r="BI490" s="62">
        <f t="shared" si="5683"/>
        <v>5722.3574885390371</v>
      </c>
      <c r="BJ490" s="62">
        <f t="shared" ref="BJ490:BK490" si="5684">SUM(BJ483:BJ489)</f>
        <v>6318.8105812459526</v>
      </c>
      <c r="BK490" s="62">
        <f t="shared" si="5684"/>
        <v>6188.4933299126578</v>
      </c>
      <c r="BL490" s="62">
        <f t="shared" ref="BL490:BM490" si="5685">SUM(BL483:BL489)</f>
        <v>6497.4959038750185</v>
      </c>
      <c r="BM490" s="62">
        <f t="shared" si="5685"/>
        <v>6242.6415822110557</v>
      </c>
      <c r="BN490" s="62">
        <f t="shared" ref="BN490:BO490" si="5686">SUM(BN483:BN489)</f>
        <v>6527.116926333375</v>
      </c>
      <c r="BO490" s="62">
        <f t="shared" si="5686"/>
        <v>6330.0149319906277</v>
      </c>
      <c r="BP490" s="62">
        <f t="shared" ref="BP490:BQ490" si="5687">SUM(BP483:BP489)</f>
        <v>6635.5341283331072</v>
      </c>
      <c r="BQ490" s="62">
        <f t="shared" si="5687"/>
        <v>6495.3849077509858</v>
      </c>
      <c r="BR490" s="62"/>
      <c r="BS490" s="62">
        <f t="shared" ref="BS490:CB490" si="5688">SUM(BS483:BS489)</f>
        <v>-719.5</v>
      </c>
      <c r="BT490" s="62">
        <f t="shared" si="5688"/>
        <v>660</v>
      </c>
      <c r="BU490" s="62">
        <f t="shared" si="5688"/>
        <v>1198</v>
      </c>
      <c r="BV490" s="62">
        <f t="shared" si="5688"/>
        <v>1485</v>
      </c>
      <c r="BW490" s="62">
        <f t="shared" si="5688"/>
        <v>1594</v>
      </c>
      <c r="BX490" s="62">
        <f t="shared" si="5688"/>
        <v>1645</v>
      </c>
      <c r="BY490" s="62">
        <f t="shared" si="5688"/>
        <v>1760</v>
      </c>
      <c r="BZ490" s="62">
        <f t="shared" si="5688"/>
        <v>2222</v>
      </c>
      <c r="CA490" s="62">
        <f t="shared" si="5688"/>
        <v>2580</v>
      </c>
      <c r="CB490" s="62">
        <f t="shared" si="5688"/>
        <v>2800</v>
      </c>
      <c r="CC490" s="62">
        <f t="shared" ref="CC490:CR490" si="5689">SUM(CC483:CC489)</f>
        <v>3051</v>
      </c>
      <c r="CD490" s="62">
        <f t="shared" si="5689"/>
        <v>3277</v>
      </c>
      <c r="CE490" s="62">
        <f t="shared" si="5689"/>
        <v>3882.0000000000005</v>
      </c>
      <c r="CF490" s="62">
        <f t="shared" si="5689"/>
        <v>4400.9999999999991</v>
      </c>
      <c r="CG490" s="62">
        <f t="shared" si="5689"/>
        <v>5077</v>
      </c>
      <c r="CH490" s="62">
        <f t="shared" si="5689"/>
        <v>5546.9999999999991</v>
      </c>
      <c r="CI490" s="62">
        <f t="shared" si="5689"/>
        <v>4798.9999999999991</v>
      </c>
      <c r="CJ490" s="62">
        <f t="shared" si="5689"/>
        <v>5243</v>
      </c>
      <c r="CK490" s="62">
        <f t="shared" si="5689"/>
        <v>6991</v>
      </c>
      <c r="CL490" s="62">
        <f t="shared" si="5689"/>
        <v>7642</v>
      </c>
      <c r="CM490" s="62">
        <f t="shared" si="5689"/>
        <v>8071</v>
      </c>
      <c r="CN490" s="62">
        <f t="shared" si="5689"/>
        <v>8937</v>
      </c>
      <c r="CO490" s="62">
        <f t="shared" si="5689"/>
        <v>9829</v>
      </c>
      <c r="CP490" s="62">
        <f t="shared" si="5689"/>
        <v>9954</v>
      </c>
      <c r="CQ490" s="62">
        <f t="shared" si="5689"/>
        <v>8199</v>
      </c>
      <c r="CR490" s="62">
        <f t="shared" si="5689"/>
        <v>9650</v>
      </c>
      <c r="CS490" s="62">
        <f t="shared" ref="CS490:CX490" si="5690">SUM(CS483:CS489)</f>
        <v>9278</v>
      </c>
      <c r="CT490" s="62">
        <f t="shared" si="5690"/>
        <v>9163</v>
      </c>
      <c r="CU490" s="62">
        <f t="shared" si="5690"/>
        <v>5631</v>
      </c>
      <c r="CV490" s="62">
        <f t="shared" si="5690"/>
        <v>8963</v>
      </c>
      <c r="CW490" s="62">
        <f t="shared" si="5690"/>
        <v>9200</v>
      </c>
      <c r="CX490" s="62">
        <f t="shared" si="5690"/>
        <v>10521</v>
      </c>
      <c r="CY490" s="62">
        <f t="shared" ref="CY490:DD490" si="5691">SUM(CY483:CY489)</f>
        <v>9662</v>
      </c>
      <c r="CZ490" s="220">
        <f t="shared" si="5691"/>
        <v>8578</v>
      </c>
      <c r="DA490" s="62">
        <f t="shared" si="5691"/>
        <v>10887.521309086118</v>
      </c>
      <c r="DB490" s="62">
        <f t="shared" si="5691"/>
        <v>10849.357692268224</v>
      </c>
      <c r="DC490" s="62">
        <f t="shared" si="5691"/>
        <v>11177.957255221027</v>
      </c>
      <c r="DD490" s="62">
        <f t="shared" si="5691"/>
        <v>11598.581215986165</v>
      </c>
      <c r="DE490" s="62">
        <f t="shared" ref="DE490" si="5692">SUM(DE483:DE489)</f>
        <v>11835.719582172651</v>
      </c>
      <c r="DF490" s="62">
        <f t="shared" ref="DF490" si="5693">SUM(DF483:DF489)</f>
        <v>12507.303911158609</v>
      </c>
      <c r="DG490" s="62">
        <f>SUM(DG483:DG489)</f>
        <v>12740.137486086072</v>
      </c>
      <c r="DH490" s="62">
        <f>SUM(DH483:DH489)</f>
        <v>12857.131858324004</v>
      </c>
      <c r="DI490" s="62">
        <f>SUM(DI483:DI489)</f>
        <v>13130.919036084095</v>
      </c>
    </row>
    <row r="491" spans="1:113" ht="12" outlineLevel="2">
      <c r="A491" s="1" t="s">
        <v>286</v>
      </c>
      <c r="B491" s="15" t="s">
        <v>529</v>
      </c>
      <c r="C491" s="41">
        <f t="shared" ref="C491:L491" si="5694">C462+C479</f>
        <v>0</v>
      </c>
      <c r="D491" s="41">
        <f t="shared" si="5694"/>
        <v>-2</v>
      </c>
      <c r="E491" s="41">
        <f t="shared" si="5694"/>
        <v>174</v>
      </c>
      <c r="F491" s="41">
        <f t="shared" si="5694"/>
        <v>0</v>
      </c>
      <c r="G491" s="41">
        <f t="shared" si="5694"/>
        <v>0</v>
      </c>
      <c r="H491" s="41">
        <f t="shared" si="5694"/>
        <v>112</v>
      </c>
      <c r="I491" s="41">
        <f t="shared" si="5694"/>
        <v>0</v>
      </c>
      <c r="J491" s="41">
        <f t="shared" si="5694"/>
        <v>-34</v>
      </c>
      <c r="K491" s="41">
        <f t="shared" si="5694"/>
        <v>31</v>
      </c>
      <c r="L491" s="41">
        <f t="shared" si="5694"/>
        <v>106</v>
      </c>
      <c r="M491" s="41">
        <f t="shared" ref="M491:AD491" si="5695">M462+M479</f>
        <v>31</v>
      </c>
      <c r="N491" s="41">
        <f t="shared" si="5695"/>
        <v>232</v>
      </c>
      <c r="O491" s="41">
        <f t="shared" si="5695"/>
        <v>86</v>
      </c>
      <c r="P491" s="41">
        <f t="shared" si="5695"/>
        <v>157</v>
      </c>
      <c r="Q491" s="41">
        <f t="shared" si="5695"/>
        <v>-441</v>
      </c>
      <c r="R491" s="41">
        <f t="shared" si="5695"/>
        <v>-556</v>
      </c>
      <c r="S491" s="41">
        <f t="shared" si="5695"/>
        <v>-307</v>
      </c>
      <c r="T491" s="41">
        <f t="shared" si="5695"/>
        <v>-467</v>
      </c>
      <c r="U491" s="41">
        <f t="shared" si="5695"/>
        <v>77</v>
      </c>
      <c r="V491" s="41">
        <f t="shared" si="5695"/>
        <v>82</v>
      </c>
      <c r="W491" s="41">
        <f t="shared" si="5695"/>
        <v>-52</v>
      </c>
      <c r="X491" s="41">
        <f t="shared" si="5695"/>
        <v>129</v>
      </c>
      <c r="Y491" s="41">
        <f t="shared" si="5695"/>
        <v>-206</v>
      </c>
      <c r="Z491" s="41">
        <f t="shared" si="5695"/>
        <v>-145</v>
      </c>
      <c r="AA491" s="41">
        <f t="shared" si="5695"/>
        <v>222</v>
      </c>
      <c r="AB491" s="41">
        <f t="shared" si="5695"/>
        <v>-133</v>
      </c>
      <c r="AC491" s="41">
        <f t="shared" si="5695"/>
        <v>612</v>
      </c>
      <c r="AD491" s="41">
        <f t="shared" si="5695"/>
        <v>61</v>
      </c>
      <c r="AE491" s="41">
        <f t="shared" ref="AE491:AF491" si="5696">AE462+AE479</f>
        <v>518</v>
      </c>
      <c r="AF491" s="41">
        <f t="shared" si="5696"/>
        <v>-37</v>
      </c>
      <c r="AG491" s="41">
        <f t="shared" ref="AG491:AH491" si="5697">AG462+AG479</f>
        <v>16</v>
      </c>
      <c r="AH491" s="41">
        <f t="shared" si="5697"/>
        <v>-223</v>
      </c>
      <c r="AI491" s="41">
        <f t="shared" ref="AI491:AJ491" si="5698">AI462+AI479</f>
        <v>200</v>
      </c>
      <c r="AJ491" s="41">
        <f t="shared" si="5698"/>
        <v>-105</v>
      </c>
      <c r="AK491" s="41">
        <f t="shared" ref="AK491:AL491" si="5699">AK462+AK479</f>
        <v>259</v>
      </c>
      <c r="AL491" s="41">
        <f t="shared" si="5699"/>
        <v>-531</v>
      </c>
      <c r="AM491" s="41">
        <f t="shared" ref="AM491:AN491" si="5700">AM462+AM479</f>
        <v>8</v>
      </c>
      <c r="AN491" s="41">
        <f t="shared" si="5700"/>
        <v>80</v>
      </c>
      <c r="AO491" s="41">
        <f t="shared" ref="AO491" si="5701">AO462+AO479</f>
        <v>-446</v>
      </c>
      <c r="AP491" s="41">
        <f t="shared" ref="AP491" si="5702">AP462+AP479</f>
        <v>-67</v>
      </c>
      <c r="AQ491" s="41">
        <f t="shared" ref="AQ491:AV491" si="5703">AQ462+AQ479</f>
        <v>29</v>
      </c>
      <c r="AR491" s="41">
        <f t="shared" si="5703"/>
        <v>594</v>
      </c>
      <c r="AS491" s="41">
        <f t="shared" si="5703"/>
        <v>285</v>
      </c>
      <c r="AT491" s="41">
        <f t="shared" si="5703"/>
        <v>-389</v>
      </c>
      <c r="AU491" s="41">
        <f t="shared" si="5703"/>
        <v>-45</v>
      </c>
      <c r="AV491" s="41">
        <f t="shared" si="5703"/>
        <v>-202</v>
      </c>
      <c r="AW491" s="41">
        <f t="shared" ref="AW491:AX491" si="5704">AW462+AW479</f>
        <v>-60</v>
      </c>
      <c r="AX491" s="41">
        <f t="shared" si="5704"/>
        <v>102</v>
      </c>
      <c r="AY491" s="211">
        <f t="shared" ref="AY491" si="5705">AY462+AY479</f>
        <v>42</v>
      </c>
      <c r="AZ491" s="41">
        <f t="shared" ref="AZ491:BA491" si="5706">AZ462+AZ479</f>
        <v>0</v>
      </c>
      <c r="BA491" s="41">
        <f t="shared" si="5706"/>
        <v>0</v>
      </c>
      <c r="BB491" s="41">
        <f t="shared" ref="BB491:BC491" si="5707">BB462+BB479</f>
        <v>0</v>
      </c>
      <c r="BC491" s="41">
        <f t="shared" si="5707"/>
        <v>0</v>
      </c>
      <c r="BD491" s="41">
        <f t="shared" ref="BD491:BE491" si="5708">BD462+BD479</f>
        <v>0</v>
      </c>
      <c r="BE491" s="41">
        <f t="shared" si="5708"/>
        <v>0</v>
      </c>
      <c r="BF491" s="41">
        <f t="shared" ref="BF491:BG491" si="5709">BF462+BF479</f>
        <v>0</v>
      </c>
      <c r="BG491" s="41">
        <f t="shared" si="5709"/>
        <v>0</v>
      </c>
      <c r="BH491" s="41">
        <f t="shared" ref="BH491:BI491" si="5710">BH462+BH479</f>
        <v>0</v>
      </c>
      <c r="BI491" s="41">
        <f t="shared" si="5710"/>
        <v>0</v>
      </c>
      <c r="BJ491" s="41">
        <f t="shared" ref="BJ491:BK491" si="5711">BJ462+BJ479</f>
        <v>0</v>
      </c>
      <c r="BK491" s="41">
        <f t="shared" si="5711"/>
        <v>0</v>
      </c>
      <c r="BL491" s="41">
        <f t="shared" ref="BL491:BM491" si="5712">BL462+BL479</f>
        <v>0</v>
      </c>
      <c r="BM491" s="41">
        <f t="shared" si="5712"/>
        <v>0</v>
      </c>
      <c r="BN491" s="41">
        <f t="shared" ref="BN491:BO491" si="5713">BN462+BN479</f>
        <v>0</v>
      </c>
      <c r="BO491" s="41">
        <f t="shared" si="5713"/>
        <v>0</v>
      </c>
      <c r="BP491" s="41">
        <f t="shared" ref="BP491:BQ491" si="5714">BP462+BP479</f>
        <v>0</v>
      </c>
      <c r="BQ491" s="41">
        <f t="shared" si="5714"/>
        <v>0</v>
      </c>
      <c r="BR491" s="41"/>
      <c r="BS491" s="41">
        <f t="shared" ref="BS491:CB491" si="5715">BS462+BS479</f>
        <v>11.699999999999818</v>
      </c>
      <c r="BT491" s="41">
        <f t="shared" si="5715"/>
        <v>-172.5</v>
      </c>
      <c r="BU491" s="41">
        <f t="shared" si="5715"/>
        <v>21</v>
      </c>
      <c r="BV491" s="41">
        <f t="shared" si="5715"/>
        <v>0</v>
      </c>
      <c r="BW491" s="41">
        <f t="shared" si="5715"/>
        <v>0</v>
      </c>
      <c r="BX491" s="41">
        <f t="shared" si="5715"/>
        <v>-182</v>
      </c>
      <c r="BY491" s="41">
        <f t="shared" si="5715"/>
        <v>-102</v>
      </c>
      <c r="BZ491" s="41">
        <f t="shared" si="5715"/>
        <v>0</v>
      </c>
      <c r="CA491" s="41">
        <f t="shared" si="5715"/>
        <v>209</v>
      </c>
      <c r="CB491" s="41">
        <f t="shared" si="5715"/>
        <v>-17</v>
      </c>
      <c r="CC491" s="41">
        <f t="shared" ref="CC491:CR491" si="5716">CC462+CC479</f>
        <v>172</v>
      </c>
      <c r="CD491" s="41">
        <f t="shared" si="5716"/>
        <v>0</v>
      </c>
      <c r="CE491" s="41">
        <f t="shared" si="5716"/>
        <v>112</v>
      </c>
      <c r="CF491" s="41">
        <f t="shared" si="5716"/>
        <v>-3</v>
      </c>
      <c r="CG491" s="41">
        <f t="shared" si="5716"/>
        <v>137</v>
      </c>
      <c r="CH491" s="41">
        <f t="shared" si="5716"/>
        <v>318</v>
      </c>
      <c r="CI491" s="41">
        <f t="shared" si="5716"/>
        <v>-284</v>
      </c>
      <c r="CJ491" s="41">
        <f t="shared" si="5716"/>
        <v>-863</v>
      </c>
      <c r="CK491" s="41">
        <f t="shared" si="5716"/>
        <v>-390</v>
      </c>
      <c r="CL491" s="41">
        <f t="shared" si="5716"/>
        <v>30</v>
      </c>
      <c r="CM491" s="41">
        <f t="shared" si="5716"/>
        <v>-77</v>
      </c>
      <c r="CN491" s="41">
        <f t="shared" si="5716"/>
        <v>77</v>
      </c>
      <c r="CO491" s="41">
        <f t="shared" si="5716"/>
        <v>479</v>
      </c>
      <c r="CP491" s="41">
        <f t="shared" si="5716"/>
        <v>579</v>
      </c>
      <c r="CQ491" s="41">
        <f t="shared" si="5716"/>
        <v>-21</v>
      </c>
      <c r="CR491" s="41">
        <f t="shared" si="5716"/>
        <v>-23</v>
      </c>
      <c r="CS491" s="41">
        <f t="shared" ref="CS491:CX491" si="5717">CS462+CS479</f>
        <v>154</v>
      </c>
      <c r="CT491" s="41">
        <f t="shared" si="5717"/>
        <v>-523</v>
      </c>
      <c r="CU491" s="41">
        <f t="shared" si="5717"/>
        <v>-366</v>
      </c>
      <c r="CV491" s="41">
        <f t="shared" si="5717"/>
        <v>-38</v>
      </c>
      <c r="CW491" s="41">
        <f t="shared" si="5717"/>
        <v>879</v>
      </c>
      <c r="CX491" s="41">
        <f t="shared" si="5717"/>
        <v>-434</v>
      </c>
      <c r="CY491" s="41">
        <f t="shared" ref="CY491:DD491" si="5718">CY462+CY479</f>
        <v>-262</v>
      </c>
      <c r="CZ491" s="211">
        <f t="shared" si="5718"/>
        <v>144</v>
      </c>
      <c r="DA491" s="41">
        <f t="shared" si="5718"/>
        <v>0</v>
      </c>
      <c r="DB491" s="41">
        <f t="shared" si="5718"/>
        <v>0</v>
      </c>
      <c r="DC491" s="41">
        <f t="shared" si="5718"/>
        <v>0</v>
      </c>
      <c r="DD491" s="41">
        <f t="shared" si="5718"/>
        <v>0</v>
      </c>
      <c r="DE491" s="41">
        <f t="shared" ref="DE491" si="5719">DE462+DE479</f>
        <v>0</v>
      </c>
      <c r="DF491" s="41">
        <f t="shared" ref="DF491" si="5720">DF462+DF479</f>
        <v>0</v>
      </c>
      <c r="DG491" s="41">
        <f>DG462+DG479</f>
        <v>0</v>
      </c>
      <c r="DH491" s="41">
        <f>DH462+DH479</f>
        <v>0</v>
      </c>
      <c r="DI491" s="41">
        <f>DI462+DI479</f>
        <v>0</v>
      </c>
    </row>
    <row r="492" spans="1:113" ht="12" outlineLevel="2">
      <c r="A492" s="1" t="s">
        <v>690</v>
      </c>
      <c r="B492" s="15" t="s">
        <v>252</v>
      </c>
      <c r="C492" s="40"/>
      <c r="D492" s="40"/>
      <c r="E492" s="40"/>
      <c r="F492" s="40"/>
      <c r="G492" s="40"/>
      <c r="H492" s="40"/>
      <c r="I492" s="40"/>
      <c r="J492" s="40"/>
      <c r="K492" s="40"/>
      <c r="L492" s="40"/>
      <c r="M492" s="40"/>
      <c r="N492" s="40"/>
      <c r="O492" s="40"/>
      <c r="P492" s="40"/>
      <c r="Q492" s="40"/>
      <c r="R492" s="40"/>
      <c r="S492" s="40"/>
      <c r="T492" s="40">
        <v>0</v>
      </c>
      <c r="U492" s="40">
        <v>0</v>
      </c>
      <c r="V492" s="40">
        <v>0</v>
      </c>
      <c r="W492" s="40">
        <v>0</v>
      </c>
      <c r="X492" s="40">
        <v>0</v>
      </c>
      <c r="Y492" s="40">
        <v>0</v>
      </c>
      <c r="Z492" s="210">
        <v>0</v>
      </c>
      <c r="AA492" s="210">
        <v>0</v>
      </c>
      <c r="AB492" s="210">
        <v>0</v>
      </c>
      <c r="AC492" s="210">
        <v>0</v>
      </c>
      <c r="AD492" s="210">
        <v>0</v>
      </c>
      <c r="AE492" s="210">
        <v>0</v>
      </c>
      <c r="AF492" s="210">
        <v>0</v>
      </c>
      <c r="AG492" s="210">
        <v>0</v>
      </c>
      <c r="AH492" s="210">
        <v>0</v>
      </c>
      <c r="AI492" s="210">
        <v>0</v>
      </c>
      <c r="AJ492" s="210">
        <v>0</v>
      </c>
      <c r="AK492" s="210">
        <v>0</v>
      </c>
      <c r="AL492" s="210">
        <v>0</v>
      </c>
      <c r="AM492" s="210">
        <v>0</v>
      </c>
      <c r="AN492" s="210">
        <v>0</v>
      </c>
      <c r="AO492" s="210">
        <v>0</v>
      </c>
      <c r="AP492" s="210">
        <v>0</v>
      </c>
      <c r="AQ492" s="210">
        <v>0</v>
      </c>
      <c r="AR492" s="210">
        <v>0</v>
      </c>
      <c r="AS492" s="210">
        <v>0</v>
      </c>
      <c r="AT492" s="210">
        <v>0</v>
      </c>
      <c r="AU492" s="210">
        <v>0</v>
      </c>
      <c r="AV492" s="210">
        <v>0</v>
      </c>
      <c r="AW492" s="210">
        <v>0</v>
      </c>
      <c r="AX492" s="210">
        <v>0</v>
      </c>
      <c r="AY492" s="234">
        <v>0</v>
      </c>
      <c r="AZ492" s="210">
        <v>0</v>
      </c>
      <c r="BA492" s="210">
        <v>0</v>
      </c>
      <c r="BB492" s="210">
        <v>0</v>
      </c>
      <c r="BC492" s="210">
        <v>0</v>
      </c>
      <c r="BD492" s="210">
        <v>0</v>
      </c>
      <c r="BE492" s="210">
        <v>0</v>
      </c>
      <c r="BF492" s="210">
        <v>0</v>
      </c>
      <c r="BG492" s="210">
        <v>0</v>
      </c>
      <c r="BH492" s="210">
        <v>0</v>
      </c>
      <c r="BI492" s="210">
        <v>0</v>
      </c>
      <c r="BJ492" s="210">
        <v>0</v>
      </c>
      <c r="BK492" s="210">
        <v>0</v>
      </c>
      <c r="BL492" s="210">
        <v>0</v>
      </c>
      <c r="BM492" s="210">
        <v>0</v>
      </c>
      <c r="BN492" s="210">
        <v>0</v>
      </c>
      <c r="BO492" s="210">
        <v>0</v>
      </c>
      <c r="BP492" s="210">
        <v>0</v>
      </c>
      <c r="BQ492" s="210">
        <v>0</v>
      </c>
      <c r="BR492" s="41"/>
      <c r="BS492" s="40">
        <v>0</v>
      </c>
      <c r="BT492" s="40">
        <v>0</v>
      </c>
      <c r="BU492" s="40">
        <v>0</v>
      </c>
      <c r="BV492" s="40">
        <v>0</v>
      </c>
      <c r="BW492" s="40">
        <v>0</v>
      </c>
      <c r="BX492" s="40">
        <v>0</v>
      </c>
      <c r="BY492" s="40">
        <v>0</v>
      </c>
      <c r="BZ492" s="40">
        <v>0</v>
      </c>
      <c r="CA492" s="40">
        <v>0</v>
      </c>
      <c r="CB492" s="40">
        <v>0</v>
      </c>
      <c r="CC492" s="41">
        <f>SUM(D492:E492)</f>
        <v>0</v>
      </c>
      <c r="CD492" s="41">
        <f>SUM(F492:G492)</f>
        <v>0</v>
      </c>
      <c r="CE492" s="41">
        <f>SUM(H492:I492)</f>
        <v>0</v>
      </c>
      <c r="CF492" s="41">
        <f>SUM(J492:K492)</f>
        <v>0</v>
      </c>
      <c r="CG492" s="41">
        <f>SUM(L492:M492)</f>
        <v>0</v>
      </c>
      <c r="CH492" s="41">
        <f>SUM(N492:O492)</f>
        <v>0</v>
      </c>
      <c r="CI492" s="41">
        <f>SUM(P492:Q492)</f>
        <v>0</v>
      </c>
      <c r="CJ492" s="41">
        <f>SUM(R492:S492)</f>
        <v>0</v>
      </c>
      <c r="CK492" s="41">
        <f>SUM(T492:U492)</f>
        <v>0</v>
      </c>
      <c r="CL492" s="41">
        <f>SUM(V492:W492)</f>
        <v>0</v>
      </c>
      <c r="CM492" s="41">
        <f>SUM(X492:Y492)</f>
        <v>0</v>
      </c>
      <c r="CN492" s="41">
        <f>SUM(Z492:AA492)</f>
        <v>0</v>
      </c>
      <c r="CO492" s="41">
        <f>SUM(AB492:AC492)</f>
        <v>0</v>
      </c>
      <c r="CP492" s="41">
        <f>SUM(AD492:AE492)</f>
        <v>0</v>
      </c>
      <c r="CQ492" s="41">
        <f>SUM(AF492:AG492)</f>
        <v>0</v>
      </c>
      <c r="CR492" s="41">
        <f>SUM(AH492:AI492)</f>
        <v>0</v>
      </c>
      <c r="CS492" s="41">
        <f>SUM(AJ492:AK492)</f>
        <v>0</v>
      </c>
      <c r="CT492" s="41">
        <f>SUM(AL492:AM492)</f>
        <v>0</v>
      </c>
      <c r="CU492" s="41">
        <f>SUM(AN492:AO492)</f>
        <v>0</v>
      </c>
      <c r="CV492" s="41">
        <f>SUM(AP492:AQ492)</f>
        <v>0</v>
      </c>
      <c r="CW492" s="41">
        <f>SUM(AR492:AS492)</f>
        <v>0</v>
      </c>
      <c r="CX492" s="41">
        <f>SUM(AT492:AU492)</f>
        <v>0</v>
      </c>
      <c r="CY492" s="41">
        <f>SUM(AV492:AW492)</f>
        <v>0</v>
      </c>
      <c r="CZ492" s="211">
        <f>SUM(AX492:AY492)</f>
        <v>0</v>
      </c>
      <c r="DA492" s="41">
        <f>SUM(AZ492:BA492)</f>
        <v>0</v>
      </c>
      <c r="DB492" s="41">
        <f>SUM(BB492:BC492)</f>
        <v>0</v>
      </c>
      <c r="DC492" s="41">
        <f>SUM(BD492:BE492)</f>
        <v>0</v>
      </c>
      <c r="DD492" s="41">
        <f>SUM(BF492:BG492)</f>
        <v>0</v>
      </c>
      <c r="DE492" s="41">
        <f>SUM(BH492:BI492)</f>
        <v>0</v>
      </c>
      <c r="DF492" s="41">
        <f>SUM(BJ492:BK492)</f>
        <v>0</v>
      </c>
      <c r="DG492" s="41">
        <f>SUM(BL492:BM492)</f>
        <v>0</v>
      </c>
      <c r="DH492" s="41">
        <f>SUM(BN492:BO492)</f>
        <v>0</v>
      </c>
      <c r="DI492" s="41">
        <f>SUM(BP492:BQ492)</f>
        <v>0</v>
      </c>
    </row>
    <row r="493" spans="1:113" s="17" customFormat="1" ht="12" outlineLevel="2">
      <c r="A493" s="1" t="s">
        <v>287</v>
      </c>
      <c r="B493" s="17" t="s">
        <v>157</v>
      </c>
      <c r="C493" s="62">
        <f>C490+C491+C492</f>
        <v>1444</v>
      </c>
      <c r="D493" s="62">
        <f>D490+D491+D492</f>
        <v>1493</v>
      </c>
      <c r="E493" s="62">
        <f t="shared" ref="E493:L493" si="5721">E490+E491+E492</f>
        <v>1729.9999999999998</v>
      </c>
      <c r="F493" s="62">
        <f t="shared" si="5721"/>
        <v>1587.0000000000002</v>
      </c>
      <c r="G493" s="62">
        <f t="shared" si="5721"/>
        <v>1690</v>
      </c>
      <c r="H493" s="62">
        <f t="shared" si="5721"/>
        <v>1977</v>
      </c>
      <c r="I493" s="62">
        <f t="shared" si="5721"/>
        <v>2017.0000000000005</v>
      </c>
      <c r="J493" s="62">
        <f t="shared" si="5721"/>
        <v>2146.0000000000005</v>
      </c>
      <c r="K493" s="62">
        <f t="shared" si="5721"/>
        <v>2251.9999999999995</v>
      </c>
      <c r="L493" s="62">
        <f t="shared" si="5721"/>
        <v>2553.9999999999995</v>
      </c>
      <c r="M493" s="62">
        <f t="shared" ref="M493:AD493" si="5722">M490+M491+M492</f>
        <v>2660</v>
      </c>
      <c r="N493" s="62">
        <f t="shared" si="5722"/>
        <v>2986.9999999999995</v>
      </c>
      <c r="O493" s="62">
        <f t="shared" si="5722"/>
        <v>2878</v>
      </c>
      <c r="P493" s="62">
        <f t="shared" si="5722"/>
        <v>2756.0000000000005</v>
      </c>
      <c r="Q493" s="62">
        <f t="shared" si="5722"/>
        <v>1759.0000000000009</v>
      </c>
      <c r="R493" s="62">
        <f t="shared" si="5722"/>
        <v>2104</v>
      </c>
      <c r="S493" s="62">
        <f t="shared" si="5722"/>
        <v>2276</v>
      </c>
      <c r="T493" s="62">
        <f t="shared" si="5722"/>
        <v>2753</v>
      </c>
      <c r="U493" s="62">
        <f t="shared" si="5722"/>
        <v>3848</v>
      </c>
      <c r="V493" s="62">
        <f t="shared" si="5722"/>
        <v>3904</v>
      </c>
      <c r="W493" s="62">
        <f t="shared" si="5722"/>
        <v>3768</v>
      </c>
      <c r="X493" s="62">
        <f t="shared" si="5722"/>
        <v>4146</v>
      </c>
      <c r="Y493" s="62">
        <f t="shared" si="5722"/>
        <v>3848</v>
      </c>
      <c r="Z493" s="62">
        <f t="shared" si="5722"/>
        <v>4304</v>
      </c>
      <c r="AA493" s="62">
        <f t="shared" si="5722"/>
        <v>4710</v>
      </c>
      <c r="AB493" s="62">
        <f t="shared" si="5722"/>
        <v>4721</v>
      </c>
      <c r="AC493" s="62">
        <f t="shared" si="5722"/>
        <v>5587</v>
      </c>
      <c r="AD493" s="62">
        <f t="shared" si="5722"/>
        <v>5143</v>
      </c>
      <c r="AE493" s="62">
        <f t="shared" ref="AE493:AF493" si="5723">AE490+AE491+AE492</f>
        <v>5390</v>
      </c>
      <c r="AF493" s="62">
        <f t="shared" si="5723"/>
        <v>3882</v>
      </c>
      <c r="AG493" s="62">
        <f t="shared" ref="AG493:AH493" si="5724">AG490+AG491+AG492</f>
        <v>4296</v>
      </c>
      <c r="AH493" s="62">
        <f t="shared" si="5724"/>
        <v>4546</v>
      </c>
      <c r="AI493" s="62">
        <f t="shared" ref="AI493:AJ493" si="5725">AI490+AI491+AI492</f>
        <v>5081</v>
      </c>
      <c r="AJ493" s="62">
        <f t="shared" si="5725"/>
        <v>4884</v>
      </c>
      <c r="AK493" s="62">
        <f t="shared" ref="AK493:AL493" si="5726">AK490+AK491+AK492</f>
        <v>4548</v>
      </c>
      <c r="AL493" s="62">
        <f t="shared" si="5726"/>
        <v>4457</v>
      </c>
      <c r="AM493" s="62">
        <f t="shared" ref="AM493:AN493" si="5727">AM490+AM491+AM492</f>
        <v>4183</v>
      </c>
      <c r="AN493" s="62">
        <f t="shared" si="5727"/>
        <v>2380</v>
      </c>
      <c r="AO493" s="62">
        <f t="shared" ref="AO493" si="5728">AO490+AO491+AO492</f>
        <v>2885</v>
      </c>
      <c r="AP493" s="62">
        <f t="shared" ref="AP493:AQ493" si="5729">AP490+AP491+AP492</f>
        <v>4365</v>
      </c>
      <c r="AQ493" s="62">
        <f t="shared" si="5729"/>
        <v>4560</v>
      </c>
      <c r="AR493" s="62">
        <f t="shared" ref="AR493:AS493" si="5730">AR490+AR491+AR492</f>
        <v>5035</v>
      </c>
      <c r="AS493" s="62">
        <f t="shared" si="5730"/>
        <v>5044</v>
      </c>
      <c r="AT493" s="62">
        <f t="shared" ref="AT493:AU493" si="5731">AT490+AT491+AT492</f>
        <v>5021</v>
      </c>
      <c r="AU493" s="62">
        <f t="shared" si="5731"/>
        <v>5066</v>
      </c>
      <c r="AV493" s="62">
        <f t="shared" ref="AV493:AW493" si="5732">AV490+AV491+AV492</f>
        <v>4860</v>
      </c>
      <c r="AW493" s="62">
        <f t="shared" si="5732"/>
        <v>4540</v>
      </c>
      <c r="AX493" s="62">
        <f t="shared" ref="AX493:AY493" si="5733">AX490+AX491+AX492</f>
        <v>5210</v>
      </c>
      <c r="AY493" s="220">
        <f t="shared" si="5733"/>
        <v>3512</v>
      </c>
      <c r="AZ493" s="62">
        <f t="shared" ref="AZ493:BA493" si="5734">AZ490+AZ491+AZ492</f>
        <v>5468.1910438132954</v>
      </c>
      <c r="BA493" s="62">
        <f t="shared" si="5734"/>
        <v>5419.3302652728216</v>
      </c>
      <c r="BB493" s="62">
        <f t="shared" ref="BB493:BC493" si="5735">BB490+BB491+BB492</f>
        <v>5666.5940875459773</v>
      </c>
      <c r="BC493" s="62">
        <f t="shared" si="5735"/>
        <v>5182.763604722245</v>
      </c>
      <c r="BD493" s="62">
        <f t="shared" ref="BD493:BE493" si="5736">BD490+BD491+BD492</f>
        <v>5801.1152522592047</v>
      </c>
      <c r="BE493" s="62">
        <f t="shared" si="5736"/>
        <v>5376.8420029618192</v>
      </c>
      <c r="BF493" s="62">
        <f t="shared" ref="BF493:BG493" si="5737">BF490+BF491+BF492</f>
        <v>5968.5979657338912</v>
      </c>
      <c r="BG493" s="62">
        <f t="shared" si="5737"/>
        <v>5629.9832502522731</v>
      </c>
      <c r="BH493" s="62">
        <f t="shared" ref="BH493:BI493" si="5738">BH490+BH491+BH492</f>
        <v>6113.3620936336156</v>
      </c>
      <c r="BI493" s="62">
        <f t="shared" si="5738"/>
        <v>5722.3574885390371</v>
      </c>
      <c r="BJ493" s="62">
        <f t="shared" ref="BJ493:BK493" si="5739">BJ490+BJ491+BJ492</f>
        <v>6318.8105812459526</v>
      </c>
      <c r="BK493" s="62">
        <f t="shared" si="5739"/>
        <v>6188.4933299126578</v>
      </c>
      <c r="BL493" s="62">
        <f t="shared" ref="BL493:BM493" si="5740">BL490+BL491+BL492</f>
        <v>6497.4959038750185</v>
      </c>
      <c r="BM493" s="62">
        <f t="shared" si="5740"/>
        <v>6242.6415822110557</v>
      </c>
      <c r="BN493" s="62">
        <f t="shared" ref="BN493:BO493" si="5741">BN490+BN491+BN492</f>
        <v>6527.116926333375</v>
      </c>
      <c r="BO493" s="62">
        <f t="shared" si="5741"/>
        <v>6330.0149319906277</v>
      </c>
      <c r="BP493" s="62">
        <f t="shared" ref="BP493:BQ493" si="5742">BP490+BP491+BP492</f>
        <v>6635.5341283331072</v>
      </c>
      <c r="BQ493" s="62">
        <f t="shared" si="5742"/>
        <v>6495.3849077509858</v>
      </c>
      <c r="BR493" s="62"/>
      <c r="BS493" s="62">
        <f>BS490+BS491+BS492</f>
        <v>-707.80000000000018</v>
      </c>
      <c r="BT493" s="62">
        <f t="shared" ref="BT493:CB493" si="5743">BT490+BT491+BT492</f>
        <v>487.5</v>
      </c>
      <c r="BU493" s="62">
        <f t="shared" si="5743"/>
        <v>1219</v>
      </c>
      <c r="BV493" s="62">
        <f t="shared" si="5743"/>
        <v>1485</v>
      </c>
      <c r="BW493" s="62">
        <f t="shared" si="5743"/>
        <v>1594</v>
      </c>
      <c r="BX493" s="62">
        <f t="shared" si="5743"/>
        <v>1463</v>
      </c>
      <c r="BY493" s="62">
        <f t="shared" si="5743"/>
        <v>1658</v>
      </c>
      <c r="BZ493" s="62">
        <f t="shared" si="5743"/>
        <v>2222</v>
      </c>
      <c r="CA493" s="62">
        <f t="shared" si="5743"/>
        <v>2789</v>
      </c>
      <c r="CB493" s="62">
        <f t="shared" si="5743"/>
        <v>2783</v>
      </c>
      <c r="CC493" s="62">
        <f t="shared" ref="CC493:CP493" si="5744">CC490+CC491+CC492</f>
        <v>3223</v>
      </c>
      <c r="CD493" s="62">
        <f t="shared" si="5744"/>
        <v>3277</v>
      </c>
      <c r="CE493" s="62">
        <f t="shared" si="5744"/>
        <v>3994.0000000000005</v>
      </c>
      <c r="CF493" s="62">
        <f t="shared" si="5744"/>
        <v>4397.9999999999991</v>
      </c>
      <c r="CG493" s="62">
        <f t="shared" si="5744"/>
        <v>5214</v>
      </c>
      <c r="CH493" s="62">
        <f t="shared" si="5744"/>
        <v>5864.9999999999991</v>
      </c>
      <c r="CI493" s="62">
        <f t="shared" si="5744"/>
        <v>4514.9999999999991</v>
      </c>
      <c r="CJ493" s="62">
        <f t="shared" si="5744"/>
        <v>4380</v>
      </c>
      <c r="CK493" s="62">
        <f t="shared" si="5744"/>
        <v>6601</v>
      </c>
      <c r="CL493" s="62">
        <f t="shared" si="5744"/>
        <v>7672</v>
      </c>
      <c r="CM493" s="62">
        <f t="shared" si="5744"/>
        <v>7994</v>
      </c>
      <c r="CN493" s="62">
        <f t="shared" si="5744"/>
        <v>9014</v>
      </c>
      <c r="CO493" s="62">
        <f t="shared" si="5744"/>
        <v>10308</v>
      </c>
      <c r="CP493" s="62">
        <f t="shared" si="5744"/>
        <v>10533</v>
      </c>
      <c r="CQ493" s="62">
        <f t="shared" ref="CQ493:CX493" si="5745">CQ490+CQ491+CQ492</f>
        <v>8178</v>
      </c>
      <c r="CR493" s="62">
        <f t="shared" si="5745"/>
        <v>9627</v>
      </c>
      <c r="CS493" s="62">
        <f t="shared" si="5745"/>
        <v>9432</v>
      </c>
      <c r="CT493" s="62">
        <f t="shared" si="5745"/>
        <v>8640</v>
      </c>
      <c r="CU493" s="62">
        <f t="shared" si="5745"/>
        <v>5265</v>
      </c>
      <c r="CV493" s="62">
        <f t="shared" si="5745"/>
        <v>8925</v>
      </c>
      <c r="CW493" s="62">
        <f t="shared" si="5745"/>
        <v>10079</v>
      </c>
      <c r="CX493" s="62">
        <f t="shared" si="5745"/>
        <v>10087</v>
      </c>
      <c r="CY493" s="62">
        <f t="shared" ref="CY493:DD493" si="5746">CY490+CY491+CY492</f>
        <v>9400</v>
      </c>
      <c r="CZ493" s="220">
        <f t="shared" si="5746"/>
        <v>8722</v>
      </c>
      <c r="DA493" s="62">
        <f t="shared" si="5746"/>
        <v>10887.521309086118</v>
      </c>
      <c r="DB493" s="62">
        <f t="shared" si="5746"/>
        <v>10849.357692268224</v>
      </c>
      <c r="DC493" s="62">
        <f t="shared" si="5746"/>
        <v>11177.957255221027</v>
      </c>
      <c r="DD493" s="62">
        <f t="shared" si="5746"/>
        <v>11598.581215986165</v>
      </c>
      <c r="DE493" s="62">
        <f t="shared" ref="DE493" si="5747">DE490+DE491+DE492</f>
        <v>11835.719582172651</v>
      </c>
      <c r="DF493" s="62">
        <f t="shared" ref="DF493" si="5748">DF490+DF491+DF492</f>
        <v>12507.303911158609</v>
      </c>
      <c r="DG493" s="62">
        <f>DG490+DG491+DG492</f>
        <v>12740.137486086072</v>
      </c>
      <c r="DH493" s="62">
        <f>DH490+DH491+DH492</f>
        <v>12857.131858324004</v>
      </c>
      <c r="DI493" s="62">
        <f>DI490+DI491+DI492</f>
        <v>13130.919036084095</v>
      </c>
    </row>
    <row r="494" spans="1:113" ht="12">
      <c r="C494" s="41"/>
      <c r="D494" s="41"/>
      <c r="E494" s="41"/>
      <c r="F494" s="41"/>
      <c r="G494" s="41"/>
      <c r="H494" s="41"/>
      <c r="I494" s="41"/>
      <c r="J494" s="41"/>
      <c r="K494" s="41"/>
      <c r="L494" s="41"/>
      <c r="M494" s="41"/>
      <c r="N494" s="41"/>
      <c r="O494" s="41"/>
      <c r="P494" s="41"/>
      <c r="Q494" s="41"/>
      <c r="R494" s="41"/>
      <c r="S494" s="41"/>
      <c r="T494" s="41"/>
      <c r="U494" s="41"/>
      <c r="V494" s="41"/>
      <c r="W494" s="41"/>
      <c r="X494" s="41"/>
      <c r="Y494" s="41"/>
      <c r="Z494" s="41"/>
      <c r="AA494" s="41"/>
      <c r="AB494" s="41"/>
      <c r="AC494" s="41"/>
      <c r="AD494" s="41"/>
      <c r="AE494" s="41"/>
      <c r="AF494" s="41"/>
      <c r="AG494" s="41"/>
      <c r="AH494" s="41"/>
      <c r="AI494" s="41"/>
      <c r="AJ494" s="41"/>
      <c r="AK494" s="41"/>
      <c r="AL494" s="41"/>
      <c r="AM494" s="41"/>
      <c r="AN494" s="41"/>
      <c r="AO494" s="41"/>
      <c r="AP494" s="41"/>
      <c r="AQ494" s="41"/>
      <c r="AR494" s="41"/>
      <c r="AS494" s="41"/>
      <c r="AT494" s="41"/>
      <c r="AU494" s="41"/>
      <c r="AV494" s="41"/>
      <c r="AW494" s="41"/>
      <c r="AX494" s="41"/>
      <c r="AY494" s="211"/>
      <c r="AZ494" s="41"/>
      <c r="BA494" s="41"/>
      <c r="BB494" s="41"/>
      <c r="BC494" s="41"/>
      <c r="BD494" s="41"/>
      <c r="BE494" s="41"/>
      <c r="BF494" s="41"/>
      <c r="BG494" s="41"/>
      <c r="BH494" s="41"/>
      <c r="BI494" s="41"/>
      <c r="BJ494" s="41"/>
      <c r="BK494" s="41"/>
      <c r="BL494" s="41"/>
      <c r="BM494" s="41"/>
      <c r="BN494" s="41"/>
      <c r="BO494" s="41"/>
      <c r="BP494" s="41"/>
      <c r="BQ494" s="41"/>
      <c r="BR494" s="41"/>
      <c r="BS494" s="41"/>
      <c r="BT494" s="41"/>
      <c r="BU494" s="41"/>
      <c r="BV494" s="41"/>
      <c r="BW494" s="41"/>
      <c r="BX494" s="41"/>
      <c r="BY494" s="41"/>
      <c r="BZ494" s="41"/>
      <c r="CA494" s="41"/>
      <c r="CB494" s="41"/>
      <c r="CC494" s="41"/>
      <c r="CD494" s="41"/>
      <c r="CE494" s="41"/>
      <c r="CF494" s="41"/>
      <c r="CG494" s="41"/>
      <c r="CH494" s="41"/>
      <c r="CI494" s="41"/>
      <c r="CJ494" s="41"/>
      <c r="CK494" s="41"/>
      <c r="CL494" s="41"/>
      <c r="CM494" s="41"/>
      <c r="CN494" s="41"/>
      <c r="CO494" s="41"/>
      <c r="CP494" s="41"/>
      <c r="CQ494" s="41"/>
      <c r="CR494" s="41"/>
      <c r="CS494" s="41"/>
      <c r="CT494" s="41"/>
      <c r="CU494" s="41"/>
      <c r="CV494" s="41"/>
      <c r="CW494" s="41"/>
      <c r="CX494" s="41"/>
      <c r="CY494" s="41"/>
      <c r="CZ494" s="211"/>
      <c r="DA494" s="41"/>
      <c r="DB494" s="15"/>
      <c r="DC494" s="15"/>
      <c r="DD494" s="15"/>
      <c r="DE494" s="15"/>
      <c r="DF494" s="15"/>
      <c r="DG494" s="15"/>
      <c r="DH494" s="15"/>
      <c r="DI494" s="15"/>
    </row>
    <row r="495" spans="1:113" s="26" customFormat="1" ht="12" collapsed="1">
      <c r="A495" s="1" t="s">
        <v>362</v>
      </c>
      <c r="B495" s="2" t="s">
        <v>76</v>
      </c>
      <c r="C495" s="60">
        <f>C500</f>
        <v>-529</v>
      </c>
      <c r="D495" s="60">
        <f>D500</f>
        <v>-489</v>
      </c>
      <c r="E495" s="60">
        <f>E500</f>
        <v>-513.45000000000005</v>
      </c>
      <c r="F495" s="60">
        <f t="shared" ref="F495:L495" si="5749">F500</f>
        <v>-500</v>
      </c>
      <c r="G495" s="60">
        <f t="shared" si="5749"/>
        <v>-545.21</v>
      </c>
      <c r="H495" s="60">
        <f t="shared" si="5749"/>
        <v>-630.23</v>
      </c>
      <c r="I495" s="60">
        <f t="shared" si="5749"/>
        <v>-646.70000000000005</v>
      </c>
      <c r="J495" s="60">
        <f t="shared" si="5749"/>
        <v>-625.35</v>
      </c>
      <c r="K495" s="60">
        <f t="shared" si="5749"/>
        <v>-665.68</v>
      </c>
      <c r="L495" s="60">
        <f t="shared" si="5749"/>
        <v>-737.82</v>
      </c>
      <c r="M495" s="60">
        <f t="shared" ref="M495:AD495" si="5750">M500</f>
        <v>-804.66</v>
      </c>
      <c r="N495" s="60">
        <f t="shared" si="5750"/>
        <v>-843.84</v>
      </c>
      <c r="O495" s="60">
        <f t="shared" si="5750"/>
        <v>-849.97</v>
      </c>
      <c r="P495" s="60">
        <f t="shared" si="5750"/>
        <v>-831.05</v>
      </c>
      <c r="Q495" s="60">
        <f t="shared" si="5750"/>
        <v>-436.09000000000003</v>
      </c>
      <c r="R495" s="60">
        <f t="shared" si="5750"/>
        <v>-535.57999999999993</v>
      </c>
      <c r="S495" s="60">
        <f t="shared" si="5750"/>
        <v>-889.09</v>
      </c>
      <c r="T495" s="60">
        <f t="shared" si="5750"/>
        <v>-942</v>
      </c>
      <c r="U495" s="60">
        <f t="shared" si="5750"/>
        <v>-1064</v>
      </c>
      <c r="V495" s="60">
        <f t="shared" si="5750"/>
        <v>-1105</v>
      </c>
      <c r="W495" s="60">
        <f t="shared" si="5750"/>
        <v>-1082</v>
      </c>
      <c r="X495" s="60">
        <f t="shared" si="5750"/>
        <v>-1128</v>
      </c>
      <c r="Y495" s="60">
        <f>Y500</f>
        <v>-1177</v>
      </c>
      <c r="Z495" s="60">
        <f t="shared" si="5750"/>
        <v>-1273</v>
      </c>
      <c r="AA495" s="60">
        <f t="shared" si="5750"/>
        <v>-1178</v>
      </c>
      <c r="AB495" s="60">
        <f t="shared" si="5750"/>
        <v>-1342</v>
      </c>
      <c r="AC495" s="60">
        <f t="shared" si="5750"/>
        <v>-1376</v>
      </c>
      <c r="AD495" s="60">
        <f t="shared" si="5750"/>
        <v>-1407</v>
      </c>
      <c r="AE495" s="60">
        <f t="shared" ref="AE495:AF495" si="5751">AE500</f>
        <v>-1332</v>
      </c>
      <c r="AF495" s="60">
        <f t="shared" si="5751"/>
        <v>-1137</v>
      </c>
      <c r="AG495" s="60">
        <f t="shared" ref="AG495:AH495" si="5752">AG500</f>
        <v>-1173</v>
      </c>
      <c r="AH495" s="60">
        <f t="shared" si="5752"/>
        <v>-1414</v>
      </c>
      <c r="AI495" s="60">
        <f t="shared" ref="AI495:AJ495" si="5753">AI500</f>
        <v>-1427</v>
      </c>
      <c r="AJ495" s="60">
        <f t="shared" si="5753"/>
        <v>-1496</v>
      </c>
      <c r="AK495" s="60">
        <f t="shared" ref="AK495:AL495" si="5754">AK500</f>
        <v>-1295</v>
      </c>
      <c r="AL495" s="60">
        <f t="shared" si="5754"/>
        <v>-1424</v>
      </c>
      <c r="AM495" s="60">
        <f t="shared" ref="AM495:AN495" si="5755">AM500</f>
        <v>-1269</v>
      </c>
      <c r="AN495" s="60">
        <f t="shared" si="5755"/>
        <v>-887</v>
      </c>
      <c r="AO495" s="60">
        <f t="shared" ref="AO495" si="5756">AO500</f>
        <v>-986</v>
      </c>
      <c r="AP495" s="60">
        <f t="shared" ref="AP495:AQ495" si="5757">AP500</f>
        <v>-1442</v>
      </c>
      <c r="AQ495" s="60">
        <f t="shared" si="5757"/>
        <v>-1323</v>
      </c>
      <c r="AR495" s="60">
        <f t="shared" ref="AR495:AS495" si="5758">AR500</f>
        <v>-1328</v>
      </c>
      <c r="AS495" s="60">
        <f t="shared" si="5758"/>
        <v>-1357</v>
      </c>
      <c r="AT495" s="60">
        <f t="shared" ref="AT495:AU495" si="5759">AT500</f>
        <v>-1581</v>
      </c>
      <c r="AU495" s="60">
        <f t="shared" si="5759"/>
        <v>-1527</v>
      </c>
      <c r="AV495" s="60">
        <f t="shared" ref="AV495:AW495" si="5760">AV500</f>
        <v>-1510</v>
      </c>
      <c r="AW495" s="60">
        <f t="shared" si="5760"/>
        <v>-1427</v>
      </c>
      <c r="AX495" s="60">
        <f t="shared" ref="AX495" si="5761">AX500</f>
        <v>-1540</v>
      </c>
      <c r="AY495" s="219">
        <f t="shared" ref="AY495" si="5762">AY500</f>
        <v>-1251</v>
      </c>
      <c r="AZ495" s="60">
        <f t="shared" ref="AZ495:BA495" si="5763">AZ500</f>
        <v>-1646.1124110321839</v>
      </c>
      <c r="BA495" s="60">
        <f t="shared" si="5763"/>
        <v>-1631.5823557066201</v>
      </c>
      <c r="BB495" s="60">
        <f t="shared" ref="BB495:BC495" si="5764">BB500</f>
        <v>-1705.1128463160414</v>
      </c>
      <c r="BC495" s="60">
        <f t="shared" si="5764"/>
        <v>-1561.2329513651312</v>
      </c>
      <c r="BD495" s="60">
        <f t="shared" ref="BD495:BE495" si="5765">BD500</f>
        <v>-1745.1163015234399</v>
      </c>
      <c r="BE495" s="60">
        <f t="shared" si="5765"/>
        <v>-1618.9473379990218</v>
      </c>
      <c r="BF495" s="60">
        <f t="shared" ref="BF495:BG495" si="5766">BF500</f>
        <v>-1794.9217521436531</v>
      </c>
      <c r="BG495" s="60">
        <f t="shared" si="5766"/>
        <v>-1694.2256376533287</v>
      </c>
      <c r="BH495" s="60">
        <f t="shared" ref="BH495:BI495" si="5767">BH500</f>
        <v>-1837.9712255735046</v>
      </c>
      <c r="BI495" s="60">
        <f t="shared" si="5767"/>
        <v>-1721.6955804797958</v>
      </c>
      <c r="BJ495" s="60">
        <f t="shared" ref="BJ495:BK495" si="5768">BJ500</f>
        <v>-1899.0668114550904</v>
      </c>
      <c r="BK495" s="60">
        <f t="shared" si="5768"/>
        <v>-1860.3135019845981</v>
      </c>
      <c r="BL495" s="60">
        <f t="shared" ref="BL495:BM495" si="5769">BL500</f>
        <v>-1952.2036566143604</v>
      </c>
      <c r="BM495" s="60">
        <f t="shared" si="5769"/>
        <v>-1876.4159286175789</v>
      </c>
      <c r="BN495" s="60">
        <f t="shared" ref="BN495:BO495" si="5770">BN500</f>
        <v>-1961.0122574589657</v>
      </c>
      <c r="BO495" s="60">
        <f t="shared" si="5770"/>
        <v>-1902.3987239024596</v>
      </c>
      <c r="BP495" s="60">
        <f t="shared" ref="BP495:BQ495" si="5771">BP500</f>
        <v>-1993.2530033159728</v>
      </c>
      <c r="BQ495" s="60">
        <f t="shared" si="5771"/>
        <v>-1951.5758956291595</v>
      </c>
      <c r="BR495" s="60"/>
      <c r="BS495" s="60">
        <f t="shared" ref="BS495:CB495" si="5772">BS500</f>
        <v>61.599999999999994</v>
      </c>
      <c r="BT495" s="60">
        <f t="shared" si="5772"/>
        <v>-279.89999999999998</v>
      </c>
      <c r="BU495" s="60">
        <f t="shared" si="5772"/>
        <v>-475</v>
      </c>
      <c r="BV495" s="60">
        <f t="shared" si="5772"/>
        <v>-532</v>
      </c>
      <c r="BW495" s="60">
        <f t="shared" si="5772"/>
        <v>-478</v>
      </c>
      <c r="BX495" s="60">
        <f t="shared" si="5772"/>
        <v>-474</v>
      </c>
      <c r="BY495" s="60">
        <f t="shared" si="5772"/>
        <v>-585</v>
      </c>
      <c r="BZ495" s="60">
        <f t="shared" si="5772"/>
        <v>-814</v>
      </c>
      <c r="CA495" s="60">
        <f t="shared" si="5772"/>
        <v>-967</v>
      </c>
      <c r="CB495" s="60">
        <f t="shared" si="5772"/>
        <v>-1032</v>
      </c>
      <c r="CC495" s="60">
        <f t="shared" ref="CC495:CO495" si="5773">CC500</f>
        <v>-1002.45</v>
      </c>
      <c r="CD495" s="60">
        <f t="shared" si="5773"/>
        <v>-1045.21</v>
      </c>
      <c r="CE495" s="60">
        <f t="shared" si="5773"/>
        <v>-1276.93</v>
      </c>
      <c r="CF495" s="60">
        <f t="shared" si="5773"/>
        <v>-1291.03</v>
      </c>
      <c r="CG495" s="60">
        <f t="shared" si="5773"/>
        <v>-1542.48</v>
      </c>
      <c r="CH495" s="60">
        <f t="shared" si="5773"/>
        <v>-1693.81</v>
      </c>
      <c r="CI495" s="60">
        <f t="shared" si="5773"/>
        <v>-1267.1399999999999</v>
      </c>
      <c r="CJ495" s="60">
        <f t="shared" si="5773"/>
        <v>-1424.67</v>
      </c>
      <c r="CK495" s="60">
        <f t="shared" si="5773"/>
        <v>-2006</v>
      </c>
      <c r="CL495" s="60">
        <f t="shared" si="5773"/>
        <v>-2187</v>
      </c>
      <c r="CM495" s="60">
        <f t="shared" si="5773"/>
        <v>-2305</v>
      </c>
      <c r="CN495" s="60">
        <f t="shared" si="5773"/>
        <v>-2451</v>
      </c>
      <c r="CO495" s="60">
        <f t="shared" si="5773"/>
        <v>-2718</v>
      </c>
      <c r="CP495" s="60">
        <f t="shared" ref="CP495:CX495" si="5774">CP500</f>
        <v>-2739</v>
      </c>
      <c r="CQ495" s="60">
        <f t="shared" si="5774"/>
        <v>-2310</v>
      </c>
      <c r="CR495" s="60">
        <f t="shared" si="5774"/>
        <v>-2841</v>
      </c>
      <c r="CS495" s="60">
        <f t="shared" si="5774"/>
        <v>-2791</v>
      </c>
      <c r="CT495" s="60">
        <f t="shared" si="5774"/>
        <v>-2693</v>
      </c>
      <c r="CU495" s="60">
        <f t="shared" si="5774"/>
        <v>-1873</v>
      </c>
      <c r="CV495" s="60">
        <f t="shared" si="5774"/>
        <v>-2765</v>
      </c>
      <c r="CW495" s="60">
        <f t="shared" si="5774"/>
        <v>-2685</v>
      </c>
      <c r="CX495" s="60">
        <f t="shared" si="5774"/>
        <v>-3108</v>
      </c>
      <c r="CY495" s="60">
        <f t="shared" ref="CY495:DD495" si="5775">CY500</f>
        <v>-2937</v>
      </c>
      <c r="CZ495" s="219">
        <f t="shared" si="5775"/>
        <v>-2791</v>
      </c>
      <c r="DA495" s="60">
        <f t="shared" si="5775"/>
        <v>-3277.694766738804</v>
      </c>
      <c r="DB495" s="60">
        <f t="shared" si="5775"/>
        <v>-3266.3457976811724</v>
      </c>
      <c r="DC495" s="60">
        <f t="shared" si="5775"/>
        <v>-3364.0636395224619</v>
      </c>
      <c r="DD495" s="60">
        <f t="shared" si="5775"/>
        <v>-3489.1473897969818</v>
      </c>
      <c r="DE495" s="60">
        <f t="shared" ref="DE495" si="5776">DE500</f>
        <v>-3559.6668060533002</v>
      </c>
      <c r="DF495" s="60">
        <f t="shared" ref="DF495" si="5777">DF500</f>
        <v>-3759.3803134396885</v>
      </c>
      <c r="DG495" s="60">
        <f>DG500</f>
        <v>-3828.6195852319393</v>
      </c>
      <c r="DH495" s="60">
        <f>DH500</f>
        <v>-3863.410981361425</v>
      </c>
      <c r="DI495" s="60">
        <f>DI500</f>
        <v>-3944.8288989451321</v>
      </c>
    </row>
    <row r="496" spans="1:113" ht="12" outlineLevel="1">
      <c r="C496" s="41"/>
      <c r="D496" s="41"/>
      <c r="E496" s="41"/>
      <c r="F496" s="41"/>
      <c r="G496" s="41"/>
      <c r="H496" s="41"/>
      <c r="I496" s="41"/>
      <c r="J496" s="41"/>
      <c r="K496" s="41"/>
      <c r="L496" s="41"/>
      <c r="M496" s="41"/>
      <c r="N496" s="41"/>
      <c r="O496" s="41"/>
      <c r="P496" s="41"/>
      <c r="Q496" s="41"/>
      <c r="R496" s="41"/>
      <c r="S496" s="41"/>
      <c r="T496" s="41"/>
      <c r="U496" s="41"/>
      <c r="V496" s="41"/>
      <c r="W496" s="41"/>
      <c r="X496" s="41"/>
      <c r="Y496" s="41"/>
      <c r="Z496" s="41"/>
      <c r="AA496" s="41"/>
      <c r="AB496" s="41"/>
      <c r="AC496" s="41"/>
      <c r="AD496" s="41"/>
      <c r="AE496" s="41"/>
      <c r="AF496" s="41"/>
      <c r="AG496" s="41"/>
      <c r="AH496" s="41"/>
      <c r="AI496" s="41"/>
      <c r="AJ496" s="41"/>
      <c r="AK496" s="41"/>
      <c r="AL496" s="41"/>
      <c r="AM496" s="41"/>
      <c r="AN496" s="41"/>
      <c r="AO496" s="41"/>
      <c r="AP496" s="41"/>
      <c r="AQ496" s="41"/>
      <c r="AR496" s="41"/>
      <c r="AS496" s="41"/>
      <c r="AT496" s="41"/>
      <c r="AU496" s="41"/>
      <c r="AV496" s="41"/>
      <c r="AW496" s="41"/>
      <c r="AX496" s="41"/>
      <c r="AY496" s="211"/>
      <c r="AZ496" s="41"/>
      <c r="BA496" s="41"/>
      <c r="BB496" s="41"/>
      <c r="BC496" s="41"/>
      <c r="BD496" s="41"/>
      <c r="BE496" s="41"/>
      <c r="BF496" s="41"/>
      <c r="BG496" s="41"/>
      <c r="BH496" s="41"/>
      <c r="BI496" s="41"/>
      <c r="BJ496" s="41"/>
      <c r="BK496" s="41"/>
      <c r="BL496" s="41"/>
      <c r="BM496" s="41"/>
      <c r="BN496" s="41"/>
      <c r="BO496" s="41"/>
      <c r="BP496" s="41"/>
      <c r="BQ496" s="41"/>
      <c r="BR496" s="41"/>
      <c r="BS496" s="41"/>
      <c r="BT496" s="41"/>
      <c r="BU496" s="41"/>
      <c r="BV496" s="41"/>
      <c r="BW496" s="41"/>
      <c r="BX496" s="41"/>
      <c r="BY496" s="41"/>
      <c r="BZ496" s="41"/>
      <c r="CA496" s="41"/>
      <c r="CB496" s="41"/>
      <c r="CC496" s="41"/>
      <c r="CD496" s="41"/>
      <c r="CE496" s="41"/>
      <c r="CF496" s="41"/>
      <c r="CG496" s="41"/>
      <c r="CH496" s="41"/>
      <c r="CI496" s="41"/>
      <c r="CJ496" s="41"/>
      <c r="CK496" s="41"/>
      <c r="CL496" s="41"/>
      <c r="CM496" s="41"/>
      <c r="CN496" s="41"/>
      <c r="CO496" s="41"/>
      <c r="CP496" s="41"/>
      <c r="CQ496" s="41"/>
      <c r="CR496" s="41"/>
      <c r="CS496" s="41"/>
      <c r="CT496" s="41"/>
      <c r="CU496" s="41"/>
      <c r="CV496" s="41"/>
      <c r="CW496" s="41"/>
      <c r="CX496" s="41"/>
      <c r="CY496" s="41"/>
      <c r="CZ496" s="211"/>
      <c r="DA496" s="41"/>
      <c r="DB496" s="15"/>
      <c r="DC496" s="15"/>
      <c r="DD496" s="15"/>
      <c r="DE496" s="15"/>
      <c r="DF496" s="15"/>
      <c r="DG496" s="15"/>
      <c r="DH496" s="15"/>
      <c r="DI496" s="15"/>
    </row>
    <row r="497" spans="1:113" ht="12" outlineLevel="1">
      <c r="A497" s="1" t="s">
        <v>691</v>
      </c>
      <c r="B497" s="15" t="s">
        <v>77</v>
      </c>
      <c r="C497" s="40">
        <v>-468</v>
      </c>
      <c r="D497" s="40">
        <v>-441</v>
      </c>
      <c r="E497" s="40">
        <f>-453</f>
        <v>-453</v>
      </c>
      <c r="F497" s="40">
        <v>-444</v>
      </c>
      <c r="G497" s="40">
        <f>-926-F497</f>
        <v>-482</v>
      </c>
      <c r="H497" s="40">
        <v>-550</v>
      </c>
      <c r="I497" s="40">
        <v>-597</v>
      </c>
      <c r="J497" s="40">
        <v>-611</v>
      </c>
      <c r="K497" s="40">
        <f>-1247-J497</f>
        <v>-636</v>
      </c>
      <c r="L497" s="40">
        <v>-716</v>
      </c>
      <c r="M497" s="40">
        <v>-770</v>
      </c>
      <c r="N497" s="40">
        <v>-817</v>
      </c>
      <c r="O497" s="40">
        <v>-799</v>
      </c>
      <c r="P497" s="40">
        <f>-678-105</f>
        <v>-783</v>
      </c>
      <c r="Q497" s="40">
        <v>-388</v>
      </c>
      <c r="R497" s="40">
        <f>-480-7</f>
        <v>-487</v>
      </c>
      <c r="S497" s="40">
        <f>-862</f>
        <v>-862</v>
      </c>
      <c r="T497" s="40">
        <v>-934</v>
      </c>
      <c r="U497" s="40">
        <f>-1055-0-0-U502</f>
        <v>-1055</v>
      </c>
      <c r="V497" s="40">
        <f>-1094-0-0-V502</f>
        <v>-1094</v>
      </c>
      <c r="W497" s="40">
        <f>-1073-0-0-W502</f>
        <v>-1073</v>
      </c>
      <c r="X497" s="40">
        <f>-1117-0-0-X502</f>
        <v>-1117</v>
      </c>
      <c r="Y497" s="40">
        <f>-1118-0-0-Y502-53</f>
        <v>-1171</v>
      </c>
      <c r="Z497" s="141">
        <v>-1265</v>
      </c>
      <c r="AA497" s="141">
        <v>-1170</v>
      </c>
      <c r="AB497" s="141">
        <v>-1333</v>
      </c>
      <c r="AC497" s="141">
        <v>-1367</v>
      </c>
      <c r="AD497" s="141">
        <v>-1398</v>
      </c>
      <c r="AE497" s="141">
        <v>-1326</v>
      </c>
      <c r="AF497" s="141">
        <v>-1133</v>
      </c>
      <c r="AG497" s="141">
        <v>-1166</v>
      </c>
      <c r="AH497" s="141">
        <v>-1406</v>
      </c>
      <c r="AI497" s="141">
        <v>-1420</v>
      </c>
      <c r="AJ497" s="141">
        <v>-1489</v>
      </c>
      <c r="AK497" s="141">
        <v>-1286</v>
      </c>
      <c r="AL497" s="141">
        <v>-1415</v>
      </c>
      <c r="AM497" s="141">
        <v>-1263</v>
      </c>
      <c r="AN497" s="141">
        <v>-886</v>
      </c>
      <c r="AO497" s="141">
        <v>-986</v>
      </c>
      <c r="AP497" s="141">
        <v>-1442</v>
      </c>
      <c r="AQ497" s="141">
        <v>-1322</v>
      </c>
      <c r="AR497" s="141">
        <v>-1328</v>
      </c>
      <c r="AS497" s="141">
        <v>-1356</v>
      </c>
      <c r="AT497" s="141">
        <v>-1567</v>
      </c>
      <c r="AU497" s="141">
        <v>-1513</v>
      </c>
      <c r="AV497" s="141">
        <v>-1496</v>
      </c>
      <c r="AW497" s="141">
        <v>-1406</v>
      </c>
      <c r="AX497" s="141">
        <v>-1519</v>
      </c>
      <c r="AY497" s="226">
        <v>-1231</v>
      </c>
      <c r="AZ497" s="41">
        <f t="shared" ref="AZ497:BA497" si="5778">-AZ483*AZ129</f>
        <v>-1626.1124110321839</v>
      </c>
      <c r="BA497" s="41">
        <f t="shared" si="5778"/>
        <v>-1611.5823557066201</v>
      </c>
      <c r="BB497" s="41">
        <f t="shared" ref="BB497:BC497" si="5779">-BB483*BB129</f>
        <v>-1685.1128463160414</v>
      </c>
      <c r="BC497" s="41">
        <f t="shared" si="5779"/>
        <v>-1541.2329513651312</v>
      </c>
      <c r="BD497" s="41">
        <f t="shared" ref="BD497:BE497" si="5780">-BD483*BD129</f>
        <v>-1725.1163015234399</v>
      </c>
      <c r="BE497" s="41">
        <f t="shared" si="5780"/>
        <v>-1598.9473379990218</v>
      </c>
      <c r="BF497" s="41">
        <f t="shared" ref="BF497:BG497" si="5781">-BF483*BF129</f>
        <v>-1774.9217521436531</v>
      </c>
      <c r="BG497" s="41">
        <f t="shared" si="5781"/>
        <v>-1674.2256376533287</v>
      </c>
      <c r="BH497" s="41">
        <f t="shared" ref="BH497:BI497" si="5782">-BH483*BH129</f>
        <v>-1817.9712255735046</v>
      </c>
      <c r="BI497" s="41">
        <f t="shared" si="5782"/>
        <v>-1701.6955804797958</v>
      </c>
      <c r="BJ497" s="41">
        <f t="shared" ref="BJ497:BK497" si="5783">-BJ483*BJ129</f>
        <v>-1879.0668114550904</v>
      </c>
      <c r="BK497" s="41">
        <f t="shared" si="5783"/>
        <v>-1840.3135019845981</v>
      </c>
      <c r="BL497" s="41">
        <f t="shared" ref="BL497:BM497" si="5784">-BL483*BL129</f>
        <v>-1932.2036566143604</v>
      </c>
      <c r="BM497" s="41">
        <f t="shared" si="5784"/>
        <v>-1856.4159286175789</v>
      </c>
      <c r="BN497" s="41">
        <f t="shared" ref="BN497:BO497" si="5785">-BN483*BN129</f>
        <v>-1941.0122574589657</v>
      </c>
      <c r="BO497" s="41">
        <f t="shared" si="5785"/>
        <v>-1882.3987239024596</v>
      </c>
      <c r="BP497" s="41">
        <f t="shared" ref="BP497:BQ497" si="5786">-BP483*BP129</f>
        <v>-1973.2530033159728</v>
      </c>
      <c r="BQ497" s="41">
        <f t="shared" si="5786"/>
        <v>-1931.5758956291595</v>
      </c>
      <c r="BR497" s="41"/>
      <c r="BS497" s="40">
        <v>132.9</v>
      </c>
      <c r="BT497" s="40">
        <v>-233.9</v>
      </c>
      <c r="BU497" s="40">
        <v>-395</v>
      </c>
      <c r="BV497" s="40">
        <v>-505</v>
      </c>
      <c r="BW497" s="40">
        <v>-469</v>
      </c>
      <c r="BX497" s="40">
        <v>-466</v>
      </c>
      <c r="BY497" s="40">
        <v>-576</v>
      </c>
      <c r="BZ497" s="40">
        <v>-736</v>
      </c>
      <c r="CA497" s="40">
        <v>-863</v>
      </c>
      <c r="CB497" s="40">
        <v>-911</v>
      </c>
      <c r="CC497" s="41">
        <f t="shared" ref="CC497:CC506" si="5787">SUM(D497:E497)</f>
        <v>-894</v>
      </c>
      <c r="CD497" s="41">
        <f t="shared" ref="CD497:CD506" si="5788">SUM(F497:G497)</f>
        <v>-926</v>
      </c>
      <c r="CE497" s="41">
        <f t="shared" ref="CE497:CE506" si="5789">SUM(H497:I497)</f>
        <v>-1147</v>
      </c>
      <c r="CF497" s="41">
        <f t="shared" ref="CF497:CF506" si="5790">SUM(J497:K497)</f>
        <v>-1247</v>
      </c>
      <c r="CG497" s="41">
        <f t="shared" ref="CG497:CG506" si="5791">SUM(L497:M497)</f>
        <v>-1486</v>
      </c>
      <c r="CH497" s="41">
        <f t="shared" ref="CH497:CH506" si="5792">SUM(N497:O497)</f>
        <v>-1616</v>
      </c>
      <c r="CI497" s="41">
        <f t="shared" ref="CI497:CI506" si="5793">SUM(P497:Q497)</f>
        <v>-1171</v>
      </c>
      <c r="CJ497" s="41">
        <f t="shared" ref="CJ497:CJ506" si="5794">SUM(R497:S497)</f>
        <v>-1349</v>
      </c>
      <c r="CK497" s="41">
        <f t="shared" ref="CK497:CK506" si="5795">SUM(T497:U497)</f>
        <v>-1989</v>
      </c>
      <c r="CL497" s="41">
        <f t="shared" ref="CL497:CL506" si="5796">SUM(V497:W497)</f>
        <v>-2167</v>
      </c>
      <c r="CM497" s="41">
        <f t="shared" ref="CM497:CM506" si="5797">SUM(X497:Y497)</f>
        <v>-2288</v>
      </c>
      <c r="CN497" s="41">
        <f t="shared" ref="CN497:CN506" si="5798">SUM(Z497:AA497)</f>
        <v>-2435</v>
      </c>
      <c r="CO497" s="41">
        <f t="shared" ref="CO497:CO506" si="5799">SUM(AB497:AC497)</f>
        <v>-2700</v>
      </c>
      <c r="CP497" s="41">
        <f t="shared" ref="CP497:CP508" si="5800">SUM(AD497:AE497)</f>
        <v>-2724</v>
      </c>
      <c r="CQ497" s="41">
        <f t="shared" ref="CQ497:CQ508" si="5801">SUM(AF497:AG497)</f>
        <v>-2299</v>
      </c>
      <c r="CR497" s="41">
        <f t="shared" ref="CR497:CR508" si="5802">SUM(AH497:AI497)</f>
        <v>-2826</v>
      </c>
      <c r="CS497" s="41">
        <f t="shared" ref="CS497:CS508" si="5803">SUM(AJ497:AK497)</f>
        <v>-2775</v>
      </c>
      <c r="CT497" s="41">
        <f t="shared" ref="CT497:CT508" si="5804">SUM(AL497:AM497)</f>
        <v>-2678</v>
      </c>
      <c r="CU497" s="41">
        <f t="shared" ref="CU497:CU508" si="5805">SUM(AN497:AO497)</f>
        <v>-1872</v>
      </c>
      <c r="CV497" s="41">
        <f t="shared" ref="CV497:CV508" si="5806">SUM(AP497:AQ497)</f>
        <v>-2764</v>
      </c>
      <c r="CW497" s="41">
        <f t="shared" ref="CW497:CW508" si="5807">SUM(AR497:AS497)</f>
        <v>-2684</v>
      </c>
      <c r="CX497" s="41">
        <f t="shared" ref="CX497:CX508" si="5808">SUM(AT497:AU497)</f>
        <v>-3080</v>
      </c>
      <c r="CY497" s="41">
        <f t="shared" ref="CY497:CY508" si="5809">SUM(AV497:AW497)</f>
        <v>-2902</v>
      </c>
      <c r="CZ497" s="211">
        <f t="shared" ref="CZ497:CZ508" si="5810">SUM(AX497:AY497)</f>
        <v>-2750</v>
      </c>
      <c r="DA497" s="41">
        <f t="shared" ref="DA497:DA508" si="5811">SUM(AZ497:BA497)</f>
        <v>-3237.694766738804</v>
      </c>
      <c r="DB497" s="41">
        <f t="shared" ref="DB497:DB508" si="5812">SUM(BB497:BC497)</f>
        <v>-3226.3457976811724</v>
      </c>
      <c r="DC497" s="41">
        <f t="shared" ref="DC497:DC508" si="5813">SUM(BD497:BE497)</f>
        <v>-3324.0636395224619</v>
      </c>
      <c r="DD497" s="41">
        <f t="shared" ref="DD497:DD508" si="5814">SUM(BF497:BG497)</f>
        <v>-3449.1473897969818</v>
      </c>
      <c r="DE497" s="41">
        <f t="shared" ref="DE497:DE508" si="5815">SUM(BH497:BI497)</f>
        <v>-3519.6668060533002</v>
      </c>
      <c r="DF497" s="41">
        <f t="shared" ref="DF497:DF508" si="5816">SUM(BJ497:BK497)</f>
        <v>-3719.3803134396885</v>
      </c>
      <c r="DG497" s="41">
        <f t="shared" ref="DG497:DG508" si="5817">SUM(BL497:BM497)</f>
        <v>-3788.6195852319393</v>
      </c>
      <c r="DH497" s="41">
        <f t="shared" ref="DH497:DH508" si="5818">SUM(BN497:BO497)</f>
        <v>-3823.410981361425</v>
      </c>
      <c r="DI497" s="41">
        <f t="shared" ref="DI497:DI508" si="5819">SUM(BP497:BQ497)</f>
        <v>-3904.8288989451321</v>
      </c>
    </row>
    <row r="498" spans="1:113" ht="12" outlineLevel="1">
      <c r="A498" s="1" t="s">
        <v>692</v>
      </c>
      <c r="B498" s="15" t="s">
        <v>160</v>
      </c>
      <c r="C498" s="41">
        <f t="shared" ref="C498:L498" si="5820">C500-SUM(C497,C499)</f>
        <v>-1</v>
      </c>
      <c r="D498" s="41">
        <f t="shared" si="5820"/>
        <v>12</v>
      </c>
      <c r="E498" s="41">
        <f t="shared" si="5820"/>
        <v>-3.4500000000000455</v>
      </c>
      <c r="F498" s="41">
        <f t="shared" si="5820"/>
        <v>-2</v>
      </c>
      <c r="G498" s="41">
        <f t="shared" si="5820"/>
        <v>-15.210000000000036</v>
      </c>
      <c r="H498" s="41">
        <f t="shared" si="5820"/>
        <v>-16.230000000000018</v>
      </c>
      <c r="I498" s="41">
        <f t="shared" si="5820"/>
        <v>-15.700000000000045</v>
      </c>
      <c r="J498" s="41">
        <f t="shared" si="5820"/>
        <v>-8.3500000000000227</v>
      </c>
      <c r="K498" s="41">
        <f t="shared" si="5820"/>
        <v>-17.67999999999995</v>
      </c>
      <c r="L498" s="41">
        <f t="shared" si="5820"/>
        <v>-9.82000000000005</v>
      </c>
      <c r="M498" s="41">
        <f t="shared" ref="M498:X498" si="5821">M500-SUM(M497,M499)</f>
        <v>-19.659999999999968</v>
      </c>
      <c r="N498" s="41">
        <f t="shared" si="5821"/>
        <v>-9.8400000000000318</v>
      </c>
      <c r="O498" s="41">
        <f t="shared" si="5821"/>
        <v>-30.970000000000027</v>
      </c>
      <c r="P498" s="41">
        <f t="shared" si="5821"/>
        <v>-25.049999999999955</v>
      </c>
      <c r="Q498" s="41">
        <f t="shared" si="5821"/>
        <v>-25.090000000000032</v>
      </c>
      <c r="R498" s="41">
        <f t="shared" si="5821"/>
        <v>-24.579999999999927</v>
      </c>
      <c r="S498" s="41">
        <f t="shared" si="5821"/>
        <v>-18.090000000000032</v>
      </c>
      <c r="T498" s="41">
        <f t="shared" si="5821"/>
        <v>-2</v>
      </c>
      <c r="U498" s="41">
        <f t="shared" si="5821"/>
        <v>-4</v>
      </c>
      <c r="V498" s="41">
        <f t="shared" si="5821"/>
        <v>-5</v>
      </c>
      <c r="W498" s="41">
        <f t="shared" si="5821"/>
        <v>-3</v>
      </c>
      <c r="X498" s="41">
        <f t="shared" si="5821"/>
        <v>-4</v>
      </c>
      <c r="Y498" s="41">
        <f t="shared" ref="Y498:AD498" si="5822">Y500-SUM(Y497,Y499)</f>
        <v>-2</v>
      </c>
      <c r="Z498" s="41">
        <f t="shared" si="5822"/>
        <v>-5</v>
      </c>
      <c r="AA498" s="41">
        <f t="shared" si="5822"/>
        <v>-5</v>
      </c>
      <c r="AB498" s="41">
        <f t="shared" si="5822"/>
        <v>-6</v>
      </c>
      <c r="AC498" s="41">
        <f t="shared" si="5822"/>
        <v>-6</v>
      </c>
      <c r="AD498" s="41">
        <f t="shared" si="5822"/>
        <v>-8</v>
      </c>
      <c r="AE498" s="41">
        <f t="shared" ref="AE498:AF498" si="5823">AE500-SUM(AE497,AE499)</f>
        <v>-6</v>
      </c>
      <c r="AF498" s="41">
        <f t="shared" si="5823"/>
        <v>-4</v>
      </c>
      <c r="AG498" s="41">
        <f t="shared" ref="AG498:AH498" si="5824">AG500-SUM(AG497,AG499)</f>
        <v>-7</v>
      </c>
      <c r="AH498" s="41">
        <f t="shared" si="5824"/>
        <v>-8</v>
      </c>
      <c r="AI498" s="41">
        <f t="shared" ref="AI498:AJ498" si="5825">AI500-SUM(AI497,AI499)</f>
        <v>-7</v>
      </c>
      <c r="AJ498" s="41">
        <f t="shared" si="5825"/>
        <v>-7</v>
      </c>
      <c r="AK498" s="41">
        <f t="shared" ref="AK498:AL498" si="5826">AK500-SUM(AK497,AK499)</f>
        <v>-9</v>
      </c>
      <c r="AL498" s="41">
        <f t="shared" si="5826"/>
        <v>-9</v>
      </c>
      <c r="AM498" s="41">
        <f t="shared" ref="AM498:AN498" si="5827">AM500-SUM(AM497,AM499)</f>
        <v>-6</v>
      </c>
      <c r="AN498" s="41">
        <f t="shared" si="5827"/>
        <v>-1</v>
      </c>
      <c r="AO498" s="41">
        <f t="shared" ref="AO498" si="5828">AO500-SUM(AO497,AO499)</f>
        <v>0</v>
      </c>
      <c r="AP498" s="41">
        <f t="shared" ref="AP498:AQ498" si="5829">AP500-SUM(AP497,AP499)</f>
        <v>0</v>
      </c>
      <c r="AQ498" s="41">
        <f t="shared" si="5829"/>
        <v>-1</v>
      </c>
      <c r="AR498" s="41">
        <f t="shared" ref="AR498:AS498" si="5830">AR500-SUM(AR497,AR499)</f>
        <v>0</v>
      </c>
      <c r="AS498" s="41">
        <f t="shared" si="5830"/>
        <v>-1</v>
      </c>
      <c r="AT498" s="41">
        <f t="shared" ref="AT498:AU498" si="5831">AT500-SUM(AT497,AT499)</f>
        <v>-14</v>
      </c>
      <c r="AU498" s="41">
        <f t="shared" si="5831"/>
        <v>-14</v>
      </c>
      <c r="AV498" s="41">
        <f t="shared" ref="AV498:AW498" si="5832">AV500-SUM(AV497,AV499)</f>
        <v>-14</v>
      </c>
      <c r="AW498" s="41">
        <f t="shared" si="5832"/>
        <v>-21</v>
      </c>
      <c r="AX498" s="41">
        <f t="shared" ref="AX498:AY498" si="5833">AX500-SUM(AX497,AX499)</f>
        <v>-21</v>
      </c>
      <c r="AY498" s="211">
        <f t="shared" si="5833"/>
        <v>-20</v>
      </c>
      <c r="AZ498" s="41">
        <f t="shared" ref="AZ498:AZ499" si="5834">AY498</f>
        <v>-20</v>
      </c>
      <c r="BA498" s="41">
        <f t="shared" ref="BA498:BA499" si="5835">AZ498</f>
        <v>-20</v>
      </c>
      <c r="BB498" s="41">
        <f t="shared" ref="BB498:BB499" si="5836">BA498</f>
        <v>-20</v>
      </c>
      <c r="BC498" s="41">
        <f t="shared" ref="BC498:BC499" si="5837">BB498</f>
        <v>-20</v>
      </c>
      <c r="BD498" s="41">
        <f t="shared" ref="BD498:BD499" si="5838">BC498</f>
        <v>-20</v>
      </c>
      <c r="BE498" s="41">
        <f t="shared" ref="BE498:BE499" si="5839">BD498</f>
        <v>-20</v>
      </c>
      <c r="BF498" s="41">
        <f t="shared" ref="BF498:BF499" si="5840">BE498</f>
        <v>-20</v>
      </c>
      <c r="BG498" s="41">
        <f t="shared" ref="BG498:BK499" si="5841">BF498</f>
        <v>-20</v>
      </c>
      <c r="BH498" s="41">
        <f t="shared" si="5841"/>
        <v>-20</v>
      </c>
      <c r="BI498" s="41">
        <f t="shared" si="5841"/>
        <v>-20</v>
      </c>
      <c r="BJ498" s="41">
        <f t="shared" si="5841"/>
        <v>-20</v>
      </c>
      <c r="BK498" s="41">
        <f t="shared" si="5841"/>
        <v>-20</v>
      </c>
      <c r="BL498" s="41">
        <f t="shared" ref="BL498:BL499" si="5842">BK498</f>
        <v>-20</v>
      </c>
      <c r="BM498" s="41">
        <f t="shared" ref="BM498:BM499" si="5843">BL498</f>
        <v>-20</v>
      </c>
      <c r="BN498" s="41">
        <f t="shared" ref="BN498:BN499" si="5844">BM498</f>
        <v>-20</v>
      </c>
      <c r="BO498" s="41">
        <f t="shared" ref="BO498:BO499" si="5845">BN498</f>
        <v>-20</v>
      </c>
      <c r="BP498" s="41">
        <f t="shared" ref="BP498:BP499" si="5846">BO498</f>
        <v>-20</v>
      </c>
      <c r="BQ498" s="41">
        <f t="shared" ref="BQ498:BQ499" si="5847">BP498</f>
        <v>-20</v>
      </c>
      <c r="BR498" s="41"/>
      <c r="BS498" s="41">
        <f t="shared" ref="BS498:CB498" si="5848">BS500-SUM(BS497,BS499)</f>
        <v>8.0999999999999943</v>
      </c>
      <c r="BT498" s="41">
        <f t="shared" si="5848"/>
        <v>33.400000000000034</v>
      </c>
      <c r="BU498" s="41">
        <f t="shared" si="5848"/>
        <v>0</v>
      </c>
      <c r="BV498" s="41">
        <f t="shared" si="5848"/>
        <v>53</v>
      </c>
      <c r="BW498" s="41">
        <f t="shared" si="5848"/>
        <v>-9</v>
      </c>
      <c r="BX498" s="41">
        <f t="shared" si="5848"/>
        <v>-8</v>
      </c>
      <c r="BY498" s="41">
        <f t="shared" si="5848"/>
        <v>-9</v>
      </c>
      <c r="BZ498" s="41">
        <f t="shared" si="5848"/>
        <v>-6</v>
      </c>
      <c r="CA498" s="41">
        <f t="shared" si="5848"/>
        <v>-2</v>
      </c>
      <c r="CB498" s="41">
        <f t="shared" si="5848"/>
        <v>-2</v>
      </c>
      <c r="CC498" s="41">
        <f t="shared" si="5787"/>
        <v>8.5499999999999545</v>
      </c>
      <c r="CD498" s="41">
        <f t="shared" si="5788"/>
        <v>-17.210000000000036</v>
      </c>
      <c r="CE498" s="41">
        <f t="shared" si="5789"/>
        <v>-31.930000000000064</v>
      </c>
      <c r="CF498" s="41">
        <f t="shared" si="5790"/>
        <v>-26.029999999999973</v>
      </c>
      <c r="CG498" s="41">
        <f t="shared" si="5791"/>
        <v>-29.480000000000018</v>
      </c>
      <c r="CH498" s="41">
        <f t="shared" si="5792"/>
        <v>-40.810000000000059</v>
      </c>
      <c r="CI498" s="41">
        <f t="shared" si="5793"/>
        <v>-50.139999999999986</v>
      </c>
      <c r="CJ498" s="41">
        <f t="shared" si="5794"/>
        <v>-42.669999999999959</v>
      </c>
      <c r="CK498" s="41">
        <f t="shared" si="5795"/>
        <v>-6</v>
      </c>
      <c r="CL498" s="41">
        <f t="shared" si="5796"/>
        <v>-8</v>
      </c>
      <c r="CM498" s="41">
        <f t="shared" si="5797"/>
        <v>-6</v>
      </c>
      <c r="CN498" s="41">
        <f t="shared" si="5798"/>
        <v>-10</v>
      </c>
      <c r="CO498" s="41">
        <f t="shared" si="5799"/>
        <v>-12</v>
      </c>
      <c r="CP498" s="41">
        <f t="shared" si="5800"/>
        <v>-14</v>
      </c>
      <c r="CQ498" s="41">
        <f t="shared" si="5801"/>
        <v>-11</v>
      </c>
      <c r="CR498" s="41">
        <f t="shared" si="5802"/>
        <v>-15</v>
      </c>
      <c r="CS498" s="41">
        <f t="shared" si="5803"/>
        <v>-16</v>
      </c>
      <c r="CT498" s="41">
        <f t="shared" si="5804"/>
        <v>-15</v>
      </c>
      <c r="CU498" s="41">
        <f t="shared" si="5805"/>
        <v>-1</v>
      </c>
      <c r="CV498" s="41">
        <f t="shared" si="5806"/>
        <v>-1</v>
      </c>
      <c r="CW498" s="41">
        <f t="shared" si="5807"/>
        <v>-1</v>
      </c>
      <c r="CX498" s="41">
        <f t="shared" si="5808"/>
        <v>-28</v>
      </c>
      <c r="CY498" s="41">
        <f t="shared" si="5809"/>
        <v>-35</v>
      </c>
      <c r="CZ498" s="211">
        <f t="shared" si="5810"/>
        <v>-41</v>
      </c>
      <c r="DA498" s="41">
        <f t="shared" si="5811"/>
        <v>-40</v>
      </c>
      <c r="DB498" s="41">
        <f t="shared" si="5812"/>
        <v>-40</v>
      </c>
      <c r="DC498" s="41">
        <f t="shared" si="5813"/>
        <v>-40</v>
      </c>
      <c r="DD498" s="41">
        <f t="shared" si="5814"/>
        <v>-40</v>
      </c>
      <c r="DE498" s="41">
        <f t="shared" si="5815"/>
        <v>-40</v>
      </c>
      <c r="DF498" s="41">
        <f t="shared" si="5816"/>
        <v>-40</v>
      </c>
      <c r="DG498" s="41">
        <f t="shared" si="5817"/>
        <v>-40</v>
      </c>
      <c r="DH498" s="41">
        <f t="shared" si="5818"/>
        <v>-40</v>
      </c>
      <c r="DI498" s="41">
        <f t="shared" si="5819"/>
        <v>-40</v>
      </c>
    </row>
    <row r="499" spans="1:113" ht="12" outlineLevel="1">
      <c r="A499" s="1" t="s">
        <v>693</v>
      </c>
      <c r="B499" s="15" t="s">
        <v>258</v>
      </c>
      <c r="C499" s="40">
        <v>-60</v>
      </c>
      <c r="D499" s="40">
        <v>-60</v>
      </c>
      <c r="E499" s="40">
        <f>-117-D499</f>
        <v>-57</v>
      </c>
      <c r="F499" s="40">
        <v>-54</v>
      </c>
      <c r="G499" s="40">
        <f>-102-F499</f>
        <v>-48</v>
      </c>
      <c r="H499" s="40">
        <v>-64</v>
      </c>
      <c r="I499" s="40">
        <f>-98-H499</f>
        <v>-34</v>
      </c>
      <c r="J499" s="40">
        <v>-6</v>
      </c>
      <c r="K499" s="40">
        <f>-18-J499</f>
        <v>-12</v>
      </c>
      <c r="L499" s="40">
        <v>-12</v>
      </c>
      <c r="M499" s="40">
        <v>-15</v>
      </c>
      <c r="N499" s="40">
        <v>-17</v>
      </c>
      <c r="O499" s="40">
        <v>-20</v>
      </c>
      <c r="P499" s="40">
        <v>-23</v>
      </c>
      <c r="Q499" s="40">
        <v>-23</v>
      </c>
      <c r="R499" s="40">
        <v>-24</v>
      </c>
      <c r="S499" s="40">
        <v>-9</v>
      </c>
      <c r="T499" s="40">
        <v>-6</v>
      </c>
      <c r="U499" s="40">
        <v>-5</v>
      </c>
      <c r="V499" s="40">
        <v>-6</v>
      </c>
      <c r="W499" s="40">
        <v>-6</v>
      </c>
      <c r="X499" s="40">
        <v>-7</v>
      </c>
      <c r="Y499" s="40">
        <v>-4</v>
      </c>
      <c r="Z499" s="141">
        <v>-3</v>
      </c>
      <c r="AA499" s="141">
        <v>-3</v>
      </c>
      <c r="AB499" s="141">
        <v>-3</v>
      </c>
      <c r="AC499" s="141">
        <v>-3</v>
      </c>
      <c r="AD499" s="141">
        <v>-1</v>
      </c>
      <c r="AE499" s="141">
        <v>0</v>
      </c>
      <c r="AF499" s="141">
        <v>0</v>
      </c>
      <c r="AG499" s="141">
        <v>0</v>
      </c>
      <c r="AH499" s="141">
        <v>0</v>
      </c>
      <c r="AI499" s="141">
        <v>0</v>
      </c>
      <c r="AJ499" s="141">
        <v>0</v>
      </c>
      <c r="AK499" s="141">
        <v>0</v>
      </c>
      <c r="AL499" s="141">
        <v>0</v>
      </c>
      <c r="AM499" s="141">
        <v>0</v>
      </c>
      <c r="AN499" s="141">
        <v>0</v>
      </c>
      <c r="AO499" s="141">
        <v>0</v>
      </c>
      <c r="AP499" s="141">
        <v>0</v>
      </c>
      <c r="AQ499" s="141">
        <v>0</v>
      </c>
      <c r="AR499" s="141">
        <v>0</v>
      </c>
      <c r="AS499" s="141">
        <v>0</v>
      </c>
      <c r="AT499" s="141">
        <v>0</v>
      </c>
      <c r="AU499" s="141">
        <v>0</v>
      </c>
      <c r="AV499" s="141">
        <v>0</v>
      </c>
      <c r="AW499" s="141">
        <v>0</v>
      </c>
      <c r="AX499" s="141">
        <v>0</v>
      </c>
      <c r="AY499" s="226">
        <v>0</v>
      </c>
      <c r="AZ499" s="41">
        <f t="shared" si="5834"/>
        <v>0</v>
      </c>
      <c r="BA499" s="41">
        <f t="shared" si="5835"/>
        <v>0</v>
      </c>
      <c r="BB499" s="41">
        <f t="shared" si="5836"/>
        <v>0</v>
      </c>
      <c r="BC499" s="41">
        <f t="shared" si="5837"/>
        <v>0</v>
      </c>
      <c r="BD499" s="41">
        <f t="shared" si="5838"/>
        <v>0</v>
      </c>
      <c r="BE499" s="41">
        <f t="shared" si="5839"/>
        <v>0</v>
      </c>
      <c r="BF499" s="41">
        <f t="shared" si="5840"/>
        <v>0</v>
      </c>
      <c r="BG499" s="41">
        <f t="shared" si="5841"/>
        <v>0</v>
      </c>
      <c r="BH499" s="41">
        <f t="shared" si="5841"/>
        <v>0</v>
      </c>
      <c r="BI499" s="41">
        <f t="shared" si="5841"/>
        <v>0</v>
      </c>
      <c r="BJ499" s="41">
        <f t="shared" si="5841"/>
        <v>0</v>
      </c>
      <c r="BK499" s="41">
        <f t="shared" si="5841"/>
        <v>0</v>
      </c>
      <c r="BL499" s="41">
        <f t="shared" si="5842"/>
        <v>0</v>
      </c>
      <c r="BM499" s="41">
        <f t="shared" si="5843"/>
        <v>0</v>
      </c>
      <c r="BN499" s="41">
        <f t="shared" si="5844"/>
        <v>0</v>
      </c>
      <c r="BO499" s="41">
        <f t="shared" si="5845"/>
        <v>0</v>
      </c>
      <c r="BP499" s="41">
        <f t="shared" si="5846"/>
        <v>0</v>
      </c>
      <c r="BQ499" s="41">
        <f t="shared" si="5847"/>
        <v>0</v>
      </c>
      <c r="BR499" s="41"/>
      <c r="BS499" s="40">
        <v>-79.400000000000006</v>
      </c>
      <c r="BT499" s="40">
        <v>-79.400000000000006</v>
      </c>
      <c r="BU499" s="40">
        <v>-80</v>
      </c>
      <c r="BV499" s="40">
        <v>-80</v>
      </c>
      <c r="BW499" s="40">
        <v>0</v>
      </c>
      <c r="BX499" s="40">
        <v>0</v>
      </c>
      <c r="BY499" s="40">
        <v>0</v>
      </c>
      <c r="BZ499" s="40">
        <v>-72</v>
      </c>
      <c r="CA499" s="40">
        <v>-102</v>
      </c>
      <c r="CB499" s="40">
        <v>-119</v>
      </c>
      <c r="CC499" s="41">
        <f t="shared" si="5787"/>
        <v>-117</v>
      </c>
      <c r="CD499" s="41">
        <f t="shared" si="5788"/>
        <v>-102</v>
      </c>
      <c r="CE499" s="41">
        <f t="shared" si="5789"/>
        <v>-98</v>
      </c>
      <c r="CF499" s="41">
        <f t="shared" si="5790"/>
        <v>-18</v>
      </c>
      <c r="CG499" s="41">
        <f t="shared" si="5791"/>
        <v>-27</v>
      </c>
      <c r="CH499" s="41">
        <f t="shared" si="5792"/>
        <v>-37</v>
      </c>
      <c r="CI499" s="41">
        <f t="shared" si="5793"/>
        <v>-46</v>
      </c>
      <c r="CJ499" s="41">
        <f t="shared" si="5794"/>
        <v>-33</v>
      </c>
      <c r="CK499" s="41">
        <f t="shared" si="5795"/>
        <v>-11</v>
      </c>
      <c r="CL499" s="41">
        <f t="shared" si="5796"/>
        <v>-12</v>
      </c>
      <c r="CM499" s="41">
        <f t="shared" si="5797"/>
        <v>-11</v>
      </c>
      <c r="CN499" s="41">
        <f t="shared" si="5798"/>
        <v>-6</v>
      </c>
      <c r="CO499" s="41">
        <f t="shared" si="5799"/>
        <v>-6</v>
      </c>
      <c r="CP499" s="41">
        <f t="shared" si="5800"/>
        <v>-1</v>
      </c>
      <c r="CQ499" s="41">
        <f t="shared" si="5801"/>
        <v>0</v>
      </c>
      <c r="CR499" s="41">
        <f t="shared" si="5802"/>
        <v>0</v>
      </c>
      <c r="CS499" s="41">
        <f t="shared" si="5803"/>
        <v>0</v>
      </c>
      <c r="CT499" s="41">
        <f t="shared" si="5804"/>
        <v>0</v>
      </c>
      <c r="CU499" s="41">
        <f t="shared" si="5805"/>
        <v>0</v>
      </c>
      <c r="CV499" s="41">
        <f t="shared" si="5806"/>
        <v>0</v>
      </c>
      <c r="CW499" s="41">
        <f t="shared" si="5807"/>
        <v>0</v>
      </c>
      <c r="CX499" s="41">
        <f t="shared" si="5808"/>
        <v>0</v>
      </c>
      <c r="CY499" s="41">
        <f t="shared" si="5809"/>
        <v>0</v>
      </c>
      <c r="CZ499" s="211">
        <f t="shared" si="5810"/>
        <v>0</v>
      </c>
      <c r="DA499" s="41">
        <f t="shared" si="5811"/>
        <v>0</v>
      </c>
      <c r="DB499" s="41">
        <f t="shared" si="5812"/>
        <v>0</v>
      </c>
      <c r="DC499" s="41">
        <f t="shared" si="5813"/>
        <v>0</v>
      </c>
      <c r="DD499" s="41">
        <f t="shared" si="5814"/>
        <v>0</v>
      </c>
      <c r="DE499" s="41">
        <f t="shared" si="5815"/>
        <v>0</v>
      </c>
      <c r="DF499" s="41">
        <f t="shared" si="5816"/>
        <v>0</v>
      </c>
      <c r="DG499" s="41">
        <f t="shared" si="5817"/>
        <v>0</v>
      </c>
      <c r="DH499" s="41">
        <f t="shared" si="5818"/>
        <v>0</v>
      </c>
      <c r="DI499" s="41">
        <f t="shared" si="5819"/>
        <v>0</v>
      </c>
    </row>
    <row r="500" spans="1:113" s="17" customFormat="1" ht="12" outlineLevel="1">
      <c r="A500" s="1" t="s">
        <v>330</v>
      </c>
      <c r="B500" s="17" t="s">
        <v>168</v>
      </c>
      <c r="C500" s="62">
        <f t="shared" ref="C500:H500" si="5849">C506-SUM(C501:C505)</f>
        <v>-529</v>
      </c>
      <c r="D500" s="62">
        <f t="shared" si="5849"/>
        <v>-489</v>
      </c>
      <c r="E500" s="62">
        <f t="shared" si="5849"/>
        <v>-513.45000000000005</v>
      </c>
      <c r="F500" s="62">
        <f t="shared" si="5849"/>
        <v>-500</v>
      </c>
      <c r="G500" s="62">
        <f t="shared" si="5849"/>
        <v>-545.21</v>
      </c>
      <c r="H500" s="62">
        <f t="shared" si="5849"/>
        <v>-630.23</v>
      </c>
      <c r="I500" s="62">
        <f t="shared" ref="I500:L500" si="5850">I506-SUM(I501:I505)</f>
        <v>-646.70000000000005</v>
      </c>
      <c r="J500" s="62">
        <f t="shared" si="5850"/>
        <v>-625.35</v>
      </c>
      <c r="K500" s="62">
        <f t="shared" si="5850"/>
        <v>-665.68</v>
      </c>
      <c r="L500" s="62">
        <f t="shared" si="5850"/>
        <v>-737.82</v>
      </c>
      <c r="M500" s="62">
        <f t="shared" ref="M500:T500" si="5851">M506-SUM(M501:M505)</f>
        <v>-804.66</v>
      </c>
      <c r="N500" s="62">
        <f t="shared" si="5851"/>
        <v>-843.84</v>
      </c>
      <c r="O500" s="62">
        <f t="shared" si="5851"/>
        <v>-849.97</v>
      </c>
      <c r="P500" s="62">
        <f t="shared" si="5851"/>
        <v>-831.05</v>
      </c>
      <c r="Q500" s="62">
        <f t="shared" si="5851"/>
        <v>-436.09000000000003</v>
      </c>
      <c r="R500" s="62">
        <f t="shared" si="5851"/>
        <v>-535.57999999999993</v>
      </c>
      <c r="S500" s="62">
        <f t="shared" si="5851"/>
        <v>-889.09</v>
      </c>
      <c r="T500" s="62">
        <f t="shared" si="5851"/>
        <v>-942</v>
      </c>
      <c r="U500" s="62">
        <f t="shared" ref="U500:AB500" si="5852">U506-SUM(U501:U505)</f>
        <v>-1064</v>
      </c>
      <c r="V500" s="62">
        <f t="shared" si="5852"/>
        <v>-1105</v>
      </c>
      <c r="W500" s="62">
        <f t="shared" si="5852"/>
        <v>-1082</v>
      </c>
      <c r="X500" s="62">
        <f t="shared" si="5852"/>
        <v>-1128</v>
      </c>
      <c r="Y500" s="62">
        <f t="shared" si="5852"/>
        <v>-1177</v>
      </c>
      <c r="Z500" s="62">
        <f t="shared" si="5852"/>
        <v>-1273</v>
      </c>
      <c r="AA500" s="62">
        <f t="shared" ref="AA500" si="5853">AA506-SUM(AA501:AA505)</f>
        <v>-1178</v>
      </c>
      <c r="AB500" s="62">
        <f t="shared" si="5852"/>
        <v>-1342</v>
      </c>
      <c r="AC500" s="62">
        <f t="shared" ref="AC500:AD500" si="5854">AC506-SUM(AC501:AC505)</f>
        <v>-1376</v>
      </c>
      <c r="AD500" s="62">
        <f t="shared" si="5854"/>
        <v>-1407</v>
      </c>
      <c r="AE500" s="62">
        <f t="shared" ref="AE500:AF500" si="5855">AE506-SUM(AE501:AE505)</f>
        <v>-1332</v>
      </c>
      <c r="AF500" s="62">
        <f t="shared" si="5855"/>
        <v>-1137</v>
      </c>
      <c r="AG500" s="62">
        <f t="shared" ref="AG500:AH500" si="5856">AG506-SUM(AG501:AG505)</f>
        <v>-1173</v>
      </c>
      <c r="AH500" s="62">
        <f t="shared" si="5856"/>
        <v>-1414</v>
      </c>
      <c r="AI500" s="62">
        <f t="shared" ref="AI500:AJ500" si="5857">AI506-SUM(AI501:AI505)</f>
        <v>-1427</v>
      </c>
      <c r="AJ500" s="62">
        <f t="shared" si="5857"/>
        <v>-1496</v>
      </c>
      <c r="AK500" s="62">
        <f t="shared" ref="AK500:AL500" si="5858">AK506-SUM(AK501:AK505)</f>
        <v>-1295</v>
      </c>
      <c r="AL500" s="62">
        <f t="shared" si="5858"/>
        <v>-1424</v>
      </c>
      <c r="AM500" s="62">
        <f t="shared" ref="AM500:AN500" si="5859">AM506-SUM(AM501:AM505)</f>
        <v>-1269</v>
      </c>
      <c r="AN500" s="62">
        <f t="shared" si="5859"/>
        <v>-887</v>
      </c>
      <c r="AO500" s="62">
        <f t="shared" ref="AO500" si="5860">AO506-SUM(AO501:AO505)</f>
        <v>-986</v>
      </c>
      <c r="AP500" s="62">
        <f t="shared" ref="AP500:AQ500" si="5861">AP506-SUM(AP501:AP505)</f>
        <v>-1442</v>
      </c>
      <c r="AQ500" s="62">
        <f t="shared" si="5861"/>
        <v>-1323</v>
      </c>
      <c r="AR500" s="62">
        <f t="shared" ref="AR500:AS500" si="5862">AR506-SUM(AR501:AR505)</f>
        <v>-1328</v>
      </c>
      <c r="AS500" s="62">
        <f t="shared" si="5862"/>
        <v>-1357</v>
      </c>
      <c r="AT500" s="62">
        <f t="shared" ref="AT500:AU500" si="5863">AT506-SUM(AT501:AT505)</f>
        <v>-1581</v>
      </c>
      <c r="AU500" s="62">
        <f t="shared" si="5863"/>
        <v>-1527</v>
      </c>
      <c r="AV500" s="62">
        <f t="shared" ref="AV500:AW500" si="5864">AV506-SUM(AV501:AV505)</f>
        <v>-1510</v>
      </c>
      <c r="AW500" s="62">
        <f t="shared" si="5864"/>
        <v>-1427</v>
      </c>
      <c r="AX500" s="62">
        <f t="shared" ref="AX500:AY500" si="5865">AX506-SUM(AX501:AX505)</f>
        <v>-1540</v>
      </c>
      <c r="AY500" s="220">
        <f t="shared" si="5865"/>
        <v>-1251</v>
      </c>
      <c r="AZ500" s="62">
        <f t="shared" ref="AZ500:BA500" si="5866">AZ497+AZ498+AZ499</f>
        <v>-1646.1124110321839</v>
      </c>
      <c r="BA500" s="62">
        <f t="shared" si="5866"/>
        <v>-1631.5823557066201</v>
      </c>
      <c r="BB500" s="62">
        <f t="shared" ref="BB500:BC500" si="5867">BB497+BB498+BB499</f>
        <v>-1705.1128463160414</v>
      </c>
      <c r="BC500" s="62">
        <f t="shared" si="5867"/>
        <v>-1561.2329513651312</v>
      </c>
      <c r="BD500" s="62">
        <f t="shared" ref="BD500:BE500" si="5868">BD497+BD498+BD499</f>
        <v>-1745.1163015234399</v>
      </c>
      <c r="BE500" s="62">
        <f t="shared" si="5868"/>
        <v>-1618.9473379990218</v>
      </c>
      <c r="BF500" s="62">
        <f t="shared" ref="BF500:BG500" si="5869">BF497+BF498+BF499</f>
        <v>-1794.9217521436531</v>
      </c>
      <c r="BG500" s="62">
        <f t="shared" si="5869"/>
        <v>-1694.2256376533287</v>
      </c>
      <c r="BH500" s="62">
        <f t="shared" ref="BH500:BI500" si="5870">BH497+BH498+BH499</f>
        <v>-1837.9712255735046</v>
      </c>
      <c r="BI500" s="62">
        <f t="shared" si="5870"/>
        <v>-1721.6955804797958</v>
      </c>
      <c r="BJ500" s="62">
        <f t="shared" ref="BJ500:BK500" si="5871">BJ497+BJ498+BJ499</f>
        <v>-1899.0668114550904</v>
      </c>
      <c r="BK500" s="62">
        <f t="shared" si="5871"/>
        <v>-1860.3135019845981</v>
      </c>
      <c r="BL500" s="62">
        <f t="shared" ref="BL500:BM500" si="5872">BL497+BL498+BL499</f>
        <v>-1952.2036566143604</v>
      </c>
      <c r="BM500" s="62">
        <f t="shared" si="5872"/>
        <v>-1876.4159286175789</v>
      </c>
      <c r="BN500" s="62">
        <f t="shared" ref="BN500:BO500" si="5873">BN497+BN498+BN499</f>
        <v>-1961.0122574589657</v>
      </c>
      <c r="BO500" s="62">
        <f t="shared" si="5873"/>
        <v>-1902.3987239024596</v>
      </c>
      <c r="BP500" s="62">
        <f t="shared" ref="BP500:BQ500" si="5874">BP497+BP498+BP499</f>
        <v>-1993.2530033159728</v>
      </c>
      <c r="BQ500" s="62">
        <f t="shared" si="5874"/>
        <v>-1951.5758956291595</v>
      </c>
      <c r="BR500" s="62"/>
      <c r="BS500" s="62">
        <f t="shared" ref="BS500:CB500" si="5875">BS506-SUM(BS501:BS505)</f>
        <v>61.599999999999994</v>
      </c>
      <c r="BT500" s="62">
        <f t="shared" si="5875"/>
        <v>-279.89999999999998</v>
      </c>
      <c r="BU500" s="62">
        <f t="shared" si="5875"/>
        <v>-475</v>
      </c>
      <c r="BV500" s="62">
        <f t="shared" si="5875"/>
        <v>-532</v>
      </c>
      <c r="BW500" s="62">
        <f t="shared" si="5875"/>
        <v>-478</v>
      </c>
      <c r="BX500" s="62">
        <f t="shared" si="5875"/>
        <v>-474</v>
      </c>
      <c r="BY500" s="62">
        <f t="shared" si="5875"/>
        <v>-585</v>
      </c>
      <c r="BZ500" s="62">
        <f t="shared" si="5875"/>
        <v>-814</v>
      </c>
      <c r="CA500" s="62">
        <f t="shared" si="5875"/>
        <v>-967</v>
      </c>
      <c r="CB500" s="62">
        <f t="shared" si="5875"/>
        <v>-1032</v>
      </c>
      <c r="CC500" s="62">
        <f t="shared" si="5787"/>
        <v>-1002.45</v>
      </c>
      <c r="CD500" s="62">
        <f t="shared" si="5788"/>
        <v>-1045.21</v>
      </c>
      <c r="CE500" s="62">
        <f t="shared" si="5789"/>
        <v>-1276.93</v>
      </c>
      <c r="CF500" s="62">
        <f t="shared" si="5790"/>
        <v>-1291.03</v>
      </c>
      <c r="CG500" s="62">
        <f t="shared" si="5791"/>
        <v>-1542.48</v>
      </c>
      <c r="CH500" s="62">
        <f t="shared" si="5792"/>
        <v>-1693.81</v>
      </c>
      <c r="CI500" s="62">
        <f t="shared" si="5793"/>
        <v>-1267.1399999999999</v>
      </c>
      <c r="CJ500" s="62">
        <f t="shared" si="5794"/>
        <v>-1424.67</v>
      </c>
      <c r="CK500" s="62">
        <f t="shared" si="5795"/>
        <v>-2006</v>
      </c>
      <c r="CL500" s="62">
        <f t="shared" si="5796"/>
        <v>-2187</v>
      </c>
      <c r="CM500" s="62">
        <f t="shared" si="5797"/>
        <v>-2305</v>
      </c>
      <c r="CN500" s="62">
        <f t="shared" si="5798"/>
        <v>-2451</v>
      </c>
      <c r="CO500" s="62">
        <f t="shared" si="5799"/>
        <v>-2718</v>
      </c>
      <c r="CP500" s="62">
        <f t="shared" si="5800"/>
        <v>-2739</v>
      </c>
      <c r="CQ500" s="62">
        <f t="shared" si="5801"/>
        <v>-2310</v>
      </c>
      <c r="CR500" s="62">
        <f t="shared" si="5802"/>
        <v>-2841</v>
      </c>
      <c r="CS500" s="62">
        <f t="shared" si="5803"/>
        <v>-2791</v>
      </c>
      <c r="CT500" s="62">
        <f t="shared" si="5804"/>
        <v>-2693</v>
      </c>
      <c r="CU500" s="62">
        <f t="shared" si="5805"/>
        <v>-1873</v>
      </c>
      <c r="CV500" s="62">
        <f t="shared" si="5806"/>
        <v>-2765</v>
      </c>
      <c r="CW500" s="62">
        <f t="shared" si="5807"/>
        <v>-2685</v>
      </c>
      <c r="CX500" s="62">
        <f t="shared" si="5808"/>
        <v>-3108</v>
      </c>
      <c r="CY500" s="62">
        <f t="shared" si="5809"/>
        <v>-2937</v>
      </c>
      <c r="CZ500" s="220">
        <f t="shared" si="5810"/>
        <v>-2791</v>
      </c>
      <c r="DA500" s="62">
        <f t="shared" si="5811"/>
        <v>-3277.694766738804</v>
      </c>
      <c r="DB500" s="62">
        <f t="shared" si="5812"/>
        <v>-3266.3457976811724</v>
      </c>
      <c r="DC500" s="62">
        <f t="shared" si="5813"/>
        <v>-3364.0636395224619</v>
      </c>
      <c r="DD500" s="62">
        <f t="shared" si="5814"/>
        <v>-3489.1473897969818</v>
      </c>
      <c r="DE500" s="62">
        <f t="shared" si="5815"/>
        <v>-3559.6668060533002</v>
      </c>
      <c r="DF500" s="62">
        <f t="shared" si="5816"/>
        <v>-3759.3803134396885</v>
      </c>
      <c r="DG500" s="62">
        <f t="shared" si="5817"/>
        <v>-3828.6195852319393</v>
      </c>
      <c r="DH500" s="62">
        <f t="shared" si="5818"/>
        <v>-3863.410981361425</v>
      </c>
      <c r="DI500" s="62">
        <f t="shared" si="5819"/>
        <v>-3944.8288989451321</v>
      </c>
    </row>
    <row r="501" spans="1:113" ht="12" hidden="1" outlineLevel="2">
      <c r="A501" s="1" t="s">
        <v>433</v>
      </c>
      <c r="B501" s="15" t="s">
        <v>857</v>
      </c>
      <c r="C501" s="41">
        <f>-C385</f>
        <v>0</v>
      </c>
      <c r="D501" s="41">
        <f>-D385</f>
        <v>0</v>
      </c>
      <c r="E501" s="41">
        <f>-E385</f>
        <v>0</v>
      </c>
      <c r="F501" s="41">
        <f t="shared" ref="F501:L501" si="5876">-F385</f>
        <v>0</v>
      </c>
      <c r="G501" s="41">
        <f t="shared" si="5876"/>
        <v>0</v>
      </c>
      <c r="H501" s="41">
        <f t="shared" si="5876"/>
        <v>0</v>
      </c>
      <c r="I501" s="41">
        <f t="shared" si="5876"/>
        <v>0</v>
      </c>
      <c r="J501" s="41">
        <f t="shared" si="5876"/>
        <v>0</v>
      </c>
      <c r="K501" s="41">
        <f t="shared" si="5876"/>
        <v>0</v>
      </c>
      <c r="L501" s="41">
        <f t="shared" si="5876"/>
        <v>0</v>
      </c>
      <c r="M501" s="41">
        <f t="shared" ref="M501:AB501" si="5877">-M385</f>
        <v>0</v>
      </c>
      <c r="N501" s="41">
        <f t="shared" si="5877"/>
        <v>0</v>
      </c>
      <c r="O501" s="41">
        <f t="shared" si="5877"/>
        <v>0</v>
      </c>
      <c r="P501" s="41">
        <f t="shared" si="5877"/>
        <v>0</v>
      </c>
      <c r="Q501" s="41">
        <f t="shared" si="5877"/>
        <v>0</v>
      </c>
      <c r="R501" s="41">
        <f t="shared" si="5877"/>
        <v>0</v>
      </c>
      <c r="S501" s="41">
        <f t="shared" si="5877"/>
        <v>0</v>
      </c>
      <c r="T501" s="41">
        <f t="shared" si="5877"/>
        <v>0</v>
      </c>
      <c r="U501" s="41">
        <f t="shared" si="5877"/>
        <v>0</v>
      </c>
      <c r="V501" s="41">
        <f t="shared" si="5877"/>
        <v>0</v>
      </c>
      <c r="W501" s="41">
        <f t="shared" si="5877"/>
        <v>0</v>
      </c>
      <c r="X501" s="41">
        <f t="shared" si="5877"/>
        <v>0</v>
      </c>
      <c r="Y501" s="41">
        <f>-Y385</f>
        <v>0</v>
      </c>
      <c r="Z501" s="41">
        <f t="shared" si="5877"/>
        <v>0</v>
      </c>
      <c r="AA501" s="41">
        <f t="shared" ref="AA501" si="5878">-AA385</f>
        <v>0</v>
      </c>
      <c r="AB501" s="41">
        <f t="shared" si="5877"/>
        <v>0</v>
      </c>
      <c r="AC501" s="41">
        <f t="shared" ref="AC501:AD501" si="5879">-AC385</f>
        <v>0</v>
      </c>
      <c r="AD501" s="41">
        <f t="shared" si="5879"/>
        <v>0</v>
      </c>
      <c r="AE501" s="41">
        <f t="shared" ref="AE501:AF501" si="5880">-AE385</f>
        <v>0</v>
      </c>
      <c r="AF501" s="41">
        <f t="shared" si="5880"/>
        <v>0</v>
      </c>
      <c r="AG501" s="41">
        <f t="shared" ref="AG501:AH501" si="5881">-AG385</f>
        <v>0</v>
      </c>
      <c r="AH501" s="41">
        <f t="shared" si="5881"/>
        <v>0</v>
      </c>
      <c r="AI501" s="41">
        <f t="shared" ref="AI501:AJ501" si="5882">-AI385</f>
        <v>0</v>
      </c>
      <c r="AJ501" s="41">
        <f t="shared" si="5882"/>
        <v>0</v>
      </c>
      <c r="AK501" s="41">
        <f t="shared" ref="AK501:AL501" si="5883">-AK385</f>
        <v>0</v>
      </c>
      <c r="AL501" s="41">
        <f t="shared" si="5883"/>
        <v>0</v>
      </c>
      <c r="AM501" s="41">
        <f t="shared" ref="AM501:AN501" si="5884">-AM385</f>
        <v>0</v>
      </c>
      <c r="AN501" s="41">
        <f t="shared" si="5884"/>
        <v>0</v>
      </c>
      <c r="AO501" s="41">
        <f t="shared" ref="AO501" si="5885">-AO385</f>
        <v>0</v>
      </c>
      <c r="AP501" s="41">
        <f t="shared" ref="AP501:AQ501" si="5886">-AP385</f>
        <v>0</v>
      </c>
      <c r="AQ501" s="41">
        <f t="shared" si="5886"/>
        <v>0</v>
      </c>
      <c r="AR501" s="41">
        <f t="shared" ref="AR501:AS501" si="5887">-AR385</f>
        <v>0</v>
      </c>
      <c r="AS501" s="41">
        <f t="shared" si="5887"/>
        <v>0</v>
      </c>
      <c r="AT501" s="41">
        <f t="shared" ref="AT501:AU501" si="5888">-AT385</f>
        <v>0</v>
      </c>
      <c r="AU501" s="41">
        <f t="shared" si="5888"/>
        <v>0</v>
      </c>
      <c r="AV501" s="41">
        <f t="shared" ref="AV501:AW501" si="5889">-AV385</f>
        <v>0</v>
      </c>
      <c r="AW501" s="41">
        <f t="shared" si="5889"/>
        <v>0</v>
      </c>
      <c r="AX501" s="41">
        <f t="shared" ref="AX501:AY501" si="5890">-AX385</f>
        <v>0</v>
      </c>
      <c r="AY501" s="211">
        <f t="shared" si="5890"/>
        <v>0</v>
      </c>
      <c r="AZ501" s="41">
        <f t="shared" ref="AZ501:BA501" si="5891">-AZ385</f>
        <v>0</v>
      </c>
      <c r="BA501" s="41">
        <f t="shared" si="5891"/>
        <v>0</v>
      </c>
      <c r="BB501" s="41">
        <f t="shared" ref="BB501:BC501" si="5892">-BB385</f>
        <v>0</v>
      </c>
      <c r="BC501" s="41">
        <f t="shared" si="5892"/>
        <v>0</v>
      </c>
      <c r="BD501" s="41">
        <f t="shared" ref="BD501:BE501" si="5893">-BD385</f>
        <v>0</v>
      </c>
      <c r="BE501" s="41">
        <f t="shared" si="5893"/>
        <v>0</v>
      </c>
      <c r="BF501" s="41">
        <f t="shared" ref="BF501:BG501" si="5894">-BF385</f>
        <v>0</v>
      </c>
      <c r="BG501" s="41">
        <f t="shared" si="5894"/>
        <v>0</v>
      </c>
      <c r="BH501" s="41">
        <f t="shared" ref="BH501:BI501" si="5895">-BH385</f>
        <v>0</v>
      </c>
      <c r="BI501" s="41">
        <f t="shared" si="5895"/>
        <v>0</v>
      </c>
      <c r="BJ501" s="41">
        <f t="shared" ref="BJ501:BK501" si="5896">-BJ385</f>
        <v>0</v>
      </c>
      <c r="BK501" s="41">
        <f t="shared" si="5896"/>
        <v>0</v>
      </c>
      <c r="BL501" s="41">
        <f t="shared" ref="BL501:BM501" si="5897">-BL385</f>
        <v>0</v>
      </c>
      <c r="BM501" s="41">
        <f t="shared" si="5897"/>
        <v>0</v>
      </c>
      <c r="BN501" s="41">
        <f t="shared" ref="BN501:BO501" si="5898">-BN385</f>
        <v>0</v>
      </c>
      <c r="BO501" s="41">
        <f t="shared" si="5898"/>
        <v>0</v>
      </c>
      <c r="BP501" s="41">
        <f t="shared" ref="BP501:BQ501" si="5899">-BP385</f>
        <v>0</v>
      </c>
      <c r="BQ501" s="41">
        <f t="shared" si="5899"/>
        <v>0</v>
      </c>
      <c r="BR501" s="41"/>
      <c r="BS501" s="41">
        <f t="shared" ref="BS501:CB501" si="5900">-BS385</f>
        <v>0</v>
      </c>
      <c r="BT501" s="41">
        <f t="shared" si="5900"/>
        <v>0</v>
      </c>
      <c r="BU501" s="41">
        <f t="shared" si="5900"/>
        <v>0</v>
      </c>
      <c r="BV501" s="41">
        <f t="shared" si="5900"/>
        <v>0</v>
      </c>
      <c r="BW501" s="41">
        <f t="shared" si="5900"/>
        <v>0</v>
      </c>
      <c r="BX501" s="41">
        <f t="shared" si="5900"/>
        <v>0</v>
      </c>
      <c r="BY501" s="41">
        <f t="shared" si="5900"/>
        <v>0</v>
      </c>
      <c r="BZ501" s="41">
        <f t="shared" si="5900"/>
        <v>0</v>
      </c>
      <c r="CA501" s="41">
        <f t="shared" si="5900"/>
        <v>0</v>
      </c>
      <c r="CB501" s="41">
        <f t="shared" si="5900"/>
        <v>0</v>
      </c>
      <c r="CC501" s="41">
        <f t="shared" si="5787"/>
        <v>0</v>
      </c>
      <c r="CD501" s="41">
        <f t="shared" si="5788"/>
        <v>0</v>
      </c>
      <c r="CE501" s="41">
        <f t="shared" si="5789"/>
        <v>0</v>
      </c>
      <c r="CF501" s="41">
        <f t="shared" si="5790"/>
        <v>0</v>
      </c>
      <c r="CG501" s="41">
        <f t="shared" si="5791"/>
        <v>0</v>
      </c>
      <c r="CH501" s="41">
        <f t="shared" si="5792"/>
        <v>0</v>
      </c>
      <c r="CI501" s="41">
        <f t="shared" si="5793"/>
        <v>0</v>
      </c>
      <c r="CJ501" s="41">
        <f t="shared" si="5794"/>
        <v>0</v>
      </c>
      <c r="CK501" s="41">
        <f t="shared" si="5795"/>
        <v>0</v>
      </c>
      <c r="CL501" s="41">
        <f t="shared" si="5796"/>
        <v>0</v>
      </c>
      <c r="CM501" s="41">
        <f t="shared" si="5797"/>
        <v>0</v>
      </c>
      <c r="CN501" s="41">
        <f t="shared" si="5798"/>
        <v>0</v>
      </c>
      <c r="CO501" s="41">
        <f t="shared" si="5799"/>
        <v>0</v>
      </c>
      <c r="CP501" s="41">
        <f t="shared" si="5800"/>
        <v>0</v>
      </c>
      <c r="CQ501" s="41">
        <f t="shared" si="5801"/>
        <v>0</v>
      </c>
      <c r="CR501" s="41">
        <f t="shared" si="5802"/>
        <v>0</v>
      </c>
      <c r="CS501" s="41">
        <f t="shared" si="5803"/>
        <v>0</v>
      </c>
      <c r="CT501" s="41">
        <f t="shared" si="5804"/>
        <v>0</v>
      </c>
      <c r="CU501" s="41">
        <f t="shared" si="5805"/>
        <v>0</v>
      </c>
      <c r="CV501" s="41">
        <f t="shared" si="5806"/>
        <v>0</v>
      </c>
      <c r="CW501" s="41">
        <f t="shared" si="5807"/>
        <v>0</v>
      </c>
      <c r="CX501" s="41">
        <f t="shared" si="5808"/>
        <v>0</v>
      </c>
      <c r="CY501" s="41">
        <f t="shared" si="5809"/>
        <v>0</v>
      </c>
      <c r="CZ501" s="211">
        <f t="shared" si="5810"/>
        <v>0</v>
      </c>
      <c r="DA501" s="41">
        <f t="shared" si="5811"/>
        <v>0</v>
      </c>
      <c r="DB501" s="41">
        <f t="shared" si="5812"/>
        <v>0</v>
      </c>
      <c r="DC501" s="41">
        <f t="shared" si="5813"/>
        <v>0</v>
      </c>
      <c r="DD501" s="41">
        <f t="shared" si="5814"/>
        <v>0</v>
      </c>
      <c r="DE501" s="41">
        <f t="shared" si="5815"/>
        <v>0</v>
      </c>
      <c r="DF501" s="41">
        <f t="shared" si="5816"/>
        <v>0</v>
      </c>
      <c r="DG501" s="41">
        <f t="shared" si="5817"/>
        <v>0</v>
      </c>
      <c r="DH501" s="41">
        <f t="shared" si="5818"/>
        <v>0</v>
      </c>
      <c r="DI501" s="41">
        <f t="shared" si="5819"/>
        <v>0</v>
      </c>
    </row>
    <row r="502" spans="1:113" ht="12" hidden="1" outlineLevel="2">
      <c r="A502" s="1" t="s">
        <v>56</v>
      </c>
      <c r="B502" s="15" t="s">
        <v>447</v>
      </c>
      <c r="C502" s="41">
        <f>-C412</f>
        <v>0</v>
      </c>
      <c r="D502" s="41">
        <f>-D412</f>
        <v>0</v>
      </c>
      <c r="E502" s="41">
        <f>-E412</f>
        <v>2.4500000000000002</v>
      </c>
      <c r="F502" s="41">
        <f t="shared" ref="F502:L502" si="5901">-F412</f>
        <v>0</v>
      </c>
      <c r="G502" s="41">
        <f t="shared" si="5901"/>
        <v>14.209999999999999</v>
      </c>
      <c r="H502" s="41">
        <f t="shared" si="5901"/>
        <v>13.23</v>
      </c>
      <c r="I502" s="41">
        <f t="shared" si="5901"/>
        <v>14.7</v>
      </c>
      <c r="J502" s="41">
        <f t="shared" si="5901"/>
        <v>7.35</v>
      </c>
      <c r="K502" s="41">
        <f t="shared" si="5901"/>
        <v>15.68</v>
      </c>
      <c r="L502" s="41">
        <f t="shared" si="5901"/>
        <v>8.82</v>
      </c>
      <c r="M502" s="41">
        <f t="shared" ref="M502:AB502" si="5902">-M412</f>
        <v>16.66</v>
      </c>
      <c r="N502" s="41">
        <f t="shared" si="5902"/>
        <v>7.84</v>
      </c>
      <c r="O502" s="41">
        <f t="shared" si="5902"/>
        <v>25.97</v>
      </c>
      <c r="P502" s="41">
        <f t="shared" si="5902"/>
        <v>22.05</v>
      </c>
      <c r="Q502" s="41">
        <f t="shared" si="5902"/>
        <v>20.09</v>
      </c>
      <c r="R502" s="41">
        <f t="shared" si="5902"/>
        <v>20.58</v>
      </c>
      <c r="S502" s="41">
        <f t="shared" si="5902"/>
        <v>20.09</v>
      </c>
      <c r="T502" s="41">
        <f t="shared" si="5902"/>
        <v>0</v>
      </c>
      <c r="U502" s="41">
        <f t="shared" si="5902"/>
        <v>0</v>
      </c>
      <c r="V502" s="41">
        <f t="shared" si="5902"/>
        <v>0</v>
      </c>
      <c r="W502" s="41">
        <f t="shared" si="5902"/>
        <v>0</v>
      </c>
      <c r="X502" s="41">
        <f t="shared" si="5902"/>
        <v>0</v>
      </c>
      <c r="Y502" s="41">
        <f>-Y412</f>
        <v>0</v>
      </c>
      <c r="Z502" s="41">
        <f t="shared" si="5902"/>
        <v>0</v>
      </c>
      <c r="AA502" s="41">
        <f t="shared" ref="AA502" si="5903">-AA412</f>
        <v>0</v>
      </c>
      <c r="AB502" s="41">
        <f t="shared" si="5902"/>
        <v>0</v>
      </c>
      <c r="AC502" s="41">
        <f t="shared" ref="AC502:AD502" si="5904">-AC412</f>
        <v>0</v>
      </c>
      <c r="AD502" s="41">
        <f t="shared" si="5904"/>
        <v>0</v>
      </c>
      <c r="AE502" s="41">
        <f t="shared" ref="AE502:AF502" si="5905">-AE412</f>
        <v>0</v>
      </c>
      <c r="AF502" s="41">
        <f t="shared" si="5905"/>
        <v>0</v>
      </c>
      <c r="AG502" s="41">
        <f t="shared" ref="AG502:AH502" si="5906">-AG412</f>
        <v>0</v>
      </c>
      <c r="AH502" s="41">
        <f t="shared" si="5906"/>
        <v>0</v>
      </c>
      <c r="AI502" s="41">
        <f t="shared" ref="AI502:AJ502" si="5907">-AI412</f>
        <v>0</v>
      </c>
      <c r="AJ502" s="41">
        <f t="shared" si="5907"/>
        <v>0</v>
      </c>
      <c r="AK502" s="41">
        <f t="shared" ref="AK502:AL502" si="5908">-AK412</f>
        <v>0</v>
      </c>
      <c r="AL502" s="41">
        <f t="shared" si="5908"/>
        <v>0</v>
      </c>
      <c r="AM502" s="41">
        <f t="shared" ref="AM502:AN502" si="5909">-AM412</f>
        <v>0</v>
      </c>
      <c r="AN502" s="41">
        <f t="shared" si="5909"/>
        <v>0</v>
      </c>
      <c r="AO502" s="41">
        <f t="shared" ref="AO502" si="5910">-AO412</f>
        <v>0</v>
      </c>
      <c r="AP502" s="41">
        <f t="shared" ref="AP502:AQ502" si="5911">-AP412</f>
        <v>0</v>
      </c>
      <c r="AQ502" s="41">
        <f t="shared" si="5911"/>
        <v>0</v>
      </c>
      <c r="AR502" s="41">
        <f t="shared" ref="AR502:AS502" si="5912">-AR412</f>
        <v>0</v>
      </c>
      <c r="AS502" s="41">
        <f t="shared" si="5912"/>
        <v>0</v>
      </c>
      <c r="AT502" s="41">
        <f t="shared" ref="AT502:AU502" si="5913">-AT412</f>
        <v>0</v>
      </c>
      <c r="AU502" s="41">
        <f t="shared" si="5913"/>
        <v>0</v>
      </c>
      <c r="AV502" s="41">
        <f t="shared" ref="AV502:AW502" si="5914">-AV412</f>
        <v>0</v>
      </c>
      <c r="AW502" s="41">
        <f t="shared" si="5914"/>
        <v>0</v>
      </c>
      <c r="AX502" s="41">
        <f t="shared" ref="AX502:AY502" si="5915">-AX412</f>
        <v>0</v>
      </c>
      <c r="AY502" s="211">
        <f t="shared" si="5915"/>
        <v>0</v>
      </c>
      <c r="AZ502" s="41">
        <f t="shared" ref="AZ502:BA502" si="5916">-AZ412</f>
        <v>0</v>
      </c>
      <c r="BA502" s="41">
        <f t="shared" si="5916"/>
        <v>0</v>
      </c>
      <c r="BB502" s="41">
        <f t="shared" ref="BB502:BC502" si="5917">-BB412</f>
        <v>0</v>
      </c>
      <c r="BC502" s="41">
        <f t="shared" si="5917"/>
        <v>0</v>
      </c>
      <c r="BD502" s="41">
        <f t="shared" ref="BD502:BE502" si="5918">-BD412</f>
        <v>0</v>
      </c>
      <c r="BE502" s="41">
        <f t="shared" si="5918"/>
        <v>0</v>
      </c>
      <c r="BF502" s="41">
        <f t="shared" ref="BF502:BG502" si="5919">-BF412</f>
        <v>0</v>
      </c>
      <c r="BG502" s="41">
        <f t="shared" si="5919"/>
        <v>0</v>
      </c>
      <c r="BH502" s="41">
        <f t="shared" ref="BH502:BI502" si="5920">-BH412</f>
        <v>0</v>
      </c>
      <c r="BI502" s="41">
        <f t="shared" si="5920"/>
        <v>0</v>
      </c>
      <c r="BJ502" s="41">
        <f t="shared" ref="BJ502:BK502" si="5921">-BJ412</f>
        <v>0</v>
      </c>
      <c r="BK502" s="41">
        <f t="shared" si="5921"/>
        <v>0</v>
      </c>
      <c r="BL502" s="41">
        <f t="shared" ref="BL502:BM502" si="5922">-BL412</f>
        <v>0</v>
      </c>
      <c r="BM502" s="41">
        <f t="shared" si="5922"/>
        <v>0</v>
      </c>
      <c r="BN502" s="41">
        <f t="shared" ref="BN502:BO502" si="5923">-BN412</f>
        <v>0</v>
      </c>
      <c r="BO502" s="41">
        <f t="shared" si="5923"/>
        <v>0</v>
      </c>
      <c r="BP502" s="41">
        <f t="shared" ref="BP502:BQ502" si="5924">-BP412</f>
        <v>0</v>
      </c>
      <c r="BQ502" s="41">
        <f t="shared" si="5924"/>
        <v>0</v>
      </c>
      <c r="BR502" s="41"/>
      <c r="BS502" s="41">
        <f t="shared" ref="BS502:CB502" si="5925">-BS412</f>
        <v>0</v>
      </c>
      <c r="BT502" s="41">
        <f t="shared" si="5925"/>
        <v>0</v>
      </c>
      <c r="BU502" s="41">
        <f t="shared" si="5925"/>
        <v>0</v>
      </c>
      <c r="BV502" s="41">
        <f t="shared" si="5925"/>
        <v>0</v>
      </c>
      <c r="BW502" s="41">
        <f t="shared" si="5925"/>
        <v>0</v>
      </c>
      <c r="BX502" s="41">
        <f t="shared" si="5925"/>
        <v>0</v>
      </c>
      <c r="BY502" s="41">
        <f t="shared" si="5925"/>
        <v>0</v>
      </c>
      <c r="BZ502" s="41">
        <f t="shared" si="5925"/>
        <v>0</v>
      </c>
      <c r="CA502" s="41">
        <f t="shared" si="5925"/>
        <v>0</v>
      </c>
      <c r="CB502" s="41">
        <f t="shared" si="5925"/>
        <v>0</v>
      </c>
      <c r="CC502" s="41">
        <f t="shared" si="5787"/>
        <v>2.4500000000000002</v>
      </c>
      <c r="CD502" s="41">
        <f t="shared" si="5788"/>
        <v>14.209999999999999</v>
      </c>
      <c r="CE502" s="41">
        <f t="shared" si="5789"/>
        <v>27.93</v>
      </c>
      <c r="CF502" s="41">
        <f t="shared" si="5790"/>
        <v>23.03</v>
      </c>
      <c r="CG502" s="41">
        <f t="shared" si="5791"/>
        <v>25.48</v>
      </c>
      <c r="CH502" s="41">
        <f t="shared" si="5792"/>
        <v>33.81</v>
      </c>
      <c r="CI502" s="41">
        <f t="shared" si="5793"/>
        <v>42.14</v>
      </c>
      <c r="CJ502" s="41">
        <f t="shared" si="5794"/>
        <v>40.67</v>
      </c>
      <c r="CK502" s="41">
        <f t="shared" si="5795"/>
        <v>0</v>
      </c>
      <c r="CL502" s="41">
        <f t="shared" si="5796"/>
        <v>0</v>
      </c>
      <c r="CM502" s="41">
        <f t="shared" si="5797"/>
        <v>0</v>
      </c>
      <c r="CN502" s="41">
        <f t="shared" si="5798"/>
        <v>0</v>
      </c>
      <c r="CO502" s="41">
        <f t="shared" si="5799"/>
        <v>0</v>
      </c>
      <c r="CP502" s="41">
        <f t="shared" si="5800"/>
        <v>0</v>
      </c>
      <c r="CQ502" s="41">
        <f t="shared" si="5801"/>
        <v>0</v>
      </c>
      <c r="CR502" s="41">
        <f t="shared" si="5802"/>
        <v>0</v>
      </c>
      <c r="CS502" s="41">
        <f t="shared" si="5803"/>
        <v>0</v>
      </c>
      <c r="CT502" s="41">
        <f t="shared" si="5804"/>
        <v>0</v>
      </c>
      <c r="CU502" s="41">
        <f t="shared" si="5805"/>
        <v>0</v>
      </c>
      <c r="CV502" s="41">
        <f t="shared" si="5806"/>
        <v>0</v>
      </c>
      <c r="CW502" s="41">
        <f t="shared" si="5807"/>
        <v>0</v>
      </c>
      <c r="CX502" s="41">
        <f t="shared" si="5808"/>
        <v>0</v>
      </c>
      <c r="CY502" s="41">
        <f t="shared" si="5809"/>
        <v>0</v>
      </c>
      <c r="CZ502" s="211">
        <f t="shared" si="5810"/>
        <v>0</v>
      </c>
      <c r="DA502" s="41">
        <f t="shared" si="5811"/>
        <v>0</v>
      </c>
      <c r="DB502" s="41">
        <f t="shared" si="5812"/>
        <v>0</v>
      </c>
      <c r="DC502" s="41">
        <f t="shared" si="5813"/>
        <v>0</v>
      </c>
      <c r="DD502" s="41">
        <f t="shared" si="5814"/>
        <v>0</v>
      </c>
      <c r="DE502" s="41">
        <f t="shared" si="5815"/>
        <v>0</v>
      </c>
      <c r="DF502" s="41">
        <f t="shared" si="5816"/>
        <v>0</v>
      </c>
      <c r="DG502" s="41">
        <f t="shared" si="5817"/>
        <v>0</v>
      </c>
      <c r="DH502" s="41">
        <f t="shared" si="5818"/>
        <v>0</v>
      </c>
      <c r="DI502" s="41">
        <f t="shared" si="5819"/>
        <v>0</v>
      </c>
    </row>
    <row r="503" spans="1:113" ht="12" hidden="1" outlineLevel="2">
      <c r="A503" s="1" t="s">
        <v>57</v>
      </c>
      <c r="B503" s="15" t="s">
        <v>370</v>
      </c>
      <c r="C503" s="41">
        <f>-C447</f>
        <v>0</v>
      </c>
      <c r="D503" s="41">
        <f>-D447</f>
        <v>0</v>
      </c>
      <c r="E503" s="41">
        <f>-E447</f>
        <v>0</v>
      </c>
      <c r="F503" s="41">
        <f t="shared" ref="F503:L503" si="5926">-F447</f>
        <v>0</v>
      </c>
      <c r="G503" s="41">
        <f t="shared" si="5926"/>
        <v>0</v>
      </c>
      <c r="H503" s="41">
        <f t="shared" si="5926"/>
        <v>0</v>
      </c>
      <c r="I503" s="41">
        <f t="shared" si="5926"/>
        <v>0</v>
      </c>
      <c r="J503" s="41">
        <f t="shared" si="5926"/>
        <v>0</v>
      </c>
      <c r="K503" s="41">
        <f t="shared" si="5926"/>
        <v>0</v>
      </c>
      <c r="L503" s="41">
        <f t="shared" si="5926"/>
        <v>0</v>
      </c>
      <c r="M503" s="41">
        <f t="shared" ref="M503:AB503" si="5927">-M447</f>
        <v>0</v>
      </c>
      <c r="N503" s="41">
        <f t="shared" si="5927"/>
        <v>0</v>
      </c>
      <c r="O503" s="41">
        <f t="shared" si="5927"/>
        <v>0</v>
      </c>
      <c r="P503" s="41">
        <f t="shared" si="5927"/>
        <v>0</v>
      </c>
      <c r="Q503" s="41">
        <f t="shared" si="5927"/>
        <v>0</v>
      </c>
      <c r="R503" s="41">
        <f t="shared" si="5927"/>
        <v>0</v>
      </c>
      <c r="S503" s="41">
        <f t="shared" si="5927"/>
        <v>0</v>
      </c>
      <c r="T503" s="41">
        <f t="shared" si="5927"/>
        <v>0</v>
      </c>
      <c r="U503" s="41">
        <f t="shared" si="5927"/>
        <v>0</v>
      </c>
      <c r="V503" s="41">
        <f t="shared" si="5927"/>
        <v>0</v>
      </c>
      <c r="W503" s="41">
        <f t="shared" si="5927"/>
        <v>0</v>
      </c>
      <c r="X503" s="41">
        <f t="shared" si="5927"/>
        <v>0</v>
      </c>
      <c r="Y503" s="41">
        <f>-Y447</f>
        <v>0</v>
      </c>
      <c r="Z503" s="41">
        <f t="shared" si="5927"/>
        <v>0</v>
      </c>
      <c r="AA503" s="41">
        <f t="shared" ref="AA503" si="5928">-AA447</f>
        <v>0</v>
      </c>
      <c r="AB503" s="41">
        <f t="shared" si="5927"/>
        <v>0</v>
      </c>
      <c r="AC503" s="41">
        <f t="shared" ref="AC503:AD503" si="5929">-AC447</f>
        <v>0</v>
      </c>
      <c r="AD503" s="41">
        <f t="shared" si="5929"/>
        <v>0</v>
      </c>
      <c r="AE503" s="41">
        <f t="shared" ref="AE503:AF503" si="5930">-AE447</f>
        <v>0</v>
      </c>
      <c r="AF503" s="41">
        <f t="shared" si="5930"/>
        <v>0</v>
      </c>
      <c r="AG503" s="41">
        <f t="shared" ref="AG503:AH503" si="5931">-AG447</f>
        <v>0</v>
      </c>
      <c r="AH503" s="41">
        <f t="shared" si="5931"/>
        <v>0</v>
      </c>
      <c r="AI503" s="41">
        <f t="shared" ref="AI503:AJ503" si="5932">-AI447</f>
        <v>0</v>
      </c>
      <c r="AJ503" s="41">
        <f t="shared" si="5932"/>
        <v>0</v>
      </c>
      <c r="AK503" s="41">
        <f t="shared" ref="AK503:AL503" si="5933">-AK447</f>
        <v>0</v>
      </c>
      <c r="AL503" s="41">
        <f t="shared" si="5933"/>
        <v>0</v>
      </c>
      <c r="AM503" s="41">
        <f t="shared" ref="AM503:AN503" si="5934">-AM447</f>
        <v>0</v>
      </c>
      <c r="AN503" s="41">
        <f t="shared" si="5934"/>
        <v>0</v>
      </c>
      <c r="AO503" s="41">
        <f t="shared" ref="AO503" si="5935">-AO447</f>
        <v>0</v>
      </c>
      <c r="AP503" s="41">
        <f t="shared" ref="AP503:AQ503" si="5936">-AP447</f>
        <v>0</v>
      </c>
      <c r="AQ503" s="41">
        <f t="shared" si="5936"/>
        <v>0</v>
      </c>
      <c r="AR503" s="41">
        <f t="shared" ref="AR503:AS503" si="5937">-AR447</f>
        <v>0</v>
      </c>
      <c r="AS503" s="41">
        <f t="shared" si="5937"/>
        <v>0</v>
      </c>
      <c r="AT503" s="41">
        <f t="shared" ref="AT503:AU503" si="5938">-AT447</f>
        <v>0</v>
      </c>
      <c r="AU503" s="41">
        <f t="shared" si="5938"/>
        <v>0</v>
      </c>
      <c r="AV503" s="41">
        <f t="shared" ref="AV503:AW503" si="5939">-AV447</f>
        <v>0</v>
      </c>
      <c r="AW503" s="41">
        <f t="shared" si="5939"/>
        <v>0</v>
      </c>
      <c r="AX503" s="41">
        <f t="shared" ref="AX503:AY503" si="5940">-AX447</f>
        <v>0</v>
      </c>
      <c r="AY503" s="211">
        <f t="shared" si="5940"/>
        <v>0</v>
      </c>
      <c r="AZ503" s="41">
        <f t="shared" ref="AZ503:BA503" si="5941">-AZ447</f>
        <v>0</v>
      </c>
      <c r="BA503" s="41">
        <f t="shared" si="5941"/>
        <v>0</v>
      </c>
      <c r="BB503" s="41">
        <f t="shared" ref="BB503:BC503" si="5942">-BB447</f>
        <v>0</v>
      </c>
      <c r="BC503" s="41">
        <f t="shared" si="5942"/>
        <v>0</v>
      </c>
      <c r="BD503" s="41">
        <f t="shared" ref="BD503:BE503" si="5943">-BD447</f>
        <v>0</v>
      </c>
      <c r="BE503" s="41">
        <f t="shared" si="5943"/>
        <v>0</v>
      </c>
      <c r="BF503" s="41">
        <f t="shared" ref="BF503:BG503" si="5944">-BF447</f>
        <v>0</v>
      </c>
      <c r="BG503" s="41">
        <f t="shared" si="5944"/>
        <v>0</v>
      </c>
      <c r="BH503" s="41">
        <f t="shared" ref="BH503:BI503" si="5945">-BH447</f>
        <v>0</v>
      </c>
      <c r="BI503" s="41">
        <f t="shared" si="5945"/>
        <v>0</v>
      </c>
      <c r="BJ503" s="41">
        <f t="shared" ref="BJ503:BK503" si="5946">-BJ447</f>
        <v>0</v>
      </c>
      <c r="BK503" s="41">
        <f t="shared" si="5946"/>
        <v>0</v>
      </c>
      <c r="BL503" s="41">
        <f t="shared" ref="BL503:BM503" si="5947">-BL447</f>
        <v>0</v>
      </c>
      <c r="BM503" s="41">
        <f t="shared" si="5947"/>
        <v>0</v>
      </c>
      <c r="BN503" s="41">
        <f t="shared" ref="BN503:BO503" si="5948">-BN447</f>
        <v>0</v>
      </c>
      <c r="BO503" s="41">
        <f t="shared" si="5948"/>
        <v>0</v>
      </c>
      <c r="BP503" s="41">
        <f t="shared" ref="BP503:BQ503" si="5949">-BP447</f>
        <v>0</v>
      </c>
      <c r="BQ503" s="41">
        <f t="shared" si="5949"/>
        <v>0</v>
      </c>
      <c r="BR503" s="41"/>
      <c r="BS503" s="41">
        <f t="shared" ref="BS503:CB503" si="5950">-BS447</f>
        <v>0</v>
      </c>
      <c r="BT503" s="41">
        <f t="shared" si="5950"/>
        <v>0</v>
      </c>
      <c r="BU503" s="41">
        <f t="shared" si="5950"/>
        <v>0</v>
      </c>
      <c r="BV503" s="41">
        <f t="shared" si="5950"/>
        <v>0</v>
      </c>
      <c r="BW503" s="41">
        <f t="shared" si="5950"/>
        <v>0</v>
      </c>
      <c r="BX503" s="41">
        <f t="shared" si="5950"/>
        <v>0</v>
      </c>
      <c r="BY503" s="41">
        <f t="shared" si="5950"/>
        <v>0</v>
      </c>
      <c r="BZ503" s="41">
        <f t="shared" si="5950"/>
        <v>0</v>
      </c>
      <c r="CA503" s="41">
        <f t="shared" si="5950"/>
        <v>0</v>
      </c>
      <c r="CB503" s="41">
        <f t="shared" si="5950"/>
        <v>0</v>
      </c>
      <c r="CC503" s="41">
        <f t="shared" si="5787"/>
        <v>0</v>
      </c>
      <c r="CD503" s="41">
        <f t="shared" si="5788"/>
        <v>0</v>
      </c>
      <c r="CE503" s="41">
        <f t="shared" si="5789"/>
        <v>0</v>
      </c>
      <c r="CF503" s="41">
        <f t="shared" si="5790"/>
        <v>0</v>
      </c>
      <c r="CG503" s="41">
        <f t="shared" si="5791"/>
        <v>0</v>
      </c>
      <c r="CH503" s="41">
        <f t="shared" si="5792"/>
        <v>0</v>
      </c>
      <c r="CI503" s="41">
        <f t="shared" si="5793"/>
        <v>0</v>
      </c>
      <c r="CJ503" s="41">
        <f t="shared" si="5794"/>
        <v>0</v>
      </c>
      <c r="CK503" s="41">
        <f t="shared" si="5795"/>
        <v>0</v>
      </c>
      <c r="CL503" s="41">
        <f t="shared" si="5796"/>
        <v>0</v>
      </c>
      <c r="CM503" s="41">
        <f t="shared" si="5797"/>
        <v>0</v>
      </c>
      <c r="CN503" s="41">
        <f t="shared" si="5798"/>
        <v>0</v>
      </c>
      <c r="CO503" s="41">
        <f t="shared" si="5799"/>
        <v>0</v>
      </c>
      <c r="CP503" s="41">
        <f t="shared" si="5800"/>
        <v>0</v>
      </c>
      <c r="CQ503" s="41">
        <f t="shared" si="5801"/>
        <v>0</v>
      </c>
      <c r="CR503" s="41">
        <f t="shared" si="5802"/>
        <v>0</v>
      </c>
      <c r="CS503" s="41">
        <f t="shared" si="5803"/>
        <v>0</v>
      </c>
      <c r="CT503" s="41">
        <f t="shared" si="5804"/>
        <v>0</v>
      </c>
      <c r="CU503" s="41">
        <f t="shared" si="5805"/>
        <v>0</v>
      </c>
      <c r="CV503" s="41">
        <f t="shared" si="5806"/>
        <v>0</v>
      </c>
      <c r="CW503" s="41">
        <f t="shared" si="5807"/>
        <v>0</v>
      </c>
      <c r="CX503" s="41">
        <f t="shared" si="5808"/>
        <v>0</v>
      </c>
      <c r="CY503" s="41">
        <f t="shared" si="5809"/>
        <v>0</v>
      </c>
      <c r="CZ503" s="211">
        <f t="shared" si="5810"/>
        <v>0</v>
      </c>
      <c r="DA503" s="41">
        <f t="shared" si="5811"/>
        <v>0</v>
      </c>
      <c r="DB503" s="41">
        <f t="shared" si="5812"/>
        <v>0</v>
      </c>
      <c r="DC503" s="41">
        <f t="shared" si="5813"/>
        <v>0</v>
      </c>
      <c r="DD503" s="41">
        <f t="shared" si="5814"/>
        <v>0</v>
      </c>
      <c r="DE503" s="41">
        <f t="shared" si="5815"/>
        <v>0</v>
      </c>
      <c r="DF503" s="41">
        <f t="shared" si="5816"/>
        <v>0</v>
      </c>
      <c r="DG503" s="41">
        <f t="shared" si="5817"/>
        <v>0</v>
      </c>
      <c r="DH503" s="41">
        <f t="shared" si="5818"/>
        <v>0</v>
      </c>
      <c r="DI503" s="41">
        <f t="shared" si="5819"/>
        <v>0</v>
      </c>
    </row>
    <row r="504" spans="1:113" ht="12" hidden="1" outlineLevel="2">
      <c r="A504" s="1" t="s">
        <v>694</v>
      </c>
      <c r="B504" s="15" t="s">
        <v>371</v>
      </c>
      <c r="C504" s="41">
        <f>-C476</f>
        <v>0</v>
      </c>
      <c r="D504" s="41">
        <f>-D476</f>
        <v>0</v>
      </c>
      <c r="E504" s="41">
        <f>-E476</f>
        <v>0</v>
      </c>
      <c r="F504" s="41">
        <f t="shared" ref="F504:L504" si="5951">-F476</f>
        <v>0</v>
      </c>
      <c r="G504" s="41">
        <f t="shared" si="5951"/>
        <v>0</v>
      </c>
      <c r="H504" s="41">
        <f t="shared" si="5951"/>
        <v>0</v>
      </c>
      <c r="I504" s="41">
        <f t="shared" si="5951"/>
        <v>0</v>
      </c>
      <c r="J504" s="41">
        <f t="shared" si="5951"/>
        <v>0</v>
      </c>
      <c r="K504" s="41">
        <f t="shared" si="5951"/>
        <v>0</v>
      </c>
      <c r="L504" s="41">
        <f t="shared" si="5951"/>
        <v>0</v>
      </c>
      <c r="M504" s="41">
        <f t="shared" ref="M504:AB504" si="5952">-M476</f>
        <v>0</v>
      </c>
      <c r="N504" s="41">
        <f t="shared" si="5952"/>
        <v>0</v>
      </c>
      <c r="O504" s="41">
        <f t="shared" si="5952"/>
        <v>0</v>
      </c>
      <c r="P504" s="41">
        <f t="shared" si="5952"/>
        <v>0</v>
      </c>
      <c r="Q504" s="41">
        <f t="shared" si="5952"/>
        <v>0</v>
      </c>
      <c r="R504" s="41">
        <f t="shared" si="5952"/>
        <v>0</v>
      </c>
      <c r="S504" s="41">
        <f t="shared" si="5952"/>
        <v>0</v>
      </c>
      <c r="T504" s="41">
        <f t="shared" si="5952"/>
        <v>0</v>
      </c>
      <c r="U504" s="41">
        <f t="shared" si="5952"/>
        <v>0</v>
      </c>
      <c r="V504" s="41">
        <f t="shared" si="5952"/>
        <v>0</v>
      </c>
      <c r="W504" s="41">
        <f t="shared" si="5952"/>
        <v>0</v>
      </c>
      <c r="X504" s="41">
        <f t="shared" si="5952"/>
        <v>0</v>
      </c>
      <c r="Y504" s="41">
        <f>-Y476</f>
        <v>0</v>
      </c>
      <c r="Z504" s="41">
        <f t="shared" si="5952"/>
        <v>0</v>
      </c>
      <c r="AA504" s="41">
        <f t="shared" ref="AA504" si="5953">-AA476</f>
        <v>0</v>
      </c>
      <c r="AB504" s="41">
        <f t="shared" si="5952"/>
        <v>0</v>
      </c>
      <c r="AC504" s="41">
        <f t="shared" ref="AC504:AD504" si="5954">-AC476</f>
        <v>0</v>
      </c>
      <c r="AD504" s="41">
        <f t="shared" si="5954"/>
        <v>0</v>
      </c>
      <c r="AE504" s="41">
        <f t="shared" ref="AE504:AF504" si="5955">-AE476</f>
        <v>0</v>
      </c>
      <c r="AF504" s="41">
        <f t="shared" si="5955"/>
        <v>0</v>
      </c>
      <c r="AG504" s="41">
        <f t="shared" ref="AG504:AH504" si="5956">-AG476</f>
        <v>0</v>
      </c>
      <c r="AH504" s="41">
        <f t="shared" si="5956"/>
        <v>0</v>
      </c>
      <c r="AI504" s="41">
        <f t="shared" ref="AI504:AJ504" si="5957">-AI476</f>
        <v>0</v>
      </c>
      <c r="AJ504" s="41">
        <f t="shared" si="5957"/>
        <v>0</v>
      </c>
      <c r="AK504" s="41">
        <f t="shared" ref="AK504:AL504" si="5958">-AK476</f>
        <v>0</v>
      </c>
      <c r="AL504" s="41">
        <f t="shared" si="5958"/>
        <v>0</v>
      </c>
      <c r="AM504" s="41">
        <f t="shared" ref="AM504:AN504" si="5959">-AM476</f>
        <v>0</v>
      </c>
      <c r="AN504" s="41">
        <f t="shared" si="5959"/>
        <v>0</v>
      </c>
      <c r="AO504" s="41">
        <f t="shared" ref="AO504" si="5960">-AO476</f>
        <v>0</v>
      </c>
      <c r="AP504" s="41">
        <f t="shared" ref="AP504:AQ504" si="5961">-AP476</f>
        <v>0</v>
      </c>
      <c r="AQ504" s="41">
        <f t="shared" si="5961"/>
        <v>0</v>
      </c>
      <c r="AR504" s="41">
        <f t="shared" ref="AR504:AS504" si="5962">-AR476</f>
        <v>0</v>
      </c>
      <c r="AS504" s="41">
        <f t="shared" si="5962"/>
        <v>0</v>
      </c>
      <c r="AT504" s="41">
        <f t="shared" ref="AT504:AU504" si="5963">-AT476</f>
        <v>0</v>
      </c>
      <c r="AU504" s="41">
        <f t="shared" si="5963"/>
        <v>0</v>
      </c>
      <c r="AV504" s="41">
        <f t="shared" ref="AV504:AW504" si="5964">-AV476</f>
        <v>0</v>
      </c>
      <c r="AW504" s="41">
        <f t="shared" si="5964"/>
        <v>0</v>
      </c>
      <c r="AX504" s="41">
        <f t="shared" ref="AX504:AY504" si="5965">-AX476</f>
        <v>0</v>
      </c>
      <c r="AY504" s="211">
        <f t="shared" si="5965"/>
        <v>0</v>
      </c>
      <c r="AZ504" s="41">
        <f t="shared" ref="AZ504:BA504" si="5966">-AZ476</f>
        <v>0</v>
      </c>
      <c r="BA504" s="41">
        <f t="shared" si="5966"/>
        <v>0</v>
      </c>
      <c r="BB504" s="41">
        <f t="shared" ref="BB504:BC504" si="5967">-BB476</f>
        <v>0</v>
      </c>
      <c r="BC504" s="41">
        <f t="shared" si="5967"/>
        <v>0</v>
      </c>
      <c r="BD504" s="41">
        <f t="shared" ref="BD504:BE504" si="5968">-BD476</f>
        <v>0</v>
      </c>
      <c r="BE504" s="41">
        <f t="shared" si="5968"/>
        <v>0</v>
      </c>
      <c r="BF504" s="41">
        <f t="shared" ref="BF504:BG504" si="5969">-BF476</f>
        <v>0</v>
      </c>
      <c r="BG504" s="41">
        <f t="shared" si="5969"/>
        <v>0</v>
      </c>
      <c r="BH504" s="41">
        <f t="shared" ref="BH504:BI504" si="5970">-BH476</f>
        <v>0</v>
      </c>
      <c r="BI504" s="41">
        <f t="shared" si="5970"/>
        <v>0</v>
      </c>
      <c r="BJ504" s="41">
        <f t="shared" ref="BJ504:BK504" si="5971">-BJ476</f>
        <v>0</v>
      </c>
      <c r="BK504" s="41">
        <f t="shared" si="5971"/>
        <v>0</v>
      </c>
      <c r="BL504" s="41">
        <f t="shared" ref="BL504:BM504" si="5972">-BL476</f>
        <v>0</v>
      </c>
      <c r="BM504" s="41">
        <f t="shared" si="5972"/>
        <v>0</v>
      </c>
      <c r="BN504" s="41">
        <f t="shared" ref="BN504:BO504" si="5973">-BN476</f>
        <v>0</v>
      </c>
      <c r="BO504" s="41">
        <f t="shared" si="5973"/>
        <v>0</v>
      </c>
      <c r="BP504" s="41">
        <f t="shared" ref="BP504:BQ504" si="5974">-BP476</f>
        <v>0</v>
      </c>
      <c r="BQ504" s="41">
        <f t="shared" si="5974"/>
        <v>0</v>
      </c>
      <c r="BR504" s="41"/>
      <c r="BS504" s="41">
        <f t="shared" ref="BS504:CB504" si="5975">-BS476</f>
        <v>0</v>
      </c>
      <c r="BT504" s="41">
        <f t="shared" si="5975"/>
        <v>0</v>
      </c>
      <c r="BU504" s="41">
        <f t="shared" si="5975"/>
        <v>0</v>
      </c>
      <c r="BV504" s="41">
        <f t="shared" si="5975"/>
        <v>0</v>
      </c>
      <c r="BW504" s="41">
        <f t="shared" si="5975"/>
        <v>0</v>
      </c>
      <c r="BX504" s="41">
        <f t="shared" si="5975"/>
        <v>0</v>
      </c>
      <c r="BY504" s="41">
        <f t="shared" si="5975"/>
        <v>0</v>
      </c>
      <c r="BZ504" s="41">
        <f t="shared" si="5975"/>
        <v>0</v>
      </c>
      <c r="CA504" s="41">
        <f t="shared" si="5975"/>
        <v>0</v>
      </c>
      <c r="CB504" s="41">
        <f t="shared" si="5975"/>
        <v>0</v>
      </c>
      <c r="CC504" s="41">
        <f t="shared" si="5787"/>
        <v>0</v>
      </c>
      <c r="CD504" s="41">
        <f t="shared" si="5788"/>
        <v>0</v>
      </c>
      <c r="CE504" s="41">
        <f t="shared" si="5789"/>
        <v>0</v>
      </c>
      <c r="CF504" s="41">
        <f t="shared" si="5790"/>
        <v>0</v>
      </c>
      <c r="CG504" s="41">
        <f t="shared" si="5791"/>
        <v>0</v>
      </c>
      <c r="CH504" s="41">
        <f t="shared" si="5792"/>
        <v>0</v>
      </c>
      <c r="CI504" s="41">
        <f t="shared" si="5793"/>
        <v>0</v>
      </c>
      <c r="CJ504" s="41">
        <f t="shared" si="5794"/>
        <v>0</v>
      </c>
      <c r="CK504" s="41">
        <f t="shared" si="5795"/>
        <v>0</v>
      </c>
      <c r="CL504" s="41">
        <f t="shared" si="5796"/>
        <v>0</v>
      </c>
      <c r="CM504" s="41">
        <f t="shared" si="5797"/>
        <v>0</v>
      </c>
      <c r="CN504" s="41">
        <f t="shared" si="5798"/>
        <v>0</v>
      </c>
      <c r="CO504" s="41">
        <f t="shared" si="5799"/>
        <v>0</v>
      </c>
      <c r="CP504" s="41">
        <f t="shared" si="5800"/>
        <v>0</v>
      </c>
      <c r="CQ504" s="41">
        <f t="shared" si="5801"/>
        <v>0</v>
      </c>
      <c r="CR504" s="41">
        <f t="shared" si="5802"/>
        <v>0</v>
      </c>
      <c r="CS504" s="41">
        <f t="shared" si="5803"/>
        <v>0</v>
      </c>
      <c r="CT504" s="41">
        <f t="shared" si="5804"/>
        <v>0</v>
      </c>
      <c r="CU504" s="41">
        <f t="shared" si="5805"/>
        <v>0</v>
      </c>
      <c r="CV504" s="41">
        <f t="shared" si="5806"/>
        <v>0</v>
      </c>
      <c r="CW504" s="41">
        <f t="shared" si="5807"/>
        <v>0</v>
      </c>
      <c r="CX504" s="41">
        <f t="shared" si="5808"/>
        <v>0</v>
      </c>
      <c r="CY504" s="41">
        <f t="shared" si="5809"/>
        <v>0</v>
      </c>
      <c r="CZ504" s="211">
        <f t="shared" si="5810"/>
        <v>0</v>
      </c>
      <c r="DA504" s="41">
        <f t="shared" si="5811"/>
        <v>0</v>
      </c>
      <c r="DB504" s="41">
        <f t="shared" si="5812"/>
        <v>0</v>
      </c>
      <c r="DC504" s="41">
        <f t="shared" si="5813"/>
        <v>0</v>
      </c>
      <c r="DD504" s="41">
        <f t="shared" si="5814"/>
        <v>0</v>
      </c>
      <c r="DE504" s="41">
        <f t="shared" si="5815"/>
        <v>0</v>
      </c>
      <c r="DF504" s="41">
        <f t="shared" si="5816"/>
        <v>0</v>
      </c>
      <c r="DG504" s="41">
        <f t="shared" si="5817"/>
        <v>0</v>
      </c>
      <c r="DH504" s="41">
        <f t="shared" si="5818"/>
        <v>0</v>
      </c>
      <c r="DI504" s="41">
        <f t="shared" si="5819"/>
        <v>0</v>
      </c>
    </row>
    <row r="505" spans="1:113" ht="12" hidden="1" outlineLevel="2">
      <c r="A505" s="1" t="s">
        <v>58</v>
      </c>
      <c r="B505" s="15" t="s">
        <v>425</v>
      </c>
      <c r="C505" s="40">
        <f>-468-1-60-C506</f>
        <v>0</v>
      </c>
      <c r="D505" s="40">
        <f>-427-60-2-D506</f>
        <v>0</v>
      </c>
      <c r="E505" s="40">
        <f>-880-3-117-D506-E506</f>
        <v>0</v>
      </c>
      <c r="F505" s="40">
        <f>-444-54-2-F506</f>
        <v>0</v>
      </c>
      <c r="G505" s="40">
        <f>-926-102-3-F506-G506</f>
        <v>0</v>
      </c>
      <c r="H505" s="40">
        <f>-578-3-64+28-H506</f>
        <v>0</v>
      </c>
      <c r="I505" s="40">
        <f>-1175-98-4+28-H506-I506</f>
        <v>0</v>
      </c>
      <c r="J505" s="40">
        <f>-611-1-6-J506</f>
        <v>0</v>
      </c>
      <c r="K505" s="40">
        <f>-1247-3-18-J506-K506</f>
        <v>0</v>
      </c>
      <c r="L505" s="40">
        <f>(716+1+12)+L506</f>
        <v>0</v>
      </c>
      <c r="M505" s="40">
        <f>(770+3+15)+M506</f>
        <v>0</v>
      </c>
      <c r="N505" s="40">
        <f>(817+2+17)+N506</f>
        <v>0</v>
      </c>
      <c r="O505" s="40">
        <f>(799+5+20)+O506</f>
        <v>0</v>
      </c>
      <c r="P505" s="40">
        <f>(678+105+3+23)+P506</f>
        <v>24</v>
      </c>
      <c r="Q505" s="40">
        <f>(388+5+23)+Q506</f>
        <v>-218</v>
      </c>
      <c r="R505" s="40">
        <f>(480+7+4+24)+R506</f>
        <v>-262</v>
      </c>
      <c r="S505" s="40">
        <f>(862-2+9)+S506</f>
        <v>142</v>
      </c>
      <c r="T505" s="40">
        <f>(934+2+6)+T506</f>
        <v>14</v>
      </c>
      <c r="U505" s="40">
        <f>(1055+4+5)+U506</f>
        <v>15</v>
      </c>
      <c r="V505" s="40">
        <f>(1094+5+6)+V506</f>
        <v>0</v>
      </c>
      <c r="W505" s="40">
        <f>(1073+3+6)+W506</f>
        <v>0</v>
      </c>
      <c r="X505" s="40">
        <f>(1117+4+7)+X506</f>
        <v>0</v>
      </c>
      <c r="Y505" s="40">
        <f>(1118+2+4+53)+Y506</f>
        <v>53</v>
      </c>
      <c r="Z505" s="141">
        <v>0</v>
      </c>
      <c r="AA505" s="141">
        <v>0</v>
      </c>
      <c r="AB505" s="141">
        <v>0</v>
      </c>
      <c r="AC505" s="141">
        <v>0</v>
      </c>
      <c r="AD505" s="141">
        <v>0</v>
      </c>
      <c r="AE505" s="141">
        <v>0</v>
      </c>
      <c r="AF505" s="141">
        <v>0</v>
      </c>
      <c r="AG505" s="141">
        <v>0</v>
      </c>
      <c r="AH505" s="141">
        <v>0</v>
      </c>
      <c r="AI505" s="141">
        <v>0</v>
      </c>
      <c r="AJ505" s="141">
        <v>0</v>
      </c>
      <c r="AK505" s="141">
        <v>0</v>
      </c>
      <c r="AL505" s="141">
        <v>0</v>
      </c>
      <c r="AM505" s="141">
        <v>0</v>
      </c>
      <c r="AN505" s="141">
        <v>0</v>
      </c>
      <c r="AO505" s="141">
        <v>0</v>
      </c>
      <c r="AP505" s="141">
        <v>0</v>
      </c>
      <c r="AQ505" s="141">
        <v>0</v>
      </c>
      <c r="AR505" s="141">
        <v>0</v>
      </c>
      <c r="AS505" s="141">
        <v>0</v>
      </c>
      <c r="AT505" s="141">
        <v>0</v>
      </c>
      <c r="AU505" s="141">
        <v>0</v>
      </c>
      <c r="AV505" s="141">
        <v>0</v>
      </c>
      <c r="AW505" s="141">
        <v>0</v>
      </c>
      <c r="AX505" s="141">
        <v>0</v>
      </c>
      <c r="AY505" s="226">
        <v>0</v>
      </c>
      <c r="AZ505" s="210">
        <v>0</v>
      </c>
      <c r="BA505" s="210">
        <v>0</v>
      </c>
      <c r="BB505" s="210">
        <v>0</v>
      </c>
      <c r="BC505" s="210">
        <v>0</v>
      </c>
      <c r="BD505" s="210">
        <v>0</v>
      </c>
      <c r="BE505" s="210">
        <v>0</v>
      </c>
      <c r="BF505" s="210">
        <v>0</v>
      </c>
      <c r="BG505" s="210">
        <v>0</v>
      </c>
      <c r="BH505" s="210">
        <v>0</v>
      </c>
      <c r="BI505" s="210">
        <v>0</v>
      </c>
      <c r="BJ505" s="210">
        <v>0</v>
      </c>
      <c r="BK505" s="210">
        <v>0</v>
      </c>
      <c r="BL505" s="210">
        <v>0</v>
      </c>
      <c r="BM505" s="210">
        <v>0</v>
      </c>
      <c r="BN505" s="210">
        <v>0</v>
      </c>
      <c r="BO505" s="210">
        <v>0</v>
      </c>
      <c r="BP505" s="210">
        <v>0</v>
      </c>
      <c r="BQ505" s="210">
        <v>0</v>
      </c>
      <c r="BR505" s="41"/>
      <c r="BS505" s="40">
        <v>0</v>
      </c>
      <c r="BT505" s="40">
        <v>0</v>
      </c>
      <c r="BU505" s="40">
        <v>0</v>
      </c>
      <c r="BV505" s="40">
        <v>0</v>
      </c>
      <c r="BW505" s="40">
        <v>0</v>
      </c>
      <c r="BX505" s="40">
        <v>0</v>
      </c>
      <c r="BY505" s="40">
        <v>0</v>
      </c>
      <c r="BZ505" s="40">
        <v>0</v>
      </c>
      <c r="CA505" s="40">
        <v>0</v>
      </c>
      <c r="CB505" s="40">
        <v>0</v>
      </c>
      <c r="CC505" s="41">
        <f t="shared" si="5787"/>
        <v>0</v>
      </c>
      <c r="CD505" s="41">
        <f t="shared" si="5788"/>
        <v>0</v>
      </c>
      <c r="CE505" s="41">
        <f t="shared" si="5789"/>
        <v>0</v>
      </c>
      <c r="CF505" s="41">
        <f t="shared" si="5790"/>
        <v>0</v>
      </c>
      <c r="CG505" s="41">
        <f t="shared" si="5791"/>
        <v>0</v>
      </c>
      <c r="CH505" s="41">
        <f t="shared" si="5792"/>
        <v>0</v>
      </c>
      <c r="CI505" s="41">
        <f t="shared" si="5793"/>
        <v>-194</v>
      </c>
      <c r="CJ505" s="41">
        <f t="shared" si="5794"/>
        <v>-120</v>
      </c>
      <c r="CK505" s="41">
        <f t="shared" si="5795"/>
        <v>29</v>
      </c>
      <c r="CL505" s="41">
        <f t="shared" si="5796"/>
        <v>0</v>
      </c>
      <c r="CM505" s="41">
        <f t="shared" si="5797"/>
        <v>53</v>
      </c>
      <c r="CN505" s="41">
        <f t="shared" si="5798"/>
        <v>0</v>
      </c>
      <c r="CO505" s="41">
        <f t="shared" si="5799"/>
        <v>0</v>
      </c>
      <c r="CP505" s="41">
        <f t="shared" si="5800"/>
        <v>0</v>
      </c>
      <c r="CQ505" s="41">
        <f t="shared" si="5801"/>
        <v>0</v>
      </c>
      <c r="CR505" s="41">
        <f t="shared" si="5802"/>
        <v>0</v>
      </c>
      <c r="CS505" s="41">
        <f t="shared" si="5803"/>
        <v>0</v>
      </c>
      <c r="CT505" s="41">
        <f t="shared" si="5804"/>
        <v>0</v>
      </c>
      <c r="CU505" s="41">
        <f t="shared" si="5805"/>
        <v>0</v>
      </c>
      <c r="CV505" s="41">
        <f t="shared" si="5806"/>
        <v>0</v>
      </c>
      <c r="CW505" s="41">
        <f t="shared" si="5807"/>
        <v>0</v>
      </c>
      <c r="CX505" s="41">
        <f t="shared" si="5808"/>
        <v>0</v>
      </c>
      <c r="CY505" s="41">
        <f t="shared" si="5809"/>
        <v>0</v>
      </c>
      <c r="CZ505" s="211">
        <f t="shared" si="5810"/>
        <v>0</v>
      </c>
      <c r="DA505" s="41">
        <f t="shared" si="5811"/>
        <v>0</v>
      </c>
      <c r="DB505" s="41">
        <f t="shared" si="5812"/>
        <v>0</v>
      </c>
      <c r="DC505" s="41">
        <f t="shared" si="5813"/>
        <v>0</v>
      </c>
      <c r="DD505" s="41">
        <f t="shared" si="5814"/>
        <v>0</v>
      </c>
      <c r="DE505" s="41">
        <f t="shared" si="5815"/>
        <v>0</v>
      </c>
      <c r="DF505" s="41">
        <f t="shared" si="5816"/>
        <v>0</v>
      </c>
      <c r="DG505" s="41">
        <f t="shared" si="5817"/>
        <v>0</v>
      </c>
      <c r="DH505" s="41">
        <f t="shared" si="5818"/>
        <v>0</v>
      </c>
      <c r="DI505" s="41">
        <f t="shared" si="5819"/>
        <v>0</v>
      </c>
    </row>
    <row r="506" spans="1:113" s="17" customFormat="1" ht="12" hidden="1" outlineLevel="2">
      <c r="A506" s="1" t="s">
        <v>59</v>
      </c>
      <c r="B506" s="17" t="s">
        <v>265</v>
      </c>
      <c r="C506" s="61">
        <f>-468-1-60</f>
        <v>-529</v>
      </c>
      <c r="D506" s="61">
        <f>-427-60-2</f>
        <v>-489</v>
      </c>
      <c r="E506" s="61">
        <f>-880-3-117-D506</f>
        <v>-511</v>
      </c>
      <c r="F506" s="61">
        <f>-444-54-2</f>
        <v>-500</v>
      </c>
      <c r="G506" s="61">
        <f>-926-102-3-F506</f>
        <v>-531</v>
      </c>
      <c r="H506" s="61">
        <f>-578-3-64+28</f>
        <v>-617</v>
      </c>
      <c r="I506" s="61">
        <f>-1175-98-4+28-H506</f>
        <v>-632</v>
      </c>
      <c r="J506" s="61">
        <f>-611-1-6</f>
        <v>-618</v>
      </c>
      <c r="K506" s="61">
        <f>-1247-3-18-J506</f>
        <v>-650</v>
      </c>
      <c r="L506" s="61">
        <f>(-716-1-12)</f>
        <v>-729</v>
      </c>
      <c r="M506" s="61">
        <f>(-770-3-15)</f>
        <v>-788</v>
      </c>
      <c r="N506" s="61">
        <f>(-817-17-2)</f>
        <v>-836</v>
      </c>
      <c r="O506" s="61">
        <f>(-799-20-5)</f>
        <v>-824</v>
      </c>
      <c r="P506" s="61">
        <f>(-759-3-23)</f>
        <v>-785</v>
      </c>
      <c r="Q506" s="61">
        <f>(-606-5-23)</f>
        <v>-634</v>
      </c>
      <c r="R506" s="61">
        <f>(-749-4-24)</f>
        <v>-777</v>
      </c>
      <c r="S506" s="61">
        <f>(-720+2-9)</f>
        <v>-727</v>
      </c>
      <c r="T506" s="61">
        <f>-(920+2+6)</f>
        <v>-928</v>
      </c>
      <c r="U506" s="61">
        <f>-(1040+4+5)-0-0</f>
        <v>-1049</v>
      </c>
      <c r="V506" s="61">
        <f>-(1094+5+6)-0-0</f>
        <v>-1105</v>
      </c>
      <c r="W506" s="61">
        <f>-(1073+3+6)-0-0</f>
        <v>-1082</v>
      </c>
      <c r="X506" s="61">
        <f>-(1117+4+7)-0-0</f>
        <v>-1128</v>
      </c>
      <c r="Y506" s="61">
        <f>-(1118+4+2)-0-0</f>
        <v>-1124</v>
      </c>
      <c r="Z506" s="194">
        <f>-(1265+5+3)</f>
        <v>-1273</v>
      </c>
      <c r="AA506" s="194">
        <f>-(1170+5+3)</f>
        <v>-1178</v>
      </c>
      <c r="AB506" s="194">
        <f>-(1333+6+3)</f>
        <v>-1342</v>
      </c>
      <c r="AC506" s="194">
        <f>-(1367+6+3)</f>
        <v>-1376</v>
      </c>
      <c r="AD506" s="194">
        <f>-(1398+8+1)</f>
        <v>-1407</v>
      </c>
      <c r="AE506" s="194">
        <f>-(1326+6)</f>
        <v>-1332</v>
      </c>
      <c r="AF506" s="194">
        <f>-(1133+4)</f>
        <v>-1137</v>
      </c>
      <c r="AG506" s="194">
        <f>-1166-7</f>
        <v>-1173</v>
      </c>
      <c r="AH506" s="194">
        <f>-1406-8</f>
        <v>-1414</v>
      </c>
      <c r="AI506" s="194">
        <f>-1420-7</f>
        <v>-1427</v>
      </c>
      <c r="AJ506" s="194">
        <f>-1489-7</f>
        <v>-1496</v>
      </c>
      <c r="AK506" s="194">
        <f>-1286-9</f>
        <v>-1295</v>
      </c>
      <c r="AL506" s="194">
        <f>-1415-9</f>
        <v>-1424</v>
      </c>
      <c r="AM506" s="194">
        <f>-1263-6</f>
        <v>-1269</v>
      </c>
      <c r="AN506" s="194">
        <f>-886-1</f>
        <v>-887</v>
      </c>
      <c r="AO506" s="194">
        <f>-986-0</f>
        <v>-986</v>
      </c>
      <c r="AP506" s="194">
        <f>-1442-0</f>
        <v>-1442</v>
      </c>
      <c r="AQ506" s="194">
        <f>-1322-1</f>
        <v>-1323</v>
      </c>
      <c r="AR506" s="194">
        <v>-1328</v>
      </c>
      <c r="AS506" s="194">
        <v>-1357</v>
      </c>
      <c r="AT506" s="194">
        <f>-1567-14</f>
        <v>-1581</v>
      </c>
      <c r="AU506" s="194">
        <f>-1513-14</f>
        <v>-1527</v>
      </c>
      <c r="AV506" s="194">
        <f>-1496-14</f>
        <v>-1510</v>
      </c>
      <c r="AW506" s="194">
        <f>-1406-21</f>
        <v>-1427</v>
      </c>
      <c r="AX506" s="194">
        <f>-1519-21</f>
        <v>-1540</v>
      </c>
      <c r="AY506" s="227">
        <f>-1231-20</f>
        <v>-1251</v>
      </c>
      <c r="AZ506" s="62">
        <f t="shared" ref="AZ506:BA506" si="5976">SUM(AZ500:AZ505)</f>
        <v>-1646.1124110321839</v>
      </c>
      <c r="BA506" s="62">
        <f t="shared" si="5976"/>
        <v>-1631.5823557066201</v>
      </c>
      <c r="BB506" s="62">
        <f t="shared" ref="BB506:BC506" si="5977">SUM(BB500:BB505)</f>
        <v>-1705.1128463160414</v>
      </c>
      <c r="BC506" s="62">
        <f t="shared" si="5977"/>
        <v>-1561.2329513651312</v>
      </c>
      <c r="BD506" s="62">
        <f t="shared" ref="BD506:BE506" si="5978">SUM(BD500:BD505)</f>
        <v>-1745.1163015234399</v>
      </c>
      <c r="BE506" s="62">
        <f t="shared" si="5978"/>
        <v>-1618.9473379990218</v>
      </c>
      <c r="BF506" s="62">
        <f t="shared" ref="BF506:BG506" si="5979">SUM(BF500:BF505)</f>
        <v>-1794.9217521436531</v>
      </c>
      <c r="BG506" s="62">
        <f t="shared" si="5979"/>
        <v>-1694.2256376533287</v>
      </c>
      <c r="BH506" s="62">
        <f t="shared" ref="BH506:BI506" si="5980">SUM(BH500:BH505)</f>
        <v>-1837.9712255735046</v>
      </c>
      <c r="BI506" s="62">
        <f t="shared" si="5980"/>
        <v>-1721.6955804797958</v>
      </c>
      <c r="BJ506" s="62">
        <f t="shared" ref="BJ506:BK506" si="5981">SUM(BJ500:BJ505)</f>
        <v>-1899.0668114550904</v>
      </c>
      <c r="BK506" s="62">
        <f t="shared" si="5981"/>
        <v>-1860.3135019845981</v>
      </c>
      <c r="BL506" s="62">
        <f t="shared" ref="BL506:BM506" si="5982">SUM(BL500:BL505)</f>
        <v>-1952.2036566143604</v>
      </c>
      <c r="BM506" s="62">
        <f t="shared" si="5982"/>
        <v>-1876.4159286175789</v>
      </c>
      <c r="BN506" s="62">
        <f t="shared" ref="BN506:BO506" si="5983">SUM(BN500:BN505)</f>
        <v>-1961.0122574589657</v>
      </c>
      <c r="BO506" s="62">
        <f t="shared" si="5983"/>
        <v>-1902.3987239024596</v>
      </c>
      <c r="BP506" s="62">
        <f t="shared" ref="BP506:BQ506" si="5984">SUM(BP500:BP505)</f>
        <v>-1993.2530033159728</v>
      </c>
      <c r="BQ506" s="62">
        <f t="shared" si="5984"/>
        <v>-1951.5758956291595</v>
      </c>
      <c r="BR506" s="62"/>
      <c r="BS506" s="61">
        <f>146-5-79.4</f>
        <v>61.599999999999994</v>
      </c>
      <c r="BT506" s="61">
        <f>-193-79.4-7.5</f>
        <v>-279.89999999999998</v>
      </c>
      <c r="BU506" s="61">
        <f>-388-7-80</f>
        <v>-475</v>
      </c>
      <c r="BV506" s="61">
        <f>-442-10-80</f>
        <v>-532</v>
      </c>
      <c r="BW506" s="61">
        <f>-469-9</f>
        <v>-478</v>
      </c>
      <c r="BX506" s="61">
        <f>-466-8</f>
        <v>-474</v>
      </c>
      <c r="BY506" s="61">
        <f>-576-9</f>
        <v>-585</v>
      </c>
      <c r="BZ506" s="61">
        <f>-736-72-6</f>
        <v>-814</v>
      </c>
      <c r="CA506" s="61">
        <f>-863-102-2</f>
        <v>-967</v>
      </c>
      <c r="CB506" s="61">
        <f>-911-119-2</f>
        <v>-1032</v>
      </c>
      <c r="CC506" s="62">
        <f t="shared" si="5787"/>
        <v>-1000</v>
      </c>
      <c r="CD506" s="62">
        <f t="shared" si="5788"/>
        <v>-1031</v>
      </c>
      <c r="CE506" s="62">
        <f t="shared" si="5789"/>
        <v>-1249</v>
      </c>
      <c r="CF506" s="62">
        <f t="shared" si="5790"/>
        <v>-1268</v>
      </c>
      <c r="CG506" s="62">
        <f t="shared" si="5791"/>
        <v>-1517</v>
      </c>
      <c r="CH506" s="62">
        <f t="shared" si="5792"/>
        <v>-1660</v>
      </c>
      <c r="CI506" s="62">
        <f t="shared" si="5793"/>
        <v>-1419</v>
      </c>
      <c r="CJ506" s="62">
        <f t="shared" si="5794"/>
        <v>-1504</v>
      </c>
      <c r="CK506" s="62">
        <f t="shared" si="5795"/>
        <v>-1977</v>
      </c>
      <c r="CL506" s="62">
        <f t="shared" si="5796"/>
        <v>-2187</v>
      </c>
      <c r="CM506" s="62">
        <f t="shared" si="5797"/>
        <v>-2252</v>
      </c>
      <c r="CN506" s="62">
        <f t="shared" si="5798"/>
        <v>-2451</v>
      </c>
      <c r="CO506" s="62">
        <f t="shared" si="5799"/>
        <v>-2718</v>
      </c>
      <c r="CP506" s="62">
        <f t="shared" si="5800"/>
        <v>-2739</v>
      </c>
      <c r="CQ506" s="62">
        <f t="shared" si="5801"/>
        <v>-2310</v>
      </c>
      <c r="CR506" s="62">
        <f t="shared" si="5802"/>
        <v>-2841</v>
      </c>
      <c r="CS506" s="62">
        <f t="shared" si="5803"/>
        <v>-2791</v>
      </c>
      <c r="CT506" s="62">
        <f t="shared" si="5804"/>
        <v>-2693</v>
      </c>
      <c r="CU506" s="62">
        <f t="shared" si="5805"/>
        <v>-1873</v>
      </c>
      <c r="CV506" s="62">
        <f t="shared" si="5806"/>
        <v>-2765</v>
      </c>
      <c r="CW506" s="62">
        <f t="shared" si="5807"/>
        <v>-2685</v>
      </c>
      <c r="CX506" s="62">
        <f t="shared" si="5808"/>
        <v>-3108</v>
      </c>
      <c r="CY506" s="62">
        <f t="shared" si="5809"/>
        <v>-2937</v>
      </c>
      <c r="CZ506" s="220">
        <f t="shared" si="5810"/>
        <v>-2791</v>
      </c>
      <c r="DA506" s="62">
        <f t="shared" si="5811"/>
        <v>-3277.694766738804</v>
      </c>
      <c r="DB506" s="62">
        <f t="shared" si="5812"/>
        <v>-3266.3457976811724</v>
      </c>
      <c r="DC506" s="62">
        <f t="shared" si="5813"/>
        <v>-3364.0636395224619</v>
      </c>
      <c r="DD506" s="62">
        <f t="shared" si="5814"/>
        <v>-3489.1473897969818</v>
      </c>
      <c r="DE506" s="62">
        <f t="shared" si="5815"/>
        <v>-3559.6668060533002</v>
      </c>
      <c r="DF506" s="62">
        <f t="shared" si="5816"/>
        <v>-3759.3803134396885</v>
      </c>
      <c r="DG506" s="62">
        <f t="shared" si="5817"/>
        <v>-3828.6195852319393</v>
      </c>
      <c r="DH506" s="62">
        <f t="shared" si="5818"/>
        <v>-3863.410981361425</v>
      </c>
      <c r="DI506" s="62">
        <f t="shared" si="5819"/>
        <v>-3944.8288989451321</v>
      </c>
    </row>
    <row r="507" spans="1:113" ht="12" hidden="1" outlineLevel="2">
      <c r="A507" s="1" t="s">
        <v>328</v>
      </c>
      <c r="B507" s="15" t="s">
        <v>529</v>
      </c>
      <c r="C507" s="41">
        <f>C509-C506-C508</f>
        <v>60</v>
      </c>
      <c r="D507" s="41">
        <f>D509-D506-D508</f>
        <v>46</v>
      </c>
      <c r="E507" s="41">
        <f t="shared" ref="E507:L507" si="5985">E509-E506-E508</f>
        <v>53</v>
      </c>
      <c r="F507" s="41">
        <f t="shared" si="5985"/>
        <v>54</v>
      </c>
      <c r="G507" s="41">
        <f t="shared" si="5985"/>
        <v>48</v>
      </c>
      <c r="H507" s="41">
        <f t="shared" si="5985"/>
        <v>36</v>
      </c>
      <c r="I507" s="41">
        <f t="shared" si="5985"/>
        <v>34</v>
      </c>
      <c r="J507" s="41">
        <f t="shared" si="5985"/>
        <v>27</v>
      </c>
      <c r="K507" s="41">
        <f t="shared" si="5985"/>
        <v>18</v>
      </c>
      <c r="L507" s="41">
        <f t="shared" si="5985"/>
        <v>-14</v>
      </c>
      <c r="M507" s="41">
        <f t="shared" ref="M507:X507" si="5986">M509-M506-M508</f>
        <v>5</v>
      </c>
      <c r="N507" s="41">
        <f t="shared" si="5986"/>
        <v>-49</v>
      </c>
      <c r="O507" s="41">
        <f t="shared" si="5986"/>
        <v>24</v>
      </c>
      <c r="P507" s="41">
        <f t="shared" si="5986"/>
        <v>-8</v>
      </c>
      <c r="Q507" s="41">
        <f t="shared" si="5986"/>
        <v>231</v>
      </c>
      <c r="R507" s="41">
        <f t="shared" si="5986"/>
        <v>90</v>
      </c>
      <c r="S507" s="41">
        <f t="shared" si="5986"/>
        <v>-23</v>
      </c>
      <c r="T507" s="41">
        <f t="shared" si="5986"/>
        <v>100</v>
      </c>
      <c r="U507" s="41">
        <f t="shared" si="5986"/>
        <v>-223</v>
      </c>
      <c r="V507" s="41">
        <f t="shared" si="5986"/>
        <v>-135</v>
      </c>
      <c r="W507" s="41">
        <f t="shared" si="5986"/>
        <v>5</v>
      </c>
      <c r="X507" s="41">
        <f t="shared" si="5986"/>
        <v>-99</v>
      </c>
      <c r="Y507" s="41">
        <f t="shared" ref="Y507:AD507" si="5987">Y509-Y506-Y508</f>
        <v>18</v>
      </c>
      <c r="Z507" s="41">
        <f t="shared" si="5987"/>
        <v>-94</v>
      </c>
      <c r="AA507" s="41">
        <f t="shared" si="5987"/>
        <v>-203</v>
      </c>
      <c r="AB507" s="41">
        <f t="shared" si="5987"/>
        <v>13</v>
      </c>
      <c r="AC507" s="41">
        <f t="shared" si="5987"/>
        <v>-244.5</v>
      </c>
      <c r="AD507" s="41">
        <f t="shared" si="5987"/>
        <v>-230</v>
      </c>
      <c r="AE507" s="41">
        <f t="shared" ref="AE507:AF507" si="5988">AE509-AE506-AE508</f>
        <v>-71</v>
      </c>
      <c r="AF507" s="41">
        <f t="shared" si="5988"/>
        <v>-7</v>
      </c>
      <c r="AG507" s="41">
        <f t="shared" ref="AG507:AH507" si="5989">AG509-AG506-AG508</f>
        <v>-152</v>
      </c>
      <c r="AH507" s="41">
        <f t="shared" si="5989"/>
        <v>-221</v>
      </c>
      <c r="AI507" s="41">
        <f t="shared" ref="AI507:AJ507" si="5990">AI509-AI506-AI508</f>
        <v>-159</v>
      </c>
      <c r="AJ507" s="41">
        <f t="shared" si="5990"/>
        <v>-65</v>
      </c>
      <c r="AK507" s="41">
        <f t="shared" ref="AK507:AL507" si="5991">AK509-AK506-AK508</f>
        <v>-176</v>
      </c>
      <c r="AL507" s="41">
        <f t="shared" si="5991"/>
        <v>139</v>
      </c>
      <c r="AM507" s="41">
        <f t="shared" ref="AM507:AN507" si="5992">AM509-AM506-AM508</f>
        <v>-134</v>
      </c>
      <c r="AN507" s="41">
        <f t="shared" si="5992"/>
        <v>52</v>
      </c>
      <c r="AO507" s="41">
        <f t="shared" ref="AO507" si="5993">AO509-AO506-AO508</f>
        <v>133</v>
      </c>
      <c r="AP507" s="41">
        <f t="shared" ref="AP507:AQ507" si="5994">AP509-AP506-AP508</f>
        <v>20</v>
      </c>
      <c r="AQ507" s="41">
        <f t="shared" si="5994"/>
        <v>-18</v>
      </c>
      <c r="AR507" s="41">
        <f t="shared" ref="AR507:AS507" si="5995">AR509-AR506-AR508</f>
        <v>-177</v>
      </c>
      <c r="AS507" s="41">
        <f t="shared" si="5995"/>
        <v>-98</v>
      </c>
      <c r="AT507" s="41">
        <f t="shared" ref="AT507:AU507" si="5996">AT509-AT506-AT508</f>
        <v>115</v>
      </c>
      <c r="AU507" s="41">
        <f t="shared" si="5996"/>
        <v>12</v>
      </c>
      <c r="AV507" s="41">
        <f t="shared" ref="AV507:AW507" si="5997">AV509-AV506-AV508</f>
        <v>57</v>
      </c>
      <c r="AW507" s="41">
        <f t="shared" si="5997"/>
        <v>15</v>
      </c>
      <c r="AX507" s="41">
        <f t="shared" ref="AX507:AY507" si="5998">AX509-AX506-AX508</f>
        <v>-28</v>
      </c>
      <c r="AY507" s="211">
        <f t="shared" si="5998"/>
        <v>-12</v>
      </c>
      <c r="AZ507" s="210">
        <f t="shared" ref="AZ507:BC507" si="5999">AZ523-AZ491</f>
        <v>0</v>
      </c>
      <c r="BA507" s="210">
        <f t="shared" si="5999"/>
        <v>0</v>
      </c>
      <c r="BB507" s="210">
        <f t="shared" si="5999"/>
        <v>0</v>
      </c>
      <c r="BC507" s="210">
        <f t="shared" si="5999"/>
        <v>0</v>
      </c>
      <c r="BD507" s="210">
        <f t="shared" ref="BD507:BE507" si="6000">BD523-BD491</f>
        <v>0</v>
      </c>
      <c r="BE507" s="210">
        <f t="shared" si="6000"/>
        <v>0</v>
      </c>
      <c r="BF507" s="210">
        <f t="shared" ref="BF507:BG507" si="6001">BF523-BF491</f>
        <v>0</v>
      </c>
      <c r="BG507" s="210">
        <f t="shared" si="6001"/>
        <v>0</v>
      </c>
      <c r="BH507" s="210">
        <f t="shared" ref="BH507:BI507" si="6002">BH523-BH491</f>
        <v>0</v>
      </c>
      <c r="BI507" s="210">
        <f t="shared" si="6002"/>
        <v>0</v>
      </c>
      <c r="BJ507" s="210">
        <f t="shared" ref="BJ507:BK507" si="6003">BJ523-BJ491</f>
        <v>0</v>
      </c>
      <c r="BK507" s="210">
        <f t="shared" si="6003"/>
        <v>0</v>
      </c>
      <c r="BL507" s="210">
        <f t="shared" ref="BL507:BM507" si="6004">BL523-BL491</f>
        <v>0</v>
      </c>
      <c r="BM507" s="210">
        <f t="shared" si="6004"/>
        <v>0</v>
      </c>
      <c r="BN507" s="210">
        <f t="shared" ref="BN507:BO507" si="6005">BN523-BN491</f>
        <v>0</v>
      </c>
      <c r="BO507" s="210">
        <f t="shared" si="6005"/>
        <v>0</v>
      </c>
      <c r="BP507" s="210">
        <f t="shared" ref="BP507:BQ507" si="6006">BP523-BP491</f>
        <v>0</v>
      </c>
      <c r="BQ507" s="210">
        <f t="shared" si="6006"/>
        <v>0</v>
      </c>
      <c r="BR507" s="41"/>
      <c r="BS507" s="41">
        <f t="shared" ref="BS507:CB507" si="6007">BS509-BS506-BS508</f>
        <v>66.800000000000011</v>
      </c>
      <c r="BT507" s="41">
        <f t="shared" si="6007"/>
        <v>38.699999999999989</v>
      </c>
      <c r="BU507" s="41">
        <f t="shared" si="6007"/>
        <v>78</v>
      </c>
      <c r="BV507" s="41">
        <f t="shared" si="6007"/>
        <v>99</v>
      </c>
      <c r="BW507" s="41">
        <f t="shared" si="6007"/>
        <v>0</v>
      </c>
      <c r="BX507" s="41">
        <f t="shared" si="6007"/>
        <v>35</v>
      </c>
      <c r="BY507" s="41">
        <f t="shared" si="6007"/>
        <v>33</v>
      </c>
      <c r="BZ507" s="41">
        <f t="shared" si="6007"/>
        <v>72</v>
      </c>
      <c r="CA507" s="41">
        <f t="shared" si="6007"/>
        <v>-75</v>
      </c>
      <c r="CB507" s="41">
        <f t="shared" si="6007"/>
        <v>119</v>
      </c>
      <c r="CC507" s="41">
        <f t="shared" ref="CC507:CI507" si="6008">CC509-CC506-CC508</f>
        <v>6</v>
      </c>
      <c r="CD507" s="41">
        <f t="shared" si="6008"/>
        <v>102</v>
      </c>
      <c r="CE507" s="41">
        <f t="shared" si="6008"/>
        <v>70</v>
      </c>
      <c r="CF507" s="41">
        <f t="shared" si="6008"/>
        <v>45</v>
      </c>
      <c r="CG507" s="41">
        <f t="shared" si="6008"/>
        <v>-9</v>
      </c>
      <c r="CH507" s="41">
        <f t="shared" si="6008"/>
        <v>-25</v>
      </c>
      <c r="CI507" s="41">
        <f t="shared" si="6008"/>
        <v>223</v>
      </c>
      <c r="CJ507" s="41">
        <f>SUM(R507:S507)</f>
        <v>67</v>
      </c>
      <c r="CK507" s="41">
        <f>SUM(T507:U507)</f>
        <v>-123</v>
      </c>
      <c r="CL507" s="41">
        <f>SUM(V507:W507)</f>
        <v>-130</v>
      </c>
      <c r="CM507" s="41">
        <f>SUM(X507:Y507)</f>
        <v>-81</v>
      </c>
      <c r="CN507" s="41">
        <f>SUM(Z507:AA507)</f>
        <v>-297</v>
      </c>
      <c r="CO507" s="41">
        <f>SUM(AB507:AC507)</f>
        <v>-231.5</v>
      </c>
      <c r="CP507" s="41">
        <f t="shared" si="5800"/>
        <v>-301</v>
      </c>
      <c r="CQ507" s="41">
        <f t="shared" si="5801"/>
        <v>-159</v>
      </c>
      <c r="CR507" s="41">
        <f t="shared" si="5802"/>
        <v>-380</v>
      </c>
      <c r="CS507" s="41">
        <f t="shared" si="5803"/>
        <v>-241</v>
      </c>
      <c r="CT507" s="41">
        <f t="shared" si="5804"/>
        <v>5</v>
      </c>
      <c r="CU507" s="41">
        <f t="shared" si="5805"/>
        <v>185</v>
      </c>
      <c r="CV507" s="41">
        <f t="shared" si="5806"/>
        <v>2</v>
      </c>
      <c r="CW507" s="41">
        <f t="shared" si="5807"/>
        <v>-275</v>
      </c>
      <c r="CX507" s="41">
        <f t="shared" si="5808"/>
        <v>127</v>
      </c>
      <c r="CY507" s="41">
        <f t="shared" si="5809"/>
        <v>72</v>
      </c>
      <c r="CZ507" s="211">
        <f t="shared" si="5810"/>
        <v>-40</v>
      </c>
      <c r="DA507" s="41">
        <f t="shared" si="5811"/>
        <v>0</v>
      </c>
      <c r="DB507" s="41">
        <f t="shared" si="5812"/>
        <v>0</v>
      </c>
      <c r="DC507" s="41">
        <f t="shared" si="5813"/>
        <v>0</v>
      </c>
      <c r="DD507" s="41">
        <f t="shared" si="5814"/>
        <v>0</v>
      </c>
      <c r="DE507" s="41">
        <f t="shared" si="5815"/>
        <v>0</v>
      </c>
      <c r="DF507" s="41">
        <f t="shared" si="5816"/>
        <v>0</v>
      </c>
      <c r="DG507" s="41">
        <f t="shared" si="5817"/>
        <v>0</v>
      </c>
      <c r="DH507" s="41">
        <f t="shared" si="5818"/>
        <v>0</v>
      </c>
      <c r="DI507" s="41">
        <f t="shared" si="5819"/>
        <v>0</v>
      </c>
    </row>
    <row r="508" spans="1:113" ht="12" hidden="1" outlineLevel="2">
      <c r="A508" s="1" t="s">
        <v>695</v>
      </c>
      <c r="B508" s="15" t="s">
        <v>266</v>
      </c>
      <c r="C508" s="40">
        <v>0</v>
      </c>
      <c r="D508" s="40">
        <v>0</v>
      </c>
      <c r="E508" s="40">
        <v>0</v>
      </c>
      <c r="F508" s="40">
        <v>0</v>
      </c>
      <c r="G508" s="40">
        <v>0</v>
      </c>
      <c r="H508" s="40">
        <v>0</v>
      </c>
      <c r="I508" s="40">
        <v>0</v>
      </c>
      <c r="J508" s="40">
        <v>0</v>
      </c>
      <c r="K508" s="40">
        <v>0</v>
      </c>
      <c r="L508" s="40">
        <v>0</v>
      </c>
      <c r="M508" s="40">
        <v>0</v>
      </c>
      <c r="N508" s="40">
        <v>0</v>
      </c>
      <c r="O508" s="40">
        <v>0</v>
      </c>
      <c r="P508" s="40">
        <v>0</v>
      </c>
      <c r="Q508" s="40">
        <v>0</v>
      </c>
      <c r="R508" s="40">
        <v>0</v>
      </c>
      <c r="S508" s="40">
        <v>0</v>
      </c>
      <c r="T508" s="40">
        <v>0</v>
      </c>
      <c r="U508" s="40">
        <v>0</v>
      </c>
      <c r="V508" s="40">
        <v>0</v>
      </c>
      <c r="W508" s="40">
        <v>0</v>
      </c>
      <c r="X508" s="40">
        <v>0</v>
      </c>
      <c r="Y508" s="40">
        <v>0</v>
      </c>
      <c r="Z508" s="141">
        <v>0</v>
      </c>
      <c r="AA508" s="141">
        <v>0</v>
      </c>
      <c r="AB508" s="141">
        <v>0</v>
      </c>
      <c r="AC508" s="141">
        <f>-125*0.7</f>
        <v>-87.5</v>
      </c>
      <c r="AD508" s="141">
        <v>0</v>
      </c>
      <c r="AE508" s="141">
        <v>0</v>
      </c>
      <c r="AF508" s="141">
        <v>0</v>
      </c>
      <c r="AG508" s="141">
        <v>0</v>
      </c>
      <c r="AH508" s="141">
        <v>0</v>
      </c>
      <c r="AI508" s="141">
        <v>0</v>
      </c>
      <c r="AJ508" s="141">
        <v>0</v>
      </c>
      <c r="AK508" s="141">
        <v>0</v>
      </c>
      <c r="AL508" s="141">
        <v>0</v>
      </c>
      <c r="AM508" s="141">
        <v>0</v>
      </c>
      <c r="AN508" s="141">
        <v>0</v>
      </c>
      <c r="AO508" s="141">
        <v>0</v>
      </c>
      <c r="AP508" s="141">
        <v>0</v>
      </c>
      <c r="AQ508" s="141">
        <v>0</v>
      </c>
      <c r="AR508" s="141">
        <v>0</v>
      </c>
      <c r="AS508" s="141">
        <v>0</v>
      </c>
      <c r="AT508" s="141">
        <v>0</v>
      </c>
      <c r="AU508" s="141">
        <v>0</v>
      </c>
      <c r="AV508" s="141">
        <v>0</v>
      </c>
      <c r="AW508" s="141">
        <v>0</v>
      </c>
      <c r="AX508" s="141">
        <v>0</v>
      </c>
      <c r="AY508" s="226">
        <v>0</v>
      </c>
      <c r="AZ508" s="210">
        <v>0</v>
      </c>
      <c r="BA508" s="210">
        <v>0</v>
      </c>
      <c r="BB508" s="210">
        <v>0</v>
      </c>
      <c r="BC508" s="210">
        <v>0</v>
      </c>
      <c r="BD508" s="210">
        <v>0</v>
      </c>
      <c r="BE508" s="210">
        <v>0</v>
      </c>
      <c r="BF508" s="210">
        <v>0</v>
      </c>
      <c r="BG508" s="210">
        <v>0</v>
      </c>
      <c r="BH508" s="210">
        <v>0</v>
      </c>
      <c r="BI508" s="210">
        <v>0</v>
      </c>
      <c r="BJ508" s="210">
        <v>0</v>
      </c>
      <c r="BK508" s="210">
        <v>0</v>
      </c>
      <c r="BL508" s="210">
        <v>0</v>
      </c>
      <c r="BM508" s="210">
        <v>0</v>
      </c>
      <c r="BN508" s="210">
        <v>0</v>
      </c>
      <c r="BO508" s="210">
        <v>0</v>
      </c>
      <c r="BP508" s="210">
        <v>0</v>
      </c>
      <c r="BQ508" s="210">
        <v>0</v>
      </c>
      <c r="BR508" s="41"/>
      <c r="BS508" s="40">
        <v>0</v>
      </c>
      <c r="BT508" s="40">
        <v>0</v>
      </c>
      <c r="BU508" s="40">
        <v>0</v>
      </c>
      <c r="BV508" s="40">
        <v>0</v>
      </c>
      <c r="BW508" s="40">
        <v>0</v>
      </c>
      <c r="BX508" s="40">
        <v>0</v>
      </c>
      <c r="BY508" s="40">
        <v>0</v>
      </c>
      <c r="BZ508" s="40">
        <v>0</v>
      </c>
      <c r="CA508" s="40">
        <v>0</v>
      </c>
      <c r="CB508" s="40">
        <v>0</v>
      </c>
      <c r="CC508" s="40">
        <v>93</v>
      </c>
      <c r="CD508" s="41">
        <f>SUM(F508:G508)</f>
        <v>0</v>
      </c>
      <c r="CE508" s="41">
        <f>SUM(H508:I508)</f>
        <v>0</v>
      </c>
      <c r="CF508" s="41">
        <f>SUM(J508:K508)</f>
        <v>0</v>
      </c>
      <c r="CG508" s="41">
        <f>SUM(L508:M508)</f>
        <v>0</v>
      </c>
      <c r="CH508" s="41">
        <f>SUM(N508:O508)</f>
        <v>0</v>
      </c>
      <c r="CI508" s="41">
        <f>SUM(P508:Q508)</f>
        <v>0</v>
      </c>
      <c r="CJ508" s="41">
        <f>SUM(R508:S508)</f>
        <v>0</v>
      </c>
      <c r="CK508" s="41">
        <f>SUM(T508:U508)</f>
        <v>0</v>
      </c>
      <c r="CL508" s="41">
        <f>SUM(V508:W508)</f>
        <v>0</v>
      </c>
      <c r="CM508" s="41">
        <f>SUM(X508:Y508)</f>
        <v>0</v>
      </c>
      <c r="CN508" s="41">
        <f>SUM(Z508:AA508)</f>
        <v>0</v>
      </c>
      <c r="CO508" s="41">
        <f>SUM(AB508:AC508)</f>
        <v>-87.5</v>
      </c>
      <c r="CP508" s="41">
        <f t="shared" si="5800"/>
        <v>0</v>
      </c>
      <c r="CQ508" s="41">
        <f t="shared" si="5801"/>
        <v>0</v>
      </c>
      <c r="CR508" s="41">
        <f t="shared" si="5802"/>
        <v>0</v>
      </c>
      <c r="CS508" s="41">
        <f t="shared" si="5803"/>
        <v>0</v>
      </c>
      <c r="CT508" s="41">
        <f t="shared" si="5804"/>
        <v>0</v>
      </c>
      <c r="CU508" s="41">
        <f t="shared" si="5805"/>
        <v>0</v>
      </c>
      <c r="CV508" s="41">
        <f t="shared" si="5806"/>
        <v>0</v>
      </c>
      <c r="CW508" s="41">
        <f t="shared" si="5807"/>
        <v>0</v>
      </c>
      <c r="CX508" s="41">
        <f t="shared" si="5808"/>
        <v>0</v>
      </c>
      <c r="CY508" s="41">
        <f t="shared" si="5809"/>
        <v>0</v>
      </c>
      <c r="CZ508" s="211">
        <f t="shared" si="5810"/>
        <v>0</v>
      </c>
      <c r="DA508" s="41">
        <f t="shared" si="5811"/>
        <v>0</v>
      </c>
      <c r="DB508" s="41">
        <f t="shared" si="5812"/>
        <v>0</v>
      </c>
      <c r="DC508" s="41">
        <f t="shared" si="5813"/>
        <v>0</v>
      </c>
      <c r="DD508" s="41">
        <f t="shared" si="5814"/>
        <v>0</v>
      </c>
      <c r="DE508" s="41">
        <f t="shared" si="5815"/>
        <v>0</v>
      </c>
      <c r="DF508" s="41">
        <f t="shared" si="5816"/>
        <v>0</v>
      </c>
      <c r="DG508" s="41">
        <f t="shared" si="5817"/>
        <v>0</v>
      </c>
      <c r="DH508" s="41">
        <f t="shared" si="5818"/>
        <v>0</v>
      </c>
      <c r="DI508" s="41">
        <f t="shared" si="5819"/>
        <v>0</v>
      </c>
    </row>
    <row r="509" spans="1:113" s="17" customFormat="1" ht="12" hidden="1" outlineLevel="2">
      <c r="A509" s="1" t="s">
        <v>329</v>
      </c>
      <c r="B509" s="17" t="s">
        <v>157</v>
      </c>
      <c r="C509" s="61">
        <f>-468-1</f>
        <v>-469</v>
      </c>
      <c r="D509" s="61">
        <f>-441-2</f>
        <v>-443</v>
      </c>
      <c r="E509" s="61">
        <f>-898-3-D509</f>
        <v>-458</v>
      </c>
      <c r="F509" s="61">
        <f>-444-2</f>
        <v>-446</v>
      </c>
      <c r="G509" s="61">
        <f>-926-3-F509</f>
        <v>-483</v>
      </c>
      <c r="H509" s="61">
        <f>-578-3</f>
        <v>-581</v>
      </c>
      <c r="I509" s="61">
        <f>-1175-4-H509</f>
        <v>-598</v>
      </c>
      <c r="J509" s="61">
        <f>-590-1</f>
        <v>-591</v>
      </c>
      <c r="K509" s="61">
        <f>-1220-3-J509</f>
        <v>-632</v>
      </c>
      <c r="L509" s="61">
        <f>-742-1</f>
        <v>-743</v>
      </c>
      <c r="M509" s="61">
        <f>-780-3</f>
        <v>-783</v>
      </c>
      <c r="N509" s="61">
        <f>-883-2</f>
        <v>-885</v>
      </c>
      <c r="O509" s="61">
        <f>-795-5</f>
        <v>-800</v>
      </c>
      <c r="P509" s="61">
        <f>-790-3</f>
        <v>-793</v>
      </c>
      <c r="Q509" s="61">
        <f>-398-5</f>
        <v>-403</v>
      </c>
      <c r="R509" s="61">
        <f>-683-4</f>
        <v>-687</v>
      </c>
      <c r="S509" s="61">
        <f>-752+2</f>
        <v>-750</v>
      </c>
      <c r="T509" s="61">
        <f>-826-2</f>
        <v>-828</v>
      </c>
      <c r="U509" s="61">
        <f>-1270-2</f>
        <v>-1272</v>
      </c>
      <c r="V509" s="61">
        <f>-1235-5</f>
        <v>-1240</v>
      </c>
      <c r="W509" s="61">
        <f>-1074-3</f>
        <v>-1077</v>
      </c>
      <c r="X509" s="61">
        <f>-1223-4</f>
        <v>-1227</v>
      </c>
      <c r="Y509" s="61">
        <f>-1104-2</f>
        <v>-1106</v>
      </c>
      <c r="Z509" s="194">
        <f>-1362-5</f>
        <v>-1367</v>
      </c>
      <c r="AA509" s="194">
        <f>-1376-5</f>
        <v>-1381</v>
      </c>
      <c r="AB509" s="194">
        <f>-1323-6</f>
        <v>-1329</v>
      </c>
      <c r="AC509" s="194">
        <f>-1702-6</f>
        <v>-1708</v>
      </c>
      <c r="AD509" s="194">
        <f>-1629-8</f>
        <v>-1637</v>
      </c>
      <c r="AE509" s="194">
        <f>-1397-6</f>
        <v>-1403</v>
      </c>
      <c r="AF509" s="194">
        <f>-1140-4</f>
        <v>-1144</v>
      </c>
      <c r="AG509" s="194">
        <f>-1318-7</f>
        <v>-1325</v>
      </c>
      <c r="AH509" s="194">
        <f>-1447-8-180</f>
        <v>-1635</v>
      </c>
      <c r="AI509" s="194">
        <f>-1427-7-152</f>
        <v>-1586</v>
      </c>
      <c r="AJ509" s="194">
        <f>-1426-7-128</f>
        <v>-1561</v>
      </c>
      <c r="AK509" s="194">
        <f>-1358-9-104</f>
        <v>-1471</v>
      </c>
      <c r="AL509" s="194">
        <f>-1284-9+8</f>
        <v>-1285</v>
      </c>
      <c r="AM509" s="194">
        <f>-1325-6-72</f>
        <v>-1403</v>
      </c>
      <c r="AN509" s="194">
        <f>-978-1+144</f>
        <v>-835</v>
      </c>
      <c r="AO509" s="194">
        <f>-862-0+9</f>
        <v>-853</v>
      </c>
      <c r="AP509" s="194">
        <f>-1425-0+3</f>
        <v>-1422</v>
      </c>
      <c r="AQ509" s="194">
        <f>-1331-1-9</f>
        <v>-1341</v>
      </c>
      <c r="AR509" s="194">
        <f>-1500-0-5</f>
        <v>-1505</v>
      </c>
      <c r="AS509" s="194">
        <f>-1441-14</f>
        <v>-1455</v>
      </c>
      <c r="AT509" s="194">
        <f>-1452-14</f>
        <v>-1466</v>
      </c>
      <c r="AU509" s="194">
        <f>-1501-14</f>
        <v>-1515</v>
      </c>
      <c r="AV509" s="194">
        <f>-1439-14</f>
        <v>-1453</v>
      </c>
      <c r="AW509" s="194">
        <f>-1391-21</f>
        <v>-1412</v>
      </c>
      <c r="AX509" s="194">
        <f>-1547-21</f>
        <v>-1568</v>
      </c>
      <c r="AY509" s="227">
        <f>-1243-20</f>
        <v>-1263</v>
      </c>
      <c r="AZ509" s="62">
        <f t="shared" ref="AZ509:BA509" si="6009">AZ506+AZ507+AZ508</f>
        <v>-1646.1124110321839</v>
      </c>
      <c r="BA509" s="62">
        <f t="shared" si="6009"/>
        <v>-1631.5823557066201</v>
      </c>
      <c r="BB509" s="62">
        <f t="shared" ref="BB509:BC509" si="6010">BB506+BB507+BB508</f>
        <v>-1705.1128463160414</v>
      </c>
      <c r="BC509" s="62">
        <f t="shared" si="6010"/>
        <v>-1561.2329513651312</v>
      </c>
      <c r="BD509" s="62">
        <f t="shared" ref="BD509:BE509" si="6011">BD506+BD507+BD508</f>
        <v>-1745.1163015234399</v>
      </c>
      <c r="BE509" s="62">
        <f t="shared" si="6011"/>
        <v>-1618.9473379990218</v>
      </c>
      <c r="BF509" s="62">
        <f t="shared" ref="BF509:BG509" si="6012">BF506+BF507+BF508</f>
        <v>-1794.9217521436531</v>
      </c>
      <c r="BG509" s="62">
        <f t="shared" si="6012"/>
        <v>-1694.2256376533287</v>
      </c>
      <c r="BH509" s="62">
        <f t="shared" ref="BH509:BI509" si="6013">BH506+BH507+BH508</f>
        <v>-1837.9712255735046</v>
      </c>
      <c r="BI509" s="62">
        <f t="shared" si="6013"/>
        <v>-1721.6955804797958</v>
      </c>
      <c r="BJ509" s="62">
        <f t="shared" ref="BJ509:BK509" si="6014">BJ506+BJ507+BJ508</f>
        <v>-1899.0668114550904</v>
      </c>
      <c r="BK509" s="62">
        <f t="shared" si="6014"/>
        <v>-1860.3135019845981</v>
      </c>
      <c r="BL509" s="62">
        <f t="shared" ref="BL509:BM509" si="6015">BL506+BL507+BL508</f>
        <v>-1952.2036566143604</v>
      </c>
      <c r="BM509" s="62">
        <f t="shared" si="6015"/>
        <v>-1876.4159286175789</v>
      </c>
      <c r="BN509" s="62">
        <f t="shared" ref="BN509:BO509" si="6016">BN506+BN507+BN508</f>
        <v>-1961.0122574589657</v>
      </c>
      <c r="BO509" s="62">
        <f t="shared" si="6016"/>
        <v>-1902.3987239024596</v>
      </c>
      <c r="BP509" s="62">
        <f t="shared" ref="BP509:BQ509" si="6017">BP506+BP507+BP508</f>
        <v>-1993.2530033159728</v>
      </c>
      <c r="BQ509" s="62">
        <f t="shared" si="6017"/>
        <v>-1951.5758956291595</v>
      </c>
      <c r="BR509" s="62"/>
      <c r="BS509" s="61">
        <f>146-5-12.6</f>
        <v>128.4</v>
      </c>
      <c r="BT509" s="61">
        <f>-193-7.5-40.7</f>
        <v>-241.2</v>
      </c>
      <c r="BU509" s="61">
        <f>-388-7-2</f>
        <v>-397</v>
      </c>
      <c r="BV509" s="61">
        <f>-442-10+19</f>
        <v>-433</v>
      </c>
      <c r="BW509" s="61">
        <f>-469-9</f>
        <v>-478</v>
      </c>
      <c r="BX509" s="61">
        <f>-466-8+35</f>
        <v>-439</v>
      </c>
      <c r="BY509" s="61">
        <f>-576-9+33</f>
        <v>-552</v>
      </c>
      <c r="BZ509" s="61">
        <f>-736-6</f>
        <v>-742</v>
      </c>
      <c r="CA509" s="61">
        <f>-863-177-2</f>
        <v>-1042</v>
      </c>
      <c r="CB509" s="61">
        <f>-911-2</f>
        <v>-913</v>
      </c>
      <c r="CC509" s="62">
        <f>SUM(D509:E509)</f>
        <v>-901</v>
      </c>
      <c r="CD509" s="62">
        <f>SUM(F509:G509)</f>
        <v>-929</v>
      </c>
      <c r="CE509" s="62">
        <f>SUM(H509:I509)</f>
        <v>-1179</v>
      </c>
      <c r="CF509" s="62">
        <f>SUM(J509:K509)</f>
        <v>-1223</v>
      </c>
      <c r="CG509" s="62">
        <f>SUM(L509:M509)</f>
        <v>-1526</v>
      </c>
      <c r="CH509" s="62">
        <f>SUM(N509:O509)</f>
        <v>-1685</v>
      </c>
      <c r="CI509" s="62">
        <f>SUM(P509:Q509)</f>
        <v>-1196</v>
      </c>
      <c r="CJ509" s="62">
        <f t="shared" ref="CJ509:CP509" si="6018">CJ506+CJ507+CJ508</f>
        <v>-1437</v>
      </c>
      <c r="CK509" s="62">
        <f t="shared" si="6018"/>
        <v>-2100</v>
      </c>
      <c r="CL509" s="62">
        <f t="shared" si="6018"/>
        <v>-2317</v>
      </c>
      <c r="CM509" s="62">
        <f t="shared" si="6018"/>
        <v>-2333</v>
      </c>
      <c r="CN509" s="62">
        <f t="shared" si="6018"/>
        <v>-2748</v>
      </c>
      <c r="CO509" s="62">
        <f t="shared" si="6018"/>
        <v>-3037</v>
      </c>
      <c r="CP509" s="62">
        <f t="shared" si="6018"/>
        <v>-3040</v>
      </c>
      <c r="CQ509" s="62">
        <f t="shared" ref="CQ509:CX509" si="6019">CQ506+CQ507+CQ508</f>
        <v>-2469</v>
      </c>
      <c r="CR509" s="62">
        <f t="shared" si="6019"/>
        <v>-3221</v>
      </c>
      <c r="CS509" s="62">
        <f t="shared" si="6019"/>
        <v>-3032</v>
      </c>
      <c r="CT509" s="62">
        <f t="shared" si="6019"/>
        <v>-2688</v>
      </c>
      <c r="CU509" s="62">
        <f t="shared" si="6019"/>
        <v>-1688</v>
      </c>
      <c r="CV509" s="62">
        <f t="shared" si="6019"/>
        <v>-2763</v>
      </c>
      <c r="CW509" s="62">
        <f t="shared" si="6019"/>
        <v>-2960</v>
      </c>
      <c r="CX509" s="62">
        <f t="shared" si="6019"/>
        <v>-2981</v>
      </c>
      <c r="CY509" s="62">
        <f t="shared" ref="CY509:DD509" si="6020">CY506+CY507+CY508</f>
        <v>-2865</v>
      </c>
      <c r="CZ509" s="220">
        <f t="shared" si="6020"/>
        <v>-2831</v>
      </c>
      <c r="DA509" s="62">
        <f t="shared" si="6020"/>
        <v>-3277.694766738804</v>
      </c>
      <c r="DB509" s="62">
        <f t="shared" si="6020"/>
        <v>-3266.3457976811724</v>
      </c>
      <c r="DC509" s="62">
        <f t="shared" si="6020"/>
        <v>-3364.0636395224619</v>
      </c>
      <c r="DD509" s="62">
        <f t="shared" si="6020"/>
        <v>-3489.1473897969818</v>
      </c>
      <c r="DE509" s="62">
        <f t="shared" ref="DE509" si="6021">DE506+DE507+DE508</f>
        <v>-3559.6668060533002</v>
      </c>
      <c r="DF509" s="62">
        <f t="shared" ref="DF509" si="6022">DF506+DF507+DF508</f>
        <v>-3759.3803134396885</v>
      </c>
      <c r="DG509" s="62">
        <f>DG506+DG507+DG508</f>
        <v>-3828.6195852319393</v>
      </c>
      <c r="DH509" s="62">
        <f>DH506+DH507+DH508</f>
        <v>-3863.410981361425</v>
      </c>
      <c r="DI509" s="62">
        <f>DI506+DI507+DI508</f>
        <v>-3944.8288989451321</v>
      </c>
    </row>
    <row r="510" spans="1:113" s="63" customFormat="1" ht="12" hidden="1" outlineLevel="2">
      <c r="A510" s="1"/>
      <c r="B510" s="63" t="s">
        <v>355</v>
      </c>
      <c r="C510" s="65" t="str">
        <f t="shared" ref="C510:L510" si="6023">IF(ABS(C493+C509-C525)&gt;1,"Error: "&amp;TEXT(C493+C509-C525,"0.0"),"OK")</f>
        <v>OK</v>
      </c>
      <c r="D510" s="65" t="str">
        <f t="shared" si="6023"/>
        <v>OK</v>
      </c>
      <c r="E510" s="65" t="str">
        <f t="shared" si="6023"/>
        <v>OK</v>
      </c>
      <c r="F510" s="65" t="str">
        <f t="shared" si="6023"/>
        <v>OK</v>
      </c>
      <c r="G510" s="65" t="str">
        <f t="shared" si="6023"/>
        <v>OK</v>
      </c>
      <c r="H510" s="65" t="str">
        <f t="shared" si="6023"/>
        <v>OK</v>
      </c>
      <c r="I510" s="65" t="str">
        <f t="shared" si="6023"/>
        <v>OK</v>
      </c>
      <c r="J510" s="65" t="str">
        <f>IF(ABS(J493+J509-J525)&gt;1,"Error: "&amp;TEXT(J493+J509-J525,"0.0"),"OK")</f>
        <v>OK</v>
      </c>
      <c r="K510" s="65" t="str">
        <f t="shared" si="6023"/>
        <v>OK</v>
      </c>
      <c r="L510" s="65" t="str">
        <f t="shared" si="6023"/>
        <v>OK</v>
      </c>
      <c r="M510" s="65" t="str">
        <f t="shared" ref="M510:AD510" si="6024">IF(ABS(M493+M509-M525)&gt;1,"Error: "&amp;TEXT(M493+M509-M525,"0.0"),"OK")</f>
        <v>OK</v>
      </c>
      <c r="N510" s="65" t="str">
        <f t="shared" si="6024"/>
        <v>OK</v>
      </c>
      <c r="O510" s="65" t="str">
        <f t="shared" si="6024"/>
        <v>OK</v>
      </c>
      <c r="P510" s="65" t="str">
        <f t="shared" si="6024"/>
        <v>OK</v>
      </c>
      <c r="Q510" s="65" t="str">
        <f t="shared" si="6024"/>
        <v>OK</v>
      </c>
      <c r="R510" s="65" t="str">
        <f t="shared" si="6024"/>
        <v>OK</v>
      </c>
      <c r="S510" s="65" t="str">
        <f t="shared" si="6024"/>
        <v>OK</v>
      </c>
      <c r="T510" s="65" t="str">
        <f t="shared" si="6024"/>
        <v>OK</v>
      </c>
      <c r="U510" s="65" t="str">
        <f t="shared" si="6024"/>
        <v>OK</v>
      </c>
      <c r="V510" s="65" t="str">
        <f t="shared" si="6024"/>
        <v>OK</v>
      </c>
      <c r="W510" s="65" t="str">
        <f t="shared" si="6024"/>
        <v>OK</v>
      </c>
      <c r="X510" s="65" t="str">
        <f t="shared" si="6024"/>
        <v>OK</v>
      </c>
      <c r="Y510" s="65" t="str">
        <f t="shared" si="6024"/>
        <v>OK</v>
      </c>
      <c r="Z510" s="65" t="str">
        <f t="shared" si="6024"/>
        <v>OK</v>
      </c>
      <c r="AA510" s="65" t="str">
        <f t="shared" si="6024"/>
        <v>OK</v>
      </c>
      <c r="AB510" s="65" t="str">
        <f t="shared" si="6024"/>
        <v>OK</v>
      </c>
      <c r="AC510" s="65" t="str">
        <f t="shared" si="6024"/>
        <v>OK</v>
      </c>
      <c r="AD510" s="65" t="str">
        <f t="shared" si="6024"/>
        <v>OK</v>
      </c>
      <c r="AE510" s="65" t="str">
        <f t="shared" ref="AE510:AF510" si="6025">IF(ABS(AE493+AE509-AE525)&gt;1,"Error: "&amp;TEXT(AE493+AE509-AE525,"0.0"),"OK")</f>
        <v>OK</v>
      </c>
      <c r="AF510" s="65" t="str">
        <f t="shared" si="6025"/>
        <v>OK</v>
      </c>
      <c r="AG510" s="65" t="str">
        <f t="shared" ref="AG510:AL510" si="6026">IF(ABS(AG493+AG509-AG525)&gt;1,"Error: "&amp;TEXT(AG493+AG509-AG525,"0.0"),"OK")</f>
        <v>OK</v>
      </c>
      <c r="AH510" s="65" t="str">
        <f t="shared" si="6026"/>
        <v>OK</v>
      </c>
      <c r="AI510" s="65" t="str">
        <f t="shared" si="6026"/>
        <v>OK</v>
      </c>
      <c r="AJ510" s="65" t="str">
        <f t="shared" si="6026"/>
        <v>OK</v>
      </c>
      <c r="AK510" s="65" t="str">
        <f t="shared" si="6026"/>
        <v>OK</v>
      </c>
      <c r="AL510" s="65" t="str">
        <f t="shared" si="6026"/>
        <v>OK</v>
      </c>
      <c r="AM510" s="65" t="str">
        <f t="shared" ref="AM510:AN510" si="6027">IF(ABS(AM493+AM509-AM525)&gt;1,"Error: "&amp;TEXT(AM493+AM509-AM525,"0.0"),"OK")</f>
        <v>OK</v>
      </c>
      <c r="AN510" s="65" t="str">
        <f t="shared" si="6027"/>
        <v>OK</v>
      </c>
      <c r="AO510" s="65" t="str">
        <f t="shared" ref="AO510" si="6028">IF(ABS(AO493+AO509-AO525)&gt;1,"Error: "&amp;TEXT(AO493+AO509-AO525,"0.0"),"OK")</f>
        <v>OK</v>
      </c>
      <c r="AP510" s="65" t="str">
        <f>IF(ABS(AP493+AP509-AP525)&gt;1,"Error: "&amp;TEXT(AP493+AP509-AP525,"0.0"),"OK")</f>
        <v>OK</v>
      </c>
      <c r="AQ510" s="65" t="str">
        <f t="shared" ref="AQ510:AR510" si="6029">IF(ABS(AQ493+AQ509-AQ525)&gt;1,"Error: "&amp;TEXT(AQ493+AQ509-AQ525,"0.0"),"OK")</f>
        <v>OK</v>
      </c>
      <c r="AR510" s="65" t="str">
        <f t="shared" si="6029"/>
        <v>OK</v>
      </c>
      <c r="AS510" s="65" t="str">
        <f t="shared" ref="AS510:AT510" si="6030">IF(ABS(AS493+AS509-AS525)&gt;1,"Error: "&amp;TEXT(AS493+AS509-AS525,"0.0"),"OK")</f>
        <v>OK</v>
      </c>
      <c r="AT510" s="65" t="str">
        <f t="shared" si="6030"/>
        <v>OK</v>
      </c>
      <c r="AU510" s="65" t="str">
        <f>IF(ABS(AU493+AU509-AU525)&gt;1,"Error: "&amp;TEXT(AU493+AU509-AU525,"0.0"),"OK")</f>
        <v>OK</v>
      </c>
      <c r="AV510" s="65" t="str">
        <f>IF(ABS(AV493+AV509-AV525)&gt;1,"Error: "&amp;TEXT(AV493+AV509-AV525,"0.0"),"OK")</f>
        <v>OK</v>
      </c>
      <c r="AW510" s="65" t="str">
        <f>IF(ABS(AW493+AW509-AW525)&gt;1,"Error: "&amp;TEXT(AW493+AW509-AW525,"0.0"),"OK")</f>
        <v>OK</v>
      </c>
      <c r="AX510" s="65" t="str">
        <f>IF(ABS(AX493+AX509-AX525)&gt;1,"Error: "&amp;TEXT(AX493+AX509-AX525,"0.0"),"OK")</f>
        <v>OK</v>
      </c>
      <c r="AY510" s="221" t="str">
        <f>IF(ABS(AY493+AY509-AY525)&gt;1,"Error: "&amp;TEXT(AY493+AY509-AY525,"0.0"),"OK")</f>
        <v>OK</v>
      </c>
      <c r="AZ510" s="65" t="str">
        <f t="shared" ref="AZ510:BA510" si="6031">IF(ABS(AZ493+AZ509-AZ525)&gt;1,"Error: "&amp;TEXT(AZ493+AZ509-AZ525,"0.0"),"OK")</f>
        <v>OK</v>
      </c>
      <c r="BA510" s="65" t="str">
        <f t="shared" si="6031"/>
        <v>OK</v>
      </c>
      <c r="BB510" s="65" t="str">
        <f t="shared" ref="BB510:BC510" si="6032">IF(ABS(BB493+BB509-BB525)&gt;1,"Error: "&amp;TEXT(BB493+BB509-BB525,"0.0"),"OK")</f>
        <v>OK</v>
      </c>
      <c r="BC510" s="65" t="str">
        <f t="shared" si="6032"/>
        <v>OK</v>
      </c>
      <c r="BD510" s="65" t="str">
        <f t="shared" ref="BD510:BE510" si="6033">IF(ABS(BD493+BD509-BD525)&gt;1,"Error: "&amp;TEXT(BD493+BD509-BD525,"0.0"),"OK")</f>
        <v>OK</v>
      </c>
      <c r="BE510" s="65" t="str">
        <f t="shared" si="6033"/>
        <v>OK</v>
      </c>
      <c r="BF510" s="65" t="str">
        <f t="shared" ref="BF510:BG510" si="6034">IF(ABS(BF493+BF509-BF525)&gt;1,"Error: "&amp;TEXT(BF493+BF509-BF525,"0.0"),"OK")</f>
        <v>OK</v>
      </c>
      <c r="BG510" s="65" t="str">
        <f t="shared" si="6034"/>
        <v>OK</v>
      </c>
      <c r="BH510" s="65" t="str">
        <f t="shared" ref="BH510:BI510" si="6035">IF(ABS(BH493+BH509-BH525)&gt;1,"Error: "&amp;TEXT(BH493+BH509-BH525,"0.0"),"OK")</f>
        <v>OK</v>
      </c>
      <c r="BI510" s="65" t="str">
        <f t="shared" si="6035"/>
        <v>OK</v>
      </c>
      <c r="BJ510" s="65" t="str">
        <f t="shared" ref="BJ510:BK510" si="6036">IF(ABS(BJ493+BJ509-BJ525)&gt;1,"Error: "&amp;TEXT(BJ493+BJ509-BJ525,"0.0"),"OK")</f>
        <v>OK</v>
      </c>
      <c r="BK510" s="65" t="str">
        <f t="shared" si="6036"/>
        <v>OK</v>
      </c>
      <c r="BL510" s="65" t="str">
        <f t="shared" ref="BL510:BM510" si="6037">IF(ABS(BL493+BL509-BL525)&gt;1,"Error: "&amp;TEXT(BL493+BL509-BL525,"0.0"),"OK")</f>
        <v>OK</v>
      </c>
      <c r="BM510" s="65" t="str">
        <f t="shared" si="6037"/>
        <v>OK</v>
      </c>
      <c r="BN510" s="65" t="str">
        <f t="shared" ref="BN510:BO510" si="6038">IF(ABS(BN493+BN509-BN525)&gt;1,"Error: "&amp;TEXT(BN493+BN509-BN525,"0.0"),"OK")</f>
        <v>OK</v>
      </c>
      <c r="BO510" s="65" t="str">
        <f t="shared" si="6038"/>
        <v>OK</v>
      </c>
      <c r="BP510" s="65" t="str">
        <f t="shared" ref="BP510:BQ510" si="6039">IF(ABS(BP493+BP509-BP525)&gt;1,"Error: "&amp;TEXT(BP493+BP509-BP525,"0.0"),"OK")</f>
        <v>OK</v>
      </c>
      <c r="BQ510" s="65" t="str">
        <f t="shared" si="6039"/>
        <v>OK</v>
      </c>
      <c r="BR510" s="65"/>
      <c r="BS510" s="65" t="str">
        <f t="shared" ref="BS510:CB510" si="6040">IF(ABS(BS493+BS509-BS525)&gt;1,"Error: "&amp;TEXT(BS493+BS509-BS525,"0.0"),"OK")</f>
        <v>OK</v>
      </c>
      <c r="BT510" s="65" t="str">
        <f t="shared" si="6040"/>
        <v>OK</v>
      </c>
      <c r="BU510" s="65" t="str">
        <f t="shared" si="6040"/>
        <v>OK</v>
      </c>
      <c r="BV510" s="65" t="str">
        <f t="shared" si="6040"/>
        <v>OK</v>
      </c>
      <c r="BW510" s="65" t="str">
        <f t="shared" si="6040"/>
        <v>OK</v>
      </c>
      <c r="BX510" s="65" t="str">
        <f t="shared" si="6040"/>
        <v>OK</v>
      </c>
      <c r="BY510" s="65" t="str">
        <f t="shared" si="6040"/>
        <v>OK</v>
      </c>
      <c r="BZ510" s="65" t="str">
        <f t="shared" si="6040"/>
        <v>OK</v>
      </c>
      <c r="CA510" s="65" t="str">
        <f t="shared" si="6040"/>
        <v>OK</v>
      </c>
      <c r="CB510" s="65" t="str">
        <f t="shared" si="6040"/>
        <v>OK</v>
      </c>
      <c r="CC510" s="65" t="str">
        <f t="shared" ref="CC510:CR510" si="6041">IF(ABS(CC493+CC509-CC525)&gt;1,"Error: "&amp;TEXT(CC493+CC509-CC525,"0.0"),"OK")</f>
        <v>OK</v>
      </c>
      <c r="CD510" s="65" t="str">
        <f t="shared" si="6041"/>
        <v>OK</v>
      </c>
      <c r="CE510" s="65" t="str">
        <f t="shared" si="6041"/>
        <v>OK</v>
      </c>
      <c r="CF510" s="65" t="str">
        <f t="shared" si="6041"/>
        <v>OK</v>
      </c>
      <c r="CG510" s="65" t="str">
        <f t="shared" si="6041"/>
        <v>OK</v>
      </c>
      <c r="CH510" s="65" t="str">
        <f t="shared" si="6041"/>
        <v>OK</v>
      </c>
      <c r="CI510" s="65" t="str">
        <f t="shared" si="6041"/>
        <v>OK</v>
      </c>
      <c r="CJ510" s="65" t="str">
        <f t="shared" si="6041"/>
        <v>OK</v>
      </c>
      <c r="CK510" s="65" t="str">
        <f t="shared" si="6041"/>
        <v>OK</v>
      </c>
      <c r="CL510" s="65" t="str">
        <f t="shared" si="6041"/>
        <v>OK</v>
      </c>
      <c r="CM510" s="65" t="str">
        <f t="shared" si="6041"/>
        <v>OK</v>
      </c>
      <c r="CN510" s="65" t="str">
        <f t="shared" si="6041"/>
        <v>OK</v>
      </c>
      <c r="CO510" s="65" t="str">
        <f t="shared" si="6041"/>
        <v>OK</v>
      </c>
      <c r="CP510" s="65" t="str">
        <f t="shared" si="6041"/>
        <v>OK</v>
      </c>
      <c r="CQ510" s="65" t="str">
        <f t="shared" si="6041"/>
        <v>OK</v>
      </c>
      <c r="CR510" s="65" t="str">
        <f t="shared" si="6041"/>
        <v>OK</v>
      </c>
      <c r="CS510" s="65" t="str">
        <f t="shared" ref="CS510:CX510" si="6042">IF(ABS(CS493+CS509-CS525)&gt;1,"Error: "&amp;TEXT(CS493+CS509-CS525,"0.0"),"OK")</f>
        <v>OK</v>
      </c>
      <c r="CT510" s="65" t="str">
        <f t="shared" si="6042"/>
        <v>OK</v>
      </c>
      <c r="CU510" s="65" t="str">
        <f t="shared" si="6042"/>
        <v>OK</v>
      </c>
      <c r="CV510" s="65" t="str">
        <f t="shared" si="6042"/>
        <v>OK</v>
      </c>
      <c r="CW510" s="65" t="str">
        <f t="shared" si="6042"/>
        <v>OK</v>
      </c>
      <c r="CX510" s="65" t="str">
        <f t="shared" si="6042"/>
        <v>OK</v>
      </c>
      <c r="CY510" s="65" t="str">
        <f t="shared" ref="CY510:DD510" si="6043">IF(ABS(CY493+CY509-CY525)&gt;1,"Error: "&amp;TEXT(CY493+CY509-CY525,"0.0"),"OK")</f>
        <v>OK</v>
      </c>
      <c r="CZ510" s="221" t="str">
        <f t="shared" si="6043"/>
        <v>OK</v>
      </c>
      <c r="DA510" s="65" t="str">
        <f t="shared" si="6043"/>
        <v>OK</v>
      </c>
      <c r="DB510" s="65" t="str">
        <f t="shared" si="6043"/>
        <v>OK</v>
      </c>
      <c r="DC510" s="65" t="str">
        <f t="shared" si="6043"/>
        <v>OK</v>
      </c>
      <c r="DD510" s="65" t="str">
        <f t="shared" si="6043"/>
        <v>OK</v>
      </c>
      <c r="DE510" s="65" t="str">
        <f t="shared" ref="DE510" si="6044">IF(ABS(DE493+DE509-DE525)&gt;1,"Error: "&amp;TEXT(DE493+DE509-DE525,"0.0"),"OK")</f>
        <v>OK</v>
      </c>
      <c r="DF510" s="65" t="str">
        <f t="shared" ref="DF510" si="6045">IF(ABS(DF493+DF509-DF525)&gt;1,"Error: "&amp;TEXT(DF493+DF509-DF525,"0.0"),"OK")</f>
        <v>OK</v>
      </c>
      <c r="DG510" s="65" t="str">
        <f>IF(ABS(DG493+DG509-DG525)&gt;1,"Error: "&amp;TEXT(DG493+DG509-DG525,"0.0"),"OK")</f>
        <v>OK</v>
      </c>
      <c r="DH510" s="65" t="str">
        <f>IF(ABS(DH493+DH509-DH525)&gt;1,"Error: "&amp;TEXT(DH493+DH509-DH525,"0.0"),"OK")</f>
        <v>OK</v>
      </c>
      <c r="DI510" s="65" t="str">
        <f>IF(ABS(DI493+DI509-DI525)&gt;1,"Error: "&amp;TEXT(DI493+DI509-DI525,"0.0"),"OK")</f>
        <v>OK</v>
      </c>
    </row>
    <row r="511" spans="1:113" ht="12" outlineLevel="1" collapsed="1">
      <c r="A511" s="74"/>
      <c r="C511" s="41"/>
      <c r="D511" s="41"/>
      <c r="E511" s="41"/>
      <c r="F511" s="41"/>
      <c r="G511" s="41"/>
      <c r="H511" s="41"/>
      <c r="I511" s="41"/>
      <c r="J511" s="41"/>
      <c r="K511" s="41"/>
      <c r="L511" s="41"/>
      <c r="M511" s="41"/>
      <c r="N511" s="41"/>
      <c r="O511" s="41"/>
      <c r="P511" s="41"/>
      <c r="Q511" s="41"/>
      <c r="R511" s="41"/>
      <c r="S511" s="41"/>
      <c r="T511" s="41"/>
      <c r="U511" s="41"/>
      <c r="V511" s="41"/>
      <c r="W511" s="41"/>
      <c r="X511" s="41"/>
      <c r="Y511" s="41"/>
      <c r="Z511" s="41"/>
      <c r="AA511" s="41"/>
      <c r="AB511" s="41"/>
      <c r="AC511" s="41"/>
      <c r="AD511" s="41"/>
      <c r="AE511" s="41"/>
      <c r="AF511" s="41"/>
      <c r="AG511" s="41"/>
      <c r="AH511" s="41"/>
      <c r="AI511" s="41"/>
      <c r="AJ511" s="41"/>
      <c r="AK511" s="32"/>
      <c r="AL511" s="43"/>
      <c r="AM511" s="43"/>
      <c r="AN511" s="194"/>
      <c r="AO511" s="194"/>
      <c r="AP511" s="194"/>
      <c r="AQ511" s="194"/>
      <c r="AR511" s="194"/>
      <c r="AS511" s="194"/>
      <c r="AT511" s="194"/>
      <c r="AU511" s="194"/>
      <c r="AV511" s="194"/>
      <c r="AW511" s="194"/>
      <c r="AX511" s="194"/>
      <c r="AY511" s="227"/>
      <c r="AZ511" s="42"/>
      <c r="BA511" s="42"/>
      <c r="BB511" s="42"/>
      <c r="BC511" s="42"/>
      <c r="BD511" s="42"/>
      <c r="BE511" s="42"/>
      <c r="BF511" s="42"/>
      <c r="BG511" s="42"/>
      <c r="BH511" s="42"/>
      <c r="BI511" s="42"/>
      <c r="BJ511" s="42"/>
      <c r="BK511" s="42"/>
      <c r="BL511" s="42"/>
      <c r="BM511" s="42"/>
      <c r="BN511" s="42"/>
      <c r="BO511" s="42"/>
      <c r="BP511" s="42"/>
      <c r="BQ511" s="42"/>
      <c r="BR511" s="41"/>
      <c r="BS511" s="41"/>
      <c r="BT511" s="41"/>
      <c r="BU511" s="41"/>
      <c r="BV511" s="41"/>
      <c r="BW511" s="41"/>
      <c r="BX511" s="41"/>
      <c r="BY511" s="41"/>
      <c r="BZ511" s="41"/>
      <c r="CA511" s="41"/>
      <c r="CB511" s="41"/>
      <c r="CC511" s="41"/>
      <c r="CD511" s="41"/>
      <c r="CE511" s="41"/>
      <c r="CF511" s="41"/>
      <c r="CG511" s="41"/>
      <c r="CH511" s="41"/>
      <c r="CI511" s="41"/>
      <c r="CJ511" s="41"/>
      <c r="CK511" s="41"/>
      <c r="CL511" s="41"/>
      <c r="CM511" s="41"/>
      <c r="CN511" s="41"/>
      <c r="CO511" s="41"/>
      <c r="CP511" s="41"/>
      <c r="CQ511" s="41"/>
      <c r="CR511" s="41"/>
      <c r="CS511" s="41"/>
      <c r="CT511" s="41"/>
      <c r="CU511" s="41"/>
      <c r="CV511" s="41"/>
      <c r="CW511" s="41"/>
      <c r="CX511" s="41"/>
      <c r="CY511" s="41"/>
      <c r="CZ511" s="211"/>
      <c r="DA511" s="41"/>
      <c r="DB511" s="15"/>
      <c r="DC511" s="15"/>
      <c r="DD511" s="15"/>
      <c r="DE511" s="15"/>
      <c r="DF511" s="15"/>
      <c r="DG511" s="15"/>
      <c r="DH511" s="15"/>
      <c r="DI511" s="15"/>
    </row>
    <row r="512" spans="1:113" ht="12">
      <c r="C512" s="41"/>
      <c r="D512" s="41"/>
      <c r="E512" s="41"/>
      <c r="F512" s="41"/>
      <c r="G512" s="41"/>
      <c r="H512" s="41"/>
      <c r="I512" s="41"/>
      <c r="J512" s="41"/>
      <c r="K512" s="41"/>
      <c r="L512" s="41"/>
      <c r="M512" s="41"/>
      <c r="N512" s="41"/>
      <c r="O512" s="41"/>
      <c r="P512" s="41"/>
      <c r="Q512" s="41"/>
      <c r="R512" s="41"/>
      <c r="S512" s="41"/>
      <c r="T512" s="41"/>
      <c r="U512" s="41"/>
      <c r="V512" s="41"/>
      <c r="W512" s="41"/>
      <c r="X512" s="41"/>
      <c r="Y512" s="41"/>
      <c r="Z512" s="41"/>
      <c r="AA512" s="41"/>
      <c r="AB512" s="41"/>
      <c r="AC512" s="41"/>
      <c r="AD512" s="41"/>
      <c r="AE512" s="41"/>
      <c r="AF512" s="41"/>
      <c r="AG512" s="41"/>
      <c r="AH512" s="41"/>
      <c r="AI512" s="41"/>
      <c r="AJ512" s="41"/>
      <c r="AK512" s="32"/>
      <c r="AL512" s="41"/>
      <c r="AM512" s="37"/>
      <c r="AN512" s="41"/>
      <c r="AO512" s="41"/>
      <c r="AP512" s="41"/>
      <c r="AQ512" s="41"/>
      <c r="AR512" s="41"/>
      <c r="AS512" s="41"/>
      <c r="AT512" s="41"/>
      <c r="AU512" s="41"/>
      <c r="AV512" s="41"/>
      <c r="AW512" s="41"/>
      <c r="AX512" s="41"/>
      <c r="AY512" s="211"/>
      <c r="AZ512" s="41"/>
      <c r="BA512" s="41"/>
      <c r="BB512" s="41"/>
      <c r="BC512" s="41"/>
      <c r="BD512" s="41"/>
      <c r="BE512" s="41"/>
      <c r="BF512" s="41"/>
      <c r="BG512" s="41"/>
      <c r="BH512" s="41"/>
      <c r="BI512" s="41"/>
      <c r="BJ512" s="41"/>
      <c r="BK512" s="41"/>
      <c r="BL512" s="41"/>
      <c r="BM512" s="41"/>
      <c r="BN512" s="41"/>
      <c r="BO512" s="41"/>
      <c r="BP512" s="41"/>
      <c r="BQ512" s="41"/>
      <c r="BR512" s="41"/>
      <c r="BS512" s="41"/>
      <c r="BT512" s="41"/>
      <c r="BU512" s="41"/>
      <c r="BV512" s="41"/>
      <c r="BW512" s="41"/>
      <c r="BX512" s="41"/>
      <c r="BY512" s="41"/>
      <c r="BZ512" s="41"/>
      <c r="CA512" s="41"/>
      <c r="CB512" s="41"/>
      <c r="CC512" s="41"/>
      <c r="CD512" s="41"/>
      <c r="CE512" s="41"/>
      <c r="CF512" s="41"/>
      <c r="CG512" s="41"/>
      <c r="CH512" s="41"/>
      <c r="CI512" s="41"/>
      <c r="CJ512" s="41"/>
      <c r="CK512" s="41"/>
      <c r="CL512" s="41"/>
      <c r="CM512" s="41"/>
      <c r="CN512" s="41"/>
      <c r="CO512" s="41"/>
      <c r="CP512" s="41"/>
      <c r="CQ512" s="41"/>
      <c r="CR512" s="41"/>
      <c r="CS512" s="41"/>
      <c r="CT512" s="41"/>
      <c r="CU512" s="41"/>
      <c r="CV512" s="41"/>
      <c r="CW512" s="41"/>
      <c r="CX512" s="41"/>
      <c r="CY512" s="41"/>
      <c r="CZ512" s="211"/>
      <c r="DA512" s="41"/>
      <c r="DB512" s="15"/>
      <c r="DC512" s="15"/>
      <c r="DD512" s="15"/>
      <c r="DE512" s="15"/>
      <c r="DF512" s="15"/>
      <c r="DG512" s="15"/>
      <c r="DH512" s="15"/>
      <c r="DI512" s="15"/>
    </row>
    <row r="513" spans="1:113" s="26" customFormat="1" ht="12" collapsed="1">
      <c r="A513" s="1" t="s">
        <v>983</v>
      </c>
      <c r="B513" s="2" t="s">
        <v>356</v>
      </c>
      <c r="C513" s="60">
        <f>C515</f>
        <v>915</v>
      </c>
      <c r="D513" s="60">
        <f>D515</f>
        <v>1006</v>
      </c>
      <c r="E513" s="60">
        <f>E515</f>
        <v>1044.9999999999998</v>
      </c>
      <c r="F513" s="60">
        <f t="shared" ref="F513:L513" si="6046">F515</f>
        <v>1087.0000000000002</v>
      </c>
      <c r="G513" s="60">
        <f t="shared" si="6046"/>
        <v>1159</v>
      </c>
      <c r="H513" s="60">
        <f t="shared" si="6046"/>
        <v>1248</v>
      </c>
      <c r="I513" s="60">
        <f t="shared" si="6046"/>
        <v>1385.0000000000007</v>
      </c>
      <c r="J513" s="60">
        <f t="shared" si="6046"/>
        <v>1562.0000000000005</v>
      </c>
      <c r="K513" s="60">
        <f t="shared" si="6046"/>
        <v>1570.9999999999995</v>
      </c>
      <c r="L513" s="60">
        <f t="shared" si="6046"/>
        <v>1718.9999999999995</v>
      </c>
      <c r="M513" s="60">
        <f t="shared" ref="M513:AD513" si="6047">M515</f>
        <v>1841</v>
      </c>
      <c r="N513" s="60">
        <f t="shared" si="6047"/>
        <v>1918.9999999999995</v>
      </c>
      <c r="O513" s="60">
        <f t="shared" si="6047"/>
        <v>1967.9999999999998</v>
      </c>
      <c r="P513" s="60">
        <f t="shared" si="6047"/>
        <v>1899.0000000000007</v>
      </c>
      <c r="Q513" s="60">
        <f t="shared" si="6047"/>
        <v>1332.0000000000005</v>
      </c>
      <c r="R513" s="60">
        <f t="shared" si="6047"/>
        <v>930</v>
      </c>
      <c r="S513" s="60">
        <f t="shared" si="6047"/>
        <v>2420</v>
      </c>
      <c r="T513" s="60">
        <f t="shared" si="6047"/>
        <v>2370</v>
      </c>
      <c r="U513" s="60">
        <f t="shared" si="6047"/>
        <v>2752</v>
      </c>
      <c r="V513" s="60">
        <f t="shared" si="6047"/>
        <v>2717</v>
      </c>
      <c r="W513" s="60">
        <f t="shared" si="6047"/>
        <v>2738</v>
      </c>
      <c r="X513" s="60">
        <f t="shared" si="6047"/>
        <v>2889</v>
      </c>
      <c r="Y513" s="60">
        <f>Y515</f>
        <v>3150</v>
      </c>
      <c r="Z513" s="60">
        <f t="shared" si="6047"/>
        <v>3176</v>
      </c>
      <c r="AA513" s="60">
        <f t="shared" si="6047"/>
        <v>3310</v>
      </c>
      <c r="AB513" s="60">
        <f t="shared" si="6047"/>
        <v>3512</v>
      </c>
      <c r="AC513" s="60">
        <f t="shared" si="6047"/>
        <v>3599</v>
      </c>
      <c r="AD513" s="60">
        <f t="shared" si="6047"/>
        <v>3675</v>
      </c>
      <c r="AE513" s="60">
        <f t="shared" ref="AE513:AF513" si="6048">AE515</f>
        <v>3540</v>
      </c>
      <c r="AF513" s="60">
        <f t="shared" si="6048"/>
        <v>2782</v>
      </c>
      <c r="AG513" s="60">
        <f t="shared" ref="AG513:AH513" si="6049">AG515</f>
        <v>3107</v>
      </c>
      <c r="AH513" s="60">
        <f t="shared" si="6049"/>
        <v>3355</v>
      </c>
      <c r="AI513" s="60">
        <f t="shared" ref="AI513:AJ513" si="6050">AI515</f>
        <v>3454</v>
      </c>
      <c r="AJ513" s="60">
        <f t="shared" si="6050"/>
        <v>3493</v>
      </c>
      <c r="AK513" s="60">
        <f>AK515</f>
        <v>2994</v>
      </c>
      <c r="AL513" s="60">
        <f t="shared" ref="AL513" si="6051">AL515</f>
        <v>3564</v>
      </c>
      <c r="AM513" s="60">
        <f t="shared" ref="AM513:AN513" si="6052">AM515</f>
        <v>2906</v>
      </c>
      <c r="AN513" s="60">
        <f t="shared" si="6052"/>
        <v>1413</v>
      </c>
      <c r="AO513" s="60">
        <f t="shared" ref="AO513" si="6053">AO515</f>
        <v>2345</v>
      </c>
      <c r="AP513" s="60">
        <f t="shared" ref="AP513:AQ513" si="6054">AP515</f>
        <v>2990</v>
      </c>
      <c r="AQ513" s="60">
        <f t="shared" si="6054"/>
        <v>3208</v>
      </c>
      <c r="AR513" s="60">
        <f t="shared" ref="AR513:AS513" si="6055">AR515</f>
        <v>3113</v>
      </c>
      <c r="AS513" s="60">
        <f t="shared" si="6055"/>
        <v>3402</v>
      </c>
      <c r="AT513" s="60">
        <f t="shared" ref="AT513:AU513" si="6056">AT515</f>
        <v>3829</v>
      </c>
      <c r="AU513" s="60">
        <f t="shared" si="6056"/>
        <v>3584</v>
      </c>
      <c r="AV513" s="60">
        <f t="shared" ref="AV513:AW513" si="6057">AV515</f>
        <v>3552</v>
      </c>
      <c r="AW513" s="60">
        <f t="shared" si="6057"/>
        <v>3173</v>
      </c>
      <c r="AX513" s="60">
        <f t="shared" ref="AX513" si="6058">AX515</f>
        <v>3568</v>
      </c>
      <c r="AY513" s="219">
        <f t="shared" ref="AY513" si="6059">AY515</f>
        <v>2219</v>
      </c>
      <c r="AZ513" s="60">
        <f t="shared" ref="AZ513:BA513" si="6060">AZ515</f>
        <v>3822.0786327811115</v>
      </c>
      <c r="BA513" s="60">
        <f t="shared" si="6060"/>
        <v>3787.7479095662015</v>
      </c>
      <c r="BB513" s="60">
        <f t="shared" ref="BB513:BC513" si="6061">BB515</f>
        <v>3961.4812412299361</v>
      </c>
      <c r="BC513" s="60">
        <f t="shared" si="6061"/>
        <v>3621.5306533571138</v>
      </c>
      <c r="BD513" s="60">
        <f t="shared" ref="BD513:BE513" si="6062">BD515</f>
        <v>4055.998950735765</v>
      </c>
      <c r="BE513" s="60">
        <f t="shared" si="6062"/>
        <v>3757.8946649627974</v>
      </c>
      <c r="BF513" s="60">
        <f t="shared" ref="BF513:BG513" si="6063">BF515</f>
        <v>4173.6762135902381</v>
      </c>
      <c r="BG513" s="60">
        <f t="shared" si="6063"/>
        <v>3935.7576125989444</v>
      </c>
      <c r="BH513" s="60">
        <f t="shared" ref="BH513:BI513" si="6064">BH515</f>
        <v>4275.3908680601107</v>
      </c>
      <c r="BI513" s="60">
        <f t="shared" si="6064"/>
        <v>4000.6619080592413</v>
      </c>
      <c r="BJ513" s="60">
        <f t="shared" ref="BJ513:BK513" si="6065">BJ515</f>
        <v>4419.7437697908626</v>
      </c>
      <c r="BK513" s="60">
        <f t="shared" si="6065"/>
        <v>4328.1798279280592</v>
      </c>
      <c r="BL513" s="60">
        <f t="shared" ref="BL513:BM513" si="6066">BL515</f>
        <v>4545.2922472606579</v>
      </c>
      <c r="BM513" s="60">
        <f t="shared" si="6066"/>
        <v>4366.2256535934766</v>
      </c>
      <c r="BN513" s="60">
        <f t="shared" ref="BN513:BO513" si="6067">BN515</f>
        <v>4566.1046688744091</v>
      </c>
      <c r="BO513" s="60">
        <f t="shared" si="6067"/>
        <v>4427.6162080881677</v>
      </c>
      <c r="BP513" s="60">
        <f t="shared" ref="BP513:BQ513" si="6068">BP515</f>
        <v>4642.2811250171344</v>
      </c>
      <c r="BQ513" s="60">
        <f t="shared" si="6068"/>
        <v>4543.8090121218265</v>
      </c>
      <c r="BR513" s="60"/>
      <c r="BS513" s="60">
        <f t="shared" ref="BS513:CB513" si="6069">BS515</f>
        <v>-657.9</v>
      </c>
      <c r="BT513" s="60">
        <f t="shared" si="6069"/>
        <v>380.1</v>
      </c>
      <c r="BU513" s="60">
        <f t="shared" si="6069"/>
        <v>723</v>
      </c>
      <c r="BV513" s="60">
        <f t="shared" si="6069"/>
        <v>953</v>
      </c>
      <c r="BW513" s="60">
        <f t="shared" si="6069"/>
        <v>1116</v>
      </c>
      <c r="BX513" s="60">
        <f t="shared" si="6069"/>
        <v>1171</v>
      </c>
      <c r="BY513" s="60">
        <f t="shared" si="6069"/>
        <v>1175</v>
      </c>
      <c r="BZ513" s="60">
        <f t="shared" si="6069"/>
        <v>1408</v>
      </c>
      <c r="CA513" s="60">
        <f t="shared" si="6069"/>
        <v>1613</v>
      </c>
      <c r="CB513" s="60">
        <f t="shared" si="6069"/>
        <v>1768</v>
      </c>
      <c r="CC513" s="60">
        <f t="shared" ref="CC513:CO513" si="6070">CC515</f>
        <v>2051</v>
      </c>
      <c r="CD513" s="60">
        <f t="shared" si="6070"/>
        <v>2246</v>
      </c>
      <c r="CE513" s="60">
        <f t="shared" si="6070"/>
        <v>2633</v>
      </c>
      <c r="CF513" s="60">
        <f t="shared" si="6070"/>
        <v>3132.9999999999991</v>
      </c>
      <c r="CG513" s="60">
        <f t="shared" si="6070"/>
        <v>3559.9999999999995</v>
      </c>
      <c r="CH513" s="60">
        <f t="shared" si="6070"/>
        <v>3886.9999999999995</v>
      </c>
      <c r="CI513" s="60">
        <f t="shared" si="6070"/>
        <v>3230.9999999999995</v>
      </c>
      <c r="CJ513" s="60">
        <f t="shared" si="6070"/>
        <v>3350</v>
      </c>
      <c r="CK513" s="60">
        <f t="shared" si="6070"/>
        <v>5122</v>
      </c>
      <c r="CL513" s="60">
        <f t="shared" si="6070"/>
        <v>5455</v>
      </c>
      <c r="CM513" s="60">
        <f t="shared" si="6070"/>
        <v>6039</v>
      </c>
      <c r="CN513" s="60">
        <f t="shared" si="6070"/>
        <v>6486</v>
      </c>
      <c r="CO513" s="60">
        <f t="shared" si="6070"/>
        <v>7111</v>
      </c>
      <c r="CP513" s="60">
        <f t="shared" ref="CP513:CX513" si="6071">CP515</f>
        <v>7215</v>
      </c>
      <c r="CQ513" s="60">
        <f t="shared" si="6071"/>
        <v>5889</v>
      </c>
      <c r="CR513" s="60">
        <f t="shared" si="6071"/>
        <v>6809</v>
      </c>
      <c r="CS513" s="60">
        <f t="shared" si="6071"/>
        <v>6487</v>
      </c>
      <c r="CT513" s="60">
        <f t="shared" si="6071"/>
        <v>6470</v>
      </c>
      <c r="CU513" s="60">
        <f t="shared" si="6071"/>
        <v>3758</v>
      </c>
      <c r="CV513" s="60">
        <f t="shared" si="6071"/>
        <v>6198</v>
      </c>
      <c r="CW513" s="60">
        <f t="shared" si="6071"/>
        <v>6515</v>
      </c>
      <c r="CX513" s="60">
        <f t="shared" si="6071"/>
        <v>7413</v>
      </c>
      <c r="CY513" s="60">
        <f t="shared" ref="CY513:DD513" si="6072">CY515</f>
        <v>6725</v>
      </c>
      <c r="CZ513" s="219">
        <f t="shared" si="6072"/>
        <v>5787</v>
      </c>
      <c r="DA513" s="60">
        <f t="shared" si="6072"/>
        <v>7609.826542347314</v>
      </c>
      <c r="DB513" s="60">
        <f t="shared" si="6072"/>
        <v>7583.0118945870518</v>
      </c>
      <c r="DC513" s="60">
        <f t="shared" si="6072"/>
        <v>7813.8936156985646</v>
      </c>
      <c r="DD513" s="60">
        <f t="shared" si="6072"/>
        <v>8109.4338261891835</v>
      </c>
      <c r="DE513" s="60">
        <f t="shared" ref="DE513" si="6073">DE515</f>
        <v>8276.0527761193516</v>
      </c>
      <c r="DF513" s="60">
        <f t="shared" ref="DF513" si="6074">DF515</f>
        <v>8747.9235977189201</v>
      </c>
      <c r="DG513" s="60">
        <f>DG515</f>
        <v>8911.5179008541327</v>
      </c>
      <c r="DH513" s="60">
        <f>DH515</f>
        <v>8993.7208769625795</v>
      </c>
      <c r="DI513" s="60">
        <f>DI515</f>
        <v>9186.0901371389627</v>
      </c>
    </row>
    <row r="514" spans="1:113" ht="12" outlineLevel="1">
      <c r="C514" s="41"/>
      <c r="D514" s="41"/>
      <c r="E514" s="41"/>
      <c r="F514" s="41"/>
      <c r="G514" s="41"/>
      <c r="H514" s="41"/>
      <c r="I514" s="41"/>
      <c r="J514" s="41"/>
      <c r="K514" s="41"/>
      <c r="L514" s="41"/>
      <c r="M514" s="41"/>
      <c r="N514" s="41"/>
      <c r="O514" s="41"/>
      <c r="P514" s="41"/>
      <c r="Q514" s="41"/>
      <c r="R514" s="41"/>
      <c r="S514" s="41"/>
      <c r="T514" s="41"/>
      <c r="U514" s="41"/>
      <c r="V514" s="41"/>
      <c r="W514" s="41"/>
      <c r="X514" s="41"/>
      <c r="Y514" s="41"/>
      <c r="Z514" s="41"/>
      <c r="AA514" s="41"/>
      <c r="AB514" s="41"/>
      <c r="AC514" s="41"/>
      <c r="AD514" s="43"/>
      <c r="AE514" s="43"/>
      <c r="AF514" s="43"/>
      <c r="AG514" s="43"/>
      <c r="AH514" s="43"/>
      <c r="AI514" s="43"/>
      <c r="AJ514" s="43"/>
      <c r="AK514" s="41"/>
      <c r="AL514" s="41"/>
      <c r="AM514" s="41"/>
      <c r="AN514" s="41"/>
      <c r="AO514" s="41"/>
      <c r="AP514" s="41"/>
      <c r="AQ514" s="41"/>
      <c r="AR514" s="41"/>
      <c r="AS514" s="41"/>
      <c r="AT514" s="41"/>
      <c r="AU514" s="41"/>
      <c r="AV514" s="41"/>
      <c r="AW514" s="41"/>
      <c r="AX514" s="41"/>
      <c r="AY514" s="211"/>
      <c r="AZ514" s="41"/>
      <c r="BA514" s="41"/>
      <c r="BB514" s="41"/>
      <c r="BC514" s="41"/>
      <c r="BD514" s="41"/>
      <c r="BE514" s="41"/>
      <c r="BF514" s="41"/>
      <c r="BG514" s="41"/>
      <c r="BH514" s="41"/>
      <c r="BI514" s="41"/>
      <c r="BJ514" s="41"/>
      <c r="BK514" s="41"/>
      <c r="BL514" s="41"/>
      <c r="BM514" s="41"/>
      <c r="BN514" s="41"/>
      <c r="BO514" s="41"/>
      <c r="BP514" s="41"/>
      <c r="BQ514" s="41"/>
      <c r="BR514" s="41"/>
      <c r="BS514" s="41"/>
      <c r="BT514" s="41"/>
      <c r="BU514" s="41"/>
      <c r="BV514" s="41"/>
      <c r="BW514" s="41"/>
      <c r="BX514" s="41"/>
      <c r="BY514" s="41"/>
      <c r="BZ514" s="41"/>
      <c r="CA514" s="41"/>
      <c r="CB514" s="41"/>
      <c r="CC514" s="41"/>
      <c r="CD514" s="41"/>
      <c r="CE514" s="41"/>
      <c r="CF514" s="41"/>
      <c r="CG514" s="41"/>
      <c r="CH514" s="41"/>
      <c r="CI514" s="41"/>
      <c r="CJ514" s="41"/>
      <c r="CK514" s="41"/>
      <c r="CL514" s="41"/>
      <c r="CM514" s="41"/>
      <c r="CN514" s="32"/>
      <c r="CO514" s="41"/>
      <c r="CP514" s="41"/>
      <c r="CQ514" s="41"/>
      <c r="CR514" s="41"/>
      <c r="CS514" s="41"/>
      <c r="CT514" s="32"/>
      <c r="CU514" s="32"/>
      <c r="CV514" s="32"/>
      <c r="CW514" s="32"/>
      <c r="CX514" s="32"/>
      <c r="CY514" s="32"/>
      <c r="CZ514" s="211"/>
      <c r="DA514" s="41"/>
      <c r="DB514" s="15"/>
      <c r="DC514" s="15"/>
      <c r="DD514" s="15"/>
      <c r="DE514" s="15"/>
      <c r="DF514" s="15"/>
      <c r="DG514" s="15"/>
      <c r="DH514" s="15"/>
      <c r="DI514" s="15"/>
    </row>
    <row r="515" spans="1:113" s="17" customFormat="1" ht="12" outlineLevel="1">
      <c r="A515" s="1" t="s">
        <v>334</v>
      </c>
      <c r="B515" s="17" t="s">
        <v>357</v>
      </c>
      <c r="C515" s="62">
        <f t="shared" ref="C515:L515" si="6075">C381+C408+C443+C472+C500</f>
        <v>915</v>
      </c>
      <c r="D515" s="62">
        <f t="shared" si="6075"/>
        <v>1006</v>
      </c>
      <c r="E515" s="62">
        <f t="shared" si="6075"/>
        <v>1044.9999999999998</v>
      </c>
      <c r="F515" s="62">
        <f t="shared" si="6075"/>
        <v>1087.0000000000002</v>
      </c>
      <c r="G515" s="62">
        <f t="shared" si="6075"/>
        <v>1159</v>
      </c>
      <c r="H515" s="62">
        <f t="shared" si="6075"/>
        <v>1248</v>
      </c>
      <c r="I515" s="62">
        <f>I381+I408+I443+I472+I500</f>
        <v>1385.0000000000007</v>
      </c>
      <c r="J515" s="62">
        <f>J381+J408+J443+J472+J500</f>
        <v>1562.0000000000005</v>
      </c>
      <c r="K515" s="62">
        <f t="shared" si="6075"/>
        <v>1570.9999999999995</v>
      </c>
      <c r="L515" s="62">
        <f t="shared" si="6075"/>
        <v>1718.9999999999995</v>
      </c>
      <c r="M515" s="62">
        <f t="shared" ref="M515:AC515" si="6076">M381+M408+M443+M472+M500</f>
        <v>1841</v>
      </c>
      <c r="N515" s="62">
        <f t="shared" si="6076"/>
        <v>1918.9999999999995</v>
      </c>
      <c r="O515" s="62">
        <f t="shared" si="6076"/>
        <v>1967.9999999999998</v>
      </c>
      <c r="P515" s="62">
        <f t="shared" si="6076"/>
        <v>1899.0000000000007</v>
      </c>
      <c r="Q515" s="62">
        <f t="shared" si="6076"/>
        <v>1332.0000000000005</v>
      </c>
      <c r="R515" s="62">
        <f t="shared" si="6076"/>
        <v>930</v>
      </c>
      <c r="S515" s="62">
        <f t="shared" si="6076"/>
        <v>2420</v>
      </c>
      <c r="T515" s="62">
        <f t="shared" si="6076"/>
        <v>2370</v>
      </c>
      <c r="U515" s="62">
        <f t="shared" si="6076"/>
        <v>2752</v>
      </c>
      <c r="V515" s="62">
        <f t="shared" si="6076"/>
        <v>2717</v>
      </c>
      <c r="W515" s="62">
        <f t="shared" si="6076"/>
        <v>2738</v>
      </c>
      <c r="X515" s="62">
        <f t="shared" si="6076"/>
        <v>2889</v>
      </c>
      <c r="Y515" s="62">
        <f t="shared" si="6076"/>
        <v>3150</v>
      </c>
      <c r="Z515" s="62">
        <f t="shared" si="6076"/>
        <v>3176</v>
      </c>
      <c r="AA515" s="62">
        <f>AA381+AA408+AA443+AA472+AA500</f>
        <v>3310</v>
      </c>
      <c r="AB515" s="62">
        <f t="shared" si="6076"/>
        <v>3512</v>
      </c>
      <c r="AC515" s="62">
        <f t="shared" si="6076"/>
        <v>3599</v>
      </c>
      <c r="AD515" s="62">
        <f t="shared" ref="AD515:AI515" si="6077">AD381+AD408+AD443+AD472+AD500</f>
        <v>3675</v>
      </c>
      <c r="AE515" s="62">
        <f t="shared" si="6077"/>
        <v>3540</v>
      </c>
      <c r="AF515" s="62">
        <f t="shared" si="6077"/>
        <v>2782</v>
      </c>
      <c r="AG515" s="62">
        <f t="shared" si="6077"/>
        <v>3107</v>
      </c>
      <c r="AH515" s="62">
        <f t="shared" si="6077"/>
        <v>3355</v>
      </c>
      <c r="AI515" s="62">
        <f t="shared" si="6077"/>
        <v>3454</v>
      </c>
      <c r="AJ515" s="62">
        <f t="shared" ref="AJ515" si="6078">AJ381+AJ408+AJ443+AJ472+AJ500</f>
        <v>3493</v>
      </c>
      <c r="AK515" s="62">
        <f t="shared" ref="AK515:AL515" si="6079">AK381+AK408+AK443+AK472+AK500</f>
        <v>2994</v>
      </c>
      <c r="AL515" s="62">
        <f t="shared" si="6079"/>
        <v>3564</v>
      </c>
      <c r="AM515" s="62">
        <f t="shared" ref="AM515:AN515" si="6080">AM381+AM408+AM443+AM472+AM500</f>
        <v>2906</v>
      </c>
      <c r="AN515" s="62">
        <f t="shared" si="6080"/>
        <v>1413</v>
      </c>
      <c r="AO515" s="62">
        <f t="shared" ref="AO515" si="6081">AO381+AO408+AO443+AO472+AO500</f>
        <v>2345</v>
      </c>
      <c r="AP515" s="62">
        <f t="shared" ref="AP515:AQ515" si="6082">AP381+AP408+AP443+AP472+AP500</f>
        <v>2990</v>
      </c>
      <c r="AQ515" s="62">
        <f t="shared" si="6082"/>
        <v>3208</v>
      </c>
      <c r="AR515" s="62">
        <f t="shared" ref="AR515:AS515" si="6083">AR381+AR408+AR443+AR472+AR500</f>
        <v>3113</v>
      </c>
      <c r="AS515" s="62">
        <f t="shared" si="6083"/>
        <v>3402</v>
      </c>
      <c r="AT515" s="62">
        <f t="shared" ref="AT515:AU515" si="6084">AT381+AT408+AT443+AT472+AT500</f>
        <v>3829</v>
      </c>
      <c r="AU515" s="62">
        <f t="shared" si="6084"/>
        <v>3584</v>
      </c>
      <c r="AV515" s="62">
        <f t="shared" ref="AV515:AW515" si="6085">AV381+AV408+AV443+AV472+AV500</f>
        <v>3552</v>
      </c>
      <c r="AW515" s="62">
        <f t="shared" si="6085"/>
        <v>3173</v>
      </c>
      <c r="AX515" s="62">
        <f>AX381+AX408+AX443+AX472+AX500</f>
        <v>3568</v>
      </c>
      <c r="AY515" s="220">
        <f>AY381+AY408+AY443+AY472+AY500</f>
        <v>2219</v>
      </c>
      <c r="AZ515" s="62">
        <f t="shared" ref="AZ515:BA515" si="6086">AZ381+AZ408+AZ443+AZ472+AZ500</f>
        <v>3822.0786327811115</v>
      </c>
      <c r="BA515" s="62">
        <f t="shared" si="6086"/>
        <v>3787.7479095662015</v>
      </c>
      <c r="BB515" s="62">
        <f t="shared" ref="BB515:BC515" si="6087">BB381+BB408+BB443+BB472+BB500</f>
        <v>3961.4812412299361</v>
      </c>
      <c r="BC515" s="62">
        <f t="shared" si="6087"/>
        <v>3621.5306533571138</v>
      </c>
      <c r="BD515" s="62">
        <f t="shared" ref="BD515:BE515" si="6088">BD381+BD408+BD443+BD472+BD500</f>
        <v>4055.998950735765</v>
      </c>
      <c r="BE515" s="62">
        <f t="shared" si="6088"/>
        <v>3757.8946649627974</v>
      </c>
      <c r="BF515" s="62">
        <f t="shared" ref="BF515:BG515" si="6089">BF381+BF408+BF443+BF472+BF500</f>
        <v>4173.6762135902381</v>
      </c>
      <c r="BG515" s="62">
        <f t="shared" si="6089"/>
        <v>3935.7576125989444</v>
      </c>
      <c r="BH515" s="62">
        <f t="shared" ref="BH515:BI515" si="6090">BH381+BH408+BH443+BH472+BH500</f>
        <v>4275.3908680601107</v>
      </c>
      <c r="BI515" s="62">
        <f t="shared" si="6090"/>
        <v>4000.6619080592413</v>
      </c>
      <c r="BJ515" s="62">
        <f t="shared" ref="BJ515:BK515" si="6091">BJ381+BJ408+BJ443+BJ472+BJ500</f>
        <v>4419.7437697908626</v>
      </c>
      <c r="BK515" s="62">
        <f t="shared" si="6091"/>
        <v>4328.1798279280592</v>
      </c>
      <c r="BL515" s="62">
        <f t="shared" ref="BL515:BM515" si="6092">BL381+BL408+BL443+BL472+BL500</f>
        <v>4545.2922472606579</v>
      </c>
      <c r="BM515" s="62">
        <f t="shared" si="6092"/>
        <v>4366.2256535934766</v>
      </c>
      <c r="BN515" s="62">
        <f t="shared" ref="BN515:BO515" si="6093">BN381+BN408+BN443+BN472+BN500</f>
        <v>4566.1046688744091</v>
      </c>
      <c r="BO515" s="62">
        <f t="shared" si="6093"/>
        <v>4427.6162080881677</v>
      </c>
      <c r="BP515" s="62">
        <f t="shared" ref="BP515:BQ515" si="6094">BP381+BP408+BP443+BP472+BP500</f>
        <v>4642.2811250171344</v>
      </c>
      <c r="BQ515" s="62">
        <f t="shared" si="6094"/>
        <v>4543.8090121218265</v>
      </c>
      <c r="BR515" s="62"/>
      <c r="BS515" s="62">
        <f t="shared" ref="BS515:CB515" si="6095">BS381+BS408+BS443+BS472+BS500</f>
        <v>-657.9</v>
      </c>
      <c r="BT515" s="62">
        <f t="shared" si="6095"/>
        <v>380.1</v>
      </c>
      <c r="BU515" s="62">
        <f t="shared" si="6095"/>
        <v>723</v>
      </c>
      <c r="BV515" s="62">
        <f t="shared" si="6095"/>
        <v>953</v>
      </c>
      <c r="BW515" s="62">
        <f t="shared" si="6095"/>
        <v>1116</v>
      </c>
      <c r="BX515" s="62">
        <f t="shared" si="6095"/>
        <v>1171</v>
      </c>
      <c r="BY515" s="62">
        <f t="shared" si="6095"/>
        <v>1175</v>
      </c>
      <c r="BZ515" s="62">
        <f t="shared" si="6095"/>
        <v>1408</v>
      </c>
      <c r="CA515" s="62">
        <f t="shared" si="6095"/>
        <v>1613</v>
      </c>
      <c r="CB515" s="62">
        <f t="shared" si="6095"/>
        <v>1768</v>
      </c>
      <c r="CC515" s="62">
        <f t="shared" ref="CC515:CR515" si="6096">CC381+CC408+CC443+CC472+CC500</f>
        <v>2051</v>
      </c>
      <c r="CD515" s="62">
        <f t="shared" si="6096"/>
        <v>2246</v>
      </c>
      <c r="CE515" s="62">
        <f t="shared" si="6096"/>
        <v>2633</v>
      </c>
      <c r="CF515" s="62">
        <f t="shared" si="6096"/>
        <v>3132.9999999999991</v>
      </c>
      <c r="CG515" s="62">
        <f t="shared" si="6096"/>
        <v>3559.9999999999995</v>
      </c>
      <c r="CH515" s="62">
        <f t="shared" si="6096"/>
        <v>3886.9999999999995</v>
      </c>
      <c r="CI515" s="62">
        <f t="shared" si="6096"/>
        <v>3230.9999999999995</v>
      </c>
      <c r="CJ515" s="62">
        <f t="shared" si="6096"/>
        <v>3350</v>
      </c>
      <c r="CK515" s="62">
        <f t="shared" si="6096"/>
        <v>5122</v>
      </c>
      <c r="CL515" s="62">
        <f t="shared" si="6096"/>
        <v>5455</v>
      </c>
      <c r="CM515" s="62">
        <f t="shared" si="6096"/>
        <v>6039</v>
      </c>
      <c r="CN515" s="62">
        <f t="shared" si="6096"/>
        <v>6486</v>
      </c>
      <c r="CO515" s="62">
        <f t="shared" si="6096"/>
        <v>7111</v>
      </c>
      <c r="CP515" s="62">
        <f t="shared" si="6096"/>
        <v>7215</v>
      </c>
      <c r="CQ515" s="62">
        <f t="shared" si="6096"/>
        <v>5889</v>
      </c>
      <c r="CR515" s="62">
        <f t="shared" si="6096"/>
        <v>6809</v>
      </c>
      <c r="CS515" s="62">
        <f t="shared" ref="CS515:CX515" si="6097">CS381+CS408+CS443+CS472+CS500</f>
        <v>6487</v>
      </c>
      <c r="CT515" s="62">
        <f t="shared" si="6097"/>
        <v>6470</v>
      </c>
      <c r="CU515" s="62">
        <f t="shared" si="6097"/>
        <v>3758</v>
      </c>
      <c r="CV515" s="62">
        <f t="shared" si="6097"/>
        <v>6198</v>
      </c>
      <c r="CW515" s="62">
        <f t="shared" si="6097"/>
        <v>6515</v>
      </c>
      <c r="CX515" s="62">
        <f t="shared" si="6097"/>
        <v>7413</v>
      </c>
      <c r="CY515" s="62">
        <f t="shared" ref="CY515:DD515" si="6098">CY381+CY408+CY443+CY472+CY500</f>
        <v>6725</v>
      </c>
      <c r="CZ515" s="220">
        <f t="shared" si="6098"/>
        <v>5787</v>
      </c>
      <c r="DA515" s="62">
        <f t="shared" si="6098"/>
        <v>7609.826542347314</v>
      </c>
      <c r="DB515" s="62">
        <f t="shared" si="6098"/>
        <v>7583.0118945870518</v>
      </c>
      <c r="DC515" s="62">
        <f t="shared" si="6098"/>
        <v>7813.8936156985646</v>
      </c>
      <c r="DD515" s="62">
        <f t="shared" si="6098"/>
        <v>8109.4338261891835</v>
      </c>
      <c r="DE515" s="62">
        <f t="shared" ref="DE515" si="6099">DE381+DE408+DE443+DE472+DE500</f>
        <v>8276.0527761193516</v>
      </c>
      <c r="DF515" s="62">
        <f>DF381+DF408+DF443+DF472+DF500</f>
        <v>8747.9235977189201</v>
      </c>
      <c r="DG515" s="62">
        <f>DG381+DG408+DG443+DG472+DG500</f>
        <v>8911.5179008541327</v>
      </c>
      <c r="DH515" s="62">
        <f>DH381+DH408+DH443+DH472+DH500</f>
        <v>8993.7208769625795</v>
      </c>
      <c r="DI515" s="62">
        <f>DI381+DI408+DI443+DI472+DI500</f>
        <v>9186.0901371389627</v>
      </c>
    </row>
    <row r="516" spans="1:113" ht="12" hidden="1" outlineLevel="2">
      <c r="A516" s="1" t="s">
        <v>398</v>
      </c>
      <c r="B516" s="15" t="s">
        <v>857</v>
      </c>
      <c r="C516" s="41">
        <f>C386</f>
        <v>0</v>
      </c>
      <c r="D516" s="41">
        <f>D386</f>
        <v>0</v>
      </c>
      <c r="E516" s="41">
        <f t="shared" ref="E516:L516" si="6100">E386</f>
        <v>0</v>
      </c>
      <c r="F516" s="41">
        <f t="shared" si="6100"/>
        <v>0</v>
      </c>
      <c r="G516" s="41">
        <f t="shared" si="6100"/>
        <v>0</v>
      </c>
      <c r="H516" s="41">
        <f t="shared" si="6100"/>
        <v>0</v>
      </c>
      <c r="I516" s="41">
        <f t="shared" si="6100"/>
        <v>0</v>
      </c>
      <c r="J516" s="41">
        <f t="shared" si="6100"/>
        <v>0</v>
      </c>
      <c r="K516" s="41">
        <f t="shared" si="6100"/>
        <v>0</v>
      </c>
      <c r="L516" s="41">
        <f t="shared" si="6100"/>
        <v>0</v>
      </c>
      <c r="M516" s="41">
        <f t="shared" ref="M516:U516" si="6101">M386</f>
        <v>0</v>
      </c>
      <c r="N516" s="41">
        <f t="shared" si="6101"/>
        <v>0</v>
      </c>
      <c r="O516" s="41">
        <f t="shared" si="6101"/>
        <v>0</v>
      </c>
      <c r="P516" s="41">
        <f t="shared" si="6101"/>
        <v>1</v>
      </c>
      <c r="Q516" s="41">
        <f t="shared" si="6101"/>
        <v>4</v>
      </c>
      <c r="R516" s="41">
        <f t="shared" si="6101"/>
        <v>0</v>
      </c>
      <c r="S516" s="41">
        <f t="shared" si="6101"/>
        <v>0</v>
      </c>
      <c r="T516" s="41">
        <f t="shared" si="6101"/>
        <v>-1</v>
      </c>
      <c r="U516" s="41">
        <f t="shared" si="6101"/>
        <v>-9</v>
      </c>
      <c r="V516" s="41">
        <f>V386</f>
        <v>0</v>
      </c>
      <c r="W516" s="41">
        <f>W386</f>
        <v>0</v>
      </c>
      <c r="X516" s="41">
        <f>X386</f>
        <v>0</v>
      </c>
      <c r="Y516" s="41">
        <f>Y386</f>
        <v>0</v>
      </c>
      <c r="Z516" s="41">
        <f t="shared" ref="Z516:AC516" si="6102">Z386</f>
        <v>0</v>
      </c>
      <c r="AA516" s="41">
        <f t="shared" si="6102"/>
        <v>0</v>
      </c>
      <c r="AB516" s="41">
        <f t="shared" si="6102"/>
        <v>0</v>
      </c>
      <c r="AC516" s="41">
        <f t="shared" si="6102"/>
        <v>0</v>
      </c>
      <c r="AD516" s="41">
        <f t="shared" ref="AD516" si="6103">AD386</f>
        <v>0</v>
      </c>
      <c r="AE516" s="41">
        <f t="shared" ref="AE516:AF516" si="6104">AE386</f>
        <v>0</v>
      </c>
      <c r="AF516" s="41">
        <f t="shared" si="6104"/>
        <v>0</v>
      </c>
      <c r="AG516" s="41">
        <f t="shared" ref="AG516:AH516" si="6105">AG386</f>
        <v>0</v>
      </c>
      <c r="AH516" s="41">
        <f t="shared" si="6105"/>
        <v>0</v>
      </c>
      <c r="AI516" s="41">
        <f t="shared" ref="AI516:AJ516" si="6106">AI386</f>
        <v>0</v>
      </c>
      <c r="AJ516" s="41">
        <f t="shared" si="6106"/>
        <v>0</v>
      </c>
      <c r="AK516" s="41">
        <f t="shared" ref="AK516:AL516" si="6107">AK386</f>
        <v>0</v>
      </c>
      <c r="AL516" s="41">
        <f t="shared" si="6107"/>
        <v>0</v>
      </c>
      <c r="AM516" s="41">
        <f t="shared" ref="AM516:AN516" si="6108">AM386</f>
        <v>0</v>
      </c>
      <c r="AN516" s="41">
        <f t="shared" si="6108"/>
        <v>0</v>
      </c>
      <c r="AO516" s="41">
        <f t="shared" ref="AO516" si="6109">AO386</f>
        <v>0</v>
      </c>
      <c r="AP516" s="41">
        <f t="shared" ref="AP516:AQ516" si="6110">AP386</f>
        <v>0</v>
      </c>
      <c r="AQ516" s="41">
        <f t="shared" si="6110"/>
        <v>0</v>
      </c>
      <c r="AR516" s="41">
        <f t="shared" ref="AR516:AS516" si="6111">AR386</f>
        <v>0</v>
      </c>
      <c r="AS516" s="41">
        <f t="shared" si="6111"/>
        <v>0</v>
      </c>
      <c r="AT516" s="41">
        <f t="shared" ref="AT516:AU516" si="6112">AT386</f>
        <v>0</v>
      </c>
      <c r="AU516" s="41">
        <f t="shared" si="6112"/>
        <v>0</v>
      </c>
      <c r="AV516" s="41">
        <f t="shared" ref="AV516:AW516" si="6113">AV386</f>
        <v>0</v>
      </c>
      <c r="AW516" s="41">
        <f t="shared" si="6113"/>
        <v>0</v>
      </c>
      <c r="AX516" s="41">
        <f t="shared" ref="AX516:AY516" si="6114">AX386</f>
        <v>0</v>
      </c>
      <c r="AY516" s="211">
        <f t="shared" si="6114"/>
        <v>0</v>
      </c>
      <c r="AZ516" s="41">
        <f t="shared" ref="AZ516:BA516" si="6115">AZ386</f>
        <v>0</v>
      </c>
      <c r="BA516" s="41">
        <f t="shared" si="6115"/>
        <v>0</v>
      </c>
      <c r="BB516" s="41">
        <f t="shared" ref="BB516:BC516" si="6116">BB386</f>
        <v>0</v>
      </c>
      <c r="BC516" s="41">
        <f t="shared" si="6116"/>
        <v>0</v>
      </c>
      <c r="BD516" s="41">
        <f t="shared" ref="BD516:BE516" si="6117">BD386</f>
        <v>0</v>
      </c>
      <c r="BE516" s="41">
        <f t="shared" si="6117"/>
        <v>0</v>
      </c>
      <c r="BF516" s="41">
        <f t="shared" ref="BF516:BG516" si="6118">BF386</f>
        <v>0</v>
      </c>
      <c r="BG516" s="41">
        <f t="shared" si="6118"/>
        <v>0</v>
      </c>
      <c r="BH516" s="41">
        <f t="shared" ref="BH516:BI516" si="6119">BH386</f>
        <v>0</v>
      </c>
      <c r="BI516" s="41">
        <f t="shared" si="6119"/>
        <v>0</v>
      </c>
      <c r="BJ516" s="41">
        <f t="shared" ref="BJ516:BK516" si="6120">BJ386</f>
        <v>0</v>
      </c>
      <c r="BK516" s="41">
        <f t="shared" si="6120"/>
        <v>0</v>
      </c>
      <c r="BL516" s="41">
        <f t="shared" ref="BL516:BM516" si="6121">BL386</f>
        <v>0</v>
      </c>
      <c r="BM516" s="41">
        <f t="shared" si="6121"/>
        <v>0</v>
      </c>
      <c r="BN516" s="41">
        <f t="shared" ref="BN516:BO516" si="6122">BN386</f>
        <v>0</v>
      </c>
      <c r="BO516" s="41">
        <f t="shared" si="6122"/>
        <v>0</v>
      </c>
      <c r="BP516" s="41">
        <f t="shared" ref="BP516:BQ516" si="6123">BP386</f>
        <v>0</v>
      </c>
      <c r="BQ516" s="41">
        <f t="shared" si="6123"/>
        <v>0</v>
      </c>
      <c r="BR516" s="41"/>
      <c r="BS516" s="41">
        <f t="shared" ref="BS516:CB516" si="6124">BS386</f>
        <v>0</v>
      </c>
      <c r="BT516" s="41">
        <f t="shared" si="6124"/>
        <v>0</v>
      </c>
      <c r="BU516" s="41">
        <f t="shared" si="6124"/>
        <v>0</v>
      </c>
      <c r="BV516" s="41">
        <f t="shared" si="6124"/>
        <v>0</v>
      </c>
      <c r="BW516" s="41">
        <f t="shared" si="6124"/>
        <v>0</v>
      </c>
      <c r="BX516" s="41">
        <f t="shared" si="6124"/>
        <v>0</v>
      </c>
      <c r="BY516" s="41">
        <f t="shared" si="6124"/>
        <v>0</v>
      </c>
      <c r="BZ516" s="41">
        <f t="shared" si="6124"/>
        <v>0</v>
      </c>
      <c r="CA516" s="41">
        <f t="shared" si="6124"/>
        <v>0</v>
      </c>
      <c r="CB516" s="41">
        <f t="shared" si="6124"/>
        <v>0</v>
      </c>
      <c r="CC516" s="41">
        <f t="shared" ref="CC516:CC529" si="6125">SUM(D516:E516)</f>
        <v>0</v>
      </c>
      <c r="CD516" s="41">
        <f t="shared" ref="CD516:CD529" si="6126">SUM(F516:G516)</f>
        <v>0</v>
      </c>
      <c r="CE516" s="41">
        <f t="shared" ref="CE516:CE529" si="6127">SUM(H516:I516)</f>
        <v>0</v>
      </c>
      <c r="CF516" s="41">
        <f t="shared" ref="CF516:CF529" si="6128">SUM(J516:K516)</f>
        <v>0</v>
      </c>
      <c r="CG516" s="41">
        <f t="shared" ref="CG516:CG529" si="6129">SUM(L516:M516)</f>
        <v>0</v>
      </c>
      <c r="CH516" s="41">
        <f t="shared" ref="CH516:CH529" si="6130">SUM(N516:O516)</f>
        <v>0</v>
      </c>
      <c r="CI516" s="41">
        <f t="shared" ref="CI516:CI529" si="6131">SUM(P516:Q516)</f>
        <v>5</v>
      </c>
      <c r="CJ516" s="41">
        <f t="shared" ref="CJ516:CJ529" si="6132">SUM(R516:S516)</f>
        <v>0</v>
      </c>
      <c r="CK516" s="41">
        <f t="shared" ref="CK516:CK529" si="6133">SUM(T516:U516)</f>
        <v>-10</v>
      </c>
      <c r="CL516" s="41">
        <f t="shared" ref="CL516:CL529" si="6134">SUM(V516:W516)</f>
        <v>0</v>
      </c>
      <c r="CM516" s="41">
        <f t="shared" ref="CM516:CM529" si="6135">SUM(X516:Y516)</f>
        <v>0</v>
      </c>
      <c r="CN516" s="41">
        <f t="shared" ref="CN516:CN529" si="6136">SUM(Z516:AA516)</f>
        <v>0</v>
      </c>
      <c r="CO516" s="41">
        <f t="shared" ref="CO516:CO529" si="6137">SUM(AB516:AC516)</f>
        <v>0</v>
      </c>
      <c r="CP516" s="41">
        <f t="shared" ref="CP516:CP529" si="6138">SUM(AD516:AE516)</f>
        <v>0</v>
      </c>
      <c r="CQ516" s="41">
        <f t="shared" ref="CQ516:CQ529" si="6139">SUM(AF516:AG516)</f>
        <v>0</v>
      </c>
      <c r="CR516" s="41">
        <f t="shared" ref="CR516:CR529" si="6140">SUM(AH516:AI516)</f>
        <v>0</v>
      </c>
      <c r="CS516" s="41">
        <f t="shared" ref="CS516:CS529" si="6141">SUM(AJ516:AK516)</f>
        <v>0</v>
      </c>
      <c r="CT516" s="41">
        <f t="shared" ref="CT516:CT529" si="6142">SUM(AL516:AM516)</f>
        <v>0</v>
      </c>
      <c r="CU516" s="41">
        <f t="shared" ref="CU516:CU529" si="6143">SUM(AN516:AO516)</f>
        <v>0</v>
      </c>
      <c r="CV516" s="41">
        <f t="shared" ref="CV516:CV529" si="6144">SUM(AP516:AQ516)</f>
        <v>0</v>
      </c>
      <c r="CW516" s="41">
        <f t="shared" ref="CW516:CW529" si="6145">SUM(AR516:AS516)</f>
        <v>0</v>
      </c>
      <c r="CX516" s="41">
        <f t="shared" ref="CX516:CX529" si="6146">SUM(AT516:AU516)</f>
        <v>0</v>
      </c>
      <c r="CY516" s="41">
        <f t="shared" ref="CY516:CY529" si="6147">SUM(AV516:AW516)</f>
        <v>0</v>
      </c>
      <c r="CZ516" s="211">
        <f t="shared" ref="CZ516:CZ529" si="6148">SUM(AX516:AY516)</f>
        <v>0</v>
      </c>
      <c r="DA516" s="41">
        <f t="shared" ref="DA516:DA529" si="6149">SUM(AZ516:BA516)</f>
        <v>0</v>
      </c>
      <c r="DB516" s="41">
        <f t="shared" ref="DB516:DB529" si="6150">SUM(BB516:BC516)</f>
        <v>0</v>
      </c>
      <c r="DC516" s="41">
        <f t="shared" ref="DC516:DC529" si="6151">SUM(BD516:BE516)</f>
        <v>0</v>
      </c>
      <c r="DD516" s="41">
        <f t="shared" ref="DD516:DD529" si="6152">SUM(BF516:BG516)</f>
        <v>0</v>
      </c>
      <c r="DE516" s="41">
        <f t="shared" ref="DE516:DE529" si="6153">SUM(BH516:BI516)</f>
        <v>0</v>
      </c>
      <c r="DF516" s="41">
        <f t="shared" ref="DF516:DF529" si="6154">SUM(BJ516:BK516)</f>
        <v>0</v>
      </c>
      <c r="DG516" s="41">
        <f t="shared" ref="DG516:DG529" si="6155">SUM(BL516:BM516)</f>
        <v>0</v>
      </c>
      <c r="DH516" s="41">
        <f t="shared" ref="DH516:DH529" si="6156">SUM(BN516:BO516)</f>
        <v>0</v>
      </c>
      <c r="DI516" s="41">
        <f t="shared" ref="DI516:DI529" si="6157">SUM(BP516:BQ516)</f>
        <v>0</v>
      </c>
    </row>
    <row r="517" spans="1:113" ht="12" hidden="1" outlineLevel="2">
      <c r="A517" s="1" t="s">
        <v>399</v>
      </c>
      <c r="B517" s="15" t="s">
        <v>447</v>
      </c>
      <c r="C517" s="41">
        <f t="shared" ref="C517:L517" si="6158">C413</f>
        <v>0</v>
      </c>
      <c r="D517" s="41">
        <f t="shared" si="6158"/>
        <v>0</v>
      </c>
      <c r="E517" s="41">
        <f t="shared" si="6158"/>
        <v>0</v>
      </c>
      <c r="F517" s="41">
        <f t="shared" si="6158"/>
        <v>0</v>
      </c>
      <c r="G517" s="41">
        <f t="shared" si="6158"/>
        <v>0</v>
      </c>
      <c r="H517" s="41">
        <f t="shared" si="6158"/>
        <v>0</v>
      </c>
      <c r="I517" s="41">
        <f t="shared" si="6158"/>
        <v>0</v>
      </c>
      <c r="J517" s="41">
        <f t="shared" si="6158"/>
        <v>0</v>
      </c>
      <c r="K517" s="41">
        <f t="shared" si="6158"/>
        <v>0</v>
      </c>
      <c r="L517" s="41">
        <f t="shared" si="6158"/>
        <v>0</v>
      </c>
      <c r="M517" s="41">
        <f t="shared" ref="M517:U517" si="6159">M413</f>
        <v>0</v>
      </c>
      <c r="N517" s="41">
        <f t="shared" si="6159"/>
        <v>0</v>
      </c>
      <c r="O517" s="41">
        <f t="shared" si="6159"/>
        <v>0</v>
      </c>
      <c r="P517" s="41">
        <f t="shared" si="6159"/>
        <v>-77</v>
      </c>
      <c r="Q517" s="41">
        <f t="shared" si="6159"/>
        <v>519</v>
      </c>
      <c r="R517" s="41">
        <f t="shared" si="6159"/>
        <v>1155</v>
      </c>
      <c r="S517" s="41">
        <f t="shared" si="6159"/>
        <v>-728</v>
      </c>
      <c r="T517" s="41">
        <f t="shared" si="6159"/>
        <v>-82</v>
      </c>
      <c r="U517" s="41">
        <f t="shared" si="6159"/>
        <v>-26</v>
      </c>
      <c r="V517" s="41">
        <f>V413</f>
        <v>0</v>
      </c>
      <c r="W517" s="41">
        <f>W413</f>
        <v>0</v>
      </c>
      <c r="X517" s="41">
        <f>X413</f>
        <v>0</v>
      </c>
      <c r="Y517" s="41">
        <f>Y413</f>
        <v>0</v>
      </c>
      <c r="Z517" s="41">
        <f t="shared" ref="Z517:AC517" si="6160">Z413</f>
        <v>0</v>
      </c>
      <c r="AA517" s="41">
        <f t="shared" si="6160"/>
        <v>0</v>
      </c>
      <c r="AB517" s="41">
        <f t="shared" si="6160"/>
        <v>0</v>
      </c>
      <c r="AC517" s="41">
        <f t="shared" si="6160"/>
        <v>0</v>
      </c>
      <c r="AD517" s="41">
        <f t="shared" ref="AD517" si="6161">AD413</f>
        <v>0</v>
      </c>
      <c r="AE517" s="41">
        <f t="shared" ref="AE517:AF517" si="6162">AE413</f>
        <v>0</v>
      </c>
      <c r="AF517" s="41">
        <f t="shared" si="6162"/>
        <v>0</v>
      </c>
      <c r="AG517" s="41">
        <f t="shared" ref="AG517:AH517" si="6163">AG413</f>
        <v>0</v>
      </c>
      <c r="AH517" s="41">
        <f t="shared" si="6163"/>
        <v>0</v>
      </c>
      <c r="AI517" s="41">
        <f t="shared" ref="AI517:AJ517" si="6164">AI413</f>
        <v>0</v>
      </c>
      <c r="AJ517" s="41">
        <f t="shared" si="6164"/>
        <v>0</v>
      </c>
      <c r="AK517" s="41">
        <f t="shared" ref="AK517:AL517" si="6165">AK413</f>
        <v>0</v>
      </c>
      <c r="AL517" s="41">
        <f t="shared" si="6165"/>
        <v>0</v>
      </c>
      <c r="AM517" s="41">
        <f t="shared" ref="AM517:AN517" si="6166">AM413</f>
        <v>0</v>
      </c>
      <c r="AN517" s="41">
        <f t="shared" si="6166"/>
        <v>0</v>
      </c>
      <c r="AO517" s="41">
        <f t="shared" ref="AO517" si="6167">AO413</f>
        <v>0</v>
      </c>
      <c r="AP517" s="41">
        <f t="shared" ref="AP517:AQ517" si="6168">AP413</f>
        <v>0</v>
      </c>
      <c r="AQ517" s="41">
        <f t="shared" si="6168"/>
        <v>0</v>
      </c>
      <c r="AR517" s="41">
        <f t="shared" ref="AR517:AS517" si="6169">AR413</f>
        <v>0</v>
      </c>
      <c r="AS517" s="41">
        <f t="shared" si="6169"/>
        <v>0</v>
      </c>
      <c r="AT517" s="41">
        <f t="shared" ref="AT517:AU517" si="6170">AT413</f>
        <v>0</v>
      </c>
      <c r="AU517" s="41">
        <f t="shared" si="6170"/>
        <v>0</v>
      </c>
      <c r="AV517" s="41">
        <f t="shared" ref="AV517:AW517" si="6171">AV413</f>
        <v>0</v>
      </c>
      <c r="AW517" s="41">
        <f t="shared" si="6171"/>
        <v>0</v>
      </c>
      <c r="AX517" s="41">
        <f t="shared" ref="AX517:AY517" si="6172">AX413</f>
        <v>0</v>
      </c>
      <c r="AY517" s="211">
        <f t="shared" si="6172"/>
        <v>0</v>
      </c>
      <c r="AZ517" s="41">
        <f t="shared" ref="AZ517:BA517" si="6173">AZ413</f>
        <v>0</v>
      </c>
      <c r="BA517" s="41">
        <f t="shared" si="6173"/>
        <v>0</v>
      </c>
      <c r="BB517" s="41">
        <f t="shared" ref="BB517:BC517" si="6174">BB413</f>
        <v>0</v>
      </c>
      <c r="BC517" s="41">
        <f t="shared" si="6174"/>
        <v>0</v>
      </c>
      <c r="BD517" s="41">
        <f t="shared" ref="BD517:BE517" si="6175">BD413</f>
        <v>0</v>
      </c>
      <c r="BE517" s="41">
        <f t="shared" si="6175"/>
        <v>0</v>
      </c>
      <c r="BF517" s="41">
        <f t="shared" ref="BF517:BG517" si="6176">BF413</f>
        <v>0</v>
      </c>
      <c r="BG517" s="41">
        <f t="shared" si="6176"/>
        <v>0</v>
      </c>
      <c r="BH517" s="41">
        <f t="shared" ref="BH517:BI517" si="6177">BH413</f>
        <v>0</v>
      </c>
      <c r="BI517" s="41">
        <f t="shared" si="6177"/>
        <v>0</v>
      </c>
      <c r="BJ517" s="41">
        <f t="shared" ref="BJ517:BK517" si="6178">BJ413</f>
        <v>0</v>
      </c>
      <c r="BK517" s="41">
        <f t="shared" si="6178"/>
        <v>0</v>
      </c>
      <c r="BL517" s="41">
        <f t="shared" ref="BL517:BM517" si="6179">BL413</f>
        <v>0</v>
      </c>
      <c r="BM517" s="41">
        <f t="shared" si="6179"/>
        <v>0</v>
      </c>
      <c r="BN517" s="41">
        <f t="shared" ref="BN517:BO517" si="6180">BN413</f>
        <v>0</v>
      </c>
      <c r="BO517" s="41">
        <f t="shared" si="6180"/>
        <v>0</v>
      </c>
      <c r="BP517" s="41">
        <f t="shared" ref="BP517:BQ517" si="6181">BP413</f>
        <v>0</v>
      </c>
      <c r="BQ517" s="41">
        <f t="shared" si="6181"/>
        <v>0</v>
      </c>
      <c r="BR517" s="41"/>
      <c r="BS517" s="41">
        <f t="shared" ref="BS517:CB517" si="6182">BS413</f>
        <v>0</v>
      </c>
      <c r="BT517" s="41">
        <f t="shared" si="6182"/>
        <v>0</v>
      </c>
      <c r="BU517" s="41">
        <f t="shared" si="6182"/>
        <v>0</v>
      </c>
      <c r="BV517" s="41">
        <f t="shared" si="6182"/>
        <v>0</v>
      </c>
      <c r="BW517" s="41">
        <f t="shared" si="6182"/>
        <v>0</v>
      </c>
      <c r="BX517" s="41">
        <f t="shared" si="6182"/>
        <v>0</v>
      </c>
      <c r="BY517" s="41">
        <f t="shared" si="6182"/>
        <v>0</v>
      </c>
      <c r="BZ517" s="41">
        <f t="shared" si="6182"/>
        <v>0</v>
      </c>
      <c r="CA517" s="41">
        <f t="shared" si="6182"/>
        <v>0</v>
      </c>
      <c r="CB517" s="41">
        <f t="shared" si="6182"/>
        <v>0</v>
      </c>
      <c r="CC517" s="41">
        <f t="shared" si="6125"/>
        <v>0</v>
      </c>
      <c r="CD517" s="41">
        <f t="shared" si="6126"/>
        <v>0</v>
      </c>
      <c r="CE517" s="41">
        <f t="shared" si="6127"/>
        <v>0</v>
      </c>
      <c r="CF517" s="41">
        <f t="shared" si="6128"/>
        <v>0</v>
      </c>
      <c r="CG517" s="41">
        <f t="shared" si="6129"/>
        <v>0</v>
      </c>
      <c r="CH517" s="41">
        <f t="shared" si="6130"/>
        <v>0</v>
      </c>
      <c r="CI517" s="41">
        <f t="shared" si="6131"/>
        <v>442</v>
      </c>
      <c r="CJ517" s="41">
        <f t="shared" si="6132"/>
        <v>427</v>
      </c>
      <c r="CK517" s="41">
        <f t="shared" si="6133"/>
        <v>-108</v>
      </c>
      <c r="CL517" s="41">
        <f t="shared" si="6134"/>
        <v>0</v>
      </c>
      <c r="CM517" s="41">
        <f t="shared" si="6135"/>
        <v>0</v>
      </c>
      <c r="CN517" s="41">
        <f t="shared" si="6136"/>
        <v>0</v>
      </c>
      <c r="CO517" s="41">
        <f t="shared" si="6137"/>
        <v>0</v>
      </c>
      <c r="CP517" s="41">
        <f t="shared" si="6138"/>
        <v>0</v>
      </c>
      <c r="CQ517" s="41">
        <f t="shared" si="6139"/>
        <v>0</v>
      </c>
      <c r="CR517" s="41">
        <f t="shared" si="6140"/>
        <v>0</v>
      </c>
      <c r="CS517" s="41">
        <f t="shared" si="6141"/>
        <v>0</v>
      </c>
      <c r="CT517" s="41">
        <f t="shared" si="6142"/>
        <v>0</v>
      </c>
      <c r="CU517" s="41">
        <f t="shared" si="6143"/>
        <v>0</v>
      </c>
      <c r="CV517" s="41">
        <f t="shared" si="6144"/>
        <v>0</v>
      </c>
      <c r="CW517" s="41">
        <f t="shared" si="6145"/>
        <v>0</v>
      </c>
      <c r="CX517" s="41">
        <f t="shared" si="6146"/>
        <v>0</v>
      </c>
      <c r="CY517" s="41">
        <f t="shared" si="6147"/>
        <v>0</v>
      </c>
      <c r="CZ517" s="211">
        <f t="shared" si="6148"/>
        <v>0</v>
      </c>
      <c r="DA517" s="41">
        <f t="shared" si="6149"/>
        <v>0</v>
      </c>
      <c r="DB517" s="41">
        <f t="shared" si="6150"/>
        <v>0</v>
      </c>
      <c r="DC517" s="41">
        <f t="shared" si="6151"/>
        <v>0</v>
      </c>
      <c r="DD517" s="41">
        <f t="shared" si="6152"/>
        <v>0</v>
      </c>
      <c r="DE517" s="41">
        <f t="shared" si="6153"/>
        <v>0</v>
      </c>
      <c r="DF517" s="41">
        <f t="shared" si="6154"/>
        <v>0</v>
      </c>
      <c r="DG517" s="41">
        <f t="shared" si="6155"/>
        <v>0</v>
      </c>
      <c r="DH517" s="41">
        <f t="shared" si="6156"/>
        <v>0</v>
      </c>
      <c r="DI517" s="41">
        <f t="shared" si="6157"/>
        <v>0</v>
      </c>
    </row>
    <row r="518" spans="1:113" ht="12" hidden="1" outlineLevel="2">
      <c r="A518" s="1" t="s">
        <v>331</v>
      </c>
      <c r="B518" s="15" t="s">
        <v>370</v>
      </c>
      <c r="C518" s="41">
        <f t="shared" ref="C518:L518" si="6183">C448</f>
        <v>0</v>
      </c>
      <c r="D518" s="41">
        <f t="shared" si="6183"/>
        <v>0</v>
      </c>
      <c r="E518" s="41">
        <f t="shared" si="6183"/>
        <v>0</v>
      </c>
      <c r="F518" s="41">
        <f t="shared" si="6183"/>
        <v>0</v>
      </c>
      <c r="G518" s="41">
        <f t="shared" si="6183"/>
        <v>0</v>
      </c>
      <c r="H518" s="41">
        <f t="shared" si="6183"/>
        <v>0</v>
      </c>
      <c r="I518" s="41">
        <f t="shared" si="6183"/>
        <v>0</v>
      </c>
      <c r="J518" s="41">
        <f t="shared" si="6183"/>
        <v>0</v>
      </c>
      <c r="K518" s="41">
        <f t="shared" si="6183"/>
        <v>0</v>
      </c>
      <c r="L518" s="41">
        <f t="shared" si="6183"/>
        <v>0</v>
      </c>
      <c r="M518" s="41">
        <f t="shared" ref="M518:U518" si="6184">M448</f>
        <v>0</v>
      </c>
      <c r="N518" s="41">
        <f t="shared" si="6184"/>
        <v>0</v>
      </c>
      <c r="O518" s="41">
        <f t="shared" si="6184"/>
        <v>0</v>
      </c>
      <c r="P518" s="41">
        <f t="shared" si="6184"/>
        <v>12</v>
      </c>
      <c r="Q518" s="41">
        <f t="shared" si="6184"/>
        <v>26</v>
      </c>
      <c r="R518" s="41">
        <f t="shared" si="6184"/>
        <v>122</v>
      </c>
      <c r="S518" s="41">
        <f t="shared" si="6184"/>
        <v>11</v>
      </c>
      <c r="T518" s="41">
        <f t="shared" si="6184"/>
        <v>7</v>
      </c>
      <c r="U518" s="41">
        <f t="shared" si="6184"/>
        <v>7</v>
      </c>
      <c r="V518" s="41">
        <f>V448</f>
        <v>0</v>
      </c>
      <c r="W518" s="41">
        <f>W448</f>
        <v>0</v>
      </c>
      <c r="X518" s="41">
        <f>X448</f>
        <v>0</v>
      </c>
      <c r="Y518" s="41">
        <f>Y448</f>
        <v>-273</v>
      </c>
      <c r="Z518" s="41">
        <f t="shared" ref="Z518:AC518" si="6185">Z448</f>
        <v>0</v>
      </c>
      <c r="AA518" s="41">
        <f t="shared" si="6185"/>
        <v>0</v>
      </c>
      <c r="AB518" s="41">
        <f t="shared" si="6185"/>
        <v>0</v>
      </c>
      <c r="AC518" s="41">
        <f t="shared" si="6185"/>
        <v>0</v>
      </c>
      <c r="AD518" s="41">
        <f t="shared" ref="AD518" si="6186">AD448</f>
        <v>0</v>
      </c>
      <c r="AE518" s="41">
        <f t="shared" ref="AE518:AF518" si="6187">AE448</f>
        <v>0</v>
      </c>
      <c r="AF518" s="41">
        <f t="shared" si="6187"/>
        <v>0</v>
      </c>
      <c r="AG518" s="41">
        <f t="shared" ref="AG518:AH518" si="6188">AG448</f>
        <v>0</v>
      </c>
      <c r="AH518" s="41">
        <f t="shared" si="6188"/>
        <v>0</v>
      </c>
      <c r="AI518" s="41">
        <f t="shared" ref="AI518:AJ518" si="6189">AI448</f>
        <v>0</v>
      </c>
      <c r="AJ518" s="41">
        <f t="shared" si="6189"/>
        <v>0</v>
      </c>
      <c r="AK518" s="41">
        <f t="shared" ref="AK518:AL518" si="6190">AK448</f>
        <v>0</v>
      </c>
      <c r="AL518" s="41">
        <f t="shared" si="6190"/>
        <v>0</v>
      </c>
      <c r="AM518" s="41">
        <f t="shared" ref="AM518:AN518" si="6191">AM448</f>
        <v>0</v>
      </c>
      <c r="AN518" s="41">
        <f t="shared" si="6191"/>
        <v>0</v>
      </c>
      <c r="AO518" s="41">
        <f t="shared" ref="AO518" si="6192">AO448</f>
        <v>0</v>
      </c>
      <c r="AP518" s="41">
        <f t="shared" ref="AP518:AQ518" si="6193">AP448</f>
        <v>0</v>
      </c>
      <c r="AQ518" s="41">
        <f t="shared" si="6193"/>
        <v>0</v>
      </c>
      <c r="AR518" s="41">
        <f t="shared" ref="AR518:AS518" si="6194">AR448</f>
        <v>0</v>
      </c>
      <c r="AS518" s="41">
        <f t="shared" si="6194"/>
        <v>0</v>
      </c>
      <c r="AT518" s="41">
        <f t="shared" ref="AT518:AU518" si="6195">AT448</f>
        <v>0</v>
      </c>
      <c r="AU518" s="41">
        <f t="shared" si="6195"/>
        <v>0</v>
      </c>
      <c r="AV518" s="41">
        <f t="shared" ref="AV518:AW518" si="6196">AV448</f>
        <v>0</v>
      </c>
      <c r="AW518" s="41">
        <f t="shared" si="6196"/>
        <v>0</v>
      </c>
      <c r="AX518" s="41">
        <f t="shared" ref="AX518:AY518" si="6197">AX448</f>
        <v>0</v>
      </c>
      <c r="AY518" s="211">
        <f t="shared" si="6197"/>
        <v>0</v>
      </c>
      <c r="AZ518" s="41">
        <f t="shared" ref="AZ518:BA518" si="6198">AZ448</f>
        <v>0</v>
      </c>
      <c r="BA518" s="41">
        <f t="shared" si="6198"/>
        <v>0</v>
      </c>
      <c r="BB518" s="41">
        <f t="shared" ref="BB518:BC518" si="6199">BB448</f>
        <v>0</v>
      </c>
      <c r="BC518" s="41">
        <f t="shared" si="6199"/>
        <v>0</v>
      </c>
      <c r="BD518" s="41">
        <f t="shared" ref="BD518:BE518" si="6200">BD448</f>
        <v>0</v>
      </c>
      <c r="BE518" s="41">
        <f t="shared" si="6200"/>
        <v>0</v>
      </c>
      <c r="BF518" s="41">
        <f t="shared" ref="BF518:BG518" si="6201">BF448</f>
        <v>0</v>
      </c>
      <c r="BG518" s="41">
        <f t="shared" si="6201"/>
        <v>0</v>
      </c>
      <c r="BH518" s="41">
        <f t="shared" ref="BH518:BI518" si="6202">BH448</f>
        <v>0</v>
      </c>
      <c r="BI518" s="41">
        <f t="shared" si="6202"/>
        <v>0</v>
      </c>
      <c r="BJ518" s="41">
        <f t="shared" ref="BJ518:BK518" si="6203">BJ448</f>
        <v>0</v>
      </c>
      <c r="BK518" s="41">
        <f t="shared" si="6203"/>
        <v>0</v>
      </c>
      <c r="BL518" s="41">
        <f t="shared" ref="BL518:BM518" si="6204">BL448</f>
        <v>0</v>
      </c>
      <c r="BM518" s="41">
        <f t="shared" si="6204"/>
        <v>0</v>
      </c>
      <c r="BN518" s="41">
        <f t="shared" ref="BN518:BO518" si="6205">BN448</f>
        <v>0</v>
      </c>
      <c r="BO518" s="41">
        <f t="shared" si="6205"/>
        <v>0</v>
      </c>
      <c r="BP518" s="41">
        <f t="shared" ref="BP518:BQ518" si="6206">BP448</f>
        <v>0</v>
      </c>
      <c r="BQ518" s="41">
        <f t="shared" si="6206"/>
        <v>0</v>
      </c>
      <c r="BR518" s="41"/>
      <c r="BS518" s="41">
        <f t="shared" ref="BS518:CB518" si="6207">BS448</f>
        <v>0</v>
      </c>
      <c r="BT518" s="41">
        <f t="shared" si="6207"/>
        <v>0</v>
      </c>
      <c r="BU518" s="41">
        <f t="shared" si="6207"/>
        <v>0</v>
      </c>
      <c r="BV518" s="41">
        <f t="shared" si="6207"/>
        <v>0</v>
      </c>
      <c r="BW518" s="41">
        <f t="shared" si="6207"/>
        <v>0</v>
      </c>
      <c r="BX518" s="41">
        <f t="shared" si="6207"/>
        <v>0</v>
      </c>
      <c r="BY518" s="41">
        <f t="shared" si="6207"/>
        <v>0</v>
      </c>
      <c r="BZ518" s="41">
        <f t="shared" si="6207"/>
        <v>0</v>
      </c>
      <c r="CA518" s="41">
        <f t="shared" si="6207"/>
        <v>0</v>
      </c>
      <c r="CB518" s="41">
        <f t="shared" si="6207"/>
        <v>0</v>
      </c>
      <c r="CC518" s="41">
        <f t="shared" si="6125"/>
        <v>0</v>
      </c>
      <c r="CD518" s="41">
        <f t="shared" si="6126"/>
        <v>0</v>
      </c>
      <c r="CE518" s="41">
        <f t="shared" si="6127"/>
        <v>0</v>
      </c>
      <c r="CF518" s="41">
        <f t="shared" si="6128"/>
        <v>0</v>
      </c>
      <c r="CG518" s="41">
        <f t="shared" si="6129"/>
        <v>0</v>
      </c>
      <c r="CH518" s="41">
        <f t="shared" si="6130"/>
        <v>0</v>
      </c>
      <c r="CI518" s="41">
        <f t="shared" si="6131"/>
        <v>38</v>
      </c>
      <c r="CJ518" s="41">
        <f t="shared" si="6132"/>
        <v>133</v>
      </c>
      <c r="CK518" s="41">
        <f t="shared" si="6133"/>
        <v>14</v>
      </c>
      <c r="CL518" s="41">
        <f t="shared" si="6134"/>
        <v>0</v>
      </c>
      <c r="CM518" s="41">
        <f t="shared" si="6135"/>
        <v>-273</v>
      </c>
      <c r="CN518" s="41">
        <f t="shared" si="6136"/>
        <v>0</v>
      </c>
      <c r="CO518" s="41">
        <f t="shared" si="6137"/>
        <v>0</v>
      </c>
      <c r="CP518" s="41">
        <f t="shared" si="6138"/>
        <v>0</v>
      </c>
      <c r="CQ518" s="41">
        <f t="shared" si="6139"/>
        <v>0</v>
      </c>
      <c r="CR518" s="41">
        <f t="shared" si="6140"/>
        <v>0</v>
      </c>
      <c r="CS518" s="41">
        <f t="shared" si="6141"/>
        <v>0</v>
      </c>
      <c r="CT518" s="41">
        <f t="shared" si="6142"/>
        <v>0</v>
      </c>
      <c r="CU518" s="41">
        <f t="shared" si="6143"/>
        <v>0</v>
      </c>
      <c r="CV518" s="41">
        <f t="shared" si="6144"/>
        <v>0</v>
      </c>
      <c r="CW518" s="41">
        <f t="shared" si="6145"/>
        <v>0</v>
      </c>
      <c r="CX518" s="41">
        <f t="shared" si="6146"/>
        <v>0</v>
      </c>
      <c r="CY518" s="41">
        <f t="shared" si="6147"/>
        <v>0</v>
      </c>
      <c r="CZ518" s="211">
        <f t="shared" si="6148"/>
        <v>0</v>
      </c>
      <c r="DA518" s="41">
        <f t="shared" si="6149"/>
        <v>0</v>
      </c>
      <c r="DB518" s="41">
        <f t="shared" si="6150"/>
        <v>0</v>
      </c>
      <c r="DC518" s="41">
        <f t="shared" si="6151"/>
        <v>0</v>
      </c>
      <c r="DD518" s="41">
        <f t="shared" si="6152"/>
        <v>0</v>
      </c>
      <c r="DE518" s="41">
        <f t="shared" si="6153"/>
        <v>0</v>
      </c>
      <c r="DF518" s="41">
        <f t="shared" si="6154"/>
        <v>0</v>
      </c>
      <c r="DG518" s="41">
        <f t="shared" si="6155"/>
        <v>0</v>
      </c>
      <c r="DH518" s="41">
        <f t="shared" si="6156"/>
        <v>0</v>
      </c>
      <c r="DI518" s="41">
        <f t="shared" si="6157"/>
        <v>0</v>
      </c>
    </row>
    <row r="519" spans="1:113" ht="12" hidden="1" outlineLevel="2">
      <c r="A519" s="1" t="s">
        <v>332</v>
      </c>
      <c r="B519" s="15" t="s">
        <v>371</v>
      </c>
      <c r="C519" s="41">
        <f t="shared" ref="C519:L519" si="6208">C477</f>
        <v>0</v>
      </c>
      <c r="D519" s="41">
        <f t="shared" si="6208"/>
        <v>0</v>
      </c>
      <c r="E519" s="41">
        <f t="shared" si="6208"/>
        <v>0</v>
      </c>
      <c r="F519" s="41">
        <f t="shared" si="6208"/>
        <v>0</v>
      </c>
      <c r="G519" s="41">
        <f t="shared" si="6208"/>
        <v>0</v>
      </c>
      <c r="H519" s="41">
        <f t="shared" si="6208"/>
        <v>0</v>
      </c>
      <c r="I519" s="41">
        <f t="shared" si="6208"/>
        <v>0</v>
      </c>
      <c r="J519" s="41">
        <f t="shared" si="6208"/>
        <v>0</v>
      </c>
      <c r="K519" s="41">
        <f t="shared" si="6208"/>
        <v>0</v>
      </c>
      <c r="L519" s="41">
        <f t="shared" si="6208"/>
        <v>0</v>
      </c>
      <c r="M519" s="41">
        <f t="shared" ref="M519:U519" si="6209">M477</f>
        <v>0</v>
      </c>
      <c r="N519" s="41">
        <f t="shared" si="6209"/>
        <v>0</v>
      </c>
      <c r="O519" s="41">
        <f t="shared" si="6209"/>
        <v>0</v>
      </c>
      <c r="P519" s="41">
        <f t="shared" si="6209"/>
        <v>-45</v>
      </c>
      <c r="Q519" s="41">
        <f t="shared" si="6209"/>
        <v>-97</v>
      </c>
      <c r="R519" s="41">
        <f t="shared" si="6209"/>
        <v>-62</v>
      </c>
      <c r="S519" s="41">
        <f t="shared" si="6209"/>
        <v>11</v>
      </c>
      <c r="T519" s="41">
        <f t="shared" si="6209"/>
        <v>-16</v>
      </c>
      <c r="U519" s="41">
        <f t="shared" si="6209"/>
        <v>-17</v>
      </c>
      <c r="V519" s="41">
        <f>V477</f>
        <v>0</v>
      </c>
      <c r="W519" s="41">
        <f>W477</f>
        <v>0</v>
      </c>
      <c r="X519" s="41">
        <f>X477</f>
        <v>0</v>
      </c>
      <c r="Y519" s="41">
        <f>Y477</f>
        <v>0</v>
      </c>
      <c r="Z519" s="41">
        <f t="shared" ref="Z519:AC519" si="6210">Z477</f>
        <v>0</v>
      </c>
      <c r="AA519" s="41">
        <f t="shared" si="6210"/>
        <v>0</v>
      </c>
      <c r="AB519" s="41">
        <f t="shared" si="6210"/>
        <v>0</v>
      </c>
      <c r="AC519" s="41">
        <f t="shared" si="6210"/>
        <v>0</v>
      </c>
      <c r="AD519" s="41">
        <f t="shared" ref="AD519" si="6211">AD477</f>
        <v>0</v>
      </c>
      <c r="AE519" s="41">
        <f t="shared" ref="AE519:AF519" si="6212">AE477</f>
        <v>0</v>
      </c>
      <c r="AF519" s="41">
        <f t="shared" si="6212"/>
        <v>0</v>
      </c>
      <c r="AG519" s="41">
        <f t="shared" ref="AG519:AH519" si="6213">AG477</f>
        <v>0</v>
      </c>
      <c r="AH519" s="41">
        <f t="shared" si="6213"/>
        <v>0</v>
      </c>
      <c r="AI519" s="41">
        <f t="shared" ref="AI519:AJ519" si="6214">AI477</f>
        <v>0</v>
      </c>
      <c r="AJ519" s="41">
        <f t="shared" si="6214"/>
        <v>0</v>
      </c>
      <c r="AK519" s="41">
        <f t="shared" ref="AK519:AL519" si="6215">AK477</f>
        <v>0</v>
      </c>
      <c r="AL519" s="41">
        <f t="shared" si="6215"/>
        <v>0</v>
      </c>
      <c r="AM519" s="41">
        <f t="shared" ref="AM519:AN519" si="6216">AM477</f>
        <v>0</v>
      </c>
      <c r="AN519" s="41">
        <f t="shared" si="6216"/>
        <v>0</v>
      </c>
      <c r="AO519" s="41">
        <f t="shared" ref="AO519" si="6217">AO477</f>
        <v>0</v>
      </c>
      <c r="AP519" s="41">
        <f t="shared" ref="AP519:AQ519" si="6218">AP477</f>
        <v>0</v>
      </c>
      <c r="AQ519" s="41">
        <f t="shared" si="6218"/>
        <v>0</v>
      </c>
      <c r="AR519" s="41">
        <f t="shared" ref="AR519:AS519" si="6219">AR477</f>
        <v>0</v>
      </c>
      <c r="AS519" s="41">
        <f t="shared" si="6219"/>
        <v>0</v>
      </c>
      <c r="AT519" s="41">
        <f t="shared" ref="AT519:AU519" si="6220">AT477</f>
        <v>0</v>
      </c>
      <c r="AU519" s="41">
        <f t="shared" si="6220"/>
        <v>0</v>
      </c>
      <c r="AV519" s="41">
        <f t="shared" ref="AV519:AW519" si="6221">AV477</f>
        <v>0</v>
      </c>
      <c r="AW519" s="41">
        <f t="shared" si="6221"/>
        <v>0</v>
      </c>
      <c r="AX519" s="41">
        <f t="shared" ref="AX519:AY519" si="6222">AX477</f>
        <v>0</v>
      </c>
      <c r="AY519" s="211">
        <f t="shared" si="6222"/>
        <v>0</v>
      </c>
      <c r="AZ519" s="41">
        <f t="shared" ref="AZ519:BA519" si="6223">AZ477</f>
        <v>0</v>
      </c>
      <c r="BA519" s="41">
        <f t="shared" si="6223"/>
        <v>0</v>
      </c>
      <c r="BB519" s="41">
        <f t="shared" ref="BB519:BC519" si="6224">BB477</f>
        <v>0</v>
      </c>
      <c r="BC519" s="41">
        <f t="shared" si="6224"/>
        <v>0</v>
      </c>
      <c r="BD519" s="41">
        <f t="shared" ref="BD519:BE519" si="6225">BD477</f>
        <v>0</v>
      </c>
      <c r="BE519" s="41">
        <f t="shared" si="6225"/>
        <v>0</v>
      </c>
      <c r="BF519" s="41">
        <f t="shared" ref="BF519:BG519" si="6226">BF477</f>
        <v>0</v>
      </c>
      <c r="BG519" s="41">
        <f t="shared" si="6226"/>
        <v>0</v>
      </c>
      <c r="BH519" s="41">
        <f t="shared" ref="BH519:BI519" si="6227">BH477</f>
        <v>0</v>
      </c>
      <c r="BI519" s="41">
        <f t="shared" si="6227"/>
        <v>0</v>
      </c>
      <c r="BJ519" s="41">
        <f t="shared" ref="BJ519:BK519" si="6228">BJ477</f>
        <v>0</v>
      </c>
      <c r="BK519" s="41">
        <f t="shared" si="6228"/>
        <v>0</v>
      </c>
      <c r="BL519" s="41">
        <f t="shared" ref="BL519:BM519" si="6229">BL477</f>
        <v>0</v>
      </c>
      <c r="BM519" s="41">
        <f t="shared" si="6229"/>
        <v>0</v>
      </c>
      <c r="BN519" s="41">
        <f t="shared" ref="BN519:BO519" si="6230">BN477</f>
        <v>0</v>
      </c>
      <c r="BO519" s="41">
        <f t="shared" si="6230"/>
        <v>0</v>
      </c>
      <c r="BP519" s="41">
        <f t="shared" ref="BP519:BQ519" si="6231">BP477</f>
        <v>0</v>
      </c>
      <c r="BQ519" s="41">
        <f t="shared" si="6231"/>
        <v>0</v>
      </c>
      <c r="BR519" s="41"/>
      <c r="BS519" s="41">
        <f t="shared" ref="BS519:CB519" si="6232">BS477</f>
        <v>0</v>
      </c>
      <c r="BT519" s="41">
        <f t="shared" si="6232"/>
        <v>0</v>
      </c>
      <c r="BU519" s="41">
        <f t="shared" si="6232"/>
        <v>0</v>
      </c>
      <c r="BV519" s="41">
        <f t="shared" si="6232"/>
        <v>0</v>
      </c>
      <c r="BW519" s="41">
        <f t="shared" si="6232"/>
        <v>0</v>
      </c>
      <c r="BX519" s="41">
        <f t="shared" si="6232"/>
        <v>0</v>
      </c>
      <c r="BY519" s="41">
        <f t="shared" si="6232"/>
        <v>0</v>
      </c>
      <c r="BZ519" s="41">
        <f t="shared" si="6232"/>
        <v>0</v>
      </c>
      <c r="CA519" s="41">
        <f t="shared" si="6232"/>
        <v>0</v>
      </c>
      <c r="CB519" s="41">
        <f t="shared" si="6232"/>
        <v>0</v>
      </c>
      <c r="CC519" s="41">
        <f t="shared" si="6125"/>
        <v>0</v>
      </c>
      <c r="CD519" s="41">
        <f t="shared" si="6126"/>
        <v>0</v>
      </c>
      <c r="CE519" s="41">
        <f t="shared" si="6127"/>
        <v>0</v>
      </c>
      <c r="CF519" s="41">
        <f t="shared" si="6128"/>
        <v>0</v>
      </c>
      <c r="CG519" s="41">
        <f t="shared" si="6129"/>
        <v>0</v>
      </c>
      <c r="CH519" s="41">
        <f t="shared" si="6130"/>
        <v>0</v>
      </c>
      <c r="CI519" s="41">
        <f t="shared" si="6131"/>
        <v>-142</v>
      </c>
      <c r="CJ519" s="41">
        <f t="shared" si="6132"/>
        <v>-51</v>
      </c>
      <c r="CK519" s="41">
        <f t="shared" si="6133"/>
        <v>-33</v>
      </c>
      <c r="CL519" s="41">
        <f t="shared" si="6134"/>
        <v>0</v>
      </c>
      <c r="CM519" s="41">
        <f t="shared" si="6135"/>
        <v>0</v>
      </c>
      <c r="CN519" s="41">
        <f t="shared" si="6136"/>
        <v>0</v>
      </c>
      <c r="CO519" s="41">
        <f t="shared" si="6137"/>
        <v>0</v>
      </c>
      <c r="CP519" s="41">
        <f t="shared" si="6138"/>
        <v>0</v>
      </c>
      <c r="CQ519" s="41">
        <f t="shared" si="6139"/>
        <v>0</v>
      </c>
      <c r="CR519" s="41">
        <f t="shared" si="6140"/>
        <v>0</v>
      </c>
      <c r="CS519" s="41">
        <f t="shared" si="6141"/>
        <v>0</v>
      </c>
      <c r="CT519" s="41">
        <f t="shared" si="6142"/>
        <v>0</v>
      </c>
      <c r="CU519" s="41">
        <f t="shared" si="6143"/>
        <v>0</v>
      </c>
      <c r="CV519" s="41">
        <f t="shared" si="6144"/>
        <v>0</v>
      </c>
      <c r="CW519" s="41">
        <f t="shared" si="6145"/>
        <v>0</v>
      </c>
      <c r="CX519" s="41">
        <f t="shared" si="6146"/>
        <v>0</v>
      </c>
      <c r="CY519" s="41">
        <f t="shared" si="6147"/>
        <v>0</v>
      </c>
      <c r="CZ519" s="211">
        <f t="shared" si="6148"/>
        <v>0</v>
      </c>
      <c r="DA519" s="41">
        <f t="shared" si="6149"/>
        <v>0</v>
      </c>
      <c r="DB519" s="41">
        <f t="shared" si="6150"/>
        <v>0</v>
      </c>
      <c r="DC519" s="41">
        <f t="shared" si="6151"/>
        <v>0</v>
      </c>
      <c r="DD519" s="41">
        <f t="shared" si="6152"/>
        <v>0</v>
      </c>
      <c r="DE519" s="41">
        <f t="shared" si="6153"/>
        <v>0</v>
      </c>
      <c r="DF519" s="41">
        <f t="shared" si="6154"/>
        <v>0</v>
      </c>
      <c r="DG519" s="41">
        <f t="shared" si="6155"/>
        <v>0</v>
      </c>
      <c r="DH519" s="41">
        <f t="shared" si="6156"/>
        <v>0</v>
      </c>
      <c r="DI519" s="41">
        <f t="shared" si="6157"/>
        <v>0</v>
      </c>
    </row>
    <row r="520" spans="1:113" ht="12" hidden="1" outlineLevel="2">
      <c r="A520" s="1" t="s">
        <v>960</v>
      </c>
      <c r="B520" s="15" t="s">
        <v>361</v>
      </c>
      <c r="C520" s="41">
        <f t="shared" ref="C520:L520" si="6233">C505</f>
        <v>0</v>
      </c>
      <c r="D520" s="41">
        <f t="shared" si="6233"/>
        <v>0</v>
      </c>
      <c r="E520" s="41">
        <f t="shared" si="6233"/>
        <v>0</v>
      </c>
      <c r="F520" s="41">
        <f t="shared" si="6233"/>
        <v>0</v>
      </c>
      <c r="G520" s="41">
        <f t="shared" si="6233"/>
        <v>0</v>
      </c>
      <c r="H520" s="41">
        <f t="shared" si="6233"/>
        <v>0</v>
      </c>
      <c r="I520" s="41">
        <f t="shared" si="6233"/>
        <v>0</v>
      </c>
      <c r="J520" s="41">
        <f t="shared" si="6233"/>
        <v>0</v>
      </c>
      <c r="K520" s="41">
        <f t="shared" si="6233"/>
        <v>0</v>
      </c>
      <c r="L520" s="41">
        <f t="shared" si="6233"/>
        <v>0</v>
      </c>
      <c r="M520" s="41">
        <f t="shared" ref="M520:U520" si="6234">M505</f>
        <v>0</v>
      </c>
      <c r="N520" s="41">
        <f t="shared" si="6234"/>
        <v>0</v>
      </c>
      <c r="O520" s="41">
        <f t="shared" si="6234"/>
        <v>0</v>
      </c>
      <c r="P520" s="41">
        <f t="shared" si="6234"/>
        <v>24</v>
      </c>
      <c r="Q520" s="41">
        <f t="shared" si="6234"/>
        <v>-218</v>
      </c>
      <c r="R520" s="41">
        <f t="shared" si="6234"/>
        <v>-262</v>
      </c>
      <c r="S520" s="41">
        <f t="shared" si="6234"/>
        <v>142</v>
      </c>
      <c r="T520" s="41">
        <f t="shared" si="6234"/>
        <v>14</v>
      </c>
      <c r="U520" s="41">
        <f t="shared" si="6234"/>
        <v>15</v>
      </c>
      <c r="V520" s="41">
        <f>V505</f>
        <v>0</v>
      </c>
      <c r="W520" s="41">
        <f>W505</f>
        <v>0</v>
      </c>
      <c r="X520" s="41">
        <f>X505</f>
        <v>0</v>
      </c>
      <c r="Y520" s="41">
        <f>Y505</f>
        <v>53</v>
      </c>
      <c r="Z520" s="41">
        <f t="shared" ref="Z520:AC520" si="6235">Z505</f>
        <v>0</v>
      </c>
      <c r="AA520" s="41">
        <f t="shared" si="6235"/>
        <v>0</v>
      </c>
      <c r="AB520" s="41">
        <f t="shared" si="6235"/>
        <v>0</v>
      </c>
      <c r="AC520" s="41">
        <f t="shared" si="6235"/>
        <v>0</v>
      </c>
      <c r="AD520" s="41">
        <f t="shared" ref="AD520" si="6236">AD505</f>
        <v>0</v>
      </c>
      <c r="AE520" s="41">
        <f t="shared" ref="AE520:AF520" si="6237">AE505</f>
        <v>0</v>
      </c>
      <c r="AF520" s="41">
        <f t="shared" si="6237"/>
        <v>0</v>
      </c>
      <c r="AG520" s="41">
        <f t="shared" ref="AG520:AH520" si="6238">AG505</f>
        <v>0</v>
      </c>
      <c r="AH520" s="41">
        <f t="shared" si="6238"/>
        <v>0</v>
      </c>
      <c r="AI520" s="41">
        <f t="shared" ref="AI520:AJ520" si="6239">AI505</f>
        <v>0</v>
      </c>
      <c r="AJ520" s="41">
        <f t="shared" si="6239"/>
        <v>0</v>
      </c>
      <c r="AK520" s="41">
        <f t="shared" ref="AK520:AL520" si="6240">AK505</f>
        <v>0</v>
      </c>
      <c r="AL520" s="41">
        <f t="shared" si="6240"/>
        <v>0</v>
      </c>
      <c r="AM520" s="41">
        <f t="shared" ref="AM520:AN520" si="6241">AM505</f>
        <v>0</v>
      </c>
      <c r="AN520" s="41">
        <f t="shared" si="6241"/>
        <v>0</v>
      </c>
      <c r="AO520" s="41">
        <f t="shared" ref="AO520" si="6242">AO505</f>
        <v>0</v>
      </c>
      <c r="AP520" s="41">
        <f t="shared" ref="AP520:AQ520" si="6243">AP505</f>
        <v>0</v>
      </c>
      <c r="AQ520" s="41">
        <f t="shared" si="6243"/>
        <v>0</v>
      </c>
      <c r="AR520" s="41">
        <f t="shared" ref="AR520:AS520" si="6244">AR505</f>
        <v>0</v>
      </c>
      <c r="AS520" s="41">
        <f t="shared" si="6244"/>
        <v>0</v>
      </c>
      <c r="AT520" s="41">
        <f t="shared" ref="AT520:AU520" si="6245">AT505</f>
        <v>0</v>
      </c>
      <c r="AU520" s="41">
        <f t="shared" si="6245"/>
        <v>0</v>
      </c>
      <c r="AV520" s="41">
        <f t="shared" ref="AV520:AW520" si="6246">AV505</f>
        <v>0</v>
      </c>
      <c r="AW520" s="41">
        <f t="shared" si="6246"/>
        <v>0</v>
      </c>
      <c r="AX520" s="41">
        <f t="shared" ref="AX520:AY520" si="6247">AX505</f>
        <v>0</v>
      </c>
      <c r="AY520" s="211">
        <f t="shared" si="6247"/>
        <v>0</v>
      </c>
      <c r="AZ520" s="41">
        <f t="shared" ref="AZ520:BA520" si="6248">AZ505</f>
        <v>0</v>
      </c>
      <c r="BA520" s="41">
        <f t="shared" si="6248"/>
        <v>0</v>
      </c>
      <c r="BB520" s="41">
        <f t="shared" ref="BB520:BC520" si="6249">BB505</f>
        <v>0</v>
      </c>
      <c r="BC520" s="41">
        <f t="shared" si="6249"/>
        <v>0</v>
      </c>
      <c r="BD520" s="41">
        <f t="shared" ref="BD520:BE520" si="6250">BD505</f>
        <v>0</v>
      </c>
      <c r="BE520" s="41">
        <f t="shared" si="6250"/>
        <v>0</v>
      </c>
      <c r="BF520" s="41">
        <f t="shared" ref="BF520:BG520" si="6251">BF505</f>
        <v>0</v>
      </c>
      <c r="BG520" s="41">
        <f t="shared" si="6251"/>
        <v>0</v>
      </c>
      <c r="BH520" s="41">
        <f t="shared" ref="BH520:BI520" si="6252">BH505</f>
        <v>0</v>
      </c>
      <c r="BI520" s="41">
        <f t="shared" si="6252"/>
        <v>0</v>
      </c>
      <c r="BJ520" s="41">
        <f t="shared" ref="BJ520:BK520" si="6253">BJ505</f>
        <v>0</v>
      </c>
      <c r="BK520" s="41">
        <f t="shared" si="6253"/>
        <v>0</v>
      </c>
      <c r="BL520" s="41">
        <f t="shared" ref="BL520:BM520" si="6254">BL505</f>
        <v>0</v>
      </c>
      <c r="BM520" s="41">
        <f t="shared" si="6254"/>
        <v>0</v>
      </c>
      <c r="BN520" s="41">
        <f t="shared" ref="BN520:BO520" si="6255">BN505</f>
        <v>0</v>
      </c>
      <c r="BO520" s="41">
        <f t="shared" si="6255"/>
        <v>0</v>
      </c>
      <c r="BP520" s="41">
        <f t="shared" ref="BP520:BQ520" si="6256">BP505</f>
        <v>0</v>
      </c>
      <c r="BQ520" s="41">
        <f t="shared" si="6256"/>
        <v>0</v>
      </c>
      <c r="BR520" s="41"/>
      <c r="BS520" s="41">
        <f t="shared" ref="BS520:CB520" si="6257">BS505</f>
        <v>0</v>
      </c>
      <c r="BT520" s="41">
        <f t="shared" si="6257"/>
        <v>0</v>
      </c>
      <c r="BU520" s="41">
        <f t="shared" si="6257"/>
        <v>0</v>
      </c>
      <c r="BV520" s="41">
        <f t="shared" si="6257"/>
        <v>0</v>
      </c>
      <c r="BW520" s="41">
        <f t="shared" si="6257"/>
        <v>0</v>
      </c>
      <c r="BX520" s="41">
        <f t="shared" si="6257"/>
        <v>0</v>
      </c>
      <c r="BY520" s="41">
        <f t="shared" si="6257"/>
        <v>0</v>
      </c>
      <c r="BZ520" s="41">
        <f t="shared" si="6257"/>
        <v>0</v>
      </c>
      <c r="CA520" s="41">
        <f t="shared" si="6257"/>
        <v>0</v>
      </c>
      <c r="CB520" s="41">
        <f t="shared" si="6257"/>
        <v>0</v>
      </c>
      <c r="CC520" s="41">
        <f t="shared" si="6125"/>
        <v>0</v>
      </c>
      <c r="CD520" s="41">
        <f t="shared" si="6126"/>
        <v>0</v>
      </c>
      <c r="CE520" s="41">
        <f t="shared" si="6127"/>
        <v>0</v>
      </c>
      <c r="CF520" s="41">
        <f t="shared" si="6128"/>
        <v>0</v>
      </c>
      <c r="CG520" s="41">
        <f t="shared" si="6129"/>
        <v>0</v>
      </c>
      <c r="CH520" s="41">
        <f t="shared" si="6130"/>
        <v>0</v>
      </c>
      <c r="CI520" s="41">
        <f t="shared" si="6131"/>
        <v>-194</v>
      </c>
      <c r="CJ520" s="41">
        <f t="shared" si="6132"/>
        <v>-120</v>
      </c>
      <c r="CK520" s="41">
        <f t="shared" si="6133"/>
        <v>29</v>
      </c>
      <c r="CL520" s="41">
        <f t="shared" si="6134"/>
        <v>0</v>
      </c>
      <c r="CM520" s="41">
        <f t="shared" si="6135"/>
        <v>53</v>
      </c>
      <c r="CN520" s="41">
        <f t="shared" si="6136"/>
        <v>0</v>
      </c>
      <c r="CO520" s="41">
        <f t="shared" si="6137"/>
        <v>0</v>
      </c>
      <c r="CP520" s="41">
        <f t="shared" si="6138"/>
        <v>0</v>
      </c>
      <c r="CQ520" s="41">
        <f t="shared" si="6139"/>
        <v>0</v>
      </c>
      <c r="CR520" s="41">
        <f t="shared" si="6140"/>
        <v>0</v>
      </c>
      <c r="CS520" s="41">
        <f t="shared" si="6141"/>
        <v>0</v>
      </c>
      <c r="CT520" s="41">
        <f t="shared" si="6142"/>
        <v>0</v>
      </c>
      <c r="CU520" s="41">
        <f t="shared" si="6143"/>
        <v>0</v>
      </c>
      <c r="CV520" s="41">
        <f t="shared" si="6144"/>
        <v>0</v>
      </c>
      <c r="CW520" s="41">
        <f t="shared" si="6145"/>
        <v>0</v>
      </c>
      <c r="CX520" s="41">
        <f t="shared" si="6146"/>
        <v>0</v>
      </c>
      <c r="CY520" s="41">
        <f t="shared" si="6147"/>
        <v>0</v>
      </c>
      <c r="CZ520" s="211">
        <f t="shared" si="6148"/>
        <v>0</v>
      </c>
      <c r="DA520" s="41">
        <f t="shared" si="6149"/>
        <v>0</v>
      </c>
      <c r="DB520" s="41">
        <f t="shared" si="6150"/>
        <v>0</v>
      </c>
      <c r="DC520" s="41">
        <f t="shared" si="6151"/>
        <v>0</v>
      </c>
      <c r="DD520" s="41">
        <f t="shared" si="6152"/>
        <v>0</v>
      </c>
      <c r="DE520" s="41">
        <f t="shared" si="6153"/>
        <v>0</v>
      </c>
      <c r="DF520" s="41">
        <f t="shared" si="6154"/>
        <v>0</v>
      </c>
      <c r="DG520" s="41">
        <f t="shared" si="6155"/>
        <v>0</v>
      </c>
      <c r="DH520" s="41">
        <f t="shared" si="6156"/>
        <v>0</v>
      </c>
      <c r="DI520" s="41">
        <f t="shared" si="6157"/>
        <v>0</v>
      </c>
    </row>
    <row r="521" spans="1:113" s="17" customFormat="1" ht="12" hidden="1" outlineLevel="2">
      <c r="A521" s="1" t="s">
        <v>333</v>
      </c>
      <c r="B521" s="17" t="s">
        <v>279</v>
      </c>
      <c r="C521" s="62">
        <f t="shared" ref="C521:L521" si="6258">SUM(C515:C520)</f>
        <v>915</v>
      </c>
      <c r="D521" s="62">
        <f t="shared" si="6258"/>
        <v>1006</v>
      </c>
      <c r="E521" s="62">
        <f t="shared" si="6258"/>
        <v>1044.9999999999998</v>
      </c>
      <c r="F521" s="62">
        <f t="shared" si="6258"/>
        <v>1087.0000000000002</v>
      </c>
      <c r="G521" s="62">
        <f t="shared" si="6258"/>
        <v>1159</v>
      </c>
      <c r="H521" s="62">
        <f t="shared" si="6258"/>
        <v>1248</v>
      </c>
      <c r="I521" s="62">
        <f t="shared" si="6258"/>
        <v>1385.0000000000007</v>
      </c>
      <c r="J521" s="62">
        <f t="shared" si="6258"/>
        <v>1562.0000000000005</v>
      </c>
      <c r="K521" s="62">
        <f t="shared" si="6258"/>
        <v>1570.9999999999995</v>
      </c>
      <c r="L521" s="62">
        <f t="shared" si="6258"/>
        <v>1718.9999999999995</v>
      </c>
      <c r="M521" s="62">
        <f t="shared" ref="M521:AC521" si="6259">SUM(M515:M520)</f>
        <v>1841</v>
      </c>
      <c r="N521" s="62">
        <f t="shared" si="6259"/>
        <v>1918.9999999999995</v>
      </c>
      <c r="O521" s="62">
        <f t="shared" si="6259"/>
        <v>1967.9999999999998</v>
      </c>
      <c r="P521" s="62">
        <f t="shared" si="6259"/>
        <v>1814.0000000000007</v>
      </c>
      <c r="Q521" s="62">
        <f t="shared" si="6259"/>
        <v>1566.0000000000005</v>
      </c>
      <c r="R521" s="62">
        <f t="shared" si="6259"/>
        <v>1883</v>
      </c>
      <c r="S521" s="62">
        <f t="shared" si="6259"/>
        <v>1856</v>
      </c>
      <c r="T521" s="62">
        <f t="shared" si="6259"/>
        <v>2292</v>
      </c>
      <c r="U521" s="62">
        <f t="shared" si="6259"/>
        <v>2722</v>
      </c>
      <c r="V521" s="62">
        <f t="shared" si="6259"/>
        <v>2717</v>
      </c>
      <c r="W521" s="62">
        <f t="shared" si="6259"/>
        <v>2738</v>
      </c>
      <c r="X521" s="62">
        <f t="shared" si="6259"/>
        <v>2889</v>
      </c>
      <c r="Y521" s="62">
        <f t="shared" si="6259"/>
        <v>2930</v>
      </c>
      <c r="Z521" s="62">
        <f t="shared" si="6259"/>
        <v>3176</v>
      </c>
      <c r="AA521" s="62">
        <f t="shared" si="6259"/>
        <v>3310</v>
      </c>
      <c r="AB521" s="62">
        <f t="shared" si="6259"/>
        <v>3512</v>
      </c>
      <c r="AC521" s="62">
        <f t="shared" si="6259"/>
        <v>3599</v>
      </c>
      <c r="AD521" s="62">
        <f t="shared" ref="AD521" si="6260">SUM(AD515:AD520)</f>
        <v>3675</v>
      </c>
      <c r="AE521" s="62">
        <f t="shared" ref="AE521:AF521" si="6261">SUM(AE515:AE520)</f>
        <v>3540</v>
      </c>
      <c r="AF521" s="62">
        <f t="shared" si="6261"/>
        <v>2782</v>
      </c>
      <c r="AG521" s="62">
        <f t="shared" ref="AG521:AH521" si="6262">SUM(AG515:AG520)</f>
        <v>3107</v>
      </c>
      <c r="AH521" s="62">
        <f t="shared" si="6262"/>
        <v>3355</v>
      </c>
      <c r="AI521" s="62">
        <f t="shared" ref="AI521:AJ521" si="6263">SUM(AI515:AI520)</f>
        <v>3454</v>
      </c>
      <c r="AJ521" s="62">
        <f t="shared" si="6263"/>
        <v>3493</v>
      </c>
      <c r="AK521" s="62">
        <f t="shared" ref="AK521:AL521" si="6264">SUM(AK515:AK520)</f>
        <v>2994</v>
      </c>
      <c r="AL521" s="62">
        <f t="shared" si="6264"/>
        <v>3564</v>
      </c>
      <c r="AM521" s="62">
        <f t="shared" ref="AM521:AN521" si="6265">SUM(AM515:AM520)</f>
        <v>2906</v>
      </c>
      <c r="AN521" s="62">
        <f t="shared" si="6265"/>
        <v>1413</v>
      </c>
      <c r="AO521" s="62">
        <f t="shared" ref="AO521" si="6266">SUM(AO515:AO520)</f>
        <v>2345</v>
      </c>
      <c r="AP521" s="62">
        <f t="shared" ref="AP521:AQ521" si="6267">SUM(AP515:AP520)</f>
        <v>2990</v>
      </c>
      <c r="AQ521" s="62">
        <f t="shared" si="6267"/>
        <v>3208</v>
      </c>
      <c r="AR521" s="62">
        <f t="shared" ref="AR521:AS521" si="6268">SUM(AR515:AR520)</f>
        <v>3113</v>
      </c>
      <c r="AS521" s="62">
        <f t="shared" si="6268"/>
        <v>3402</v>
      </c>
      <c r="AT521" s="62">
        <f t="shared" ref="AT521:AU521" si="6269">SUM(AT515:AT520)</f>
        <v>3829</v>
      </c>
      <c r="AU521" s="62">
        <f t="shared" si="6269"/>
        <v>3584</v>
      </c>
      <c r="AV521" s="62">
        <f t="shared" ref="AV521:AW521" si="6270">SUM(AV515:AV520)</f>
        <v>3552</v>
      </c>
      <c r="AW521" s="62">
        <f t="shared" si="6270"/>
        <v>3173</v>
      </c>
      <c r="AX521" s="62">
        <f t="shared" ref="AX521:AY521" si="6271">SUM(AX515:AX520)</f>
        <v>3568</v>
      </c>
      <c r="AY521" s="220">
        <f t="shared" si="6271"/>
        <v>2219</v>
      </c>
      <c r="AZ521" s="62">
        <f t="shared" ref="AZ521:BA521" si="6272">SUM(AZ515:AZ520)</f>
        <v>3822.0786327811115</v>
      </c>
      <c r="BA521" s="62">
        <f t="shared" si="6272"/>
        <v>3787.7479095662015</v>
      </c>
      <c r="BB521" s="62">
        <f t="shared" ref="BB521:BC521" si="6273">SUM(BB515:BB520)</f>
        <v>3961.4812412299361</v>
      </c>
      <c r="BC521" s="62">
        <f t="shared" si="6273"/>
        <v>3621.5306533571138</v>
      </c>
      <c r="BD521" s="62">
        <f t="shared" ref="BD521:BE521" si="6274">SUM(BD515:BD520)</f>
        <v>4055.998950735765</v>
      </c>
      <c r="BE521" s="62">
        <f t="shared" si="6274"/>
        <v>3757.8946649627974</v>
      </c>
      <c r="BF521" s="62">
        <f t="shared" ref="BF521:BG521" si="6275">SUM(BF515:BF520)</f>
        <v>4173.6762135902381</v>
      </c>
      <c r="BG521" s="62">
        <f t="shared" si="6275"/>
        <v>3935.7576125989444</v>
      </c>
      <c r="BH521" s="62">
        <f t="shared" ref="BH521:BI521" si="6276">SUM(BH515:BH520)</f>
        <v>4275.3908680601107</v>
      </c>
      <c r="BI521" s="62">
        <f t="shared" si="6276"/>
        <v>4000.6619080592413</v>
      </c>
      <c r="BJ521" s="62">
        <f t="shared" ref="BJ521:BK521" si="6277">SUM(BJ515:BJ520)</f>
        <v>4419.7437697908626</v>
      </c>
      <c r="BK521" s="62">
        <f t="shared" si="6277"/>
        <v>4328.1798279280592</v>
      </c>
      <c r="BL521" s="62">
        <f t="shared" ref="BL521:BM521" si="6278">SUM(BL515:BL520)</f>
        <v>4545.2922472606579</v>
      </c>
      <c r="BM521" s="62">
        <f t="shared" si="6278"/>
        <v>4366.2256535934766</v>
      </c>
      <c r="BN521" s="62">
        <f t="shared" ref="BN521:BO521" si="6279">SUM(BN515:BN520)</f>
        <v>4566.1046688744091</v>
      </c>
      <c r="BO521" s="62">
        <f t="shared" si="6279"/>
        <v>4427.6162080881677</v>
      </c>
      <c r="BP521" s="62">
        <f t="shared" ref="BP521:BQ521" si="6280">SUM(BP515:BP520)</f>
        <v>4642.2811250171344</v>
      </c>
      <c r="BQ521" s="62">
        <f t="shared" si="6280"/>
        <v>4543.8090121218265</v>
      </c>
      <c r="BR521" s="62"/>
      <c r="BS521" s="62">
        <f t="shared" ref="BS521:CB521" si="6281">SUM(BS515:BS520)</f>
        <v>-657.9</v>
      </c>
      <c r="BT521" s="62">
        <f t="shared" si="6281"/>
        <v>380.1</v>
      </c>
      <c r="BU521" s="62">
        <f t="shared" si="6281"/>
        <v>723</v>
      </c>
      <c r="BV521" s="62">
        <f t="shared" si="6281"/>
        <v>953</v>
      </c>
      <c r="BW521" s="62">
        <f t="shared" si="6281"/>
        <v>1116</v>
      </c>
      <c r="BX521" s="62">
        <f t="shared" si="6281"/>
        <v>1171</v>
      </c>
      <c r="BY521" s="62">
        <f t="shared" si="6281"/>
        <v>1175</v>
      </c>
      <c r="BZ521" s="62">
        <f t="shared" si="6281"/>
        <v>1408</v>
      </c>
      <c r="CA521" s="62">
        <f t="shared" si="6281"/>
        <v>1613</v>
      </c>
      <c r="CB521" s="62">
        <f t="shared" si="6281"/>
        <v>1768</v>
      </c>
      <c r="CC521" s="62">
        <f t="shared" si="6125"/>
        <v>2051</v>
      </c>
      <c r="CD521" s="62">
        <f t="shared" si="6126"/>
        <v>2246</v>
      </c>
      <c r="CE521" s="62">
        <f t="shared" si="6127"/>
        <v>2633.0000000000009</v>
      </c>
      <c r="CF521" s="62">
        <f t="shared" si="6128"/>
        <v>3133</v>
      </c>
      <c r="CG521" s="62">
        <f t="shared" si="6129"/>
        <v>3559.9999999999995</v>
      </c>
      <c r="CH521" s="62">
        <f t="shared" si="6130"/>
        <v>3886.9999999999991</v>
      </c>
      <c r="CI521" s="62">
        <f t="shared" si="6131"/>
        <v>3380.0000000000009</v>
      </c>
      <c r="CJ521" s="62">
        <f t="shared" si="6132"/>
        <v>3739</v>
      </c>
      <c r="CK521" s="62">
        <f t="shared" si="6133"/>
        <v>5014</v>
      </c>
      <c r="CL521" s="62">
        <f t="shared" si="6134"/>
        <v>5455</v>
      </c>
      <c r="CM521" s="62">
        <f t="shared" si="6135"/>
        <v>5819</v>
      </c>
      <c r="CN521" s="62">
        <f t="shared" si="6136"/>
        <v>6486</v>
      </c>
      <c r="CO521" s="62">
        <f t="shared" si="6137"/>
        <v>7111</v>
      </c>
      <c r="CP521" s="62">
        <f t="shared" si="6138"/>
        <v>7215</v>
      </c>
      <c r="CQ521" s="62">
        <f t="shared" si="6139"/>
        <v>5889</v>
      </c>
      <c r="CR521" s="62">
        <f t="shared" si="6140"/>
        <v>6809</v>
      </c>
      <c r="CS521" s="62">
        <f t="shared" si="6141"/>
        <v>6487</v>
      </c>
      <c r="CT521" s="62">
        <f t="shared" si="6142"/>
        <v>6470</v>
      </c>
      <c r="CU521" s="62">
        <f t="shared" si="6143"/>
        <v>3758</v>
      </c>
      <c r="CV521" s="62">
        <f t="shared" si="6144"/>
        <v>6198</v>
      </c>
      <c r="CW521" s="62">
        <f t="shared" si="6145"/>
        <v>6515</v>
      </c>
      <c r="CX521" s="62">
        <f t="shared" si="6146"/>
        <v>7413</v>
      </c>
      <c r="CY521" s="62">
        <f t="shared" si="6147"/>
        <v>6725</v>
      </c>
      <c r="CZ521" s="220">
        <f t="shared" si="6148"/>
        <v>5787</v>
      </c>
      <c r="DA521" s="62">
        <f t="shared" si="6149"/>
        <v>7609.8265423473131</v>
      </c>
      <c r="DB521" s="62">
        <f t="shared" si="6150"/>
        <v>7583.0118945870499</v>
      </c>
      <c r="DC521" s="62">
        <f t="shared" si="6151"/>
        <v>7813.8936156985619</v>
      </c>
      <c r="DD521" s="62">
        <f t="shared" si="6152"/>
        <v>8109.4338261891826</v>
      </c>
      <c r="DE521" s="62">
        <f t="shared" si="6153"/>
        <v>8276.0527761193516</v>
      </c>
      <c r="DF521" s="62">
        <f t="shared" si="6154"/>
        <v>8747.9235977189219</v>
      </c>
      <c r="DG521" s="62">
        <f t="shared" si="6155"/>
        <v>8911.5179008541345</v>
      </c>
      <c r="DH521" s="62">
        <f t="shared" si="6156"/>
        <v>8993.7208769625759</v>
      </c>
      <c r="DI521" s="62">
        <f t="shared" si="6157"/>
        <v>9186.0901371389609</v>
      </c>
    </row>
    <row r="522" spans="1:113" ht="12" outlineLevel="1" collapsed="1">
      <c r="A522" s="1" t="s">
        <v>961</v>
      </c>
      <c r="B522" s="15" t="str">
        <f>B499</f>
        <v>Preference dividend</v>
      </c>
      <c r="C522" s="41">
        <f>-C499</f>
        <v>60</v>
      </c>
      <c r="D522" s="41">
        <f>-D499</f>
        <v>60</v>
      </c>
      <c r="E522" s="41">
        <f>-E499</f>
        <v>57</v>
      </c>
      <c r="F522" s="41">
        <f t="shared" ref="F522:L522" si="6282">-F499</f>
        <v>54</v>
      </c>
      <c r="G522" s="41">
        <f t="shared" si="6282"/>
        <v>48</v>
      </c>
      <c r="H522" s="41">
        <f t="shared" si="6282"/>
        <v>64</v>
      </c>
      <c r="I522" s="41">
        <f t="shared" si="6282"/>
        <v>34</v>
      </c>
      <c r="J522" s="41">
        <f t="shared" si="6282"/>
        <v>6</v>
      </c>
      <c r="K522" s="41">
        <f t="shared" si="6282"/>
        <v>12</v>
      </c>
      <c r="L522" s="41">
        <f t="shared" si="6282"/>
        <v>12</v>
      </c>
      <c r="M522" s="41">
        <f t="shared" ref="M522:AC522" si="6283">-M499</f>
        <v>15</v>
      </c>
      <c r="N522" s="41">
        <f t="shared" si="6283"/>
        <v>17</v>
      </c>
      <c r="O522" s="41">
        <f t="shared" si="6283"/>
        <v>20</v>
      </c>
      <c r="P522" s="41">
        <f t="shared" si="6283"/>
        <v>23</v>
      </c>
      <c r="Q522" s="41">
        <f t="shared" si="6283"/>
        <v>23</v>
      </c>
      <c r="R522" s="41">
        <f t="shared" si="6283"/>
        <v>24</v>
      </c>
      <c r="S522" s="41">
        <f t="shared" si="6283"/>
        <v>9</v>
      </c>
      <c r="T522" s="41">
        <f t="shared" si="6283"/>
        <v>6</v>
      </c>
      <c r="U522" s="41">
        <f t="shared" si="6283"/>
        <v>5</v>
      </c>
      <c r="V522" s="41">
        <f t="shared" si="6283"/>
        <v>6</v>
      </c>
      <c r="W522" s="41">
        <f t="shared" si="6283"/>
        <v>6</v>
      </c>
      <c r="X522" s="41">
        <f t="shared" si="6283"/>
        <v>7</v>
      </c>
      <c r="Y522" s="41">
        <f>-Y499</f>
        <v>4</v>
      </c>
      <c r="Z522" s="41">
        <f t="shared" si="6283"/>
        <v>3</v>
      </c>
      <c r="AA522" s="41">
        <f t="shared" si="6283"/>
        <v>3</v>
      </c>
      <c r="AB522" s="41">
        <f t="shared" si="6283"/>
        <v>3</v>
      </c>
      <c r="AC522" s="41">
        <f t="shared" si="6283"/>
        <v>3</v>
      </c>
      <c r="AD522" s="41">
        <f t="shared" ref="AD522" si="6284">-AD499</f>
        <v>1</v>
      </c>
      <c r="AE522" s="41">
        <f t="shared" ref="AE522:AF522" si="6285">-AE499</f>
        <v>0</v>
      </c>
      <c r="AF522" s="41">
        <f t="shared" si="6285"/>
        <v>0</v>
      </c>
      <c r="AG522" s="41">
        <f t="shared" ref="AG522:AH522" si="6286">-AG499</f>
        <v>0</v>
      </c>
      <c r="AH522" s="41">
        <f t="shared" si="6286"/>
        <v>0</v>
      </c>
      <c r="AI522" s="41">
        <f t="shared" ref="AI522:AJ522" si="6287">-AI499</f>
        <v>0</v>
      </c>
      <c r="AJ522" s="41">
        <f t="shared" si="6287"/>
        <v>0</v>
      </c>
      <c r="AK522" s="41">
        <f t="shared" ref="AK522:AL522" si="6288">-AK499</f>
        <v>0</v>
      </c>
      <c r="AL522" s="41">
        <f t="shared" si="6288"/>
        <v>0</v>
      </c>
      <c r="AM522" s="41">
        <f t="shared" ref="AM522:AN522" si="6289">-AM499</f>
        <v>0</v>
      </c>
      <c r="AN522" s="41">
        <f t="shared" si="6289"/>
        <v>0</v>
      </c>
      <c r="AO522" s="41">
        <f t="shared" ref="AO522" si="6290">-AO499</f>
        <v>0</v>
      </c>
      <c r="AP522" s="41">
        <f t="shared" ref="AP522:AQ522" si="6291">-AP499</f>
        <v>0</v>
      </c>
      <c r="AQ522" s="41">
        <f t="shared" si="6291"/>
        <v>0</v>
      </c>
      <c r="AR522" s="41">
        <f t="shared" ref="AR522:AS522" si="6292">-AR499</f>
        <v>0</v>
      </c>
      <c r="AS522" s="41">
        <f t="shared" si="6292"/>
        <v>0</v>
      </c>
      <c r="AT522" s="41">
        <f t="shared" ref="AT522:AU522" si="6293">-AT499</f>
        <v>0</v>
      </c>
      <c r="AU522" s="41">
        <f t="shared" si="6293"/>
        <v>0</v>
      </c>
      <c r="AV522" s="41">
        <f t="shared" ref="AV522:AW522" si="6294">-AV499</f>
        <v>0</v>
      </c>
      <c r="AW522" s="41">
        <f t="shared" si="6294"/>
        <v>0</v>
      </c>
      <c r="AX522" s="41">
        <f t="shared" ref="AX522:AY522" si="6295">-AX499</f>
        <v>0</v>
      </c>
      <c r="AY522" s="211">
        <f t="shared" si="6295"/>
        <v>0</v>
      </c>
      <c r="AZ522" s="41">
        <f t="shared" ref="AZ522:BA522" si="6296">-AZ499</f>
        <v>0</v>
      </c>
      <c r="BA522" s="41">
        <f t="shared" si="6296"/>
        <v>0</v>
      </c>
      <c r="BB522" s="41">
        <f t="shared" ref="BB522:BC522" si="6297">-BB499</f>
        <v>0</v>
      </c>
      <c r="BC522" s="41">
        <f t="shared" si="6297"/>
        <v>0</v>
      </c>
      <c r="BD522" s="41">
        <f t="shared" ref="BD522:BE522" si="6298">-BD499</f>
        <v>0</v>
      </c>
      <c r="BE522" s="41">
        <f t="shared" si="6298"/>
        <v>0</v>
      </c>
      <c r="BF522" s="41">
        <f t="shared" ref="BF522:BG522" si="6299">-BF499</f>
        <v>0</v>
      </c>
      <c r="BG522" s="41">
        <f t="shared" si="6299"/>
        <v>0</v>
      </c>
      <c r="BH522" s="41">
        <f t="shared" ref="BH522:BI522" si="6300">-BH499</f>
        <v>0</v>
      </c>
      <c r="BI522" s="41">
        <f t="shared" si="6300"/>
        <v>0</v>
      </c>
      <c r="BJ522" s="41">
        <f t="shared" ref="BJ522:BK522" si="6301">-BJ499</f>
        <v>0</v>
      </c>
      <c r="BK522" s="41">
        <f t="shared" si="6301"/>
        <v>0</v>
      </c>
      <c r="BL522" s="41">
        <f t="shared" ref="BL522:BM522" si="6302">-BL499</f>
        <v>0</v>
      </c>
      <c r="BM522" s="41">
        <f t="shared" si="6302"/>
        <v>0</v>
      </c>
      <c r="BN522" s="41">
        <f t="shared" ref="BN522:BO522" si="6303">-BN499</f>
        <v>0</v>
      </c>
      <c r="BO522" s="41">
        <f t="shared" si="6303"/>
        <v>0</v>
      </c>
      <c r="BP522" s="41">
        <f t="shared" ref="BP522:BQ522" si="6304">-BP499</f>
        <v>0</v>
      </c>
      <c r="BQ522" s="41">
        <f t="shared" si="6304"/>
        <v>0</v>
      </c>
      <c r="BR522" s="41"/>
      <c r="BS522" s="41">
        <f t="shared" ref="BS522:CB522" si="6305">-BS499</f>
        <v>79.400000000000006</v>
      </c>
      <c r="BT522" s="41">
        <f t="shared" si="6305"/>
        <v>79.400000000000006</v>
      </c>
      <c r="BU522" s="41">
        <f t="shared" si="6305"/>
        <v>80</v>
      </c>
      <c r="BV522" s="41">
        <f t="shared" si="6305"/>
        <v>80</v>
      </c>
      <c r="BW522" s="41">
        <f t="shared" si="6305"/>
        <v>0</v>
      </c>
      <c r="BX522" s="41">
        <f t="shared" si="6305"/>
        <v>0</v>
      </c>
      <c r="BY522" s="41">
        <f t="shared" si="6305"/>
        <v>0</v>
      </c>
      <c r="BZ522" s="41">
        <f t="shared" si="6305"/>
        <v>72</v>
      </c>
      <c r="CA522" s="41">
        <f t="shared" si="6305"/>
        <v>102</v>
      </c>
      <c r="CB522" s="41">
        <f t="shared" si="6305"/>
        <v>119</v>
      </c>
      <c r="CC522" s="41">
        <f t="shared" si="6125"/>
        <v>117</v>
      </c>
      <c r="CD522" s="41">
        <f t="shared" si="6126"/>
        <v>102</v>
      </c>
      <c r="CE522" s="41">
        <f t="shared" si="6127"/>
        <v>98</v>
      </c>
      <c r="CF522" s="41">
        <f t="shared" si="6128"/>
        <v>18</v>
      </c>
      <c r="CG522" s="41">
        <f t="shared" si="6129"/>
        <v>27</v>
      </c>
      <c r="CH522" s="41">
        <f t="shared" si="6130"/>
        <v>37</v>
      </c>
      <c r="CI522" s="41">
        <f t="shared" si="6131"/>
        <v>46</v>
      </c>
      <c r="CJ522" s="41">
        <f t="shared" si="6132"/>
        <v>33</v>
      </c>
      <c r="CK522" s="41">
        <f t="shared" si="6133"/>
        <v>11</v>
      </c>
      <c r="CL522" s="41">
        <f t="shared" si="6134"/>
        <v>12</v>
      </c>
      <c r="CM522" s="41">
        <f t="shared" si="6135"/>
        <v>11</v>
      </c>
      <c r="CN522" s="41">
        <f t="shared" si="6136"/>
        <v>6</v>
      </c>
      <c r="CO522" s="41">
        <f t="shared" si="6137"/>
        <v>6</v>
      </c>
      <c r="CP522" s="41">
        <f t="shared" si="6138"/>
        <v>1</v>
      </c>
      <c r="CQ522" s="41">
        <f t="shared" si="6139"/>
        <v>0</v>
      </c>
      <c r="CR522" s="41">
        <f t="shared" si="6140"/>
        <v>0</v>
      </c>
      <c r="CS522" s="41">
        <f t="shared" si="6141"/>
        <v>0</v>
      </c>
      <c r="CT522" s="41">
        <f t="shared" si="6142"/>
        <v>0</v>
      </c>
      <c r="CU522" s="41">
        <f t="shared" si="6143"/>
        <v>0</v>
      </c>
      <c r="CV522" s="41">
        <f t="shared" si="6144"/>
        <v>0</v>
      </c>
      <c r="CW522" s="41">
        <f t="shared" si="6145"/>
        <v>0</v>
      </c>
      <c r="CX522" s="41">
        <f t="shared" si="6146"/>
        <v>0</v>
      </c>
      <c r="CY522" s="41">
        <f t="shared" si="6147"/>
        <v>0</v>
      </c>
      <c r="CZ522" s="211">
        <f t="shared" si="6148"/>
        <v>0</v>
      </c>
      <c r="DA522" s="41">
        <f t="shared" si="6149"/>
        <v>0</v>
      </c>
      <c r="DB522" s="41">
        <f t="shared" si="6150"/>
        <v>0</v>
      </c>
      <c r="DC522" s="41">
        <f t="shared" si="6151"/>
        <v>0</v>
      </c>
      <c r="DD522" s="41">
        <f t="shared" si="6152"/>
        <v>0</v>
      </c>
      <c r="DE522" s="41">
        <f t="shared" si="6153"/>
        <v>0</v>
      </c>
      <c r="DF522" s="41">
        <f t="shared" si="6154"/>
        <v>0</v>
      </c>
      <c r="DG522" s="41">
        <f t="shared" si="6155"/>
        <v>0</v>
      </c>
      <c r="DH522" s="41">
        <f t="shared" si="6156"/>
        <v>0</v>
      </c>
      <c r="DI522" s="41">
        <f t="shared" si="6157"/>
        <v>0</v>
      </c>
    </row>
    <row r="523" spans="1:113" ht="12" outlineLevel="1">
      <c r="A523" s="1" t="s">
        <v>834</v>
      </c>
      <c r="B523" s="15" t="s">
        <v>280</v>
      </c>
      <c r="C523" s="40">
        <v>0</v>
      </c>
      <c r="D523" s="40">
        <v>0</v>
      </c>
      <c r="E523" s="40">
        <v>0</v>
      </c>
      <c r="F523" s="40">
        <v>0</v>
      </c>
      <c r="G523" s="40">
        <v>0</v>
      </c>
      <c r="H523" s="40">
        <v>0</v>
      </c>
      <c r="I523" s="40">
        <v>0</v>
      </c>
      <c r="J523" s="40">
        <v>2</v>
      </c>
      <c r="K523" s="40">
        <v>-9</v>
      </c>
      <c r="L523" s="40">
        <f>14+79-26</f>
        <v>67</v>
      </c>
      <c r="M523" s="40">
        <v>0</v>
      </c>
      <c r="N523" s="40">
        <f>141</f>
        <v>141</v>
      </c>
      <c r="O523" s="40">
        <f>-24+54</f>
        <v>30</v>
      </c>
      <c r="P523" s="40">
        <f>8-24</f>
        <v>-16</v>
      </c>
      <c r="Q523" s="40">
        <f>-7-152</f>
        <v>-159</v>
      </c>
      <c r="R523" s="40">
        <f>-17</f>
        <v>-17</v>
      </c>
      <c r="S523" s="40">
        <f>-196</f>
        <v>-196</v>
      </c>
      <c r="T523" s="40">
        <f>38-322-52</f>
        <v>-336</v>
      </c>
      <c r="U523" s="40">
        <f>0-158+20</f>
        <v>-138</v>
      </c>
      <c r="V523" s="40">
        <f>-15+45-8</f>
        <v>22</v>
      </c>
      <c r="W523" s="40">
        <f>56-41+17</f>
        <v>32</v>
      </c>
      <c r="X523" s="40">
        <f>0+52-70</f>
        <v>-18</v>
      </c>
      <c r="Y523" s="40">
        <f>-220-26+51</f>
        <v>-195</v>
      </c>
      <c r="Z523" s="141">
        <f>-242-Z524</f>
        <v>-34</v>
      </c>
      <c r="AA523" s="141">
        <f>16-AA524</f>
        <v>-46</v>
      </c>
      <c r="AB523" s="141">
        <f>-123-AB524</f>
        <v>-11</v>
      </c>
      <c r="AC523" s="141">
        <f>277-AC524</f>
        <v>91</v>
      </c>
      <c r="AD523" s="141">
        <f>-170-AD524</f>
        <v>-172</v>
      </c>
      <c r="AE523" s="141">
        <f>447-AE524</f>
        <v>181</v>
      </c>
      <c r="AF523" s="141">
        <f>-44-AF524</f>
        <v>41</v>
      </c>
      <c r="AG523" s="141">
        <f>-136-AG524</f>
        <v>-129</v>
      </c>
      <c r="AH523" s="141">
        <f>-500-AH524+56</f>
        <v>-154</v>
      </c>
      <c r="AI523" s="141">
        <f>-32-AI524+73</f>
        <v>52</v>
      </c>
      <c r="AJ523" s="141">
        <f>10+124-40+3-600</f>
        <v>-503</v>
      </c>
      <c r="AK523" s="141">
        <f>4+124+49+1-95</f>
        <v>83</v>
      </c>
      <c r="AL523" s="141">
        <f>-77-185-60+1-70</f>
        <v>-391</v>
      </c>
      <c r="AM523" s="141">
        <f>0+67+79+1-273</f>
        <v>-126</v>
      </c>
      <c r="AN523" s="141">
        <f>0+340-120+2-90</f>
        <v>132</v>
      </c>
      <c r="AO523" s="141">
        <f>0-461+156+0-8</f>
        <v>-313</v>
      </c>
      <c r="AP523" s="141">
        <f>0-51+12+0-8</f>
        <v>-47</v>
      </c>
      <c r="AQ523" s="141">
        <f>0+128-108+0-9</f>
        <v>11</v>
      </c>
      <c r="AR523" s="141">
        <f>0+373+49+0-5</f>
        <v>417</v>
      </c>
      <c r="AS523" s="141">
        <f>0+196+5+0-14</f>
        <v>187</v>
      </c>
      <c r="AT523" s="141">
        <f>0-190-84+0-0</f>
        <v>-274</v>
      </c>
      <c r="AU523" s="141">
        <f>0-27-6+0-0</f>
        <v>-33</v>
      </c>
      <c r="AV523" s="141">
        <v>-145</v>
      </c>
      <c r="AW523" s="141">
        <v>-45</v>
      </c>
      <c r="AX523" s="141">
        <v>74</v>
      </c>
      <c r="AY523" s="226">
        <v>30</v>
      </c>
      <c r="AZ523" s="210">
        <v>0</v>
      </c>
      <c r="BA523" s="210">
        <v>0</v>
      </c>
      <c r="BB523" s="210">
        <v>0</v>
      </c>
      <c r="BC523" s="210">
        <v>0</v>
      </c>
      <c r="BD523" s="210">
        <v>0</v>
      </c>
      <c r="BE523" s="210">
        <v>0</v>
      </c>
      <c r="BF523" s="210">
        <v>0</v>
      </c>
      <c r="BG523" s="210">
        <v>0</v>
      </c>
      <c r="BH523" s="210">
        <v>0</v>
      </c>
      <c r="BI523" s="210">
        <v>0</v>
      </c>
      <c r="BJ523" s="210">
        <v>0</v>
      </c>
      <c r="BK523" s="210">
        <v>0</v>
      </c>
      <c r="BL523" s="210">
        <v>0</v>
      </c>
      <c r="BM523" s="210">
        <v>0</v>
      </c>
      <c r="BN523" s="210">
        <v>0</v>
      </c>
      <c r="BO523" s="210">
        <v>0</v>
      </c>
      <c r="BP523" s="210">
        <v>0</v>
      </c>
      <c r="BQ523" s="210">
        <v>0</v>
      </c>
      <c r="BR523" s="41"/>
      <c r="BS523" s="40">
        <v>-0.9</v>
      </c>
      <c r="BT523" s="40">
        <v>-213.2</v>
      </c>
      <c r="BU523" s="40">
        <v>19</v>
      </c>
      <c r="BV523" s="40">
        <v>19</v>
      </c>
      <c r="BW523" s="40">
        <v>0</v>
      </c>
      <c r="BX523" s="40">
        <v>-147</v>
      </c>
      <c r="BY523" s="40">
        <v>-69</v>
      </c>
      <c r="BZ523" s="40">
        <v>0</v>
      </c>
      <c r="CA523" s="40">
        <v>44</v>
      </c>
      <c r="CB523" s="40">
        <v>0</v>
      </c>
      <c r="CC523" s="41">
        <f t="shared" si="6125"/>
        <v>0</v>
      </c>
      <c r="CD523" s="41">
        <f t="shared" si="6126"/>
        <v>0</v>
      </c>
      <c r="CE523" s="41">
        <f t="shared" si="6127"/>
        <v>0</v>
      </c>
      <c r="CF523" s="41">
        <f t="shared" si="6128"/>
        <v>-7</v>
      </c>
      <c r="CG523" s="41">
        <f t="shared" si="6129"/>
        <v>67</v>
      </c>
      <c r="CH523" s="41">
        <f t="shared" si="6130"/>
        <v>171</v>
      </c>
      <c r="CI523" s="41">
        <f t="shared" si="6131"/>
        <v>-175</v>
      </c>
      <c r="CJ523" s="41">
        <f t="shared" si="6132"/>
        <v>-213</v>
      </c>
      <c r="CK523" s="41">
        <f t="shared" si="6133"/>
        <v>-474</v>
      </c>
      <c r="CL523" s="41">
        <f t="shared" si="6134"/>
        <v>54</v>
      </c>
      <c r="CM523" s="41">
        <f t="shared" si="6135"/>
        <v>-213</v>
      </c>
      <c r="CN523" s="41">
        <f t="shared" si="6136"/>
        <v>-80</v>
      </c>
      <c r="CO523" s="41">
        <f t="shared" si="6137"/>
        <v>80</v>
      </c>
      <c r="CP523" s="41">
        <f t="shared" si="6138"/>
        <v>9</v>
      </c>
      <c r="CQ523" s="41">
        <f t="shared" si="6139"/>
        <v>-88</v>
      </c>
      <c r="CR523" s="41">
        <f t="shared" si="6140"/>
        <v>-102</v>
      </c>
      <c r="CS523" s="41">
        <f t="shared" si="6141"/>
        <v>-420</v>
      </c>
      <c r="CT523" s="41">
        <f t="shared" si="6142"/>
        <v>-517</v>
      </c>
      <c r="CU523" s="41">
        <f t="shared" si="6143"/>
        <v>-181</v>
      </c>
      <c r="CV523" s="41">
        <f t="shared" si="6144"/>
        <v>-36</v>
      </c>
      <c r="CW523" s="41">
        <f t="shared" si="6145"/>
        <v>604</v>
      </c>
      <c r="CX523" s="41">
        <f t="shared" si="6146"/>
        <v>-307</v>
      </c>
      <c r="CY523" s="41">
        <f t="shared" si="6147"/>
        <v>-190</v>
      </c>
      <c r="CZ523" s="211">
        <f t="shared" si="6148"/>
        <v>104</v>
      </c>
      <c r="DA523" s="41">
        <f t="shared" si="6149"/>
        <v>0</v>
      </c>
      <c r="DB523" s="41">
        <f t="shared" si="6150"/>
        <v>0</v>
      </c>
      <c r="DC523" s="41">
        <f t="shared" si="6151"/>
        <v>0</v>
      </c>
      <c r="DD523" s="41">
        <f t="shared" si="6152"/>
        <v>0</v>
      </c>
      <c r="DE523" s="41">
        <f t="shared" si="6153"/>
        <v>0</v>
      </c>
      <c r="DF523" s="41">
        <f t="shared" si="6154"/>
        <v>0</v>
      </c>
      <c r="DG523" s="41">
        <f t="shared" si="6155"/>
        <v>0</v>
      </c>
      <c r="DH523" s="41">
        <f t="shared" si="6156"/>
        <v>0</v>
      </c>
      <c r="DI523" s="41">
        <f t="shared" si="6157"/>
        <v>0</v>
      </c>
    </row>
    <row r="524" spans="1:113" ht="12" outlineLevel="1">
      <c r="A524" s="1" t="s">
        <v>835</v>
      </c>
      <c r="B524" s="15" t="s">
        <v>1070</v>
      </c>
      <c r="C524" s="40">
        <v>0</v>
      </c>
      <c r="D524" s="40">
        <f>159-175</f>
        <v>-16</v>
      </c>
      <c r="E524" s="40">
        <v>170</v>
      </c>
      <c r="F524" s="40">
        <v>0</v>
      </c>
      <c r="G524" s="40">
        <v>0</v>
      </c>
      <c r="H524" s="40">
        <v>84</v>
      </c>
      <c r="I524" s="40">
        <v>0</v>
      </c>
      <c r="J524" s="40">
        <v>-15</v>
      </c>
      <c r="K524" s="40">
        <v>46</v>
      </c>
      <c r="L524" s="40">
        <f>13</f>
        <v>13</v>
      </c>
      <c r="M524" s="40">
        <f>21</f>
        <v>21</v>
      </c>
      <c r="N524" s="40">
        <f>28-3</f>
        <v>25</v>
      </c>
      <c r="O524" s="40">
        <f>41+19</f>
        <v>60</v>
      </c>
      <c r="P524" s="40">
        <f>67-10</f>
        <v>57</v>
      </c>
      <c r="Q524" s="40">
        <f>176-16</f>
        <v>160</v>
      </c>
      <c r="R524" s="40">
        <f>461+19</f>
        <v>480</v>
      </c>
      <c r="S524" s="40">
        <f>-709+2</f>
        <v>-707</v>
      </c>
      <c r="T524" s="40">
        <f>-138+23</f>
        <v>-115</v>
      </c>
      <c r="U524" s="40">
        <f>-36-8+1</f>
        <v>-43</v>
      </c>
      <c r="V524" s="40">
        <f>3-114+30</f>
        <v>-81</v>
      </c>
      <c r="W524" s="40">
        <f>-1-3-81</f>
        <v>-85</v>
      </c>
      <c r="X524" s="40">
        <f>0-22+63</f>
        <v>41</v>
      </c>
      <c r="Y524" s="40">
        <f>0-207-10</f>
        <v>-217</v>
      </c>
      <c r="Z524" s="141">
        <f>0-192-16</f>
        <v>-208</v>
      </c>
      <c r="AA524" s="141">
        <f>205-143</f>
        <v>62</v>
      </c>
      <c r="AB524" s="141">
        <f>-37+3-78</f>
        <v>-112</v>
      </c>
      <c r="AC524" s="141">
        <f>13+23+150</f>
        <v>186</v>
      </c>
      <c r="AD524" s="141">
        <f>-79+67+14</f>
        <v>2</v>
      </c>
      <c r="AE524" s="141">
        <f>95+6+165</f>
        <v>266</v>
      </c>
      <c r="AF524" s="141">
        <f>29+14-128</f>
        <v>-85</v>
      </c>
      <c r="AG524" s="141">
        <f>-73+40+26</f>
        <v>-7</v>
      </c>
      <c r="AH524" s="141">
        <f>-76-36-178</f>
        <v>-290</v>
      </c>
      <c r="AI524" s="141">
        <f>18+2-31</f>
        <v>-11</v>
      </c>
      <c r="AJ524" s="141">
        <v>333</v>
      </c>
      <c r="AK524" s="141">
        <v>0</v>
      </c>
      <c r="AL524" s="141">
        <v>0</v>
      </c>
      <c r="AM524" s="141">
        <v>0</v>
      </c>
      <c r="AN524" s="141">
        <v>0</v>
      </c>
      <c r="AO524" s="141">
        <v>0</v>
      </c>
      <c r="AP524" s="141">
        <v>0</v>
      </c>
      <c r="AQ524" s="141">
        <v>0</v>
      </c>
      <c r="AR524" s="141">
        <v>0</v>
      </c>
      <c r="AS524" s="141">
        <v>0</v>
      </c>
      <c r="AT524" s="141">
        <v>0</v>
      </c>
      <c r="AU524" s="141">
        <v>0</v>
      </c>
      <c r="AV524" s="141">
        <v>0</v>
      </c>
      <c r="AW524" s="141">
        <v>0</v>
      </c>
      <c r="AX524" s="141">
        <v>0</v>
      </c>
      <c r="AY524" s="226">
        <v>0</v>
      </c>
      <c r="AZ524" s="210">
        <v>0</v>
      </c>
      <c r="BA524" s="210">
        <v>0</v>
      </c>
      <c r="BB524" s="210">
        <v>0</v>
      </c>
      <c r="BC524" s="210">
        <v>0</v>
      </c>
      <c r="BD524" s="210">
        <v>0</v>
      </c>
      <c r="BE524" s="210">
        <v>0</v>
      </c>
      <c r="BF524" s="210">
        <v>0</v>
      </c>
      <c r="BG524" s="210">
        <v>0</v>
      </c>
      <c r="BH524" s="210">
        <v>0</v>
      </c>
      <c r="BI524" s="210">
        <v>0</v>
      </c>
      <c r="BJ524" s="210">
        <v>0</v>
      </c>
      <c r="BK524" s="210">
        <v>0</v>
      </c>
      <c r="BL524" s="210">
        <v>0</v>
      </c>
      <c r="BM524" s="210">
        <v>0</v>
      </c>
      <c r="BN524" s="210">
        <v>0</v>
      </c>
      <c r="BO524" s="210">
        <v>0</v>
      </c>
      <c r="BP524" s="210">
        <v>0</v>
      </c>
      <c r="BQ524" s="210">
        <v>0</v>
      </c>
      <c r="BR524" s="41"/>
      <c r="BS524" s="40">
        <v>0</v>
      </c>
      <c r="BT524" s="40">
        <v>0</v>
      </c>
      <c r="BU524" s="40">
        <v>0</v>
      </c>
      <c r="BV524" s="40">
        <v>0</v>
      </c>
      <c r="BW524" s="40">
        <v>0</v>
      </c>
      <c r="BX524" s="40">
        <v>0</v>
      </c>
      <c r="BY524" s="40">
        <v>0</v>
      </c>
      <c r="BZ524" s="40">
        <v>0</v>
      </c>
      <c r="CA524" s="40">
        <v>-12</v>
      </c>
      <c r="CB524" s="40">
        <v>-17</v>
      </c>
      <c r="CC524" s="41">
        <f t="shared" si="6125"/>
        <v>154</v>
      </c>
      <c r="CD524" s="41">
        <f t="shared" si="6126"/>
        <v>0</v>
      </c>
      <c r="CE524" s="41">
        <f t="shared" si="6127"/>
        <v>84</v>
      </c>
      <c r="CF524" s="41">
        <f t="shared" si="6128"/>
        <v>31</v>
      </c>
      <c r="CG524" s="41">
        <f t="shared" si="6129"/>
        <v>34</v>
      </c>
      <c r="CH524" s="41">
        <f t="shared" si="6130"/>
        <v>85</v>
      </c>
      <c r="CI524" s="41">
        <f t="shared" si="6131"/>
        <v>217</v>
      </c>
      <c r="CJ524" s="41">
        <f t="shared" si="6132"/>
        <v>-227</v>
      </c>
      <c r="CK524" s="41">
        <f t="shared" si="6133"/>
        <v>-158</v>
      </c>
      <c r="CL524" s="41">
        <f t="shared" si="6134"/>
        <v>-166</v>
      </c>
      <c r="CM524" s="41">
        <f t="shared" si="6135"/>
        <v>-176</v>
      </c>
      <c r="CN524" s="41">
        <f t="shared" si="6136"/>
        <v>-146</v>
      </c>
      <c r="CO524" s="41">
        <f t="shared" si="6137"/>
        <v>74</v>
      </c>
      <c r="CP524" s="41">
        <f t="shared" si="6138"/>
        <v>268</v>
      </c>
      <c r="CQ524" s="41">
        <f t="shared" si="6139"/>
        <v>-92</v>
      </c>
      <c r="CR524" s="41">
        <f t="shared" si="6140"/>
        <v>-301</v>
      </c>
      <c r="CS524" s="41">
        <f t="shared" si="6141"/>
        <v>333</v>
      </c>
      <c r="CT524" s="41">
        <f t="shared" si="6142"/>
        <v>0</v>
      </c>
      <c r="CU524" s="41">
        <f t="shared" si="6143"/>
        <v>0</v>
      </c>
      <c r="CV524" s="41">
        <f t="shared" si="6144"/>
        <v>0</v>
      </c>
      <c r="CW524" s="41">
        <f t="shared" si="6145"/>
        <v>0</v>
      </c>
      <c r="CX524" s="41">
        <f t="shared" si="6146"/>
        <v>0</v>
      </c>
      <c r="CY524" s="41">
        <f t="shared" si="6147"/>
        <v>0</v>
      </c>
      <c r="CZ524" s="211">
        <f t="shared" si="6148"/>
        <v>0</v>
      </c>
      <c r="DA524" s="41">
        <f t="shared" si="6149"/>
        <v>0</v>
      </c>
      <c r="DB524" s="41">
        <f t="shared" si="6150"/>
        <v>0</v>
      </c>
      <c r="DC524" s="41">
        <f t="shared" si="6151"/>
        <v>0</v>
      </c>
      <c r="DD524" s="41">
        <f t="shared" si="6152"/>
        <v>0</v>
      </c>
      <c r="DE524" s="41">
        <f t="shared" si="6153"/>
        <v>0</v>
      </c>
      <c r="DF524" s="41">
        <f t="shared" si="6154"/>
        <v>0</v>
      </c>
      <c r="DG524" s="41">
        <f t="shared" si="6155"/>
        <v>0</v>
      </c>
      <c r="DH524" s="41">
        <f t="shared" si="6156"/>
        <v>0</v>
      </c>
      <c r="DI524" s="41">
        <f t="shared" si="6157"/>
        <v>0</v>
      </c>
    </row>
    <row r="525" spans="1:113" s="17" customFormat="1" ht="12" outlineLevel="1">
      <c r="A525" s="1" t="s">
        <v>836</v>
      </c>
      <c r="B525" s="17" t="s">
        <v>427</v>
      </c>
      <c r="C525" s="62">
        <f t="shared" ref="C525:L525" si="6306">SUM(C522:C524,C515)</f>
        <v>975</v>
      </c>
      <c r="D525" s="62">
        <f t="shared" si="6306"/>
        <v>1050</v>
      </c>
      <c r="E525" s="62">
        <f t="shared" si="6306"/>
        <v>1271.9999999999998</v>
      </c>
      <c r="F525" s="62">
        <f t="shared" si="6306"/>
        <v>1141.0000000000002</v>
      </c>
      <c r="G525" s="62">
        <f t="shared" si="6306"/>
        <v>1207</v>
      </c>
      <c r="H525" s="62">
        <f t="shared" si="6306"/>
        <v>1396</v>
      </c>
      <c r="I525" s="62">
        <f t="shared" si="6306"/>
        <v>1419.0000000000007</v>
      </c>
      <c r="J525" s="62">
        <f t="shared" si="6306"/>
        <v>1555.0000000000005</v>
      </c>
      <c r="K525" s="62">
        <f t="shared" si="6306"/>
        <v>1619.9999999999995</v>
      </c>
      <c r="L525" s="62">
        <f t="shared" si="6306"/>
        <v>1810.9999999999995</v>
      </c>
      <c r="M525" s="62">
        <f t="shared" ref="M525:AD525" si="6307">SUM(M522:M524,M515)</f>
        <v>1877</v>
      </c>
      <c r="N525" s="62">
        <f t="shared" si="6307"/>
        <v>2101.9999999999995</v>
      </c>
      <c r="O525" s="62">
        <f t="shared" si="6307"/>
        <v>2078</v>
      </c>
      <c r="P525" s="62">
        <f t="shared" si="6307"/>
        <v>1963.0000000000007</v>
      </c>
      <c r="Q525" s="62">
        <f t="shared" si="6307"/>
        <v>1356.0000000000005</v>
      </c>
      <c r="R525" s="62">
        <f t="shared" si="6307"/>
        <v>1417</v>
      </c>
      <c r="S525" s="62">
        <f t="shared" si="6307"/>
        <v>1526</v>
      </c>
      <c r="T525" s="62">
        <f t="shared" si="6307"/>
        <v>1925</v>
      </c>
      <c r="U525" s="62">
        <f t="shared" si="6307"/>
        <v>2576</v>
      </c>
      <c r="V525" s="62">
        <f t="shared" si="6307"/>
        <v>2664</v>
      </c>
      <c r="W525" s="62">
        <f t="shared" si="6307"/>
        <v>2691</v>
      </c>
      <c r="X525" s="62">
        <f t="shared" si="6307"/>
        <v>2919</v>
      </c>
      <c r="Y525" s="62">
        <f>SUM(Y522:Y524,Y515)</f>
        <v>2742</v>
      </c>
      <c r="Z525" s="62">
        <f>SUM(Z522:Z524,Z515)</f>
        <v>2937</v>
      </c>
      <c r="AA525" s="62">
        <f t="shared" si="6307"/>
        <v>3329</v>
      </c>
      <c r="AB525" s="62">
        <f t="shared" si="6307"/>
        <v>3392</v>
      </c>
      <c r="AC525" s="62">
        <f t="shared" si="6307"/>
        <v>3879</v>
      </c>
      <c r="AD525" s="62">
        <f t="shared" si="6307"/>
        <v>3506</v>
      </c>
      <c r="AE525" s="62">
        <f t="shared" ref="AE525:AF525" si="6308">SUM(AE522:AE524,AE515)</f>
        <v>3987</v>
      </c>
      <c r="AF525" s="62">
        <f t="shared" si="6308"/>
        <v>2738</v>
      </c>
      <c r="AG525" s="62">
        <f t="shared" ref="AG525:AH525" si="6309">SUM(AG522:AG524,AG515)</f>
        <v>2971</v>
      </c>
      <c r="AH525" s="62">
        <f t="shared" si="6309"/>
        <v>2911</v>
      </c>
      <c r="AI525" s="62">
        <f t="shared" ref="AI525:AJ525" si="6310">SUM(AI522:AI524,AI515)</f>
        <v>3495</v>
      </c>
      <c r="AJ525" s="62">
        <f t="shared" si="6310"/>
        <v>3323</v>
      </c>
      <c r="AK525" s="62">
        <f t="shared" ref="AK525:AL525" si="6311">SUM(AK522:AK524,AK515)</f>
        <v>3077</v>
      </c>
      <c r="AL525" s="62">
        <f t="shared" si="6311"/>
        <v>3173</v>
      </c>
      <c r="AM525" s="62">
        <f t="shared" ref="AM525:AN525" si="6312">SUM(AM522:AM524,AM515)</f>
        <v>2780</v>
      </c>
      <c r="AN525" s="62">
        <f t="shared" si="6312"/>
        <v>1545</v>
      </c>
      <c r="AO525" s="62">
        <f t="shared" ref="AO525" si="6313">SUM(AO522:AO524,AO515)</f>
        <v>2032</v>
      </c>
      <c r="AP525" s="62">
        <f t="shared" ref="AP525:AQ525" si="6314">SUM(AP522:AP524,AP515)</f>
        <v>2943</v>
      </c>
      <c r="AQ525" s="62">
        <f t="shared" si="6314"/>
        <v>3219</v>
      </c>
      <c r="AR525" s="62">
        <f t="shared" ref="AR525:AS525" si="6315">SUM(AR522:AR524,AR515)</f>
        <v>3530</v>
      </c>
      <c r="AS525" s="62">
        <f t="shared" si="6315"/>
        <v>3589</v>
      </c>
      <c r="AT525" s="62">
        <f t="shared" ref="AT525:AU525" si="6316">SUM(AT522:AT524,AT515)</f>
        <v>3555</v>
      </c>
      <c r="AU525" s="62">
        <f t="shared" si="6316"/>
        <v>3551</v>
      </c>
      <c r="AV525" s="62">
        <f t="shared" ref="AV525:AW525" si="6317">SUM(AV522:AV524,AV515)</f>
        <v>3407</v>
      </c>
      <c r="AW525" s="62">
        <f t="shared" si="6317"/>
        <v>3128</v>
      </c>
      <c r="AX525" s="62">
        <f t="shared" ref="AX525:AY525" si="6318">SUM(AX522:AX524,AX515)</f>
        <v>3642</v>
      </c>
      <c r="AY525" s="220">
        <f t="shared" si="6318"/>
        <v>2249</v>
      </c>
      <c r="AZ525" s="62">
        <f t="shared" ref="AZ525:BA525" si="6319">SUM(AZ522:AZ524,AZ515)</f>
        <v>3822.0786327811115</v>
      </c>
      <c r="BA525" s="62">
        <f t="shared" si="6319"/>
        <v>3787.7479095662015</v>
      </c>
      <c r="BB525" s="62">
        <f t="shared" ref="BB525:BC525" si="6320">SUM(BB522:BB524,BB515)</f>
        <v>3961.4812412299361</v>
      </c>
      <c r="BC525" s="62">
        <f t="shared" si="6320"/>
        <v>3621.5306533571138</v>
      </c>
      <c r="BD525" s="62">
        <f t="shared" ref="BD525:BE525" si="6321">SUM(BD522:BD524,BD515)</f>
        <v>4055.998950735765</v>
      </c>
      <c r="BE525" s="62">
        <f t="shared" si="6321"/>
        <v>3757.8946649627974</v>
      </c>
      <c r="BF525" s="62">
        <f t="shared" ref="BF525:BG525" si="6322">SUM(BF522:BF524,BF515)</f>
        <v>4173.6762135902381</v>
      </c>
      <c r="BG525" s="62">
        <f t="shared" si="6322"/>
        <v>3935.7576125989444</v>
      </c>
      <c r="BH525" s="62">
        <f t="shared" ref="BH525:BI525" si="6323">SUM(BH522:BH524,BH515)</f>
        <v>4275.3908680601107</v>
      </c>
      <c r="BI525" s="62">
        <f t="shared" si="6323"/>
        <v>4000.6619080592413</v>
      </c>
      <c r="BJ525" s="62">
        <f t="shared" ref="BJ525:BK525" si="6324">SUM(BJ522:BJ524,BJ515)</f>
        <v>4419.7437697908626</v>
      </c>
      <c r="BK525" s="62">
        <f t="shared" si="6324"/>
        <v>4328.1798279280592</v>
      </c>
      <c r="BL525" s="62">
        <f t="shared" ref="BL525:BM525" si="6325">SUM(BL522:BL524,BL515)</f>
        <v>4545.2922472606579</v>
      </c>
      <c r="BM525" s="62">
        <f t="shared" si="6325"/>
        <v>4366.2256535934766</v>
      </c>
      <c r="BN525" s="62">
        <f t="shared" ref="BN525:BO525" si="6326">SUM(BN522:BN524,BN515)</f>
        <v>4566.1046688744091</v>
      </c>
      <c r="BO525" s="62">
        <f t="shared" si="6326"/>
        <v>4427.6162080881677</v>
      </c>
      <c r="BP525" s="62">
        <f t="shared" ref="BP525:BQ525" si="6327">SUM(BP522:BP524,BP515)</f>
        <v>4642.2811250171344</v>
      </c>
      <c r="BQ525" s="62">
        <f t="shared" si="6327"/>
        <v>4543.8090121218265</v>
      </c>
      <c r="BR525" s="62"/>
      <c r="BS525" s="62">
        <f t="shared" ref="BS525:CB525" si="6328">SUM(BS522:BS524,BS515)</f>
        <v>-579.4</v>
      </c>
      <c r="BT525" s="62">
        <f t="shared" si="6328"/>
        <v>246.30000000000004</v>
      </c>
      <c r="BU525" s="62">
        <f t="shared" si="6328"/>
        <v>822</v>
      </c>
      <c r="BV525" s="62">
        <f t="shared" si="6328"/>
        <v>1052</v>
      </c>
      <c r="BW525" s="62">
        <f t="shared" si="6328"/>
        <v>1116</v>
      </c>
      <c r="BX525" s="62">
        <f t="shared" si="6328"/>
        <v>1024</v>
      </c>
      <c r="BY525" s="62">
        <f t="shared" si="6328"/>
        <v>1106</v>
      </c>
      <c r="BZ525" s="62">
        <f t="shared" si="6328"/>
        <v>1480</v>
      </c>
      <c r="CA525" s="62">
        <f t="shared" si="6328"/>
        <v>1747</v>
      </c>
      <c r="CB525" s="62">
        <f t="shared" si="6328"/>
        <v>1870</v>
      </c>
      <c r="CC525" s="62">
        <f t="shared" si="6125"/>
        <v>2322</v>
      </c>
      <c r="CD525" s="62">
        <f t="shared" si="6126"/>
        <v>2348</v>
      </c>
      <c r="CE525" s="62">
        <f t="shared" si="6127"/>
        <v>2815.0000000000009</v>
      </c>
      <c r="CF525" s="62">
        <f t="shared" si="6128"/>
        <v>3175</v>
      </c>
      <c r="CG525" s="62">
        <f t="shared" si="6129"/>
        <v>3687.9999999999995</v>
      </c>
      <c r="CH525" s="62">
        <f t="shared" si="6130"/>
        <v>4180</v>
      </c>
      <c r="CI525" s="62">
        <f t="shared" si="6131"/>
        <v>3319.0000000000009</v>
      </c>
      <c r="CJ525" s="62">
        <f t="shared" si="6132"/>
        <v>2943</v>
      </c>
      <c r="CK525" s="62">
        <f t="shared" si="6133"/>
        <v>4501</v>
      </c>
      <c r="CL525" s="62">
        <f t="shared" si="6134"/>
        <v>5355</v>
      </c>
      <c r="CM525" s="62">
        <f t="shared" si="6135"/>
        <v>5661</v>
      </c>
      <c r="CN525" s="62">
        <f t="shared" si="6136"/>
        <v>6266</v>
      </c>
      <c r="CO525" s="62">
        <f t="shared" si="6137"/>
        <v>7271</v>
      </c>
      <c r="CP525" s="62">
        <f t="shared" si="6138"/>
        <v>7493</v>
      </c>
      <c r="CQ525" s="62">
        <f t="shared" si="6139"/>
        <v>5709</v>
      </c>
      <c r="CR525" s="62">
        <f t="shared" si="6140"/>
        <v>6406</v>
      </c>
      <c r="CS525" s="62">
        <f t="shared" si="6141"/>
        <v>6400</v>
      </c>
      <c r="CT525" s="62">
        <f t="shared" si="6142"/>
        <v>5953</v>
      </c>
      <c r="CU525" s="62">
        <f t="shared" si="6143"/>
        <v>3577</v>
      </c>
      <c r="CV525" s="62">
        <f t="shared" si="6144"/>
        <v>6162</v>
      </c>
      <c r="CW525" s="62">
        <f t="shared" si="6145"/>
        <v>7119</v>
      </c>
      <c r="CX525" s="62">
        <f t="shared" si="6146"/>
        <v>7106</v>
      </c>
      <c r="CY525" s="62">
        <f t="shared" si="6147"/>
        <v>6535</v>
      </c>
      <c r="CZ525" s="220">
        <f t="shared" si="6148"/>
        <v>5891</v>
      </c>
      <c r="DA525" s="62">
        <f t="shared" si="6149"/>
        <v>7609.8265423473131</v>
      </c>
      <c r="DB525" s="62">
        <f t="shared" si="6150"/>
        <v>7583.0118945870499</v>
      </c>
      <c r="DC525" s="62">
        <f t="shared" si="6151"/>
        <v>7813.8936156985619</v>
      </c>
      <c r="DD525" s="62">
        <f t="shared" si="6152"/>
        <v>8109.4338261891826</v>
      </c>
      <c r="DE525" s="62">
        <f t="shared" si="6153"/>
        <v>8276.0527761193516</v>
      </c>
      <c r="DF525" s="62">
        <f t="shared" si="6154"/>
        <v>8747.9235977189219</v>
      </c>
      <c r="DG525" s="62">
        <f t="shared" si="6155"/>
        <v>8911.5179008541345</v>
      </c>
      <c r="DH525" s="62">
        <f t="shared" si="6156"/>
        <v>8993.7208769625759</v>
      </c>
      <c r="DI525" s="62">
        <f t="shared" si="6157"/>
        <v>9186.0901371389609</v>
      </c>
    </row>
    <row r="526" spans="1:113" ht="12" outlineLevel="1">
      <c r="A526" s="1" t="s">
        <v>837</v>
      </c>
      <c r="B526" s="15" t="s">
        <v>428</v>
      </c>
      <c r="C526" s="40">
        <v>-4</v>
      </c>
      <c r="D526" s="40">
        <v>45</v>
      </c>
      <c r="E526" s="40">
        <f>-98-D526</f>
        <v>-143</v>
      </c>
      <c r="F526" s="40">
        <v>-49</v>
      </c>
      <c r="G526" s="40">
        <f>-356-F526</f>
        <v>-307</v>
      </c>
      <c r="H526" s="40">
        <v>-254</v>
      </c>
      <c r="I526" s="40">
        <f>233-H526</f>
        <v>487</v>
      </c>
      <c r="J526" s="40">
        <v>-284</v>
      </c>
      <c r="K526" s="40">
        <f>-443-J526</f>
        <v>-159</v>
      </c>
      <c r="L526" s="40">
        <v>-305</v>
      </c>
      <c r="M526" s="40">
        <v>102</v>
      </c>
      <c r="N526" s="40">
        <v>-89</v>
      </c>
      <c r="O526" s="40">
        <v>-474</v>
      </c>
      <c r="P526" s="40">
        <v>74</v>
      </c>
      <c r="Q526" s="40">
        <v>319</v>
      </c>
      <c r="R526" s="40">
        <v>443</v>
      </c>
      <c r="S526" s="40">
        <v>-1352</v>
      </c>
      <c r="T526" s="40">
        <v>-656</v>
      </c>
      <c r="U526" s="40">
        <v>-361</v>
      </c>
      <c r="V526" s="40">
        <v>-557</v>
      </c>
      <c r="W526" s="40">
        <v>881</v>
      </c>
      <c r="X526" s="40">
        <v>-412</v>
      </c>
      <c r="Y526" s="40">
        <v>-1</v>
      </c>
      <c r="Z526" s="141">
        <v>5</v>
      </c>
      <c r="AA526" s="141">
        <v>1701</v>
      </c>
      <c r="AB526" s="141">
        <v>570</v>
      </c>
      <c r="AC526" s="141">
        <v>-83</v>
      </c>
      <c r="AD526" s="141">
        <v>2181</v>
      </c>
      <c r="AE526" s="141">
        <f>1736-AD526</f>
        <v>-445</v>
      </c>
      <c r="AF526" s="141">
        <v>-1015</v>
      </c>
      <c r="AG526" s="141">
        <f>-456-AF526</f>
        <v>559</v>
      </c>
      <c r="AH526" s="141">
        <v>-689</v>
      </c>
      <c r="AI526" s="141">
        <f>-748-AH526</f>
        <v>-59</v>
      </c>
      <c r="AJ526" s="141">
        <v>460</v>
      </c>
      <c r="AK526" s="141">
        <f>222-AJ526</f>
        <v>-238</v>
      </c>
      <c r="AL526" s="141">
        <v>834</v>
      </c>
      <c r="AM526" s="141">
        <v>-137</v>
      </c>
      <c r="AN526" s="141">
        <v>1281</v>
      </c>
      <c r="AO526" s="141">
        <f>-550-AN526</f>
        <v>-1831</v>
      </c>
      <c r="AP526" s="141">
        <v>-658</v>
      </c>
      <c r="AQ526" s="141">
        <f>456-AP526</f>
        <v>1114</v>
      </c>
      <c r="AR526" s="141">
        <v>-775</v>
      </c>
      <c r="AS526" s="141">
        <f>-759-AR526</f>
        <v>16</v>
      </c>
      <c r="AT526" s="141">
        <v>792</v>
      </c>
      <c r="AU526" s="141">
        <f>718-AT526</f>
        <v>-74</v>
      </c>
      <c r="AV526" s="141">
        <v>-378</v>
      </c>
      <c r="AW526" s="141">
        <f>-930-AV526</f>
        <v>-552</v>
      </c>
      <c r="AX526" s="141">
        <v>608</v>
      </c>
      <c r="AY526" s="226">
        <f>-602-AX526</f>
        <v>-1210</v>
      </c>
      <c r="AZ526" s="41">
        <f t="shared" ref="AZ526" si="6329">(AY19/AZ19-1)*AY167/AY181*AY538+(AY18/AZ18-1)*AY173/AY181*AY538</f>
        <v>506.60731454987376</v>
      </c>
      <c r="BA526" s="41">
        <f t="shared" ref="BA526" si="6330">(AZ19/BA19-1)*AZ167/AZ181*AZ538+(AZ18/BA18-1)*AZ173/AZ181*AZ538</f>
        <v>-138.21551883404297</v>
      </c>
      <c r="BB526" s="41">
        <f t="shared" ref="BB526" si="6331">(BA19/BB19-1)*BA167/BA181*BA538+(BA18/BB18-1)*BA173/BA181*BA538</f>
        <v>-215.4549523859634</v>
      </c>
      <c r="BC526" s="41">
        <f t="shared" ref="BC526" si="6332">(BB19/BC19-1)*BB167/BB181*BB538+(BB18/BC18-1)*BB173/BB181*BB538</f>
        <v>-178.07462946817395</v>
      </c>
      <c r="BD526" s="41">
        <f t="shared" ref="BD526" si="6333">(BC19/BD19-1)*BC167/BC181*BC538+(BC18/BD18-1)*BC173/BC181*BC538</f>
        <v>-212.71828044283711</v>
      </c>
      <c r="BE526" s="41">
        <f t="shared" ref="BE526" si="6334">(BD19/BE19-1)*BD167/BD181*BD538+(BD18/BE18-1)*BD173/BD181*BD538</f>
        <v>-246.36774764737402</v>
      </c>
      <c r="BF526" s="41">
        <f t="shared" ref="BF526" si="6335">(BE19/BF19-1)*BE167/BE181*BE538+(BE18/BF18-1)*BE173/BE181*BE538</f>
        <v>-241.76873323054366</v>
      </c>
      <c r="BG526" s="41">
        <f t="shared" ref="BG526:BK526" si="6336">(BF19/BG19-1)*BF167/BF181*BF538+(BF18/BG18-1)*BF173/BF181*BF538</f>
        <v>-232.71434119433775</v>
      </c>
      <c r="BH526" s="41">
        <f t="shared" si="6336"/>
        <v>-212.17917853965815</v>
      </c>
      <c r="BI526" s="41">
        <f t="shared" si="6336"/>
        <v>-204.3574901838808</v>
      </c>
      <c r="BJ526" s="41">
        <f t="shared" si="6336"/>
        <v>-99.749509233794299</v>
      </c>
      <c r="BK526" s="41">
        <f t="shared" si="6336"/>
        <v>0</v>
      </c>
      <c r="BL526" s="41">
        <f t="shared" ref="BL526" si="6337">(BK19/BL19-1)*BK167/BK181*BK538+(BK18/BL18-1)*BK173/BK181*BK538</f>
        <v>0</v>
      </c>
      <c r="BM526" s="41">
        <f t="shared" ref="BM526" si="6338">(BL19/BM19-1)*BL167/BL181*BL538+(BL18/BM18-1)*BL173/BL181*BL538</f>
        <v>0</v>
      </c>
      <c r="BN526" s="41">
        <f t="shared" ref="BN526" si="6339">(BM19/BN19-1)*BM167/BM181*BM538+(BM18/BN18-1)*BM173/BM181*BM538</f>
        <v>0</v>
      </c>
      <c r="BO526" s="41">
        <f t="shared" ref="BO526" si="6340">(BN19/BO19-1)*BN167/BN181*BN538+(BN18/BO18-1)*BN173/BN181*BN538</f>
        <v>0</v>
      </c>
      <c r="BP526" s="41">
        <f t="shared" ref="BP526" si="6341">(BO19/BP19-1)*BO167/BO181*BO538+(BO18/BP18-1)*BO173/BO181*BO538</f>
        <v>0</v>
      </c>
      <c r="BQ526" s="41">
        <f t="shared" ref="BQ526" si="6342">(BP19/BQ19-1)*BP167/BP181*BP538+(BP18/BQ18-1)*BP173/BP181*BP538</f>
        <v>0</v>
      </c>
      <c r="BR526" s="41"/>
      <c r="BS526" s="40">
        <f>757-22.2</f>
        <v>734.8</v>
      </c>
      <c r="BT526" s="398">
        <v>112.3</v>
      </c>
      <c r="BU526" s="40">
        <v>-229</v>
      </c>
      <c r="BV526" s="40">
        <v>-1</v>
      </c>
      <c r="BW526" s="40">
        <v>-95</v>
      </c>
      <c r="BX526" s="40">
        <v>104</v>
      </c>
      <c r="BY526" s="40">
        <v>142</v>
      </c>
      <c r="BZ526" s="40">
        <v>-215</v>
      </c>
      <c r="CA526" s="40">
        <v>170</v>
      </c>
      <c r="CB526" s="40">
        <v>197</v>
      </c>
      <c r="CC526" s="41">
        <f t="shared" si="6125"/>
        <v>-98</v>
      </c>
      <c r="CD526" s="41">
        <f t="shared" si="6126"/>
        <v>-356</v>
      </c>
      <c r="CE526" s="41">
        <f t="shared" si="6127"/>
        <v>233</v>
      </c>
      <c r="CF526" s="41">
        <f t="shared" si="6128"/>
        <v>-443</v>
      </c>
      <c r="CG526" s="41">
        <f t="shared" si="6129"/>
        <v>-203</v>
      </c>
      <c r="CH526" s="41">
        <f t="shared" si="6130"/>
        <v>-563</v>
      </c>
      <c r="CI526" s="41">
        <f t="shared" si="6131"/>
        <v>393</v>
      </c>
      <c r="CJ526" s="41">
        <f t="shared" si="6132"/>
        <v>-909</v>
      </c>
      <c r="CK526" s="41">
        <f t="shared" si="6133"/>
        <v>-1017</v>
      </c>
      <c r="CL526" s="41">
        <f t="shared" si="6134"/>
        <v>324</v>
      </c>
      <c r="CM526" s="41">
        <f t="shared" si="6135"/>
        <v>-413</v>
      </c>
      <c r="CN526" s="41">
        <f t="shared" si="6136"/>
        <v>1706</v>
      </c>
      <c r="CO526" s="41">
        <f t="shared" si="6137"/>
        <v>487</v>
      </c>
      <c r="CP526" s="41">
        <f t="shared" si="6138"/>
        <v>1736</v>
      </c>
      <c r="CQ526" s="41">
        <f t="shared" si="6139"/>
        <v>-456</v>
      </c>
      <c r="CR526" s="41">
        <f t="shared" si="6140"/>
        <v>-748</v>
      </c>
      <c r="CS526" s="41">
        <f t="shared" si="6141"/>
        <v>222</v>
      </c>
      <c r="CT526" s="41">
        <f t="shared" si="6142"/>
        <v>697</v>
      </c>
      <c r="CU526" s="41">
        <f t="shared" si="6143"/>
        <v>-550</v>
      </c>
      <c r="CV526" s="41">
        <f t="shared" si="6144"/>
        <v>456</v>
      </c>
      <c r="CW526" s="41">
        <f t="shared" si="6145"/>
        <v>-759</v>
      </c>
      <c r="CX526" s="41">
        <f t="shared" si="6146"/>
        <v>718</v>
      </c>
      <c r="CY526" s="41">
        <f t="shared" si="6147"/>
        <v>-930</v>
      </c>
      <c r="CZ526" s="211">
        <f t="shared" si="6148"/>
        <v>-602</v>
      </c>
      <c r="DA526" s="41">
        <f t="shared" si="6149"/>
        <v>368.39179571583077</v>
      </c>
      <c r="DB526" s="41">
        <f t="shared" si="6150"/>
        <v>-393.52958185413735</v>
      </c>
      <c r="DC526" s="41">
        <f t="shared" si="6151"/>
        <v>-459.08602809021113</v>
      </c>
      <c r="DD526" s="41">
        <f t="shared" si="6152"/>
        <v>-474.48307442488141</v>
      </c>
      <c r="DE526" s="41">
        <f t="shared" si="6153"/>
        <v>-416.53666872353892</v>
      </c>
      <c r="DF526" s="41">
        <f t="shared" si="6154"/>
        <v>-99.749509233794299</v>
      </c>
      <c r="DG526" s="41">
        <f t="shared" si="6155"/>
        <v>0</v>
      </c>
      <c r="DH526" s="41">
        <f t="shared" si="6156"/>
        <v>0</v>
      </c>
      <c r="DI526" s="41">
        <f t="shared" si="6157"/>
        <v>0</v>
      </c>
    </row>
    <row r="527" spans="1:113" ht="12" outlineLevel="1">
      <c r="A527" s="1" t="s">
        <v>838</v>
      </c>
      <c r="B527" s="15" t="s">
        <v>429</v>
      </c>
      <c r="C527" s="40">
        <f>10551-SUM(C525:C526,C528,C535:C537,C539:C540,C533)</f>
        <v>-66</v>
      </c>
      <c r="D527" s="40">
        <f>10803-SUM(D525:D526,D528,D535:D537,D539:D540,D533)</f>
        <v>-188</v>
      </c>
      <c r="E527" s="40">
        <f>11465-SUM(E525:E526,E528,E535:E537,E539:E540,E533)</f>
        <v>188</v>
      </c>
      <c r="F527" s="40">
        <f>12485-SUM(F525:F526,F528,F535:F537,F539:F540,F533)</f>
        <v>0</v>
      </c>
      <c r="G527" s="40">
        <f>13787-SUM(G525:G526,G528,G535:G537,G539:G540,G533)</f>
        <v>0</v>
      </c>
      <c r="H527" s="40">
        <f>16748-SUM(H525:H526,H528,H535:H537,H539:H540,H533)</f>
        <v>181</v>
      </c>
      <c r="I527" s="40">
        <f>17925-SUM(I525:I526,I528,I535:I537,I539:I540,I533)</f>
        <v>113</v>
      </c>
      <c r="J527" s="40">
        <f>18927-SUM(J525:J526,J528,J535:J537,J539:J540,J533)</f>
        <v>-301</v>
      </c>
      <c r="K527" s="40">
        <f>19538-SUM(K525:K526,K528,K535:K537,K539:K540,K533)</f>
        <v>-29</v>
      </c>
      <c r="L527" s="40">
        <f>18796-SUM(L525:L526,L528,L535:L537,L539:L540,L533)</f>
        <v>-211</v>
      </c>
      <c r="M527" s="40">
        <f>19906-SUM(M525:M526,M528,M535:M537,M539:M540,M533)</f>
        <v>-49</v>
      </c>
      <c r="N527" s="40">
        <f>20910-SUM(N525:N526,N528,N535:N537,N539:N540,N533)</f>
        <v>115</v>
      </c>
      <c r="O527" s="40">
        <f>22048-SUM(O525:O526,O528,O535:O537,O539:O540,O533)</f>
        <v>131</v>
      </c>
      <c r="P527" s="40">
        <f>23964-SUM(P525:P526,P528,P535:P537,P539:P540,P533)</f>
        <v>-202</v>
      </c>
      <c r="Q527" s="40">
        <f>26552-SUM(Q525:Q526,Q528,Q535:Q537,Q539:Q540,Q533)</f>
        <v>-121</v>
      </c>
      <c r="R527" s="40">
        <f>28367-SUM(R525:R526,R528,R535:R537,R539:R540,R533)</f>
        <v>-104</v>
      </c>
      <c r="S527" s="40">
        <f>32429-SUM(S525:S526,S528,S535:S537,S539:S540,S533)</f>
        <v>-133</v>
      </c>
      <c r="T527" s="40">
        <f>32583-SUM(T525:T526,T528,T535:T537,T539:T540,T533)</f>
        <v>121</v>
      </c>
      <c r="U527" s="40">
        <f>34155-SUM(U525:U526,U528,U535:U537,U539:U540,U533)</f>
        <v>65</v>
      </c>
      <c r="V527" s="40">
        <f>35129-SUM(V525:V526,V528,V535:V537,V539:V540,V533)</f>
        <v>20</v>
      </c>
      <c r="W527" s="40">
        <f>37954-SUM(W525:W526,W528,W535:W537,W539:W540,W533)</f>
        <v>162</v>
      </c>
      <c r="X527" s="40">
        <f>39443-SUM(X525:X526,X528,X535:X537,X539:X540,X533)</f>
        <v>91</v>
      </c>
      <c r="Y527" s="40">
        <f>41220-SUM(Y525:Y526,Y528,Y535:Y537,Y539:Y540,Y533)</f>
        <v>-99</v>
      </c>
      <c r="Z527" s="141">
        <f>42503-SUM(Z525:Z526,Z528,Z535:Z537,Z539:Z540,Z533)</f>
        <v>-116</v>
      </c>
      <c r="AA527" s="141">
        <f>45603-SUM(AA525:AA526,AA528,AA535:AA537,AA539:AA540,AA533)</f>
        <v>-21</v>
      </c>
      <c r="AB527" s="141">
        <f>47038-SUM(AB525:AB526,AB528,AB535:AB537,AB539:AB540,AB533)</f>
        <v>38</v>
      </c>
      <c r="AC527" s="141">
        <f>49284-SUM(AC525:AC526,AC528,AC535:AC537,AC539:AC540,AC533)</f>
        <v>180</v>
      </c>
      <c r="AD527" s="141">
        <f>52051-SUM(AD525:AD526,AD528,AD535:AD537,AD539:AD540,AD533)</f>
        <v>391</v>
      </c>
      <c r="AE527" s="141">
        <f>57353-SUM(AE525:AE526,AE528,AE535:AE537,AE539:AE540,AE533)</f>
        <v>3070</v>
      </c>
      <c r="AF527" s="141">
        <f>56464-SUM(AF525:AF526,AF528,AF535:AF537,AF539:AF540,AF533)</f>
        <v>-154</v>
      </c>
      <c r="AG527" s="141">
        <f>57927-SUM(AG525:AG526,AG528,AG535:AG537,AG539:AG540,AG533)</f>
        <v>75</v>
      </c>
      <c r="AH527" s="141">
        <f>57908-SUM(AH525:AH526,AH528,AH535:AH537,AH539:AH540,AH533)</f>
        <v>-220</v>
      </c>
      <c r="AI527" s="141">
        <f>59075-SUM(AI525:AI526,AI528,AI535:AI537,AI539:AI540,AI533)</f>
        <v>-11</v>
      </c>
      <c r="AJ527" s="141">
        <f>59500-SUM(AJ525:AJ526,AJ528,AJ535:AJ537,AJ539:AJ540,AJ533)</f>
        <v>95</v>
      </c>
      <c r="AK527" s="141">
        <f>59405-SUM(AK525:AK526,AK528,AK535:AK537,AK539:AK540,AK533)</f>
        <v>143</v>
      </c>
      <c r="AL527" s="141">
        <f>59971-SUM(AL525:AL526,AL528,AL535:AL537,AL539:AL540,AL533)</f>
        <v>-40</v>
      </c>
      <c r="AM527" s="141">
        <f>60794-SUM(AM525:AM526,AM528,AM535:AM537,AM539:AM540,AM533)</f>
        <v>509</v>
      </c>
      <c r="AN527" s="141">
        <f>61375-SUM(AN525:AN526,AN528,AN535:AN537,AN539:AN540,AN533)</f>
        <v>33</v>
      </c>
      <c r="AO527" s="141">
        <f>61297-SUM(AO525:AO526,AO528,AO535:AO537,AO539:AO540,AO533)</f>
        <v>326</v>
      </c>
      <c r="AP527" s="141">
        <f>62576-SUM(AP525:AP526,AP528,AP535:AP537,AP539:AP540,AP533)</f>
        <v>-117</v>
      </c>
      <c r="AQ527" s="141">
        <f>63676-SUM(AQ525:AQ526,AQ528,AQ535:AQ537,AQ539:AQ540,AQ533)</f>
        <v>-648</v>
      </c>
      <c r="AR527" s="141">
        <f>61756-SUM(AR525:AR526,AR528,AR535:AR537,AR539:AR540,AR533)</f>
        <v>-1786</v>
      </c>
      <c r="AS527" s="141">
        <f>66401-SUM(AS525:AS526,AS528,AS535:AS537,AS539:AS540,AS533)</f>
        <v>2319</v>
      </c>
      <c r="AT527" s="141">
        <f>69580-SUM(AT525:AT526,AT528,AT535:AT537,AT539:AT540,AT533)</f>
        <v>727</v>
      </c>
      <c r="AU527" s="141">
        <f>70017-SUM(AU525:AU526,AU528,AU535:AU537,AU539:AU540,AU533)</f>
        <v>-662</v>
      </c>
      <c r="AV527" s="141">
        <f>70306-SUM(AV525:AV526,AV528,AV535:AV537,AV539:AV540,AV533)</f>
        <v>-153</v>
      </c>
      <c r="AW527" s="141">
        <f>69857-SUM(AW525:AW526,AW528,AW535:AW537,AW539:AW540,AW533)</f>
        <v>10</v>
      </c>
      <c r="AX527" s="141">
        <f>71567-SUM(AX525:AX526,AX528,AX535:AX537,AX539:AX540,AX533)</f>
        <v>-26</v>
      </c>
      <c r="AY527" s="226">
        <f>71128-SUM(AY525:AY526,AY528,AY535:AY537,AY539:AY540,AY533)</f>
        <v>914</v>
      </c>
      <c r="AZ527" s="210">
        <v>0</v>
      </c>
      <c r="BA527" s="210">
        <v>0</v>
      </c>
      <c r="BB527" s="210">
        <v>0</v>
      </c>
      <c r="BC527" s="210">
        <v>0</v>
      </c>
      <c r="BD527" s="210">
        <v>0</v>
      </c>
      <c r="BE527" s="210">
        <v>0</v>
      </c>
      <c r="BF527" s="210">
        <v>0</v>
      </c>
      <c r="BG527" s="210">
        <v>0</v>
      </c>
      <c r="BH527" s="210">
        <v>0</v>
      </c>
      <c r="BI527" s="210">
        <v>0</v>
      </c>
      <c r="BJ527" s="210">
        <v>0</v>
      </c>
      <c r="BK527" s="210">
        <v>0</v>
      </c>
      <c r="BL527" s="210">
        <v>0</v>
      </c>
      <c r="BM527" s="210">
        <v>0</v>
      </c>
      <c r="BN527" s="210">
        <v>0</v>
      </c>
      <c r="BO527" s="210">
        <v>0</v>
      </c>
      <c r="BP527" s="210">
        <v>0</v>
      </c>
      <c r="BQ527" s="210">
        <v>0</v>
      </c>
      <c r="BR527" s="41"/>
      <c r="BS527" s="40">
        <f>4591-SUM(BS525:BS526,BS528,BS535:BS537,BS539:BS540,BS533)</f>
        <v>564.19999999999936</v>
      </c>
      <c r="BT527" s="40">
        <f>5133-SUM(BT525:BT526,BT528,BT535:BT537,BT539:BT540,BT533)</f>
        <v>341.90000000000055</v>
      </c>
      <c r="BU527" s="40">
        <f>5504-SUM(BU525:BU526,BU528,BU535:BU537,BU539:BU540,BU533)</f>
        <v>121.99999999999909</v>
      </c>
      <c r="BV527" s="40">
        <f>5747-SUM(BV525:BV526,BV528,BV535:BV537,BV539:BV540,BV533)</f>
        <v>211</v>
      </c>
      <c r="BW527" s="40">
        <f>6336-SUM(BW525:BW526,BW528,BW535:BW537,BW539:BW540,BW533)</f>
        <v>0</v>
      </c>
      <c r="BX527" s="40">
        <f>6993-SUM(BX525:BX526,BX528,BX535:BX537,BX539:BX540,BX533)</f>
        <v>0</v>
      </c>
      <c r="BY527" s="40">
        <f>8391-SUM(BY525:BY526,BY528,BY535:BY537,BY539:BY540,BY533)</f>
        <v>0</v>
      </c>
      <c r="BZ527" s="40">
        <f>9429-SUM(BZ525:BZ526,BZ528,BZ535:BZ537,BZ539:BZ540,BZ533)</f>
        <v>0</v>
      </c>
      <c r="CA527" s="40">
        <f>9807-SUM(CA525:CA526,CA528,CA535:CA537,CA539:CA540,CA533)</f>
        <v>0</v>
      </c>
      <c r="CB527" s="40">
        <f>10551-SUM(CB525:CB526,CB528,CB535:CB537,CB539:CB540,CB533)</f>
        <v>0</v>
      </c>
      <c r="CC527" s="41">
        <f t="shared" si="6125"/>
        <v>0</v>
      </c>
      <c r="CD527" s="41">
        <f t="shared" si="6126"/>
        <v>0</v>
      </c>
      <c r="CE527" s="41">
        <f t="shared" si="6127"/>
        <v>294</v>
      </c>
      <c r="CF527" s="41">
        <f t="shared" si="6128"/>
        <v>-330</v>
      </c>
      <c r="CG527" s="41">
        <f t="shared" si="6129"/>
        <v>-260</v>
      </c>
      <c r="CH527" s="41">
        <f t="shared" si="6130"/>
        <v>246</v>
      </c>
      <c r="CI527" s="41">
        <f t="shared" si="6131"/>
        <v>-323</v>
      </c>
      <c r="CJ527" s="41">
        <f t="shared" si="6132"/>
        <v>-237</v>
      </c>
      <c r="CK527" s="41">
        <f t="shared" si="6133"/>
        <v>186</v>
      </c>
      <c r="CL527" s="41">
        <f t="shared" si="6134"/>
        <v>182</v>
      </c>
      <c r="CM527" s="41">
        <f t="shared" si="6135"/>
        <v>-8</v>
      </c>
      <c r="CN527" s="41">
        <f t="shared" si="6136"/>
        <v>-137</v>
      </c>
      <c r="CO527" s="41">
        <f t="shared" si="6137"/>
        <v>218</v>
      </c>
      <c r="CP527" s="41">
        <f t="shared" si="6138"/>
        <v>3461</v>
      </c>
      <c r="CQ527" s="41">
        <f t="shared" si="6139"/>
        <v>-79</v>
      </c>
      <c r="CR527" s="41">
        <f t="shared" si="6140"/>
        <v>-231</v>
      </c>
      <c r="CS527" s="41">
        <f t="shared" si="6141"/>
        <v>238</v>
      </c>
      <c r="CT527" s="41">
        <f t="shared" si="6142"/>
        <v>469</v>
      </c>
      <c r="CU527" s="41">
        <f t="shared" si="6143"/>
        <v>359</v>
      </c>
      <c r="CV527" s="41">
        <f t="shared" si="6144"/>
        <v>-765</v>
      </c>
      <c r="CW527" s="41">
        <f t="shared" si="6145"/>
        <v>533</v>
      </c>
      <c r="CX527" s="41">
        <f t="shared" si="6146"/>
        <v>65</v>
      </c>
      <c r="CY527" s="41">
        <f t="shared" si="6147"/>
        <v>-143</v>
      </c>
      <c r="CZ527" s="211">
        <f t="shared" si="6148"/>
        <v>888</v>
      </c>
      <c r="DA527" s="41">
        <f t="shared" si="6149"/>
        <v>0</v>
      </c>
      <c r="DB527" s="41">
        <f t="shared" si="6150"/>
        <v>0</v>
      </c>
      <c r="DC527" s="41">
        <f t="shared" si="6151"/>
        <v>0</v>
      </c>
      <c r="DD527" s="41">
        <f t="shared" si="6152"/>
        <v>0</v>
      </c>
      <c r="DE527" s="41">
        <f t="shared" si="6153"/>
        <v>0</v>
      </c>
      <c r="DF527" s="41">
        <f t="shared" si="6154"/>
        <v>0</v>
      </c>
      <c r="DG527" s="41">
        <f t="shared" si="6155"/>
        <v>0</v>
      </c>
      <c r="DH527" s="41">
        <f t="shared" si="6156"/>
        <v>0</v>
      </c>
      <c r="DI527" s="41">
        <f t="shared" si="6157"/>
        <v>0</v>
      </c>
    </row>
    <row r="528" spans="1:113" ht="12" outlineLevel="1">
      <c r="A528" s="1" t="s">
        <v>839</v>
      </c>
      <c r="B528" s="15" t="s">
        <v>430</v>
      </c>
      <c r="C528" s="40">
        <v>0</v>
      </c>
      <c r="D528" s="40">
        <v>0</v>
      </c>
      <c r="E528" s="40">
        <v>0</v>
      </c>
      <c r="F528" s="40">
        <v>0</v>
      </c>
      <c r="G528" s="40">
        <v>0</v>
      </c>
      <c r="H528" s="40">
        <v>0</v>
      </c>
      <c r="I528" s="40">
        <v>0</v>
      </c>
      <c r="J528" s="40">
        <v>0</v>
      </c>
      <c r="K528" s="40">
        <v>0</v>
      </c>
      <c r="L528" s="40">
        <v>0</v>
      </c>
      <c r="M528" s="40">
        <v>0</v>
      </c>
      <c r="N528" s="40">
        <v>0</v>
      </c>
      <c r="O528" s="40">
        <v>0</v>
      </c>
      <c r="P528" s="40">
        <v>0</v>
      </c>
      <c r="Q528" s="40">
        <v>0</v>
      </c>
      <c r="R528" s="40">
        <v>0</v>
      </c>
      <c r="S528" s="40">
        <v>0</v>
      </c>
      <c r="T528" s="40">
        <v>0</v>
      </c>
      <c r="U528" s="40">
        <v>0</v>
      </c>
      <c r="V528" s="40">
        <v>0</v>
      </c>
      <c r="W528" s="40">
        <v>0</v>
      </c>
      <c r="X528" s="40">
        <v>0</v>
      </c>
      <c r="Y528" s="40">
        <v>0</v>
      </c>
      <c r="Z528" s="141">
        <v>0</v>
      </c>
      <c r="AA528" s="141">
        <v>0</v>
      </c>
      <c r="AB528" s="141">
        <v>0</v>
      </c>
      <c r="AC528" s="141">
        <v>0</v>
      </c>
      <c r="AD528" s="141">
        <v>0</v>
      </c>
      <c r="AE528" s="141">
        <v>0</v>
      </c>
      <c r="AF528" s="141">
        <v>0</v>
      </c>
      <c r="AG528" s="141">
        <v>0</v>
      </c>
      <c r="AH528" s="141">
        <v>0</v>
      </c>
      <c r="AI528" s="141">
        <v>0</v>
      </c>
      <c r="AJ528" s="141">
        <v>0</v>
      </c>
      <c r="AK528" s="141">
        <v>0</v>
      </c>
      <c r="AL528" s="141">
        <v>0</v>
      </c>
      <c r="AM528" s="141">
        <v>0</v>
      </c>
      <c r="AN528" s="141">
        <v>0</v>
      </c>
      <c r="AO528" s="141">
        <v>0</v>
      </c>
      <c r="AP528" s="141">
        <v>0</v>
      </c>
      <c r="AQ528" s="141">
        <v>0</v>
      </c>
      <c r="AR528" s="141">
        <v>0</v>
      </c>
      <c r="AS528" s="141">
        <v>0</v>
      </c>
      <c r="AT528" s="141">
        <v>0</v>
      </c>
      <c r="AU528" s="141">
        <v>0</v>
      </c>
      <c r="AV528" s="141">
        <v>0</v>
      </c>
      <c r="AW528" s="141">
        <v>0</v>
      </c>
      <c r="AX528" s="141">
        <v>0</v>
      </c>
      <c r="AY528" s="226">
        <v>0</v>
      </c>
      <c r="AZ528" s="210">
        <v>0</v>
      </c>
      <c r="BA528" s="210">
        <v>0</v>
      </c>
      <c r="BB528" s="210">
        <v>0</v>
      </c>
      <c r="BC528" s="210">
        <v>0</v>
      </c>
      <c r="BD528" s="210">
        <v>0</v>
      </c>
      <c r="BE528" s="210">
        <v>0</v>
      </c>
      <c r="BF528" s="210">
        <v>0</v>
      </c>
      <c r="BG528" s="210">
        <v>0</v>
      </c>
      <c r="BH528" s="210">
        <v>0</v>
      </c>
      <c r="BI528" s="210">
        <v>0</v>
      </c>
      <c r="BJ528" s="210">
        <v>0</v>
      </c>
      <c r="BK528" s="210">
        <v>0</v>
      </c>
      <c r="BL528" s="210">
        <v>0</v>
      </c>
      <c r="BM528" s="210">
        <v>0</v>
      </c>
      <c r="BN528" s="210">
        <v>0</v>
      </c>
      <c r="BO528" s="210">
        <v>0</v>
      </c>
      <c r="BP528" s="210">
        <v>0</v>
      </c>
      <c r="BQ528" s="210">
        <v>0</v>
      </c>
      <c r="BR528" s="41"/>
      <c r="BS528" s="40">
        <v>7.9</v>
      </c>
      <c r="BT528" s="40">
        <v>0</v>
      </c>
      <c r="BU528" s="40">
        <v>0</v>
      </c>
      <c r="BV528" s="40">
        <v>0</v>
      </c>
      <c r="BW528" s="40">
        <v>0</v>
      </c>
      <c r="BX528" s="40">
        <v>0</v>
      </c>
      <c r="BY528" s="40">
        <v>0</v>
      </c>
      <c r="BZ528" s="40">
        <v>0</v>
      </c>
      <c r="CA528" s="40">
        <v>31</v>
      </c>
      <c r="CB528" s="40">
        <v>0</v>
      </c>
      <c r="CC528" s="41">
        <f t="shared" si="6125"/>
        <v>0</v>
      </c>
      <c r="CD528" s="41">
        <f t="shared" si="6126"/>
        <v>0</v>
      </c>
      <c r="CE528" s="41">
        <f t="shared" si="6127"/>
        <v>0</v>
      </c>
      <c r="CF528" s="41">
        <f t="shared" si="6128"/>
        <v>0</v>
      </c>
      <c r="CG528" s="41">
        <f t="shared" si="6129"/>
        <v>0</v>
      </c>
      <c r="CH528" s="41">
        <f t="shared" si="6130"/>
        <v>0</v>
      </c>
      <c r="CI528" s="41">
        <f t="shared" si="6131"/>
        <v>0</v>
      </c>
      <c r="CJ528" s="41">
        <f t="shared" si="6132"/>
        <v>0</v>
      </c>
      <c r="CK528" s="41">
        <f t="shared" si="6133"/>
        <v>0</v>
      </c>
      <c r="CL528" s="41">
        <f t="shared" si="6134"/>
        <v>0</v>
      </c>
      <c r="CM528" s="41">
        <f t="shared" si="6135"/>
        <v>0</v>
      </c>
      <c r="CN528" s="41">
        <f t="shared" si="6136"/>
        <v>0</v>
      </c>
      <c r="CO528" s="41">
        <f t="shared" si="6137"/>
        <v>0</v>
      </c>
      <c r="CP528" s="41">
        <f t="shared" si="6138"/>
        <v>0</v>
      </c>
      <c r="CQ528" s="41">
        <f t="shared" si="6139"/>
        <v>0</v>
      </c>
      <c r="CR528" s="41">
        <f t="shared" si="6140"/>
        <v>0</v>
      </c>
      <c r="CS528" s="41">
        <f t="shared" si="6141"/>
        <v>0</v>
      </c>
      <c r="CT528" s="41">
        <f t="shared" si="6142"/>
        <v>0</v>
      </c>
      <c r="CU528" s="41">
        <f t="shared" si="6143"/>
        <v>0</v>
      </c>
      <c r="CV528" s="41">
        <f t="shared" si="6144"/>
        <v>0</v>
      </c>
      <c r="CW528" s="41">
        <f t="shared" si="6145"/>
        <v>0</v>
      </c>
      <c r="CX528" s="41">
        <f t="shared" si="6146"/>
        <v>0</v>
      </c>
      <c r="CY528" s="41">
        <f t="shared" si="6147"/>
        <v>0</v>
      </c>
      <c r="CZ528" s="211">
        <f t="shared" si="6148"/>
        <v>0</v>
      </c>
      <c r="DA528" s="41">
        <f t="shared" si="6149"/>
        <v>0</v>
      </c>
      <c r="DB528" s="41">
        <f t="shared" si="6150"/>
        <v>0</v>
      </c>
      <c r="DC528" s="41">
        <f t="shared" si="6151"/>
        <v>0</v>
      </c>
      <c r="DD528" s="41">
        <f t="shared" si="6152"/>
        <v>0</v>
      </c>
      <c r="DE528" s="41">
        <f t="shared" si="6153"/>
        <v>0</v>
      </c>
      <c r="DF528" s="41">
        <f t="shared" si="6154"/>
        <v>0</v>
      </c>
      <c r="DG528" s="41">
        <f t="shared" si="6155"/>
        <v>0</v>
      </c>
      <c r="DH528" s="41">
        <f t="shared" si="6156"/>
        <v>0</v>
      </c>
      <c r="DI528" s="41">
        <f t="shared" si="6157"/>
        <v>0</v>
      </c>
    </row>
    <row r="529" spans="1:113" s="17" customFormat="1" ht="12" outlineLevel="1">
      <c r="A529" s="1" t="s">
        <v>840</v>
      </c>
      <c r="B529" s="17" t="s">
        <v>242</v>
      </c>
      <c r="C529" s="62">
        <f t="shared" ref="C529" si="6343">SUM(C525:C528)</f>
        <v>905</v>
      </c>
      <c r="D529" s="62">
        <f t="shared" ref="D529:L529" si="6344">SUM(D525:D528)</f>
        <v>907</v>
      </c>
      <c r="E529" s="62">
        <f t="shared" si="6344"/>
        <v>1316.9999999999998</v>
      </c>
      <c r="F529" s="62">
        <f t="shared" si="6344"/>
        <v>1092.0000000000002</v>
      </c>
      <c r="G529" s="62">
        <f t="shared" si="6344"/>
        <v>900</v>
      </c>
      <c r="H529" s="62">
        <f t="shared" si="6344"/>
        <v>1323</v>
      </c>
      <c r="I529" s="62">
        <f t="shared" si="6344"/>
        <v>2019.0000000000007</v>
      </c>
      <c r="J529" s="62">
        <f t="shared" si="6344"/>
        <v>970.00000000000045</v>
      </c>
      <c r="K529" s="62">
        <f t="shared" si="6344"/>
        <v>1431.9999999999995</v>
      </c>
      <c r="L529" s="62">
        <f t="shared" si="6344"/>
        <v>1294.9999999999995</v>
      </c>
      <c r="M529" s="62">
        <f t="shared" ref="M529:AD529" si="6345">SUM(M525:M528)</f>
        <v>1930</v>
      </c>
      <c r="N529" s="62">
        <f t="shared" si="6345"/>
        <v>2127.9999999999995</v>
      </c>
      <c r="O529" s="62">
        <f t="shared" si="6345"/>
        <v>1735</v>
      </c>
      <c r="P529" s="62">
        <f t="shared" si="6345"/>
        <v>1835.0000000000007</v>
      </c>
      <c r="Q529" s="62">
        <f t="shared" si="6345"/>
        <v>1554.0000000000005</v>
      </c>
      <c r="R529" s="62">
        <f t="shared" si="6345"/>
        <v>1756</v>
      </c>
      <c r="S529" s="62">
        <f t="shared" si="6345"/>
        <v>41</v>
      </c>
      <c r="T529" s="62">
        <f t="shared" si="6345"/>
        <v>1390</v>
      </c>
      <c r="U529" s="62">
        <f t="shared" si="6345"/>
        <v>2280</v>
      </c>
      <c r="V529" s="62">
        <f t="shared" si="6345"/>
        <v>2127</v>
      </c>
      <c r="W529" s="62">
        <f t="shared" si="6345"/>
        <v>3734</v>
      </c>
      <c r="X529" s="62">
        <f t="shared" si="6345"/>
        <v>2598</v>
      </c>
      <c r="Y529" s="62">
        <f t="shared" si="6345"/>
        <v>2642</v>
      </c>
      <c r="Z529" s="62">
        <f t="shared" si="6345"/>
        <v>2826</v>
      </c>
      <c r="AA529" s="62">
        <f t="shared" si="6345"/>
        <v>5009</v>
      </c>
      <c r="AB529" s="62">
        <f t="shared" si="6345"/>
        <v>4000</v>
      </c>
      <c r="AC529" s="62">
        <f t="shared" si="6345"/>
        <v>3976</v>
      </c>
      <c r="AD529" s="62">
        <f t="shared" si="6345"/>
        <v>6078</v>
      </c>
      <c r="AE529" s="62">
        <f t="shared" ref="AE529:AF529" si="6346">SUM(AE525:AE528)</f>
        <v>6612</v>
      </c>
      <c r="AF529" s="62">
        <f t="shared" si="6346"/>
        <v>1569</v>
      </c>
      <c r="AG529" s="62">
        <f t="shared" ref="AG529:AH529" si="6347">SUM(AG525:AG528)</f>
        <v>3605</v>
      </c>
      <c r="AH529" s="62">
        <f t="shared" si="6347"/>
        <v>2002</v>
      </c>
      <c r="AI529" s="62">
        <f t="shared" ref="AI529:AJ529" si="6348">SUM(AI525:AI528)</f>
        <v>3425</v>
      </c>
      <c r="AJ529" s="62">
        <f t="shared" si="6348"/>
        <v>3878</v>
      </c>
      <c r="AK529" s="62">
        <f t="shared" ref="AK529:AL529" si="6349">SUM(AK525:AK528)</f>
        <v>2982</v>
      </c>
      <c r="AL529" s="62">
        <f t="shared" si="6349"/>
        <v>3967</v>
      </c>
      <c r="AM529" s="62">
        <f t="shared" ref="AM529:AN529" si="6350">SUM(AM525:AM528)</f>
        <v>3152</v>
      </c>
      <c r="AN529" s="62">
        <f t="shared" si="6350"/>
        <v>2859</v>
      </c>
      <c r="AO529" s="62">
        <f t="shared" ref="AO529" si="6351">SUM(AO525:AO528)</f>
        <v>527</v>
      </c>
      <c r="AP529" s="62">
        <f t="shared" ref="AP529:AQ529" si="6352">SUM(AP525:AP528)</f>
        <v>2168</v>
      </c>
      <c r="AQ529" s="62">
        <f t="shared" si="6352"/>
        <v>3685</v>
      </c>
      <c r="AR529" s="62">
        <f t="shared" ref="AR529:AS529" si="6353">SUM(AR525:AR528)</f>
        <v>969</v>
      </c>
      <c r="AS529" s="62">
        <f t="shared" si="6353"/>
        <v>5924</v>
      </c>
      <c r="AT529" s="62">
        <f t="shared" ref="AT529:AU529" si="6354">SUM(AT525:AT528)</f>
        <v>5074</v>
      </c>
      <c r="AU529" s="62">
        <f t="shared" si="6354"/>
        <v>2815</v>
      </c>
      <c r="AV529" s="62">
        <f t="shared" ref="AV529:AW529" si="6355">SUM(AV525:AV528)</f>
        <v>2876</v>
      </c>
      <c r="AW529" s="62">
        <f t="shared" si="6355"/>
        <v>2586</v>
      </c>
      <c r="AX529" s="62">
        <f t="shared" ref="AX529:AY529" si="6356">SUM(AX525:AX528)</f>
        <v>4224</v>
      </c>
      <c r="AY529" s="220">
        <f t="shared" si="6356"/>
        <v>1953</v>
      </c>
      <c r="AZ529" s="62">
        <f t="shared" ref="AZ529:BA529" si="6357">SUM(AZ525:AZ528)</f>
        <v>4328.6859473309851</v>
      </c>
      <c r="BA529" s="62">
        <f t="shared" si="6357"/>
        <v>3649.5323907321585</v>
      </c>
      <c r="BB529" s="62">
        <f t="shared" ref="BB529:BC529" si="6358">SUM(BB525:BB528)</f>
        <v>3746.0262888439729</v>
      </c>
      <c r="BC529" s="62">
        <f t="shared" si="6358"/>
        <v>3443.4560238889399</v>
      </c>
      <c r="BD529" s="62">
        <f t="shared" ref="BD529:BE529" si="6359">SUM(BD525:BD528)</f>
        <v>3843.2806702929279</v>
      </c>
      <c r="BE529" s="62">
        <f t="shared" si="6359"/>
        <v>3511.5269173154234</v>
      </c>
      <c r="BF529" s="62">
        <f t="shared" ref="BF529:BG529" si="6360">SUM(BF525:BF528)</f>
        <v>3931.9074803596945</v>
      </c>
      <c r="BG529" s="62">
        <f t="shared" si="6360"/>
        <v>3703.0432714046065</v>
      </c>
      <c r="BH529" s="62">
        <f t="shared" ref="BH529:BI529" si="6361">SUM(BH525:BH528)</f>
        <v>4063.2116895204526</v>
      </c>
      <c r="BI529" s="62">
        <f t="shared" si="6361"/>
        <v>3796.3044178753607</v>
      </c>
      <c r="BJ529" s="62">
        <f t="shared" ref="BJ529:BK529" si="6362">SUM(BJ525:BJ528)</f>
        <v>4319.9942605570686</v>
      </c>
      <c r="BK529" s="62">
        <f t="shared" si="6362"/>
        <v>4328.1798279280592</v>
      </c>
      <c r="BL529" s="62">
        <f t="shared" ref="BL529:BM529" si="6363">SUM(BL525:BL528)</f>
        <v>4545.2922472606579</v>
      </c>
      <c r="BM529" s="62">
        <f t="shared" si="6363"/>
        <v>4366.2256535934766</v>
      </c>
      <c r="BN529" s="62">
        <f t="shared" ref="BN529:BO529" si="6364">SUM(BN525:BN528)</f>
        <v>4566.1046688744091</v>
      </c>
      <c r="BO529" s="62">
        <f t="shared" si="6364"/>
        <v>4427.6162080881677</v>
      </c>
      <c r="BP529" s="62">
        <f t="shared" ref="BP529:BQ529" si="6365">SUM(BP525:BP528)</f>
        <v>4642.2811250171344</v>
      </c>
      <c r="BQ529" s="62">
        <f t="shared" si="6365"/>
        <v>4543.8090121218265</v>
      </c>
      <c r="BR529" s="62"/>
      <c r="BS529" s="62">
        <f t="shared" ref="BS529:CB529" si="6366">SUM(BS525:BS528)</f>
        <v>727.49999999999932</v>
      </c>
      <c r="BT529" s="62">
        <f t="shared" si="6366"/>
        <v>700.50000000000057</v>
      </c>
      <c r="BU529" s="62">
        <f t="shared" si="6366"/>
        <v>714.99999999999909</v>
      </c>
      <c r="BV529" s="62">
        <f t="shared" si="6366"/>
        <v>1262</v>
      </c>
      <c r="BW529" s="62">
        <f t="shared" si="6366"/>
        <v>1021</v>
      </c>
      <c r="BX529" s="62">
        <f t="shared" si="6366"/>
        <v>1128</v>
      </c>
      <c r="BY529" s="62">
        <f t="shared" si="6366"/>
        <v>1248</v>
      </c>
      <c r="BZ529" s="62">
        <f t="shared" si="6366"/>
        <v>1265</v>
      </c>
      <c r="CA529" s="62">
        <f t="shared" si="6366"/>
        <v>1948</v>
      </c>
      <c r="CB529" s="62">
        <f t="shared" si="6366"/>
        <v>2067</v>
      </c>
      <c r="CC529" s="62">
        <f t="shared" si="6125"/>
        <v>2224</v>
      </c>
      <c r="CD529" s="62">
        <f t="shared" si="6126"/>
        <v>1992.0000000000002</v>
      </c>
      <c r="CE529" s="62">
        <f t="shared" si="6127"/>
        <v>3342.0000000000009</v>
      </c>
      <c r="CF529" s="62">
        <f t="shared" si="6128"/>
        <v>2402</v>
      </c>
      <c r="CG529" s="62">
        <f t="shared" si="6129"/>
        <v>3224.9999999999995</v>
      </c>
      <c r="CH529" s="62">
        <f t="shared" si="6130"/>
        <v>3862.9999999999995</v>
      </c>
      <c r="CI529" s="62">
        <f t="shared" si="6131"/>
        <v>3389.0000000000009</v>
      </c>
      <c r="CJ529" s="62">
        <f t="shared" si="6132"/>
        <v>1797</v>
      </c>
      <c r="CK529" s="62">
        <f t="shared" si="6133"/>
        <v>3670</v>
      </c>
      <c r="CL529" s="62">
        <f t="shared" si="6134"/>
        <v>5861</v>
      </c>
      <c r="CM529" s="62">
        <f t="shared" si="6135"/>
        <v>5240</v>
      </c>
      <c r="CN529" s="62">
        <f t="shared" si="6136"/>
        <v>7835</v>
      </c>
      <c r="CO529" s="62">
        <f t="shared" si="6137"/>
        <v>7976</v>
      </c>
      <c r="CP529" s="62">
        <f t="shared" si="6138"/>
        <v>12690</v>
      </c>
      <c r="CQ529" s="62">
        <f t="shared" si="6139"/>
        <v>5174</v>
      </c>
      <c r="CR529" s="62">
        <f t="shared" si="6140"/>
        <v>5427</v>
      </c>
      <c r="CS529" s="62">
        <f t="shared" si="6141"/>
        <v>6860</v>
      </c>
      <c r="CT529" s="62">
        <f t="shared" si="6142"/>
        <v>7119</v>
      </c>
      <c r="CU529" s="62">
        <f t="shared" si="6143"/>
        <v>3386</v>
      </c>
      <c r="CV529" s="62">
        <f t="shared" si="6144"/>
        <v>5853</v>
      </c>
      <c r="CW529" s="62">
        <f t="shared" si="6145"/>
        <v>6893</v>
      </c>
      <c r="CX529" s="62">
        <f t="shared" si="6146"/>
        <v>7889</v>
      </c>
      <c r="CY529" s="62">
        <f t="shared" si="6147"/>
        <v>5462</v>
      </c>
      <c r="CZ529" s="220">
        <f t="shared" si="6148"/>
        <v>6177</v>
      </c>
      <c r="DA529" s="62">
        <f t="shared" si="6149"/>
        <v>7978.2183380631432</v>
      </c>
      <c r="DB529" s="62">
        <f t="shared" si="6150"/>
        <v>7189.4823127329128</v>
      </c>
      <c r="DC529" s="62">
        <f t="shared" si="6151"/>
        <v>7354.8075876083512</v>
      </c>
      <c r="DD529" s="62">
        <f t="shared" si="6152"/>
        <v>7634.9507517643015</v>
      </c>
      <c r="DE529" s="62">
        <f t="shared" si="6153"/>
        <v>7859.5161073958134</v>
      </c>
      <c r="DF529" s="62">
        <f t="shared" si="6154"/>
        <v>8648.1740884851279</v>
      </c>
      <c r="DG529" s="62">
        <f t="shared" si="6155"/>
        <v>8911.5179008541345</v>
      </c>
      <c r="DH529" s="62">
        <f t="shared" si="6156"/>
        <v>8993.7208769625759</v>
      </c>
      <c r="DI529" s="62">
        <f t="shared" si="6157"/>
        <v>9186.0901371389609</v>
      </c>
    </row>
    <row r="530" spans="1:113" ht="12">
      <c r="C530" s="41"/>
      <c r="D530" s="41"/>
      <c r="E530" s="41"/>
      <c r="F530" s="41"/>
      <c r="G530" s="41"/>
      <c r="H530" s="41"/>
      <c r="I530" s="41"/>
      <c r="J530" s="41"/>
      <c r="K530" s="41"/>
      <c r="L530" s="41"/>
      <c r="M530" s="41"/>
      <c r="N530" s="41"/>
      <c r="O530" s="41"/>
      <c r="P530" s="41"/>
      <c r="Q530" s="41"/>
      <c r="R530" s="41"/>
      <c r="S530" s="41"/>
      <c r="T530" s="41"/>
      <c r="U530" s="41"/>
      <c r="V530" s="41"/>
      <c r="W530" s="41"/>
      <c r="X530" s="41"/>
      <c r="Y530" s="41"/>
      <c r="Z530" s="41"/>
      <c r="AA530" s="41"/>
      <c r="AB530" s="41"/>
      <c r="AC530" s="41"/>
      <c r="AD530" s="41"/>
      <c r="AE530" s="41"/>
      <c r="AF530" s="41"/>
      <c r="AG530" s="41"/>
      <c r="AH530" s="37"/>
      <c r="AI530" s="37"/>
      <c r="AJ530" s="41"/>
      <c r="AK530" s="41"/>
      <c r="AL530" s="37"/>
      <c r="AM530" s="37"/>
      <c r="AN530" s="41"/>
      <c r="AO530" s="41"/>
      <c r="AP530" s="41"/>
      <c r="AQ530" s="41"/>
      <c r="AR530" s="41"/>
      <c r="AS530" s="41"/>
      <c r="AT530" s="41"/>
      <c r="AU530" s="41"/>
      <c r="AV530" s="41"/>
      <c r="AW530" s="41"/>
      <c r="AX530" s="41"/>
      <c r="AY530" s="211"/>
      <c r="AZ530" s="41"/>
      <c r="BA530" s="41"/>
      <c r="BB530" s="41"/>
      <c r="BC530" s="41"/>
      <c r="BD530" s="41"/>
      <c r="BE530" s="41"/>
      <c r="BF530" s="41"/>
      <c r="BG530" s="41"/>
      <c r="BH530" s="41"/>
      <c r="BI530" s="41"/>
      <c r="BJ530" s="41"/>
      <c r="BK530" s="41"/>
      <c r="BL530" s="41"/>
      <c r="BM530" s="41"/>
      <c r="BN530" s="41"/>
      <c r="BO530" s="41"/>
      <c r="BP530" s="41"/>
      <c r="BQ530" s="41"/>
      <c r="BR530" s="41"/>
      <c r="BS530" s="41"/>
      <c r="BT530" s="41"/>
      <c r="BU530" s="41"/>
      <c r="BV530" s="41"/>
      <c r="BW530" s="41"/>
      <c r="BX530" s="41"/>
      <c r="BY530" s="41"/>
      <c r="BZ530" s="41"/>
      <c r="CA530" s="41"/>
      <c r="CB530" s="13"/>
      <c r="CC530" s="41"/>
      <c r="CD530" s="41"/>
      <c r="CE530" s="41"/>
      <c r="CF530" s="41"/>
      <c r="CG530" s="41"/>
      <c r="CH530" s="41"/>
      <c r="CI530" s="41"/>
      <c r="CJ530" s="41"/>
      <c r="CK530" s="41"/>
      <c r="CL530" s="41"/>
      <c r="CM530" s="41"/>
      <c r="CN530" s="41"/>
      <c r="CO530" s="41"/>
      <c r="CP530" s="41"/>
      <c r="CQ530" s="41"/>
      <c r="CR530" s="41"/>
      <c r="CS530" s="41"/>
      <c r="CT530" s="41"/>
      <c r="CU530" s="41"/>
      <c r="CV530" s="41"/>
      <c r="CW530" s="41"/>
      <c r="CX530" s="41"/>
      <c r="CY530" s="41"/>
      <c r="CZ530" s="211"/>
      <c r="DA530" s="41"/>
      <c r="DB530" s="15"/>
      <c r="DC530" s="15"/>
      <c r="DD530" s="15"/>
      <c r="DE530" s="15"/>
      <c r="DF530" s="15"/>
      <c r="DG530" s="15"/>
      <c r="DH530" s="15"/>
      <c r="DI530" s="15"/>
    </row>
    <row r="531" spans="1:113" s="26" customFormat="1" ht="12" collapsed="1">
      <c r="A531" s="1" t="s">
        <v>841</v>
      </c>
      <c r="B531" s="2" t="s">
        <v>243</v>
      </c>
      <c r="C531" s="60">
        <f t="shared" ref="C531:L531" si="6367">C538</f>
        <v>9012</v>
      </c>
      <c r="D531" s="60">
        <f t="shared" si="6367"/>
        <v>9379</v>
      </c>
      <c r="E531" s="60">
        <f t="shared" si="6367"/>
        <v>10073</v>
      </c>
      <c r="F531" s="60">
        <f t="shared" si="6367"/>
        <v>11243</v>
      </c>
      <c r="G531" s="60">
        <f t="shared" si="6367"/>
        <v>11558</v>
      </c>
      <c r="H531" s="60">
        <f t="shared" si="6367"/>
        <v>15744</v>
      </c>
      <c r="I531" s="60">
        <f t="shared" si="6367"/>
        <v>17036</v>
      </c>
      <c r="J531" s="60">
        <f t="shared" si="6367"/>
        <v>17051</v>
      </c>
      <c r="K531" s="60">
        <f t="shared" si="6367"/>
        <v>17653</v>
      </c>
      <c r="L531" s="60">
        <f t="shared" si="6367"/>
        <v>17891</v>
      </c>
      <c r="M531" s="60">
        <f t="shared" ref="M531:AD531" si="6368">M538</f>
        <v>19001</v>
      </c>
      <c r="N531" s="60">
        <f t="shared" si="6368"/>
        <v>20007</v>
      </c>
      <c r="O531" s="60">
        <f t="shared" si="6368"/>
        <v>21139</v>
      </c>
      <c r="P531" s="60">
        <f t="shared" si="6368"/>
        <v>23042</v>
      </c>
      <c r="Q531" s="60">
        <f t="shared" si="6368"/>
        <v>25619</v>
      </c>
      <c r="R531" s="60">
        <f t="shared" si="6368"/>
        <v>27424</v>
      </c>
      <c r="S531" s="60">
        <f t="shared" si="6368"/>
        <v>31493</v>
      </c>
      <c r="T531" s="60">
        <f t="shared" si="6368"/>
        <v>31646</v>
      </c>
      <c r="U531" s="60">
        <f t="shared" si="6368"/>
        <v>33220</v>
      </c>
      <c r="V531" s="60">
        <f t="shared" si="6368"/>
        <v>34189</v>
      </c>
      <c r="W531" s="60">
        <f t="shared" si="6368"/>
        <v>37035</v>
      </c>
      <c r="X531" s="60">
        <f t="shared" si="6368"/>
        <v>38523</v>
      </c>
      <c r="Y531" s="60">
        <f>Y538</f>
        <v>40300</v>
      </c>
      <c r="Z531" s="60">
        <f t="shared" si="6368"/>
        <v>41579</v>
      </c>
      <c r="AA531" s="60">
        <f t="shared" si="6368"/>
        <v>44670</v>
      </c>
      <c r="AB531" s="60">
        <f t="shared" si="6368"/>
        <v>46100</v>
      </c>
      <c r="AC531" s="60">
        <f t="shared" si="6368"/>
        <v>48336</v>
      </c>
      <c r="AD531" s="60">
        <f t="shared" si="6368"/>
        <v>51956</v>
      </c>
      <c r="AE531" s="60">
        <f t="shared" ref="AE531:AF531" si="6369">AE538</f>
        <v>57247</v>
      </c>
      <c r="AF531" s="60">
        <f t="shared" si="6369"/>
        <v>56363</v>
      </c>
      <c r="AG531" s="60">
        <f t="shared" ref="AG531:AH531" si="6370">AG538</f>
        <v>57818</v>
      </c>
      <c r="AH531" s="60">
        <f t="shared" si="6370"/>
        <v>57791</v>
      </c>
      <c r="AI531" s="60">
        <f t="shared" ref="AI531:AJ531" si="6371">AI538</f>
        <v>58959</v>
      </c>
      <c r="AJ531" s="60">
        <f t="shared" si="6371"/>
        <v>59374</v>
      </c>
      <c r="AK531" s="60">
        <f t="shared" ref="AK531:AP531" si="6372">AK538</f>
        <v>59265</v>
      </c>
      <c r="AL531" s="60">
        <f t="shared" si="6372"/>
        <v>59821</v>
      </c>
      <c r="AM531" s="60">
        <f t="shared" si="6372"/>
        <v>60783</v>
      </c>
      <c r="AN531" s="60">
        <f t="shared" si="6372"/>
        <v>61364</v>
      </c>
      <c r="AO531" s="60">
        <f t="shared" si="6372"/>
        <v>61287</v>
      </c>
      <c r="AP531" s="60">
        <f t="shared" si="6372"/>
        <v>62566</v>
      </c>
      <c r="AQ531" s="60">
        <f t="shared" ref="AQ531:AR531" si="6373">AQ538</f>
        <v>63665</v>
      </c>
      <c r="AR531" s="60">
        <f t="shared" si="6373"/>
        <v>61747</v>
      </c>
      <c r="AS531" s="60">
        <f t="shared" ref="AS531:AT531" si="6374">AS538</f>
        <v>65907</v>
      </c>
      <c r="AT531" s="60">
        <f t="shared" si="6374"/>
        <v>69055</v>
      </c>
      <c r="AU531" s="60">
        <f t="shared" ref="AU531:AV531" si="6375">AU538</f>
        <v>69495</v>
      </c>
      <c r="AV531" s="60">
        <f t="shared" si="6375"/>
        <v>69538</v>
      </c>
      <c r="AW531" s="60">
        <f t="shared" ref="AW531:AX531" si="6376">AW538</f>
        <v>69086</v>
      </c>
      <c r="AX531" s="60">
        <f t="shared" si="6376"/>
        <v>70803</v>
      </c>
      <c r="AY531" s="219">
        <f t="shared" ref="AY531" si="6377">AY538</f>
        <v>70389</v>
      </c>
      <c r="AZ531" s="60">
        <f t="shared" ref="AZ531:BA531" si="6378">AZ538</f>
        <v>72984.260722750987</v>
      </c>
      <c r="BA531" s="60">
        <f t="shared" si="6378"/>
        <v>74824.543680334085</v>
      </c>
      <c r="BB531" s="60">
        <f t="shared" ref="BB531:BC531" si="6379">BB538</f>
        <v>75846.045688262253</v>
      </c>
      <c r="BC531" s="60">
        <f t="shared" si="6379"/>
        <v>75534.704939225208</v>
      </c>
      <c r="BD531" s="60">
        <f t="shared" ref="BD531:BE531" si="6380">BD538</f>
        <v>75616.658722733497</v>
      </c>
      <c r="BE531" s="60">
        <f t="shared" si="6380"/>
        <v>75330.044065305992</v>
      </c>
      <c r="BF531" s="60">
        <f t="shared" ref="BF531:BG531" si="6381">BF538</f>
        <v>75426.962457227739</v>
      </c>
      <c r="BG531" s="60">
        <f t="shared" si="6381"/>
        <v>75258.117365588187</v>
      </c>
      <c r="BH531" s="60">
        <f t="shared" ref="BH531:BI531" si="6382">BH538</f>
        <v>76412.472412577947</v>
      </c>
      <c r="BI531" s="60">
        <f t="shared" si="6382"/>
        <v>77241.743055072002</v>
      </c>
      <c r="BJ531" s="60">
        <f t="shared" ref="BJ531:BK531" si="6383">BJ538</f>
        <v>78536.526407397148</v>
      </c>
      <c r="BK531" s="60">
        <f t="shared" si="6383"/>
        <v>79781.318194242675</v>
      </c>
      <c r="BL531" s="60">
        <f t="shared" ref="BL531:BM531" si="6384">BL538</f>
        <v>81185.045267570182</v>
      </c>
      <c r="BM531" s="60">
        <f t="shared" si="6384"/>
        <v>82351.528614379888</v>
      </c>
      <c r="BN531" s="60">
        <f t="shared" ref="BN531:BO531" si="6385">BN538</f>
        <v>83659.713843619917</v>
      </c>
      <c r="BO531" s="60">
        <f t="shared" si="6385"/>
        <v>84771.233479223083</v>
      </c>
      <c r="BP531" s="60">
        <f t="shared" ref="BP531:BQ531" si="6386">BP538</f>
        <v>86039.240898904609</v>
      </c>
      <c r="BQ531" s="60">
        <f t="shared" si="6386"/>
        <v>87150.59907284021</v>
      </c>
      <c r="BR531" s="60"/>
      <c r="BS531" s="60">
        <f t="shared" ref="BS531:CB531" si="6387">BS538</f>
        <v>3942.2999999999993</v>
      </c>
      <c r="BT531" s="60">
        <f t="shared" si="6387"/>
        <v>4489.0000000000009</v>
      </c>
      <c r="BU531" s="60">
        <f t="shared" si="6387"/>
        <v>4856</v>
      </c>
      <c r="BV531" s="60">
        <f t="shared" si="6387"/>
        <v>5700</v>
      </c>
      <c r="BW531" s="60">
        <f t="shared" si="6387"/>
        <v>6290</v>
      </c>
      <c r="BX531" s="60">
        <f t="shared" si="6387"/>
        <v>6943</v>
      </c>
      <c r="BY531" s="60">
        <f t="shared" si="6387"/>
        <v>7690</v>
      </c>
      <c r="BZ531" s="60">
        <f t="shared" si="6387"/>
        <v>8258</v>
      </c>
      <c r="CA531" s="60">
        <f t="shared" si="6387"/>
        <v>8421</v>
      </c>
      <c r="CB531" s="60">
        <f t="shared" si="6387"/>
        <v>9012</v>
      </c>
      <c r="CC531" s="60">
        <f t="shared" ref="CC531:CO531" si="6388">CC538</f>
        <v>10073</v>
      </c>
      <c r="CD531" s="60">
        <f t="shared" si="6388"/>
        <v>11558</v>
      </c>
      <c r="CE531" s="60">
        <f t="shared" si="6388"/>
        <v>17036</v>
      </c>
      <c r="CF531" s="60">
        <f t="shared" si="6388"/>
        <v>17653</v>
      </c>
      <c r="CG531" s="60">
        <f t="shared" si="6388"/>
        <v>19001</v>
      </c>
      <c r="CH531" s="60">
        <f t="shared" si="6388"/>
        <v>21139</v>
      </c>
      <c r="CI531" s="60">
        <f t="shared" si="6388"/>
        <v>25619</v>
      </c>
      <c r="CJ531" s="60">
        <f t="shared" si="6388"/>
        <v>31493</v>
      </c>
      <c r="CK531" s="60">
        <f t="shared" si="6388"/>
        <v>33220</v>
      </c>
      <c r="CL531" s="60">
        <f t="shared" si="6388"/>
        <v>37035</v>
      </c>
      <c r="CM531" s="60">
        <f t="shared" si="6388"/>
        <v>40300</v>
      </c>
      <c r="CN531" s="60">
        <f t="shared" si="6388"/>
        <v>44670</v>
      </c>
      <c r="CO531" s="60">
        <f t="shared" si="6388"/>
        <v>48336</v>
      </c>
      <c r="CP531" s="60">
        <f t="shared" ref="CP531:CX531" si="6389">CP538</f>
        <v>57247</v>
      </c>
      <c r="CQ531" s="60">
        <f t="shared" si="6389"/>
        <v>57818</v>
      </c>
      <c r="CR531" s="60">
        <f t="shared" si="6389"/>
        <v>58959</v>
      </c>
      <c r="CS531" s="60">
        <f t="shared" si="6389"/>
        <v>59265</v>
      </c>
      <c r="CT531" s="60">
        <f t="shared" si="6389"/>
        <v>60783</v>
      </c>
      <c r="CU531" s="60">
        <f t="shared" si="6389"/>
        <v>61287</v>
      </c>
      <c r="CV531" s="60">
        <f t="shared" si="6389"/>
        <v>63665</v>
      </c>
      <c r="CW531" s="60">
        <f t="shared" si="6389"/>
        <v>65907</v>
      </c>
      <c r="CX531" s="60">
        <f t="shared" si="6389"/>
        <v>69495</v>
      </c>
      <c r="CY531" s="60">
        <f t="shared" ref="CY531:DD531" si="6390">CY538</f>
        <v>69086</v>
      </c>
      <c r="CZ531" s="219">
        <f t="shared" si="6390"/>
        <v>70389</v>
      </c>
      <c r="DA531" s="60">
        <f t="shared" si="6390"/>
        <v>74824.543680334085</v>
      </c>
      <c r="DB531" s="60">
        <f t="shared" si="6390"/>
        <v>75534.704939225194</v>
      </c>
      <c r="DC531" s="60">
        <f t="shared" si="6390"/>
        <v>75330.044065305978</v>
      </c>
      <c r="DD531" s="60">
        <f t="shared" si="6390"/>
        <v>75258.117365588187</v>
      </c>
      <c r="DE531" s="60">
        <f t="shared" ref="DE531" si="6391">DE538</f>
        <v>77241.743055071987</v>
      </c>
      <c r="DF531" s="60">
        <f t="shared" ref="DF531" si="6392">DF538</f>
        <v>79781.318194242645</v>
      </c>
      <c r="DG531" s="60">
        <f>DG538</f>
        <v>82351.528614379844</v>
      </c>
      <c r="DH531" s="60">
        <f>DH538</f>
        <v>84771.233479223039</v>
      </c>
      <c r="DI531" s="60">
        <f>DI538</f>
        <v>87150.599072840167</v>
      </c>
    </row>
    <row r="532" spans="1:113" ht="12" outlineLevel="1">
      <c r="C532" s="41"/>
      <c r="D532" s="41"/>
      <c r="E532" s="41"/>
      <c r="F532" s="41"/>
      <c r="G532" s="41"/>
      <c r="H532" s="41"/>
      <c r="I532" s="41"/>
      <c r="J532" s="41"/>
      <c r="K532" s="41"/>
      <c r="L532" s="41"/>
      <c r="M532" s="41"/>
      <c r="N532" s="41"/>
      <c r="O532" s="41"/>
      <c r="P532" s="41"/>
      <c r="Q532" s="41"/>
      <c r="R532" s="41"/>
      <c r="S532" s="41"/>
      <c r="T532" s="41"/>
      <c r="U532" s="41"/>
      <c r="V532" s="41"/>
      <c r="W532" s="41"/>
      <c r="X532" s="41"/>
      <c r="Y532" s="41"/>
      <c r="Z532" s="41"/>
      <c r="AA532" s="41"/>
      <c r="AB532" s="41"/>
      <c r="AC532" s="41"/>
      <c r="AD532" s="41"/>
      <c r="AE532" s="41"/>
      <c r="AF532" s="41"/>
      <c r="AG532" s="41"/>
      <c r="AH532" s="41"/>
      <c r="AI532" s="41"/>
      <c r="AJ532" s="41"/>
      <c r="AK532" s="41"/>
      <c r="AL532" s="41"/>
      <c r="AM532" s="41"/>
      <c r="AN532" s="41"/>
      <c r="AO532" s="41"/>
      <c r="AP532" s="41"/>
      <c r="AQ532" s="41"/>
      <c r="AR532" s="41"/>
      <c r="AS532" s="41"/>
      <c r="AT532" s="41"/>
      <c r="AU532" s="41"/>
      <c r="AV532" s="41"/>
      <c r="AW532" s="41"/>
      <c r="AX532" s="41"/>
      <c r="AY532" s="211"/>
      <c r="AZ532" s="41"/>
      <c r="BA532" s="41"/>
      <c r="BB532" s="41"/>
      <c r="BC532" s="41"/>
      <c r="BD532" s="41"/>
      <c r="BE532" s="41"/>
      <c r="BF532" s="41"/>
      <c r="BG532" s="41"/>
      <c r="BH532" s="41"/>
      <c r="BI532" s="41"/>
      <c r="BJ532" s="41"/>
      <c r="BK532" s="41"/>
      <c r="BL532" s="41"/>
      <c r="BM532" s="41"/>
      <c r="BN532" s="41"/>
      <c r="BO532" s="41"/>
      <c r="BP532" s="41"/>
      <c r="BQ532" s="41"/>
      <c r="BR532" s="41"/>
      <c r="BS532" s="41"/>
      <c r="BT532" s="41"/>
      <c r="BU532" s="41"/>
      <c r="BV532" s="41"/>
      <c r="BW532" s="41"/>
      <c r="BX532" s="41"/>
      <c r="BY532" s="41"/>
      <c r="BZ532" s="41"/>
      <c r="CA532" s="41"/>
      <c r="CB532" s="41"/>
      <c r="CC532" s="41"/>
      <c r="CD532" s="41"/>
      <c r="CE532" s="41"/>
      <c r="CF532" s="41"/>
      <c r="CG532" s="41"/>
      <c r="CH532" s="41"/>
      <c r="CI532" s="41"/>
      <c r="CJ532" s="41"/>
      <c r="CK532" s="41"/>
      <c r="CL532" s="41"/>
      <c r="CM532" s="41"/>
      <c r="CN532" s="41"/>
      <c r="CO532" s="41"/>
      <c r="CP532" s="41"/>
      <c r="CQ532" s="41"/>
      <c r="CR532" s="41"/>
      <c r="CS532" s="41"/>
      <c r="CT532" s="41"/>
      <c r="CU532" s="41"/>
      <c r="CV532" s="41"/>
      <c r="CW532" s="41"/>
      <c r="CX532" s="41"/>
      <c r="CY532" s="41"/>
      <c r="CZ532" s="211"/>
      <c r="DA532" s="41"/>
      <c r="DB532" s="15"/>
      <c r="DC532" s="15"/>
      <c r="DD532" s="15"/>
      <c r="DE532" s="15"/>
      <c r="DF532" s="15"/>
      <c r="DG532" s="15"/>
      <c r="DH532" s="15"/>
      <c r="DI532" s="15"/>
    </row>
    <row r="533" spans="1:113" s="17" customFormat="1" ht="12" outlineLevel="1">
      <c r="A533" s="1" t="s">
        <v>842</v>
      </c>
      <c r="B533" s="17" t="s">
        <v>244</v>
      </c>
      <c r="C533" s="390">
        <f>10200-12-1526</f>
        <v>8662</v>
      </c>
      <c r="D533" s="62">
        <f t="shared" ref="D533:L533" si="6393">C538</f>
        <v>9012</v>
      </c>
      <c r="E533" s="62">
        <f t="shared" si="6393"/>
        <v>9379</v>
      </c>
      <c r="F533" s="62">
        <f t="shared" si="6393"/>
        <v>10073</v>
      </c>
      <c r="G533" s="62">
        <f t="shared" si="6393"/>
        <v>11243</v>
      </c>
      <c r="H533" s="62">
        <f t="shared" si="6393"/>
        <v>11558</v>
      </c>
      <c r="I533" s="62">
        <f t="shared" si="6393"/>
        <v>15744</v>
      </c>
      <c r="J533" s="62">
        <f t="shared" si="6393"/>
        <v>17036</v>
      </c>
      <c r="K533" s="62">
        <f t="shared" si="6393"/>
        <v>17051</v>
      </c>
      <c r="L533" s="62">
        <f t="shared" si="6393"/>
        <v>17653</v>
      </c>
      <c r="M533" s="62">
        <f t="shared" ref="M533:AY533" si="6394">L538</f>
        <v>17891</v>
      </c>
      <c r="N533" s="62">
        <f t="shared" si="6394"/>
        <v>19001</v>
      </c>
      <c r="O533" s="62">
        <f t="shared" si="6394"/>
        <v>20007</v>
      </c>
      <c r="P533" s="62">
        <f t="shared" si="6394"/>
        <v>21139</v>
      </c>
      <c r="Q533" s="62">
        <f t="shared" si="6394"/>
        <v>23042</v>
      </c>
      <c r="R533" s="62">
        <f t="shared" si="6394"/>
        <v>25619</v>
      </c>
      <c r="S533" s="62">
        <f t="shared" si="6394"/>
        <v>27424</v>
      </c>
      <c r="T533" s="62">
        <f t="shared" si="6394"/>
        <v>31493</v>
      </c>
      <c r="U533" s="62">
        <f t="shared" si="6394"/>
        <v>31646</v>
      </c>
      <c r="V533" s="62">
        <f t="shared" si="6394"/>
        <v>33220</v>
      </c>
      <c r="W533" s="62">
        <f t="shared" si="6394"/>
        <v>34189</v>
      </c>
      <c r="X533" s="62">
        <f t="shared" si="6394"/>
        <v>37035</v>
      </c>
      <c r="Y533" s="62">
        <f t="shared" si="6394"/>
        <v>38523</v>
      </c>
      <c r="Z533" s="62">
        <f t="shared" si="6394"/>
        <v>40300</v>
      </c>
      <c r="AA533" s="62">
        <f t="shared" si="6394"/>
        <v>41579</v>
      </c>
      <c r="AB533" s="62">
        <f t="shared" si="6394"/>
        <v>44670</v>
      </c>
      <c r="AC533" s="62">
        <f t="shared" si="6394"/>
        <v>46100</v>
      </c>
      <c r="AD533" s="62">
        <f t="shared" si="6394"/>
        <v>48336</v>
      </c>
      <c r="AE533" s="62">
        <f t="shared" si="6394"/>
        <v>51956</v>
      </c>
      <c r="AF533" s="62">
        <f t="shared" si="6394"/>
        <v>57247</v>
      </c>
      <c r="AG533" s="62">
        <f t="shared" si="6394"/>
        <v>56363</v>
      </c>
      <c r="AH533" s="62">
        <f t="shared" si="6394"/>
        <v>57818</v>
      </c>
      <c r="AI533" s="62">
        <f t="shared" si="6394"/>
        <v>57791</v>
      </c>
      <c r="AJ533" s="62">
        <f t="shared" si="6394"/>
        <v>58959</v>
      </c>
      <c r="AK533" s="62">
        <f t="shared" si="6394"/>
        <v>59374</v>
      </c>
      <c r="AL533" s="62">
        <f t="shared" si="6394"/>
        <v>59265</v>
      </c>
      <c r="AM533" s="62">
        <f t="shared" si="6394"/>
        <v>59821</v>
      </c>
      <c r="AN533" s="62">
        <f t="shared" si="6394"/>
        <v>60783</v>
      </c>
      <c r="AO533" s="62">
        <f t="shared" si="6394"/>
        <v>61364</v>
      </c>
      <c r="AP533" s="62">
        <f t="shared" si="6394"/>
        <v>61287</v>
      </c>
      <c r="AQ533" s="62">
        <f t="shared" si="6394"/>
        <v>62566</v>
      </c>
      <c r="AR533" s="62">
        <f t="shared" si="6394"/>
        <v>63665</v>
      </c>
      <c r="AS533" s="62">
        <f t="shared" si="6394"/>
        <v>61747</v>
      </c>
      <c r="AT533" s="62">
        <f t="shared" si="6394"/>
        <v>65907</v>
      </c>
      <c r="AU533" s="62">
        <f t="shared" si="6394"/>
        <v>69055</v>
      </c>
      <c r="AV533" s="62">
        <f t="shared" si="6394"/>
        <v>69495</v>
      </c>
      <c r="AW533" s="62">
        <f t="shared" si="6394"/>
        <v>69538</v>
      </c>
      <c r="AX533" s="62">
        <f t="shared" si="6394"/>
        <v>69086</v>
      </c>
      <c r="AY533" s="220">
        <f t="shared" si="6394"/>
        <v>70803</v>
      </c>
      <c r="AZ533" s="62">
        <f t="shared" ref="AZ533" si="6395">AY538</f>
        <v>70389</v>
      </c>
      <c r="BA533" s="62">
        <f t="shared" ref="BA533" si="6396">AZ538</f>
        <v>72984.260722750987</v>
      </c>
      <c r="BB533" s="62">
        <f t="shared" ref="BB533" si="6397">BA538</f>
        <v>74824.543680334085</v>
      </c>
      <c r="BC533" s="62">
        <f t="shared" ref="BC533" si="6398">BB538</f>
        <v>75846.045688262253</v>
      </c>
      <c r="BD533" s="62">
        <f t="shared" ref="BD533" si="6399">BC538</f>
        <v>75534.704939225208</v>
      </c>
      <c r="BE533" s="62">
        <f t="shared" ref="BE533" si="6400">BD538</f>
        <v>75616.658722733497</v>
      </c>
      <c r="BF533" s="62">
        <f t="shared" ref="BF533" si="6401">BE538</f>
        <v>75330.044065305992</v>
      </c>
      <c r="BG533" s="62">
        <f t="shared" ref="BG533:BK533" si="6402">BF538</f>
        <v>75426.962457227739</v>
      </c>
      <c r="BH533" s="62">
        <f t="shared" si="6402"/>
        <v>75258.117365588187</v>
      </c>
      <c r="BI533" s="62">
        <f t="shared" si="6402"/>
        <v>76412.472412577947</v>
      </c>
      <c r="BJ533" s="62">
        <f t="shared" si="6402"/>
        <v>77241.743055072002</v>
      </c>
      <c r="BK533" s="62">
        <f t="shared" si="6402"/>
        <v>78536.526407397148</v>
      </c>
      <c r="BL533" s="62">
        <f t="shared" ref="BL533" si="6403">BK538</f>
        <v>79781.318194242675</v>
      </c>
      <c r="BM533" s="62">
        <f t="shared" ref="BM533" si="6404">BL538</f>
        <v>81185.045267570182</v>
      </c>
      <c r="BN533" s="62">
        <f t="shared" ref="BN533" si="6405">BM538</f>
        <v>82351.528614379888</v>
      </c>
      <c r="BO533" s="62">
        <f t="shared" ref="BO533" si="6406">BN538</f>
        <v>83659.713843619917</v>
      </c>
      <c r="BP533" s="62">
        <f t="shared" ref="BP533" si="6407">BO538</f>
        <v>84771.233479223083</v>
      </c>
      <c r="BQ533" s="62">
        <f t="shared" ref="BQ533" si="6408">BP538</f>
        <v>86039.240898904609</v>
      </c>
      <c r="BR533" s="62"/>
      <c r="BS533" s="142">
        <f>3300.6+657.5-600</f>
        <v>3358.1</v>
      </c>
      <c r="BT533" s="62">
        <f t="shared" ref="BT533:CB533" si="6409">BS538</f>
        <v>3942.2999999999993</v>
      </c>
      <c r="BU533" s="62">
        <f t="shared" si="6409"/>
        <v>4489.0000000000009</v>
      </c>
      <c r="BV533" s="62">
        <f t="shared" si="6409"/>
        <v>4856</v>
      </c>
      <c r="BW533" s="62">
        <f t="shared" si="6409"/>
        <v>5700</v>
      </c>
      <c r="BX533" s="62">
        <f t="shared" si="6409"/>
        <v>6290</v>
      </c>
      <c r="BY533" s="62">
        <f t="shared" si="6409"/>
        <v>6943</v>
      </c>
      <c r="BZ533" s="62">
        <f t="shared" si="6409"/>
        <v>7690</v>
      </c>
      <c r="CA533" s="62">
        <f>BZ538</f>
        <v>8258</v>
      </c>
      <c r="CB533" s="62">
        <f t="shared" si="6409"/>
        <v>8421</v>
      </c>
      <c r="CC533" s="62">
        <f t="shared" ref="CC533:CS533" si="6410">CB538</f>
        <v>9012</v>
      </c>
      <c r="CD533" s="62">
        <f t="shared" si="6410"/>
        <v>10073</v>
      </c>
      <c r="CE533" s="62">
        <f t="shared" si="6410"/>
        <v>11558</v>
      </c>
      <c r="CF533" s="62">
        <f t="shared" si="6410"/>
        <v>17036</v>
      </c>
      <c r="CG533" s="62">
        <f t="shared" si="6410"/>
        <v>17653</v>
      </c>
      <c r="CH533" s="62">
        <f t="shared" si="6410"/>
        <v>19001</v>
      </c>
      <c r="CI533" s="62">
        <f t="shared" si="6410"/>
        <v>21139</v>
      </c>
      <c r="CJ533" s="62">
        <f>CI538</f>
        <v>25619</v>
      </c>
      <c r="CK533" s="62">
        <f>CJ538</f>
        <v>31493</v>
      </c>
      <c r="CL533" s="62">
        <f t="shared" si="6410"/>
        <v>33220</v>
      </c>
      <c r="CM533" s="62">
        <f t="shared" si="6410"/>
        <v>37035</v>
      </c>
      <c r="CN533" s="62">
        <f t="shared" si="6410"/>
        <v>40300</v>
      </c>
      <c r="CO533" s="62">
        <f t="shared" si="6410"/>
        <v>44670</v>
      </c>
      <c r="CP533" s="62">
        <f t="shared" si="6410"/>
        <v>48336</v>
      </c>
      <c r="CQ533" s="62">
        <f t="shared" si="6410"/>
        <v>57247</v>
      </c>
      <c r="CR533" s="62">
        <f t="shared" si="6410"/>
        <v>57818</v>
      </c>
      <c r="CS533" s="62">
        <f t="shared" si="6410"/>
        <v>58959</v>
      </c>
      <c r="CT533" s="62">
        <f t="shared" ref="CT533" si="6411">CS538</f>
        <v>59265</v>
      </c>
      <c r="CU533" s="62">
        <f t="shared" ref="CU533" si="6412">CT538</f>
        <v>60783</v>
      </c>
      <c r="CV533" s="62">
        <f t="shared" ref="CV533" si="6413">CU538</f>
        <v>61287</v>
      </c>
      <c r="CW533" s="62">
        <f t="shared" ref="CW533" si="6414">CV538</f>
        <v>63665</v>
      </c>
      <c r="CX533" s="62">
        <f t="shared" ref="CX533:DI533" si="6415">CW538</f>
        <v>65907</v>
      </c>
      <c r="CY533" s="62">
        <f t="shared" si="6415"/>
        <v>69495</v>
      </c>
      <c r="CZ533" s="220">
        <f t="shared" si="6415"/>
        <v>69086</v>
      </c>
      <c r="DA533" s="62">
        <f t="shared" si="6415"/>
        <v>70389</v>
      </c>
      <c r="DB533" s="62">
        <f t="shared" si="6415"/>
        <v>74824.543680334085</v>
      </c>
      <c r="DC533" s="62">
        <f t="shared" si="6415"/>
        <v>75534.704939225194</v>
      </c>
      <c r="DD533" s="62">
        <f t="shared" si="6415"/>
        <v>75330.044065305978</v>
      </c>
      <c r="DE533" s="62">
        <f t="shared" si="6415"/>
        <v>75258.117365588187</v>
      </c>
      <c r="DF533" s="62">
        <f t="shared" si="6415"/>
        <v>77241.743055071987</v>
      </c>
      <c r="DG533" s="62">
        <f t="shared" si="6415"/>
        <v>79781.318194242645</v>
      </c>
      <c r="DH533" s="62">
        <f t="shared" si="6415"/>
        <v>82351.528614379844</v>
      </c>
      <c r="DI533" s="62">
        <f t="shared" si="6415"/>
        <v>84771.233479223039</v>
      </c>
    </row>
    <row r="534" spans="1:113" ht="12" outlineLevel="1">
      <c r="A534" s="1" t="s">
        <v>978</v>
      </c>
      <c r="B534" s="15" t="s">
        <v>242</v>
      </c>
      <c r="C534" s="41">
        <f t="shared" ref="C534:L534" si="6416">C529</f>
        <v>905</v>
      </c>
      <c r="D534" s="41">
        <f t="shared" si="6416"/>
        <v>907</v>
      </c>
      <c r="E534" s="41">
        <f t="shared" si="6416"/>
        <v>1316.9999999999998</v>
      </c>
      <c r="F534" s="41">
        <f t="shared" si="6416"/>
        <v>1092.0000000000002</v>
      </c>
      <c r="G534" s="41">
        <f t="shared" si="6416"/>
        <v>900</v>
      </c>
      <c r="H534" s="41">
        <f t="shared" si="6416"/>
        <v>1323</v>
      </c>
      <c r="I534" s="41">
        <f t="shared" si="6416"/>
        <v>2019.0000000000007</v>
      </c>
      <c r="J534" s="41">
        <f t="shared" si="6416"/>
        <v>970.00000000000045</v>
      </c>
      <c r="K534" s="41">
        <f t="shared" si="6416"/>
        <v>1431.9999999999995</v>
      </c>
      <c r="L534" s="41">
        <f t="shared" si="6416"/>
        <v>1294.9999999999995</v>
      </c>
      <c r="M534" s="41">
        <f t="shared" ref="M534:AC534" si="6417">M529</f>
        <v>1930</v>
      </c>
      <c r="N534" s="41">
        <f t="shared" si="6417"/>
        <v>2127.9999999999995</v>
      </c>
      <c r="O534" s="41">
        <f t="shared" si="6417"/>
        <v>1735</v>
      </c>
      <c r="P534" s="41">
        <f t="shared" si="6417"/>
        <v>1835.0000000000007</v>
      </c>
      <c r="Q534" s="41">
        <f t="shared" si="6417"/>
        <v>1554.0000000000005</v>
      </c>
      <c r="R534" s="41">
        <f t="shared" si="6417"/>
        <v>1756</v>
      </c>
      <c r="S534" s="41">
        <f t="shared" si="6417"/>
        <v>41</v>
      </c>
      <c r="T534" s="41">
        <f t="shared" si="6417"/>
        <v>1390</v>
      </c>
      <c r="U534" s="41">
        <f t="shared" si="6417"/>
        <v>2280</v>
      </c>
      <c r="V534" s="41">
        <f t="shared" si="6417"/>
        <v>2127</v>
      </c>
      <c r="W534" s="41">
        <f t="shared" si="6417"/>
        <v>3734</v>
      </c>
      <c r="X534" s="41">
        <f t="shared" si="6417"/>
        <v>2598</v>
      </c>
      <c r="Y534" s="41">
        <f>Y529</f>
        <v>2642</v>
      </c>
      <c r="Z534" s="41">
        <f t="shared" si="6417"/>
        <v>2826</v>
      </c>
      <c r="AA534" s="41">
        <f t="shared" si="6417"/>
        <v>5009</v>
      </c>
      <c r="AB534" s="41">
        <f t="shared" si="6417"/>
        <v>4000</v>
      </c>
      <c r="AC534" s="41">
        <f t="shared" si="6417"/>
        <v>3976</v>
      </c>
      <c r="AD534" s="41">
        <f t="shared" ref="AD534" si="6418">AD529</f>
        <v>6078</v>
      </c>
      <c r="AE534" s="41">
        <f t="shared" ref="AE534:AF534" si="6419">AE529</f>
        <v>6612</v>
      </c>
      <c r="AF534" s="41">
        <f t="shared" si="6419"/>
        <v>1569</v>
      </c>
      <c r="AG534" s="41">
        <f t="shared" ref="AG534:AH534" si="6420">AG529</f>
        <v>3605</v>
      </c>
      <c r="AH534" s="41">
        <f t="shared" si="6420"/>
        <v>2002</v>
      </c>
      <c r="AI534" s="41">
        <f t="shared" ref="AI534:AJ534" si="6421">AI529</f>
        <v>3425</v>
      </c>
      <c r="AJ534" s="41">
        <f t="shared" si="6421"/>
        <v>3878</v>
      </c>
      <c r="AK534" s="41">
        <f t="shared" ref="AK534:AL534" si="6422">AK529</f>
        <v>2982</v>
      </c>
      <c r="AL534" s="41">
        <f t="shared" si="6422"/>
        <v>3967</v>
      </c>
      <c r="AM534" s="41">
        <f t="shared" ref="AM534:AN534" si="6423">AM529</f>
        <v>3152</v>
      </c>
      <c r="AN534" s="41">
        <f t="shared" si="6423"/>
        <v>2859</v>
      </c>
      <c r="AO534" s="41">
        <f t="shared" ref="AO534" si="6424">AO529</f>
        <v>527</v>
      </c>
      <c r="AP534" s="41">
        <f t="shared" ref="AP534:AQ534" si="6425">AP529</f>
        <v>2168</v>
      </c>
      <c r="AQ534" s="41">
        <f t="shared" si="6425"/>
        <v>3685</v>
      </c>
      <c r="AR534" s="41">
        <f t="shared" ref="AR534:AS534" si="6426">AR529</f>
        <v>969</v>
      </c>
      <c r="AS534" s="41">
        <f t="shared" si="6426"/>
        <v>5924</v>
      </c>
      <c r="AT534" s="41">
        <f t="shared" ref="AT534:AU534" si="6427">AT529</f>
        <v>5074</v>
      </c>
      <c r="AU534" s="41">
        <f t="shared" si="6427"/>
        <v>2815</v>
      </c>
      <c r="AV534" s="41">
        <f t="shared" ref="AV534:AW534" si="6428">AV529</f>
        <v>2876</v>
      </c>
      <c r="AW534" s="41">
        <f t="shared" si="6428"/>
        <v>2586</v>
      </c>
      <c r="AX534" s="41">
        <f t="shared" ref="AX534:AY534" si="6429">AX529</f>
        <v>4224</v>
      </c>
      <c r="AY534" s="211">
        <f t="shared" si="6429"/>
        <v>1953</v>
      </c>
      <c r="AZ534" s="41">
        <f t="shared" ref="AZ534:BA534" si="6430">AZ529</f>
        <v>4328.6859473309851</v>
      </c>
      <c r="BA534" s="41">
        <f t="shared" si="6430"/>
        <v>3649.5323907321585</v>
      </c>
      <c r="BB534" s="41">
        <f t="shared" ref="BB534:BC534" si="6431">BB529</f>
        <v>3746.0262888439729</v>
      </c>
      <c r="BC534" s="41">
        <f t="shared" si="6431"/>
        <v>3443.4560238889399</v>
      </c>
      <c r="BD534" s="41">
        <f t="shared" ref="BD534:BE534" si="6432">BD529</f>
        <v>3843.2806702929279</v>
      </c>
      <c r="BE534" s="41">
        <f t="shared" si="6432"/>
        <v>3511.5269173154234</v>
      </c>
      <c r="BF534" s="41">
        <f t="shared" ref="BF534:BG534" si="6433">BF529</f>
        <v>3931.9074803596945</v>
      </c>
      <c r="BG534" s="41">
        <f t="shared" si="6433"/>
        <v>3703.0432714046065</v>
      </c>
      <c r="BH534" s="41">
        <f t="shared" ref="BH534:BI534" si="6434">BH529</f>
        <v>4063.2116895204526</v>
      </c>
      <c r="BI534" s="41">
        <f t="shared" si="6434"/>
        <v>3796.3044178753607</v>
      </c>
      <c r="BJ534" s="41">
        <f t="shared" ref="BJ534:BK534" si="6435">BJ529</f>
        <v>4319.9942605570686</v>
      </c>
      <c r="BK534" s="41">
        <f t="shared" si="6435"/>
        <v>4328.1798279280592</v>
      </c>
      <c r="BL534" s="41">
        <f t="shared" ref="BL534:BM534" si="6436">BL529</f>
        <v>4545.2922472606579</v>
      </c>
      <c r="BM534" s="41">
        <f t="shared" si="6436"/>
        <v>4366.2256535934766</v>
      </c>
      <c r="BN534" s="41">
        <f t="shared" ref="BN534:BO534" si="6437">BN529</f>
        <v>4566.1046688744091</v>
      </c>
      <c r="BO534" s="41">
        <f t="shared" si="6437"/>
        <v>4427.6162080881677</v>
      </c>
      <c r="BP534" s="41">
        <f t="shared" ref="BP534:BQ534" si="6438">BP529</f>
        <v>4642.2811250171344</v>
      </c>
      <c r="BQ534" s="41">
        <f t="shared" si="6438"/>
        <v>4543.8090121218265</v>
      </c>
      <c r="BR534" s="41"/>
      <c r="BS534" s="41">
        <f t="shared" ref="BS534:CB534" si="6439">BS529</f>
        <v>727.49999999999932</v>
      </c>
      <c r="BT534" s="41">
        <f t="shared" si="6439"/>
        <v>700.50000000000057</v>
      </c>
      <c r="BU534" s="41">
        <f t="shared" si="6439"/>
        <v>714.99999999999909</v>
      </c>
      <c r="BV534" s="41">
        <f t="shared" si="6439"/>
        <v>1262</v>
      </c>
      <c r="BW534" s="41">
        <f t="shared" si="6439"/>
        <v>1021</v>
      </c>
      <c r="BX534" s="41">
        <f t="shared" si="6439"/>
        <v>1128</v>
      </c>
      <c r="BY534" s="41">
        <f t="shared" si="6439"/>
        <v>1248</v>
      </c>
      <c r="BZ534" s="41">
        <f t="shared" si="6439"/>
        <v>1265</v>
      </c>
      <c r="CA534" s="41">
        <f t="shared" si="6439"/>
        <v>1948</v>
      </c>
      <c r="CB534" s="41">
        <f t="shared" si="6439"/>
        <v>2067</v>
      </c>
      <c r="CC534" s="41">
        <f>SUM(D534:E534)</f>
        <v>2224</v>
      </c>
      <c r="CD534" s="41">
        <f>SUM(F534:G534)</f>
        <v>1992.0000000000002</v>
      </c>
      <c r="CE534" s="41">
        <f>SUM(H534:I534)</f>
        <v>3342.0000000000009</v>
      </c>
      <c r="CF534" s="41">
        <f>SUM(J534:K534)</f>
        <v>2402</v>
      </c>
      <c r="CG534" s="41">
        <f>SUM(L534:M534)</f>
        <v>3224.9999999999995</v>
      </c>
      <c r="CH534" s="41">
        <f>SUM(N534:O534)</f>
        <v>3862.9999999999995</v>
      </c>
      <c r="CI534" s="41">
        <f>SUM(P534:Q534)</f>
        <v>3389.0000000000009</v>
      </c>
      <c r="CJ534" s="41">
        <f>SUM(R534:S534)</f>
        <v>1797</v>
      </c>
      <c r="CK534" s="41">
        <f>SUM(T534:U534)</f>
        <v>3670</v>
      </c>
      <c r="CL534" s="41">
        <f>SUM(V534:W534)</f>
        <v>5861</v>
      </c>
      <c r="CM534" s="41">
        <f>SUM(X534:Y534)</f>
        <v>5240</v>
      </c>
      <c r="CN534" s="41">
        <f>SUM(Z534:AA534)</f>
        <v>7835</v>
      </c>
      <c r="CO534" s="41">
        <f>SUM(AB534:AC534)</f>
        <v>7976</v>
      </c>
      <c r="CP534" s="41">
        <f>SUM(AD534:AE534)</f>
        <v>12690</v>
      </c>
      <c r="CQ534" s="41">
        <f>SUM(AF534:AG534)</f>
        <v>5174</v>
      </c>
      <c r="CR534" s="41">
        <f>SUM(AH534:AI534)</f>
        <v>5427</v>
      </c>
      <c r="CS534" s="41">
        <f>SUM(AJ534:AK534)</f>
        <v>6860</v>
      </c>
      <c r="CT534" s="41">
        <f>SUM(AL534:AM534)</f>
        <v>7119</v>
      </c>
      <c r="CU534" s="41">
        <f>SUM(AN534:AO534)</f>
        <v>3386</v>
      </c>
      <c r="CV534" s="41">
        <f>SUM(AP534:AQ534)</f>
        <v>5853</v>
      </c>
      <c r="CW534" s="41">
        <f>SUM(AR534:AS534)</f>
        <v>6893</v>
      </c>
      <c r="CX534" s="41">
        <f>SUM(AT534:AU534)</f>
        <v>7889</v>
      </c>
      <c r="CY534" s="41">
        <f>SUM(AV534:AW534)</f>
        <v>5462</v>
      </c>
      <c r="CZ534" s="211">
        <f>SUM(AX534:AY534)</f>
        <v>6177</v>
      </c>
      <c r="DA534" s="41">
        <f>SUM(AZ534:BA534)</f>
        <v>7978.2183380631432</v>
      </c>
      <c r="DB534" s="41">
        <f>SUM(BB534:BC534)</f>
        <v>7189.4823127329128</v>
      </c>
      <c r="DC534" s="41">
        <f>SUM(BD534:BE534)</f>
        <v>7354.8075876083512</v>
      </c>
      <c r="DD534" s="41">
        <f>SUM(BF534:BG534)</f>
        <v>7634.9507517643015</v>
      </c>
      <c r="DE534" s="41">
        <f>SUM(BH534:BI534)</f>
        <v>7859.5161073958134</v>
      </c>
      <c r="DF534" s="41">
        <f>SUM(BJ534:BK534)</f>
        <v>8648.1740884851279</v>
      </c>
      <c r="DG534" s="41">
        <f>SUM(BL534:BM534)</f>
        <v>8911.5179008541345</v>
      </c>
      <c r="DH534" s="41">
        <f>SUM(BN534:BO534)</f>
        <v>8993.7208769625759</v>
      </c>
      <c r="DI534" s="41">
        <f>SUM(BP534:BQ534)</f>
        <v>9186.0901371389609</v>
      </c>
    </row>
    <row r="535" spans="1:113" ht="12" outlineLevel="1">
      <c r="A535" s="1" t="s">
        <v>1004</v>
      </c>
      <c r="B535" s="15" t="s">
        <v>245</v>
      </c>
      <c r="C535" s="40">
        <v>-583</v>
      </c>
      <c r="D535" s="40">
        <v>-571</v>
      </c>
      <c r="E535" s="40">
        <f>-1252-D535</f>
        <v>-681</v>
      </c>
      <c r="F535" s="40">
        <v>13</v>
      </c>
      <c r="G535" s="40">
        <f>-641-F535</f>
        <v>-654</v>
      </c>
      <c r="H535" s="40">
        <v>-762</v>
      </c>
      <c r="I535" s="40">
        <f>-1598-H535</f>
        <v>-836</v>
      </c>
      <c r="J535" s="40">
        <v>-964</v>
      </c>
      <c r="K535" s="40">
        <v>-913</v>
      </c>
      <c r="L535" s="40">
        <v>-1060</v>
      </c>
      <c r="M535" s="40">
        <v>-1008</v>
      </c>
      <c r="N535" s="40">
        <v>-1248</v>
      </c>
      <c r="O535" s="40">
        <v>-1115</v>
      </c>
      <c r="P535" s="40">
        <v>-1344</v>
      </c>
      <c r="Q535" s="40">
        <v>-1162</v>
      </c>
      <c r="R535" s="40">
        <v>-1476</v>
      </c>
      <c r="S535" s="40">
        <v>-976</v>
      </c>
      <c r="T535" s="40">
        <v>-1374</v>
      </c>
      <c r="U535" s="40">
        <v>-1293</v>
      </c>
      <c r="V535" s="40">
        <v>-1860</v>
      </c>
      <c r="W535" s="40">
        <v>-1631</v>
      </c>
      <c r="X535" s="40">
        <v>-1955</v>
      </c>
      <c r="Y535" s="40">
        <v>-1736</v>
      </c>
      <c r="Z535" s="141">
        <v>-2115</v>
      </c>
      <c r="AA535" s="141">
        <v>-1967</v>
      </c>
      <c r="AB535" s="141">
        <v>-2455</v>
      </c>
      <c r="AC535" s="141">
        <v>-2239</v>
      </c>
      <c r="AD535" s="141">
        <v>-2578</v>
      </c>
      <c r="AE535" s="141">
        <v>-2328</v>
      </c>
      <c r="AF535" s="141">
        <v>-2711</v>
      </c>
      <c r="AG535" s="141">
        <v>-2290</v>
      </c>
      <c r="AH535" s="141">
        <v>-2300</v>
      </c>
      <c r="AI535" s="141">
        <v>-2309</v>
      </c>
      <c r="AJ535" s="141">
        <v>-2308</v>
      </c>
      <c r="AK535" s="141">
        <v>-2277</v>
      </c>
      <c r="AL535" s="141">
        <v>-2254</v>
      </c>
      <c r="AM535" s="141">
        <v>-2227</v>
      </c>
      <c r="AN535" s="141">
        <v>-2228</v>
      </c>
      <c r="AO535" s="141">
        <v>-694</v>
      </c>
      <c r="AP535" s="141">
        <v>-973</v>
      </c>
      <c r="AQ535" s="141">
        <f>-2928-AP535</f>
        <v>-1955</v>
      </c>
      <c r="AR535" s="141">
        <v>-1994</v>
      </c>
      <c r="AS535" s="141">
        <f>-3967-AR535</f>
        <v>-1973</v>
      </c>
      <c r="AT535" s="141">
        <v>-2185</v>
      </c>
      <c r="AU535" s="141">
        <f>-4586-AT535</f>
        <v>-2401</v>
      </c>
      <c r="AV535" s="141">
        <v>-2784</v>
      </c>
      <c r="AW535" s="141">
        <f>-5252-AV535</f>
        <v>-2468</v>
      </c>
      <c r="AX535" s="141">
        <v>-2446</v>
      </c>
      <c r="AY535" s="226">
        <f>-4573-AX535</f>
        <v>-2127</v>
      </c>
      <c r="AZ535" s="41">
        <f t="shared" ref="AZ535" si="6440">-AY543*AY135</f>
        <v>-2476.3217494</v>
      </c>
      <c r="BA535" s="41">
        <f t="shared" ref="BA535" si="6441">-AZ543*AZ135</f>
        <v>-2584.6420473558155</v>
      </c>
      <c r="BB535" s="41">
        <f t="shared" ref="BB535" si="6442">-BA543*BA135</f>
        <v>-2724.5242809158135</v>
      </c>
      <c r="BC535" s="41">
        <f t="shared" ref="BC535" si="6443">-BB543*BB135</f>
        <v>-2754.7967729259894</v>
      </c>
      <c r="BD535" s="41">
        <f t="shared" ref="BD535" si="6444">-BC543*BC135</f>
        <v>-2761.3268867846368</v>
      </c>
      <c r="BE535" s="41">
        <f t="shared" ref="BE535" si="6445">-BD543*BD135</f>
        <v>-2798.1415747429228</v>
      </c>
      <c r="BF535" s="41">
        <f t="shared" ref="BF535" si="6446">-BE543*BE135</f>
        <v>-2834.9890884379479</v>
      </c>
      <c r="BG535" s="41">
        <f t="shared" ref="BG535:BK535" si="6447">-BF543*BF135</f>
        <v>-2871.8883630441555</v>
      </c>
      <c r="BH535" s="41">
        <f t="shared" si="6447"/>
        <v>-2908.8566425306994</v>
      </c>
      <c r="BI535" s="41">
        <f t="shared" si="6447"/>
        <v>-2967.0337753813133</v>
      </c>
      <c r="BJ535" s="41">
        <f t="shared" si="6447"/>
        <v>-3025.2109082319275</v>
      </c>
      <c r="BK535" s="41">
        <f t="shared" si="6447"/>
        <v>-3083.3880410825413</v>
      </c>
      <c r="BL535" s="41">
        <f t="shared" ref="BL535" si="6448">-BK543*BK135</f>
        <v>-3141.5651739331556</v>
      </c>
      <c r="BM535" s="41">
        <f>-BL543*BL135</f>
        <v>-3199.7423067837694</v>
      </c>
      <c r="BN535" s="41">
        <f>-BM543*BM135</f>
        <v>-3257.9194396343837</v>
      </c>
      <c r="BO535" s="41">
        <f>-BN543*BN135</f>
        <v>-3316.0965724849975</v>
      </c>
      <c r="BP535" s="41">
        <f>-BO543*BO135</f>
        <v>-3374.2737053356118</v>
      </c>
      <c r="BQ535" s="41">
        <f>-BP543*BP135</f>
        <v>-3432.4508381862256</v>
      </c>
      <c r="BR535" s="41"/>
      <c r="BS535" s="40">
        <f>-202.8</f>
        <v>-202.8</v>
      </c>
      <c r="BT535" s="40">
        <f>-224.5</f>
        <v>-224.5</v>
      </c>
      <c r="BU535" s="40">
        <v>-313</v>
      </c>
      <c r="BV535" s="40">
        <v>-424</v>
      </c>
      <c r="BW535" s="40">
        <v>-584</v>
      </c>
      <c r="BX535" s="40">
        <v>-695</v>
      </c>
      <c r="BY535" s="40">
        <v>-747</v>
      </c>
      <c r="BZ535" s="40">
        <v>-814</v>
      </c>
      <c r="CA535" s="40">
        <v>-941</v>
      </c>
      <c r="CB535" s="40">
        <v>-1062</v>
      </c>
      <c r="CC535" s="41">
        <f>SUM(D535:E535)</f>
        <v>-1252</v>
      </c>
      <c r="CD535" s="41">
        <f>SUM(F535:G535)</f>
        <v>-641</v>
      </c>
      <c r="CE535" s="41">
        <f>SUM(H535:I535)</f>
        <v>-1598</v>
      </c>
      <c r="CF535" s="41">
        <f>SUM(J535:K535)</f>
        <v>-1877</v>
      </c>
      <c r="CG535" s="41">
        <f>SUM(L535:M535)</f>
        <v>-2068</v>
      </c>
      <c r="CH535" s="41">
        <f>SUM(N535:O535)</f>
        <v>-2363</v>
      </c>
      <c r="CI535" s="41">
        <f>SUM(P535:Q535)</f>
        <v>-2506</v>
      </c>
      <c r="CJ535" s="41">
        <f>SUM(R535:S535)</f>
        <v>-2452</v>
      </c>
      <c r="CK535" s="41">
        <f>SUM(T535:U535)</f>
        <v>-2667</v>
      </c>
      <c r="CL535" s="41">
        <f>SUM(V535:W535)</f>
        <v>-3491</v>
      </c>
      <c r="CM535" s="41">
        <f>SUM(X535:Y535)</f>
        <v>-3691</v>
      </c>
      <c r="CN535" s="41">
        <f>SUM(Z535:AA535)</f>
        <v>-4082</v>
      </c>
      <c r="CO535" s="41">
        <f>SUM(AB535:AC535)</f>
        <v>-4694</v>
      </c>
      <c r="CP535" s="41">
        <f>SUM(AD535:AE535)</f>
        <v>-4906</v>
      </c>
      <c r="CQ535" s="41">
        <f>SUM(AF535:AG535)</f>
        <v>-5001</v>
      </c>
      <c r="CR535" s="41">
        <f>SUM(AH535:AI535)</f>
        <v>-4609</v>
      </c>
      <c r="CS535" s="41">
        <f>SUM(AJ535:AK535)</f>
        <v>-4585</v>
      </c>
      <c r="CT535" s="41">
        <f>SUM(AL535:AM535)</f>
        <v>-4481</v>
      </c>
      <c r="CU535" s="41">
        <f>SUM(AN535:AO535)</f>
        <v>-2922</v>
      </c>
      <c r="CV535" s="41">
        <f>SUM(AP535:AQ535)</f>
        <v>-2928</v>
      </c>
      <c r="CW535" s="41">
        <f>SUM(AR535:AS535)</f>
        <v>-3967</v>
      </c>
      <c r="CX535" s="41">
        <f>SUM(AT535:AU535)</f>
        <v>-4586</v>
      </c>
      <c r="CY535" s="41">
        <f>SUM(AV535:AW535)</f>
        <v>-5252</v>
      </c>
      <c r="CZ535" s="211">
        <f>SUM(AX535:AY535)</f>
        <v>-4573</v>
      </c>
      <c r="DA535" s="41">
        <f>SUM(AZ535:BA535)</f>
        <v>-5060.9637967558156</v>
      </c>
      <c r="DB535" s="41">
        <f>SUM(BB535:BC535)</f>
        <v>-5479.3210538418025</v>
      </c>
      <c r="DC535" s="41">
        <f>SUM(BD535:BE535)</f>
        <v>-5559.4684615275601</v>
      </c>
      <c r="DD535" s="41">
        <f>SUM(BF535:BG535)</f>
        <v>-5706.8774514821034</v>
      </c>
      <c r="DE535" s="41">
        <f>SUM(BH535:BI535)</f>
        <v>-5875.8904179120127</v>
      </c>
      <c r="DF535" s="41">
        <f>SUM(BJ535:BK535)</f>
        <v>-6108.5989493144689</v>
      </c>
      <c r="DG535" s="41">
        <f>SUM(BL535:BM535)</f>
        <v>-6341.3074807169251</v>
      </c>
      <c r="DH535" s="41">
        <f>SUM(BN535:BO535)</f>
        <v>-6574.0160121193812</v>
      </c>
      <c r="DI535" s="41">
        <f>SUM(BP535:BQ535)</f>
        <v>-6806.7245435218374</v>
      </c>
    </row>
    <row r="536" spans="1:113" ht="12" outlineLevel="1">
      <c r="A536" s="1" t="s">
        <v>1005</v>
      </c>
      <c r="B536" s="15" t="str">
        <f>B499</f>
        <v>Preference dividend</v>
      </c>
      <c r="C536" s="41">
        <f t="shared" ref="C536:L536" si="6449">-C522</f>
        <v>-60</v>
      </c>
      <c r="D536" s="41">
        <f t="shared" si="6449"/>
        <v>-60</v>
      </c>
      <c r="E536" s="41">
        <f t="shared" si="6449"/>
        <v>-57</v>
      </c>
      <c r="F536" s="41">
        <f t="shared" si="6449"/>
        <v>-54</v>
      </c>
      <c r="G536" s="41">
        <f t="shared" si="6449"/>
        <v>-48</v>
      </c>
      <c r="H536" s="41">
        <f t="shared" si="6449"/>
        <v>-64</v>
      </c>
      <c r="I536" s="41">
        <f t="shared" si="6449"/>
        <v>-34</v>
      </c>
      <c r="J536" s="41">
        <f t="shared" si="6449"/>
        <v>-6</v>
      </c>
      <c r="K536" s="41">
        <f t="shared" si="6449"/>
        <v>-12</v>
      </c>
      <c r="L536" s="41">
        <f t="shared" si="6449"/>
        <v>-12</v>
      </c>
      <c r="M536" s="41">
        <f t="shared" ref="M536:AD536" si="6450">-M522</f>
        <v>-15</v>
      </c>
      <c r="N536" s="41">
        <f t="shared" si="6450"/>
        <v>-17</v>
      </c>
      <c r="O536" s="41">
        <f t="shared" si="6450"/>
        <v>-20</v>
      </c>
      <c r="P536" s="41">
        <f t="shared" si="6450"/>
        <v>-23</v>
      </c>
      <c r="Q536" s="41">
        <f t="shared" si="6450"/>
        <v>-23</v>
      </c>
      <c r="R536" s="41">
        <f t="shared" si="6450"/>
        <v>-24</v>
      </c>
      <c r="S536" s="41">
        <f t="shared" si="6450"/>
        <v>-9</v>
      </c>
      <c r="T536" s="41">
        <f t="shared" si="6450"/>
        <v>-6</v>
      </c>
      <c r="U536" s="41">
        <f t="shared" si="6450"/>
        <v>-5</v>
      </c>
      <c r="V536" s="41">
        <f t="shared" si="6450"/>
        <v>-6</v>
      </c>
      <c r="W536" s="41">
        <f t="shared" si="6450"/>
        <v>-6</v>
      </c>
      <c r="X536" s="41">
        <f t="shared" si="6450"/>
        <v>-7</v>
      </c>
      <c r="Y536" s="41">
        <f t="shared" si="6450"/>
        <v>-4</v>
      </c>
      <c r="Z536" s="41">
        <f t="shared" si="6450"/>
        <v>-3</v>
      </c>
      <c r="AA536" s="41">
        <f t="shared" si="6450"/>
        <v>-3</v>
      </c>
      <c r="AB536" s="41">
        <f t="shared" si="6450"/>
        <v>-3</v>
      </c>
      <c r="AC536" s="41">
        <f t="shared" si="6450"/>
        <v>-3</v>
      </c>
      <c r="AD536" s="41">
        <f t="shared" si="6450"/>
        <v>-1</v>
      </c>
      <c r="AE536" s="41">
        <f t="shared" ref="AE536:AF536" si="6451">-AE522</f>
        <v>0</v>
      </c>
      <c r="AF536" s="41">
        <f t="shared" si="6451"/>
        <v>0</v>
      </c>
      <c r="AG536" s="41">
        <f t="shared" ref="AG536:AH536" si="6452">-AG522</f>
        <v>0</v>
      </c>
      <c r="AH536" s="41">
        <f t="shared" si="6452"/>
        <v>0</v>
      </c>
      <c r="AI536" s="41">
        <f t="shared" ref="AI536:AJ536" si="6453">-AI522</f>
        <v>0</v>
      </c>
      <c r="AJ536" s="41">
        <f t="shared" si="6453"/>
        <v>0</v>
      </c>
      <c r="AK536" s="41">
        <f t="shared" ref="AK536:AL536" si="6454">-AK522</f>
        <v>0</v>
      </c>
      <c r="AL536" s="41">
        <f t="shared" si="6454"/>
        <v>0</v>
      </c>
      <c r="AM536" s="41">
        <f t="shared" ref="AM536:AN536" si="6455">-AM522</f>
        <v>0</v>
      </c>
      <c r="AN536" s="41">
        <f t="shared" si="6455"/>
        <v>0</v>
      </c>
      <c r="AO536" s="41">
        <f t="shared" ref="AO536" si="6456">-AO522</f>
        <v>0</v>
      </c>
      <c r="AP536" s="41">
        <f t="shared" ref="AP536:AQ536" si="6457">-AP522</f>
        <v>0</v>
      </c>
      <c r="AQ536" s="41">
        <f t="shared" si="6457"/>
        <v>0</v>
      </c>
      <c r="AR536" s="41">
        <f t="shared" ref="AR536:AS536" si="6458">-AR522</f>
        <v>0</v>
      </c>
      <c r="AS536" s="41">
        <f t="shared" si="6458"/>
        <v>0</v>
      </c>
      <c r="AT536" s="41">
        <f t="shared" ref="AT536:AU536" si="6459">-AT522</f>
        <v>0</v>
      </c>
      <c r="AU536" s="41">
        <f t="shared" si="6459"/>
        <v>0</v>
      </c>
      <c r="AV536" s="41">
        <f t="shared" ref="AV536:AW536" si="6460">-AV522</f>
        <v>0</v>
      </c>
      <c r="AW536" s="41">
        <f t="shared" si="6460"/>
        <v>0</v>
      </c>
      <c r="AX536" s="41">
        <f t="shared" ref="AX536:AY536" si="6461">-AX522</f>
        <v>0</v>
      </c>
      <c r="AY536" s="211">
        <f t="shared" si="6461"/>
        <v>0</v>
      </c>
      <c r="AZ536" s="41">
        <f t="shared" ref="AZ536:BA536" si="6462">-AZ522</f>
        <v>0</v>
      </c>
      <c r="BA536" s="41">
        <f t="shared" si="6462"/>
        <v>0</v>
      </c>
      <c r="BB536" s="41">
        <f t="shared" ref="BB536:BC536" si="6463">-BB522</f>
        <v>0</v>
      </c>
      <c r="BC536" s="41">
        <f t="shared" si="6463"/>
        <v>0</v>
      </c>
      <c r="BD536" s="41">
        <f t="shared" ref="BD536:BE536" si="6464">-BD522</f>
        <v>0</v>
      </c>
      <c r="BE536" s="41">
        <f t="shared" si="6464"/>
        <v>0</v>
      </c>
      <c r="BF536" s="41">
        <f t="shared" ref="BF536:BG536" si="6465">-BF522</f>
        <v>0</v>
      </c>
      <c r="BG536" s="41">
        <f t="shared" si="6465"/>
        <v>0</v>
      </c>
      <c r="BH536" s="41">
        <f t="shared" ref="BH536:BI536" si="6466">-BH522</f>
        <v>0</v>
      </c>
      <c r="BI536" s="41">
        <f t="shared" si="6466"/>
        <v>0</v>
      </c>
      <c r="BJ536" s="41">
        <f t="shared" ref="BJ536:BK536" si="6467">-BJ522</f>
        <v>0</v>
      </c>
      <c r="BK536" s="41">
        <f t="shared" si="6467"/>
        <v>0</v>
      </c>
      <c r="BL536" s="41">
        <f t="shared" ref="BL536:BM536" si="6468">-BL522</f>
        <v>0</v>
      </c>
      <c r="BM536" s="41">
        <f t="shared" si="6468"/>
        <v>0</v>
      </c>
      <c r="BN536" s="41">
        <f t="shared" ref="BN536:BO536" si="6469">-BN522</f>
        <v>0</v>
      </c>
      <c r="BO536" s="41">
        <f t="shared" si="6469"/>
        <v>0</v>
      </c>
      <c r="BP536" s="41">
        <f t="shared" ref="BP536:BQ536" si="6470">-BP522</f>
        <v>0</v>
      </c>
      <c r="BQ536" s="41">
        <f t="shared" si="6470"/>
        <v>0</v>
      </c>
      <c r="BR536" s="41"/>
      <c r="BS536" s="41">
        <f t="shared" ref="BS536:CB536" si="6471">-BS522</f>
        <v>-79.400000000000006</v>
      </c>
      <c r="BT536" s="41">
        <f t="shared" si="6471"/>
        <v>-79.400000000000006</v>
      </c>
      <c r="BU536" s="41">
        <f t="shared" si="6471"/>
        <v>-80</v>
      </c>
      <c r="BV536" s="41">
        <f t="shared" si="6471"/>
        <v>-80</v>
      </c>
      <c r="BW536" s="41">
        <f t="shared" si="6471"/>
        <v>0</v>
      </c>
      <c r="BX536" s="41">
        <f t="shared" si="6471"/>
        <v>0</v>
      </c>
      <c r="BY536" s="41">
        <f t="shared" si="6471"/>
        <v>0</v>
      </c>
      <c r="BZ536" s="41">
        <f t="shared" si="6471"/>
        <v>-72</v>
      </c>
      <c r="CA536" s="41">
        <f t="shared" si="6471"/>
        <v>-102</v>
      </c>
      <c r="CB536" s="41">
        <f t="shared" si="6471"/>
        <v>-119</v>
      </c>
      <c r="CC536" s="41">
        <f>SUM(D536:E536)</f>
        <v>-117</v>
      </c>
      <c r="CD536" s="41">
        <f>SUM(F536:G536)</f>
        <v>-102</v>
      </c>
      <c r="CE536" s="41">
        <f>SUM(H536:I536)</f>
        <v>-98</v>
      </c>
      <c r="CF536" s="41">
        <f>SUM(J536:K536)</f>
        <v>-18</v>
      </c>
      <c r="CG536" s="41">
        <f>SUM(L536:M536)</f>
        <v>-27</v>
      </c>
      <c r="CH536" s="41">
        <f>SUM(N536:O536)</f>
        <v>-37</v>
      </c>
      <c r="CI536" s="41">
        <f>SUM(P536:Q536)</f>
        <v>-46</v>
      </c>
      <c r="CJ536" s="41">
        <f>SUM(R536:S536)</f>
        <v>-33</v>
      </c>
      <c r="CK536" s="41">
        <f>SUM(T536:U536)</f>
        <v>-11</v>
      </c>
      <c r="CL536" s="41">
        <f>SUM(V536:W536)</f>
        <v>-12</v>
      </c>
      <c r="CM536" s="41">
        <f>SUM(X536:Y536)</f>
        <v>-11</v>
      </c>
      <c r="CN536" s="41">
        <f>SUM(Z536:AA536)</f>
        <v>-6</v>
      </c>
      <c r="CO536" s="41">
        <f>SUM(AB536:AC536)</f>
        <v>-6</v>
      </c>
      <c r="CP536" s="41">
        <f>SUM(AD536:AE536)</f>
        <v>-1</v>
      </c>
      <c r="CQ536" s="41">
        <f>SUM(AF536:AG536)</f>
        <v>0</v>
      </c>
      <c r="CR536" s="41">
        <f>SUM(AH536:AI536)</f>
        <v>0</v>
      </c>
      <c r="CS536" s="41">
        <f>SUM(AJ536:AK536)</f>
        <v>0</v>
      </c>
      <c r="CT536" s="41">
        <f>SUM(AL536:AM536)</f>
        <v>0</v>
      </c>
      <c r="CU536" s="41">
        <f>SUM(AN536:AO536)</f>
        <v>0</v>
      </c>
      <c r="CV536" s="41">
        <f>SUM(AP536:AQ536)</f>
        <v>0</v>
      </c>
      <c r="CW536" s="41">
        <f>SUM(AR536:AS536)</f>
        <v>0</v>
      </c>
      <c r="CX536" s="41">
        <f>SUM(AT536:AU536)</f>
        <v>0</v>
      </c>
      <c r="CY536" s="41">
        <f>SUM(AV536:AW536)</f>
        <v>0</v>
      </c>
      <c r="CZ536" s="211">
        <f>SUM(AX536:AY536)</f>
        <v>0</v>
      </c>
      <c r="DA536" s="41">
        <f>SUM(AZ536:BA536)</f>
        <v>0</v>
      </c>
      <c r="DB536" s="41">
        <f>SUM(BB536:BC536)</f>
        <v>0</v>
      </c>
      <c r="DC536" s="41">
        <f>SUM(BD536:BE536)</f>
        <v>0</v>
      </c>
      <c r="DD536" s="41">
        <f>SUM(BF536:BG536)</f>
        <v>0</v>
      </c>
      <c r="DE536" s="41">
        <f>SUM(BH536:BI536)</f>
        <v>0</v>
      </c>
      <c r="DF536" s="41">
        <f>SUM(BJ536:BK536)</f>
        <v>0</v>
      </c>
      <c r="DG536" s="41">
        <f>SUM(BL536:BM536)</f>
        <v>0</v>
      </c>
      <c r="DH536" s="41">
        <f>SUM(BN536:BO536)</f>
        <v>0</v>
      </c>
      <c r="DI536" s="41">
        <f>SUM(BP536:BQ536)</f>
        <v>0</v>
      </c>
    </row>
    <row r="537" spans="1:113" ht="12" outlineLevel="1">
      <c r="A537" s="1" t="s">
        <v>1006</v>
      </c>
      <c r="B537" s="15" t="s">
        <v>412</v>
      </c>
      <c r="C537" s="40">
        <f>43+28+17</f>
        <v>88</v>
      </c>
      <c r="D537" s="40">
        <f>46+29+16</f>
        <v>91</v>
      </c>
      <c r="E537" s="40">
        <f>94+55+57-D537</f>
        <v>115</v>
      </c>
      <c r="F537" s="40">
        <f>58+25+36</f>
        <v>119</v>
      </c>
      <c r="G537" s="40">
        <f>115+48+73-F537</f>
        <v>117</v>
      </c>
      <c r="H537" s="40">
        <f>3572+64+24+29</f>
        <v>3689</v>
      </c>
      <c r="I537" s="40">
        <f>3562+137+47+86-H537</f>
        <v>143</v>
      </c>
      <c r="J537" s="40">
        <f>85+37+39-146</f>
        <v>15</v>
      </c>
      <c r="K537" s="40">
        <f>153+57+104-204-J537</f>
        <v>95</v>
      </c>
      <c r="L537" s="40">
        <f>85+37+39-146</f>
        <v>15</v>
      </c>
      <c r="M537" s="40">
        <f>80+53+70</f>
        <v>203</v>
      </c>
      <c r="N537" s="40">
        <f>102+24-46+63</f>
        <v>143</v>
      </c>
      <c r="O537" s="40">
        <f>340+33-9+69+99</f>
        <v>532</v>
      </c>
      <c r="P537" s="40">
        <f>1344+42-10+59</f>
        <v>1435</v>
      </c>
      <c r="Q537" s="40">
        <f>1162+38+8+1000</f>
        <v>2208</v>
      </c>
      <c r="R537" s="40">
        <f>1495+47+7</f>
        <v>1549</v>
      </c>
      <c r="S537" s="40">
        <f>4661+293+52+7</f>
        <v>5013</v>
      </c>
      <c r="T537" s="40">
        <f>500-68+15-366+62</f>
        <v>143</v>
      </c>
      <c r="U537" s="40">
        <f>507-10+22+6+67</f>
        <v>592</v>
      </c>
      <c r="V537" s="40">
        <f>712-137+27+1+105</f>
        <v>708</v>
      </c>
      <c r="W537" s="40">
        <f>16+655+77+1</f>
        <v>749</v>
      </c>
      <c r="X537" s="40">
        <f>757+29+21+45</f>
        <v>852</v>
      </c>
      <c r="Y537" s="40">
        <f>704+31+57+83</f>
        <v>875</v>
      </c>
      <c r="Z537" s="141">
        <f>843+30+7+116-425</f>
        <v>571</v>
      </c>
      <c r="AA537" s="141">
        <f>392+9-20+96-425</f>
        <v>52</v>
      </c>
      <c r="AB537" s="141">
        <f>476+2-2-88-500</f>
        <v>-112</v>
      </c>
      <c r="AC537" s="141">
        <f>375+2+26+99</f>
        <v>502</v>
      </c>
      <c r="AD537" s="141">
        <f>257-39-97</f>
        <v>121</v>
      </c>
      <c r="AE537" s="141">
        <f>865+44+98</f>
        <v>1007</v>
      </c>
      <c r="AF537" s="141">
        <f>215-13+56</f>
        <v>258</v>
      </c>
      <c r="AG537" s="141">
        <f>198-140+82</f>
        <v>140</v>
      </c>
      <c r="AH537" s="141">
        <f>199+71+1</f>
        <v>271</v>
      </c>
      <c r="AI537" s="141">
        <f>(374-199)+(69-71)+(0-1)-176+56</f>
        <v>52</v>
      </c>
      <c r="AJ537" s="141">
        <f>192-1324+20-43</f>
        <v>-1155</v>
      </c>
      <c r="AK537" s="141">
        <f>(0-192)-(556)+(-2-20)+(-1-43)</f>
        <v>-814</v>
      </c>
      <c r="AL537" s="141">
        <f>-1120+0-37</f>
        <v>-1157</v>
      </c>
      <c r="AM537" s="141">
        <v>37</v>
      </c>
      <c r="AN537" s="141">
        <v>-50</v>
      </c>
      <c r="AO537" s="141">
        <f>61-21-AN537</f>
        <v>90</v>
      </c>
      <c r="AP537" s="141">
        <f>94-10</f>
        <v>84</v>
      </c>
      <c r="AQ537" s="141">
        <f>94-654+13-AP537</f>
        <v>-631</v>
      </c>
      <c r="AR537" s="141">
        <f>-846-47</f>
        <v>-893</v>
      </c>
      <c r="AS537" s="141">
        <f>183-846-21-AR537</f>
        <v>209</v>
      </c>
      <c r="AT537" s="141">
        <f>206+53</f>
        <v>259</v>
      </c>
      <c r="AU537" s="141">
        <f>206-0+79-AT537</f>
        <v>26</v>
      </c>
      <c r="AV537" s="141">
        <f>0-49</f>
        <v>-49</v>
      </c>
      <c r="AW537" s="141">
        <f>0-883+12+252-AV537</f>
        <v>-570</v>
      </c>
      <c r="AX537" s="141">
        <f>0-61</f>
        <v>-61</v>
      </c>
      <c r="AY537" s="226">
        <f>0-291-10-AX537</f>
        <v>-240</v>
      </c>
      <c r="AZ537" s="41">
        <f t="shared" ref="AZ537:BA537" si="6472">AZ141*AZ143</f>
        <v>742.89652481999997</v>
      </c>
      <c r="BA537" s="41">
        <f t="shared" si="6472"/>
        <v>775.39261420674461</v>
      </c>
      <c r="BB537" s="41">
        <f t="shared" ref="BB537:BC537" si="6473">BB141*BB143</f>
        <v>0</v>
      </c>
      <c r="BC537" s="41">
        <f t="shared" si="6473"/>
        <v>-1000</v>
      </c>
      <c r="BD537" s="41">
        <f t="shared" ref="BD537:BE537" si="6474">BD141*BD143</f>
        <v>-1000</v>
      </c>
      <c r="BE537" s="41">
        <f t="shared" si="6474"/>
        <v>-1000</v>
      </c>
      <c r="BF537" s="41">
        <f t="shared" ref="BF537:BG537" si="6475">BF141*BF143</f>
        <v>-1000</v>
      </c>
      <c r="BG537" s="41">
        <f t="shared" si="6475"/>
        <v>-1000</v>
      </c>
      <c r="BH537" s="41">
        <f t="shared" ref="BH537:BI537" si="6476">BH141*BH143</f>
        <v>0</v>
      </c>
      <c r="BI537" s="41">
        <f t="shared" si="6476"/>
        <v>0</v>
      </c>
      <c r="BJ537" s="41">
        <f t="shared" ref="BJ537:BK537" si="6477">BJ141*BJ143</f>
        <v>0</v>
      </c>
      <c r="BK537" s="41">
        <f t="shared" si="6477"/>
        <v>0</v>
      </c>
      <c r="BL537" s="41">
        <f t="shared" ref="BL537:BM537" si="6478">BL141*BL143</f>
        <v>0</v>
      </c>
      <c r="BM537" s="41">
        <f t="shared" si="6478"/>
        <v>0</v>
      </c>
      <c r="BN537" s="41">
        <f t="shared" ref="BN537:BO537" si="6479">BN141*BN143</f>
        <v>0</v>
      </c>
      <c r="BO537" s="41">
        <f t="shared" si="6479"/>
        <v>0</v>
      </c>
      <c r="BP537" s="41">
        <f t="shared" ref="BP537:BQ537" si="6480">BP141*BP143</f>
        <v>0</v>
      </c>
      <c r="BQ537" s="41">
        <f t="shared" si="6480"/>
        <v>0</v>
      </c>
      <c r="BR537" s="41"/>
      <c r="BS537" s="40">
        <f>103.6+25.6+3.6+4.2+1.1+0.8</f>
        <v>138.89999999999998</v>
      </c>
      <c r="BT537" s="40">
        <f>103.6+32.8+3.5+8.4+1.8</f>
        <v>150.1</v>
      </c>
      <c r="BU537" s="40">
        <f>34+2+5+4</f>
        <v>45</v>
      </c>
      <c r="BV537" s="40">
        <f>-6+129-100+47+2+11+3</f>
        <v>86</v>
      </c>
      <c r="BW537" s="40">
        <f>135+16+1+1</f>
        <v>153</v>
      </c>
      <c r="BX537" s="40">
        <f>180+27+11+1+1</f>
        <v>220</v>
      </c>
      <c r="BY537" s="40">
        <f>218+5+22+1</f>
        <v>246</v>
      </c>
      <c r="BZ537" s="40">
        <f>176+4+9</f>
        <v>189</v>
      </c>
      <c r="CA537" s="40">
        <f>236+26+10-1014</f>
        <v>-742</v>
      </c>
      <c r="CB537" s="40">
        <f>86+65+21+12+16-495</f>
        <v>-295</v>
      </c>
      <c r="CC537" s="41">
        <f>SUM(D537:E537)</f>
        <v>206</v>
      </c>
      <c r="CD537" s="41">
        <f>SUM(F537:G537)</f>
        <v>236</v>
      </c>
      <c r="CE537" s="41">
        <f>SUM(H537:I537)</f>
        <v>3832</v>
      </c>
      <c r="CF537" s="41">
        <f>SUM(J537:K537)</f>
        <v>110</v>
      </c>
      <c r="CG537" s="41">
        <f>SUM(L537:M537)</f>
        <v>218</v>
      </c>
      <c r="CH537" s="41">
        <f>SUM(N537:O537)</f>
        <v>675</v>
      </c>
      <c r="CI537" s="41">
        <f>SUM(P537:Q537)</f>
        <v>3643</v>
      </c>
      <c r="CJ537" s="41">
        <f>SUM(R537:S537)</f>
        <v>6562</v>
      </c>
      <c r="CK537" s="41">
        <f>SUM(T537:U537)</f>
        <v>735</v>
      </c>
      <c r="CL537" s="41">
        <f>SUM(V537:W537)</f>
        <v>1457</v>
      </c>
      <c r="CM537" s="41">
        <f>SUM(X537:Y537)</f>
        <v>1727</v>
      </c>
      <c r="CN537" s="41">
        <f>SUM(Z537:AA537)</f>
        <v>623</v>
      </c>
      <c r="CO537" s="41">
        <f>SUM(AB537:AC537)</f>
        <v>390</v>
      </c>
      <c r="CP537" s="41">
        <f>SUM(AD537:AE537)</f>
        <v>1128</v>
      </c>
      <c r="CQ537" s="41">
        <f>SUM(AF537:AG537)</f>
        <v>398</v>
      </c>
      <c r="CR537" s="41">
        <f>SUM(AH537:AI537)</f>
        <v>323</v>
      </c>
      <c r="CS537" s="41">
        <f>SUM(AJ537:AK537)</f>
        <v>-1969</v>
      </c>
      <c r="CT537" s="41">
        <f>SUM(AL537:AM537)</f>
        <v>-1120</v>
      </c>
      <c r="CU537" s="41">
        <f>SUM(AN537:AO537)</f>
        <v>40</v>
      </c>
      <c r="CV537" s="41">
        <f>SUM(AP537:AQ537)</f>
        <v>-547</v>
      </c>
      <c r="CW537" s="41">
        <f>SUM(AR537:AS537)</f>
        <v>-684</v>
      </c>
      <c r="CX537" s="41">
        <f>SUM(AT537:AU537)</f>
        <v>285</v>
      </c>
      <c r="CY537" s="41">
        <f>SUM(AV537:AW537)</f>
        <v>-619</v>
      </c>
      <c r="CZ537" s="211">
        <f>SUM(AX537:AY537)</f>
        <v>-301</v>
      </c>
      <c r="DA537" s="41">
        <f>SUM(AZ537:BA537)</f>
        <v>1518.2891390267446</v>
      </c>
      <c r="DB537" s="41">
        <f>SUM(BB537:BC537)</f>
        <v>-1000</v>
      </c>
      <c r="DC537" s="41">
        <f>SUM(BD537:BE537)</f>
        <v>-2000</v>
      </c>
      <c r="DD537" s="41">
        <f>SUM(BF537:BG537)</f>
        <v>-2000</v>
      </c>
      <c r="DE537" s="41">
        <f>SUM(BH537:BI537)</f>
        <v>0</v>
      </c>
      <c r="DF537" s="41">
        <f>SUM(BJ537:BK537)</f>
        <v>0</v>
      </c>
      <c r="DG537" s="41">
        <f>SUM(BL537:BM537)</f>
        <v>0</v>
      </c>
      <c r="DH537" s="41">
        <f>SUM(BN537:BO537)</f>
        <v>0</v>
      </c>
      <c r="DI537" s="41">
        <f>SUM(BP537:BQ537)</f>
        <v>0</v>
      </c>
    </row>
    <row r="538" spans="1:113" s="17" customFormat="1" ht="12" outlineLevel="1">
      <c r="A538" s="1" t="s">
        <v>1007</v>
      </c>
      <c r="B538" s="17" t="s">
        <v>152</v>
      </c>
      <c r="C538" s="62">
        <f t="shared" ref="C538:L538" si="6481">SUM(C533:C537)</f>
        <v>9012</v>
      </c>
      <c r="D538" s="62">
        <f t="shared" si="6481"/>
        <v>9379</v>
      </c>
      <c r="E538" s="62">
        <f t="shared" si="6481"/>
        <v>10073</v>
      </c>
      <c r="F538" s="62">
        <f t="shared" si="6481"/>
        <v>11243</v>
      </c>
      <c r="G538" s="62">
        <f t="shared" si="6481"/>
        <v>11558</v>
      </c>
      <c r="H538" s="62">
        <f>SUM(H533:H537)</f>
        <v>15744</v>
      </c>
      <c r="I538" s="62">
        <f t="shared" si="6481"/>
        <v>17036</v>
      </c>
      <c r="J538" s="62">
        <f t="shared" si="6481"/>
        <v>17051</v>
      </c>
      <c r="K538" s="62">
        <f t="shared" si="6481"/>
        <v>17653</v>
      </c>
      <c r="L538" s="62">
        <f t="shared" si="6481"/>
        <v>17891</v>
      </c>
      <c r="M538" s="62">
        <f t="shared" ref="M538:AE538" si="6482">SUM(M533:M537)</f>
        <v>19001</v>
      </c>
      <c r="N538" s="62">
        <f t="shared" si="6482"/>
        <v>20007</v>
      </c>
      <c r="O538" s="62">
        <f t="shared" si="6482"/>
        <v>21139</v>
      </c>
      <c r="P538" s="62">
        <f t="shared" si="6482"/>
        <v>23042</v>
      </c>
      <c r="Q538" s="62">
        <f t="shared" si="6482"/>
        <v>25619</v>
      </c>
      <c r="R538" s="62">
        <f t="shared" si="6482"/>
        <v>27424</v>
      </c>
      <c r="S538" s="62">
        <f t="shared" si="6482"/>
        <v>31493</v>
      </c>
      <c r="T538" s="62">
        <f t="shared" si="6482"/>
        <v>31646</v>
      </c>
      <c r="U538" s="62">
        <f t="shared" si="6482"/>
        <v>33220</v>
      </c>
      <c r="V538" s="62">
        <f t="shared" si="6482"/>
        <v>34189</v>
      </c>
      <c r="W538" s="62">
        <f t="shared" si="6482"/>
        <v>37035</v>
      </c>
      <c r="X538" s="62">
        <f t="shared" si="6482"/>
        <v>38523</v>
      </c>
      <c r="Y538" s="62">
        <f t="shared" si="6482"/>
        <v>40300</v>
      </c>
      <c r="Z538" s="62">
        <f t="shared" si="6482"/>
        <v>41579</v>
      </c>
      <c r="AA538" s="62">
        <f t="shared" si="6482"/>
        <v>44670</v>
      </c>
      <c r="AB538" s="62">
        <f t="shared" si="6482"/>
        <v>46100</v>
      </c>
      <c r="AC538" s="62">
        <f t="shared" si="6482"/>
        <v>48336</v>
      </c>
      <c r="AD538" s="62">
        <f t="shared" si="6482"/>
        <v>51956</v>
      </c>
      <c r="AE538" s="62">
        <f t="shared" si="6482"/>
        <v>57247</v>
      </c>
      <c r="AF538" s="62">
        <f t="shared" ref="AF538:AG538" si="6483">SUM(AF533:AF537)</f>
        <v>56363</v>
      </c>
      <c r="AG538" s="62">
        <f t="shared" si="6483"/>
        <v>57818</v>
      </c>
      <c r="AH538" s="62">
        <f t="shared" ref="AH538:AI538" si="6484">SUM(AH533:AH537)</f>
        <v>57791</v>
      </c>
      <c r="AI538" s="62">
        <f t="shared" si="6484"/>
        <v>58959</v>
      </c>
      <c r="AJ538" s="62">
        <f t="shared" ref="AJ538:AK538" si="6485">SUM(AJ533:AJ537)</f>
        <v>59374</v>
      </c>
      <c r="AK538" s="62">
        <f t="shared" si="6485"/>
        <v>59265</v>
      </c>
      <c r="AL538" s="62">
        <f t="shared" ref="AL538:AM538" si="6486">SUM(AL533:AL537)</f>
        <v>59821</v>
      </c>
      <c r="AM538" s="62">
        <f t="shared" si="6486"/>
        <v>60783</v>
      </c>
      <c r="AN538" s="62">
        <f t="shared" ref="AN538:AO538" si="6487">SUM(AN533:AN537)</f>
        <v>61364</v>
      </c>
      <c r="AO538" s="62">
        <f t="shared" si="6487"/>
        <v>61287</v>
      </c>
      <c r="AP538" s="62">
        <f t="shared" ref="AP538:AQ538" si="6488">SUM(AP533:AP537)</f>
        <v>62566</v>
      </c>
      <c r="AQ538" s="62">
        <f t="shared" si="6488"/>
        <v>63665</v>
      </c>
      <c r="AR538" s="62">
        <f t="shared" ref="AR538:AS538" si="6489">SUM(AR533:AR537)</f>
        <v>61747</v>
      </c>
      <c r="AS538" s="62">
        <f t="shared" si="6489"/>
        <v>65907</v>
      </c>
      <c r="AT538" s="62">
        <f t="shared" ref="AT538:AU538" si="6490">SUM(AT533:AT537)</f>
        <v>69055</v>
      </c>
      <c r="AU538" s="62">
        <f t="shared" si="6490"/>
        <v>69495</v>
      </c>
      <c r="AV538" s="62">
        <f t="shared" ref="AV538:AW538" si="6491">SUM(AV533:AV537)</f>
        <v>69538</v>
      </c>
      <c r="AW538" s="62">
        <f t="shared" si="6491"/>
        <v>69086</v>
      </c>
      <c r="AX538" s="62">
        <f t="shared" ref="AX538:AY538" si="6492">SUM(AX533:AX537)</f>
        <v>70803</v>
      </c>
      <c r="AY538" s="220">
        <f t="shared" si="6492"/>
        <v>70389</v>
      </c>
      <c r="AZ538" s="62">
        <f t="shared" ref="AZ538:BA538" si="6493">SUM(AZ533:AZ537)</f>
        <v>72984.260722750987</v>
      </c>
      <c r="BA538" s="62">
        <f t="shared" si="6493"/>
        <v>74824.543680334085</v>
      </c>
      <c r="BB538" s="62">
        <f t="shared" ref="BB538:BC538" si="6494">SUM(BB533:BB537)</f>
        <v>75846.045688262253</v>
      </c>
      <c r="BC538" s="62">
        <f t="shared" si="6494"/>
        <v>75534.704939225208</v>
      </c>
      <c r="BD538" s="62">
        <f t="shared" ref="BD538:BE538" si="6495">SUM(BD533:BD537)</f>
        <v>75616.658722733497</v>
      </c>
      <c r="BE538" s="62">
        <f t="shared" si="6495"/>
        <v>75330.044065305992</v>
      </c>
      <c r="BF538" s="62">
        <f t="shared" ref="BF538:BG538" si="6496">SUM(BF533:BF537)</f>
        <v>75426.962457227739</v>
      </c>
      <c r="BG538" s="62">
        <f t="shared" si="6496"/>
        <v>75258.117365588187</v>
      </c>
      <c r="BH538" s="62">
        <f t="shared" ref="BH538:BI538" si="6497">SUM(BH533:BH537)</f>
        <v>76412.472412577947</v>
      </c>
      <c r="BI538" s="62">
        <f t="shared" si="6497"/>
        <v>77241.743055072002</v>
      </c>
      <c r="BJ538" s="62">
        <f t="shared" ref="BJ538:BK538" si="6498">SUM(BJ533:BJ537)</f>
        <v>78536.526407397148</v>
      </c>
      <c r="BK538" s="62">
        <f t="shared" si="6498"/>
        <v>79781.318194242675</v>
      </c>
      <c r="BL538" s="62">
        <f t="shared" ref="BL538:BM538" si="6499">SUM(BL533:BL537)</f>
        <v>81185.045267570182</v>
      </c>
      <c r="BM538" s="62">
        <f t="shared" si="6499"/>
        <v>82351.528614379888</v>
      </c>
      <c r="BN538" s="62">
        <f t="shared" ref="BN538:BO538" si="6500">SUM(BN533:BN537)</f>
        <v>83659.713843619917</v>
      </c>
      <c r="BO538" s="62">
        <f t="shared" si="6500"/>
        <v>84771.233479223083</v>
      </c>
      <c r="BP538" s="62">
        <f t="shared" ref="BP538:BQ538" si="6501">SUM(BP533:BP537)</f>
        <v>86039.240898904609</v>
      </c>
      <c r="BQ538" s="62">
        <f t="shared" si="6501"/>
        <v>87150.59907284021</v>
      </c>
      <c r="BR538" s="62"/>
      <c r="BS538" s="62">
        <f t="shared" ref="BS538:CB538" si="6502">SUM(BS533:BS537)</f>
        <v>3942.2999999999993</v>
      </c>
      <c r="BT538" s="62">
        <f t="shared" si="6502"/>
        <v>4489.0000000000009</v>
      </c>
      <c r="BU538" s="62">
        <f t="shared" si="6502"/>
        <v>4856</v>
      </c>
      <c r="BV538" s="62">
        <f t="shared" si="6502"/>
        <v>5700</v>
      </c>
      <c r="BW538" s="62">
        <f t="shared" si="6502"/>
        <v>6290</v>
      </c>
      <c r="BX538" s="62">
        <f t="shared" si="6502"/>
        <v>6943</v>
      </c>
      <c r="BY538" s="62">
        <f t="shared" si="6502"/>
        <v>7690</v>
      </c>
      <c r="BZ538" s="62">
        <f t="shared" si="6502"/>
        <v>8258</v>
      </c>
      <c r="CA538" s="62">
        <f t="shared" si="6502"/>
        <v>8421</v>
      </c>
      <c r="CB538" s="62">
        <f t="shared" si="6502"/>
        <v>9012</v>
      </c>
      <c r="CC538" s="62">
        <f t="shared" ref="CC538:CP538" si="6503">SUM(CC533:CC537)</f>
        <v>10073</v>
      </c>
      <c r="CD538" s="62">
        <f t="shared" si="6503"/>
        <v>11558</v>
      </c>
      <c r="CE538" s="62">
        <f t="shared" si="6503"/>
        <v>17036</v>
      </c>
      <c r="CF538" s="142">
        <f>K538</f>
        <v>17653</v>
      </c>
      <c r="CG538" s="62">
        <f t="shared" si="6503"/>
        <v>19001</v>
      </c>
      <c r="CH538" s="62">
        <f t="shared" si="6503"/>
        <v>21139</v>
      </c>
      <c r="CI538" s="62">
        <f t="shared" si="6503"/>
        <v>25619</v>
      </c>
      <c r="CJ538" s="62">
        <f t="shared" si="6503"/>
        <v>31493</v>
      </c>
      <c r="CK538" s="62">
        <f t="shared" si="6503"/>
        <v>33220</v>
      </c>
      <c r="CL538" s="62">
        <f t="shared" si="6503"/>
        <v>37035</v>
      </c>
      <c r="CM538" s="62">
        <f t="shared" si="6503"/>
        <v>40300</v>
      </c>
      <c r="CN538" s="62">
        <f t="shared" si="6503"/>
        <v>44670</v>
      </c>
      <c r="CO538" s="62">
        <f t="shared" si="6503"/>
        <v>48336</v>
      </c>
      <c r="CP538" s="62">
        <f t="shared" si="6503"/>
        <v>57247</v>
      </c>
      <c r="CQ538" s="62">
        <f t="shared" ref="CQ538:CX538" si="6504">SUM(CQ533:CQ537)</f>
        <v>57818</v>
      </c>
      <c r="CR538" s="62">
        <f t="shared" si="6504"/>
        <v>58959</v>
      </c>
      <c r="CS538" s="62">
        <f t="shared" si="6504"/>
        <v>59265</v>
      </c>
      <c r="CT538" s="62">
        <f t="shared" si="6504"/>
        <v>60783</v>
      </c>
      <c r="CU538" s="62">
        <f t="shared" si="6504"/>
        <v>61287</v>
      </c>
      <c r="CV538" s="62">
        <f t="shared" si="6504"/>
        <v>63665</v>
      </c>
      <c r="CW538" s="62">
        <f t="shared" si="6504"/>
        <v>65907</v>
      </c>
      <c r="CX538" s="62">
        <f t="shared" si="6504"/>
        <v>69495</v>
      </c>
      <c r="CY538" s="62">
        <f t="shared" ref="CY538:DD538" si="6505">SUM(CY533:CY537)</f>
        <v>69086</v>
      </c>
      <c r="CZ538" s="220">
        <f t="shared" si="6505"/>
        <v>70389</v>
      </c>
      <c r="DA538" s="62">
        <f t="shared" si="6505"/>
        <v>74824.543680334085</v>
      </c>
      <c r="DB538" s="62">
        <f t="shared" si="6505"/>
        <v>75534.704939225194</v>
      </c>
      <c r="DC538" s="62">
        <f t="shared" si="6505"/>
        <v>75330.044065305978</v>
      </c>
      <c r="DD538" s="62">
        <f t="shared" si="6505"/>
        <v>75258.117365588187</v>
      </c>
      <c r="DE538" s="62">
        <f t="shared" ref="DE538" si="6506">SUM(DE533:DE537)</f>
        <v>77241.743055071987</v>
      </c>
      <c r="DF538" s="62">
        <f t="shared" ref="DF538" si="6507">SUM(DF533:DF537)</f>
        <v>79781.318194242645</v>
      </c>
      <c r="DG538" s="62">
        <f>SUM(DG533:DG537)</f>
        <v>82351.528614379844</v>
      </c>
      <c r="DH538" s="62">
        <f>SUM(DH533:DH537)</f>
        <v>84771.233479223039</v>
      </c>
      <c r="DI538" s="62">
        <f>SUM(DI533:DI537)</f>
        <v>87150.599072840167</v>
      </c>
    </row>
    <row r="539" spans="1:113" ht="12" outlineLevel="1">
      <c r="A539" s="1" t="s">
        <v>1008</v>
      </c>
      <c r="B539" s="15" t="s">
        <v>153</v>
      </c>
      <c r="C539" s="40">
        <v>1526</v>
      </c>
      <c r="D539" s="40">
        <v>1410</v>
      </c>
      <c r="E539" s="40">
        <v>1375</v>
      </c>
      <c r="F539" s="40">
        <v>1225</v>
      </c>
      <c r="G539" s="40">
        <v>2212</v>
      </c>
      <c r="H539" s="40">
        <v>987</v>
      </c>
      <c r="I539" s="40">
        <v>871</v>
      </c>
      <c r="J539" s="40">
        <v>1858</v>
      </c>
      <c r="K539" s="40">
        <v>1858</v>
      </c>
      <c r="L539" s="40">
        <v>871</v>
      </c>
      <c r="M539" s="40">
        <v>871</v>
      </c>
      <c r="N539" s="40">
        <v>871</v>
      </c>
      <c r="O539" s="40">
        <v>871</v>
      </c>
      <c r="P539" s="40">
        <v>871</v>
      </c>
      <c r="Q539" s="40">
        <v>871</v>
      </c>
      <c r="R539" s="40">
        <v>871</v>
      </c>
      <c r="S539" s="40">
        <v>871</v>
      </c>
      <c r="T539" s="40">
        <v>871</v>
      </c>
      <c r="U539" s="40">
        <v>871</v>
      </c>
      <c r="V539" s="40">
        <v>871</v>
      </c>
      <c r="W539" s="40">
        <v>871</v>
      </c>
      <c r="X539" s="40">
        <v>871</v>
      </c>
      <c r="Y539" s="40">
        <v>871</v>
      </c>
      <c r="Z539" s="141">
        <v>871</v>
      </c>
      <c r="AA539" s="141">
        <v>871</v>
      </c>
      <c r="AB539" s="141">
        <v>871</v>
      </c>
      <c r="AC539" s="141">
        <v>871</v>
      </c>
      <c r="AD539" s="141">
        <v>0</v>
      </c>
      <c r="AE539" s="141">
        <v>0</v>
      </c>
      <c r="AF539" s="141">
        <v>0</v>
      </c>
      <c r="AG539" s="141">
        <v>0</v>
      </c>
      <c r="AH539" s="141">
        <v>0</v>
      </c>
      <c r="AI539" s="141">
        <v>0</v>
      </c>
      <c r="AJ539" s="141">
        <v>0</v>
      </c>
      <c r="AK539" s="141">
        <v>0</v>
      </c>
      <c r="AL539" s="141">
        <v>0</v>
      </c>
      <c r="AM539" s="141">
        <v>0</v>
      </c>
      <c r="AN539" s="141">
        <v>0</v>
      </c>
      <c r="AO539" s="141">
        <v>0</v>
      </c>
      <c r="AP539" s="141">
        <v>0</v>
      </c>
      <c r="AQ539" s="141">
        <v>0</v>
      </c>
      <c r="AR539" s="141">
        <v>0</v>
      </c>
      <c r="AS539" s="141">
        <v>0</v>
      </c>
      <c r="AT539" s="141">
        <v>0</v>
      </c>
      <c r="AU539" s="141">
        <v>0</v>
      </c>
      <c r="AV539" s="141">
        <v>0</v>
      </c>
      <c r="AW539" s="141">
        <v>0</v>
      </c>
      <c r="AX539" s="141">
        <v>0</v>
      </c>
      <c r="AY539" s="226">
        <v>0</v>
      </c>
      <c r="AZ539" s="210">
        <f t="shared" ref="AZ539:AZ540" si="6508">AY539</f>
        <v>0</v>
      </c>
      <c r="BA539" s="210">
        <f t="shared" ref="BA539:BA540" si="6509">AZ539</f>
        <v>0</v>
      </c>
      <c r="BB539" s="210">
        <f t="shared" ref="BB539:BB540" si="6510">BA539</f>
        <v>0</v>
      </c>
      <c r="BC539" s="210">
        <f t="shared" ref="BC539:BC540" si="6511">BB539</f>
        <v>0</v>
      </c>
      <c r="BD539" s="210">
        <f t="shared" ref="BD539:BD540" si="6512">BC539</f>
        <v>0</v>
      </c>
      <c r="BE539" s="210">
        <f t="shared" ref="BE539:BE540" si="6513">BD539</f>
        <v>0</v>
      </c>
      <c r="BF539" s="210">
        <f t="shared" ref="BF539:BF540" si="6514">BE539</f>
        <v>0</v>
      </c>
      <c r="BG539" s="210">
        <f t="shared" ref="BG539:BK540" si="6515">BF539</f>
        <v>0</v>
      </c>
      <c r="BH539" s="210">
        <f t="shared" si="6515"/>
        <v>0</v>
      </c>
      <c r="BI539" s="210">
        <f t="shared" si="6515"/>
        <v>0</v>
      </c>
      <c r="BJ539" s="210">
        <f t="shared" si="6515"/>
        <v>0</v>
      </c>
      <c r="BK539" s="210">
        <f t="shared" si="6515"/>
        <v>0</v>
      </c>
      <c r="BL539" s="210">
        <f t="shared" ref="BL539:BL540" si="6516">BK539</f>
        <v>0</v>
      </c>
      <c r="BM539" s="210">
        <f t="shared" ref="BM539:BM540" si="6517">BL539</f>
        <v>0</v>
      </c>
      <c r="BN539" s="210">
        <f t="shared" ref="BN539:BN540" si="6518">BM539</f>
        <v>0</v>
      </c>
      <c r="BO539" s="210">
        <f t="shared" ref="BO539:BO540" si="6519">BN539</f>
        <v>0</v>
      </c>
      <c r="BP539" s="210">
        <f t="shared" ref="BP539:BP540" si="6520">BO539</f>
        <v>0</v>
      </c>
      <c r="BQ539" s="210">
        <f t="shared" ref="BQ539:BQ540" si="6521">BP539</f>
        <v>0</v>
      </c>
      <c r="BR539" s="41"/>
      <c r="BS539" s="40">
        <f>4591-(1164.5+2432.5+7.9+30+585.3+148.9+173.2-600)-49</f>
        <v>599.70000000000073</v>
      </c>
      <c r="BT539" s="40">
        <v>600</v>
      </c>
      <c r="BU539" s="40">
        <v>600</v>
      </c>
      <c r="BV539" s="40">
        <v>0</v>
      </c>
      <c r="BW539" s="40">
        <v>0</v>
      </c>
      <c r="BX539" s="40">
        <v>0</v>
      </c>
      <c r="BY539" s="40">
        <v>645</v>
      </c>
      <c r="BZ539" s="40">
        <v>1145</v>
      </c>
      <c r="CA539" s="40">
        <v>1374</v>
      </c>
      <c r="CB539" s="40">
        <v>1526</v>
      </c>
      <c r="CC539" s="41">
        <f>E539</f>
        <v>1375</v>
      </c>
      <c r="CD539" s="41">
        <f>G539</f>
        <v>2212</v>
      </c>
      <c r="CE539" s="41">
        <f>I539</f>
        <v>871</v>
      </c>
      <c r="CF539" s="41">
        <f>K539</f>
        <v>1858</v>
      </c>
      <c r="CG539" s="41">
        <f>M539</f>
        <v>871</v>
      </c>
      <c r="CH539" s="41">
        <f>O539</f>
        <v>871</v>
      </c>
      <c r="CI539" s="41">
        <f>Q539</f>
        <v>871</v>
      </c>
      <c r="CJ539" s="41">
        <f>S539</f>
        <v>871</v>
      </c>
      <c r="CK539" s="41">
        <f>U539</f>
        <v>871</v>
      </c>
      <c r="CL539" s="41">
        <f>W539</f>
        <v>871</v>
      </c>
      <c r="CM539" s="41">
        <f>Y539</f>
        <v>871</v>
      </c>
      <c r="CN539" s="41">
        <f>AA539</f>
        <v>871</v>
      </c>
      <c r="CO539" s="41">
        <f>AC539</f>
        <v>871</v>
      </c>
      <c r="CP539" s="41">
        <f>AE539</f>
        <v>0</v>
      </c>
      <c r="CQ539" s="41">
        <f>AG539</f>
        <v>0</v>
      </c>
      <c r="CR539" s="41">
        <f>AI539</f>
        <v>0</v>
      </c>
      <c r="CS539" s="41">
        <f>AK539</f>
        <v>0</v>
      </c>
      <c r="CT539" s="41">
        <f>AM539</f>
        <v>0</v>
      </c>
      <c r="CU539" s="41">
        <f>AO539</f>
        <v>0</v>
      </c>
      <c r="CV539" s="41">
        <f>AQ539</f>
        <v>0</v>
      </c>
      <c r="CW539" s="41">
        <f>AS539</f>
        <v>0</v>
      </c>
      <c r="CX539" s="41">
        <f>AU539</f>
        <v>0</v>
      </c>
      <c r="CY539" s="41">
        <f>AW539</f>
        <v>0</v>
      </c>
      <c r="CZ539" s="211">
        <f>AY539</f>
        <v>0</v>
      </c>
      <c r="DA539" s="41">
        <f>BA539</f>
        <v>0</v>
      </c>
      <c r="DB539" s="41">
        <f>BC539</f>
        <v>0</v>
      </c>
      <c r="DC539" s="41">
        <f>BE539</f>
        <v>0</v>
      </c>
      <c r="DD539" s="41">
        <f>BG539</f>
        <v>0</v>
      </c>
      <c r="DE539" s="41">
        <f>BI539</f>
        <v>0</v>
      </c>
      <c r="DF539" s="41">
        <f>BK539</f>
        <v>0</v>
      </c>
      <c r="DG539" s="41">
        <f>BM539</f>
        <v>0</v>
      </c>
      <c r="DH539" s="41">
        <f>BO539</f>
        <v>0</v>
      </c>
      <c r="DI539" s="41">
        <f>BQ539</f>
        <v>0</v>
      </c>
    </row>
    <row r="540" spans="1:113" ht="12" outlineLevel="1">
      <c r="A540" s="1" t="s">
        <v>1009</v>
      </c>
      <c r="B540" s="15" t="s">
        <v>160</v>
      </c>
      <c r="C540" s="40">
        <v>13</v>
      </c>
      <c r="D540" s="40">
        <v>14</v>
      </c>
      <c r="E540" s="40">
        <v>17</v>
      </c>
      <c r="F540" s="40">
        <v>17</v>
      </c>
      <c r="G540" s="40">
        <v>17</v>
      </c>
      <c r="H540" s="40">
        <v>17</v>
      </c>
      <c r="I540" s="40">
        <v>18</v>
      </c>
      <c r="J540" s="40">
        <v>18</v>
      </c>
      <c r="K540" s="40">
        <v>27</v>
      </c>
      <c r="L540" s="40">
        <v>34</v>
      </c>
      <c r="M540" s="40">
        <v>34</v>
      </c>
      <c r="N540" s="40">
        <v>32</v>
      </c>
      <c r="O540" s="40">
        <v>38</v>
      </c>
      <c r="P540" s="40">
        <v>51</v>
      </c>
      <c r="Q540" s="40">
        <v>62</v>
      </c>
      <c r="R540" s="40">
        <v>72</v>
      </c>
      <c r="S540" s="40">
        <v>65</v>
      </c>
      <c r="T540" s="40">
        <v>66</v>
      </c>
      <c r="U540" s="40">
        <v>64</v>
      </c>
      <c r="V540" s="40">
        <v>69</v>
      </c>
      <c r="W540" s="40">
        <v>48</v>
      </c>
      <c r="X540" s="40">
        <v>49</v>
      </c>
      <c r="Y540" s="40">
        <v>49</v>
      </c>
      <c r="Z540" s="141">
        <v>53</v>
      </c>
      <c r="AA540" s="141">
        <v>62</v>
      </c>
      <c r="AB540" s="141">
        <v>67</v>
      </c>
      <c r="AC540" s="141">
        <v>77</v>
      </c>
      <c r="AD540" s="141">
        <v>95</v>
      </c>
      <c r="AE540" s="141">
        <v>106</v>
      </c>
      <c r="AF540" s="141">
        <v>101</v>
      </c>
      <c r="AG540" s="141">
        <v>109</v>
      </c>
      <c r="AH540" s="141">
        <v>117</v>
      </c>
      <c r="AI540" s="141">
        <v>116</v>
      </c>
      <c r="AJ540" s="141">
        <v>126</v>
      </c>
      <c r="AK540" s="141">
        <v>140</v>
      </c>
      <c r="AL540" s="141">
        <v>150</v>
      </c>
      <c r="AM540" s="141">
        <v>11</v>
      </c>
      <c r="AN540" s="141">
        <v>11</v>
      </c>
      <c r="AO540" s="141">
        <v>10</v>
      </c>
      <c r="AP540" s="141">
        <v>10</v>
      </c>
      <c r="AQ540" s="141">
        <v>11</v>
      </c>
      <c r="AR540" s="141">
        <v>9</v>
      </c>
      <c r="AS540" s="141">
        <v>494</v>
      </c>
      <c r="AT540" s="141">
        <v>525</v>
      </c>
      <c r="AU540" s="141">
        <v>522</v>
      </c>
      <c r="AV540" s="141">
        <v>768</v>
      </c>
      <c r="AW540" s="141">
        <v>771</v>
      </c>
      <c r="AX540" s="141">
        <v>764</v>
      </c>
      <c r="AY540" s="226">
        <v>739</v>
      </c>
      <c r="AZ540" s="210">
        <f t="shared" si="6508"/>
        <v>739</v>
      </c>
      <c r="BA540" s="210">
        <f t="shared" si="6509"/>
        <v>739</v>
      </c>
      <c r="BB540" s="210">
        <f t="shared" si="6510"/>
        <v>739</v>
      </c>
      <c r="BC540" s="210">
        <f t="shared" si="6511"/>
        <v>739</v>
      </c>
      <c r="BD540" s="210">
        <f t="shared" si="6512"/>
        <v>739</v>
      </c>
      <c r="BE540" s="210">
        <f t="shared" si="6513"/>
        <v>739</v>
      </c>
      <c r="BF540" s="210">
        <f t="shared" si="6514"/>
        <v>739</v>
      </c>
      <c r="BG540" s="210">
        <f t="shared" si="6515"/>
        <v>739</v>
      </c>
      <c r="BH540" s="210">
        <f t="shared" si="6515"/>
        <v>739</v>
      </c>
      <c r="BI540" s="210">
        <f t="shared" si="6515"/>
        <v>739</v>
      </c>
      <c r="BJ540" s="210">
        <f t="shared" si="6515"/>
        <v>739</v>
      </c>
      <c r="BK540" s="210">
        <f t="shared" si="6515"/>
        <v>739</v>
      </c>
      <c r="BL540" s="210">
        <f t="shared" si="6516"/>
        <v>739</v>
      </c>
      <c r="BM540" s="210">
        <f t="shared" si="6517"/>
        <v>739</v>
      </c>
      <c r="BN540" s="210">
        <f t="shared" si="6518"/>
        <v>739</v>
      </c>
      <c r="BO540" s="210">
        <f t="shared" si="6519"/>
        <v>739</v>
      </c>
      <c r="BP540" s="210">
        <f t="shared" si="6520"/>
        <v>739</v>
      </c>
      <c r="BQ540" s="210">
        <f t="shared" si="6521"/>
        <v>739</v>
      </c>
      <c r="BR540" s="41"/>
      <c r="BS540" s="40">
        <v>49</v>
      </c>
      <c r="BT540" s="40">
        <v>44</v>
      </c>
      <c r="BU540" s="40">
        <v>48</v>
      </c>
      <c r="BV540" s="40">
        <v>47</v>
      </c>
      <c r="BW540" s="40">
        <v>46</v>
      </c>
      <c r="BX540" s="40">
        <v>50</v>
      </c>
      <c r="BY540" s="40">
        <v>56</v>
      </c>
      <c r="BZ540" s="40">
        <v>26</v>
      </c>
      <c r="CA540" s="40">
        <v>12</v>
      </c>
      <c r="CB540" s="40">
        <v>13</v>
      </c>
      <c r="CC540" s="41">
        <f>E540</f>
        <v>17</v>
      </c>
      <c r="CD540" s="41">
        <f>G540</f>
        <v>17</v>
      </c>
      <c r="CE540" s="41">
        <f>I540</f>
        <v>18</v>
      </c>
      <c r="CF540" s="41">
        <f>K540</f>
        <v>27</v>
      </c>
      <c r="CG540" s="41">
        <f>M540</f>
        <v>34</v>
      </c>
      <c r="CH540" s="41">
        <f>O540</f>
        <v>38</v>
      </c>
      <c r="CI540" s="41">
        <f>Q540</f>
        <v>62</v>
      </c>
      <c r="CJ540" s="41">
        <f>S540</f>
        <v>65</v>
      </c>
      <c r="CK540" s="41">
        <f>U540</f>
        <v>64</v>
      </c>
      <c r="CL540" s="41">
        <f>W540</f>
        <v>48</v>
      </c>
      <c r="CM540" s="41">
        <f>Y540</f>
        <v>49</v>
      </c>
      <c r="CN540" s="41">
        <f>AA540</f>
        <v>62</v>
      </c>
      <c r="CO540" s="41">
        <f>AC540</f>
        <v>77</v>
      </c>
      <c r="CP540" s="41">
        <f>AE540</f>
        <v>106</v>
      </c>
      <c r="CQ540" s="41">
        <f>AG540</f>
        <v>109</v>
      </c>
      <c r="CR540" s="41">
        <f>AI540</f>
        <v>116</v>
      </c>
      <c r="CS540" s="41">
        <f>AK540</f>
        <v>140</v>
      </c>
      <c r="CT540" s="41">
        <f>AM540</f>
        <v>11</v>
      </c>
      <c r="CU540" s="41">
        <f>AO540</f>
        <v>10</v>
      </c>
      <c r="CV540" s="41">
        <f>AQ540</f>
        <v>11</v>
      </c>
      <c r="CW540" s="41">
        <f>AS540</f>
        <v>494</v>
      </c>
      <c r="CX540" s="41">
        <f>AU540</f>
        <v>522</v>
      </c>
      <c r="CY540" s="41">
        <f>AW540</f>
        <v>771</v>
      </c>
      <c r="CZ540" s="211">
        <f>AY540</f>
        <v>739</v>
      </c>
      <c r="DA540" s="41">
        <f>BA540</f>
        <v>739</v>
      </c>
      <c r="DB540" s="41">
        <f>BC540</f>
        <v>739</v>
      </c>
      <c r="DC540" s="41">
        <f>BE540</f>
        <v>739</v>
      </c>
      <c r="DD540" s="41">
        <f>BG540</f>
        <v>739</v>
      </c>
      <c r="DE540" s="41">
        <f>BI540</f>
        <v>739</v>
      </c>
      <c r="DF540" s="41">
        <f>BK540</f>
        <v>739</v>
      </c>
      <c r="DG540" s="41">
        <f>BM540</f>
        <v>739</v>
      </c>
      <c r="DH540" s="41">
        <f>BO540</f>
        <v>739</v>
      </c>
      <c r="DI540" s="41">
        <f>BQ540</f>
        <v>739</v>
      </c>
    </row>
    <row r="541" spans="1:113" s="17" customFormat="1" ht="12" outlineLevel="1">
      <c r="A541" s="1" t="s">
        <v>982</v>
      </c>
      <c r="B541" s="17" t="s">
        <v>154</v>
      </c>
      <c r="C541" s="62">
        <f t="shared" ref="C541:L541" si="6522">C538+C539+C540</f>
        <v>10551</v>
      </c>
      <c r="D541" s="62">
        <f t="shared" si="6522"/>
        <v>10803</v>
      </c>
      <c r="E541" s="62">
        <f t="shared" si="6522"/>
        <v>11465</v>
      </c>
      <c r="F541" s="62">
        <f t="shared" si="6522"/>
        <v>12485</v>
      </c>
      <c r="G541" s="62">
        <f t="shared" si="6522"/>
        <v>13787</v>
      </c>
      <c r="H541" s="62">
        <f t="shared" si="6522"/>
        <v>16748</v>
      </c>
      <c r="I541" s="62">
        <f t="shared" si="6522"/>
        <v>17925</v>
      </c>
      <c r="J541" s="62">
        <f t="shared" si="6522"/>
        <v>18927</v>
      </c>
      <c r="K541" s="62">
        <f t="shared" si="6522"/>
        <v>19538</v>
      </c>
      <c r="L541" s="62">
        <f t="shared" si="6522"/>
        <v>18796</v>
      </c>
      <c r="M541" s="62">
        <f t="shared" ref="M541:AE541" si="6523">M538+M539+M540</f>
        <v>19906</v>
      </c>
      <c r="N541" s="62">
        <f t="shared" si="6523"/>
        <v>20910</v>
      </c>
      <c r="O541" s="62">
        <f t="shared" si="6523"/>
        <v>22048</v>
      </c>
      <c r="P541" s="62">
        <f t="shared" si="6523"/>
        <v>23964</v>
      </c>
      <c r="Q541" s="62">
        <f t="shared" si="6523"/>
        <v>26552</v>
      </c>
      <c r="R541" s="62">
        <f t="shared" si="6523"/>
        <v>28367</v>
      </c>
      <c r="S541" s="62">
        <f t="shared" si="6523"/>
        <v>32429</v>
      </c>
      <c r="T541" s="62">
        <f t="shared" si="6523"/>
        <v>32583</v>
      </c>
      <c r="U541" s="62">
        <f t="shared" si="6523"/>
        <v>34155</v>
      </c>
      <c r="V541" s="62">
        <f t="shared" si="6523"/>
        <v>35129</v>
      </c>
      <c r="W541" s="62">
        <f t="shared" si="6523"/>
        <v>37954</v>
      </c>
      <c r="X541" s="62">
        <f t="shared" si="6523"/>
        <v>39443</v>
      </c>
      <c r="Y541" s="62">
        <f t="shared" si="6523"/>
        <v>41220</v>
      </c>
      <c r="Z541" s="62">
        <f t="shared" si="6523"/>
        <v>42503</v>
      </c>
      <c r="AA541" s="62">
        <f t="shared" si="6523"/>
        <v>45603</v>
      </c>
      <c r="AB541" s="62">
        <f t="shared" si="6523"/>
        <v>47038</v>
      </c>
      <c r="AC541" s="62">
        <f t="shared" si="6523"/>
        <v>49284</v>
      </c>
      <c r="AD541" s="62">
        <f t="shared" si="6523"/>
        <v>52051</v>
      </c>
      <c r="AE541" s="62">
        <f t="shared" si="6523"/>
        <v>57353</v>
      </c>
      <c r="AF541" s="62">
        <f t="shared" ref="AF541:AG541" si="6524">AF538+AF539+AF540</f>
        <v>56464</v>
      </c>
      <c r="AG541" s="62">
        <f t="shared" si="6524"/>
        <v>57927</v>
      </c>
      <c r="AH541" s="62">
        <f t="shared" ref="AH541:AI541" si="6525">AH538+AH539+AH540</f>
        <v>57908</v>
      </c>
      <c r="AI541" s="62">
        <f t="shared" si="6525"/>
        <v>59075</v>
      </c>
      <c r="AJ541" s="62">
        <f t="shared" ref="AJ541:AK541" si="6526">AJ538+AJ539+AJ540</f>
        <v>59500</v>
      </c>
      <c r="AK541" s="62">
        <f t="shared" si="6526"/>
        <v>59405</v>
      </c>
      <c r="AL541" s="62">
        <f t="shared" ref="AL541:AM541" si="6527">AL538+AL539+AL540</f>
        <v>59971</v>
      </c>
      <c r="AM541" s="62">
        <f t="shared" si="6527"/>
        <v>60794</v>
      </c>
      <c r="AN541" s="62">
        <f t="shared" ref="AN541:AO541" si="6528">AN538+AN539+AN540</f>
        <v>61375</v>
      </c>
      <c r="AO541" s="62">
        <f t="shared" si="6528"/>
        <v>61297</v>
      </c>
      <c r="AP541" s="62">
        <f t="shared" ref="AP541:AQ541" si="6529">AP538+AP539+AP540</f>
        <v>62576</v>
      </c>
      <c r="AQ541" s="62">
        <f t="shared" si="6529"/>
        <v>63676</v>
      </c>
      <c r="AR541" s="62">
        <f t="shared" ref="AR541:AS541" si="6530">AR538+AR539+AR540</f>
        <v>61756</v>
      </c>
      <c r="AS541" s="62">
        <f t="shared" si="6530"/>
        <v>66401</v>
      </c>
      <c r="AT541" s="62">
        <f t="shared" ref="AT541:AU541" si="6531">AT538+AT539+AT540</f>
        <v>69580</v>
      </c>
      <c r="AU541" s="62">
        <f t="shared" si="6531"/>
        <v>70017</v>
      </c>
      <c r="AV541" s="62">
        <f t="shared" ref="AV541:AW541" si="6532">AV538+AV539+AV540</f>
        <v>70306</v>
      </c>
      <c r="AW541" s="62">
        <f t="shared" si="6532"/>
        <v>69857</v>
      </c>
      <c r="AX541" s="62">
        <f t="shared" ref="AX541:AY541" si="6533">AX538+AX539+AX540</f>
        <v>71567</v>
      </c>
      <c r="AY541" s="220">
        <f t="shared" si="6533"/>
        <v>71128</v>
      </c>
      <c r="AZ541" s="62">
        <f t="shared" ref="AZ541:BA541" si="6534">AZ538+AZ539+AZ540</f>
        <v>73723.260722750987</v>
      </c>
      <c r="BA541" s="62">
        <f t="shared" si="6534"/>
        <v>75563.543680334085</v>
      </c>
      <c r="BB541" s="62">
        <f t="shared" ref="BB541:BC541" si="6535">BB538+BB539+BB540</f>
        <v>76585.045688262253</v>
      </c>
      <c r="BC541" s="62">
        <f t="shared" si="6535"/>
        <v>76273.704939225208</v>
      </c>
      <c r="BD541" s="62">
        <f t="shared" ref="BD541:BE541" si="6536">BD538+BD539+BD540</f>
        <v>76355.658722733497</v>
      </c>
      <c r="BE541" s="62">
        <f t="shared" si="6536"/>
        <v>76069.044065305992</v>
      </c>
      <c r="BF541" s="62">
        <f t="shared" ref="BF541:BG541" si="6537">BF538+BF539+BF540</f>
        <v>76165.962457227739</v>
      </c>
      <c r="BG541" s="62">
        <f t="shared" si="6537"/>
        <v>75997.117365588187</v>
      </c>
      <c r="BH541" s="62">
        <f t="shared" ref="BH541:BI541" si="6538">BH538+BH539+BH540</f>
        <v>77151.472412577947</v>
      </c>
      <c r="BI541" s="62">
        <f t="shared" si="6538"/>
        <v>77980.743055072002</v>
      </c>
      <c r="BJ541" s="62">
        <f t="shared" ref="BJ541:BK541" si="6539">BJ538+BJ539+BJ540</f>
        <v>79275.526407397148</v>
      </c>
      <c r="BK541" s="62">
        <f t="shared" si="6539"/>
        <v>80520.318194242675</v>
      </c>
      <c r="BL541" s="62">
        <f t="shared" ref="BL541:BM541" si="6540">BL538+BL539+BL540</f>
        <v>81924.045267570182</v>
      </c>
      <c r="BM541" s="62">
        <f t="shared" si="6540"/>
        <v>83090.528614379888</v>
      </c>
      <c r="BN541" s="62">
        <f t="shared" ref="BN541:BO541" si="6541">BN538+BN539+BN540</f>
        <v>84398.713843619917</v>
      </c>
      <c r="BO541" s="62">
        <f t="shared" si="6541"/>
        <v>85510.233479223083</v>
      </c>
      <c r="BP541" s="62">
        <f t="shared" ref="BP541:BQ541" si="6542">BP538+BP539+BP540</f>
        <v>86778.240898904609</v>
      </c>
      <c r="BQ541" s="62">
        <f t="shared" si="6542"/>
        <v>87889.59907284021</v>
      </c>
      <c r="BR541" s="62"/>
      <c r="BS541" s="62">
        <f t="shared" ref="BS541:BY541" si="6543">SUM(BS538:BS540)</f>
        <v>4591</v>
      </c>
      <c r="BT541" s="62">
        <f t="shared" si="6543"/>
        <v>5133.0000000000009</v>
      </c>
      <c r="BU541" s="62">
        <f t="shared" si="6543"/>
        <v>5504</v>
      </c>
      <c r="BV541" s="62">
        <f t="shared" si="6543"/>
        <v>5747</v>
      </c>
      <c r="BW541" s="62">
        <f t="shared" si="6543"/>
        <v>6336</v>
      </c>
      <c r="BX541" s="62">
        <f t="shared" si="6543"/>
        <v>6993</v>
      </c>
      <c r="BY541" s="62">
        <f t="shared" si="6543"/>
        <v>8391</v>
      </c>
      <c r="BZ541" s="62">
        <f t="shared" ref="BZ541:CB541" si="6544">SUM(BZ538:BZ540)</f>
        <v>9429</v>
      </c>
      <c r="CA541" s="62">
        <f t="shared" si="6544"/>
        <v>9807</v>
      </c>
      <c r="CB541" s="62">
        <f t="shared" si="6544"/>
        <v>10551</v>
      </c>
      <c r="CC541" s="62">
        <f t="shared" ref="CC541:CP541" si="6545">SUM(CC538:CC540)</f>
        <v>11465</v>
      </c>
      <c r="CD541" s="62">
        <f t="shared" si="6545"/>
        <v>13787</v>
      </c>
      <c r="CE541" s="62">
        <f t="shared" si="6545"/>
        <v>17925</v>
      </c>
      <c r="CF541" s="62">
        <f t="shared" si="6545"/>
        <v>19538</v>
      </c>
      <c r="CG541" s="62">
        <f t="shared" si="6545"/>
        <v>19906</v>
      </c>
      <c r="CH541" s="62">
        <f t="shared" si="6545"/>
        <v>22048</v>
      </c>
      <c r="CI541" s="62">
        <f t="shared" si="6545"/>
        <v>26552</v>
      </c>
      <c r="CJ541" s="62">
        <f t="shared" si="6545"/>
        <v>32429</v>
      </c>
      <c r="CK541" s="62">
        <f t="shared" si="6545"/>
        <v>34155</v>
      </c>
      <c r="CL541" s="62">
        <f t="shared" si="6545"/>
        <v>37954</v>
      </c>
      <c r="CM541" s="62">
        <f t="shared" si="6545"/>
        <v>41220</v>
      </c>
      <c r="CN541" s="62">
        <f t="shared" si="6545"/>
        <v>45603</v>
      </c>
      <c r="CO541" s="62">
        <f t="shared" si="6545"/>
        <v>49284</v>
      </c>
      <c r="CP541" s="62">
        <f t="shared" si="6545"/>
        <v>57353</v>
      </c>
      <c r="CQ541" s="62">
        <f t="shared" ref="CQ541:CX541" si="6546">SUM(CQ538:CQ540)</f>
        <v>57927</v>
      </c>
      <c r="CR541" s="62">
        <f t="shared" si="6546"/>
        <v>59075</v>
      </c>
      <c r="CS541" s="62">
        <f t="shared" si="6546"/>
        <v>59405</v>
      </c>
      <c r="CT541" s="62">
        <f t="shared" si="6546"/>
        <v>60794</v>
      </c>
      <c r="CU541" s="62">
        <f t="shared" si="6546"/>
        <v>61297</v>
      </c>
      <c r="CV541" s="62">
        <f t="shared" si="6546"/>
        <v>63676</v>
      </c>
      <c r="CW541" s="62">
        <f t="shared" si="6546"/>
        <v>66401</v>
      </c>
      <c r="CX541" s="62">
        <f t="shared" si="6546"/>
        <v>70017</v>
      </c>
      <c r="CY541" s="62">
        <f t="shared" ref="CY541:DD541" si="6547">SUM(CY538:CY540)</f>
        <v>69857</v>
      </c>
      <c r="CZ541" s="220">
        <f t="shared" si="6547"/>
        <v>71128</v>
      </c>
      <c r="DA541" s="62">
        <f t="shared" si="6547"/>
        <v>75563.543680334085</v>
      </c>
      <c r="DB541" s="62">
        <f t="shared" si="6547"/>
        <v>76273.704939225194</v>
      </c>
      <c r="DC541" s="62">
        <f t="shared" si="6547"/>
        <v>76069.044065305978</v>
      </c>
      <c r="DD541" s="62">
        <f t="shared" si="6547"/>
        <v>75997.117365588187</v>
      </c>
      <c r="DE541" s="62">
        <f t="shared" ref="DE541" si="6548">SUM(DE538:DE540)</f>
        <v>77980.743055071987</v>
      </c>
      <c r="DF541" s="62">
        <f t="shared" ref="DF541" si="6549">SUM(DF538:DF540)</f>
        <v>80520.318194242645</v>
      </c>
      <c r="DG541" s="62">
        <f>SUM(DG538:DG540)</f>
        <v>83090.528614379844</v>
      </c>
      <c r="DH541" s="62">
        <f>SUM(DH538:DH540)</f>
        <v>85510.233479223039</v>
      </c>
      <c r="DI541" s="62">
        <f>SUM(DI538:DI540)</f>
        <v>87889.599072840167</v>
      </c>
    </row>
    <row r="542" spans="1:113" ht="12" outlineLevel="1">
      <c r="C542" s="41"/>
      <c r="D542" s="41"/>
      <c r="E542" s="41"/>
      <c r="F542" s="41"/>
      <c r="G542" s="41"/>
      <c r="H542" s="41"/>
      <c r="I542" s="41"/>
      <c r="J542" s="41"/>
      <c r="K542" s="41"/>
      <c r="L542" s="41"/>
      <c r="M542" s="41"/>
      <c r="N542" s="41"/>
      <c r="O542" s="41"/>
      <c r="P542" s="41"/>
      <c r="Q542" s="41"/>
      <c r="R542" s="41"/>
      <c r="S542" s="41"/>
      <c r="T542" s="41"/>
      <c r="U542" s="41"/>
      <c r="V542" s="41"/>
      <c r="W542" s="41"/>
      <c r="X542" s="41"/>
      <c r="Y542" s="41"/>
      <c r="Z542" s="41"/>
      <c r="AA542" s="41"/>
      <c r="AB542" s="41"/>
      <c r="AC542" s="41"/>
      <c r="AD542" s="41"/>
      <c r="AE542" s="41"/>
      <c r="AF542" s="41"/>
      <c r="AG542" s="41"/>
      <c r="AH542" s="41"/>
      <c r="AI542" s="41"/>
      <c r="AJ542" s="41"/>
      <c r="AK542" s="41"/>
      <c r="AL542" s="41"/>
      <c r="AM542" s="41"/>
      <c r="AN542" s="41"/>
      <c r="AO542" s="41"/>
      <c r="AP542" s="41"/>
      <c r="AQ542" s="41"/>
      <c r="AR542" s="41"/>
      <c r="AS542" s="41"/>
      <c r="AT542" s="41"/>
      <c r="AU542" s="41"/>
      <c r="AV542" s="41"/>
      <c r="AW542" s="41"/>
      <c r="AX542" s="41"/>
      <c r="AY542" s="211"/>
      <c r="AZ542" s="41"/>
      <c r="BA542" s="41"/>
      <c r="BB542" s="41"/>
      <c r="BC542" s="41"/>
      <c r="BD542" s="41"/>
      <c r="BE542" s="41"/>
      <c r="BF542" s="41"/>
      <c r="BG542" s="41"/>
      <c r="BH542" s="41"/>
      <c r="BI542" s="41"/>
      <c r="BJ542" s="41"/>
      <c r="BK542" s="41"/>
      <c r="BL542" s="41"/>
      <c r="BM542" s="41"/>
      <c r="BN542" s="41"/>
      <c r="BO542" s="41"/>
      <c r="BP542" s="41"/>
      <c r="BQ542" s="41"/>
      <c r="BR542" s="41"/>
      <c r="BS542" s="41"/>
      <c r="BT542" s="41"/>
      <c r="BU542" s="41"/>
      <c r="BV542" s="41"/>
      <c r="BW542" s="41"/>
      <c r="BX542" s="41"/>
      <c r="BY542" s="41"/>
      <c r="BZ542" s="41"/>
      <c r="CA542" s="41"/>
      <c r="CB542" s="532"/>
      <c r="CC542" s="41"/>
      <c r="CD542" s="41"/>
      <c r="CE542" s="41"/>
      <c r="CF542" s="41"/>
      <c r="CG542" s="41"/>
      <c r="CH542" s="41"/>
      <c r="CI542" s="41"/>
      <c r="CJ542" s="41"/>
      <c r="CK542" s="41"/>
      <c r="CL542" s="41"/>
      <c r="CM542" s="41"/>
      <c r="CN542" s="41"/>
      <c r="CO542" s="41"/>
      <c r="CP542" s="41"/>
      <c r="CQ542" s="41"/>
      <c r="CR542" s="41"/>
      <c r="CS542" s="41"/>
      <c r="CT542" s="41"/>
      <c r="CU542" s="41"/>
      <c r="CV542" s="41"/>
      <c r="CW542" s="41"/>
      <c r="CX542" s="41"/>
      <c r="CY542" s="41"/>
      <c r="CZ542" s="211"/>
      <c r="DA542" s="41"/>
      <c r="DB542" s="15"/>
      <c r="DC542" s="15"/>
      <c r="DD542" s="15"/>
      <c r="DE542" s="15"/>
      <c r="DF542" s="15"/>
      <c r="DG542" s="15"/>
      <c r="DH542" s="15"/>
      <c r="DI542" s="15"/>
    </row>
    <row r="543" spans="1:113" s="17" customFormat="1" ht="12" outlineLevel="1">
      <c r="A543" s="1" t="s">
        <v>1010</v>
      </c>
      <c r="B543" s="17" t="s">
        <v>155</v>
      </c>
      <c r="C543" s="61">
        <f>1/C857*1488.3</f>
        <v>1500.1723640894036</v>
      </c>
      <c r="D543" s="61">
        <f>1/D857*1495.7</f>
        <v>1507.6313948589134</v>
      </c>
      <c r="E543" s="61">
        <f>1/E857*1503.9</f>
        <v>1515.8968073332353</v>
      </c>
      <c r="F543" s="61">
        <f>1/F857*1513.4</f>
        <v>1525.4725900778765</v>
      </c>
      <c r="G543" s="61">
        <f>1/G857*1521.7</f>
        <v>1533.8388002652996</v>
      </c>
      <c r="H543" s="61">
        <f>1/H857*1808.2</f>
        <v>1822.6242483010546</v>
      </c>
      <c r="I543" s="61">
        <f>1/I857*1818.4</f>
        <v>1832.9056150374061</v>
      </c>
      <c r="J543" s="61">
        <f>1/J857*1822.7</f>
        <v>1837.23991670077</v>
      </c>
      <c r="K543" s="61">
        <f>1/K857*1826.4</f>
        <v>1840.9694320855249</v>
      </c>
      <c r="L543" s="61">
        <f>1/L857*1828.7</f>
        <v>1843.2877794868591</v>
      </c>
      <c r="M543" s="61">
        <f>1/M857*1836.6</f>
        <v>1851.2507988218763</v>
      </c>
      <c r="N543" s="61">
        <f>1/N857*1844.7</f>
        <v>1859.4154135830968</v>
      </c>
      <c r="O543" s="61">
        <f>1/O857*1864.7</f>
        <v>1879.5749562033936</v>
      </c>
      <c r="P543" s="61">
        <f>1/P857*1921.4</f>
        <v>1936.7272595319359</v>
      </c>
      <c r="Q543" s="61">
        <f>1/Q857*2040.7</f>
        <v>2056.9789312620078</v>
      </c>
      <c r="R543" s="61">
        <f>1/R857*2158.1</f>
        <v>2175.3154464431509</v>
      </c>
      <c r="S543" s="61">
        <f>1/S857*2504.5</f>
        <v>2524.4787246266956</v>
      </c>
      <c r="T543" s="61">
        <f>1/T857*2533.5</f>
        <v>2553.7100614261262</v>
      </c>
      <c r="U543" s="61">
        <f>1/U857*2559.7</f>
        <v>2580.1190622587151</v>
      </c>
      <c r="V543" s="61">
        <f>1/V857*2596.4</f>
        <v>2617.1118229669605</v>
      </c>
      <c r="W543" s="61">
        <f>1/W857*2629</f>
        <v>2649.9718774380449</v>
      </c>
      <c r="X543" s="61">
        <f>1/X857*2679.5</f>
        <v>2700.8747225542947</v>
      </c>
      <c r="Y543" s="61">
        <f>1/Y857*2717.4</f>
        <v>2739.0770558197578</v>
      </c>
      <c r="Z543" s="194">
        <f>1/Z857*2743.7</f>
        <v>2765.5868543654478</v>
      </c>
      <c r="AA543" s="194">
        <f>1/AA857*2743.7</f>
        <v>2765.5868543654478</v>
      </c>
      <c r="AB543" s="194">
        <f>1/AB857*2744.1</f>
        <v>2765.990045217854</v>
      </c>
      <c r="AC543" s="194">
        <f>1/AC857*2756.6</f>
        <v>2778.5897593555396</v>
      </c>
      <c r="AD543" s="194">
        <f>1/AD857*2766</f>
        <v>2788.0647443870794</v>
      </c>
      <c r="AE543" s="194">
        <f>1/AE857*2902.7</f>
        <v>2925.8552181968093</v>
      </c>
      <c r="AF543" s="194">
        <f>1/AF857*2917.6</f>
        <v>2940.8740774489306</v>
      </c>
      <c r="AG543" s="194">
        <f>1/AG857*2927.5</f>
        <v>2950.8530510459777</v>
      </c>
      <c r="AH543" s="194">
        <f>1/AH857*2936.037009</f>
        <v>2959.4581608852459</v>
      </c>
      <c r="AI543" s="194">
        <f>1/AI857*2937.415327</f>
        <v>2960.8474739085123</v>
      </c>
      <c r="AJ543" s="194">
        <f>1/AJ857*2898.758978</f>
        <v>2921.8827581479832</v>
      </c>
      <c r="AK543" s="194">
        <f>1/AK857*2873.618118</f>
        <v>2896.5413462139368</v>
      </c>
      <c r="AL543" s="194">
        <f>1/AL857*2833.175579</f>
        <v>2855.7761917817611</v>
      </c>
      <c r="AM543" s="194">
        <f>1/AM857*2834.584923</f>
        <v>2857.1967783034938</v>
      </c>
      <c r="AN543" s="194">
        <f>1/AN857*2836.177422</f>
        <v>2858.801980876658</v>
      </c>
      <c r="AO543" s="194">
        <f>1/AO857*2840.370225</f>
        <v>2863.0282304155085</v>
      </c>
      <c r="AP543" s="194">
        <f>1/AP857*2845.5418</f>
        <v>2868.2410597468365</v>
      </c>
      <c r="AQ543" s="194">
        <f>1/AQ857*2823.563652</f>
        <v>2846.0875891807764</v>
      </c>
      <c r="AR543" s="194">
        <f>1/AR857*2794.104174</f>
        <v>2816.3931090651417</v>
      </c>
      <c r="AS543" s="194">
        <f>1/AS857*2989.923751</f>
        <v>2989.9237509999998</v>
      </c>
      <c r="AT543" s="194">
        <f>1/AT857*3003.366782</f>
        <v>3003.3667820000001</v>
      </c>
      <c r="AU543" s="194">
        <f>1/AU857*3005.286886</f>
        <v>3005.2868859999999</v>
      </c>
      <c r="AV543" s="194">
        <f>1/AV857*3007.510678</f>
        <v>3007.5106780000001</v>
      </c>
      <c r="AW543" s="194">
        <f>1/AW857*2979.41626</f>
        <v>2979.41626</v>
      </c>
      <c r="AX543" s="194">
        <f>1/AX857*2971.365622</f>
        <v>2971.3656219999998</v>
      </c>
      <c r="AY543" s="227">
        <f>1/AY857*2983.52018</f>
        <v>2983.52018</v>
      </c>
      <c r="AZ543" s="62">
        <f t="shared" ref="AZ543" si="6550">AY543+AZ141</f>
        <v>3005.3977294835063</v>
      </c>
      <c r="BA543" s="62">
        <f>AZ543+BA141</f>
        <v>3027.2492010175706</v>
      </c>
      <c r="BB543" s="62">
        <f t="shared" ref="BB543" si="6551">BA543+BB141</f>
        <v>3027.2492010175706</v>
      </c>
      <c r="BC543" s="62">
        <f>BB543+BC141</f>
        <v>3001.4422682441705</v>
      </c>
      <c r="BD543" s="62">
        <f t="shared" ref="BD543" si="6552">BC543+BD141</f>
        <v>2976.7463561094924</v>
      </c>
      <c r="BE543" s="62">
        <f>BD543+BE141</f>
        <v>2953.1136337895286</v>
      </c>
      <c r="BF543" s="62">
        <f t="shared" ref="BF543" si="6553">BE543+BF141</f>
        <v>2930.4983296368932</v>
      </c>
      <c r="BG543" s="62">
        <f t="shared" ref="BG543:BM543" si="6554">BF543+BG141</f>
        <v>2908.8566425306994</v>
      </c>
      <c r="BH543" s="62">
        <f t="shared" si="6554"/>
        <v>2908.8566425306994</v>
      </c>
      <c r="BI543" s="62">
        <f t="shared" si="6554"/>
        <v>2908.8566425306994</v>
      </c>
      <c r="BJ543" s="62">
        <f t="shared" si="6554"/>
        <v>2908.8566425306994</v>
      </c>
      <c r="BK543" s="62">
        <f t="shared" si="6554"/>
        <v>2908.8566425306994</v>
      </c>
      <c r="BL543" s="62">
        <f t="shared" si="6554"/>
        <v>2908.8566425306994</v>
      </c>
      <c r="BM543" s="62">
        <f t="shared" si="6554"/>
        <v>2908.8566425306994</v>
      </c>
      <c r="BN543" s="62">
        <f t="shared" ref="BN543" si="6555">BM543+BN141</f>
        <v>2908.8566425306994</v>
      </c>
      <c r="BO543" s="62">
        <f t="shared" ref="BO543" si="6556">BN543+BO141</f>
        <v>2908.8566425306994</v>
      </c>
      <c r="BP543" s="62">
        <f t="shared" ref="BP543" si="6557">BO543+BP141</f>
        <v>2908.8566425306994</v>
      </c>
      <c r="BQ543" s="62">
        <f t="shared" ref="BQ543" si="6558">BP543+BQ141</f>
        <v>2908.8566425306994</v>
      </c>
      <c r="BR543" s="62"/>
      <c r="BS543" s="61">
        <f>1/BS857*1054.5</f>
        <v>1062.911884655161</v>
      </c>
      <c r="BT543" s="61">
        <f>1/BT857*1308.2</f>
        <v>1318.6356827936288</v>
      </c>
      <c r="BU543" s="61">
        <f>1/BU857*1353.580687</f>
        <v>1364.3783774793717</v>
      </c>
      <c r="BV543" s="61">
        <f>1/BV857*1446.047877</f>
        <v>1457.5831903685769</v>
      </c>
      <c r="BW543" s="61">
        <f>1/BW857*1478.089641</f>
        <v>1489.8805557179519</v>
      </c>
      <c r="BX543" s="61">
        <f>1/BX857*1508.550854</f>
        <v>1520.5847618049243</v>
      </c>
      <c r="BY543" s="61">
        <f>1/BY857*1539.440677</f>
        <v>1551.7209969700209</v>
      </c>
      <c r="BZ543" s="61">
        <f>1/BZ857*1565.428469</f>
        <v>1577.9160969915913</v>
      </c>
      <c r="CA543" s="61">
        <f>1/CA857*1506.2</f>
        <v>1518.2151547345695</v>
      </c>
      <c r="CB543" s="61">
        <f>1/CB857*1488.3</f>
        <v>1500.1723640894036</v>
      </c>
      <c r="CC543" s="62">
        <f>E543</f>
        <v>1515.8968073332353</v>
      </c>
      <c r="CD543" s="62">
        <f>G543</f>
        <v>1533.8388002652996</v>
      </c>
      <c r="CE543" s="62">
        <f>I543</f>
        <v>1832.9056150374061</v>
      </c>
      <c r="CF543" s="62">
        <f>K543</f>
        <v>1840.9694320855249</v>
      </c>
      <c r="CG543" s="62">
        <f>M543</f>
        <v>1851.2507988218763</v>
      </c>
      <c r="CH543" s="62">
        <f>O543</f>
        <v>1879.5749562033936</v>
      </c>
      <c r="CI543" s="62">
        <f>Q543</f>
        <v>2056.9789312620078</v>
      </c>
      <c r="CJ543" s="62">
        <f>S543</f>
        <v>2524.4787246266956</v>
      </c>
      <c r="CK543" s="62">
        <f>U543</f>
        <v>2580.1190622587151</v>
      </c>
      <c r="CL543" s="62">
        <f>W543</f>
        <v>2649.9718774380449</v>
      </c>
      <c r="CM543" s="62">
        <f>Y543</f>
        <v>2739.0770558197578</v>
      </c>
      <c r="CN543" s="62">
        <f>AA543</f>
        <v>2765.5868543654478</v>
      </c>
      <c r="CO543" s="62">
        <f>AC543</f>
        <v>2778.5897593555396</v>
      </c>
      <c r="CP543" s="62">
        <f>AE543</f>
        <v>2925.8552181968093</v>
      </c>
      <c r="CQ543" s="62">
        <f>AG543</f>
        <v>2950.8530510459777</v>
      </c>
      <c r="CR543" s="62">
        <f>AI543</f>
        <v>2960.8474739085123</v>
      </c>
      <c r="CS543" s="62">
        <f>AK543</f>
        <v>2896.5413462139368</v>
      </c>
      <c r="CT543" s="62">
        <f>AM543</f>
        <v>2857.1967783034938</v>
      </c>
      <c r="CU543" s="62">
        <f>AO543</f>
        <v>2863.0282304155085</v>
      </c>
      <c r="CV543" s="62">
        <f>AQ543</f>
        <v>2846.0875891807764</v>
      </c>
      <c r="CW543" s="62">
        <f>AS543</f>
        <v>2989.9237509999998</v>
      </c>
      <c r="CX543" s="62">
        <f>AU543</f>
        <v>3005.2868859999999</v>
      </c>
      <c r="CY543" s="62">
        <f>AW543</f>
        <v>2979.41626</v>
      </c>
      <c r="CZ543" s="220">
        <f>AY543</f>
        <v>2983.52018</v>
      </c>
      <c r="DA543" s="62">
        <f>BA543</f>
        <v>3027.2492010175706</v>
      </c>
      <c r="DB543" s="62">
        <f>BC543</f>
        <v>3001.4422682441705</v>
      </c>
      <c r="DC543" s="62">
        <f>BE543</f>
        <v>2953.1136337895286</v>
      </c>
      <c r="DD543" s="62">
        <f>BG543</f>
        <v>2908.8566425306994</v>
      </c>
      <c r="DE543" s="62">
        <f>BI543</f>
        <v>2908.8566425306994</v>
      </c>
      <c r="DF543" s="62">
        <f>BK543</f>
        <v>2908.8566425306994</v>
      </c>
      <c r="DG543" s="62">
        <f>BM543</f>
        <v>2908.8566425306994</v>
      </c>
      <c r="DH543" s="62">
        <f>BO543</f>
        <v>2908.8566425306994</v>
      </c>
      <c r="DI543" s="62">
        <f>BQ543</f>
        <v>2908.8566425306994</v>
      </c>
    </row>
    <row r="544" spans="1:113" ht="12" outlineLevel="1">
      <c r="A544" s="1" t="s">
        <v>1011</v>
      </c>
      <c r="B544" s="15" t="s">
        <v>156</v>
      </c>
      <c r="C544" s="40">
        <f>1/C857*1486.1</f>
        <v>1497.9548144011708</v>
      </c>
      <c r="D544" s="40">
        <f>1/D857*1492.2</f>
        <v>1504.1034749003616</v>
      </c>
      <c r="E544" s="40">
        <f>1/E857*1501.5</f>
        <v>1513.4776622187997</v>
      </c>
      <c r="F544" s="40">
        <f>1/F857*1573.6</f>
        <v>1586.1528133649704</v>
      </c>
      <c r="G544" s="40">
        <f>1/G857*1582.1</f>
        <v>1594.7206189785966</v>
      </c>
      <c r="H544" s="40">
        <f>1/H857*1734.3</f>
        <v>1748.1347383190571</v>
      </c>
      <c r="I544" s="40">
        <f>1/I857*1813.9</f>
        <v>1828.3697179478393</v>
      </c>
      <c r="J544" s="40">
        <f>1/J857*1822.7</f>
        <v>1837.23991670077</v>
      </c>
      <c r="K544" s="40">
        <f>1/K857*1824.7</f>
        <v>1839.2558709627997</v>
      </c>
      <c r="L544" s="40">
        <f>1/L857*1828.4</f>
        <v>1842.9853863475546</v>
      </c>
      <c r="M544" s="40">
        <f>1/M857*1832.2</f>
        <v>1846.8156994454109</v>
      </c>
      <c r="N544" s="40">
        <f>1/N857*1841.6</f>
        <v>1856.2906844769504</v>
      </c>
      <c r="O544" s="40">
        <f>1/O857*1855.3</f>
        <v>1870.0999711718539</v>
      </c>
      <c r="P544" s="40">
        <f>1/P857*1895.1</f>
        <v>1910.217460986245</v>
      </c>
      <c r="Q544" s="40">
        <f>1/Q857*1950.7</f>
        <v>1966.2609894706709</v>
      </c>
      <c r="R544" s="40">
        <f>1/R857*2100.7</f>
        <v>2117.4575591228986</v>
      </c>
      <c r="S544" s="40">
        <f>1/S857*2341.8</f>
        <v>2360.4808454105796</v>
      </c>
      <c r="T544" s="40">
        <f>1/T857*2511</f>
        <v>2531.0305759782923</v>
      </c>
      <c r="U544" s="40">
        <f>1/U857*2535.4</f>
        <v>2555.6252179750545</v>
      </c>
      <c r="V544" s="40">
        <f>1/V857*2566.7</f>
        <v>2587.1749021758192</v>
      </c>
      <c r="W544" s="40">
        <f>1/W857*2598.8</f>
        <v>2619.5309680813962</v>
      </c>
      <c r="X544" s="40">
        <f>1/X857*2644.1</f>
        <v>2665.192332116369</v>
      </c>
      <c r="Y544" s="40">
        <f>1/Y857*2682.2</f>
        <v>2703.5962608080345</v>
      </c>
      <c r="Z544" s="141">
        <f>1/Z857*2716.6</f>
        <v>2738.2706741149455</v>
      </c>
      <c r="AA544" s="141">
        <f>1/AA857*2727.5</f>
        <v>2749.2576248430078</v>
      </c>
      <c r="AB544" s="141">
        <f>1/AB857*2728</f>
        <v>2749.7616134085151</v>
      </c>
      <c r="AC544" s="141">
        <f>1/AC857*2736.7</f>
        <v>2758.5310144483442</v>
      </c>
      <c r="AD544" s="141">
        <f>1/AD857*2750</f>
        <v>2771.9371102908417</v>
      </c>
      <c r="AE544" s="141">
        <f>1/AE857*2792.7</f>
        <v>2814.9777337851756</v>
      </c>
      <c r="AF544" s="141">
        <f>1/AF857*2901.4</f>
        <v>2924.5448479264905</v>
      </c>
      <c r="AG544" s="141">
        <f>1/AG857*2911.6</f>
        <v>2934.8262146628417</v>
      </c>
      <c r="AH544" s="141">
        <f>1/AH857*2923.7</f>
        <v>2947.0227379481212</v>
      </c>
      <c r="AI544" s="141">
        <f>1/AI857*2929.2</f>
        <v>2952.5666121687032</v>
      </c>
      <c r="AJ544" s="141">
        <f>1/AJ857*2924.6</f>
        <v>2947.9299173660347</v>
      </c>
      <c r="AK544" s="141">
        <f>1/AK857*2882.2</f>
        <v>2905.1916870110049</v>
      </c>
      <c r="AL544" s="141">
        <f>1/AL857*2856.9</f>
        <v>2879.6898655963296</v>
      </c>
      <c r="AM544" s="141">
        <f>1/AM857*2829.3</f>
        <v>2851.8696967803198</v>
      </c>
      <c r="AN544" s="141">
        <f>1/AN857*2830.6</f>
        <v>2853.1800670506386</v>
      </c>
      <c r="AO544" s="141">
        <f>1/AO857*2831.2</f>
        <v>2853.7848533292477</v>
      </c>
      <c r="AP544" s="141">
        <f>1/AP857*2838.7</f>
        <v>2861.3446818118587</v>
      </c>
      <c r="AQ544" s="141">
        <f>1/AQ857*2838.4</f>
        <v>2861.0422886725546</v>
      </c>
      <c r="AR544" s="141">
        <f>1/AR857*2832.9</f>
        <v>2855.4984144519731</v>
      </c>
      <c r="AS544" s="141">
        <f>1/AS857*2862.5</f>
        <v>2862.5</v>
      </c>
      <c r="AT544" s="141">
        <f>1/AT857*2994.1</f>
        <v>2994.1</v>
      </c>
      <c r="AU544" s="141">
        <f>1/AU857*3000.2</f>
        <v>3000.2</v>
      </c>
      <c r="AV544" s="141">
        <f>1/AV857*3001.3</f>
        <v>3001.3</v>
      </c>
      <c r="AW544" s="141">
        <f>1/AW857*2995.5</f>
        <v>2995.5</v>
      </c>
      <c r="AX544" s="141">
        <f>1/AX857*2971.9</f>
        <v>2971.9</v>
      </c>
      <c r="AY544" s="226">
        <f>1/AY857*2973.3</f>
        <v>2973.3</v>
      </c>
      <c r="AZ544" s="41">
        <f t="shared" ref="AZ544" si="6559">AY544*AVERAGE(AY543:AZ543)/AVERAGE(AX543:AY543)</f>
        <v>2990.2923771076726</v>
      </c>
      <c r="BA544" s="41">
        <f t="shared" ref="BA544" si="6560">AZ544*AVERAGE(AZ543:BA543)/AVERAGE(AY543:AZ543)</f>
        <v>3012.1264646980467</v>
      </c>
      <c r="BB544" s="41">
        <f t="shared" ref="BB544" si="6561">BA544*AVERAGE(BA543:BB543)/AVERAGE(AZ543:BA543)</f>
        <v>3023.0369980772784</v>
      </c>
      <c r="BC544" s="41">
        <f t="shared" ref="BC544" si="6562">BB544*AVERAGE(BB543:BC543)/AVERAGE(BA543:BB543)</f>
        <v>3010.1514859505169</v>
      </c>
      <c r="BD544" s="41">
        <f t="shared" ref="BD544" si="6563">BC544*AVERAGE(BC543:BD543)/AVERAGE(BB543:BC543)</f>
        <v>2984.9351990630744</v>
      </c>
      <c r="BE544" s="41">
        <f t="shared" ref="BE544" si="6564">BD544*AVERAGE(BD543:BE543)/AVERAGE(BC543:BD543)</f>
        <v>2960.8045047723922</v>
      </c>
      <c r="BF544" s="41">
        <f t="shared" ref="BF544" si="6565">BE544*AVERAGE(BE543:BF543)/AVERAGE(BD543:BE543)</f>
        <v>2937.712666963379</v>
      </c>
      <c r="BG544" s="41">
        <f t="shared" ref="BG544:BK544" si="6566">BF544*AVERAGE(BF543:BG543)/AVERAGE(BE543:BF543)</f>
        <v>2915.6149615689819</v>
      </c>
      <c r="BH544" s="41">
        <f t="shared" si="6566"/>
        <v>2904.8091744535964</v>
      </c>
      <c r="BI544" s="41">
        <f t="shared" si="6566"/>
        <v>2904.8091744535964</v>
      </c>
      <c r="BJ544" s="41">
        <f t="shared" si="6566"/>
        <v>2904.8091744535964</v>
      </c>
      <c r="BK544" s="41">
        <f t="shared" si="6566"/>
        <v>2904.8091744535964</v>
      </c>
      <c r="BL544" s="41">
        <f t="shared" ref="BL544" si="6567">BK544*AVERAGE(BK543:BL543)/AVERAGE(BJ543:BK543)</f>
        <v>2904.8091744535964</v>
      </c>
      <c r="BM544" s="41">
        <f t="shared" ref="BM544" si="6568">BL544*AVERAGE(BL543:BM543)/AVERAGE(BK543:BL543)</f>
        <v>2904.8091744535964</v>
      </c>
      <c r="BN544" s="41">
        <f t="shared" ref="BN544" si="6569">BM544*AVERAGE(BM543:BN543)/AVERAGE(BL543:BM543)</f>
        <v>2904.8091744535964</v>
      </c>
      <c r="BO544" s="41">
        <f t="shared" ref="BO544" si="6570">BN544*AVERAGE(BN543:BO543)/AVERAGE(BM543:BN543)</f>
        <v>2904.8091744535964</v>
      </c>
      <c r="BP544" s="41">
        <f t="shared" ref="BP544" si="6571">BO544*AVERAGE(BO543:BP543)/AVERAGE(BN543:BO543)</f>
        <v>2904.8091744535964</v>
      </c>
      <c r="BQ544" s="41">
        <f t="shared" ref="BQ544" si="6572">BP544*AVERAGE(BP543:BQ543)/AVERAGE(BO543:BP543)</f>
        <v>2904.8091744535964</v>
      </c>
      <c r="BR544" s="41"/>
      <c r="BS544" s="40">
        <f>1/BS857*1093/0.9597</f>
        <v>1147.9827073035665</v>
      </c>
      <c r="BT544" s="40">
        <f>1/BT857*1234/0.9597</f>
        <v>1296.0756274589212</v>
      </c>
      <c r="BU544" s="40">
        <f>1/BU857*1327.6/0.9597</f>
        <v>1394.3841191365186</v>
      </c>
      <c r="BV544" s="40">
        <f>1/BV857*1390.3/0.9597</f>
        <v>1460.2382049077296</v>
      </c>
      <c r="BW544" s="40">
        <f>1/BW857*1462.3/0.9597</f>
        <v>1535.8601215828044</v>
      </c>
      <c r="BX544" s="40">
        <f>1/BX857*1492.9/0.9597</f>
        <v>1567.9994361697113</v>
      </c>
      <c r="BY544" s="40">
        <f>1/BY857*1522.9/0.9597</f>
        <v>1599.508568117659</v>
      </c>
      <c r="BZ544" s="40">
        <f>1/BZ857*1553.5/0.9597</f>
        <v>1631.647882704566</v>
      </c>
      <c r="CA544" s="40">
        <f>1/CA857*1540.3/0.9597</f>
        <v>1617.7838646474688</v>
      </c>
      <c r="CB544" s="40">
        <f>1/CB857*1492.1/0.9597</f>
        <v>1567.1591926510991</v>
      </c>
      <c r="CC544" s="41">
        <f>SUMPRODUCT(D544:E544,D$5:E$5)/SUM(D$5:E$5)</f>
        <v>1508.7777272070898</v>
      </c>
      <c r="CD544" s="41">
        <f>SUMPRODUCT(F544:G544,F$5:G$5)/SUM(F$5:G$5)</f>
        <v>1590.424979451765</v>
      </c>
      <c r="CE544" s="41">
        <f>SUMPRODUCT(H544:I544,H$5:I$5)/SUM(H$5:I$5)</f>
        <v>1788.2522281334482</v>
      </c>
      <c r="CF544" s="41">
        <f>SUMPRODUCT(J544:K544,J$5:K$5)/SUM(J$5:K$5)</f>
        <v>1838.2451322506042</v>
      </c>
      <c r="CG544" s="141">
        <f>1/CG857*1830.3</f>
        <v>1844.9005428964826</v>
      </c>
      <c r="CH544" s="141">
        <f>1/CH857*1848.5</f>
        <v>1863.2457266809531</v>
      </c>
      <c r="CI544" s="141">
        <f>1/CI857*1921.1</f>
        <v>1936.4248663926312</v>
      </c>
      <c r="CJ544" s="141">
        <f>1/CJ857*2221.6</f>
        <v>2239.3219942625942</v>
      </c>
      <c r="CK544" s="141">
        <f>1/CK857*2509.3</f>
        <v>2529.3170148555673</v>
      </c>
      <c r="CL544" s="141">
        <f>1/CL857*2565.9</f>
        <v>2586.3685204710077</v>
      </c>
      <c r="CM544" s="141">
        <f>1/CM857*2663.1</f>
        <v>2684.3438976056509</v>
      </c>
      <c r="CN544" s="141">
        <f>1/CN857*2722.1</f>
        <v>2743.8145483355274</v>
      </c>
      <c r="CO544" s="141">
        <f>1/CO857*2732.2</f>
        <v>2753.9951173587774</v>
      </c>
      <c r="CP544" s="141">
        <f>1/CP857*2771.4</f>
        <v>2793.5078208945597</v>
      </c>
      <c r="CQ544" s="141">
        <f>1/CQ857*2906.2</f>
        <v>2929.3831381553614</v>
      </c>
      <c r="CR544" s="141">
        <f>1/CR857*2926.4</f>
        <v>2949.7442762018618</v>
      </c>
      <c r="CS544" s="141">
        <f>1/CS857*2903.3</f>
        <v>2926.4600044754188</v>
      </c>
      <c r="CT544" s="141">
        <f>1/CT857*2843.1</f>
        <v>2865.7797811883243</v>
      </c>
      <c r="CU544" s="141">
        <f>1/CU857*2830.9</f>
        <v>2853.4824601899431</v>
      </c>
      <c r="CV544" s="141">
        <f>1/CV857*2838.6</f>
        <v>2861.2438840987575</v>
      </c>
      <c r="CW544" s="141">
        <f>1/CW857*2847.5</f>
        <v>2847.5</v>
      </c>
      <c r="CX544" s="141">
        <f>1/CX857*2997.2</f>
        <v>2997.2</v>
      </c>
      <c r="CY544" s="141">
        <f>1/CY857*2998.4</f>
        <v>2998.4</v>
      </c>
      <c r="CZ544" s="226">
        <f>1/CZ857*2972.6</f>
        <v>2972.6</v>
      </c>
      <c r="DA544" s="41">
        <f>SUMPRODUCT(AZ544:BA544,AZ$5:BA$5)/SUM(AZ$5:BA$5)</f>
        <v>3001.1795111938318</v>
      </c>
      <c r="DB544" s="41">
        <f>SUMPRODUCT(BB544:BC544,BB$5:BC$5)/SUM(BB$5:BC$5)</f>
        <v>3016.6118934003725</v>
      </c>
      <c r="DC544" s="41">
        <f>SUMPRODUCT(BD544:BE544,BD$5:BE$5)/SUM(BD$5:BE$5)</f>
        <v>2972.8698519177333</v>
      </c>
      <c r="DD544" s="41">
        <f>SUMPRODUCT(BF544:BG544,BF$5:BG$5)/SUM(BF$5:BG$5)</f>
        <v>2926.6940850954884</v>
      </c>
      <c r="DE544" s="41">
        <f>SUMPRODUCT(BH544:BI544,BH$5:BI$5)/SUM(BH$5:BI$5)</f>
        <v>2904.8091744535964</v>
      </c>
      <c r="DF544" s="41">
        <f>SUMPRODUCT(BJ544:BK544,BJ$5:BK$5)/SUM(BJ$5:BK$5)</f>
        <v>2904.8091744535964</v>
      </c>
      <c r="DG544" s="41">
        <f>SUMPRODUCT(BL544:BM544,BL$5:BM$5)/SUM(BL$5:BM$5)</f>
        <v>2904.8091744535964</v>
      </c>
      <c r="DH544" s="41">
        <f>SUMPRODUCT(BN544:BO544,BN$5:BO$5)/SUM(BN$5:BO$5)</f>
        <v>2904.8091744535964</v>
      </c>
      <c r="DI544" s="41">
        <f>SUMPRODUCT(BP544:BQ544,BP$5:BQ$5)/SUM(BP$5:BQ$5)</f>
        <v>2904.8091744535964</v>
      </c>
    </row>
    <row r="545" spans="1:113" ht="12" outlineLevel="1">
      <c r="A545" s="1" t="s">
        <v>1018</v>
      </c>
      <c r="B545" s="15" t="s">
        <v>440</v>
      </c>
      <c r="C545" s="40">
        <f>1/C857*1491.7</f>
        <v>1503.5994863348542</v>
      </c>
      <c r="D545" s="40">
        <f>1/D857*1499.7</f>
        <v>1511.6633033829728</v>
      </c>
      <c r="E545" s="40">
        <f>1/E857*1509.2</f>
        <v>1521.239086127614</v>
      </c>
      <c r="F545" s="40">
        <f>1/F857*1579.6</f>
        <v>1592.2006761510595</v>
      </c>
      <c r="G545" s="40">
        <f>1/G857*1588</f>
        <v>1600.6676840515843</v>
      </c>
      <c r="H545" s="40">
        <f>1/H857*1793.1</f>
        <v>1807.4037936227303</v>
      </c>
      <c r="I545" s="40">
        <f>1/I857*1895.4</f>
        <v>1910.5198541255497</v>
      </c>
      <c r="J545" s="40">
        <f>1/J857*1949.2</f>
        <v>1964.7490237741486</v>
      </c>
      <c r="K545" s="40">
        <f>1/K857*1936.8</f>
        <v>1952.2501073495644</v>
      </c>
      <c r="L545" s="40">
        <f>1/L857*1937</f>
        <v>1952.4517027757674</v>
      </c>
      <c r="M545" s="40">
        <f>1/M857*1938.2</f>
        <v>1953.6612753329853</v>
      </c>
      <c r="N545" s="40">
        <f>1/N857*1936.4</f>
        <v>1951.8469164971586</v>
      </c>
      <c r="O545" s="40">
        <f>1/O857*1964.8</f>
        <v>1980.4734670179803</v>
      </c>
      <c r="P545" s="40">
        <f>1/P857*2050.5</f>
        <v>2066.8571071459533</v>
      </c>
      <c r="Q545" s="40">
        <f>1/Q857*2142.6</f>
        <v>2159.6918009124206</v>
      </c>
      <c r="R545" s="40">
        <f>1/R857*2315.4</f>
        <v>2333.8702491517874</v>
      </c>
      <c r="S545" s="40">
        <f>1/S857*2467.2</f>
        <v>2486.8811776398416</v>
      </c>
      <c r="T545" s="40">
        <f>T544+(2640.5-2499.8)</f>
        <v>2671.7305759782921</v>
      </c>
      <c r="U545" s="40">
        <f>U544+(2719.6-2518.7)</f>
        <v>2756.5252179750546</v>
      </c>
      <c r="V545" s="40">
        <f>V544+(2748.3-2550.1)</f>
        <v>2785.3749021758194</v>
      </c>
      <c r="W545" s="40">
        <f>W544+(2824.8-2581.5)</f>
        <v>2862.8309680813963</v>
      </c>
      <c r="X545" s="40">
        <f>1/X857*2904</f>
        <v>2927.1655884671291</v>
      </c>
      <c r="Y545" s="40">
        <f>1/Y857*2910.9</f>
        <v>2934.1206306711315</v>
      </c>
      <c r="Z545" s="141">
        <f>1/Z857*2904.4</f>
        <v>2927.5687793195348</v>
      </c>
      <c r="AA545" s="141">
        <f>1/AA857*2915.4</f>
        <v>2938.6565277606983</v>
      </c>
      <c r="AB545" s="141">
        <f>1/AB857*2918.8</f>
        <v>2942.0836500061487</v>
      </c>
      <c r="AC545" s="141">
        <f>1/AC857*2945.2</f>
        <v>2968.6942462649404</v>
      </c>
      <c r="AD545" s="141">
        <f>1/AD857*2926.8</f>
        <v>2950.1474670542675</v>
      </c>
      <c r="AE545" s="141">
        <f>1/AE857*3077.4</f>
        <v>3101.948822985104</v>
      </c>
      <c r="AF545" s="141">
        <f>1/AF857*3229.5</f>
        <v>3255.2621446124631</v>
      </c>
      <c r="AG545" s="141">
        <f>1/AG857*3192.6</f>
        <v>3218.0677884780148</v>
      </c>
      <c r="AH545" s="141">
        <f>1/AH857*3180.8</f>
        <v>3206.1736583320398</v>
      </c>
      <c r="AI545" s="141">
        <f>1/AI857*3183.7</f>
        <v>3209.0967920119829</v>
      </c>
      <c r="AJ545" s="141">
        <f>1/AJ857*3204.3</f>
        <v>3229.861120910889</v>
      </c>
      <c r="AK545" s="141">
        <f>1/AK857*3132.3</f>
        <v>3157.2867674778195</v>
      </c>
      <c r="AL545" s="141">
        <f>1/AL857*3125.8</f>
        <v>3150.7349161262232</v>
      </c>
      <c r="AM545" s="141">
        <f>1/AM857*3075.5</f>
        <v>3100.0336664361757</v>
      </c>
      <c r="AN545" s="141">
        <f>1/AN857*3238.6</f>
        <v>3264.4347365046979</v>
      </c>
      <c r="AO545" s="141">
        <f>1/AO857*3200.7</f>
        <v>3226.2324032392353</v>
      </c>
      <c r="AP545" s="141">
        <f>1/AP857*3084.4</f>
        <v>3109.0046629022081</v>
      </c>
      <c r="AQ545" s="141">
        <f>1/AQ857*3105.5</f>
        <v>3130.2729803666216</v>
      </c>
      <c r="AR545" s="141">
        <f>1/AR857*3103.8</f>
        <v>3128.5594192438962</v>
      </c>
      <c r="AS545" s="141">
        <f>1/AS857*3145.5</f>
        <v>3145.5</v>
      </c>
      <c r="AT545" s="141">
        <f>1/AT857*3278.3</f>
        <v>3278.3</v>
      </c>
      <c r="AU545" s="141">
        <f>1/AU857*3281.6</f>
        <v>3281.6</v>
      </c>
      <c r="AV545" s="141">
        <f>1/AV857*3249.4</f>
        <v>3249.4</v>
      </c>
      <c r="AW545" s="141">
        <f>1/AW857*3230.2</f>
        <v>3230.2</v>
      </c>
      <c r="AX545" s="141">
        <f>1/AX857*3217.7</f>
        <v>3217.7</v>
      </c>
      <c r="AY545" s="226">
        <f>1/AY857*2981.7</f>
        <v>2981.7</v>
      </c>
      <c r="AZ545" s="210">
        <f t="shared" ref="AZ545" si="6573">AY545-AY544+AZ544</f>
        <v>2998.6923771076722</v>
      </c>
      <c r="BA545" s="210">
        <f t="shared" ref="BA545" si="6574">AZ545-AZ544+BA544</f>
        <v>3020.5264646980463</v>
      </c>
      <c r="BB545" s="210">
        <f t="shared" ref="BB545" si="6575">BA545-BA544+BB544</f>
        <v>3031.4369980772781</v>
      </c>
      <c r="BC545" s="210">
        <f t="shared" ref="BC545" si="6576">BB545-BB544+BC544</f>
        <v>3018.5514859505165</v>
      </c>
      <c r="BD545" s="210">
        <f t="shared" ref="BD545" si="6577">BC545-BC544+BD544</f>
        <v>2993.335199063074</v>
      </c>
      <c r="BE545" s="210">
        <f t="shared" ref="BE545" si="6578">BD545-BD544+BE544</f>
        <v>2969.2045047723918</v>
      </c>
      <c r="BF545" s="210">
        <f t="shared" ref="BF545" si="6579">BE545-BE544+BF544</f>
        <v>2946.1126669633786</v>
      </c>
      <c r="BG545" s="210">
        <f t="shared" ref="BG545:BK545" si="6580">BF545-BF544+BG544</f>
        <v>2924.0149615689816</v>
      </c>
      <c r="BH545" s="210">
        <f t="shared" si="6580"/>
        <v>2913.209174453596</v>
      </c>
      <c r="BI545" s="210">
        <f t="shared" si="6580"/>
        <v>2913.209174453596</v>
      </c>
      <c r="BJ545" s="210">
        <f t="shared" si="6580"/>
        <v>2913.209174453596</v>
      </c>
      <c r="BK545" s="210">
        <f t="shared" si="6580"/>
        <v>2913.209174453596</v>
      </c>
      <c r="BL545" s="210">
        <f t="shared" ref="BL545" si="6581">BK545-BK544+BL544</f>
        <v>2913.209174453596</v>
      </c>
      <c r="BM545" s="210">
        <f t="shared" ref="BM545" si="6582">BL545-BL544+BM544</f>
        <v>2913.209174453596</v>
      </c>
      <c r="BN545" s="210">
        <f t="shared" ref="BN545" si="6583">BM545-BM544+BN544</f>
        <v>2913.209174453596</v>
      </c>
      <c r="BO545" s="210">
        <f t="shared" ref="BO545" si="6584">BN545-BN544+BO544</f>
        <v>2913.209174453596</v>
      </c>
      <c r="BP545" s="210">
        <f t="shared" ref="BP545" si="6585">BO545-BO544+BP544</f>
        <v>2913.209174453596</v>
      </c>
      <c r="BQ545" s="210">
        <f t="shared" ref="BQ545" si="6586">BP545-BP544+BQ544</f>
        <v>2913.209174453596</v>
      </c>
      <c r="BR545" s="41"/>
      <c r="BS545" s="40">
        <f>1/BS857*1378/0.9597</f>
        <v>1447.3194608090712</v>
      </c>
      <c r="BT545" s="40">
        <f>1/BT857*1449/0.9597</f>
        <v>1521.8910730858809</v>
      </c>
      <c r="BU545" s="40">
        <f>1/BU857*1327.6/0.9597</f>
        <v>1394.3841191365186</v>
      </c>
      <c r="BV545" s="40">
        <f>1/BV857*1390.3/0.9597</f>
        <v>1460.2382049077296</v>
      </c>
      <c r="BW545" s="40">
        <f>1/BW857*1469.9/0.9597</f>
        <v>1543.8424350096179</v>
      </c>
      <c r="BX545" s="40">
        <f>1/BX857*1500.1/0.9597</f>
        <v>1575.5616278372186</v>
      </c>
      <c r="BY545" s="40">
        <f>1/BY857*1529.5/0.9597</f>
        <v>1606.4405771462075</v>
      </c>
      <c r="BZ545" s="40">
        <f>1/BZ857*1561/0.9597</f>
        <v>1639.525165691553</v>
      </c>
      <c r="CA545" s="40">
        <f>1/CA857*1552.4/0.9597</f>
        <v>1630.4925478664745</v>
      </c>
      <c r="CB545" s="40">
        <f>1/CB857*1496.3/0.9597</f>
        <v>1571.570471123812</v>
      </c>
      <c r="CC545" s="41">
        <f>SUMPRODUCT(D545:E545,D$5:E$5)/SUM(D$5:E$5)</f>
        <v>1516.4380772446843</v>
      </c>
      <c r="CD545" s="41">
        <f>SUMPRODUCT(F545:G545,F$5:G$5)/SUM(F$5:G$5)</f>
        <v>1596.4225814603622</v>
      </c>
      <c r="CE545" s="41">
        <f>SUMPRODUCT(H545:I545,H$5:I$5)/SUM(H$5:I$5)</f>
        <v>1858.96182387414</v>
      </c>
      <c r="CF545" s="41">
        <f>SUMPRODUCT(J545:K545,J$5:K$5)/SUM(J$5:K$5)</f>
        <v>1958.5166873651779</v>
      </c>
      <c r="CG545" s="141">
        <f>1/CG857*1937.2</f>
        <v>1952.6532982019705</v>
      </c>
      <c r="CH545" s="141">
        <f>1/CH857*1950.9</f>
        <v>1966.462584896874</v>
      </c>
      <c r="CI545" s="141">
        <f>1/CI857*2116.6</f>
        <v>2133.4843955060346</v>
      </c>
      <c r="CJ545" s="141">
        <f>1/CJ857*2346.9</f>
        <v>2365.621528778755</v>
      </c>
      <c r="CK545" s="141">
        <f>1/CK857*2697</f>
        <v>2718.5143223470545</v>
      </c>
      <c r="CL545" s="141">
        <f>1/CL857*2809.6</f>
        <v>2832.0125472993268</v>
      </c>
      <c r="CM545" s="141">
        <f>1/CM857*2903.3</f>
        <v>2926.4600044754188</v>
      </c>
      <c r="CN545" s="141">
        <f>1/CN857*2904.7</f>
        <v>2927.8711724588393</v>
      </c>
      <c r="CO545" s="141">
        <f>1/CO857*2934.4</f>
        <v>2957.8080932499806</v>
      </c>
      <c r="CP545" s="141">
        <f>1/CP857*3032.2</f>
        <v>3056.3882566632328</v>
      </c>
      <c r="CQ545" s="141">
        <f>1/CQ857*3187</f>
        <v>3212.4231165443321</v>
      </c>
      <c r="CR545" s="141">
        <f>1/CR857*3191.7</f>
        <v>3217.1606090601013</v>
      </c>
      <c r="CS545" s="141">
        <f>1/CS857*3163.7</f>
        <v>3188.9372493916858</v>
      </c>
      <c r="CT545" s="141">
        <f>1/CT857*3089.8</f>
        <v>3114.4477394096884</v>
      </c>
      <c r="CU545" s="141">
        <f>1/CU857*3201.1</f>
        <v>3226.635594091641</v>
      </c>
      <c r="CV545" s="141">
        <f>1/CV857*3098.8</f>
        <v>3123.519533588822</v>
      </c>
      <c r="CW545" s="141">
        <f>1/CW857*3138.1</f>
        <v>3138.1</v>
      </c>
      <c r="CX545" s="141">
        <f>1/CX857*3270.5</f>
        <v>3270.5</v>
      </c>
      <c r="CY545" s="141">
        <f>1/CY857*3234</f>
        <v>3234</v>
      </c>
      <c r="CZ545" s="226">
        <f>1/CZ857*3179.9</f>
        <v>3179.9</v>
      </c>
      <c r="DA545" s="41">
        <f>SUMPRODUCT(AZ545:BA545,AZ$5:BA$5)/SUM(AZ$5:BA$5)</f>
        <v>3009.5795111938314</v>
      </c>
      <c r="DB545" s="41">
        <f>SUMPRODUCT(BB545:BC545,BB$5:BC$5)/SUM(BB$5:BC$5)</f>
        <v>3025.0118934003722</v>
      </c>
      <c r="DC545" s="41">
        <f>SUMPRODUCT(BD545:BE545,BD$5:BE$5)/SUM(BD$5:BE$5)</f>
        <v>2981.2698519177329</v>
      </c>
      <c r="DD545" s="41">
        <f>SUMPRODUCT(BF545:BG545,BF$5:BG$5)/SUM(BF$5:BG$5)</f>
        <v>2935.094085095488</v>
      </c>
      <c r="DE545" s="41">
        <f>SUMPRODUCT(BH545:BI545,BH$5:BI$5)/SUM(BH$5:BI$5)</f>
        <v>2913.209174453596</v>
      </c>
      <c r="DF545" s="41">
        <f>SUMPRODUCT(BJ545:BK545,BJ$5:BK$5)/SUM(BJ$5:BK$5)</f>
        <v>2913.209174453596</v>
      </c>
      <c r="DG545" s="41">
        <f>SUMPRODUCT(BL545:BM545,BL$5:BM$5)/SUM(BL$5:BM$5)</f>
        <v>2913.209174453596</v>
      </c>
      <c r="DH545" s="41">
        <f>SUMPRODUCT(BN545:BO545,BN$5:BO$5)/SUM(BN$5:BO$5)</f>
        <v>2913.209174453596</v>
      </c>
      <c r="DI545" s="41">
        <f>SUMPRODUCT(BP545:BQ545,BP$5:BQ$5)/SUM(BP$5:BQ$5)</f>
        <v>2913.209174453596</v>
      </c>
    </row>
    <row r="546" spans="1:113" ht="12" outlineLevel="1">
      <c r="A546" s="1" t="s">
        <v>1019</v>
      </c>
      <c r="B546" s="15" t="s">
        <v>441</v>
      </c>
      <c r="C546" s="40">
        <v>0</v>
      </c>
      <c r="D546" s="40">
        <v>0</v>
      </c>
      <c r="E546" s="40">
        <v>0</v>
      </c>
      <c r="F546" s="40">
        <v>0</v>
      </c>
      <c r="G546" s="40">
        <v>0</v>
      </c>
      <c r="H546" s="40">
        <v>26</v>
      </c>
      <c r="I546" s="40">
        <v>37</v>
      </c>
      <c r="J546" s="40">
        <f>23+32</f>
        <v>55</v>
      </c>
      <c r="K546" s="40">
        <f>48+44-J546</f>
        <v>37</v>
      </c>
      <c r="L546" s="40">
        <f>29+22</f>
        <v>51</v>
      </c>
      <c r="M546" s="40">
        <f>24+23</f>
        <v>47</v>
      </c>
      <c r="N546" s="40">
        <f>22+24</f>
        <v>46</v>
      </c>
      <c r="O546" s="40">
        <f>22+26+21</f>
        <v>69</v>
      </c>
      <c r="P546" s="40">
        <f>20+28+33</f>
        <v>81</v>
      </c>
      <c r="Q546" s="40">
        <f>21+27+30+1</f>
        <v>79</v>
      </c>
      <c r="R546" s="40">
        <f>30+30+14</f>
        <v>74</v>
      </c>
      <c r="S546" s="40">
        <f>24+22+11</f>
        <v>57</v>
      </c>
      <c r="T546" s="40">
        <f>19+0+53</f>
        <v>72</v>
      </c>
      <c r="U546" s="40">
        <f>16+25+81</f>
        <v>122</v>
      </c>
      <c r="V546" s="40">
        <f>14+24+84</f>
        <v>122</v>
      </c>
      <c r="W546" s="40">
        <f>14+22+84</f>
        <v>120</v>
      </c>
      <c r="X546" s="40">
        <f>14+22+117</f>
        <v>153</v>
      </c>
      <c r="Y546" s="40">
        <f>16+9+108</f>
        <v>133</v>
      </c>
      <c r="Z546" s="141">
        <f>14+96</f>
        <v>110</v>
      </c>
      <c r="AA546" s="141">
        <f>3424-3310</f>
        <v>114</v>
      </c>
      <c r="AB546" s="141">
        <f>3628-3512</f>
        <v>116</v>
      </c>
      <c r="AC546" s="141">
        <f>3726-3599</f>
        <v>127</v>
      </c>
      <c r="AD546" s="141">
        <f>3802-3675</f>
        <v>127</v>
      </c>
      <c r="AE546" s="141">
        <f>3687-3540</f>
        <v>147</v>
      </c>
      <c r="AF546" s="141">
        <f>2929-2782</f>
        <v>147</v>
      </c>
      <c r="AG546" s="141">
        <f>3257-3107</f>
        <v>150</v>
      </c>
      <c r="AH546" s="141">
        <f>3559-3411</f>
        <v>148</v>
      </c>
      <c r="AI546" s="141">
        <f>3667-3527</f>
        <v>140</v>
      </c>
      <c r="AJ546" s="141">
        <f>3634-3493</f>
        <v>141</v>
      </c>
      <c r="AK546" s="141">
        <f>3132-2994</f>
        <v>138</v>
      </c>
      <c r="AL546" s="141">
        <f>3701-3564</f>
        <v>137</v>
      </c>
      <c r="AM546" s="141">
        <f>3037-2906</f>
        <v>131</v>
      </c>
      <c r="AN546" s="141">
        <f>1537-1413</f>
        <v>124</v>
      </c>
      <c r="AO546" s="141">
        <f>2435-2345</f>
        <v>90</v>
      </c>
      <c r="AP546" s="141">
        <f>3082-2990</f>
        <v>92</v>
      </c>
      <c r="AQ546" s="141">
        <f>3303-3208</f>
        <v>95</v>
      </c>
      <c r="AR546" s="141">
        <f>3205-3113</f>
        <v>92</v>
      </c>
      <c r="AS546" s="141">
        <f>3509-3402</f>
        <v>107</v>
      </c>
      <c r="AT546" s="141">
        <f>3971-3821</f>
        <v>150</v>
      </c>
      <c r="AU546" s="141">
        <f>3766-3584</f>
        <v>182</v>
      </c>
      <c r="AV546" s="141">
        <f>3769-3552</f>
        <v>217</v>
      </c>
      <c r="AW546" s="141">
        <f>3376-3173</f>
        <v>203</v>
      </c>
      <c r="AX546" s="141">
        <f>3766-3568</f>
        <v>198</v>
      </c>
      <c r="AY546" s="226">
        <f>2219-2219</f>
        <v>0</v>
      </c>
      <c r="AZ546" s="210">
        <f t="shared" ref="AZ546" si="6587">AY546</f>
        <v>0</v>
      </c>
      <c r="BA546" s="210">
        <f t="shared" ref="BA546" si="6588">AZ546</f>
        <v>0</v>
      </c>
      <c r="BB546" s="210">
        <f t="shared" ref="BB546" si="6589">BA546</f>
        <v>0</v>
      </c>
      <c r="BC546" s="210">
        <f t="shared" ref="BC546" si="6590">BB546</f>
        <v>0</v>
      </c>
      <c r="BD546" s="210">
        <f t="shared" ref="BD546" si="6591">BC546</f>
        <v>0</v>
      </c>
      <c r="BE546" s="210">
        <f t="shared" ref="BE546" si="6592">BD546</f>
        <v>0</v>
      </c>
      <c r="BF546" s="210">
        <f t="shared" ref="BF546" si="6593">BE546</f>
        <v>0</v>
      </c>
      <c r="BG546" s="210">
        <f t="shared" ref="BG546:BK546" si="6594">BF546</f>
        <v>0</v>
      </c>
      <c r="BH546" s="210">
        <f t="shared" si="6594"/>
        <v>0</v>
      </c>
      <c r="BI546" s="210">
        <f t="shared" si="6594"/>
        <v>0</v>
      </c>
      <c r="BJ546" s="210">
        <f t="shared" si="6594"/>
        <v>0</v>
      </c>
      <c r="BK546" s="210">
        <f t="shared" si="6594"/>
        <v>0</v>
      </c>
      <c r="BL546" s="210">
        <f t="shared" ref="BL546" si="6595">BK546</f>
        <v>0</v>
      </c>
      <c r="BM546" s="210">
        <f t="shared" ref="BM546" si="6596">BL546</f>
        <v>0</v>
      </c>
      <c r="BN546" s="210">
        <f t="shared" ref="BN546" si="6597">BM546</f>
        <v>0</v>
      </c>
      <c r="BO546" s="210">
        <f t="shared" ref="BO546" si="6598">BN546</f>
        <v>0</v>
      </c>
      <c r="BP546" s="210">
        <f t="shared" ref="BP546" si="6599">BO546</f>
        <v>0</v>
      </c>
      <c r="BQ546" s="210">
        <f t="shared" ref="BQ546" si="6600">BP546</f>
        <v>0</v>
      </c>
      <c r="BR546" s="41"/>
      <c r="BS546" s="40">
        <v>9.1999999999999993</v>
      </c>
      <c r="BT546" s="40">
        <v>7</v>
      </c>
      <c r="BU546" s="40">
        <v>0</v>
      </c>
      <c r="BV546" s="40">
        <v>1</v>
      </c>
      <c r="BW546" s="40">
        <v>2</v>
      </c>
      <c r="BX546" s="40">
        <v>2</v>
      </c>
      <c r="BY546" s="40">
        <v>2</v>
      </c>
      <c r="BZ546" s="40">
        <v>2</v>
      </c>
      <c r="CA546" s="40">
        <v>5</v>
      </c>
      <c r="CB546" s="40">
        <v>10</v>
      </c>
      <c r="CC546" s="41">
        <f>SUM(D546:E546)</f>
        <v>0</v>
      </c>
      <c r="CD546" s="41">
        <f>SUM(F546:G546)</f>
        <v>0</v>
      </c>
      <c r="CE546" s="41">
        <f>SUM(H546:I546)</f>
        <v>63</v>
      </c>
      <c r="CF546" s="41">
        <f>SUM(J546:K546)</f>
        <v>92</v>
      </c>
      <c r="CG546" s="41">
        <f>SUM(L546:M546)</f>
        <v>98</v>
      </c>
      <c r="CH546" s="41">
        <f>SUM(N546:O546)</f>
        <v>115</v>
      </c>
      <c r="CI546" s="41">
        <f>SUM(P546:Q546)</f>
        <v>160</v>
      </c>
      <c r="CJ546" s="41">
        <f>SUM(R546:S546)</f>
        <v>131</v>
      </c>
      <c r="CK546" s="41">
        <f>SUM(T546:U546)</f>
        <v>194</v>
      </c>
      <c r="CL546" s="41">
        <f>SUM(V546:W546)</f>
        <v>242</v>
      </c>
      <c r="CM546" s="41">
        <f>SUM(X546:Y546)</f>
        <v>286</v>
      </c>
      <c r="CN546" s="41">
        <f>SUM(Z546:AA546)</f>
        <v>224</v>
      </c>
      <c r="CO546" s="41">
        <f>SUM(AB546:AC546)</f>
        <v>243</v>
      </c>
      <c r="CP546" s="41">
        <f>SUM(AD546:AE546)</f>
        <v>274</v>
      </c>
      <c r="CQ546" s="41">
        <f>SUM(AF546:AG546)</f>
        <v>297</v>
      </c>
      <c r="CR546" s="41">
        <f>SUM(AH546:AI546)</f>
        <v>288</v>
      </c>
      <c r="CS546" s="41">
        <f>SUM(AJ546:AK546)</f>
        <v>279</v>
      </c>
      <c r="CT546" s="41">
        <f>SUM(AL546:AM546)</f>
        <v>268</v>
      </c>
      <c r="CU546" s="41">
        <f>SUM(AN546:AO546)</f>
        <v>214</v>
      </c>
      <c r="CV546" s="41">
        <f>SUM(AP546:AQ546)</f>
        <v>187</v>
      </c>
      <c r="CW546" s="41">
        <f>SUM(AR546:AS546)</f>
        <v>199</v>
      </c>
      <c r="CX546" s="41">
        <f>SUM(AT546:AU546)</f>
        <v>332</v>
      </c>
      <c r="CY546" s="41">
        <f>SUM(AV546:AW546)</f>
        <v>420</v>
      </c>
      <c r="CZ546" s="211">
        <f>SUM(AX546:AY546)</f>
        <v>198</v>
      </c>
      <c r="DA546" s="41">
        <f>SUM(AZ546:BA546)</f>
        <v>0</v>
      </c>
      <c r="DB546" s="41">
        <f>SUM(BB546:BC546)</f>
        <v>0</v>
      </c>
      <c r="DC546" s="41">
        <f>SUM(BD546:BE546)</f>
        <v>0</v>
      </c>
      <c r="DD546" s="41">
        <f>SUM(BF546:BG546)</f>
        <v>0</v>
      </c>
      <c r="DE546" s="41">
        <f>SUM(BH546:BI546)</f>
        <v>0</v>
      </c>
      <c r="DF546" s="41">
        <f>SUM(BJ546:BK546)</f>
        <v>0</v>
      </c>
      <c r="DG546" s="41">
        <f>SUM(BL546:BM546)</f>
        <v>0</v>
      </c>
      <c r="DH546" s="41">
        <f>SUM(BN546:BO546)</f>
        <v>0</v>
      </c>
      <c r="DI546" s="41">
        <f>SUM(BP546:BQ546)</f>
        <v>0</v>
      </c>
    </row>
    <row r="547" spans="1:113" ht="12">
      <c r="C547" s="41"/>
      <c r="D547" s="41"/>
      <c r="E547" s="41"/>
      <c r="F547" s="41"/>
      <c r="G547" s="41"/>
      <c r="H547" s="41"/>
      <c r="I547" s="41"/>
      <c r="J547" s="41"/>
      <c r="K547" s="41"/>
      <c r="L547" s="41"/>
      <c r="M547" s="41"/>
      <c r="N547" s="41"/>
      <c r="O547" s="41"/>
      <c r="P547" s="41"/>
      <c r="Q547" s="41"/>
      <c r="R547" s="41"/>
      <c r="S547" s="41"/>
      <c r="T547" s="41"/>
      <c r="U547" s="41"/>
      <c r="V547" s="41"/>
      <c r="W547" s="41"/>
      <c r="X547" s="41"/>
      <c r="Y547" s="41"/>
      <c r="Z547" s="41"/>
      <c r="AA547" s="41"/>
      <c r="AB547" s="41"/>
      <c r="AC547" s="41"/>
      <c r="AD547" s="41"/>
      <c r="AE547" s="41"/>
      <c r="AF547" s="41"/>
      <c r="AG547" s="41"/>
      <c r="AH547" s="41"/>
      <c r="AI547" s="41"/>
      <c r="AJ547" s="41"/>
      <c r="AK547" s="41"/>
      <c r="AL547" s="41"/>
      <c r="AM547" s="41"/>
      <c r="AN547" s="41"/>
      <c r="AO547" s="41"/>
      <c r="AP547" s="41"/>
      <c r="AQ547" s="41"/>
      <c r="AR547" s="41"/>
      <c r="AS547" s="41"/>
      <c r="AT547" s="41"/>
      <c r="AU547" s="41"/>
      <c r="AV547" s="41"/>
      <c r="AW547" s="41"/>
      <c r="AX547" s="41"/>
      <c r="AY547" s="211"/>
      <c r="AZ547" s="41"/>
      <c r="BA547" s="41"/>
      <c r="BB547" s="41"/>
      <c r="BC547" s="41"/>
      <c r="BD547" s="41"/>
      <c r="BE547" s="41"/>
      <c r="BF547" s="41"/>
      <c r="BG547" s="41"/>
      <c r="BH547" s="41"/>
      <c r="BI547" s="41"/>
      <c r="BJ547" s="41"/>
      <c r="BK547" s="41"/>
      <c r="BL547" s="41"/>
      <c r="BM547" s="41"/>
      <c r="BN547" s="41"/>
      <c r="BO547" s="41"/>
      <c r="BP547" s="41"/>
      <c r="BQ547" s="41"/>
      <c r="BR547" s="41"/>
      <c r="BS547" s="41"/>
      <c r="BT547" s="41"/>
      <c r="BU547" s="41"/>
      <c r="BV547" s="41"/>
      <c r="BW547" s="41"/>
      <c r="BX547" s="41"/>
      <c r="BY547" s="41"/>
      <c r="BZ547" s="41"/>
      <c r="CA547" s="41"/>
      <c r="CB547" s="41"/>
      <c r="CC547" s="41"/>
      <c r="CD547" s="41"/>
      <c r="CE547" s="41"/>
      <c r="CF547" s="41"/>
      <c r="CG547" s="41"/>
      <c r="CH547" s="41"/>
      <c r="CI547" s="41"/>
      <c r="CJ547" s="41"/>
      <c r="CK547" s="41"/>
      <c r="CL547" s="41"/>
      <c r="CM547" s="41"/>
      <c r="CN547" s="41"/>
      <c r="CO547" s="41"/>
      <c r="CP547" s="41"/>
      <c r="CQ547" s="41"/>
      <c r="CR547" s="41"/>
      <c r="CS547" s="41"/>
      <c r="CT547" s="41"/>
      <c r="CU547" s="41"/>
      <c r="CV547" s="41"/>
      <c r="CW547" s="41"/>
      <c r="CX547" s="41"/>
      <c r="CY547" s="41"/>
      <c r="CZ547" s="211"/>
      <c r="DA547" s="41"/>
      <c r="DB547" s="15"/>
      <c r="DC547" s="15"/>
      <c r="DD547" s="15"/>
      <c r="DE547" s="15"/>
      <c r="DF547" s="15"/>
      <c r="DG547" s="15"/>
      <c r="DH547" s="15"/>
      <c r="DI547" s="15"/>
    </row>
    <row r="548" spans="1:113" s="26" customFormat="1" ht="12" collapsed="1">
      <c r="A548" s="1" t="s">
        <v>1020</v>
      </c>
      <c r="B548" s="2" t="s">
        <v>444</v>
      </c>
      <c r="C548" s="60">
        <f>C590</f>
        <v>9247</v>
      </c>
      <c r="D548" s="60">
        <f>D590</f>
        <v>9128</v>
      </c>
      <c r="E548" s="60">
        <f>E590</f>
        <v>9776</v>
      </c>
      <c r="F548" s="60">
        <f t="shared" ref="F548:L548" si="6601">F590</f>
        <v>10227</v>
      </c>
      <c r="G548" s="60">
        <f t="shared" si="6601"/>
        <v>9599</v>
      </c>
      <c r="H548" s="60">
        <f t="shared" si="6601"/>
        <v>10575</v>
      </c>
      <c r="I548" s="60">
        <f t="shared" si="6601"/>
        <v>11031</v>
      </c>
      <c r="J548" s="60">
        <f t="shared" si="6601"/>
        <v>11417</v>
      </c>
      <c r="K548" s="60">
        <f t="shared" si="6601"/>
        <v>11856</v>
      </c>
      <c r="L548" s="60">
        <f t="shared" si="6601"/>
        <v>12404</v>
      </c>
      <c r="M548" s="60">
        <f t="shared" ref="M548:AD548" si="6602">M590</f>
        <v>13015</v>
      </c>
      <c r="N548" s="60">
        <f t="shared" si="6602"/>
        <v>13563</v>
      </c>
      <c r="O548" s="60">
        <f t="shared" si="6602"/>
        <v>14276</v>
      </c>
      <c r="P548" s="60">
        <f t="shared" si="6602"/>
        <v>14255</v>
      </c>
      <c r="Q548" s="60">
        <f t="shared" si="6602"/>
        <v>16287</v>
      </c>
      <c r="R548" s="60">
        <f t="shared" si="6602"/>
        <v>17848</v>
      </c>
      <c r="S548" s="60">
        <f t="shared" si="6602"/>
        <v>22596</v>
      </c>
      <c r="T548" s="60">
        <f t="shared" si="6602"/>
        <v>21147</v>
      </c>
      <c r="U548" s="60">
        <f t="shared" si="6602"/>
        <v>21258</v>
      </c>
      <c r="V548" s="60">
        <f t="shared" si="6602"/>
        <v>22422</v>
      </c>
      <c r="W548" s="60">
        <f t="shared" si="6602"/>
        <v>23864</v>
      </c>
      <c r="X548" s="60">
        <f t="shared" si="6602"/>
        <v>25415</v>
      </c>
      <c r="Y548" s="60">
        <f>Y590</f>
        <v>26524</v>
      </c>
      <c r="Z548" s="60">
        <f t="shared" si="6602"/>
        <v>26375</v>
      </c>
      <c r="AA548" s="60">
        <f t="shared" si="6602"/>
        <v>28779</v>
      </c>
      <c r="AB548" s="60">
        <f t="shared" si="6602"/>
        <v>30020</v>
      </c>
      <c r="AC548" s="60">
        <f t="shared" si="6602"/>
        <v>31776</v>
      </c>
      <c r="AD548" s="60">
        <f t="shared" si="6602"/>
        <v>33736</v>
      </c>
      <c r="AE548" s="60">
        <f t="shared" ref="AE548:AF548" si="6603">AE590</f>
        <v>38526</v>
      </c>
      <c r="AF548" s="60">
        <f t="shared" si="6603"/>
        <v>38102</v>
      </c>
      <c r="AG548" s="60">
        <f t="shared" ref="AG548:AH548" si="6604">AG590</f>
        <v>39267</v>
      </c>
      <c r="AH548" s="60">
        <f t="shared" si="6604"/>
        <v>40217</v>
      </c>
      <c r="AI548" s="60">
        <f t="shared" ref="AI548:AJ548" si="6605">AI590</f>
        <v>41336</v>
      </c>
      <c r="AJ548" s="60">
        <f t="shared" si="6605"/>
        <v>43707</v>
      </c>
      <c r="AK548" s="60">
        <f t="shared" ref="AK548:AL548" si="6606">AK590</f>
        <v>44713</v>
      </c>
      <c r="AL548" s="60">
        <f t="shared" si="6606"/>
        <v>45528</v>
      </c>
      <c r="AM548" s="60">
        <f t="shared" ref="AM548:AN548" si="6607">AM590</f>
        <v>47355</v>
      </c>
      <c r="AN548" s="60">
        <f t="shared" si="6607"/>
        <v>48038</v>
      </c>
      <c r="AO548" s="60">
        <f t="shared" ref="AO548" si="6608">AO590</f>
        <v>48308</v>
      </c>
      <c r="AP548" s="60">
        <f t="shared" ref="AP548:AQ548" si="6609">AP590</f>
        <v>50786</v>
      </c>
      <c r="AQ548" s="60">
        <f t="shared" si="6609"/>
        <v>51359</v>
      </c>
      <c r="AR548" s="60">
        <f t="shared" ref="AR548:AS548" si="6610">AR590</f>
        <v>50511</v>
      </c>
      <c r="AS548" s="60">
        <f t="shared" si="6610"/>
        <v>55872</v>
      </c>
      <c r="AT548" s="60">
        <f t="shared" ref="AT548:AU548" si="6611">AT590</f>
        <v>57381</v>
      </c>
      <c r="AU548" s="60">
        <f t="shared" si="6611"/>
        <v>57794</v>
      </c>
      <c r="AV548" s="60">
        <f t="shared" ref="AV548:AW548" si="6612">AV590</f>
        <v>58412</v>
      </c>
      <c r="AW548" s="60">
        <f t="shared" si="6612"/>
        <v>54469</v>
      </c>
      <c r="AX548" s="60">
        <f t="shared" ref="AX548" si="6613">AX590</f>
        <v>55229</v>
      </c>
      <c r="AY548" s="219">
        <f t="shared" ref="AY548" si="6614">AY590</f>
        <v>55184</v>
      </c>
      <c r="AZ548" s="60">
        <f t="shared" ref="AZ548:BA548" si="6615">AZ590</f>
        <v>57813.828166989413</v>
      </c>
      <c r="BA548" s="60">
        <f t="shared" si="6615"/>
        <v>59668.654168494104</v>
      </c>
      <c r="BB548" s="60">
        <f t="shared" ref="BB548:BC548" si="6616">BB590</f>
        <v>60699.643011854365</v>
      </c>
      <c r="BC548" s="60">
        <f t="shared" si="6616"/>
        <v>60383.30522057804</v>
      </c>
      <c r="BD548" s="60">
        <f t="shared" ref="BD548:BE548" si="6617">BD590</f>
        <v>60459.856178822112</v>
      </c>
      <c r="BE548" s="60">
        <f t="shared" si="6617"/>
        <v>60156.57259361379</v>
      </c>
      <c r="BF548" s="60">
        <f t="shared" ref="BF548:BG548" si="6618">BF590</f>
        <v>60239.161286408955</v>
      </c>
      <c r="BG548" s="60">
        <f t="shared" si="6618"/>
        <v>60046.505869549073</v>
      </c>
      <c r="BH548" s="60">
        <f t="shared" ref="BH548:BI548" si="6619">BH590</f>
        <v>61181.028620546102</v>
      </c>
      <c r="BI548" s="60">
        <f t="shared" si="6619"/>
        <v>61981.915361892796</v>
      </c>
      <c r="BJ548" s="60">
        <f t="shared" ref="BJ548:BK548" si="6620">BJ590</f>
        <v>63253.036153999768</v>
      </c>
      <c r="BK548" s="60">
        <f t="shared" si="6620"/>
        <v>64463.321166620648</v>
      </c>
      <c r="BL548" s="60">
        <f t="shared" ref="BL548:BM548" si="6621">BL590</f>
        <v>65845.243833847693</v>
      </c>
      <c r="BM548" s="60">
        <f t="shared" si="6621"/>
        <v>66976.456440024995</v>
      </c>
      <c r="BN548" s="60">
        <f t="shared" ref="BN548:BO548" si="6622">BN590</f>
        <v>68262.092753551915</v>
      </c>
      <c r="BO548" s="60">
        <f t="shared" si="6622"/>
        <v>69338.260603824951</v>
      </c>
      <c r="BP548" s="60">
        <f t="shared" ref="BP548:BQ548" si="6623">BP590</f>
        <v>70582.213512603135</v>
      </c>
      <c r="BQ548" s="60">
        <f t="shared" si="6623"/>
        <v>71657.14286509782</v>
      </c>
      <c r="BR548" s="60"/>
      <c r="BS548" s="60">
        <f t="shared" ref="BS548:CB548" si="6624">BS590</f>
        <v>3870.8999999999992</v>
      </c>
      <c r="BT548" s="60">
        <f t="shared" si="6624"/>
        <v>4212.8</v>
      </c>
      <c r="BU548" s="60">
        <f t="shared" si="6624"/>
        <v>4953</v>
      </c>
      <c r="BV548" s="60">
        <f t="shared" si="6624"/>
        <v>5503</v>
      </c>
      <c r="BW548" s="60">
        <f t="shared" si="6624"/>
        <v>6273</v>
      </c>
      <c r="BX548" s="60">
        <f t="shared" si="6624"/>
        <v>6972</v>
      </c>
      <c r="BY548" s="60">
        <f t="shared" si="6624"/>
        <v>8309</v>
      </c>
      <c r="BZ548" s="60">
        <f t="shared" si="6624"/>
        <v>9329</v>
      </c>
      <c r="CA548" s="60">
        <f t="shared" si="6624"/>
        <v>9640</v>
      </c>
      <c r="CB548" s="60">
        <f t="shared" si="6624"/>
        <v>10387</v>
      </c>
      <c r="CC548" s="60">
        <f t="shared" ref="CC548:CO548" si="6625">CC590</f>
        <v>9776</v>
      </c>
      <c r="CD548" s="60">
        <f t="shared" si="6625"/>
        <v>9599</v>
      </c>
      <c r="CE548" s="60">
        <f t="shared" si="6625"/>
        <v>11031</v>
      </c>
      <c r="CF548" s="60">
        <f t="shared" si="6625"/>
        <v>11856</v>
      </c>
      <c r="CG548" s="60">
        <f t="shared" si="6625"/>
        <v>12299</v>
      </c>
      <c r="CH548" s="60">
        <f t="shared" si="6625"/>
        <v>13560</v>
      </c>
      <c r="CI548" s="60">
        <f t="shared" si="6625"/>
        <v>16287</v>
      </c>
      <c r="CJ548" s="60">
        <f t="shared" si="6625"/>
        <v>22596</v>
      </c>
      <c r="CK548" s="60">
        <f t="shared" si="6625"/>
        <v>21258</v>
      </c>
      <c r="CL548" s="60">
        <f t="shared" si="6625"/>
        <v>23864</v>
      </c>
      <c r="CM548" s="60">
        <f t="shared" si="6625"/>
        <v>26524</v>
      </c>
      <c r="CN548" s="60">
        <f t="shared" si="6625"/>
        <v>28779</v>
      </c>
      <c r="CO548" s="60">
        <f t="shared" si="6625"/>
        <v>31776</v>
      </c>
      <c r="CP548" s="60">
        <f t="shared" ref="CP548:CX548" si="6626">CP590</f>
        <v>38526</v>
      </c>
      <c r="CQ548" s="60">
        <f t="shared" si="6626"/>
        <v>39267</v>
      </c>
      <c r="CR548" s="60">
        <f t="shared" si="6626"/>
        <v>41336</v>
      </c>
      <c r="CS548" s="60">
        <f t="shared" si="6626"/>
        <v>44713</v>
      </c>
      <c r="CT548" s="60">
        <f t="shared" si="6626"/>
        <v>47355</v>
      </c>
      <c r="CU548" s="60">
        <f t="shared" si="6626"/>
        <v>48308</v>
      </c>
      <c r="CV548" s="60">
        <f t="shared" si="6626"/>
        <v>51359</v>
      </c>
      <c r="CW548" s="60">
        <f t="shared" si="6626"/>
        <v>55872</v>
      </c>
      <c r="CX548" s="60">
        <f t="shared" si="6626"/>
        <v>57794</v>
      </c>
      <c r="CY548" s="60">
        <f t="shared" ref="CY548:DD548" si="6627">CY590</f>
        <v>54469</v>
      </c>
      <c r="CZ548" s="219">
        <f t="shared" si="6627"/>
        <v>55184</v>
      </c>
      <c r="DA548" s="60">
        <f t="shared" si="6627"/>
        <v>59668.654168494104</v>
      </c>
      <c r="DB548" s="60">
        <f t="shared" si="6627"/>
        <v>60383.305220578026</v>
      </c>
      <c r="DC548" s="60">
        <f t="shared" si="6627"/>
        <v>60156.572593613775</v>
      </c>
      <c r="DD548" s="60">
        <f t="shared" si="6627"/>
        <v>60046.505869549073</v>
      </c>
      <c r="DE548" s="60">
        <f t="shared" ref="DE548" si="6628">DE590</f>
        <v>61981.915361892781</v>
      </c>
      <c r="DF548" s="60">
        <f t="shared" ref="DF548" si="6629">DF590</f>
        <v>64463.321166620619</v>
      </c>
      <c r="DG548" s="60">
        <f>DG590</f>
        <v>66976.456440024951</v>
      </c>
      <c r="DH548" s="60">
        <f>DH590</f>
        <v>69338.260603824921</v>
      </c>
      <c r="DI548" s="60">
        <f>DI590</f>
        <v>71657.142865097776</v>
      </c>
    </row>
    <row r="549" spans="1:113" ht="12" outlineLevel="1">
      <c r="C549" s="41"/>
      <c r="D549" s="41"/>
      <c r="E549" s="41"/>
      <c r="F549" s="41"/>
      <c r="G549" s="41"/>
      <c r="H549" s="41"/>
      <c r="I549" s="41"/>
      <c r="J549" s="41"/>
      <c r="K549" s="41"/>
      <c r="L549" s="41"/>
      <c r="M549" s="41"/>
      <c r="N549" s="41"/>
      <c r="O549" s="41"/>
      <c r="P549" s="41"/>
      <c r="Q549" s="41"/>
      <c r="R549" s="41"/>
      <c r="S549" s="41"/>
      <c r="T549" s="41"/>
      <c r="U549" s="41"/>
      <c r="V549" s="41"/>
      <c r="W549" s="41"/>
      <c r="X549" s="41"/>
      <c r="Y549" s="41"/>
      <c r="Z549" s="41"/>
      <c r="AA549" s="41"/>
      <c r="AB549" s="41"/>
      <c r="AC549" s="41"/>
      <c r="AD549" s="41"/>
      <c r="AE549" s="41"/>
      <c r="AF549" s="41"/>
      <c r="AG549" s="41"/>
      <c r="AH549" s="41"/>
      <c r="AI549" s="41"/>
      <c r="AJ549" s="41"/>
      <c r="AK549" s="41"/>
      <c r="AL549" s="41"/>
      <c r="AM549" s="41"/>
      <c r="AN549" s="41"/>
      <c r="AO549" s="41"/>
      <c r="AP549" s="41"/>
      <c r="AQ549" s="41"/>
      <c r="AR549" s="41"/>
      <c r="AS549" s="41"/>
      <c r="AT549" s="41"/>
      <c r="AU549" s="41"/>
      <c r="AV549" s="41"/>
      <c r="AW549" s="41"/>
      <c r="AX549" s="41"/>
      <c r="AY549" s="211"/>
      <c r="AZ549" s="41"/>
      <c r="BA549" s="41"/>
      <c r="BB549" s="41"/>
      <c r="BC549" s="41"/>
      <c r="BD549" s="41"/>
      <c r="BE549" s="41"/>
      <c r="BF549" s="41"/>
      <c r="BG549" s="41"/>
      <c r="BH549" s="41"/>
      <c r="BI549" s="41"/>
      <c r="BJ549" s="41"/>
      <c r="BK549" s="41"/>
      <c r="BL549" s="41"/>
      <c r="BM549" s="41"/>
      <c r="BN549" s="41"/>
      <c r="BO549" s="41"/>
      <c r="BP549" s="41"/>
      <c r="BQ549" s="41"/>
      <c r="BR549" s="41"/>
      <c r="BS549" s="41"/>
      <c r="BT549" s="41"/>
      <c r="BU549" s="41"/>
      <c r="BV549" s="41"/>
      <c r="BW549" s="41"/>
      <c r="BX549" s="41"/>
      <c r="BY549" s="41"/>
      <c r="BZ549" s="41"/>
      <c r="CA549" s="41"/>
      <c r="CB549" s="41"/>
      <c r="CC549" s="41"/>
      <c r="CD549" s="41"/>
      <c r="CE549" s="41"/>
      <c r="CF549" s="41"/>
      <c r="CG549" s="41"/>
      <c r="CH549" s="41"/>
      <c r="CI549" s="41"/>
      <c r="CJ549" s="41"/>
      <c r="CK549" s="41"/>
      <c r="CL549" s="41"/>
      <c r="CM549" s="41"/>
      <c r="CN549" s="41"/>
      <c r="CO549" s="41"/>
      <c r="CP549" s="41"/>
      <c r="CQ549" s="41"/>
      <c r="CR549" s="41"/>
      <c r="CS549" s="41"/>
      <c r="CT549" s="41"/>
      <c r="CU549" s="41"/>
      <c r="CV549" s="41"/>
      <c r="CW549" s="41"/>
      <c r="CX549" s="41"/>
      <c r="CY549" s="41"/>
      <c r="CZ549" s="211"/>
      <c r="DA549" s="41"/>
      <c r="DB549" s="15"/>
      <c r="DC549" s="15"/>
      <c r="DD549" s="15"/>
      <c r="DE549" s="15"/>
      <c r="DF549" s="15"/>
      <c r="DG549" s="15"/>
      <c r="DH549" s="15"/>
      <c r="DI549" s="15"/>
    </row>
    <row r="550" spans="1:113" s="17" customFormat="1" ht="12" outlineLevel="1">
      <c r="A550" s="1" t="s">
        <v>1021</v>
      </c>
      <c r="B550" s="17" t="s">
        <v>154</v>
      </c>
      <c r="C550" s="62">
        <f>C541</f>
        <v>10551</v>
      </c>
      <c r="D550" s="62">
        <f>D541</f>
        <v>10803</v>
      </c>
      <c r="E550" s="62">
        <f>E541</f>
        <v>11465</v>
      </c>
      <c r="F550" s="62">
        <f t="shared" ref="F550:L550" si="6630">F541</f>
        <v>12485</v>
      </c>
      <c r="G550" s="62">
        <f t="shared" si="6630"/>
        <v>13787</v>
      </c>
      <c r="H550" s="62">
        <f t="shared" si="6630"/>
        <v>16748</v>
      </c>
      <c r="I550" s="62">
        <f t="shared" si="6630"/>
        <v>17925</v>
      </c>
      <c r="J550" s="62">
        <f t="shared" si="6630"/>
        <v>18927</v>
      </c>
      <c r="K550" s="62">
        <f t="shared" si="6630"/>
        <v>19538</v>
      </c>
      <c r="L550" s="62">
        <f t="shared" si="6630"/>
        <v>18796</v>
      </c>
      <c r="M550" s="62">
        <f t="shared" ref="M550:AD550" si="6631">M541</f>
        <v>19906</v>
      </c>
      <c r="N550" s="62">
        <f t="shared" si="6631"/>
        <v>20910</v>
      </c>
      <c r="O550" s="62">
        <f t="shared" si="6631"/>
        <v>22048</v>
      </c>
      <c r="P550" s="62">
        <f t="shared" si="6631"/>
        <v>23964</v>
      </c>
      <c r="Q550" s="62">
        <f t="shared" si="6631"/>
        <v>26552</v>
      </c>
      <c r="R550" s="62">
        <f t="shared" si="6631"/>
        <v>28367</v>
      </c>
      <c r="S550" s="62">
        <f t="shared" si="6631"/>
        <v>32429</v>
      </c>
      <c r="T550" s="62">
        <f t="shared" si="6631"/>
        <v>32583</v>
      </c>
      <c r="U550" s="62">
        <f>U541</f>
        <v>34155</v>
      </c>
      <c r="V550" s="62">
        <f>V541</f>
        <v>35129</v>
      </c>
      <c r="W550" s="62">
        <f>W541</f>
        <v>37954</v>
      </c>
      <c r="X550" s="62">
        <f>X541</f>
        <v>39443</v>
      </c>
      <c r="Y550" s="62">
        <f>Y541</f>
        <v>41220</v>
      </c>
      <c r="Z550" s="62">
        <f t="shared" si="6631"/>
        <v>42503</v>
      </c>
      <c r="AA550" s="62">
        <f t="shared" si="6631"/>
        <v>45603</v>
      </c>
      <c r="AB550" s="62">
        <f t="shared" si="6631"/>
        <v>47038</v>
      </c>
      <c r="AC550" s="62">
        <f t="shared" si="6631"/>
        <v>49284</v>
      </c>
      <c r="AD550" s="62">
        <f t="shared" si="6631"/>
        <v>52051</v>
      </c>
      <c r="AE550" s="62">
        <f t="shared" ref="AE550:AF550" si="6632">AE541</f>
        <v>57353</v>
      </c>
      <c r="AF550" s="62">
        <f t="shared" si="6632"/>
        <v>56464</v>
      </c>
      <c r="AG550" s="62">
        <f t="shared" ref="AG550:AH550" si="6633">AG541</f>
        <v>57927</v>
      </c>
      <c r="AH550" s="62">
        <f t="shared" si="6633"/>
        <v>57908</v>
      </c>
      <c r="AI550" s="62">
        <f t="shared" ref="AI550:AJ550" si="6634">AI541</f>
        <v>59075</v>
      </c>
      <c r="AJ550" s="62">
        <f t="shared" si="6634"/>
        <v>59500</v>
      </c>
      <c r="AK550" s="62">
        <f t="shared" ref="AK550:AL550" si="6635">AK541</f>
        <v>59405</v>
      </c>
      <c r="AL550" s="62">
        <f t="shared" si="6635"/>
        <v>59971</v>
      </c>
      <c r="AM550" s="62">
        <f t="shared" ref="AM550:AN550" si="6636">AM541</f>
        <v>60794</v>
      </c>
      <c r="AN550" s="62">
        <f t="shared" si="6636"/>
        <v>61375</v>
      </c>
      <c r="AO550" s="62">
        <f t="shared" ref="AO550" si="6637">AO541</f>
        <v>61297</v>
      </c>
      <c r="AP550" s="62">
        <f t="shared" ref="AP550:AQ550" si="6638">AP541</f>
        <v>62576</v>
      </c>
      <c r="AQ550" s="62">
        <f t="shared" si="6638"/>
        <v>63676</v>
      </c>
      <c r="AR550" s="62">
        <f t="shared" ref="AR550:AS550" si="6639">AR541</f>
        <v>61756</v>
      </c>
      <c r="AS550" s="62">
        <f t="shared" si="6639"/>
        <v>66401</v>
      </c>
      <c r="AT550" s="62">
        <f t="shared" ref="AT550:AU550" si="6640">AT541</f>
        <v>69580</v>
      </c>
      <c r="AU550" s="62">
        <f t="shared" si="6640"/>
        <v>70017</v>
      </c>
      <c r="AV550" s="62">
        <f t="shared" ref="AV550:AW550" si="6641">AV541</f>
        <v>70306</v>
      </c>
      <c r="AW550" s="62">
        <f t="shared" si="6641"/>
        <v>69857</v>
      </c>
      <c r="AX550" s="62">
        <f t="shared" ref="AX550:AY550" si="6642">AX541</f>
        <v>71567</v>
      </c>
      <c r="AY550" s="220">
        <f t="shared" si="6642"/>
        <v>71128</v>
      </c>
      <c r="AZ550" s="62">
        <f t="shared" ref="AZ550:BA550" si="6643">AZ541</f>
        <v>73723.260722750987</v>
      </c>
      <c r="BA550" s="62">
        <f t="shared" si="6643"/>
        <v>75563.543680334085</v>
      </c>
      <c r="BB550" s="62">
        <f t="shared" ref="BB550:BC550" si="6644">BB541</f>
        <v>76585.045688262253</v>
      </c>
      <c r="BC550" s="62">
        <f t="shared" si="6644"/>
        <v>76273.704939225208</v>
      </c>
      <c r="BD550" s="62">
        <f t="shared" ref="BD550:BE550" si="6645">BD541</f>
        <v>76355.658722733497</v>
      </c>
      <c r="BE550" s="62">
        <f t="shared" si="6645"/>
        <v>76069.044065305992</v>
      </c>
      <c r="BF550" s="62">
        <f t="shared" ref="BF550:BG550" si="6646">BF541</f>
        <v>76165.962457227739</v>
      </c>
      <c r="BG550" s="62">
        <f t="shared" si="6646"/>
        <v>75997.117365588187</v>
      </c>
      <c r="BH550" s="62">
        <f t="shared" ref="BH550:BI550" si="6647">BH541</f>
        <v>77151.472412577947</v>
      </c>
      <c r="BI550" s="62">
        <f t="shared" si="6647"/>
        <v>77980.743055072002</v>
      </c>
      <c r="BJ550" s="62">
        <f t="shared" ref="BJ550:BK550" si="6648">BJ541</f>
        <v>79275.526407397148</v>
      </c>
      <c r="BK550" s="62">
        <f t="shared" si="6648"/>
        <v>80520.318194242675</v>
      </c>
      <c r="BL550" s="62">
        <f t="shared" ref="BL550:BM550" si="6649">BL541</f>
        <v>81924.045267570182</v>
      </c>
      <c r="BM550" s="62">
        <f t="shared" si="6649"/>
        <v>83090.528614379888</v>
      </c>
      <c r="BN550" s="62">
        <f t="shared" ref="BN550:BO550" si="6650">BN541</f>
        <v>84398.713843619917</v>
      </c>
      <c r="BO550" s="62">
        <f t="shared" si="6650"/>
        <v>85510.233479223083</v>
      </c>
      <c r="BP550" s="62">
        <f t="shared" ref="BP550:BQ550" si="6651">BP541</f>
        <v>86778.240898904609</v>
      </c>
      <c r="BQ550" s="62">
        <f t="shared" si="6651"/>
        <v>87889.59907284021</v>
      </c>
      <c r="BR550" s="62"/>
      <c r="BS550" s="62">
        <f t="shared" ref="BS550:CB550" si="6652">BS541</f>
        <v>4591</v>
      </c>
      <c r="BT550" s="62">
        <f t="shared" si="6652"/>
        <v>5133.0000000000009</v>
      </c>
      <c r="BU550" s="62">
        <f t="shared" si="6652"/>
        <v>5504</v>
      </c>
      <c r="BV550" s="62">
        <f t="shared" si="6652"/>
        <v>5747</v>
      </c>
      <c r="BW550" s="62">
        <f t="shared" si="6652"/>
        <v>6336</v>
      </c>
      <c r="BX550" s="62">
        <f t="shared" si="6652"/>
        <v>6993</v>
      </c>
      <c r="BY550" s="62">
        <f t="shared" si="6652"/>
        <v>8391</v>
      </c>
      <c r="BZ550" s="62">
        <f t="shared" si="6652"/>
        <v>9429</v>
      </c>
      <c r="CA550" s="62">
        <f t="shared" si="6652"/>
        <v>9807</v>
      </c>
      <c r="CB550" s="62">
        <f t="shared" si="6652"/>
        <v>10551</v>
      </c>
      <c r="CC550" s="62">
        <f t="shared" ref="CC550:CO550" si="6653">CC541</f>
        <v>11465</v>
      </c>
      <c r="CD550" s="62">
        <f t="shared" si="6653"/>
        <v>13787</v>
      </c>
      <c r="CE550" s="62">
        <f t="shared" si="6653"/>
        <v>17925</v>
      </c>
      <c r="CF550" s="62">
        <f t="shared" si="6653"/>
        <v>19538</v>
      </c>
      <c r="CG550" s="62">
        <f t="shared" si="6653"/>
        <v>19906</v>
      </c>
      <c r="CH550" s="62">
        <f t="shared" si="6653"/>
        <v>22048</v>
      </c>
      <c r="CI550" s="62">
        <f t="shared" si="6653"/>
        <v>26552</v>
      </c>
      <c r="CJ550" s="62">
        <f t="shared" si="6653"/>
        <v>32429</v>
      </c>
      <c r="CK550" s="62">
        <f t="shared" si="6653"/>
        <v>34155</v>
      </c>
      <c r="CL550" s="62">
        <f t="shared" si="6653"/>
        <v>37954</v>
      </c>
      <c r="CM550" s="62">
        <f t="shared" si="6653"/>
        <v>41220</v>
      </c>
      <c r="CN550" s="62">
        <f t="shared" si="6653"/>
        <v>45603</v>
      </c>
      <c r="CO550" s="62">
        <f t="shared" si="6653"/>
        <v>49284</v>
      </c>
      <c r="CP550" s="62">
        <f t="shared" ref="CP550:CX550" si="6654">CP541</f>
        <v>57353</v>
      </c>
      <c r="CQ550" s="62">
        <f t="shared" si="6654"/>
        <v>57927</v>
      </c>
      <c r="CR550" s="62">
        <f t="shared" si="6654"/>
        <v>59075</v>
      </c>
      <c r="CS550" s="62">
        <f t="shared" si="6654"/>
        <v>59405</v>
      </c>
      <c r="CT550" s="62">
        <f t="shared" si="6654"/>
        <v>60794</v>
      </c>
      <c r="CU550" s="62">
        <f t="shared" si="6654"/>
        <v>61297</v>
      </c>
      <c r="CV550" s="62">
        <f t="shared" si="6654"/>
        <v>63676</v>
      </c>
      <c r="CW550" s="62">
        <f t="shared" si="6654"/>
        <v>66401</v>
      </c>
      <c r="CX550" s="62">
        <f t="shared" si="6654"/>
        <v>70017</v>
      </c>
      <c r="CY550" s="62">
        <f t="shared" ref="CY550:DD550" si="6655">CY541</f>
        <v>69857</v>
      </c>
      <c r="CZ550" s="220">
        <f t="shared" si="6655"/>
        <v>71128</v>
      </c>
      <c r="DA550" s="62">
        <f t="shared" si="6655"/>
        <v>75563.543680334085</v>
      </c>
      <c r="DB550" s="62">
        <f t="shared" si="6655"/>
        <v>76273.704939225194</v>
      </c>
      <c r="DC550" s="62">
        <f t="shared" si="6655"/>
        <v>76069.044065305978</v>
      </c>
      <c r="DD550" s="62">
        <f t="shared" si="6655"/>
        <v>75997.117365588187</v>
      </c>
      <c r="DE550" s="62">
        <f t="shared" ref="DE550" si="6656">DE541</f>
        <v>77980.743055071987</v>
      </c>
      <c r="DF550" s="62">
        <f t="shared" ref="DF550" si="6657">DF541</f>
        <v>80520.318194242645</v>
      </c>
      <c r="DG550" s="62">
        <f>DG541</f>
        <v>83090.528614379844</v>
      </c>
      <c r="DH550" s="62">
        <f>DH541</f>
        <v>85510.233479223039</v>
      </c>
      <c r="DI550" s="62">
        <f>DI541</f>
        <v>87889.599072840167</v>
      </c>
    </row>
    <row r="551" spans="1:113" ht="12" outlineLevel="1">
      <c r="C551" s="41"/>
      <c r="D551" s="41"/>
      <c r="E551" s="41"/>
      <c r="F551" s="41"/>
      <c r="G551" s="41"/>
      <c r="H551" s="41"/>
      <c r="I551" s="41"/>
      <c r="J551" s="41"/>
      <c r="K551" s="41"/>
      <c r="L551" s="41"/>
      <c r="M551" s="41"/>
      <c r="N551" s="41"/>
      <c r="O551" s="41"/>
      <c r="P551" s="41"/>
      <c r="Q551" s="41"/>
      <c r="R551" s="41"/>
      <c r="S551" s="41"/>
      <c r="T551" s="41"/>
      <c r="U551" s="41"/>
      <c r="V551" s="41"/>
      <c r="W551" s="41"/>
      <c r="X551" s="41"/>
      <c r="Y551" s="41"/>
      <c r="Z551" s="41"/>
      <c r="AA551" s="41"/>
      <c r="AB551" s="41"/>
      <c r="AC551" s="41"/>
      <c r="AD551" s="41"/>
      <c r="AE551" s="41"/>
      <c r="AF551" s="41"/>
      <c r="AG551" s="41"/>
      <c r="AH551" s="41"/>
      <c r="AI551" s="41"/>
      <c r="AJ551" s="41"/>
      <c r="AK551" s="41"/>
      <c r="AL551" s="41"/>
      <c r="AM551" s="41"/>
      <c r="AN551" s="41"/>
      <c r="AO551" s="41"/>
      <c r="AP551" s="41"/>
      <c r="AQ551" s="41"/>
      <c r="AR551" s="41"/>
      <c r="AS551" s="41"/>
      <c r="AT551" s="41"/>
      <c r="AU551" s="41"/>
      <c r="AV551" s="41"/>
      <c r="AW551" s="41"/>
      <c r="AX551" s="41"/>
      <c r="AY551" s="211"/>
      <c r="AZ551" s="41"/>
      <c r="BA551" s="41"/>
      <c r="BB551" s="41"/>
      <c r="BC551" s="41"/>
      <c r="BD551" s="41"/>
      <c r="BE551" s="41"/>
      <c r="BF551" s="41"/>
      <c r="BG551" s="41"/>
      <c r="BH551" s="41"/>
      <c r="BI551" s="41"/>
      <c r="BJ551" s="41"/>
      <c r="BK551" s="41"/>
      <c r="BL551" s="41"/>
      <c r="BM551" s="41"/>
      <c r="BN551" s="41"/>
      <c r="BO551" s="41"/>
      <c r="BP551" s="41"/>
      <c r="BQ551" s="41"/>
      <c r="BR551" s="41"/>
      <c r="BS551" s="41"/>
      <c r="BT551" s="41"/>
      <c r="BU551" s="41"/>
      <c r="BV551" s="41"/>
      <c r="BW551" s="41"/>
      <c r="BX551" s="41"/>
      <c r="BY551" s="41"/>
      <c r="BZ551" s="41"/>
      <c r="CA551" s="41"/>
      <c r="CB551" s="41"/>
      <c r="CC551" s="41"/>
      <c r="CD551" s="41"/>
      <c r="CE551" s="41"/>
      <c r="CF551" s="41"/>
      <c r="CG551" s="41"/>
      <c r="CH551" s="41"/>
      <c r="CI551" s="41"/>
      <c r="CJ551" s="41"/>
      <c r="CK551" s="41"/>
      <c r="CL551" s="41"/>
      <c r="CM551" s="41"/>
      <c r="CN551" s="41"/>
      <c r="CO551" s="41"/>
      <c r="CP551" s="41"/>
      <c r="CQ551" s="41"/>
      <c r="CR551" s="41"/>
      <c r="CS551" s="41"/>
      <c r="CT551" s="41"/>
      <c r="CU551" s="41"/>
      <c r="CV551" s="41"/>
      <c r="CW551" s="41"/>
      <c r="CX551" s="41"/>
      <c r="CY551" s="41"/>
      <c r="CZ551" s="211"/>
      <c r="DA551" s="41"/>
      <c r="DB551" s="15"/>
      <c r="DC551" s="15"/>
      <c r="DD551" s="15"/>
      <c r="DE551" s="15"/>
      <c r="DF551" s="15"/>
      <c r="DG551" s="15"/>
      <c r="DH551" s="15"/>
      <c r="DI551" s="15"/>
    </row>
    <row r="552" spans="1:113" s="17" customFormat="1" ht="12" outlineLevel="1">
      <c r="A552" s="1"/>
      <c r="B552" s="79" t="s">
        <v>774</v>
      </c>
      <c r="C552" s="62"/>
      <c r="D552" s="62"/>
      <c r="E552" s="62"/>
      <c r="F552" s="62"/>
      <c r="G552" s="62"/>
      <c r="H552" s="62"/>
      <c r="I552" s="62"/>
      <c r="J552" s="62"/>
      <c r="K552" s="62"/>
      <c r="L552" s="62"/>
      <c r="M552" s="62"/>
      <c r="N552" s="62"/>
      <c r="O552" s="62"/>
      <c r="P552" s="62"/>
      <c r="Q552" s="62"/>
      <c r="R552" s="62"/>
      <c r="S552" s="62"/>
      <c r="T552" s="62"/>
      <c r="U552" s="62"/>
      <c r="V552" s="62"/>
      <c r="W552" s="62"/>
      <c r="X552" s="62"/>
      <c r="Y552" s="62"/>
      <c r="Z552" s="62"/>
      <c r="AA552" s="62"/>
      <c r="AB552" s="62"/>
      <c r="AC552" s="62"/>
      <c r="AD552" s="62"/>
      <c r="AE552" s="62"/>
      <c r="AF552" s="62"/>
      <c r="AG552" s="62"/>
      <c r="AH552" s="62"/>
      <c r="AI552" s="62"/>
      <c r="AJ552" s="62"/>
      <c r="AK552" s="62"/>
      <c r="AL552" s="62"/>
      <c r="AM552" s="62"/>
      <c r="AN552" s="62"/>
      <c r="AO552" s="62"/>
      <c r="AP552" s="62"/>
      <c r="AQ552" s="62"/>
      <c r="AR552" s="62"/>
      <c r="AS552" s="62"/>
      <c r="AT552" s="62"/>
      <c r="AU552" s="62"/>
      <c r="AV552" s="62"/>
      <c r="AW552" s="62"/>
      <c r="AX552" s="62"/>
      <c r="AY552" s="220"/>
      <c r="AZ552" s="62"/>
      <c r="BA552" s="62"/>
      <c r="BB552" s="62"/>
      <c r="BC552" s="62"/>
      <c r="BD552" s="62"/>
      <c r="BE552" s="62"/>
      <c r="BF552" s="62"/>
      <c r="BG552" s="62"/>
      <c r="BH552" s="62"/>
      <c r="BI552" s="62"/>
      <c r="BJ552" s="62"/>
      <c r="BK552" s="62"/>
      <c r="BL552" s="62"/>
      <c r="BM552" s="62"/>
      <c r="BN552" s="62"/>
      <c r="BO552" s="62"/>
      <c r="BP552" s="62"/>
      <c r="BQ552" s="62"/>
      <c r="BR552" s="62"/>
      <c r="BS552" s="62"/>
      <c r="BT552" s="62"/>
      <c r="BU552" s="62"/>
      <c r="BV552" s="62"/>
      <c r="BW552" s="62"/>
      <c r="BX552" s="62"/>
      <c r="BY552" s="62"/>
      <c r="BZ552" s="62"/>
      <c r="CA552" s="62"/>
      <c r="CB552" s="62"/>
      <c r="CC552" s="62"/>
      <c r="CD552" s="62"/>
      <c r="CE552" s="62"/>
      <c r="CF552" s="62"/>
      <c r="CG552" s="62"/>
      <c r="CH552" s="62"/>
      <c r="CI552" s="62"/>
      <c r="CJ552" s="62"/>
      <c r="CK552" s="62"/>
      <c r="CL552" s="62"/>
      <c r="CM552" s="62"/>
      <c r="CN552" s="62"/>
      <c r="CO552" s="62"/>
      <c r="CP552" s="62"/>
      <c r="CQ552" s="62"/>
      <c r="CR552" s="62"/>
      <c r="CS552" s="62"/>
      <c r="CT552" s="62"/>
      <c r="CU552" s="62"/>
      <c r="CV552" s="62"/>
      <c r="CW552" s="62"/>
      <c r="CX552" s="62"/>
      <c r="CY552" s="62"/>
      <c r="CZ552" s="220"/>
      <c r="DA552" s="62"/>
    </row>
    <row r="553" spans="1:113" ht="12" outlineLevel="1">
      <c r="A553" s="1" t="s">
        <v>1022</v>
      </c>
      <c r="B553" s="15" t="s">
        <v>445</v>
      </c>
      <c r="C553" s="40">
        <v>0</v>
      </c>
      <c r="D553" s="40">
        <v>0</v>
      </c>
      <c r="E553" s="40">
        <v>0</v>
      </c>
      <c r="F553" s="40">
        <v>-666</v>
      </c>
      <c r="G553" s="40">
        <v>-777</v>
      </c>
      <c r="H553" s="40">
        <v>-850</v>
      </c>
      <c r="I553" s="40">
        <v>-983</v>
      </c>
      <c r="J553" s="40">
        <v>-930</v>
      </c>
      <c r="K553" s="40">
        <v>-1077</v>
      </c>
      <c r="L553" s="40">
        <v>-1024</v>
      </c>
      <c r="M553" s="40">
        <f>-1267</f>
        <v>-1267</v>
      </c>
      <c r="N553" s="40">
        <v>-1144</v>
      </c>
      <c r="O553" s="40">
        <v>-1381</v>
      </c>
      <c r="P553" s="40">
        <v>-1192</v>
      </c>
      <c r="Q553" s="40">
        <v>-1511</v>
      </c>
      <c r="R553" s="40">
        <v>-993</v>
      </c>
      <c r="S553" s="40">
        <v>-1403</v>
      </c>
      <c r="T553" s="40">
        <v>-1318</v>
      </c>
      <c r="U553" s="40">
        <v>-1895</v>
      </c>
      <c r="V553" s="40">
        <v>-1662</v>
      </c>
      <c r="W553" s="40">
        <v>-1999</v>
      </c>
      <c r="X553" s="40">
        <v>-1769</v>
      </c>
      <c r="Y553" s="40">
        <v>-2149</v>
      </c>
      <c r="Z553" s="141">
        <v>0</v>
      </c>
      <c r="AA553" s="141">
        <v>0</v>
      </c>
      <c r="AB553" s="41">
        <f t="shared" ref="AB553:AY553" si="6658">AA553</f>
        <v>0</v>
      </c>
      <c r="AC553" s="41">
        <f t="shared" si="6658"/>
        <v>0</v>
      </c>
      <c r="AD553" s="41">
        <f t="shared" si="6658"/>
        <v>0</v>
      </c>
      <c r="AE553" s="41">
        <f t="shared" si="6658"/>
        <v>0</v>
      </c>
      <c r="AF553" s="41">
        <f t="shared" si="6658"/>
        <v>0</v>
      </c>
      <c r="AG553" s="41">
        <f t="shared" si="6658"/>
        <v>0</v>
      </c>
      <c r="AH553" s="41">
        <f t="shared" si="6658"/>
        <v>0</v>
      </c>
      <c r="AI553" s="41">
        <f t="shared" si="6658"/>
        <v>0</v>
      </c>
      <c r="AJ553" s="41">
        <f t="shared" si="6658"/>
        <v>0</v>
      </c>
      <c r="AK553" s="41">
        <f t="shared" si="6658"/>
        <v>0</v>
      </c>
      <c r="AL553" s="41">
        <f t="shared" si="6658"/>
        <v>0</v>
      </c>
      <c r="AM553" s="41">
        <f t="shared" si="6658"/>
        <v>0</v>
      </c>
      <c r="AN553" s="41">
        <f t="shared" si="6658"/>
        <v>0</v>
      </c>
      <c r="AO553" s="41">
        <f t="shared" si="6658"/>
        <v>0</v>
      </c>
      <c r="AP553" s="41">
        <f t="shared" si="6658"/>
        <v>0</v>
      </c>
      <c r="AQ553" s="41">
        <f t="shared" si="6658"/>
        <v>0</v>
      </c>
      <c r="AR553" s="41">
        <f t="shared" si="6658"/>
        <v>0</v>
      </c>
      <c r="AS553" s="41">
        <f t="shared" si="6658"/>
        <v>0</v>
      </c>
      <c r="AT553" s="41">
        <f t="shared" si="6658"/>
        <v>0</v>
      </c>
      <c r="AU553" s="41">
        <f t="shared" si="6658"/>
        <v>0</v>
      </c>
      <c r="AV553" s="41">
        <f t="shared" si="6658"/>
        <v>0</v>
      </c>
      <c r="AW553" s="41">
        <f t="shared" si="6658"/>
        <v>0</v>
      </c>
      <c r="AX553" s="41">
        <f t="shared" si="6658"/>
        <v>0</v>
      </c>
      <c r="AY553" s="211">
        <f t="shared" si="6658"/>
        <v>0</v>
      </c>
      <c r="AZ553" s="41">
        <f t="shared" ref="AZ553:AZ555" si="6659">AY553</f>
        <v>0</v>
      </c>
      <c r="BA553" s="41">
        <f t="shared" ref="BA553:BA555" si="6660">AZ553</f>
        <v>0</v>
      </c>
      <c r="BB553" s="41">
        <f t="shared" ref="BB553:BB555" si="6661">BA553</f>
        <v>0</v>
      </c>
      <c r="BC553" s="41">
        <f t="shared" ref="BC553:BC555" si="6662">BB553</f>
        <v>0</v>
      </c>
      <c r="BD553" s="41">
        <f t="shared" ref="BD553:BD555" si="6663">BC553</f>
        <v>0</v>
      </c>
      <c r="BE553" s="41">
        <f t="shared" ref="BE553:BE555" si="6664">BD553</f>
        <v>0</v>
      </c>
      <c r="BF553" s="41">
        <f t="shared" ref="BF553:BF555" si="6665">BE553</f>
        <v>0</v>
      </c>
      <c r="BG553" s="41">
        <f t="shared" ref="BG553:BK555" si="6666">BF553</f>
        <v>0</v>
      </c>
      <c r="BH553" s="41">
        <f t="shared" si="6666"/>
        <v>0</v>
      </c>
      <c r="BI553" s="41">
        <f t="shared" si="6666"/>
        <v>0</v>
      </c>
      <c r="BJ553" s="41">
        <f t="shared" si="6666"/>
        <v>0</v>
      </c>
      <c r="BK553" s="41">
        <f t="shared" si="6666"/>
        <v>0</v>
      </c>
      <c r="BL553" s="41">
        <f t="shared" ref="BL553:BL555" si="6667">BK553</f>
        <v>0</v>
      </c>
      <c r="BM553" s="41">
        <f t="shared" ref="BM553:BM555" si="6668">BL553</f>
        <v>0</v>
      </c>
      <c r="BN553" s="41">
        <f t="shared" ref="BN553:BN555" si="6669">BM553</f>
        <v>0</v>
      </c>
      <c r="BO553" s="41">
        <f t="shared" ref="BO553:BO555" si="6670">BN553</f>
        <v>0</v>
      </c>
      <c r="BP553" s="41">
        <f t="shared" ref="BP553:BP555" si="6671">BO553</f>
        <v>0</v>
      </c>
      <c r="BQ553" s="41">
        <f t="shared" ref="BQ553:BQ555" si="6672">BP553</f>
        <v>0</v>
      </c>
      <c r="BR553" s="41"/>
      <c r="BS553" s="40">
        <v>0</v>
      </c>
      <c r="BT553" s="40">
        <v>0</v>
      </c>
      <c r="BU553" s="40">
        <v>0</v>
      </c>
      <c r="BV553" s="40">
        <v>0</v>
      </c>
      <c r="BW553" s="40">
        <v>0</v>
      </c>
      <c r="BX553" s="40">
        <v>0</v>
      </c>
      <c r="BY553" s="40">
        <v>0</v>
      </c>
      <c r="BZ553" s="40">
        <v>0</v>
      </c>
      <c r="CA553" s="40">
        <v>0</v>
      </c>
      <c r="CB553" s="40">
        <v>0</v>
      </c>
      <c r="CC553" s="41">
        <f>E553</f>
        <v>0</v>
      </c>
      <c r="CD553" s="41">
        <f>G553</f>
        <v>-777</v>
      </c>
      <c r="CE553" s="41">
        <f>I553</f>
        <v>-983</v>
      </c>
      <c r="CF553" s="41">
        <f>K553</f>
        <v>-1077</v>
      </c>
      <c r="CG553" s="41">
        <f>M553</f>
        <v>-1267</v>
      </c>
      <c r="CH553" s="41">
        <f>O553</f>
        <v>-1381</v>
      </c>
      <c r="CI553" s="41">
        <f>Q553</f>
        <v>-1511</v>
      </c>
      <c r="CJ553" s="41">
        <f>S553</f>
        <v>-1403</v>
      </c>
      <c r="CK553" s="41">
        <f>U553</f>
        <v>-1895</v>
      </c>
      <c r="CL553" s="41">
        <f>W553</f>
        <v>-1999</v>
      </c>
      <c r="CM553" s="41">
        <f>Y553</f>
        <v>-2149</v>
      </c>
      <c r="CN553" s="41">
        <f>AA553</f>
        <v>0</v>
      </c>
      <c r="CO553" s="41">
        <f>AC553</f>
        <v>0</v>
      </c>
      <c r="CP553" s="41">
        <f>AE553</f>
        <v>0</v>
      </c>
      <c r="CQ553" s="41">
        <f>AG553</f>
        <v>0</v>
      </c>
      <c r="CR553" s="41">
        <f>AI553</f>
        <v>0</v>
      </c>
      <c r="CS553" s="41">
        <f>AK553</f>
        <v>0</v>
      </c>
      <c r="CT553" s="41">
        <f>AM553</f>
        <v>0</v>
      </c>
      <c r="CU553" s="41">
        <f>AO553</f>
        <v>0</v>
      </c>
      <c r="CV553" s="41">
        <f>AQ553</f>
        <v>0</v>
      </c>
      <c r="CW553" s="41">
        <f>AS553</f>
        <v>0</v>
      </c>
      <c r="CX553" s="41">
        <f>AU553</f>
        <v>0</v>
      </c>
      <c r="CY553" s="41">
        <f>AW553</f>
        <v>0</v>
      </c>
      <c r="CZ553" s="211">
        <f>AY553</f>
        <v>0</v>
      </c>
      <c r="DA553" s="41">
        <f>BA553</f>
        <v>0</v>
      </c>
      <c r="DB553" s="41">
        <f>BC553</f>
        <v>0</v>
      </c>
      <c r="DC553" s="41">
        <f>BE553</f>
        <v>0</v>
      </c>
      <c r="DD553" s="41">
        <f>BG553</f>
        <v>0</v>
      </c>
      <c r="DE553" s="41">
        <f>BI553</f>
        <v>0</v>
      </c>
      <c r="DF553" s="41">
        <f>BK553</f>
        <v>0</v>
      </c>
      <c r="DG553" s="41">
        <f>BM553</f>
        <v>0</v>
      </c>
      <c r="DH553" s="41">
        <f>BO553</f>
        <v>0</v>
      </c>
      <c r="DI553" s="41">
        <f>BQ553</f>
        <v>0</v>
      </c>
    </row>
    <row r="554" spans="1:113" ht="12" outlineLevel="1">
      <c r="A554" s="1" t="s">
        <v>1023</v>
      </c>
      <c r="B554" s="15" t="s">
        <v>446</v>
      </c>
      <c r="C554" s="40">
        <v>0</v>
      </c>
      <c r="D554" s="40">
        <v>0</v>
      </c>
      <c r="E554" s="40">
        <v>0</v>
      </c>
      <c r="F554" s="40">
        <v>0</v>
      </c>
      <c r="G554" s="40">
        <v>0</v>
      </c>
      <c r="H554" s="40">
        <v>0</v>
      </c>
      <c r="I554" s="40">
        <v>0</v>
      </c>
      <c r="J554" s="40">
        <v>0</v>
      </c>
      <c r="K554" s="40">
        <v>0</v>
      </c>
      <c r="L554" s="40">
        <v>0</v>
      </c>
      <c r="M554" s="40">
        <v>0</v>
      </c>
      <c r="N554" s="40">
        <v>109</v>
      </c>
      <c r="O554" s="40">
        <v>276</v>
      </c>
      <c r="P554" s="40">
        <v>477</v>
      </c>
      <c r="Q554" s="40">
        <v>453</v>
      </c>
      <c r="R554" s="40">
        <v>298</v>
      </c>
      <c r="S554" s="40">
        <v>421</v>
      </c>
      <c r="T554" s="40">
        <v>395</v>
      </c>
      <c r="U554" s="40">
        <v>569</v>
      </c>
      <c r="V554" s="40">
        <v>499</v>
      </c>
      <c r="W554" s="40">
        <v>600</v>
      </c>
      <c r="X554" s="40">
        <v>531</v>
      </c>
      <c r="Y554" s="40">
        <v>430</v>
      </c>
      <c r="Z554" s="141">
        <v>0</v>
      </c>
      <c r="AA554" s="141">
        <v>0</v>
      </c>
      <c r="AB554" s="41">
        <f t="shared" ref="AB554:AY554" si="6673">AA554</f>
        <v>0</v>
      </c>
      <c r="AC554" s="41">
        <f t="shared" si="6673"/>
        <v>0</v>
      </c>
      <c r="AD554" s="41">
        <f t="shared" si="6673"/>
        <v>0</v>
      </c>
      <c r="AE554" s="41">
        <f t="shared" si="6673"/>
        <v>0</v>
      </c>
      <c r="AF554" s="41">
        <f t="shared" si="6673"/>
        <v>0</v>
      </c>
      <c r="AG554" s="41">
        <f t="shared" si="6673"/>
        <v>0</v>
      </c>
      <c r="AH554" s="41">
        <f t="shared" si="6673"/>
        <v>0</v>
      </c>
      <c r="AI554" s="41">
        <f t="shared" si="6673"/>
        <v>0</v>
      </c>
      <c r="AJ554" s="41">
        <f t="shared" si="6673"/>
        <v>0</v>
      </c>
      <c r="AK554" s="41">
        <f t="shared" si="6673"/>
        <v>0</v>
      </c>
      <c r="AL554" s="41">
        <f t="shared" si="6673"/>
        <v>0</v>
      </c>
      <c r="AM554" s="41">
        <f t="shared" si="6673"/>
        <v>0</v>
      </c>
      <c r="AN554" s="41">
        <f t="shared" si="6673"/>
        <v>0</v>
      </c>
      <c r="AO554" s="41">
        <f t="shared" si="6673"/>
        <v>0</v>
      </c>
      <c r="AP554" s="41">
        <f t="shared" si="6673"/>
        <v>0</v>
      </c>
      <c r="AQ554" s="41">
        <f t="shared" si="6673"/>
        <v>0</v>
      </c>
      <c r="AR554" s="41">
        <f t="shared" si="6673"/>
        <v>0</v>
      </c>
      <c r="AS554" s="41">
        <f t="shared" si="6673"/>
        <v>0</v>
      </c>
      <c r="AT554" s="41">
        <f t="shared" si="6673"/>
        <v>0</v>
      </c>
      <c r="AU554" s="41">
        <f t="shared" si="6673"/>
        <v>0</v>
      </c>
      <c r="AV554" s="41">
        <f t="shared" si="6673"/>
        <v>0</v>
      </c>
      <c r="AW554" s="41">
        <f t="shared" si="6673"/>
        <v>0</v>
      </c>
      <c r="AX554" s="41">
        <f t="shared" si="6673"/>
        <v>0</v>
      </c>
      <c r="AY554" s="211">
        <f t="shared" si="6673"/>
        <v>0</v>
      </c>
      <c r="AZ554" s="41">
        <f t="shared" si="6659"/>
        <v>0</v>
      </c>
      <c r="BA554" s="41">
        <f t="shared" si="6660"/>
        <v>0</v>
      </c>
      <c r="BB554" s="41">
        <f t="shared" si="6661"/>
        <v>0</v>
      </c>
      <c r="BC554" s="41">
        <f t="shared" si="6662"/>
        <v>0</v>
      </c>
      <c r="BD554" s="41">
        <f t="shared" si="6663"/>
        <v>0</v>
      </c>
      <c r="BE554" s="41">
        <f t="shared" si="6664"/>
        <v>0</v>
      </c>
      <c r="BF554" s="41">
        <f t="shared" si="6665"/>
        <v>0</v>
      </c>
      <c r="BG554" s="41">
        <f t="shared" si="6666"/>
        <v>0</v>
      </c>
      <c r="BH554" s="41">
        <f t="shared" si="6666"/>
        <v>0</v>
      </c>
      <c r="BI554" s="41">
        <f t="shared" si="6666"/>
        <v>0</v>
      </c>
      <c r="BJ554" s="41">
        <f t="shared" si="6666"/>
        <v>0</v>
      </c>
      <c r="BK554" s="41">
        <f t="shared" si="6666"/>
        <v>0</v>
      </c>
      <c r="BL554" s="41">
        <f t="shared" si="6667"/>
        <v>0</v>
      </c>
      <c r="BM554" s="41">
        <f t="shared" si="6668"/>
        <v>0</v>
      </c>
      <c r="BN554" s="41">
        <f t="shared" si="6669"/>
        <v>0</v>
      </c>
      <c r="BO554" s="41">
        <f t="shared" si="6670"/>
        <v>0</v>
      </c>
      <c r="BP554" s="41">
        <f t="shared" si="6671"/>
        <v>0</v>
      </c>
      <c r="BQ554" s="41">
        <f t="shared" si="6672"/>
        <v>0</v>
      </c>
      <c r="BR554" s="41"/>
      <c r="BS554" s="40">
        <v>0</v>
      </c>
      <c r="BT554" s="40">
        <v>0</v>
      </c>
      <c r="BU554" s="40">
        <v>0</v>
      </c>
      <c r="BV554" s="40">
        <v>0</v>
      </c>
      <c r="BW554" s="40">
        <v>0</v>
      </c>
      <c r="BX554" s="40">
        <v>0</v>
      </c>
      <c r="BY554" s="40">
        <v>0</v>
      </c>
      <c r="BZ554" s="40">
        <v>0</v>
      </c>
      <c r="CA554" s="40">
        <v>0</v>
      </c>
      <c r="CB554" s="40">
        <v>0</v>
      </c>
      <c r="CC554" s="41">
        <f>E554</f>
        <v>0</v>
      </c>
      <c r="CD554" s="41">
        <f>G554</f>
        <v>0</v>
      </c>
      <c r="CE554" s="41">
        <f>I554</f>
        <v>0</v>
      </c>
      <c r="CF554" s="41">
        <f>K554</f>
        <v>0</v>
      </c>
      <c r="CG554" s="41">
        <f>M554</f>
        <v>0</v>
      </c>
      <c r="CH554" s="41">
        <f>O554</f>
        <v>276</v>
      </c>
      <c r="CI554" s="41">
        <f>Q554</f>
        <v>453</v>
      </c>
      <c r="CJ554" s="41">
        <f>S554</f>
        <v>421</v>
      </c>
      <c r="CK554" s="41">
        <f>U554</f>
        <v>569</v>
      </c>
      <c r="CL554" s="41">
        <f>W554</f>
        <v>600</v>
      </c>
      <c r="CM554" s="41">
        <f>Y554</f>
        <v>430</v>
      </c>
      <c r="CN554" s="41">
        <f>AA554</f>
        <v>0</v>
      </c>
      <c r="CO554" s="41">
        <f>AC554</f>
        <v>0</v>
      </c>
      <c r="CP554" s="41">
        <f>AE554</f>
        <v>0</v>
      </c>
      <c r="CQ554" s="41">
        <f>AG554</f>
        <v>0</v>
      </c>
      <c r="CR554" s="41">
        <f>AI554</f>
        <v>0</v>
      </c>
      <c r="CS554" s="41">
        <f>AK554</f>
        <v>0</v>
      </c>
      <c r="CT554" s="41">
        <f>AM554</f>
        <v>0</v>
      </c>
      <c r="CU554" s="41">
        <f>AO554</f>
        <v>0</v>
      </c>
      <c r="CV554" s="41">
        <f>AQ554</f>
        <v>0</v>
      </c>
      <c r="CW554" s="41">
        <f>AS554</f>
        <v>0</v>
      </c>
      <c r="CX554" s="41">
        <f>AU554</f>
        <v>0</v>
      </c>
      <c r="CY554" s="41">
        <f>AW554</f>
        <v>0</v>
      </c>
      <c r="CZ554" s="211">
        <f>AY554</f>
        <v>0</v>
      </c>
      <c r="DA554" s="41">
        <f>BA554</f>
        <v>0</v>
      </c>
      <c r="DB554" s="41">
        <f>BC554</f>
        <v>0</v>
      </c>
      <c r="DC554" s="41">
        <f>BE554</f>
        <v>0</v>
      </c>
      <c r="DD554" s="41">
        <f>BG554</f>
        <v>0</v>
      </c>
      <c r="DE554" s="41">
        <f>BI554</f>
        <v>0</v>
      </c>
      <c r="DF554" s="41">
        <f>BK554</f>
        <v>0</v>
      </c>
      <c r="DG554" s="41">
        <f>BM554</f>
        <v>0</v>
      </c>
      <c r="DH554" s="41">
        <f>BO554</f>
        <v>0</v>
      </c>
      <c r="DI554" s="41">
        <f>BQ554</f>
        <v>0</v>
      </c>
    </row>
    <row r="555" spans="1:113" ht="12" outlineLevel="1">
      <c r="A555" s="1" t="s">
        <v>1024</v>
      </c>
      <c r="B555" s="15" t="s">
        <v>269</v>
      </c>
      <c r="C555" s="40">
        <f>-1526</f>
        <v>-1526</v>
      </c>
      <c r="D555" s="40">
        <f>-1410</f>
        <v>-1410</v>
      </c>
      <c r="E555" s="40">
        <f>-1375</f>
        <v>-1375</v>
      </c>
      <c r="F555" s="40">
        <f>-1225</f>
        <v>-1225</v>
      </c>
      <c r="G555" s="40">
        <f>-2212</f>
        <v>-2212</v>
      </c>
      <c r="H555" s="40">
        <f>-987</f>
        <v>-987</v>
      </c>
      <c r="I555" s="40">
        <f>-871</f>
        <v>-871</v>
      </c>
      <c r="J555" s="40">
        <f>-1858</f>
        <v>-1858</v>
      </c>
      <c r="K555" s="40">
        <f>-1858</f>
        <v>-1858</v>
      </c>
      <c r="L555" s="40">
        <v>-871</v>
      </c>
      <c r="M555" s="40">
        <v>-871</v>
      </c>
      <c r="N555" s="40">
        <v>-871</v>
      </c>
      <c r="O555" s="40">
        <v>-871</v>
      </c>
      <c r="P555" s="40">
        <v>-871</v>
      </c>
      <c r="Q555" s="40">
        <v>-871</v>
      </c>
      <c r="R555" s="40">
        <v>-871</v>
      </c>
      <c r="S555" s="40">
        <v>-871</v>
      </c>
      <c r="T555" s="40">
        <v>-871</v>
      </c>
      <c r="U555" s="40">
        <v>-871</v>
      </c>
      <c r="V555" s="40">
        <v>-871</v>
      </c>
      <c r="W555" s="40">
        <v>-871</v>
      </c>
      <c r="X555" s="40">
        <v>-871</v>
      </c>
      <c r="Y555" s="40">
        <v>-871</v>
      </c>
      <c r="Z555" s="141">
        <v>-871</v>
      </c>
      <c r="AA555" s="141">
        <v>-871</v>
      </c>
      <c r="AB555" s="141">
        <v>-871</v>
      </c>
      <c r="AC555" s="141">
        <v>-871</v>
      </c>
      <c r="AD555" s="141">
        <v>0</v>
      </c>
      <c r="AE555" s="141">
        <v>0</v>
      </c>
      <c r="AF555" s="141">
        <v>0</v>
      </c>
      <c r="AG555" s="141">
        <v>0</v>
      </c>
      <c r="AH555" s="141">
        <v>0</v>
      </c>
      <c r="AI555" s="141">
        <v>0</v>
      </c>
      <c r="AJ555" s="141">
        <v>0</v>
      </c>
      <c r="AK555" s="141">
        <v>0</v>
      </c>
      <c r="AL555" s="141">
        <v>0</v>
      </c>
      <c r="AM555" s="141">
        <v>0</v>
      </c>
      <c r="AN555" s="141">
        <v>0</v>
      </c>
      <c r="AO555" s="141">
        <v>0</v>
      </c>
      <c r="AP555" s="141">
        <v>0</v>
      </c>
      <c r="AQ555" s="141">
        <v>0</v>
      </c>
      <c r="AR555" s="141">
        <v>0</v>
      </c>
      <c r="AS555" s="141">
        <v>0</v>
      </c>
      <c r="AT555" s="141">
        <v>0</v>
      </c>
      <c r="AU555" s="141">
        <v>0</v>
      </c>
      <c r="AV555" s="141">
        <v>0</v>
      </c>
      <c r="AW555" s="141">
        <v>0</v>
      </c>
      <c r="AX555" s="141">
        <v>0</v>
      </c>
      <c r="AY555" s="226">
        <v>0</v>
      </c>
      <c r="AZ555" s="210">
        <f t="shared" si="6659"/>
        <v>0</v>
      </c>
      <c r="BA555" s="210">
        <f t="shared" si="6660"/>
        <v>0</v>
      </c>
      <c r="BB555" s="210">
        <f t="shared" si="6661"/>
        <v>0</v>
      </c>
      <c r="BC555" s="210">
        <f t="shared" si="6662"/>
        <v>0</v>
      </c>
      <c r="BD555" s="210">
        <f t="shared" si="6663"/>
        <v>0</v>
      </c>
      <c r="BE555" s="210">
        <f t="shared" si="6664"/>
        <v>0</v>
      </c>
      <c r="BF555" s="210">
        <f t="shared" si="6665"/>
        <v>0</v>
      </c>
      <c r="BG555" s="210">
        <f t="shared" si="6666"/>
        <v>0</v>
      </c>
      <c r="BH555" s="210">
        <f t="shared" si="6666"/>
        <v>0</v>
      </c>
      <c r="BI555" s="210">
        <f t="shared" si="6666"/>
        <v>0</v>
      </c>
      <c r="BJ555" s="210">
        <f t="shared" si="6666"/>
        <v>0</v>
      </c>
      <c r="BK555" s="210">
        <f t="shared" si="6666"/>
        <v>0</v>
      </c>
      <c r="BL555" s="210">
        <f t="shared" si="6667"/>
        <v>0</v>
      </c>
      <c r="BM555" s="210">
        <f t="shared" si="6668"/>
        <v>0</v>
      </c>
      <c r="BN555" s="210">
        <f t="shared" si="6669"/>
        <v>0</v>
      </c>
      <c r="BO555" s="210">
        <f t="shared" si="6670"/>
        <v>0</v>
      </c>
      <c r="BP555" s="210">
        <f t="shared" si="6671"/>
        <v>0</v>
      </c>
      <c r="BQ555" s="210">
        <f t="shared" si="6672"/>
        <v>0</v>
      </c>
      <c r="BR555" s="41"/>
      <c r="BS555" s="40">
        <v>-600</v>
      </c>
      <c r="BT555" s="40">
        <v>-267</v>
      </c>
      <c r="BU555" s="40">
        <v>-389</v>
      </c>
      <c r="BV555" s="40">
        <v>0</v>
      </c>
      <c r="BW555" s="40">
        <v>0</v>
      </c>
      <c r="BX555" s="40">
        <v>0</v>
      </c>
      <c r="BY555" s="40">
        <v>-645</v>
      </c>
      <c r="BZ555" s="40">
        <v>-1145</v>
      </c>
      <c r="CA555" s="40">
        <v>-1374</v>
      </c>
      <c r="CB555" s="40">
        <v>-1526</v>
      </c>
      <c r="CC555" s="41">
        <f>E555</f>
        <v>-1375</v>
      </c>
      <c r="CD555" s="41">
        <f>G555</f>
        <v>-2212</v>
      </c>
      <c r="CE555" s="41">
        <f>I555</f>
        <v>-871</v>
      </c>
      <c r="CF555" s="41">
        <f>K555</f>
        <v>-1858</v>
      </c>
      <c r="CG555" s="41">
        <f>M555</f>
        <v>-871</v>
      </c>
      <c r="CH555" s="41">
        <f>O555</f>
        <v>-871</v>
      </c>
      <c r="CI555" s="41">
        <f>Q555</f>
        <v>-871</v>
      </c>
      <c r="CJ555" s="41">
        <f>S555</f>
        <v>-871</v>
      </c>
      <c r="CK555" s="41">
        <f>U555</f>
        <v>-871</v>
      </c>
      <c r="CL555" s="41">
        <f>W555</f>
        <v>-871</v>
      </c>
      <c r="CM555" s="41">
        <f>Y555</f>
        <v>-871</v>
      </c>
      <c r="CN555" s="41">
        <f>AA555</f>
        <v>-871</v>
      </c>
      <c r="CO555" s="41">
        <f>AC555</f>
        <v>-871</v>
      </c>
      <c r="CP555" s="41">
        <f>AE555</f>
        <v>0</v>
      </c>
      <c r="CQ555" s="41">
        <f>AG555</f>
        <v>0</v>
      </c>
      <c r="CR555" s="41">
        <f>AI555</f>
        <v>0</v>
      </c>
      <c r="CS555" s="41">
        <f>AK555</f>
        <v>0</v>
      </c>
      <c r="CT555" s="41">
        <f>AM555</f>
        <v>0</v>
      </c>
      <c r="CU555" s="41">
        <f>AO555</f>
        <v>0</v>
      </c>
      <c r="CV555" s="41">
        <f>AQ555</f>
        <v>0</v>
      </c>
      <c r="CW555" s="41">
        <f>AS555</f>
        <v>0</v>
      </c>
      <c r="CX555" s="41">
        <f>AU555</f>
        <v>0</v>
      </c>
      <c r="CY555" s="41">
        <f>AW555</f>
        <v>0</v>
      </c>
      <c r="CZ555" s="211">
        <f>AY555</f>
        <v>0</v>
      </c>
      <c r="DA555" s="41">
        <f>BA555</f>
        <v>0</v>
      </c>
      <c r="DB555" s="41">
        <f>BC555</f>
        <v>0</v>
      </c>
      <c r="DC555" s="41">
        <f>BE555</f>
        <v>0</v>
      </c>
      <c r="DD555" s="41">
        <f>BG555</f>
        <v>0</v>
      </c>
      <c r="DE555" s="41">
        <f>BI555</f>
        <v>0</v>
      </c>
      <c r="DF555" s="41">
        <f>BK555</f>
        <v>0</v>
      </c>
      <c r="DG555" s="41">
        <f>BM555</f>
        <v>0</v>
      </c>
      <c r="DH555" s="41">
        <f>BO555</f>
        <v>0</v>
      </c>
      <c r="DI555" s="41">
        <f>BQ555</f>
        <v>0</v>
      </c>
    </row>
    <row r="556" spans="1:113" ht="12" outlineLevel="1">
      <c r="A556" s="1" t="s">
        <v>1025</v>
      </c>
      <c r="B556" s="15" t="s">
        <v>270</v>
      </c>
      <c r="C556" s="40">
        <v>0</v>
      </c>
      <c r="D556" s="40">
        <v>0</v>
      </c>
      <c r="E556" s="40">
        <v>-48</v>
      </c>
      <c r="F556" s="40">
        <v>-99</v>
      </c>
      <c r="G556" s="40">
        <v>-168</v>
      </c>
      <c r="H556" s="40">
        <v>-169</v>
      </c>
      <c r="I556" s="40">
        <v>-218</v>
      </c>
      <c r="J556" s="40">
        <v>-266</v>
      </c>
      <c r="K556" s="40">
        <v>-213</v>
      </c>
      <c r="L556" s="40">
        <v>-161</v>
      </c>
      <c r="M556" s="40">
        <v>-289</v>
      </c>
      <c r="N556" s="40">
        <v>-386</v>
      </c>
      <c r="O556" s="40">
        <v>-398</v>
      </c>
      <c r="P556" s="40">
        <v>-533</v>
      </c>
      <c r="Q556" s="40">
        <v>-841</v>
      </c>
      <c r="R556" s="40">
        <v>-1336</v>
      </c>
      <c r="S556" s="40">
        <v>-1010</v>
      </c>
      <c r="T556" s="40">
        <v>-955</v>
      </c>
      <c r="U556" s="40">
        <v>-1312</v>
      </c>
      <c r="V556" s="40">
        <v>-1274</v>
      </c>
      <c r="W556" s="40">
        <v>-1686</v>
      </c>
      <c r="X556" s="40">
        <v>-1444</v>
      </c>
      <c r="Y556" s="40">
        <v>-1660</v>
      </c>
      <c r="Z556" s="141">
        <v>-573</v>
      </c>
      <c r="AA556" s="141">
        <v>-583</v>
      </c>
      <c r="AB556" s="141">
        <v>-727</v>
      </c>
      <c r="AC556" s="141">
        <v>-794</v>
      </c>
      <c r="AD556" s="141">
        <v>-951</v>
      </c>
      <c r="AE556" s="141">
        <v>-791</v>
      </c>
      <c r="AF556" s="141">
        <v>-931</v>
      </c>
      <c r="AG556" s="141">
        <v>-875</v>
      </c>
      <c r="AH556" s="141">
        <v>-811</v>
      </c>
      <c r="AI556" s="141">
        <v>-711</v>
      </c>
      <c r="AJ556" s="141">
        <v>-608</v>
      </c>
      <c r="AK556" s="141">
        <v>-509</v>
      </c>
      <c r="AL556" s="141">
        <v>-213</v>
      </c>
      <c r="AM556" s="141">
        <v>0</v>
      </c>
      <c r="AN556" s="141">
        <v>0</v>
      </c>
      <c r="AO556" s="141">
        <v>0</v>
      </c>
      <c r="AP556" s="141">
        <v>0</v>
      </c>
      <c r="AQ556" s="141">
        <v>0</v>
      </c>
      <c r="AR556" s="141">
        <v>0</v>
      </c>
      <c r="AS556" s="141">
        <v>0</v>
      </c>
      <c r="AT556" s="141">
        <v>0</v>
      </c>
      <c r="AU556" s="141">
        <v>0</v>
      </c>
      <c r="AV556" s="141">
        <v>0</v>
      </c>
      <c r="AW556" s="141">
        <v>0</v>
      </c>
      <c r="AX556" s="141">
        <v>0</v>
      </c>
      <c r="AY556" s="226">
        <v>0</v>
      </c>
      <c r="AZ556" s="210">
        <f t="shared" ref="AZ556:BC556" si="6674">AY556*AZ576/AY576</f>
        <v>0</v>
      </c>
      <c r="BA556" s="210">
        <f t="shared" si="6674"/>
        <v>0</v>
      </c>
      <c r="BB556" s="210">
        <f t="shared" si="6674"/>
        <v>0</v>
      </c>
      <c r="BC556" s="210">
        <f t="shared" si="6674"/>
        <v>0</v>
      </c>
      <c r="BD556" s="210">
        <f t="shared" ref="BD556" si="6675">BC556*BD576/BC576</f>
        <v>0</v>
      </c>
      <c r="BE556" s="210">
        <f t="shared" ref="BE556" si="6676">BD556*BE576/BD576</f>
        <v>0</v>
      </c>
      <c r="BF556" s="210">
        <f t="shared" ref="BF556" si="6677">BE556*BF576/BE576</f>
        <v>0</v>
      </c>
      <c r="BG556" s="210">
        <f t="shared" ref="BG556:BK556" si="6678">BF556*BG576/BF576</f>
        <v>0</v>
      </c>
      <c r="BH556" s="210">
        <f t="shared" si="6678"/>
        <v>0</v>
      </c>
      <c r="BI556" s="210">
        <f t="shared" si="6678"/>
        <v>0</v>
      </c>
      <c r="BJ556" s="210">
        <f t="shared" si="6678"/>
        <v>0</v>
      </c>
      <c r="BK556" s="210">
        <f t="shared" si="6678"/>
        <v>0</v>
      </c>
      <c r="BL556" s="210">
        <f t="shared" ref="BL556" si="6679">BK556*BL576/BK576</f>
        <v>0</v>
      </c>
      <c r="BM556" s="210">
        <f t="shared" ref="BM556" si="6680">BL556*BM576/BL576</f>
        <v>0</v>
      </c>
      <c r="BN556" s="210">
        <f t="shared" ref="BN556" si="6681">BM556*BN576/BM576</f>
        <v>0</v>
      </c>
      <c r="BO556" s="210">
        <f t="shared" ref="BO556" si="6682">BN556*BO576/BN576</f>
        <v>0</v>
      </c>
      <c r="BP556" s="210">
        <f t="shared" ref="BP556" si="6683">BO556*BP576/BO576</f>
        <v>0</v>
      </c>
      <c r="BQ556" s="210">
        <f t="shared" ref="BQ556" si="6684">BP556*BQ576/BP576</f>
        <v>0</v>
      </c>
      <c r="BR556" s="41"/>
      <c r="BS556" s="40">
        <v>0</v>
      </c>
      <c r="BT556" s="40">
        <v>0</v>
      </c>
      <c r="BU556" s="40">
        <v>0</v>
      </c>
      <c r="BV556" s="40">
        <v>0</v>
      </c>
      <c r="BW556" s="40">
        <v>0</v>
      </c>
      <c r="BX556" s="40">
        <v>0</v>
      </c>
      <c r="BY556" s="40">
        <v>0</v>
      </c>
      <c r="BZ556" s="40">
        <v>0</v>
      </c>
      <c r="CA556" s="40">
        <v>0</v>
      </c>
      <c r="CB556" s="40">
        <v>0</v>
      </c>
      <c r="CC556" s="41">
        <f>E556</f>
        <v>-48</v>
      </c>
      <c r="CD556" s="41">
        <f>G556</f>
        <v>-168</v>
      </c>
      <c r="CE556" s="41">
        <f>I556</f>
        <v>-218</v>
      </c>
      <c r="CF556" s="41">
        <f>K556</f>
        <v>-213</v>
      </c>
      <c r="CG556" s="41">
        <f>M556</f>
        <v>-289</v>
      </c>
      <c r="CH556" s="41">
        <f>O556</f>
        <v>-398</v>
      </c>
      <c r="CI556" s="41">
        <f>Q556</f>
        <v>-841</v>
      </c>
      <c r="CJ556" s="41">
        <f>S556</f>
        <v>-1010</v>
      </c>
      <c r="CK556" s="41">
        <f>U556</f>
        <v>-1312</v>
      </c>
      <c r="CL556" s="41">
        <f>W556</f>
        <v>-1686</v>
      </c>
      <c r="CM556" s="41">
        <f>Y556</f>
        <v>-1660</v>
      </c>
      <c r="CN556" s="41">
        <f>AA556</f>
        <v>-583</v>
      </c>
      <c r="CO556" s="41">
        <f>AC556</f>
        <v>-794</v>
      </c>
      <c r="CP556" s="41">
        <f>AE556</f>
        <v>-791</v>
      </c>
      <c r="CQ556" s="41">
        <f>AG556</f>
        <v>-875</v>
      </c>
      <c r="CR556" s="41">
        <f>AI556</f>
        <v>-711</v>
      </c>
      <c r="CS556" s="41">
        <f>AK556</f>
        <v>-509</v>
      </c>
      <c r="CT556" s="41">
        <f>AM556</f>
        <v>0</v>
      </c>
      <c r="CU556" s="41">
        <f>AO556</f>
        <v>0</v>
      </c>
      <c r="CV556" s="41">
        <f>AQ556</f>
        <v>0</v>
      </c>
      <c r="CW556" s="41">
        <f>AS556</f>
        <v>0</v>
      </c>
      <c r="CX556" s="41">
        <f>AU556</f>
        <v>0</v>
      </c>
      <c r="CY556" s="41">
        <f>AW556</f>
        <v>0</v>
      </c>
      <c r="CZ556" s="211">
        <f>AY556</f>
        <v>0</v>
      </c>
      <c r="DA556" s="41">
        <f>BA556</f>
        <v>0</v>
      </c>
      <c r="DB556" s="41">
        <f>BC556</f>
        <v>0</v>
      </c>
      <c r="DC556" s="41">
        <f>BE556</f>
        <v>0</v>
      </c>
      <c r="DD556" s="41">
        <f>BG556</f>
        <v>0</v>
      </c>
      <c r="DE556" s="41">
        <f>BI556</f>
        <v>0</v>
      </c>
      <c r="DF556" s="41">
        <f>BK556</f>
        <v>0</v>
      </c>
      <c r="DG556" s="41">
        <f>BM556</f>
        <v>0</v>
      </c>
      <c r="DH556" s="41">
        <f>BO556</f>
        <v>0</v>
      </c>
      <c r="DI556" s="41">
        <f>BQ556</f>
        <v>0</v>
      </c>
    </row>
    <row r="557" spans="1:113" ht="12" outlineLevel="1">
      <c r="A557" s="1" t="s">
        <v>1026</v>
      </c>
      <c r="B557" s="15" t="s">
        <v>2455</v>
      </c>
      <c r="C557" s="141">
        <v>0</v>
      </c>
      <c r="D557" s="141">
        <v>0</v>
      </c>
      <c r="E557" s="141">
        <v>0</v>
      </c>
      <c r="F557" s="141">
        <v>0</v>
      </c>
      <c r="G557" s="141">
        <v>0</v>
      </c>
      <c r="H557" s="141">
        <v>0</v>
      </c>
      <c r="I557" s="141">
        <v>0</v>
      </c>
      <c r="J557" s="141">
        <v>0</v>
      </c>
      <c r="K557" s="141">
        <v>0</v>
      </c>
      <c r="L557" s="141">
        <v>0</v>
      </c>
      <c r="M557" s="141">
        <v>0</v>
      </c>
      <c r="N557" s="141">
        <v>0</v>
      </c>
      <c r="O557" s="141">
        <v>0</v>
      </c>
      <c r="P557" s="141">
        <v>0</v>
      </c>
      <c r="Q557" s="141">
        <v>0</v>
      </c>
      <c r="R557" s="141">
        <v>0</v>
      </c>
      <c r="S557" s="141">
        <v>0</v>
      </c>
      <c r="T557" s="141">
        <v>0</v>
      </c>
      <c r="U557" s="141">
        <v>0</v>
      </c>
      <c r="V557" s="141">
        <v>0</v>
      </c>
      <c r="W557" s="141">
        <v>0</v>
      </c>
      <c r="X557" s="141">
        <v>0</v>
      </c>
      <c r="Y557" s="141">
        <v>0</v>
      </c>
      <c r="Z557" s="141">
        <v>0</v>
      </c>
      <c r="AA557" s="141">
        <v>0</v>
      </c>
      <c r="AB557" s="141">
        <v>0</v>
      </c>
      <c r="AC557" s="141">
        <v>0</v>
      </c>
      <c r="AD557" s="141">
        <v>0</v>
      </c>
      <c r="AE557" s="141">
        <v>0</v>
      </c>
      <c r="AF557" s="141">
        <v>0</v>
      </c>
      <c r="AG557" s="141">
        <v>0</v>
      </c>
      <c r="AH557" s="141">
        <v>0</v>
      </c>
      <c r="AI557" s="141">
        <v>0</v>
      </c>
      <c r="AJ557" s="141">
        <v>0</v>
      </c>
      <c r="AK557" s="141">
        <v>0</v>
      </c>
      <c r="AL557" s="141">
        <v>0</v>
      </c>
      <c r="AM557" s="141">
        <v>0</v>
      </c>
      <c r="AN557" s="141">
        <v>0</v>
      </c>
      <c r="AO557" s="141">
        <v>0</v>
      </c>
      <c r="AP557" s="141">
        <v>0</v>
      </c>
      <c r="AQ557" s="141">
        <v>0</v>
      </c>
      <c r="AR557" s="141">
        <v>0</v>
      </c>
      <c r="AS557" s="141">
        <v>0</v>
      </c>
      <c r="AT557" s="141">
        <f>68596-AT550</f>
        <v>-984</v>
      </c>
      <c r="AU557" s="141">
        <f>69085-AU550</f>
        <v>-932</v>
      </c>
      <c r="AV557" s="141">
        <f>70202-AV550</f>
        <v>-104</v>
      </c>
      <c r="AW557" s="141">
        <f>68760-AW550</f>
        <v>-1097</v>
      </c>
      <c r="AX557" s="141">
        <f>70712-AX550</f>
        <v>-855</v>
      </c>
      <c r="AY557" s="226">
        <f>70445-AY550</f>
        <v>-683</v>
      </c>
      <c r="AZ557" s="210">
        <f>AY557*1.02</f>
        <v>-696.66</v>
      </c>
      <c r="BA557" s="210">
        <f t="shared" ref="BA557:BQ557" si="6685">AZ557*1.02</f>
        <v>-710.59320000000002</v>
      </c>
      <c r="BB557" s="210">
        <f t="shared" si="6685"/>
        <v>-724.80506400000002</v>
      </c>
      <c r="BC557" s="210">
        <f t="shared" si="6685"/>
        <v>-739.30116528000008</v>
      </c>
      <c r="BD557" s="210">
        <f t="shared" si="6685"/>
        <v>-754.08718858560007</v>
      </c>
      <c r="BE557" s="210">
        <f t="shared" si="6685"/>
        <v>-769.16893235731209</v>
      </c>
      <c r="BF557" s="210">
        <f t="shared" si="6685"/>
        <v>-784.55231100445837</v>
      </c>
      <c r="BG557" s="210">
        <f t="shared" si="6685"/>
        <v>-800.24335722454759</v>
      </c>
      <c r="BH557" s="210">
        <f t="shared" si="6685"/>
        <v>-816.24822436903855</v>
      </c>
      <c r="BI557" s="210">
        <f t="shared" si="6685"/>
        <v>-832.57318885641939</v>
      </c>
      <c r="BJ557" s="210">
        <f t="shared" si="6685"/>
        <v>-849.22465263354775</v>
      </c>
      <c r="BK557" s="210">
        <f t="shared" si="6685"/>
        <v>-866.20914568621868</v>
      </c>
      <c r="BL557" s="210">
        <f t="shared" si="6685"/>
        <v>-883.53332859994305</v>
      </c>
      <c r="BM557" s="210">
        <f t="shared" si="6685"/>
        <v>-901.20399517194187</v>
      </c>
      <c r="BN557" s="210">
        <f t="shared" si="6685"/>
        <v>-919.22807507538073</v>
      </c>
      <c r="BO557" s="210">
        <f t="shared" si="6685"/>
        <v>-937.61263657688835</v>
      </c>
      <c r="BP557" s="210">
        <f t="shared" si="6685"/>
        <v>-956.36488930842609</v>
      </c>
      <c r="BQ557" s="210">
        <f t="shared" si="6685"/>
        <v>-975.49218709459467</v>
      </c>
      <c r="BR557" s="210"/>
      <c r="BS557" s="40">
        <v>0</v>
      </c>
      <c r="BT557" s="40">
        <v>0</v>
      </c>
      <c r="BU557" s="40">
        <v>0</v>
      </c>
      <c r="BV557" s="40">
        <v>0</v>
      </c>
      <c r="BW557" s="40">
        <v>0</v>
      </c>
      <c r="BX557" s="40">
        <v>0</v>
      </c>
      <c r="BY557" s="40">
        <v>0</v>
      </c>
      <c r="BZ557" s="40">
        <v>0</v>
      </c>
      <c r="CA557" s="40">
        <v>0</v>
      </c>
      <c r="CB557" s="40">
        <v>0</v>
      </c>
      <c r="CC557" s="41">
        <f>E557</f>
        <v>0</v>
      </c>
      <c r="CD557" s="41">
        <f>G557</f>
        <v>0</v>
      </c>
      <c r="CE557" s="41">
        <f>I557</f>
        <v>0</v>
      </c>
      <c r="CF557" s="41">
        <f>K557</f>
        <v>0</v>
      </c>
      <c r="CG557" s="41">
        <f>M557</f>
        <v>0</v>
      </c>
      <c r="CH557" s="41">
        <f>O557</f>
        <v>0</v>
      </c>
      <c r="CI557" s="41">
        <f>Q557</f>
        <v>0</v>
      </c>
      <c r="CJ557" s="41">
        <f>S557</f>
        <v>0</v>
      </c>
      <c r="CK557" s="41">
        <f>U557</f>
        <v>0</v>
      </c>
      <c r="CL557" s="41">
        <f>W557</f>
        <v>0</v>
      </c>
      <c r="CM557" s="41">
        <f>Y557</f>
        <v>0</v>
      </c>
      <c r="CN557" s="41">
        <f>AA557</f>
        <v>0</v>
      </c>
      <c r="CO557" s="41">
        <f>AC557</f>
        <v>0</v>
      </c>
      <c r="CP557" s="41">
        <f>AE557</f>
        <v>0</v>
      </c>
      <c r="CQ557" s="41">
        <f>AG557</f>
        <v>0</v>
      </c>
      <c r="CR557" s="41">
        <f>AI557</f>
        <v>0</v>
      </c>
      <c r="CS557" s="41">
        <f>AK557</f>
        <v>0</v>
      </c>
      <c r="CT557" s="41">
        <f>AM557</f>
        <v>0</v>
      </c>
      <c r="CU557" s="41">
        <f>AO557</f>
        <v>0</v>
      </c>
      <c r="CV557" s="41">
        <f>AQ557</f>
        <v>0</v>
      </c>
      <c r="CW557" s="41">
        <f>AS557</f>
        <v>0</v>
      </c>
      <c r="CX557" s="41">
        <f>AU557</f>
        <v>-932</v>
      </c>
      <c r="CY557" s="41">
        <f>AW557</f>
        <v>-1097</v>
      </c>
      <c r="CZ557" s="211">
        <f>AY557</f>
        <v>-683</v>
      </c>
      <c r="DA557" s="41">
        <f>BA557</f>
        <v>-710.59320000000002</v>
      </c>
      <c r="DB557" s="41">
        <f>BC557</f>
        <v>-739.30116528000008</v>
      </c>
      <c r="DC557" s="41">
        <f>BE557</f>
        <v>-769.16893235731209</v>
      </c>
      <c r="DD557" s="41">
        <f>BG557</f>
        <v>-800.24335722454759</v>
      </c>
      <c r="DE557" s="41">
        <f>BI557</f>
        <v>-832.57318885641939</v>
      </c>
      <c r="DF557" s="41">
        <f>BK557</f>
        <v>-866.20914568621868</v>
      </c>
      <c r="DG557" s="41">
        <f>BM557</f>
        <v>-901.20399517194187</v>
      </c>
      <c r="DH557" s="41">
        <f>BO557</f>
        <v>-937.61263657688835</v>
      </c>
      <c r="DI557" s="41">
        <f>BQ557</f>
        <v>-975.49218709459467</v>
      </c>
    </row>
    <row r="558" spans="1:113" ht="12" hidden="1" outlineLevel="2">
      <c r="A558" s="1" t="s">
        <v>64</v>
      </c>
      <c r="B558" s="15" t="s">
        <v>804</v>
      </c>
      <c r="C558" s="41"/>
      <c r="D558" s="41"/>
      <c r="E558" s="41"/>
      <c r="F558" s="41"/>
      <c r="G558" s="41"/>
      <c r="H558" s="41"/>
      <c r="I558" s="41"/>
      <c r="J558" s="41"/>
      <c r="K558" s="41"/>
      <c r="L558" s="41"/>
      <c r="M558" s="41"/>
      <c r="N558" s="41"/>
      <c r="O558" s="41"/>
      <c r="P558" s="41"/>
      <c r="Q558" s="41"/>
      <c r="R558" s="41"/>
      <c r="S558" s="41"/>
      <c r="T558" s="41"/>
      <c r="U558" s="41"/>
      <c r="V558" s="41"/>
      <c r="W558" s="41"/>
      <c r="X558" s="41"/>
      <c r="Y558" s="41"/>
      <c r="Z558" s="41"/>
      <c r="AA558" s="41"/>
      <c r="AB558" s="41"/>
      <c r="AC558" s="41"/>
      <c r="AD558" s="41"/>
      <c r="AE558" s="41"/>
      <c r="AF558" s="41"/>
      <c r="AG558" s="41"/>
      <c r="AH558" s="41"/>
      <c r="AI558" s="41"/>
      <c r="AJ558" s="41"/>
      <c r="AK558" s="41"/>
      <c r="AL558" s="41"/>
      <c r="AM558" s="41"/>
      <c r="AN558" s="41"/>
      <c r="AO558" s="41"/>
      <c r="AP558" s="41"/>
      <c r="AQ558" s="41"/>
      <c r="AR558" s="41"/>
      <c r="AS558" s="41"/>
      <c r="AT558" s="41"/>
      <c r="AU558" s="41"/>
      <c r="AV558" s="41"/>
      <c r="AW558" s="41"/>
      <c r="AX558" s="41"/>
      <c r="AY558" s="211"/>
      <c r="AZ558" s="210">
        <f t="shared" ref="AZ558:AZ560" si="6686">AY558</f>
        <v>0</v>
      </c>
      <c r="BA558" s="41"/>
      <c r="BB558" s="41"/>
      <c r="BC558" s="41"/>
      <c r="BD558" s="41"/>
      <c r="BE558" s="41"/>
      <c r="BF558" s="41"/>
      <c r="BG558" s="41"/>
      <c r="BH558" s="41"/>
      <c r="BI558" s="41"/>
      <c r="BJ558" s="41"/>
      <c r="BK558" s="41"/>
      <c r="BL558" s="41"/>
      <c r="BM558" s="41"/>
      <c r="BN558" s="41"/>
      <c r="BO558" s="41"/>
      <c r="BP558" s="41"/>
      <c r="BQ558" s="41"/>
      <c r="BR558" s="41"/>
      <c r="BS558" s="40"/>
      <c r="BT558" s="40"/>
      <c r="BU558" s="40"/>
      <c r="BV558" s="40"/>
      <c r="BW558" s="40"/>
      <c r="BX558" s="40"/>
      <c r="BY558" s="40"/>
      <c r="BZ558" s="40"/>
      <c r="CA558" s="40"/>
      <c r="CB558" s="40"/>
      <c r="CC558" s="41"/>
      <c r="CD558" s="41"/>
      <c r="CE558" s="41"/>
      <c r="CF558" s="41"/>
      <c r="CG558" s="41"/>
      <c r="CH558" s="41"/>
      <c r="CI558" s="41"/>
      <c r="CJ558" s="41"/>
      <c r="CK558" s="41"/>
      <c r="CL558" s="41"/>
      <c r="CM558" s="41"/>
      <c r="CN558" s="41"/>
      <c r="CO558" s="41"/>
      <c r="CP558" s="41"/>
      <c r="CQ558" s="41"/>
      <c r="CR558" s="41"/>
      <c r="CS558" s="41"/>
      <c r="CT558" s="41"/>
      <c r="CU558" s="41"/>
      <c r="CV558" s="41"/>
      <c r="CW558" s="41"/>
      <c r="CX558" s="41"/>
      <c r="CY558" s="41"/>
      <c r="CZ558" s="211"/>
      <c r="DA558" s="41"/>
      <c r="DB558" s="41"/>
      <c r="DC558" s="41"/>
      <c r="DD558" s="41"/>
      <c r="DE558" s="41"/>
      <c r="DF558" s="41"/>
      <c r="DG558" s="41"/>
      <c r="DH558" s="41"/>
      <c r="DI558" s="41"/>
    </row>
    <row r="559" spans="1:113" ht="12" hidden="1" outlineLevel="2">
      <c r="A559" s="1" t="s">
        <v>65</v>
      </c>
      <c r="B559" s="15" t="s">
        <v>804</v>
      </c>
      <c r="C559" s="41"/>
      <c r="D559" s="41"/>
      <c r="E559" s="41"/>
      <c r="F559" s="41"/>
      <c r="G559" s="41"/>
      <c r="H559" s="41"/>
      <c r="I559" s="41"/>
      <c r="J559" s="41"/>
      <c r="K559" s="41"/>
      <c r="L559" s="41"/>
      <c r="M559" s="41"/>
      <c r="N559" s="41"/>
      <c r="O559" s="41"/>
      <c r="P559" s="41"/>
      <c r="Q559" s="41"/>
      <c r="R559" s="41"/>
      <c r="S559" s="41"/>
      <c r="T559" s="41"/>
      <c r="U559" s="41"/>
      <c r="V559" s="41"/>
      <c r="W559" s="41"/>
      <c r="X559" s="41"/>
      <c r="Y559" s="41"/>
      <c r="Z559" s="41"/>
      <c r="AA559" s="41"/>
      <c r="AB559" s="41"/>
      <c r="AC559" s="41"/>
      <c r="AD559" s="41"/>
      <c r="AE559" s="41"/>
      <c r="AF559" s="41"/>
      <c r="AG559" s="41"/>
      <c r="AH559" s="41"/>
      <c r="AI559" s="41"/>
      <c r="AJ559" s="41"/>
      <c r="AK559" s="41"/>
      <c r="AL559" s="41"/>
      <c r="AM559" s="41"/>
      <c r="AN559" s="41"/>
      <c r="AO559" s="41"/>
      <c r="AP559" s="41"/>
      <c r="AQ559" s="41"/>
      <c r="AR559" s="41"/>
      <c r="AS559" s="41"/>
      <c r="AT559" s="41"/>
      <c r="AU559" s="41"/>
      <c r="AV559" s="41"/>
      <c r="AW559" s="41"/>
      <c r="AX559" s="41"/>
      <c r="AY559" s="211"/>
      <c r="AZ559" s="210">
        <f t="shared" si="6686"/>
        <v>0</v>
      </c>
      <c r="BA559" s="41"/>
      <c r="BB559" s="41"/>
      <c r="BC559" s="41"/>
      <c r="BD559" s="41"/>
      <c r="BE559" s="41"/>
      <c r="BF559" s="41"/>
      <c r="BG559" s="41"/>
      <c r="BH559" s="41"/>
      <c r="BI559" s="41"/>
      <c r="BJ559" s="41"/>
      <c r="BK559" s="41"/>
      <c r="BL559" s="41"/>
      <c r="BM559" s="41"/>
      <c r="BN559" s="41"/>
      <c r="BO559" s="41"/>
      <c r="BP559" s="41"/>
      <c r="BQ559" s="41"/>
      <c r="BR559" s="41"/>
      <c r="BS559" s="40"/>
      <c r="BT559" s="40"/>
      <c r="BU559" s="40"/>
      <c r="BV559" s="40"/>
      <c r="BW559" s="40"/>
      <c r="BX559" s="40"/>
      <c r="BY559" s="40"/>
      <c r="BZ559" s="40"/>
      <c r="CA559" s="40"/>
      <c r="CB559" s="40"/>
      <c r="CC559" s="41"/>
      <c r="CD559" s="41"/>
      <c r="CE559" s="41"/>
      <c r="CF559" s="41"/>
      <c r="CG559" s="41"/>
      <c r="CH559" s="41"/>
      <c r="CI559" s="41"/>
      <c r="CJ559" s="41"/>
      <c r="CK559" s="41"/>
      <c r="CL559" s="41"/>
      <c r="CM559" s="41"/>
      <c r="CN559" s="41"/>
      <c r="CO559" s="41"/>
      <c r="CP559" s="41"/>
      <c r="CQ559" s="41"/>
      <c r="CR559" s="41"/>
      <c r="CS559" s="41"/>
      <c r="CT559" s="41"/>
      <c r="CU559" s="41"/>
      <c r="CV559" s="41"/>
      <c r="CW559" s="41"/>
      <c r="CX559" s="41"/>
      <c r="CY559" s="41"/>
      <c r="CZ559" s="211"/>
      <c r="DA559" s="41"/>
      <c r="DB559" s="41"/>
      <c r="DC559" s="41"/>
      <c r="DD559" s="41"/>
      <c r="DE559" s="41"/>
      <c r="DF559" s="41"/>
      <c r="DG559" s="41"/>
      <c r="DH559" s="41"/>
      <c r="DI559" s="41"/>
    </row>
    <row r="560" spans="1:113" ht="12" hidden="1" outlineLevel="2">
      <c r="A560" s="1" t="s">
        <v>66</v>
      </c>
      <c r="B560" s="15" t="s">
        <v>804</v>
      </c>
      <c r="C560" s="41"/>
      <c r="D560" s="41"/>
      <c r="E560" s="41"/>
      <c r="F560" s="41"/>
      <c r="G560" s="41"/>
      <c r="H560" s="41"/>
      <c r="I560" s="41"/>
      <c r="J560" s="41"/>
      <c r="K560" s="41"/>
      <c r="L560" s="41"/>
      <c r="M560" s="41"/>
      <c r="N560" s="41"/>
      <c r="O560" s="41"/>
      <c r="P560" s="41"/>
      <c r="Q560" s="41"/>
      <c r="R560" s="41"/>
      <c r="S560" s="41"/>
      <c r="T560" s="41"/>
      <c r="U560" s="41"/>
      <c r="V560" s="41"/>
      <c r="W560" s="41"/>
      <c r="X560" s="41"/>
      <c r="Y560" s="41"/>
      <c r="Z560" s="41"/>
      <c r="AA560" s="41"/>
      <c r="AB560" s="41"/>
      <c r="AC560" s="41"/>
      <c r="AD560" s="41"/>
      <c r="AE560" s="41"/>
      <c r="AF560" s="41"/>
      <c r="AG560" s="41"/>
      <c r="AH560" s="41"/>
      <c r="AI560" s="41"/>
      <c r="AJ560" s="41"/>
      <c r="AK560" s="41"/>
      <c r="AL560" s="41"/>
      <c r="AM560" s="41"/>
      <c r="AN560" s="41"/>
      <c r="AO560" s="41"/>
      <c r="AP560" s="41"/>
      <c r="AQ560" s="41"/>
      <c r="AR560" s="41"/>
      <c r="AS560" s="41"/>
      <c r="AT560" s="41"/>
      <c r="AU560" s="41"/>
      <c r="AV560" s="41"/>
      <c r="AW560" s="41"/>
      <c r="AX560" s="41"/>
      <c r="AY560" s="211"/>
      <c r="AZ560" s="210">
        <f t="shared" si="6686"/>
        <v>0</v>
      </c>
      <c r="BA560" s="41"/>
      <c r="BB560" s="41"/>
      <c r="BC560" s="41"/>
      <c r="BD560" s="41"/>
      <c r="BE560" s="41"/>
      <c r="BF560" s="41"/>
      <c r="BG560" s="41"/>
      <c r="BH560" s="41"/>
      <c r="BI560" s="41"/>
      <c r="BJ560" s="41"/>
      <c r="BK560" s="41"/>
      <c r="BL560" s="41"/>
      <c r="BM560" s="41"/>
      <c r="BN560" s="41"/>
      <c r="BO560" s="41"/>
      <c r="BP560" s="41"/>
      <c r="BQ560" s="41"/>
      <c r="BR560" s="41"/>
      <c r="BS560" s="40"/>
      <c r="BT560" s="40"/>
      <c r="BU560" s="40"/>
      <c r="BV560" s="40"/>
      <c r="BW560" s="40"/>
      <c r="BX560" s="40"/>
      <c r="BY560" s="40"/>
      <c r="BZ560" s="40"/>
      <c r="CA560" s="40"/>
      <c r="CB560" s="40"/>
      <c r="CC560" s="41"/>
      <c r="CD560" s="41"/>
      <c r="CE560" s="41"/>
      <c r="CF560" s="41"/>
      <c r="CG560" s="41"/>
      <c r="CH560" s="41"/>
      <c r="CI560" s="41"/>
      <c r="CJ560" s="41"/>
      <c r="CK560" s="41"/>
      <c r="CL560" s="41"/>
      <c r="CM560" s="41"/>
      <c r="CN560" s="41"/>
      <c r="CO560" s="41"/>
      <c r="CP560" s="41"/>
      <c r="CQ560" s="41"/>
      <c r="CR560" s="41"/>
      <c r="CS560" s="41"/>
      <c r="CT560" s="41"/>
      <c r="CU560" s="41"/>
      <c r="CV560" s="41"/>
      <c r="CW560" s="41"/>
      <c r="CX560" s="41"/>
      <c r="CY560" s="41"/>
      <c r="CZ560" s="211"/>
      <c r="DA560" s="41"/>
      <c r="DB560" s="41"/>
      <c r="DC560" s="41"/>
      <c r="DD560" s="41"/>
      <c r="DE560" s="41"/>
      <c r="DF560" s="41"/>
      <c r="DG560" s="41"/>
      <c r="DH560" s="41"/>
      <c r="DI560" s="41"/>
    </row>
    <row r="561" spans="1:113" ht="12" outlineLevel="1" collapsed="1">
      <c r="A561" s="1" t="s">
        <v>1027</v>
      </c>
      <c r="B561" s="15" t="s">
        <v>271</v>
      </c>
      <c r="C561" s="41">
        <f t="shared" ref="C561" si="6687">C562-SUM(C553:C560)</f>
        <v>0</v>
      </c>
      <c r="D561" s="41">
        <f t="shared" ref="D561:L561" si="6688">D562-SUM(D553:D560)</f>
        <v>0</v>
      </c>
      <c r="E561" s="41">
        <f t="shared" si="6688"/>
        <v>0</v>
      </c>
      <c r="F561" s="41">
        <f t="shared" si="6688"/>
        <v>0</v>
      </c>
      <c r="G561" s="41">
        <f t="shared" si="6688"/>
        <v>0</v>
      </c>
      <c r="H561" s="41">
        <f t="shared" si="6688"/>
        <v>0</v>
      </c>
      <c r="I561" s="41">
        <f t="shared" si="6688"/>
        <v>0</v>
      </c>
      <c r="J561" s="41">
        <f t="shared" si="6688"/>
        <v>0</v>
      </c>
      <c r="K561" s="41">
        <f t="shared" si="6688"/>
        <v>-81</v>
      </c>
      <c r="L561" s="41">
        <f t="shared" si="6688"/>
        <v>168</v>
      </c>
      <c r="M561" s="41">
        <f t="shared" ref="M561:X561" si="6689">M562-SUM(M553:M560)</f>
        <v>94</v>
      </c>
      <c r="N561" s="41">
        <f t="shared" si="6689"/>
        <v>172</v>
      </c>
      <c r="O561" s="41">
        <f t="shared" si="6689"/>
        <v>56</v>
      </c>
      <c r="P561" s="41">
        <f t="shared" si="6689"/>
        <v>292</v>
      </c>
      <c r="Q561" s="41">
        <f t="shared" si="6689"/>
        <v>361</v>
      </c>
      <c r="R561" s="41">
        <f t="shared" si="6689"/>
        <v>434</v>
      </c>
      <c r="S561" s="41">
        <f t="shared" si="6689"/>
        <v>522</v>
      </c>
      <c r="T561" s="41">
        <f t="shared" si="6689"/>
        <v>746</v>
      </c>
      <c r="U561" s="41">
        <f t="shared" si="6689"/>
        <v>669</v>
      </c>
      <c r="V561" s="41">
        <f t="shared" si="6689"/>
        <v>671</v>
      </c>
      <c r="W561" s="41">
        <f t="shared" si="6689"/>
        <v>477</v>
      </c>
      <c r="X561" s="41">
        <f t="shared" si="6689"/>
        <v>383</v>
      </c>
      <c r="Y561" s="41">
        <f t="shared" ref="Y561:AD561" si="6690">Y562-SUM(Y553:Y560)</f>
        <v>393</v>
      </c>
      <c r="Z561" s="41">
        <f t="shared" si="6690"/>
        <v>486</v>
      </c>
      <c r="AA561" s="41">
        <f t="shared" si="6690"/>
        <v>522</v>
      </c>
      <c r="AB561" s="41">
        <f t="shared" si="6690"/>
        <v>527</v>
      </c>
      <c r="AC561" s="41">
        <f t="shared" si="6690"/>
        <v>454</v>
      </c>
      <c r="AD561" s="41">
        <f t="shared" si="6690"/>
        <v>432</v>
      </c>
      <c r="AE561" s="41">
        <f t="shared" ref="AE561:AF561" si="6691">AE562-SUM(AE553:AE560)</f>
        <v>404</v>
      </c>
      <c r="AF561" s="41">
        <f t="shared" si="6691"/>
        <v>347</v>
      </c>
      <c r="AG561" s="41">
        <f t="shared" ref="AG561:AH561" si="6692">AG562-SUM(AG553:AG560)</f>
        <v>394</v>
      </c>
      <c r="AH561" s="41">
        <f t="shared" si="6692"/>
        <v>302</v>
      </c>
      <c r="AI561" s="41">
        <f t="shared" ref="AI561:AJ561" si="6693">AI562-SUM(AI553:AI560)</f>
        <v>230</v>
      </c>
      <c r="AJ561" s="41">
        <f t="shared" si="6693"/>
        <v>214</v>
      </c>
      <c r="AK561" s="41">
        <f t="shared" ref="AK561:AL561" si="6694">AK562-SUM(AK553:AK560)</f>
        <v>187</v>
      </c>
      <c r="AL561" s="41">
        <f t="shared" si="6694"/>
        <v>170</v>
      </c>
      <c r="AM561" s="41">
        <f t="shared" ref="AM561:AN561" si="6695">AM562-SUM(AM553:AM560)</f>
        <v>120</v>
      </c>
      <c r="AN561" s="41">
        <f t="shared" si="6695"/>
        <v>-66</v>
      </c>
      <c r="AO561" s="41">
        <f t="shared" ref="AO561" si="6696">AO562-SUM(AO553:AO560)</f>
        <v>-205</v>
      </c>
      <c r="AP561" s="41">
        <f t="shared" ref="AP561:AQ561" si="6697">AP562-SUM(AP553:AP560)</f>
        <v>110</v>
      </c>
      <c r="AQ561" s="41">
        <f t="shared" si="6697"/>
        <v>3</v>
      </c>
      <c r="AR561" s="41">
        <f t="shared" ref="AR561:AS561" si="6698">AR562-SUM(AR553:AR560)</f>
        <v>180</v>
      </c>
      <c r="AS561" s="41">
        <f t="shared" si="6698"/>
        <v>-175</v>
      </c>
      <c r="AT561" s="41">
        <f t="shared" ref="AT561:AU561" si="6699">AT562-SUM(AT553:AT560)</f>
        <v>-328</v>
      </c>
      <c r="AU561" s="41">
        <f t="shared" si="6699"/>
        <v>-396</v>
      </c>
      <c r="AV561" s="41">
        <f t="shared" ref="AV561:AW561" si="6700">AV562-SUM(AV553:AV560)</f>
        <v>-648</v>
      </c>
      <c r="AW561" s="41">
        <f t="shared" si="6700"/>
        <v>-721</v>
      </c>
      <c r="AX561" s="41">
        <f t="shared" ref="AX561:AY561" si="6701">AX562-SUM(AX553:AX560)</f>
        <v>-601</v>
      </c>
      <c r="AY561" s="211">
        <f t="shared" si="6701"/>
        <v>-436</v>
      </c>
      <c r="AZ561" s="210">
        <f t="shared" ref="AZ561" si="6702">AY561</f>
        <v>-436</v>
      </c>
      <c r="BA561" s="210">
        <f t="shared" ref="BA561" si="6703">AZ561</f>
        <v>-436</v>
      </c>
      <c r="BB561" s="210">
        <f t="shared" ref="BB561" si="6704">BA561</f>
        <v>-436</v>
      </c>
      <c r="BC561" s="210">
        <f t="shared" ref="BC561" si="6705">BB561</f>
        <v>-436</v>
      </c>
      <c r="BD561" s="210">
        <f t="shared" ref="BD561" si="6706">BC561</f>
        <v>-436</v>
      </c>
      <c r="BE561" s="210">
        <f t="shared" ref="BE561" si="6707">BD561</f>
        <v>-436</v>
      </c>
      <c r="BF561" s="210">
        <f t="shared" ref="BF561" si="6708">BE561</f>
        <v>-436</v>
      </c>
      <c r="BG561" s="210">
        <f t="shared" ref="BG561:BK561" si="6709">BF561</f>
        <v>-436</v>
      </c>
      <c r="BH561" s="210">
        <f t="shared" si="6709"/>
        <v>-436</v>
      </c>
      <c r="BI561" s="210">
        <f t="shared" si="6709"/>
        <v>-436</v>
      </c>
      <c r="BJ561" s="210">
        <f t="shared" si="6709"/>
        <v>-436</v>
      </c>
      <c r="BK561" s="210">
        <f t="shared" si="6709"/>
        <v>-436</v>
      </c>
      <c r="BL561" s="210">
        <f t="shared" ref="BL561" si="6710">BK561</f>
        <v>-436</v>
      </c>
      <c r="BM561" s="210">
        <f t="shared" ref="BM561" si="6711">BL561</f>
        <v>-436</v>
      </c>
      <c r="BN561" s="210">
        <f t="shared" ref="BN561" si="6712">BM561</f>
        <v>-436</v>
      </c>
      <c r="BO561" s="210">
        <f t="shared" ref="BO561" si="6713">BN561</f>
        <v>-436</v>
      </c>
      <c r="BP561" s="210">
        <f t="shared" ref="BP561" si="6714">BO561</f>
        <v>-436</v>
      </c>
      <c r="BQ561" s="210">
        <f t="shared" ref="BQ561" si="6715">BP561</f>
        <v>-436</v>
      </c>
      <c r="BR561" s="41"/>
      <c r="BS561" s="40">
        <v>0</v>
      </c>
      <c r="BT561" s="40">
        <v>0</v>
      </c>
      <c r="BU561" s="40">
        <v>0</v>
      </c>
      <c r="BV561" s="40">
        <v>0</v>
      </c>
      <c r="BW561" s="40">
        <v>0</v>
      </c>
      <c r="BX561" s="40">
        <v>0</v>
      </c>
      <c r="BY561" s="40">
        <v>0</v>
      </c>
      <c r="BZ561" s="40">
        <v>0</v>
      </c>
      <c r="CA561" s="40">
        <v>-31</v>
      </c>
      <c r="CB561" s="40">
        <v>-31</v>
      </c>
      <c r="CC561" s="41">
        <f>E561</f>
        <v>0</v>
      </c>
      <c r="CD561" s="41">
        <f>G561</f>
        <v>0</v>
      </c>
      <c r="CE561" s="41">
        <f>I561</f>
        <v>0</v>
      </c>
      <c r="CF561" s="41">
        <f>K561</f>
        <v>-81</v>
      </c>
      <c r="CG561" s="41">
        <f>M561</f>
        <v>94</v>
      </c>
      <c r="CH561" s="41">
        <f>O561</f>
        <v>56</v>
      </c>
      <c r="CI561" s="41">
        <f>Q561</f>
        <v>361</v>
      </c>
      <c r="CJ561" s="41">
        <f>S561</f>
        <v>522</v>
      </c>
      <c r="CK561" s="41">
        <f>U561</f>
        <v>669</v>
      </c>
      <c r="CL561" s="41">
        <f>W561</f>
        <v>477</v>
      </c>
      <c r="CM561" s="41">
        <f>Y561</f>
        <v>393</v>
      </c>
      <c r="CN561" s="41">
        <f>AA561</f>
        <v>522</v>
      </c>
      <c r="CO561" s="41">
        <f>AC561</f>
        <v>454</v>
      </c>
      <c r="CP561" s="41">
        <f>AE561</f>
        <v>404</v>
      </c>
      <c r="CQ561" s="41">
        <f>AG561</f>
        <v>394</v>
      </c>
      <c r="CR561" s="41">
        <f>AI561</f>
        <v>230</v>
      </c>
      <c r="CS561" s="41">
        <f>AK561</f>
        <v>187</v>
      </c>
      <c r="CT561" s="41">
        <f>AM561</f>
        <v>120</v>
      </c>
      <c r="CU561" s="41">
        <f>AO561</f>
        <v>-205</v>
      </c>
      <c r="CV561" s="41">
        <f>AQ561</f>
        <v>3</v>
      </c>
      <c r="CW561" s="41">
        <f>AS561</f>
        <v>-175</v>
      </c>
      <c r="CX561" s="41">
        <f>AU561</f>
        <v>-396</v>
      </c>
      <c r="CY561" s="41">
        <f>AW561</f>
        <v>-721</v>
      </c>
      <c r="CZ561" s="211">
        <f>AY561</f>
        <v>-436</v>
      </c>
      <c r="DA561" s="41">
        <f>BA561</f>
        <v>-436</v>
      </c>
      <c r="DB561" s="41">
        <f>BC561</f>
        <v>-436</v>
      </c>
      <c r="DC561" s="41">
        <f>BE561</f>
        <v>-436</v>
      </c>
      <c r="DD561" s="41">
        <f>BG561</f>
        <v>-436</v>
      </c>
      <c r="DE561" s="41">
        <f>BI561</f>
        <v>-436</v>
      </c>
      <c r="DF561" s="41">
        <f>BK561</f>
        <v>-436</v>
      </c>
      <c r="DG561" s="41">
        <f>BM561</f>
        <v>-436</v>
      </c>
      <c r="DH561" s="41">
        <f>BO561</f>
        <v>-436</v>
      </c>
      <c r="DI561" s="41">
        <f>BQ561</f>
        <v>-436</v>
      </c>
    </row>
    <row r="562" spans="1:113" s="17" customFormat="1" ht="12" outlineLevel="1">
      <c r="A562" s="1" t="s">
        <v>1028</v>
      </c>
      <c r="B562" s="17" t="s">
        <v>168</v>
      </c>
      <c r="C562" s="61">
        <f t="shared" ref="C562:J562" si="6716">SUM(C553:C556)</f>
        <v>-1526</v>
      </c>
      <c r="D562" s="61">
        <f t="shared" si="6716"/>
        <v>-1410</v>
      </c>
      <c r="E562" s="61">
        <f t="shared" si="6716"/>
        <v>-1423</v>
      </c>
      <c r="F562" s="61">
        <f t="shared" si="6716"/>
        <v>-1990</v>
      </c>
      <c r="G562" s="61">
        <f t="shared" si="6716"/>
        <v>-3157</v>
      </c>
      <c r="H562" s="61">
        <f t="shared" si="6716"/>
        <v>-2006</v>
      </c>
      <c r="I562" s="61">
        <f t="shared" si="6716"/>
        <v>-2072</v>
      </c>
      <c r="J562" s="61">
        <f t="shared" si="6716"/>
        <v>-3054</v>
      </c>
      <c r="K562" s="61">
        <f>SUM(K553:K556)-81</f>
        <v>-3229</v>
      </c>
      <c r="L562" s="61">
        <f>-1888</f>
        <v>-1888</v>
      </c>
      <c r="M562" s="61">
        <f>-2333</f>
        <v>-2333</v>
      </c>
      <c r="N562" s="61">
        <v>-2120</v>
      </c>
      <c r="O562" s="61">
        <v>-2318</v>
      </c>
      <c r="P562" s="61">
        <v>-1827</v>
      </c>
      <c r="Q562" s="61">
        <v>-2409</v>
      </c>
      <c r="R562" s="61">
        <v>-2468</v>
      </c>
      <c r="S562" s="61">
        <v>-2341</v>
      </c>
      <c r="T562" s="61">
        <v>-2003</v>
      </c>
      <c r="U562" s="61">
        <v>-2840</v>
      </c>
      <c r="V562" s="61">
        <v>-2637</v>
      </c>
      <c r="W562" s="61">
        <v>-3479</v>
      </c>
      <c r="X562" s="61">
        <v>-3170</v>
      </c>
      <c r="Y562" s="61">
        <v>-3857</v>
      </c>
      <c r="Z562" s="194">
        <v>-958</v>
      </c>
      <c r="AA562" s="194">
        <v>-932</v>
      </c>
      <c r="AB562" s="194">
        <v>-1071</v>
      </c>
      <c r="AC562" s="194">
        <v>-1211</v>
      </c>
      <c r="AD562" s="194">
        <v>-519</v>
      </c>
      <c r="AE562" s="194">
        <v>-387</v>
      </c>
      <c r="AF562" s="194">
        <v>-584</v>
      </c>
      <c r="AG562" s="194">
        <v>-481</v>
      </c>
      <c r="AH562" s="194">
        <v>-509</v>
      </c>
      <c r="AI562" s="194">
        <v>-481</v>
      </c>
      <c r="AJ562" s="194">
        <v>-394</v>
      </c>
      <c r="AK562" s="194">
        <v>-322</v>
      </c>
      <c r="AL562" s="194">
        <v>-43</v>
      </c>
      <c r="AM562" s="194">
        <v>120</v>
      </c>
      <c r="AN562" s="194">
        <v>-66</v>
      </c>
      <c r="AO562" s="194">
        <v>-205</v>
      </c>
      <c r="AP562" s="194">
        <v>110</v>
      </c>
      <c r="AQ562" s="194">
        <v>3</v>
      </c>
      <c r="AR562" s="194">
        <v>180</v>
      </c>
      <c r="AS562" s="194">
        <v>-175</v>
      </c>
      <c r="AT562" s="194">
        <f>-328+(68596-AT550)</f>
        <v>-1312</v>
      </c>
      <c r="AU562" s="194">
        <f>-396+(69085-AU550)</f>
        <v>-1328</v>
      </c>
      <c r="AV562" s="194">
        <f>-648+(70202-AV550)</f>
        <v>-752</v>
      </c>
      <c r="AW562" s="194">
        <f>-721+(68760-AW550)</f>
        <v>-1818</v>
      </c>
      <c r="AX562" s="194">
        <f>-601+(70712-AX550)</f>
        <v>-1456</v>
      </c>
      <c r="AY562" s="227">
        <f>-436+(70445-AY550)</f>
        <v>-1119</v>
      </c>
      <c r="AZ562" s="62">
        <f t="shared" ref="AZ562:BA562" si="6717">SUM(AZ553:AZ561)</f>
        <v>-1132.6599999999999</v>
      </c>
      <c r="BA562" s="62">
        <f t="shared" si="6717"/>
        <v>-1146.5932</v>
      </c>
      <c r="BB562" s="62">
        <f t="shared" ref="BB562:BC562" si="6718">SUM(BB553:BB561)</f>
        <v>-1160.8050640000001</v>
      </c>
      <c r="BC562" s="62">
        <f t="shared" si="6718"/>
        <v>-1175.3011652800001</v>
      </c>
      <c r="BD562" s="62">
        <f t="shared" ref="BD562:BE562" si="6719">SUM(BD553:BD561)</f>
        <v>-1190.0871885856</v>
      </c>
      <c r="BE562" s="62">
        <f t="shared" si="6719"/>
        <v>-1205.1689323573121</v>
      </c>
      <c r="BF562" s="62">
        <f t="shared" ref="BF562:BG562" si="6720">SUM(BF553:BF561)</f>
        <v>-1220.5523110044583</v>
      </c>
      <c r="BG562" s="62">
        <f t="shared" si="6720"/>
        <v>-1236.2433572245477</v>
      </c>
      <c r="BH562" s="62">
        <f t="shared" ref="BH562:BI562" si="6721">SUM(BH553:BH561)</f>
        <v>-1252.2482243690386</v>
      </c>
      <c r="BI562" s="62">
        <f t="shared" si="6721"/>
        <v>-1268.5731888564194</v>
      </c>
      <c r="BJ562" s="62">
        <f t="shared" ref="BJ562:BK562" si="6722">SUM(BJ553:BJ561)</f>
        <v>-1285.2246526335477</v>
      </c>
      <c r="BK562" s="62">
        <f t="shared" si="6722"/>
        <v>-1302.2091456862186</v>
      </c>
      <c r="BL562" s="62">
        <f t="shared" ref="BL562:BM562" si="6723">SUM(BL553:BL561)</f>
        <v>-1319.5333285999432</v>
      </c>
      <c r="BM562" s="62">
        <f t="shared" si="6723"/>
        <v>-1337.2039951719419</v>
      </c>
      <c r="BN562" s="62">
        <f t="shared" ref="BN562:BO562" si="6724">SUM(BN553:BN561)</f>
        <v>-1355.2280750753807</v>
      </c>
      <c r="BO562" s="62">
        <f t="shared" si="6724"/>
        <v>-1373.6126365768882</v>
      </c>
      <c r="BP562" s="62">
        <f t="shared" ref="BP562:BQ562" si="6725">SUM(BP553:BP561)</f>
        <v>-1392.364889308426</v>
      </c>
      <c r="BQ562" s="62">
        <f t="shared" si="6725"/>
        <v>-1411.4921870945946</v>
      </c>
      <c r="BR562" s="62"/>
      <c r="BS562" s="62">
        <f t="shared" ref="BS562:CB562" si="6726">SUM(BS553:BS561)</f>
        <v>-600</v>
      </c>
      <c r="BT562" s="62">
        <f t="shared" si="6726"/>
        <v>-267</v>
      </c>
      <c r="BU562" s="62">
        <f t="shared" si="6726"/>
        <v>-389</v>
      </c>
      <c r="BV562" s="62">
        <f t="shared" si="6726"/>
        <v>0</v>
      </c>
      <c r="BW562" s="62">
        <f t="shared" si="6726"/>
        <v>0</v>
      </c>
      <c r="BX562" s="62">
        <f t="shared" si="6726"/>
        <v>0</v>
      </c>
      <c r="BY562" s="62">
        <f t="shared" si="6726"/>
        <v>-645</v>
      </c>
      <c r="BZ562" s="62">
        <f t="shared" si="6726"/>
        <v>-1145</v>
      </c>
      <c r="CA562" s="62">
        <f t="shared" si="6726"/>
        <v>-1405</v>
      </c>
      <c r="CB562" s="62">
        <f t="shared" si="6726"/>
        <v>-1557</v>
      </c>
      <c r="CC562" s="62">
        <f t="shared" ref="CC562:CP562" si="6727">SUM(CC553:CC561)</f>
        <v>-1423</v>
      </c>
      <c r="CD562" s="62">
        <f t="shared" si="6727"/>
        <v>-3157</v>
      </c>
      <c r="CE562" s="62">
        <f t="shared" si="6727"/>
        <v>-2072</v>
      </c>
      <c r="CF562" s="62">
        <f t="shared" si="6727"/>
        <v>-3229</v>
      </c>
      <c r="CG562" s="62">
        <f t="shared" si="6727"/>
        <v>-2333</v>
      </c>
      <c r="CH562" s="62">
        <f t="shared" si="6727"/>
        <v>-2318</v>
      </c>
      <c r="CI562" s="62">
        <f t="shared" si="6727"/>
        <v>-2409</v>
      </c>
      <c r="CJ562" s="62">
        <f t="shared" si="6727"/>
        <v>-2341</v>
      </c>
      <c r="CK562" s="62">
        <f t="shared" si="6727"/>
        <v>-2840</v>
      </c>
      <c r="CL562" s="62">
        <f t="shared" si="6727"/>
        <v>-3479</v>
      </c>
      <c r="CM562" s="62">
        <f t="shared" si="6727"/>
        <v>-3857</v>
      </c>
      <c r="CN562" s="62">
        <f t="shared" si="6727"/>
        <v>-932</v>
      </c>
      <c r="CO562" s="62">
        <f t="shared" si="6727"/>
        <v>-1211</v>
      </c>
      <c r="CP562" s="62">
        <f t="shared" si="6727"/>
        <v>-387</v>
      </c>
      <c r="CQ562" s="62">
        <f t="shared" ref="CQ562:CX562" si="6728">SUM(CQ553:CQ561)</f>
        <v>-481</v>
      </c>
      <c r="CR562" s="62">
        <f t="shared" si="6728"/>
        <v>-481</v>
      </c>
      <c r="CS562" s="62">
        <f t="shared" si="6728"/>
        <v>-322</v>
      </c>
      <c r="CT562" s="62">
        <f t="shared" si="6728"/>
        <v>120</v>
      </c>
      <c r="CU562" s="62">
        <f t="shared" si="6728"/>
        <v>-205</v>
      </c>
      <c r="CV562" s="62">
        <f t="shared" si="6728"/>
        <v>3</v>
      </c>
      <c r="CW562" s="62">
        <f t="shared" si="6728"/>
        <v>-175</v>
      </c>
      <c r="CX562" s="62">
        <f t="shared" si="6728"/>
        <v>-1328</v>
      </c>
      <c r="CY562" s="62">
        <f t="shared" ref="CY562:DD562" si="6729">SUM(CY553:CY561)</f>
        <v>-1818</v>
      </c>
      <c r="CZ562" s="220">
        <f t="shared" si="6729"/>
        <v>-1119</v>
      </c>
      <c r="DA562" s="62">
        <f t="shared" si="6729"/>
        <v>-1146.5932</v>
      </c>
      <c r="DB562" s="62">
        <f t="shared" si="6729"/>
        <v>-1175.3011652800001</v>
      </c>
      <c r="DC562" s="62">
        <f t="shared" si="6729"/>
        <v>-1205.1689323573121</v>
      </c>
      <c r="DD562" s="62">
        <f t="shared" si="6729"/>
        <v>-1236.2433572245477</v>
      </c>
      <c r="DE562" s="62">
        <f t="shared" ref="DE562" si="6730">SUM(DE553:DE561)</f>
        <v>-1268.5731888564194</v>
      </c>
      <c r="DF562" s="62">
        <f t="shared" ref="DF562" si="6731">SUM(DF553:DF561)</f>
        <v>-1302.2091456862186</v>
      </c>
      <c r="DG562" s="62">
        <f>SUM(DG553:DG561)</f>
        <v>-1337.2039951719419</v>
      </c>
      <c r="DH562" s="62">
        <f>SUM(DH553:DH561)</f>
        <v>-1373.6126365768882</v>
      </c>
      <c r="DI562" s="62">
        <f>SUM(DI553:DI561)</f>
        <v>-1411.4921870945946</v>
      </c>
    </row>
    <row r="563" spans="1:113" ht="12" outlineLevel="1">
      <c r="C563" s="41"/>
      <c r="D563" s="41"/>
      <c r="E563" s="41"/>
      <c r="F563" s="41"/>
      <c r="G563" s="41"/>
      <c r="H563" s="41"/>
      <c r="I563" s="41"/>
      <c r="J563" s="41"/>
      <c r="K563" s="41"/>
      <c r="L563" s="41"/>
      <c r="M563" s="41"/>
      <c r="N563" s="41"/>
      <c r="O563" s="41"/>
      <c r="P563" s="41"/>
      <c r="Q563" s="41"/>
      <c r="R563" s="41"/>
      <c r="S563" s="41"/>
      <c r="T563" s="41"/>
      <c r="U563" s="41"/>
      <c r="V563" s="41"/>
      <c r="W563" s="41"/>
      <c r="X563" s="41"/>
      <c r="Y563" s="41"/>
      <c r="Z563" s="41"/>
      <c r="AA563" s="41"/>
      <c r="AB563" s="41"/>
      <c r="AC563" s="41"/>
      <c r="AD563" s="41"/>
      <c r="AE563" s="41"/>
      <c r="AF563" s="41"/>
      <c r="AG563" s="41"/>
      <c r="AH563" s="41"/>
      <c r="AI563" s="41"/>
      <c r="AJ563" s="41"/>
      <c r="AK563" s="41"/>
      <c r="AL563" s="41"/>
      <c r="AM563" s="41"/>
      <c r="AN563" s="41"/>
      <c r="AO563" s="41"/>
      <c r="AP563" s="41"/>
      <c r="AQ563" s="41"/>
      <c r="AR563" s="41"/>
      <c r="AS563" s="41"/>
      <c r="AT563" s="41"/>
      <c r="AU563" s="41"/>
      <c r="AV563" s="41"/>
      <c r="AW563" s="41"/>
      <c r="AX563" s="41"/>
      <c r="AY563" s="211"/>
      <c r="AZ563" s="41"/>
      <c r="BA563" s="41"/>
      <c r="BB563" s="41"/>
      <c r="BC563" s="41"/>
      <c r="BD563" s="41"/>
      <c r="BE563" s="41"/>
      <c r="BF563" s="41"/>
      <c r="BG563" s="41"/>
      <c r="BH563" s="41"/>
      <c r="BI563" s="41"/>
      <c r="BJ563" s="41"/>
      <c r="BK563" s="41"/>
      <c r="BL563" s="41"/>
      <c r="BM563" s="41"/>
      <c r="BN563" s="41"/>
      <c r="BO563" s="41"/>
      <c r="BP563" s="41"/>
      <c r="BQ563" s="41"/>
      <c r="BR563" s="41"/>
      <c r="BS563" s="41"/>
      <c r="BT563" s="41"/>
      <c r="BU563" s="41"/>
      <c r="BV563" s="41"/>
      <c r="BW563" s="41"/>
      <c r="BX563" s="41"/>
      <c r="BY563" s="41"/>
      <c r="BZ563" s="41"/>
      <c r="CA563" s="41"/>
      <c r="CB563" s="41"/>
      <c r="CC563" s="41"/>
      <c r="CD563" s="41"/>
      <c r="CE563" s="41"/>
      <c r="CF563" s="41"/>
      <c r="CG563" s="41"/>
      <c r="CH563" s="41"/>
      <c r="CI563" s="41"/>
      <c r="CJ563" s="41"/>
      <c r="CK563" s="41"/>
      <c r="CL563" s="41"/>
      <c r="CM563" s="41"/>
      <c r="CN563" s="41"/>
      <c r="CO563" s="41"/>
      <c r="CP563" s="41"/>
      <c r="CQ563" s="41"/>
      <c r="CR563" s="41"/>
      <c r="CS563" s="41"/>
      <c r="CT563" s="41"/>
      <c r="CU563" s="41"/>
      <c r="CV563" s="41"/>
      <c r="CW563" s="41"/>
      <c r="CX563" s="41"/>
      <c r="CY563" s="41"/>
      <c r="CZ563" s="211"/>
      <c r="DA563" s="41"/>
      <c r="DB563" s="15"/>
      <c r="DC563" s="15"/>
      <c r="DD563" s="15"/>
      <c r="DE563" s="15"/>
      <c r="DF563" s="15"/>
      <c r="DG563" s="15"/>
      <c r="DH563" s="15"/>
      <c r="DI563" s="15"/>
    </row>
    <row r="564" spans="1:113" s="17" customFormat="1" ht="12" outlineLevel="1">
      <c r="A564" s="1" t="s">
        <v>1029</v>
      </c>
      <c r="B564" s="79" t="s">
        <v>909</v>
      </c>
      <c r="C564" s="62">
        <f t="shared" ref="C564:L564" si="6732">C550+C562</f>
        <v>9025</v>
      </c>
      <c r="D564" s="62">
        <f t="shared" si="6732"/>
        <v>9393</v>
      </c>
      <c r="E564" s="62">
        <f t="shared" si="6732"/>
        <v>10042</v>
      </c>
      <c r="F564" s="62">
        <f t="shared" si="6732"/>
        <v>10495</v>
      </c>
      <c r="G564" s="62">
        <f t="shared" si="6732"/>
        <v>10630</v>
      </c>
      <c r="H564" s="62">
        <f t="shared" si="6732"/>
        <v>14742</v>
      </c>
      <c r="I564" s="62">
        <f t="shared" si="6732"/>
        <v>15853</v>
      </c>
      <c r="J564" s="62">
        <f t="shared" si="6732"/>
        <v>15873</v>
      </c>
      <c r="K564" s="62">
        <f t="shared" si="6732"/>
        <v>16309</v>
      </c>
      <c r="L564" s="62">
        <f t="shared" si="6732"/>
        <v>16908</v>
      </c>
      <c r="M564" s="62">
        <f t="shared" ref="M564:AD564" si="6733">M550+M562</f>
        <v>17573</v>
      </c>
      <c r="N564" s="62">
        <f t="shared" si="6733"/>
        <v>18790</v>
      </c>
      <c r="O564" s="62">
        <f t="shared" si="6733"/>
        <v>19730</v>
      </c>
      <c r="P564" s="62">
        <f t="shared" si="6733"/>
        <v>22137</v>
      </c>
      <c r="Q564" s="62">
        <f t="shared" si="6733"/>
        <v>24143</v>
      </c>
      <c r="R564" s="62">
        <f t="shared" si="6733"/>
        <v>25899</v>
      </c>
      <c r="S564" s="62">
        <f t="shared" si="6733"/>
        <v>30088</v>
      </c>
      <c r="T564" s="62">
        <f t="shared" si="6733"/>
        <v>30580</v>
      </c>
      <c r="U564" s="62">
        <f t="shared" si="6733"/>
        <v>31315</v>
      </c>
      <c r="V564" s="62">
        <f t="shared" si="6733"/>
        <v>32492</v>
      </c>
      <c r="W564" s="62">
        <f t="shared" si="6733"/>
        <v>34475</v>
      </c>
      <c r="X564" s="62">
        <f t="shared" si="6733"/>
        <v>36273</v>
      </c>
      <c r="Y564" s="62">
        <f t="shared" si="6733"/>
        <v>37363</v>
      </c>
      <c r="Z564" s="62">
        <f t="shared" si="6733"/>
        <v>41545</v>
      </c>
      <c r="AA564" s="62">
        <f t="shared" si="6733"/>
        <v>44671</v>
      </c>
      <c r="AB564" s="62">
        <f t="shared" si="6733"/>
        <v>45967</v>
      </c>
      <c r="AC564" s="62">
        <f t="shared" si="6733"/>
        <v>48073</v>
      </c>
      <c r="AD564" s="62">
        <f t="shared" si="6733"/>
        <v>51532</v>
      </c>
      <c r="AE564" s="62">
        <f t="shared" ref="AE564:AF564" si="6734">AE550+AE562</f>
        <v>56966</v>
      </c>
      <c r="AF564" s="62">
        <f t="shared" si="6734"/>
        <v>55880</v>
      </c>
      <c r="AG564" s="62">
        <f t="shared" ref="AG564:AH564" si="6735">AG550+AG562</f>
        <v>57446</v>
      </c>
      <c r="AH564" s="62">
        <f t="shared" si="6735"/>
        <v>57399</v>
      </c>
      <c r="AI564" s="62">
        <f t="shared" ref="AI564:AJ564" si="6736">AI550+AI562</f>
        <v>58594</v>
      </c>
      <c r="AJ564" s="62">
        <f t="shared" si="6736"/>
        <v>59106</v>
      </c>
      <c r="AK564" s="62">
        <f t="shared" ref="AK564:AL564" si="6737">AK550+AK562</f>
        <v>59083</v>
      </c>
      <c r="AL564" s="62">
        <f t="shared" si="6737"/>
        <v>59928</v>
      </c>
      <c r="AM564" s="62">
        <f t="shared" ref="AM564:AN564" si="6738">AM550+AM562</f>
        <v>60914</v>
      </c>
      <c r="AN564" s="62">
        <f t="shared" si="6738"/>
        <v>61309</v>
      </c>
      <c r="AO564" s="62">
        <f t="shared" ref="AO564" si="6739">AO550+AO562</f>
        <v>61092</v>
      </c>
      <c r="AP564" s="62">
        <f t="shared" ref="AP564:AQ564" si="6740">AP550+AP562</f>
        <v>62686</v>
      </c>
      <c r="AQ564" s="62">
        <f t="shared" si="6740"/>
        <v>63679</v>
      </c>
      <c r="AR564" s="62">
        <f t="shared" ref="AR564:AS564" si="6741">AR550+AR562</f>
        <v>61936</v>
      </c>
      <c r="AS564" s="62">
        <f t="shared" si="6741"/>
        <v>66226</v>
      </c>
      <c r="AT564" s="62">
        <f t="shared" ref="AT564:AU564" si="6742">AT550+AT562</f>
        <v>68268</v>
      </c>
      <c r="AU564" s="62">
        <f t="shared" si="6742"/>
        <v>68689</v>
      </c>
      <c r="AV564" s="62">
        <f t="shared" ref="AV564:AW564" si="6743">AV550+AV562</f>
        <v>69554</v>
      </c>
      <c r="AW564" s="62">
        <f t="shared" si="6743"/>
        <v>68039</v>
      </c>
      <c r="AX564" s="62">
        <f t="shared" ref="AX564:AY564" si="6744">AX550+AX562</f>
        <v>70111</v>
      </c>
      <c r="AY564" s="220">
        <f t="shared" si="6744"/>
        <v>70009</v>
      </c>
      <c r="AZ564" s="62">
        <f t="shared" ref="AZ564:BA564" si="6745">AZ550+AZ562</f>
        <v>72590.600722750984</v>
      </c>
      <c r="BA564" s="62">
        <f t="shared" si="6745"/>
        <v>74416.950480334082</v>
      </c>
      <c r="BB564" s="62">
        <f t="shared" ref="BB564:BC564" si="6746">BB550+BB562</f>
        <v>75424.240624262253</v>
      </c>
      <c r="BC564" s="62">
        <f t="shared" si="6746"/>
        <v>75098.403773945203</v>
      </c>
      <c r="BD564" s="62">
        <f t="shared" ref="BD564:BE564" si="6747">BD550+BD562</f>
        <v>75165.571534147894</v>
      </c>
      <c r="BE564" s="62">
        <f t="shared" si="6747"/>
        <v>74863.875132948684</v>
      </c>
      <c r="BF564" s="62">
        <f t="shared" ref="BF564:BG564" si="6748">BF550+BF562</f>
        <v>74945.410146223279</v>
      </c>
      <c r="BG564" s="62">
        <f t="shared" si="6748"/>
        <v>74760.874008363637</v>
      </c>
      <c r="BH564" s="62">
        <f t="shared" ref="BH564:BI564" si="6749">BH550+BH562</f>
        <v>75899.224188208915</v>
      </c>
      <c r="BI564" s="62">
        <f t="shared" si="6749"/>
        <v>76712.169866215583</v>
      </c>
      <c r="BJ564" s="62">
        <f t="shared" ref="BJ564:BK564" si="6750">BJ550+BJ562</f>
        <v>77990.301754763597</v>
      </c>
      <c r="BK564" s="62">
        <f t="shared" si="6750"/>
        <v>79218.109048556449</v>
      </c>
      <c r="BL564" s="62">
        <f t="shared" ref="BL564:BM564" si="6751">BL550+BL562</f>
        <v>80604.511938970245</v>
      </c>
      <c r="BM564" s="62">
        <f t="shared" si="6751"/>
        <v>81753.324619207939</v>
      </c>
      <c r="BN564" s="62">
        <f t="shared" ref="BN564:BO564" si="6752">BN550+BN562</f>
        <v>83043.485768544531</v>
      </c>
      <c r="BO564" s="62">
        <f t="shared" si="6752"/>
        <v>84136.620842646196</v>
      </c>
      <c r="BP564" s="62">
        <f t="shared" ref="BP564:BQ564" si="6753">BP550+BP562</f>
        <v>85385.876009596177</v>
      </c>
      <c r="BQ564" s="62">
        <f t="shared" si="6753"/>
        <v>86478.106885745612</v>
      </c>
      <c r="BR564" s="62"/>
      <c r="BS564" s="62">
        <f t="shared" ref="BS564:CB564" si="6754">BS550+BS562</f>
        <v>3991</v>
      </c>
      <c r="BT564" s="62">
        <f t="shared" si="6754"/>
        <v>4866.0000000000009</v>
      </c>
      <c r="BU564" s="62">
        <f t="shared" si="6754"/>
        <v>5115</v>
      </c>
      <c r="BV564" s="62">
        <f t="shared" si="6754"/>
        <v>5747</v>
      </c>
      <c r="BW564" s="62">
        <f t="shared" si="6754"/>
        <v>6336</v>
      </c>
      <c r="BX564" s="62">
        <f t="shared" si="6754"/>
        <v>6993</v>
      </c>
      <c r="BY564" s="62">
        <f t="shared" si="6754"/>
        <v>7746</v>
      </c>
      <c r="BZ564" s="62">
        <f t="shared" si="6754"/>
        <v>8284</v>
      </c>
      <c r="CA564" s="62">
        <f t="shared" si="6754"/>
        <v>8402</v>
      </c>
      <c r="CB564" s="62">
        <f t="shared" si="6754"/>
        <v>8994</v>
      </c>
      <c r="CC564" s="62">
        <f t="shared" ref="CC564:CO564" si="6755">CC550+CC562</f>
        <v>10042</v>
      </c>
      <c r="CD564" s="62">
        <f t="shared" si="6755"/>
        <v>10630</v>
      </c>
      <c r="CE564" s="62">
        <f t="shared" si="6755"/>
        <v>15853</v>
      </c>
      <c r="CF564" s="62">
        <f t="shared" si="6755"/>
        <v>16309</v>
      </c>
      <c r="CG564" s="62">
        <f t="shared" si="6755"/>
        <v>17573</v>
      </c>
      <c r="CH564" s="62">
        <f t="shared" si="6755"/>
        <v>19730</v>
      </c>
      <c r="CI564" s="62">
        <f t="shared" si="6755"/>
        <v>24143</v>
      </c>
      <c r="CJ564" s="62">
        <f t="shared" si="6755"/>
        <v>30088</v>
      </c>
      <c r="CK564" s="62">
        <f t="shared" si="6755"/>
        <v>31315</v>
      </c>
      <c r="CL564" s="62">
        <f t="shared" si="6755"/>
        <v>34475</v>
      </c>
      <c r="CM564" s="62">
        <f t="shared" si="6755"/>
        <v>37363</v>
      </c>
      <c r="CN564" s="62">
        <f t="shared" si="6755"/>
        <v>44671</v>
      </c>
      <c r="CO564" s="62">
        <f t="shared" si="6755"/>
        <v>48073</v>
      </c>
      <c r="CP564" s="62">
        <f t="shared" ref="CP564:CX564" si="6756">CP550+CP562</f>
        <v>56966</v>
      </c>
      <c r="CQ564" s="62">
        <f t="shared" si="6756"/>
        <v>57446</v>
      </c>
      <c r="CR564" s="62">
        <f t="shared" si="6756"/>
        <v>58594</v>
      </c>
      <c r="CS564" s="62">
        <f t="shared" si="6756"/>
        <v>59083</v>
      </c>
      <c r="CT564" s="62">
        <f t="shared" si="6756"/>
        <v>60914</v>
      </c>
      <c r="CU564" s="62">
        <f t="shared" si="6756"/>
        <v>61092</v>
      </c>
      <c r="CV564" s="62">
        <f t="shared" si="6756"/>
        <v>63679</v>
      </c>
      <c r="CW564" s="62">
        <f t="shared" si="6756"/>
        <v>66226</v>
      </c>
      <c r="CX564" s="62">
        <f t="shared" si="6756"/>
        <v>68689</v>
      </c>
      <c r="CY564" s="62">
        <f t="shared" ref="CY564:DD564" si="6757">CY550+CY562</f>
        <v>68039</v>
      </c>
      <c r="CZ564" s="220">
        <f t="shared" si="6757"/>
        <v>70009</v>
      </c>
      <c r="DA564" s="62">
        <f t="shared" si="6757"/>
        <v>74416.950480334082</v>
      </c>
      <c r="DB564" s="62">
        <f t="shared" si="6757"/>
        <v>75098.403773945189</v>
      </c>
      <c r="DC564" s="62">
        <f t="shared" si="6757"/>
        <v>74863.875132948669</v>
      </c>
      <c r="DD564" s="62">
        <f t="shared" si="6757"/>
        <v>74760.874008363637</v>
      </c>
      <c r="DE564" s="62">
        <f t="shared" ref="DE564" si="6758">DE550+DE562</f>
        <v>76712.169866215569</v>
      </c>
      <c r="DF564" s="62">
        <f t="shared" ref="DF564" si="6759">DF550+DF562</f>
        <v>79218.10904855642</v>
      </c>
      <c r="DG564" s="62">
        <f>DG550+DG562</f>
        <v>81753.324619207895</v>
      </c>
      <c r="DH564" s="62">
        <f>DH550+DH562</f>
        <v>84136.620842646153</v>
      </c>
      <c r="DI564" s="62">
        <f>DI550+DI562</f>
        <v>86478.106885745568</v>
      </c>
    </row>
    <row r="565" spans="1:113" ht="12" outlineLevel="1">
      <c r="A565" s="1" t="s">
        <v>1030</v>
      </c>
      <c r="B565" s="80" t="s">
        <v>910</v>
      </c>
      <c r="C565" s="40">
        <v>0</v>
      </c>
      <c r="D565" s="40">
        <v>0</v>
      </c>
      <c r="E565" s="40">
        <v>0</v>
      </c>
      <c r="F565" s="40">
        <v>0</v>
      </c>
      <c r="G565" s="40">
        <v>0</v>
      </c>
      <c r="H565" s="40">
        <v>0</v>
      </c>
      <c r="I565" s="40">
        <v>0</v>
      </c>
      <c r="J565" s="40">
        <v>0</v>
      </c>
      <c r="K565" s="40">
        <v>0</v>
      </c>
      <c r="L565" s="40">
        <v>0</v>
      </c>
      <c r="M565" s="40">
        <v>0</v>
      </c>
      <c r="N565" s="40">
        <v>0</v>
      </c>
      <c r="O565" s="40">
        <v>1033</v>
      </c>
      <c r="P565" s="40">
        <v>981</v>
      </c>
      <c r="Q565" s="40">
        <v>2095</v>
      </c>
      <c r="R565" s="40">
        <v>2019</v>
      </c>
      <c r="S565" s="40">
        <v>1901</v>
      </c>
      <c r="T565" s="40">
        <v>3791</v>
      </c>
      <c r="U565" s="40">
        <v>3787</v>
      </c>
      <c r="V565" s="40">
        <v>3751</v>
      </c>
      <c r="W565" s="40">
        <v>5111</v>
      </c>
      <c r="X565" s="40">
        <v>5081</v>
      </c>
      <c r="Y565" s="40">
        <v>4390</v>
      </c>
      <c r="Z565" s="141">
        <f>5962-597</f>
        <v>5365</v>
      </c>
      <c r="AA565" s="141">
        <v>6401</v>
      </c>
      <c r="AB565" s="141">
        <v>7279</v>
      </c>
      <c r="AC565" s="141">
        <v>6825</v>
      </c>
      <c r="AD565" s="141">
        <v>7352</v>
      </c>
      <c r="AE565" s="141">
        <v>6958</v>
      </c>
      <c r="AF565" s="141">
        <v>6960</v>
      </c>
      <c r="AG565" s="141">
        <v>9018</v>
      </c>
      <c r="AH565" s="141">
        <v>7874</v>
      </c>
      <c r="AI565" s="141">
        <v>7988</v>
      </c>
      <c r="AJ565" s="141">
        <v>7418</v>
      </c>
      <c r="AK565" s="141">
        <v>7527</v>
      </c>
      <c r="AL565" s="141">
        <v>7547</v>
      </c>
      <c r="AM565" s="141">
        <v>7866</v>
      </c>
      <c r="AN565" s="141">
        <v>7964</v>
      </c>
      <c r="AO565" s="141">
        <v>7779</v>
      </c>
      <c r="AP565" s="141">
        <v>7645</v>
      </c>
      <c r="AQ565" s="141">
        <v>8114</v>
      </c>
      <c r="AR565" s="141">
        <v>7490</v>
      </c>
      <c r="AS565" s="141">
        <v>7686</v>
      </c>
      <c r="AT565" s="141">
        <v>8184</v>
      </c>
      <c r="AU565" s="141">
        <v>8232</v>
      </c>
      <c r="AV565" s="141">
        <v>8297</v>
      </c>
      <c r="AW565" s="141">
        <v>8207</v>
      </c>
      <c r="AX565" s="141">
        <v>7443</v>
      </c>
      <c r="AY565" s="226">
        <v>7357</v>
      </c>
      <c r="AZ565" s="210">
        <f t="shared" ref="AZ565" si="6760">AY565</f>
        <v>7357</v>
      </c>
      <c r="BA565" s="210">
        <f t="shared" ref="BA565" si="6761">AZ565</f>
        <v>7357</v>
      </c>
      <c r="BB565" s="210">
        <f t="shared" ref="BB565" si="6762">BA565</f>
        <v>7357</v>
      </c>
      <c r="BC565" s="210">
        <f t="shared" ref="BC565" si="6763">BB565</f>
        <v>7357</v>
      </c>
      <c r="BD565" s="210">
        <f t="shared" ref="BD565" si="6764">BC565</f>
        <v>7357</v>
      </c>
      <c r="BE565" s="210">
        <f t="shared" ref="BE565" si="6765">BD565</f>
        <v>7357</v>
      </c>
      <c r="BF565" s="210">
        <f t="shared" ref="BF565" si="6766">BE565</f>
        <v>7357</v>
      </c>
      <c r="BG565" s="210">
        <f t="shared" ref="BG565" si="6767">BF565</f>
        <v>7357</v>
      </c>
      <c r="BH565" s="210">
        <f t="shared" ref="BH565" si="6768">BG565</f>
        <v>7357</v>
      </c>
      <c r="BI565" s="210">
        <f t="shared" ref="BI565:BK565" si="6769">BH565</f>
        <v>7357</v>
      </c>
      <c r="BJ565" s="210">
        <f t="shared" si="6769"/>
        <v>7357</v>
      </c>
      <c r="BK565" s="210">
        <f t="shared" si="6769"/>
        <v>7357</v>
      </c>
      <c r="BL565" s="210">
        <f t="shared" ref="BL565:BL566" si="6770">BK565</f>
        <v>7357</v>
      </c>
      <c r="BM565" s="210">
        <f t="shared" ref="BM565:BM566" si="6771">BL565</f>
        <v>7357</v>
      </c>
      <c r="BN565" s="210">
        <f t="shared" ref="BN565:BN566" si="6772">BM565</f>
        <v>7357</v>
      </c>
      <c r="BO565" s="210">
        <f t="shared" ref="BO565:BO566" si="6773">BN565</f>
        <v>7357</v>
      </c>
      <c r="BP565" s="210">
        <f t="shared" ref="BP565:BP566" si="6774">BO565</f>
        <v>7357</v>
      </c>
      <c r="BQ565" s="210">
        <f t="shared" ref="BQ565:BQ566" si="6775">BP565</f>
        <v>7357</v>
      </c>
      <c r="BR565" s="41"/>
      <c r="BS565" s="40">
        <v>0</v>
      </c>
      <c r="BT565" s="40">
        <v>0</v>
      </c>
      <c r="BU565" s="40">
        <v>0</v>
      </c>
      <c r="BV565" s="40">
        <v>0</v>
      </c>
      <c r="BW565" s="40">
        <v>0</v>
      </c>
      <c r="BX565" s="40">
        <v>0</v>
      </c>
      <c r="BY565" s="40">
        <v>0</v>
      </c>
      <c r="BZ565" s="40">
        <v>0</v>
      </c>
      <c r="CA565" s="40">
        <v>0</v>
      </c>
      <c r="CB565" s="40">
        <v>0</v>
      </c>
      <c r="CC565" s="41">
        <f>E565</f>
        <v>0</v>
      </c>
      <c r="CD565" s="41">
        <f>G565</f>
        <v>0</v>
      </c>
      <c r="CE565" s="41">
        <f>I565</f>
        <v>0</v>
      </c>
      <c r="CF565" s="41">
        <f>K565</f>
        <v>0</v>
      </c>
      <c r="CG565" s="41">
        <f>M565</f>
        <v>0</v>
      </c>
      <c r="CH565" s="41">
        <f>O565</f>
        <v>1033</v>
      </c>
      <c r="CI565" s="41">
        <f>Q565</f>
        <v>2095</v>
      </c>
      <c r="CJ565" s="41">
        <f>S565</f>
        <v>1901</v>
      </c>
      <c r="CK565" s="41">
        <f>U565</f>
        <v>3787</v>
      </c>
      <c r="CL565" s="41">
        <f>W565</f>
        <v>5111</v>
      </c>
      <c r="CM565" s="41">
        <f>Y565</f>
        <v>4390</v>
      </c>
      <c r="CN565" s="41">
        <f>AA565</f>
        <v>6401</v>
      </c>
      <c r="CO565" s="41">
        <f>AC565</f>
        <v>6825</v>
      </c>
      <c r="CP565" s="41">
        <f>AE565</f>
        <v>6958</v>
      </c>
      <c r="CQ565" s="41">
        <f>AG565</f>
        <v>9018</v>
      </c>
      <c r="CR565" s="41">
        <f>AI565</f>
        <v>7988</v>
      </c>
      <c r="CS565" s="41">
        <f>AK565</f>
        <v>7527</v>
      </c>
      <c r="CT565" s="41">
        <f>AM565</f>
        <v>7866</v>
      </c>
      <c r="CU565" s="41">
        <f>AO565</f>
        <v>7779</v>
      </c>
      <c r="CV565" s="41">
        <f>AQ565</f>
        <v>8114</v>
      </c>
      <c r="CW565" s="41">
        <f>AS565</f>
        <v>7686</v>
      </c>
      <c r="CX565" s="41">
        <f>AU565</f>
        <v>8232</v>
      </c>
      <c r="CY565" s="41">
        <f>AW565</f>
        <v>8207</v>
      </c>
      <c r="CZ565" s="211">
        <f>AY565</f>
        <v>7357</v>
      </c>
      <c r="DA565" s="41">
        <f>BA565</f>
        <v>7357</v>
      </c>
      <c r="DB565" s="41">
        <f>BC565</f>
        <v>7357</v>
      </c>
      <c r="DC565" s="41">
        <f>BE565</f>
        <v>7357</v>
      </c>
      <c r="DD565" s="41">
        <f>BG565</f>
        <v>7357</v>
      </c>
      <c r="DE565" s="41">
        <f>BI565</f>
        <v>7357</v>
      </c>
      <c r="DF565" s="41">
        <f>BK565</f>
        <v>7357</v>
      </c>
      <c r="DG565" s="41">
        <f>BM565</f>
        <v>7357</v>
      </c>
      <c r="DH565" s="41">
        <f>BO565</f>
        <v>7357</v>
      </c>
      <c r="DI565" s="41">
        <f>BQ565</f>
        <v>7357</v>
      </c>
    </row>
    <row r="566" spans="1:113" ht="12" outlineLevel="1">
      <c r="A566" s="1" t="s">
        <v>1031</v>
      </c>
      <c r="B566" s="80" t="s">
        <v>911</v>
      </c>
      <c r="C566" s="40">
        <v>1140</v>
      </c>
      <c r="D566" s="40">
        <v>1461</v>
      </c>
      <c r="E566" s="40">
        <v>1425</v>
      </c>
      <c r="F566" s="40">
        <v>1284</v>
      </c>
      <c r="G566" s="40">
        <v>2141</v>
      </c>
      <c r="H566" s="40">
        <v>2450</v>
      </c>
      <c r="I566" s="40">
        <v>2535</v>
      </c>
      <c r="J566" s="40">
        <v>3263</v>
      </c>
      <c r="K566" s="40">
        <v>3301</v>
      </c>
      <c r="L566" s="40">
        <v>3385</v>
      </c>
      <c r="M566" s="40">
        <v>3342</v>
      </c>
      <c r="N566" s="40">
        <v>3188</v>
      </c>
      <c r="O566" s="40">
        <v>3119</v>
      </c>
      <c r="P566" s="40">
        <v>3072</v>
      </c>
      <c r="Q566" s="40">
        <v>2847</v>
      </c>
      <c r="R566" s="40">
        <v>3076</v>
      </c>
      <c r="S566" s="40">
        <v>2122</v>
      </c>
      <c r="T566" s="40">
        <v>1690</v>
      </c>
      <c r="U566" s="40">
        <v>1646</v>
      </c>
      <c r="V566" s="40">
        <v>1597</v>
      </c>
      <c r="W566" s="40">
        <v>1641</v>
      </c>
      <c r="X566" s="40">
        <v>1592</v>
      </c>
      <c r="Y566" s="40">
        <v>1587</v>
      </c>
      <c r="Z566" s="141">
        <v>0</v>
      </c>
      <c r="AA566" s="141">
        <v>0</v>
      </c>
      <c r="AB566" s="141">
        <v>0</v>
      </c>
      <c r="AC566" s="141">
        <v>0</v>
      </c>
      <c r="AD566" s="141">
        <v>0</v>
      </c>
      <c r="AE566" s="141">
        <v>0</v>
      </c>
      <c r="AF566" s="141">
        <v>0</v>
      </c>
      <c r="AG566" s="141">
        <v>0</v>
      </c>
      <c r="AH566" s="141">
        <v>0</v>
      </c>
      <c r="AI566" s="141">
        <v>0</v>
      </c>
      <c r="AJ566" s="141">
        <v>0</v>
      </c>
      <c r="AK566" s="141">
        <v>0</v>
      </c>
      <c r="AL566" s="141">
        <v>0</v>
      </c>
      <c r="AM566" s="141">
        <v>0</v>
      </c>
      <c r="AN566" s="141">
        <v>0</v>
      </c>
      <c r="AO566" s="141">
        <v>0</v>
      </c>
      <c r="AP566" s="141">
        <v>0</v>
      </c>
      <c r="AQ566" s="141">
        <v>0</v>
      </c>
      <c r="AR566" s="141">
        <v>0</v>
      </c>
      <c r="AS566" s="141">
        <v>0</v>
      </c>
      <c r="AT566" s="141">
        <v>0</v>
      </c>
      <c r="AU566" s="141">
        <v>0</v>
      </c>
      <c r="AV566" s="141">
        <v>0</v>
      </c>
      <c r="AW566" s="141">
        <v>0</v>
      </c>
      <c r="AX566" s="141">
        <v>0</v>
      </c>
      <c r="AY566" s="226">
        <v>0</v>
      </c>
      <c r="AZ566" s="210">
        <f t="shared" ref="AZ566" si="6776">AY566</f>
        <v>0</v>
      </c>
      <c r="BA566" s="210">
        <f t="shared" ref="BA566" si="6777">AZ566</f>
        <v>0</v>
      </c>
      <c r="BB566" s="210">
        <f t="shared" ref="BB566" si="6778">BA566</f>
        <v>0</v>
      </c>
      <c r="BC566" s="210">
        <f t="shared" ref="BC566" si="6779">BB566</f>
        <v>0</v>
      </c>
      <c r="BD566" s="210">
        <f t="shared" ref="BD566" si="6780">BC566</f>
        <v>0</v>
      </c>
      <c r="BE566" s="210">
        <f t="shared" ref="BE566" si="6781">BD566</f>
        <v>0</v>
      </c>
      <c r="BF566" s="210">
        <f t="shared" ref="BF566" si="6782">BE566</f>
        <v>0</v>
      </c>
      <c r="BG566" s="210">
        <f t="shared" ref="BG566:BK566" si="6783">BF566</f>
        <v>0</v>
      </c>
      <c r="BH566" s="210">
        <f t="shared" si="6783"/>
        <v>0</v>
      </c>
      <c r="BI566" s="210">
        <f t="shared" si="6783"/>
        <v>0</v>
      </c>
      <c r="BJ566" s="210">
        <f t="shared" si="6783"/>
        <v>0</v>
      </c>
      <c r="BK566" s="210">
        <f t="shared" si="6783"/>
        <v>0</v>
      </c>
      <c r="BL566" s="210">
        <f t="shared" si="6770"/>
        <v>0</v>
      </c>
      <c r="BM566" s="210">
        <f t="shared" si="6771"/>
        <v>0</v>
      </c>
      <c r="BN566" s="210">
        <f t="shared" si="6772"/>
        <v>0</v>
      </c>
      <c r="BO566" s="210">
        <f t="shared" si="6773"/>
        <v>0</v>
      </c>
      <c r="BP566" s="210">
        <f t="shared" si="6774"/>
        <v>0</v>
      </c>
      <c r="BQ566" s="210">
        <f t="shared" si="6775"/>
        <v>0</v>
      </c>
      <c r="BR566" s="41"/>
      <c r="BS566" s="40">
        <v>0</v>
      </c>
      <c r="BT566" s="40">
        <v>0</v>
      </c>
      <c r="BU566" s="40">
        <v>0</v>
      </c>
      <c r="BV566" s="40">
        <v>0</v>
      </c>
      <c r="BW566" s="40">
        <v>0</v>
      </c>
      <c r="BX566" s="40">
        <v>0</v>
      </c>
      <c r="BY566" s="40">
        <v>0</v>
      </c>
      <c r="BZ566" s="40">
        <v>0</v>
      </c>
      <c r="CA566" s="40">
        <v>0</v>
      </c>
      <c r="CB566" s="40">
        <v>0</v>
      </c>
      <c r="CC566" s="41">
        <f>E566</f>
        <v>1425</v>
      </c>
      <c r="CD566" s="41">
        <f>G566</f>
        <v>2141</v>
      </c>
      <c r="CE566" s="41">
        <f>I566</f>
        <v>2535</v>
      </c>
      <c r="CF566" s="41">
        <f>K566</f>
        <v>3301</v>
      </c>
      <c r="CG566" s="41">
        <f>M566</f>
        <v>3342</v>
      </c>
      <c r="CH566" s="41">
        <f>O566</f>
        <v>3119</v>
      </c>
      <c r="CI566" s="41">
        <f>Q566</f>
        <v>2847</v>
      </c>
      <c r="CJ566" s="41">
        <f>S566</f>
        <v>2122</v>
      </c>
      <c r="CK566" s="41">
        <f>U566</f>
        <v>1646</v>
      </c>
      <c r="CL566" s="41">
        <f>W566</f>
        <v>1641</v>
      </c>
      <c r="CM566" s="41">
        <f>Y566</f>
        <v>1587</v>
      </c>
      <c r="CN566" s="41">
        <f>AA566</f>
        <v>0</v>
      </c>
      <c r="CO566" s="41">
        <f>AC566</f>
        <v>0</v>
      </c>
      <c r="CP566" s="41">
        <f>AE566</f>
        <v>0</v>
      </c>
      <c r="CQ566" s="41">
        <f>AG566</f>
        <v>0</v>
      </c>
      <c r="CR566" s="41">
        <f>AI566</f>
        <v>0</v>
      </c>
      <c r="CS566" s="41">
        <f>AK566</f>
        <v>0</v>
      </c>
      <c r="CT566" s="41">
        <f>AM566</f>
        <v>0</v>
      </c>
      <c r="CU566" s="41">
        <f>AO566</f>
        <v>0</v>
      </c>
      <c r="CV566" s="41">
        <f>AQ566</f>
        <v>0</v>
      </c>
      <c r="CW566" s="41">
        <f>AS566</f>
        <v>0</v>
      </c>
      <c r="CX566" s="41">
        <f>AU566</f>
        <v>0</v>
      </c>
      <c r="CY566" s="41">
        <f>AW566</f>
        <v>0</v>
      </c>
      <c r="CZ566" s="211">
        <f>AY566</f>
        <v>0</v>
      </c>
      <c r="DA566" s="41">
        <f>BA566</f>
        <v>0</v>
      </c>
      <c r="DB566" s="41">
        <f>BC566</f>
        <v>0</v>
      </c>
      <c r="DC566" s="41">
        <f>BE566</f>
        <v>0</v>
      </c>
      <c r="DD566" s="41">
        <f>BG566</f>
        <v>0</v>
      </c>
      <c r="DE566" s="41">
        <f>BI566</f>
        <v>0</v>
      </c>
      <c r="DF566" s="41">
        <f>BK566</f>
        <v>0</v>
      </c>
      <c r="DG566" s="41">
        <f>BM566</f>
        <v>0</v>
      </c>
      <c r="DH566" s="41">
        <f>BO566</f>
        <v>0</v>
      </c>
      <c r="DI566" s="41">
        <f>BQ566</f>
        <v>0</v>
      </c>
    </row>
    <row r="567" spans="1:113" ht="12" outlineLevel="1">
      <c r="A567" s="1" t="s">
        <v>1032</v>
      </c>
      <c r="B567" s="80" t="s">
        <v>527</v>
      </c>
      <c r="C567" s="40">
        <v>0</v>
      </c>
      <c r="D567" s="40">
        <v>0</v>
      </c>
      <c r="E567" s="40">
        <v>0</v>
      </c>
      <c r="F567" s="40">
        <v>0</v>
      </c>
      <c r="G567" s="40">
        <v>0</v>
      </c>
      <c r="H567" s="40">
        <v>0</v>
      </c>
      <c r="I567" s="40">
        <v>0</v>
      </c>
      <c r="J567" s="40">
        <v>0</v>
      </c>
      <c r="K567" s="40">
        <v>0</v>
      </c>
      <c r="L567" s="40">
        <v>0</v>
      </c>
      <c r="M567" s="40">
        <v>0</v>
      </c>
      <c r="N567" s="40">
        <v>0</v>
      </c>
      <c r="O567" s="40">
        <v>0</v>
      </c>
      <c r="P567" s="40">
        <v>0</v>
      </c>
      <c r="Q567" s="40">
        <v>0</v>
      </c>
      <c r="R567" s="40">
        <v>0</v>
      </c>
      <c r="S567" s="40">
        <v>0</v>
      </c>
      <c r="T567" s="40">
        <v>0</v>
      </c>
      <c r="U567" s="40">
        <v>0</v>
      </c>
      <c r="V567" s="40">
        <v>0</v>
      </c>
      <c r="W567" s="40">
        <v>0</v>
      </c>
      <c r="X567" s="40">
        <v>0</v>
      </c>
      <c r="Y567" s="40">
        <v>0</v>
      </c>
      <c r="Z567" s="141">
        <v>0</v>
      </c>
      <c r="AA567" s="141">
        <v>0</v>
      </c>
      <c r="AB567" s="141">
        <v>0</v>
      </c>
      <c r="AC567" s="141">
        <v>0</v>
      </c>
      <c r="AD567" s="141">
        <v>0</v>
      </c>
      <c r="AE567" s="141">
        <v>0</v>
      </c>
      <c r="AF567" s="141">
        <v>0</v>
      </c>
      <c r="AG567" s="141">
        <v>0</v>
      </c>
      <c r="AH567" s="141">
        <v>0</v>
      </c>
      <c r="AI567" s="141">
        <v>0</v>
      </c>
      <c r="AJ567" s="141">
        <v>0</v>
      </c>
      <c r="AK567" s="141">
        <v>0</v>
      </c>
      <c r="AL567" s="141">
        <v>0</v>
      </c>
      <c r="AM567" s="141">
        <v>0</v>
      </c>
      <c r="AN567" s="141">
        <v>0</v>
      </c>
      <c r="AO567" s="141">
        <v>0</v>
      </c>
      <c r="AP567" s="141">
        <v>0</v>
      </c>
      <c r="AQ567" s="141">
        <v>0</v>
      </c>
      <c r="AR567" s="141">
        <v>0</v>
      </c>
      <c r="AS567" s="141">
        <v>0</v>
      </c>
      <c r="AT567" s="141">
        <v>0</v>
      </c>
      <c r="AU567" s="141">
        <v>0</v>
      </c>
      <c r="AV567" s="141">
        <v>0</v>
      </c>
      <c r="AW567" s="141">
        <v>0</v>
      </c>
      <c r="AX567" s="141">
        <v>0</v>
      </c>
      <c r="AY567" s="226">
        <v>0</v>
      </c>
      <c r="AZ567" s="41">
        <f t="shared" ref="AZ567:BA567" si="6784">IF(SUM(AZ565:AZ566)/SUM(AZ564:AZ566,AZ585)&gt;25%,((25%*(AZ564+AZ585))/(1-25%)-SUM(AZ565:AZ566)),0)</f>
        <v>0</v>
      </c>
      <c r="BA567" s="41">
        <f t="shared" si="6784"/>
        <v>0</v>
      </c>
      <c r="BB567" s="41">
        <f t="shared" ref="BB567:BC567" si="6785">IF(SUM(BB565:BB566)/SUM(BB564:BB566,BB585)&gt;25%,((25%*(BB564+BB585))/(1-25%)-SUM(BB565:BB566)),0)</f>
        <v>0</v>
      </c>
      <c r="BC567" s="41">
        <f t="shared" si="6785"/>
        <v>0</v>
      </c>
      <c r="BD567" s="41">
        <f t="shared" ref="BD567:BE567" si="6786">IF(SUM(BD565:BD566)/SUM(BD564:BD566,BD585)&gt;25%,((25%*(BD564+BD585))/(1-25%)-SUM(BD565:BD566)),0)</f>
        <v>0</v>
      </c>
      <c r="BE567" s="41">
        <f t="shared" si="6786"/>
        <v>0</v>
      </c>
      <c r="BF567" s="41">
        <f t="shared" ref="BF567:BG567" si="6787">IF(SUM(BF565:BF566)/SUM(BF564:BF566,BF585)&gt;25%,((25%*(BF564+BF585))/(1-25%)-SUM(BF565:BF566)),0)</f>
        <v>0</v>
      </c>
      <c r="BG567" s="41">
        <f t="shared" si="6787"/>
        <v>0</v>
      </c>
      <c r="BH567" s="41">
        <f t="shared" ref="BH567:BI567" si="6788">IF(SUM(BH565:BH566)/SUM(BH564:BH566,BH585)&gt;25%,((25%*(BH564+BH585))/(1-25%)-SUM(BH565:BH566)),0)</f>
        <v>0</v>
      </c>
      <c r="BI567" s="41">
        <f t="shared" si="6788"/>
        <v>0</v>
      </c>
      <c r="BJ567" s="41">
        <f t="shared" ref="BJ567:BK567" si="6789">IF(SUM(BJ565:BJ566)/SUM(BJ564:BJ566,BJ585)&gt;25%,((25%*(BJ564+BJ585))/(1-25%)-SUM(BJ565:BJ566)),0)</f>
        <v>0</v>
      </c>
      <c r="BK567" s="41">
        <f t="shared" si="6789"/>
        <v>0</v>
      </c>
      <c r="BL567" s="41">
        <f t="shared" ref="BL567:BM567" si="6790">IF(SUM(BL565:BL566)/SUM(BL564:BL566,BL585)&gt;25%,((25%*(BL564+BL585))/(1-25%)-SUM(BL565:BL566)),0)</f>
        <v>0</v>
      </c>
      <c r="BM567" s="41">
        <f t="shared" si="6790"/>
        <v>0</v>
      </c>
      <c r="BN567" s="41">
        <f t="shared" ref="BN567:BO567" si="6791">IF(SUM(BN565:BN566)/SUM(BN564:BN566,BN585)&gt;25%,((25%*(BN564+BN585))/(1-25%)-SUM(BN565:BN566)),0)</f>
        <v>0</v>
      </c>
      <c r="BO567" s="41">
        <f t="shared" si="6791"/>
        <v>0</v>
      </c>
      <c r="BP567" s="41">
        <f t="shared" ref="BP567:BQ567" si="6792">IF(SUM(BP565:BP566)/SUM(BP564:BP566,BP585)&gt;25%,((25%*(BP564+BP585))/(1-25%)-SUM(BP565:BP566)),0)</f>
        <v>0</v>
      </c>
      <c r="BQ567" s="41">
        <f t="shared" si="6792"/>
        <v>0</v>
      </c>
      <c r="BR567" s="41"/>
      <c r="BS567" s="40">
        <v>0</v>
      </c>
      <c r="BT567" s="40">
        <v>0</v>
      </c>
      <c r="BU567" s="40">
        <v>0</v>
      </c>
      <c r="BV567" s="40">
        <v>0</v>
      </c>
      <c r="BW567" s="40">
        <v>0</v>
      </c>
      <c r="BX567" s="40">
        <v>0</v>
      </c>
      <c r="BY567" s="40">
        <v>0</v>
      </c>
      <c r="BZ567" s="40">
        <v>0</v>
      </c>
      <c r="CA567" s="40">
        <v>0</v>
      </c>
      <c r="CB567" s="40">
        <v>0</v>
      </c>
      <c r="CC567" s="41">
        <f>E567</f>
        <v>0</v>
      </c>
      <c r="CD567" s="41">
        <f>G567</f>
        <v>0</v>
      </c>
      <c r="CE567" s="41">
        <f>I567</f>
        <v>0</v>
      </c>
      <c r="CF567" s="41">
        <f>K567</f>
        <v>0</v>
      </c>
      <c r="CG567" s="41">
        <f>M567</f>
        <v>0</v>
      </c>
      <c r="CH567" s="41">
        <f>O567</f>
        <v>0</v>
      </c>
      <c r="CI567" s="41">
        <f>Q567</f>
        <v>0</v>
      </c>
      <c r="CJ567" s="41">
        <f>S567</f>
        <v>0</v>
      </c>
      <c r="CK567" s="41">
        <f>U567</f>
        <v>0</v>
      </c>
      <c r="CL567" s="41">
        <f>W567</f>
        <v>0</v>
      </c>
      <c r="CM567" s="41">
        <f>Y567</f>
        <v>0</v>
      </c>
      <c r="CN567" s="41">
        <f>AA567</f>
        <v>0</v>
      </c>
      <c r="CO567" s="41">
        <f>AC567</f>
        <v>0</v>
      </c>
      <c r="CP567" s="41">
        <f>AE567</f>
        <v>0</v>
      </c>
      <c r="CQ567" s="41">
        <f>AG567</f>
        <v>0</v>
      </c>
      <c r="CR567" s="41">
        <f>AI567</f>
        <v>0</v>
      </c>
      <c r="CS567" s="41">
        <f>AK567</f>
        <v>0</v>
      </c>
      <c r="CT567" s="41">
        <f>AM567</f>
        <v>0</v>
      </c>
      <c r="CU567" s="41">
        <f>AO567</f>
        <v>0</v>
      </c>
      <c r="CV567" s="41">
        <f>AQ567</f>
        <v>0</v>
      </c>
      <c r="CW567" s="41">
        <f>AS567</f>
        <v>0</v>
      </c>
      <c r="CX567" s="41">
        <f>AU567</f>
        <v>0</v>
      </c>
      <c r="CY567" s="41">
        <f>AW567</f>
        <v>0</v>
      </c>
      <c r="CZ567" s="211">
        <f>AY567</f>
        <v>0</v>
      </c>
      <c r="DA567" s="41">
        <f>BA567</f>
        <v>0</v>
      </c>
      <c r="DB567" s="41">
        <f>BC567</f>
        <v>0</v>
      </c>
      <c r="DC567" s="41">
        <f>BE567</f>
        <v>0</v>
      </c>
      <c r="DD567" s="41">
        <f>BG567</f>
        <v>0</v>
      </c>
      <c r="DE567" s="41">
        <f>BI567</f>
        <v>0</v>
      </c>
      <c r="DF567" s="41">
        <f>BK567</f>
        <v>0</v>
      </c>
      <c r="DG567" s="41">
        <f>BM567</f>
        <v>0</v>
      </c>
      <c r="DH567" s="41">
        <f>BO567</f>
        <v>0</v>
      </c>
      <c r="DI567" s="41">
        <f>BQ567</f>
        <v>0</v>
      </c>
    </row>
    <row r="568" spans="1:113" s="17" customFormat="1" ht="12" outlineLevel="1">
      <c r="A568" s="1" t="s">
        <v>1033</v>
      </c>
      <c r="B568" s="79" t="s">
        <v>636</v>
      </c>
      <c r="C568" s="62">
        <f t="shared" ref="C568:L568" si="6793">C564+C565+C566+C567</f>
        <v>10165</v>
      </c>
      <c r="D568" s="62">
        <f t="shared" si="6793"/>
        <v>10854</v>
      </c>
      <c r="E568" s="62">
        <f t="shared" si="6793"/>
        <v>11467</v>
      </c>
      <c r="F568" s="62">
        <f t="shared" si="6793"/>
        <v>11779</v>
      </c>
      <c r="G568" s="62">
        <f t="shared" si="6793"/>
        <v>12771</v>
      </c>
      <c r="H568" s="62">
        <f t="shared" si="6793"/>
        <v>17192</v>
      </c>
      <c r="I568" s="62">
        <f t="shared" si="6793"/>
        <v>18388</v>
      </c>
      <c r="J568" s="62">
        <f t="shared" si="6793"/>
        <v>19136</v>
      </c>
      <c r="K568" s="62">
        <f t="shared" si="6793"/>
        <v>19610</v>
      </c>
      <c r="L568" s="62">
        <f t="shared" si="6793"/>
        <v>20293</v>
      </c>
      <c r="M568" s="62">
        <f t="shared" ref="M568:AD568" si="6794">M564+M565+M566+M567</f>
        <v>20915</v>
      </c>
      <c r="N568" s="62">
        <f t="shared" si="6794"/>
        <v>21978</v>
      </c>
      <c r="O568" s="62">
        <f t="shared" si="6794"/>
        <v>23882</v>
      </c>
      <c r="P568" s="62">
        <f t="shared" si="6794"/>
        <v>26190</v>
      </c>
      <c r="Q568" s="62">
        <f t="shared" si="6794"/>
        <v>29085</v>
      </c>
      <c r="R568" s="62">
        <f t="shared" si="6794"/>
        <v>30994</v>
      </c>
      <c r="S568" s="62">
        <f t="shared" si="6794"/>
        <v>34111</v>
      </c>
      <c r="T568" s="62">
        <f t="shared" si="6794"/>
        <v>36061</v>
      </c>
      <c r="U568" s="62">
        <f t="shared" si="6794"/>
        <v>36748</v>
      </c>
      <c r="V568" s="62">
        <f t="shared" si="6794"/>
        <v>37840</v>
      </c>
      <c r="W568" s="62">
        <f t="shared" si="6794"/>
        <v>41227</v>
      </c>
      <c r="X568" s="62">
        <f t="shared" si="6794"/>
        <v>42946</v>
      </c>
      <c r="Y568" s="62">
        <f t="shared" si="6794"/>
        <v>43340</v>
      </c>
      <c r="Z568" s="62">
        <f t="shared" si="6794"/>
        <v>46910</v>
      </c>
      <c r="AA568" s="62">
        <f t="shared" si="6794"/>
        <v>51072</v>
      </c>
      <c r="AB568" s="62">
        <f t="shared" si="6794"/>
        <v>53246</v>
      </c>
      <c r="AC568" s="62">
        <f t="shared" si="6794"/>
        <v>54898</v>
      </c>
      <c r="AD568" s="62">
        <f t="shared" si="6794"/>
        <v>58884</v>
      </c>
      <c r="AE568" s="62">
        <f t="shared" ref="AE568:AF568" si="6795">AE564+AE565+AE566+AE567</f>
        <v>63924</v>
      </c>
      <c r="AF568" s="62">
        <f t="shared" si="6795"/>
        <v>62840</v>
      </c>
      <c r="AG568" s="62">
        <f t="shared" ref="AG568:AH568" si="6796">AG564+AG565+AG566+AG567</f>
        <v>66464</v>
      </c>
      <c r="AH568" s="62">
        <f t="shared" si="6796"/>
        <v>65273</v>
      </c>
      <c r="AI568" s="62">
        <f t="shared" ref="AI568:AJ568" si="6797">AI564+AI565+AI566+AI567</f>
        <v>66582</v>
      </c>
      <c r="AJ568" s="62">
        <f t="shared" si="6797"/>
        <v>66524</v>
      </c>
      <c r="AK568" s="62">
        <f t="shared" ref="AK568:AL568" si="6798">AK564+AK565+AK566+AK567</f>
        <v>66610</v>
      </c>
      <c r="AL568" s="62">
        <f t="shared" si="6798"/>
        <v>67475</v>
      </c>
      <c r="AM568" s="62">
        <f t="shared" ref="AM568:AN568" si="6799">AM564+AM565+AM566+AM567</f>
        <v>68780</v>
      </c>
      <c r="AN568" s="62">
        <f t="shared" si="6799"/>
        <v>69273</v>
      </c>
      <c r="AO568" s="62">
        <f t="shared" ref="AO568" si="6800">AO564+AO565+AO566+AO567</f>
        <v>68871</v>
      </c>
      <c r="AP568" s="62">
        <f t="shared" ref="AP568:AQ568" si="6801">AP564+AP565+AP566+AP567</f>
        <v>70331</v>
      </c>
      <c r="AQ568" s="62">
        <f t="shared" si="6801"/>
        <v>71793</v>
      </c>
      <c r="AR568" s="62">
        <f t="shared" ref="AR568:AS568" si="6802">AR564+AR565+AR566+AR567</f>
        <v>69426</v>
      </c>
      <c r="AS568" s="62">
        <f t="shared" si="6802"/>
        <v>73912</v>
      </c>
      <c r="AT568" s="62">
        <f t="shared" ref="AT568:AU568" si="6803">AT564+AT565+AT566+AT567</f>
        <v>76452</v>
      </c>
      <c r="AU568" s="62">
        <f t="shared" si="6803"/>
        <v>76921</v>
      </c>
      <c r="AV568" s="62">
        <f t="shared" ref="AV568:AW568" si="6804">AV564+AV565+AV566+AV567</f>
        <v>77851</v>
      </c>
      <c r="AW568" s="62">
        <f t="shared" si="6804"/>
        <v>76246</v>
      </c>
      <c r="AX568" s="62">
        <f t="shared" ref="AX568:AY568" si="6805">AX564+AX565+AX566+AX567</f>
        <v>77554</v>
      </c>
      <c r="AY568" s="220">
        <f t="shared" si="6805"/>
        <v>77366</v>
      </c>
      <c r="AZ568" s="62">
        <f t="shared" ref="AZ568:BA568" si="6806">AZ564+AZ565+AZ566+AZ567</f>
        <v>79947.600722750984</v>
      </c>
      <c r="BA568" s="62">
        <f t="shared" si="6806"/>
        <v>81773.950480334082</v>
      </c>
      <c r="BB568" s="62">
        <f t="shared" ref="BB568:BC568" si="6807">BB564+BB565+BB566+BB567</f>
        <v>82781.240624262253</v>
      </c>
      <c r="BC568" s="62">
        <f t="shared" si="6807"/>
        <v>82455.403773945203</v>
      </c>
      <c r="BD568" s="62">
        <f t="shared" ref="BD568:BE568" si="6808">BD564+BD565+BD566+BD567</f>
        <v>82522.571534147894</v>
      </c>
      <c r="BE568" s="62">
        <f t="shared" si="6808"/>
        <v>82220.875132948684</v>
      </c>
      <c r="BF568" s="62">
        <f t="shared" ref="BF568:BG568" si="6809">BF564+BF565+BF566+BF567</f>
        <v>82302.410146223279</v>
      </c>
      <c r="BG568" s="62">
        <f t="shared" si="6809"/>
        <v>82117.874008363637</v>
      </c>
      <c r="BH568" s="62">
        <f t="shared" ref="BH568:BI568" si="6810">BH564+BH565+BH566+BH567</f>
        <v>83256.224188208915</v>
      </c>
      <c r="BI568" s="62">
        <f t="shared" si="6810"/>
        <v>84069.169866215583</v>
      </c>
      <c r="BJ568" s="62">
        <f t="shared" ref="BJ568:BK568" si="6811">BJ564+BJ565+BJ566+BJ567</f>
        <v>85347.301754763597</v>
      </c>
      <c r="BK568" s="62">
        <f t="shared" si="6811"/>
        <v>86575.109048556449</v>
      </c>
      <c r="BL568" s="62">
        <f t="shared" ref="BL568:BM568" si="6812">BL564+BL565+BL566+BL567</f>
        <v>87961.511938970245</v>
      </c>
      <c r="BM568" s="62">
        <f t="shared" si="6812"/>
        <v>89110.324619207939</v>
      </c>
      <c r="BN568" s="62">
        <f t="shared" ref="BN568:BO568" si="6813">BN564+BN565+BN566+BN567</f>
        <v>90400.485768544531</v>
      </c>
      <c r="BO568" s="62">
        <f t="shared" si="6813"/>
        <v>91493.620842646196</v>
      </c>
      <c r="BP568" s="62">
        <f t="shared" ref="BP568:BQ568" si="6814">BP564+BP565+BP566+BP567</f>
        <v>92742.876009596177</v>
      </c>
      <c r="BQ568" s="62">
        <f t="shared" si="6814"/>
        <v>93835.106885745612</v>
      </c>
      <c r="BR568" s="62"/>
      <c r="BS568" s="62">
        <f t="shared" ref="BS568:CB568" si="6815">BS564+BS565+BS566+BS567</f>
        <v>3991</v>
      </c>
      <c r="BT568" s="62">
        <f t="shared" si="6815"/>
        <v>4866.0000000000009</v>
      </c>
      <c r="BU568" s="62">
        <f t="shared" si="6815"/>
        <v>5115</v>
      </c>
      <c r="BV568" s="62">
        <f t="shared" si="6815"/>
        <v>5747</v>
      </c>
      <c r="BW568" s="62">
        <f t="shared" si="6815"/>
        <v>6336</v>
      </c>
      <c r="BX568" s="62">
        <f t="shared" si="6815"/>
        <v>6993</v>
      </c>
      <c r="BY568" s="62">
        <f t="shared" si="6815"/>
        <v>7746</v>
      </c>
      <c r="BZ568" s="62">
        <f t="shared" si="6815"/>
        <v>8284</v>
      </c>
      <c r="CA568" s="62">
        <f t="shared" si="6815"/>
        <v>8402</v>
      </c>
      <c r="CB568" s="62">
        <f t="shared" si="6815"/>
        <v>8994</v>
      </c>
      <c r="CC568" s="62">
        <f t="shared" ref="CC568:CR568" si="6816">CC564+CC565+CC566+CC567</f>
        <v>11467</v>
      </c>
      <c r="CD568" s="62">
        <f t="shared" si="6816"/>
        <v>12771</v>
      </c>
      <c r="CE568" s="62">
        <f t="shared" si="6816"/>
        <v>18388</v>
      </c>
      <c r="CF568" s="62">
        <f t="shared" si="6816"/>
        <v>19610</v>
      </c>
      <c r="CG568" s="62">
        <f t="shared" si="6816"/>
        <v>20915</v>
      </c>
      <c r="CH568" s="62">
        <f t="shared" si="6816"/>
        <v>23882</v>
      </c>
      <c r="CI568" s="62">
        <f t="shared" si="6816"/>
        <v>29085</v>
      </c>
      <c r="CJ568" s="62">
        <f t="shared" si="6816"/>
        <v>34111</v>
      </c>
      <c r="CK568" s="62">
        <f t="shared" si="6816"/>
        <v>36748</v>
      </c>
      <c r="CL568" s="62">
        <f t="shared" si="6816"/>
        <v>41227</v>
      </c>
      <c r="CM568" s="62">
        <f t="shared" si="6816"/>
        <v>43340</v>
      </c>
      <c r="CN568" s="62">
        <f t="shared" si="6816"/>
        <v>51072</v>
      </c>
      <c r="CO568" s="62">
        <f t="shared" si="6816"/>
        <v>54898</v>
      </c>
      <c r="CP568" s="62">
        <f t="shared" si="6816"/>
        <v>63924</v>
      </c>
      <c r="CQ568" s="62">
        <f t="shared" si="6816"/>
        <v>66464</v>
      </c>
      <c r="CR568" s="62">
        <f t="shared" si="6816"/>
        <v>66582</v>
      </c>
      <c r="CS568" s="62">
        <f t="shared" ref="CS568:CX568" si="6817">CS564+CS565+CS566+CS567</f>
        <v>66610</v>
      </c>
      <c r="CT568" s="62">
        <f t="shared" si="6817"/>
        <v>68780</v>
      </c>
      <c r="CU568" s="62">
        <f t="shared" si="6817"/>
        <v>68871</v>
      </c>
      <c r="CV568" s="62">
        <f t="shared" si="6817"/>
        <v>71793</v>
      </c>
      <c r="CW568" s="62">
        <f t="shared" si="6817"/>
        <v>73912</v>
      </c>
      <c r="CX568" s="62">
        <f t="shared" si="6817"/>
        <v>76921</v>
      </c>
      <c r="CY568" s="62">
        <f t="shared" ref="CY568:DD568" si="6818">CY564+CY565+CY566+CY567</f>
        <v>76246</v>
      </c>
      <c r="CZ568" s="220">
        <f t="shared" si="6818"/>
        <v>77366</v>
      </c>
      <c r="DA568" s="62">
        <f t="shared" si="6818"/>
        <v>81773.950480334082</v>
      </c>
      <c r="DB568" s="62">
        <f t="shared" si="6818"/>
        <v>82455.403773945189</v>
      </c>
      <c r="DC568" s="62">
        <f t="shared" si="6818"/>
        <v>82220.875132948669</v>
      </c>
      <c r="DD568" s="62">
        <f t="shared" si="6818"/>
        <v>82117.874008363637</v>
      </c>
      <c r="DE568" s="62">
        <f t="shared" ref="DE568" si="6819">DE564+DE565+DE566+DE567</f>
        <v>84069.169866215569</v>
      </c>
      <c r="DF568" s="62">
        <f t="shared" ref="DF568" si="6820">DF564+DF565+DF566+DF567</f>
        <v>86575.10904855642</v>
      </c>
      <c r="DG568" s="62">
        <f>DG564+DG565+DG566+DG567</f>
        <v>89110.324619207895</v>
      </c>
      <c r="DH568" s="62">
        <f>DH564+DH565+DH566+DH567</f>
        <v>91493.620842646153</v>
      </c>
      <c r="DI568" s="62">
        <f>DI564+DI565+DI566+DI567</f>
        <v>93835.106885745568</v>
      </c>
    </row>
    <row r="569" spans="1:113" ht="12" outlineLevel="1">
      <c r="C569" s="41"/>
      <c r="D569" s="41"/>
      <c r="E569" s="41"/>
      <c r="F569" s="41"/>
      <c r="G569" s="41"/>
      <c r="H569" s="41"/>
      <c r="I569" s="41"/>
      <c r="J569" s="41"/>
      <c r="K569" s="41"/>
      <c r="L569" s="41"/>
      <c r="M569" s="41"/>
      <c r="N569" s="41"/>
      <c r="O569" s="41"/>
      <c r="P569" s="41"/>
      <c r="Q569" s="41"/>
      <c r="R569" s="41"/>
      <c r="S569" s="41"/>
      <c r="T569" s="41"/>
      <c r="U569" s="41"/>
      <c r="V569" s="41"/>
      <c r="W569" s="41"/>
      <c r="X569" s="41"/>
      <c r="Y569" s="41"/>
      <c r="Z569" s="41"/>
      <c r="AA569" s="41"/>
      <c r="AB569" s="41"/>
      <c r="AC569" s="41"/>
      <c r="AD569" s="41"/>
      <c r="AE569" s="41"/>
      <c r="AF569" s="41"/>
      <c r="AG569" s="41"/>
      <c r="AH569" s="41"/>
      <c r="AI569" s="41"/>
      <c r="AJ569" s="41"/>
      <c r="AK569" s="41"/>
      <c r="AL569" s="41"/>
      <c r="AM569" s="41"/>
      <c r="AN569" s="41"/>
      <c r="AO569" s="41"/>
      <c r="AP569" s="41"/>
      <c r="AQ569" s="41"/>
      <c r="AR569" s="41"/>
      <c r="AS569" s="41"/>
      <c r="AT569" s="41"/>
      <c r="AU569" s="41"/>
      <c r="AV569" s="41"/>
      <c r="AW569" s="41"/>
      <c r="AX569" s="41"/>
      <c r="AY569" s="211"/>
      <c r="AZ569" s="41"/>
      <c r="BA569" s="41"/>
      <c r="BB569" s="41"/>
      <c r="BC569" s="41"/>
      <c r="BD569" s="41"/>
      <c r="BE569" s="41"/>
      <c r="BF569" s="41"/>
      <c r="BG569" s="41"/>
      <c r="BH569" s="41"/>
      <c r="BI569" s="41"/>
      <c r="BJ569" s="41"/>
      <c r="BK569" s="41"/>
      <c r="BL569" s="41"/>
      <c r="BM569" s="41"/>
      <c r="BN569" s="41"/>
      <c r="BO569" s="41"/>
      <c r="BP569" s="41"/>
      <c r="BQ569" s="41"/>
      <c r="BR569" s="41"/>
      <c r="BS569" s="41"/>
      <c r="BT569" s="41"/>
      <c r="BU569" s="41"/>
      <c r="BV569" s="41"/>
      <c r="BW569" s="41"/>
      <c r="BX569" s="41"/>
      <c r="BY569" s="41"/>
      <c r="BZ569" s="41"/>
      <c r="CA569" s="41"/>
      <c r="CB569" s="41"/>
      <c r="CC569" s="41"/>
      <c r="CD569" s="41"/>
      <c r="CE569" s="41"/>
      <c r="CF569" s="41"/>
      <c r="CG569" s="41"/>
      <c r="CH569" s="41"/>
      <c r="CI569" s="41"/>
      <c r="CJ569" s="41"/>
      <c r="CK569" s="41"/>
      <c r="CL569" s="41"/>
      <c r="CM569" s="41"/>
      <c r="CN569" s="41"/>
      <c r="CO569" s="41"/>
      <c r="CP569" s="41"/>
      <c r="CQ569" s="41"/>
      <c r="CR569" s="41"/>
      <c r="CS569" s="41"/>
      <c r="CT569" s="41"/>
      <c r="CU569" s="41"/>
      <c r="CV569" s="41"/>
      <c r="CW569" s="41"/>
      <c r="CX569" s="41"/>
      <c r="CY569" s="41"/>
      <c r="CZ569" s="211"/>
      <c r="DA569" s="41"/>
      <c r="DB569" s="15"/>
      <c r="DC569" s="15"/>
      <c r="DD569" s="15"/>
      <c r="DE569" s="15"/>
      <c r="DF569" s="15"/>
      <c r="DG569" s="15"/>
      <c r="DH569" s="15"/>
      <c r="DI569" s="15"/>
    </row>
    <row r="570" spans="1:113" s="17" customFormat="1" ht="12" outlineLevel="1">
      <c r="A570" s="1"/>
      <c r="B570" s="79" t="s">
        <v>637</v>
      </c>
      <c r="C570" s="62"/>
      <c r="D570" s="62"/>
      <c r="E570" s="62"/>
      <c r="F570" s="62"/>
      <c r="G570" s="62"/>
      <c r="H570" s="62"/>
      <c r="I570" s="62"/>
      <c r="J570" s="62"/>
      <c r="K570" s="62"/>
      <c r="L570" s="62"/>
      <c r="M570" s="62"/>
      <c r="N570" s="62"/>
      <c r="O570" s="62"/>
      <c r="P570" s="62"/>
      <c r="Q570" s="62"/>
      <c r="R570" s="62"/>
      <c r="S570" s="62"/>
      <c r="T570" s="62"/>
      <c r="U570" s="62"/>
      <c r="V570" s="62"/>
      <c r="W570" s="62"/>
      <c r="X570" s="62"/>
      <c r="Y570" s="62"/>
      <c r="Z570" s="62"/>
      <c r="AA570" s="62"/>
      <c r="AB570" s="62"/>
      <c r="AC570" s="62"/>
      <c r="AD570" s="62"/>
      <c r="AE570" s="62"/>
      <c r="AF570" s="62"/>
      <c r="AG570" s="62"/>
      <c r="AH570" s="62"/>
      <c r="AI570" s="62"/>
      <c r="AJ570" s="37"/>
      <c r="AK570" s="37"/>
      <c r="AL570" s="37"/>
      <c r="AM570" s="37"/>
      <c r="AN570" s="37"/>
      <c r="AO570" s="37"/>
      <c r="AP570" s="37"/>
      <c r="AQ570" s="37"/>
      <c r="AR570" s="37"/>
      <c r="AS570" s="37"/>
      <c r="AT570" s="37"/>
      <c r="AU570" s="37"/>
      <c r="AV570" s="37"/>
      <c r="AW570" s="37"/>
      <c r="AX570" s="37"/>
      <c r="AY570" s="36"/>
      <c r="AZ570" s="62"/>
      <c r="BA570" s="62"/>
      <c r="BB570" s="62"/>
      <c r="BC570" s="62"/>
      <c r="BD570" s="62"/>
      <c r="BE570" s="62"/>
      <c r="BF570" s="62"/>
      <c r="BG570" s="62"/>
      <c r="BH570" s="62"/>
      <c r="BI570" s="62"/>
      <c r="BJ570" s="62"/>
      <c r="BK570" s="62"/>
      <c r="BL570" s="62"/>
      <c r="BM570" s="62"/>
      <c r="BN570" s="62"/>
      <c r="BO570" s="62"/>
      <c r="BP570" s="62"/>
      <c r="BQ570" s="62"/>
      <c r="BR570" s="62"/>
      <c r="BS570" s="62"/>
      <c r="BT570" s="62"/>
      <c r="BU570" s="62"/>
      <c r="BV570" s="62"/>
      <c r="BW570" s="62"/>
      <c r="BX570" s="62"/>
      <c r="BY570" s="62"/>
      <c r="BZ570" s="62"/>
      <c r="CA570" s="62"/>
      <c r="CB570" s="62"/>
      <c r="CC570" s="62"/>
      <c r="CD570" s="62"/>
      <c r="CE570" s="62"/>
      <c r="CF570" s="62"/>
      <c r="CG570" s="62"/>
      <c r="CH570" s="62"/>
      <c r="CI570" s="62"/>
      <c r="CJ570" s="62"/>
      <c r="CK570" s="62"/>
      <c r="CL570" s="62"/>
      <c r="CM570" s="62"/>
      <c r="CN570" s="62"/>
      <c r="CO570" s="62"/>
      <c r="CP570" s="62"/>
      <c r="CQ570" s="62"/>
      <c r="CR570" s="62"/>
      <c r="CS570" s="62"/>
      <c r="CT570" s="62"/>
      <c r="CU570" s="62"/>
      <c r="CV570" s="62"/>
      <c r="CW570" s="62"/>
      <c r="CX570" s="62"/>
      <c r="CY570" s="62"/>
      <c r="CZ570" s="220"/>
      <c r="DA570" s="62"/>
    </row>
    <row r="571" spans="1:113" ht="12" outlineLevel="1">
      <c r="A571" s="1" t="s">
        <v>1034</v>
      </c>
      <c r="B571" s="15" t="s">
        <v>368</v>
      </c>
      <c r="C571" s="40">
        <v>-115</v>
      </c>
      <c r="D571" s="40">
        <v>-165</v>
      </c>
      <c r="E571" s="40">
        <v>-158</v>
      </c>
      <c r="F571" s="40">
        <v>-151</v>
      </c>
      <c r="G571" s="40">
        <v>-1044</v>
      </c>
      <c r="H571" s="40">
        <v>-4096</v>
      </c>
      <c r="I571" s="40">
        <v>-4170</v>
      </c>
      <c r="J571" s="40">
        <v>-4007</v>
      </c>
      <c r="K571" s="40">
        <v>-3902</v>
      </c>
      <c r="L571" s="40">
        <f>-3943</f>
        <v>-3943</v>
      </c>
      <c r="M571" s="40">
        <f>-3996</f>
        <v>-3996</v>
      </c>
      <c r="N571" s="40">
        <f>-4039-792</f>
        <v>-4831</v>
      </c>
      <c r="O571" s="40">
        <v>-4911</v>
      </c>
      <c r="P571" s="40">
        <v>-4972</v>
      </c>
      <c r="Q571" s="40">
        <v>-4889</v>
      </c>
      <c r="R571" s="40">
        <v>-3093</v>
      </c>
      <c r="S571" s="40">
        <f>-3047</f>
        <v>-3047</v>
      </c>
      <c r="T571" s="40">
        <f>-2872-1961</f>
        <v>-4833</v>
      </c>
      <c r="U571" s="40">
        <f>-2952-2043</f>
        <v>-4995</v>
      </c>
      <c r="V571" s="40">
        <f>-2855-2059</f>
        <v>-4914</v>
      </c>
      <c r="W571" s="40">
        <f>-3027-2071</f>
        <v>-5098</v>
      </c>
      <c r="X571" s="40">
        <f>-3017-2071</f>
        <v>-5088</v>
      </c>
      <c r="Y571" s="40">
        <f>-3052-2074</f>
        <v>-5126</v>
      </c>
      <c r="Z571" s="141">
        <f>-3717-2075</f>
        <v>-5792</v>
      </c>
      <c r="AA571" s="141">
        <f>-3970-2096</f>
        <v>-6066</v>
      </c>
      <c r="AB571" s="141">
        <f>-4126-2107</f>
        <v>-6233</v>
      </c>
      <c r="AC571" s="141">
        <f>-3995-2096</f>
        <v>-6091</v>
      </c>
      <c r="AD571" s="141">
        <f>-4369-2117</f>
        <v>-6486</v>
      </c>
      <c r="AE571" s="141">
        <f>-4109-2093</f>
        <v>-6202</v>
      </c>
      <c r="AF571" s="141">
        <f>-3767-2091</f>
        <v>-5858</v>
      </c>
      <c r="AG571" s="141">
        <f>-3913-2103</f>
        <v>-6016</v>
      </c>
      <c r="AH571" s="141">
        <f>-3532-2099</f>
        <v>-5631</v>
      </c>
      <c r="AI571" s="141">
        <f>-3553-2100</f>
        <v>-5653</v>
      </c>
      <c r="AJ571" s="141">
        <f>-3638-1634</f>
        <v>-5272</v>
      </c>
      <c r="AK571" s="141">
        <f>-3776-1629</f>
        <v>-5405</v>
      </c>
      <c r="AL571" s="141">
        <f>-3865-1494</f>
        <v>-5359</v>
      </c>
      <c r="AM571" s="141">
        <f>-3772-556</f>
        <v>-4328</v>
      </c>
      <c r="AN571" s="141">
        <f>-3620-80</f>
        <v>-3700</v>
      </c>
      <c r="AO571" s="141">
        <f>-3269-71</f>
        <v>-3340</v>
      </c>
      <c r="AP571" s="141">
        <f>-2992-70</f>
        <v>-3062</v>
      </c>
      <c r="AQ571" s="141">
        <f>-3091-73</f>
        <v>-3164</v>
      </c>
      <c r="AR571" s="141">
        <f>-3073-71</f>
        <v>-3144</v>
      </c>
      <c r="AS571" s="141">
        <f>-2914-67</f>
        <v>-2981</v>
      </c>
      <c r="AT571" s="141">
        <f>-2994-71</f>
        <v>-3065</v>
      </c>
      <c r="AU571" s="141">
        <f>-2977-71</f>
        <v>-3048</v>
      </c>
      <c r="AV571" s="141">
        <f>-2936-69</f>
        <v>-3005</v>
      </c>
      <c r="AW571" s="141">
        <f>-4273-63</f>
        <v>-4336</v>
      </c>
      <c r="AX571" s="141">
        <f>-4117-62</f>
        <v>-4179</v>
      </c>
      <c r="AY571" s="226">
        <f>-4165-59</f>
        <v>-4224</v>
      </c>
      <c r="AZ571" s="41">
        <f t="shared" ref="AZ571" si="6821">AY571-AZ524</f>
        <v>-4224</v>
      </c>
      <c r="BA571" s="41">
        <f t="shared" ref="BA571" si="6822">AZ571-BA524</f>
        <v>-4224</v>
      </c>
      <c r="BB571" s="41">
        <f t="shared" ref="BB571" si="6823">BA571-BB524</f>
        <v>-4224</v>
      </c>
      <c r="BC571" s="41">
        <f t="shared" ref="BC571" si="6824">BB571-BC524</f>
        <v>-4224</v>
      </c>
      <c r="BD571" s="41">
        <f t="shared" ref="BD571" si="6825">BC571-BD524</f>
        <v>-4224</v>
      </c>
      <c r="BE571" s="41">
        <f t="shared" ref="BE571" si="6826">BD571-BE524</f>
        <v>-4224</v>
      </c>
      <c r="BF571" s="41">
        <f t="shared" ref="BF571" si="6827">BE571-BF524</f>
        <v>-4224</v>
      </c>
      <c r="BG571" s="41">
        <f t="shared" ref="BG571:BK571" si="6828">BF571-BG524</f>
        <v>-4224</v>
      </c>
      <c r="BH571" s="41">
        <f t="shared" si="6828"/>
        <v>-4224</v>
      </c>
      <c r="BI571" s="41">
        <f t="shared" si="6828"/>
        <v>-4224</v>
      </c>
      <c r="BJ571" s="41">
        <f t="shared" si="6828"/>
        <v>-4224</v>
      </c>
      <c r="BK571" s="41">
        <f t="shared" si="6828"/>
        <v>-4224</v>
      </c>
      <c r="BL571" s="41">
        <f t="shared" ref="BL571" si="6829">BK571-BL524</f>
        <v>-4224</v>
      </c>
      <c r="BM571" s="41">
        <f t="shared" ref="BM571" si="6830">BL571-BM524</f>
        <v>-4224</v>
      </c>
      <c r="BN571" s="41">
        <f t="shared" ref="BN571" si="6831">BM571-BN524</f>
        <v>-4224</v>
      </c>
      <c r="BO571" s="41">
        <f t="shared" ref="BO571" si="6832">BN571-BO524</f>
        <v>-4224</v>
      </c>
      <c r="BP571" s="41">
        <f t="shared" ref="BP571" si="6833">BO571-BP524</f>
        <v>-4224</v>
      </c>
      <c r="BQ571" s="41">
        <f t="shared" ref="BQ571" si="6834">BP571-BQ524</f>
        <v>-4224</v>
      </c>
      <c r="BR571" s="41"/>
      <c r="BS571" s="40">
        <v>0</v>
      </c>
      <c r="BT571" s="40">
        <v>0</v>
      </c>
      <c r="BU571" s="40">
        <v>-4</v>
      </c>
      <c r="BV571" s="40">
        <v>-8</v>
      </c>
      <c r="BW571" s="40">
        <v>-17</v>
      </c>
      <c r="BX571" s="40">
        <v>-21</v>
      </c>
      <c r="BY571" s="40">
        <v>-18</v>
      </c>
      <c r="BZ571" s="40">
        <v>-82</v>
      </c>
      <c r="CA571" s="40">
        <v>-118</v>
      </c>
      <c r="CB571" s="40">
        <v>-115</v>
      </c>
      <c r="CC571" s="41">
        <f t="shared" ref="CC571:CC578" si="6835">E571</f>
        <v>-158</v>
      </c>
      <c r="CD571" s="41">
        <f t="shared" ref="CD571:CD578" si="6836">G571</f>
        <v>-1044</v>
      </c>
      <c r="CE571" s="41">
        <f t="shared" ref="CE571:CE578" si="6837">I571</f>
        <v>-4170</v>
      </c>
      <c r="CF571" s="41">
        <f>K571</f>
        <v>-3902</v>
      </c>
      <c r="CG571" s="41">
        <f t="shared" ref="CG571:CG578" si="6838">M571</f>
        <v>-3996</v>
      </c>
      <c r="CH571" s="41">
        <f t="shared" ref="CH571:CH578" si="6839">O571</f>
        <v>-4911</v>
      </c>
      <c r="CI571" s="41">
        <f t="shared" ref="CI571:CI579" si="6840">Q571</f>
        <v>-4889</v>
      </c>
      <c r="CJ571" s="41">
        <f t="shared" ref="CJ571:CJ578" si="6841">S571</f>
        <v>-3047</v>
      </c>
      <c r="CK571" s="41">
        <f t="shared" ref="CK571:CK578" si="6842">U571</f>
        <v>-4995</v>
      </c>
      <c r="CL571" s="41">
        <f t="shared" ref="CL571:CL578" si="6843">W571</f>
        <v>-5098</v>
      </c>
      <c r="CM571" s="41">
        <f t="shared" ref="CM571:CM578" si="6844">Y571</f>
        <v>-5126</v>
      </c>
      <c r="CN571" s="41">
        <f t="shared" ref="CN571:CN578" si="6845">AA571</f>
        <v>-6066</v>
      </c>
      <c r="CO571" s="41">
        <f t="shared" ref="CO571:CO578" si="6846">AC571</f>
        <v>-6091</v>
      </c>
      <c r="CP571" s="41">
        <f t="shared" ref="CP571:CP578" si="6847">AE571</f>
        <v>-6202</v>
      </c>
      <c r="CQ571" s="41">
        <f t="shared" ref="CQ571:CQ578" si="6848">AG571</f>
        <v>-6016</v>
      </c>
      <c r="CR571" s="41">
        <f t="shared" ref="CR571:CR578" si="6849">AI571</f>
        <v>-5653</v>
      </c>
      <c r="CS571" s="41">
        <f t="shared" ref="CS571:CS578" si="6850">AK571</f>
        <v>-5405</v>
      </c>
      <c r="CT571" s="41">
        <f t="shared" ref="CT571:CT578" si="6851">AM571</f>
        <v>-4328</v>
      </c>
      <c r="CU571" s="41">
        <f t="shared" ref="CU571:CU578" si="6852">AO571</f>
        <v>-3340</v>
      </c>
      <c r="CV571" s="41">
        <f t="shared" ref="CV571:CV578" si="6853">AQ571</f>
        <v>-3164</v>
      </c>
      <c r="CW571" s="41">
        <f t="shared" ref="CW571:CW578" si="6854">AS571</f>
        <v>-2981</v>
      </c>
      <c r="CX571" s="41">
        <f t="shared" ref="CX571:CX578" si="6855">AU571</f>
        <v>-3048</v>
      </c>
      <c r="CY571" s="41">
        <f t="shared" ref="CY571:CY578" si="6856">AW571</f>
        <v>-4336</v>
      </c>
      <c r="CZ571" s="211">
        <f t="shared" ref="CZ571:CZ578" si="6857">AY571</f>
        <v>-4224</v>
      </c>
      <c r="DA571" s="41">
        <f t="shared" ref="DA571:DA578" si="6858">BA571</f>
        <v>-4224</v>
      </c>
      <c r="DB571" s="41">
        <f t="shared" ref="DB571:DB578" si="6859">BC571</f>
        <v>-4224</v>
      </c>
      <c r="DC571" s="41">
        <f t="shared" ref="DC571:DC578" si="6860">BE571</f>
        <v>-4224</v>
      </c>
      <c r="DD571" s="41">
        <f t="shared" ref="DD571:DD578" si="6861">BG571</f>
        <v>-4224</v>
      </c>
      <c r="DE571" s="41">
        <f t="shared" ref="DE571:DE578" si="6862">BI571</f>
        <v>-4224</v>
      </c>
      <c r="DF571" s="41">
        <f t="shared" ref="DF571:DF578" si="6863">BK571</f>
        <v>-4224</v>
      </c>
      <c r="DG571" s="41">
        <f t="shared" ref="DG571:DG578" si="6864">BM571</f>
        <v>-4224</v>
      </c>
      <c r="DH571" s="41">
        <f t="shared" ref="DH571:DH578" si="6865">BO571</f>
        <v>-4224</v>
      </c>
      <c r="DI571" s="41">
        <f t="shared" ref="DI571:DI578" si="6866">BQ571</f>
        <v>-4224</v>
      </c>
    </row>
    <row r="572" spans="1:113" ht="12" outlineLevel="1">
      <c r="A572" s="1" t="s">
        <v>1035</v>
      </c>
      <c r="B572" s="15" t="s">
        <v>369</v>
      </c>
      <c r="C572" s="40">
        <v>0</v>
      </c>
      <c r="D572" s="40">
        <v>0</v>
      </c>
      <c r="E572" s="40">
        <v>0</v>
      </c>
      <c r="F572" s="40">
        <v>0</v>
      </c>
      <c r="G572" s="40">
        <v>0</v>
      </c>
      <c r="H572" s="40">
        <v>0</v>
      </c>
      <c r="I572" s="40">
        <v>0</v>
      </c>
      <c r="J572" s="40">
        <v>0</v>
      </c>
      <c r="K572" s="40">
        <v>0</v>
      </c>
      <c r="L572" s="40">
        <v>0</v>
      </c>
      <c r="M572" s="40">
        <v>-397</v>
      </c>
      <c r="N572" s="40">
        <v>-425</v>
      </c>
      <c r="O572" s="40">
        <v>-462</v>
      </c>
      <c r="P572" s="40">
        <v>-509</v>
      </c>
      <c r="Q572" s="40">
        <v>-625</v>
      </c>
      <c r="R572" s="40">
        <v>-723</v>
      </c>
      <c r="S572" s="40">
        <v>-849</v>
      </c>
      <c r="T572" s="40">
        <v>-960</v>
      </c>
      <c r="U572" s="40">
        <v>-1127</v>
      </c>
      <c r="V572" s="40">
        <v>-1263</v>
      </c>
      <c r="W572" s="40">
        <v>-1490</v>
      </c>
      <c r="X572" s="40">
        <v>-1660</v>
      </c>
      <c r="Y572" s="40">
        <v>-1702</v>
      </c>
      <c r="Z572" s="141">
        <v>-1800</v>
      </c>
      <c r="AA572" s="141">
        <v>-2102</v>
      </c>
      <c r="AB572" s="141">
        <v>-2252</v>
      </c>
      <c r="AC572" s="141">
        <v>-2401</v>
      </c>
      <c r="AD572" s="141">
        <v>-2631</v>
      </c>
      <c r="AE572" s="141">
        <v>-2832</v>
      </c>
      <c r="AF572" s="141">
        <v>-2190</v>
      </c>
      <c r="AG572" s="141">
        <v>-2139</v>
      </c>
      <c r="AH572" s="141">
        <v>-1887</v>
      </c>
      <c r="AI572" s="141">
        <v>-1826</v>
      </c>
      <c r="AJ572" s="141">
        <v>-1745</v>
      </c>
      <c r="AK572" s="141">
        <v>-1421</v>
      </c>
      <c r="AL572" s="141">
        <v>-1360</v>
      </c>
      <c r="AM572" s="141">
        <v>-1322</v>
      </c>
      <c r="AN572" s="141">
        <v>-1263</v>
      </c>
      <c r="AO572" s="141">
        <v>-1039</v>
      </c>
      <c r="AP572" s="141">
        <v>-961</v>
      </c>
      <c r="AQ572" s="141">
        <v>-960</v>
      </c>
      <c r="AR572" s="141">
        <v>-924</v>
      </c>
      <c r="AS572" s="141">
        <v>-896</v>
      </c>
      <c r="AT572" s="141">
        <v>-868</v>
      </c>
      <c r="AU572" s="141">
        <v>-913</v>
      </c>
      <c r="AV572" s="141">
        <v>-902</v>
      </c>
      <c r="AW572" s="141">
        <v>-1015</v>
      </c>
      <c r="AX572" s="141">
        <v>-997</v>
      </c>
      <c r="AY572" s="226">
        <v>-996</v>
      </c>
      <c r="AZ572" s="210">
        <f t="shared" ref="AZ572" si="6867">AY572-AZ106+AY106</f>
        <v>-946.94920497526346</v>
      </c>
      <c r="BA572" s="210">
        <f t="shared" ref="BA572" si="6868">AZ572-BA106+AZ106</f>
        <v>-917.7186998826204</v>
      </c>
      <c r="BB572" s="210">
        <f t="shared" ref="BB572" si="6869">BA572-BB106+BA106</f>
        <v>-893.25165905738015</v>
      </c>
      <c r="BC572" s="210">
        <f t="shared" ref="BC572" si="6870">BB572-BC106+BB106</f>
        <v>-882.92646790104982</v>
      </c>
      <c r="BD572" s="210">
        <f t="shared" ref="BD572" si="6871">BC572-BD106+BC106</f>
        <v>-872.74489048412909</v>
      </c>
      <c r="BE572" s="210">
        <f t="shared" ref="BE572" si="6872">BD572-BE106+BD106</f>
        <v>-873.51334091692343</v>
      </c>
      <c r="BF572" s="210">
        <f t="shared" ref="BF572" si="6873">BE572-BF106+BE106</f>
        <v>-871.68424021955218</v>
      </c>
      <c r="BG572" s="210">
        <f t="shared" ref="BG572:BK572" si="6874">BF572-BG106+BF106</f>
        <v>-879.04919298847062</v>
      </c>
      <c r="BH572" s="210">
        <f t="shared" si="6874"/>
        <v>-882.1560495454894</v>
      </c>
      <c r="BI572" s="210">
        <f t="shared" si="6874"/>
        <v>-893.53119266494446</v>
      </c>
      <c r="BJ572" s="210">
        <f t="shared" si="6874"/>
        <v>-899.84575826455784</v>
      </c>
      <c r="BK572" s="210">
        <f t="shared" si="6874"/>
        <v>-916.65851649843432</v>
      </c>
      <c r="BL572" s="210">
        <f t="shared" ref="BL572" si="6875">BK572-BL106+BK106</f>
        <v>-920.41596473663594</v>
      </c>
      <c r="BM572" s="210">
        <f t="shared" ref="BM572" si="6876">BL572-BM106+BL106</f>
        <v>-937.27974670341951</v>
      </c>
      <c r="BN572" s="210">
        <f t="shared" ref="BN572" si="6877">BM572-BN106+BM106</f>
        <v>-941.05450281406365</v>
      </c>
      <c r="BO572" s="210">
        <f t="shared" ref="BO572" si="6878">BN572-BO106+BN106</f>
        <v>-957.25758344509018</v>
      </c>
      <c r="BP572" s="210">
        <f t="shared" ref="BP572" si="6879">BO572-BP106+BO106</f>
        <v>-961.78135348564001</v>
      </c>
      <c r="BQ572" s="210">
        <f t="shared" ref="BQ572" si="6880">BP572-BQ106+BP106</f>
        <v>-978.28975698707529</v>
      </c>
      <c r="BR572" s="41"/>
      <c r="BS572" s="40">
        <v>0</v>
      </c>
      <c r="BT572" s="40">
        <v>0</v>
      </c>
      <c r="BU572" s="40">
        <v>0</v>
      </c>
      <c r="BV572" s="40">
        <v>0</v>
      </c>
      <c r="BW572" s="40">
        <v>0</v>
      </c>
      <c r="BX572" s="40">
        <v>0</v>
      </c>
      <c r="BY572" s="40">
        <v>0</v>
      </c>
      <c r="BZ572" s="40">
        <v>0</v>
      </c>
      <c r="CA572" s="40">
        <v>0</v>
      </c>
      <c r="CB572" s="40">
        <v>0</v>
      </c>
      <c r="CC572" s="41">
        <f t="shared" si="6835"/>
        <v>0</v>
      </c>
      <c r="CD572" s="41">
        <f t="shared" si="6836"/>
        <v>0</v>
      </c>
      <c r="CE572" s="41">
        <f t="shared" si="6837"/>
        <v>0</v>
      </c>
      <c r="CF572" s="41">
        <f t="shared" ref="CF572:CF578" si="6881">K572</f>
        <v>0</v>
      </c>
      <c r="CG572" s="41">
        <f t="shared" si="6838"/>
        <v>-397</v>
      </c>
      <c r="CH572" s="41">
        <f t="shared" si="6839"/>
        <v>-462</v>
      </c>
      <c r="CI572" s="41">
        <f t="shared" si="6840"/>
        <v>-625</v>
      </c>
      <c r="CJ572" s="41">
        <f t="shared" si="6841"/>
        <v>-849</v>
      </c>
      <c r="CK572" s="41">
        <f t="shared" si="6842"/>
        <v>-1127</v>
      </c>
      <c r="CL572" s="41">
        <f t="shared" si="6843"/>
        <v>-1490</v>
      </c>
      <c r="CM572" s="41">
        <f t="shared" si="6844"/>
        <v>-1702</v>
      </c>
      <c r="CN572" s="41">
        <f t="shared" si="6845"/>
        <v>-2102</v>
      </c>
      <c r="CO572" s="41">
        <f t="shared" si="6846"/>
        <v>-2401</v>
      </c>
      <c r="CP572" s="41">
        <f t="shared" si="6847"/>
        <v>-2832</v>
      </c>
      <c r="CQ572" s="41">
        <f t="shared" si="6848"/>
        <v>-2139</v>
      </c>
      <c r="CR572" s="41">
        <f t="shared" si="6849"/>
        <v>-1826</v>
      </c>
      <c r="CS572" s="41">
        <f t="shared" si="6850"/>
        <v>-1421</v>
      </c>
      <c r="CT572" s="41">
        <f t="shared" si="6851"/>
        <v>-1322</v>
      </c>
      <c r="CU572" s="41">
        <f t="shared" si="6852"/>
        <v>-1039</v>
      </c>
      <c r="CV572" s="41">
        <f t="shared" si="6853"/>
        <v>-960</v>
      </c>
      <c r="CW572" s="41">
        <f t="shared" si="6854"/>
        <v>-896</v>
      </c>
      <c r="CX572" s="41">
        <f t="shared" si="6855"/>
        <v>-913</v>
      </c>
      <c r="CY572" s="41">
        <f t="shared" si="6856"/>
        <v>-1015</v>
      </c>
      <c r="CZ572" s="211">
        <f t="shared" si="6857"/>
        <v>-996</v>
      </c>
      <c r="DA572" s="41">
        <f t="shared" si="6858"/>
        <v>-917.7186998826204</v>
      </c>
      <c r="DB572" s="41">
        <f t="shared" si="6859"/>
        <v>-882.92646790104982</v>
      </c>
      <c r="DC572" s="41">
        <f t="shared" si="6860"/>
        <v>-873.51334091692343</v>
      </c>
      <c r="DD572" s="41">
        <f t="shared" si="6861"/>
        <v>-879.04919298847062</v>
      </c>
      <c r="DE572" s="41">
        <f t="shared" si="6862"/>
        <v>-893.53119266494446</v>
      </c>
      <c r="DF572" s="41">
        <f t="shared" si="6863"/>
        <v>-916.65851649843432</v>
      </c>
      <c r="DG572" s="41">
        <f t="shared" si="6864"/>
        <v>-937.27974670341951</v>
      </c>
      <c r="DH572" s="41">
        <f t="shared" si="6865"/>
        <v>-957.25758344509018</v>
      </c>
      <c r="DI572" s="41">
        <f t="shared" si="6866"/>
        <v>-978.28975698707529</v>
      </c>
    </row>
    <row r="573" spans="1:113" ht="12" outlineLevel="1">
      <c r="A573" s="1" t="s">
        <v>1036</v>
      </c>
      <c r="B573" s="15" t="s">
        <v>302</v>
      </c>
      <c r="C573" s="40">
        <v>0</v>
      </c>
      <c r="D573" s="40">
        <v>0</v>
      </c>
      <c r="E573" s="40">
        <v>0</v>
      </c>
      <c r="F573" s="40">
        <v>0</v>
      </c>
      <c r="G573" s="40">
        <v>0</v>
      </c>
      <c r="H573" s="40">
        <v>0</v>
      </c>
      <c r="I573" s="40">
        <v>-465</v>
      </c>
      <c r="J573" s="40">
        <v>-492</v>
      </c>
      <c r="K573" s="40">
        <v>-524</v>
      </c>
      <c r="L573" s="40">
        <v>-534</v>
      </c>
      <c r="M573" s="40">
        <v>-569</v>
      </c>
      <c r="N573" s="40">
        <v>-575</v>
      </c>
      <c r="O573" s="40">
        <v>-602</v>
      </c>
      <c r="P573" s="40">
        <v>-619</v>
      </c>
      <c r="Q573" s="40">
        <v>-642</v>
      </c>
      <c r="R573" s="40">
        <v>-643</v>
      </c>
      <c r="S573" s="40">
        <v>-602</v>
      </c>
      <c r="T573" s="40">
        <v>-617</v>
      </c>
      <c r="U573" s="40">
        <v>-655</v>
      </c>
      <c r="V573" s="40">
        <v>-666</v>
      </c>
      <c r="W573" s="40">
        <v>-688</v>
      </c>
      <c r="X573" s="40">
        <v>-761</v>
      </c>
      <c r="Y573" s="40">
        <v>-850</v>
      </c>
      <c r="Z573" s="141">
        <v>-884</v>
      </c>
      <c r="AA573" s="141">
        <v>-979</v>
      </c>
      <c r="AB573" s="141">
        <v>-1058</v>
      </c>
      <c r="AC573" s="141">
        <v>-1099</v>
      </c>
      <c r="AD573" s="141">
        <v>-1197</v>
      </c>
      <c r="AE573" s="141">
        <v>-1320</v>
      </c>
      <c r="AF573" s="141">
        <v>-1078</v>
      </c>
      <c r="AG573" s="141">
        <v>-1148</v>
      </c>
      <c r="AH573" s="141">
        <v>-1129</v>
      </c>
      <c r="AI573" s="141">
        <v>-1149</v>
      </c>
      <c r="AJ573" s="141">
        <v>-1133</v>
      </c>
      <c r="AK573" s="141">
        <v>-1077</v>
      </c>
      <c r="AL573" s="141">
        <v>-1019</v>
      </c>
      <c r="AM573" s="141">
        <v>-1178</v>
      </c>
      <c r="AN573" s="141">
        <v>-1225</v>
      </c>
      <c r="AO573" s="141">
        <v>-1316</v>
      </c>
      <c r="AP573" s="141">
        <v>-1431</v>
      </c>
      <c r="AQ573" s="141">
        <v>-1495</v>
      </c>
      <c r="AR573" s="141">
        <v>-1548</v>
      </c>
      <c r="AS573" s="141">
        <v>-1625</v>
      </c>
      <c r="AT573" s="141">
        <v>-1874</v>
      </c>
      <c r="AU573" s="141">
        <v>-2099</v>
      </c>
      <c r="AV573" s="141">
        <v>-2240</v>
      </c>
      <c r="AW573" s="141">
        <v>-2337</v>
      </c>
      <c r="AX573" s="141">
        <v>-2430</v>
      </c>
      <c r="AY573" s="226">
        <v>-2550</v>
      </c>
      <c r="AZ573" s="210">
        <f t="shared" ref="AZ573:AZ575" si="6882">AY573</f>
        <v>-2550</v>
      </c>
      <c r="BA573" s="210">
        <f t="shared" ref="BA573:BA575" si="6883">AZ573</f>
        <v>-2550</v>
      </c>
      <c r="BB573" s="210">
        <f t="shared" ref="BB573:BB575" si="6884">BA573</f>
        <v>-2550</v>
      </c>
      <c r="BC573" s="210">
        <f t="shared" ref="BC573:BC575" si="6885">BB573</f>
        <v>-2550</v>
      </c>
      <c r="BD573" s="210">
        <f t="shared" ref="BD573:BD575" si="6886">BC573</f>
        <v>-2550</v>
      </c>
      <c r="BE573" s="210">
        <f t="shared" ref="BE573:BE575" si="6887">BD573</f>
        <v>-2550</v>
      </c>
      <c r="BF573" s="210">
        <f t="shared" ref="BF573:BF575" si="6888">BE573</f>
        <v>-2550</v>
      </c>
      <c r="BG573" s="210">
        <f t="shared" ref="BG573:BK575" si="6889">BF573</f>
        <v>-2550</v>
      </c>
      <c r="BH573" s="210">
        <f t="shared" si="6889"/>
        <v>-2550</v>
      </c>
      <c r="BI573" s="210">
        <f t="shared" si="6889"/>
        <v>-2550</v>
      </c>
      <c r="BJ573" s="210">
        <f t="shared" si="6889"/>
        <v>-2550</v>
      </c>
      <c r="BK573" s="210">
        <f t="shared" si="6889"/>
        <v>-2550</v>
      </c>
      <c r="BL573" s="210">
        <f t="shared" ref="BL573:BL575" si="6890">BK573</f>
        <v>-2550</v>
      </c>
      <c r="BM573" s="210">
        <f t="shared" ref="BM573:BM575" si="6891">BL573</f>
        <v>-2550</v>
      </c>
      <c r="BN573" s="210">
        <f t="shared" ref="BN573:BN575" si="6892">BM573</f>
        <v>-2550</v>
      </c>
      <c r="BO573" s="210">
        <f t="shared" ref="BO573:BO575" si="6893">BN573</f>
        <v>-2550</v>
      </c>
      <c r="BP573" s="210">
        <f t="shared" ref="BP573:BP575" si="6894">BO573</f>
        <v>-2550</v>
      </c>
      <c r="BQ573" s="210">
        <f t="shared" ref="BQ573:BQ575" si="6895">BP573</f>
        <v>-2550</v>
      </c>
      <c r="BR573" s="41"/>
      <c r="BS573" s="40">
        <v>0</v>
      </c>
      <c r="BT573" s="40">
        <v>0</v>
      </c>
      <c r="BU573" s="40">
        <v>0</v>
      </c>
      <c r="BV573" s="40">
        <v>0</v>
      </c>
      <c r="BW573" s="40">
        <v>0</v>
      </c>
      <c r="BX573" s="40">
        <v>0</v>
      </c>
      <c r="BY573" s="40">
        <v>0</v>
      </c>
      <c r="BZ573" s="40">
        <v>0</v>
      </c>
      <c r="CA573" s="40">
        <v>0</v>
      </c>
      <c r="CB573" s="40">
        <v>0</v>
      </c>
      <c r="CC573" s="41">
        <f t="shared" si="6835"/>
        <v>0</v>
      </c>
      <c r="CD573" s="41">
        <f t="shared" si="6836"/>
        <v>0</v>
      </c>
      <c r="CE573" s="41">
        <f t="shared" si="6837"/>
        <v>-465</v>
      </c>
      <c r="CF573" s="41">
        <f t="shared" si="6881"/>
        <v>-524</v>
      </c>
      <c r="CG573" s="41">
        <f t="shared" si="6838"/>
        <v>-569</v>
      </c>
      <c r="CH573" s="41">
        <f t="shared" si="6839"/>
        <v>-602</v>
      </c>
      <c r="CI573" s="41">
        <f t="shared" si="6840"/>
        <v>-642</v>
      </c>
      <c r="CJ573" s="41">
        <f t="shared" si="6841"/>
        <v>-602</v>
      </c>
      <c r="CK573" s="41">
        <f t="shared" si="6842"/>
        <v>-655</v>
      </c>
      <c r="CL573" s="41">
        <f t="shared" si="6843"/>
        <v>-688</v>
      </c>
      <c r="CM573" s="41">
        <f t="shared" si="6844"/>
        <v>-850</v>
      </c>
      <c r="CN573" s="41">
        <f t="shared" si="6845"/>
        <v>-979</v>
      </c>
      <c r="CO573" s="41">
        <f t="shared" si="6846"/>
        <v>-1099</v>
      </c>
      <c r="CP573" s="41">
        <f t="shared" si="6847"/>
        <v>-1320</v>
      </c>
      <c r="CQ573" s="41">
        <f t="shared" si="6848"/>
        <v>-1148</v>
      </c>
      <c r="CR573" s="41">
        <f t="shared" si="6849"/>
        <v>-1149</v>
      </c>
      <c r="CS573" s="41">
        <f t="shared" si="6850"/>
        <v>-1077</v>
      </c>
      <c r="CT573" s="41">
        <f t="shared" si="6851"/>
        <v>-1178</v>
      </c>
      <c r="CU573" s="41">
        <f t="shared" si="6852"/>
        <v>-1316</v>
      </c>
      <c r="CV573" s="41">
        <f t="shared" si="6853"/>
        <v>-1495</v>
      </c>
      <c r="CW573" s="41">
        <f t="shared" si="6854"/>
        <v>-1625</v>
      </c>
      <c r="CX573" s="41">
        <f t="shared" si="6855"/>
        <v>-2099</v>
      </c>
      <c r="CY573" s="41">
        <f t="shared" si="6856"/>
        <v>-2337</v>
      </c>
      <c r="CZ573" s="211">
        <f t="shared" si="6857"/>
        <v>-2550</v>
      </c>
      <c r="DA573" s="41">
        <f t="shared" si="6858"/>
        <v>-2550</v>
      </c>
      <c r="DB573" s="41">
        <f t="shared" si="6859"/>
        <v>-2550</v>
      </c>
      <c r="DC573" s="41">
        <f t="shared" si="6860"/>
        <v>-2550</v>
      </c>
      <c r="DD573" s="41">
        <f t="shared" si="6861"/>
        <v>-2550</v>
      </c>
      <c r="DE573" s="41">
        <f t="shared" si="6862"/>
        <v>-2550</v>
      </c>
      <c r="DF573" s="41">
        <f t="shared" si="6863"/>
        <v>-2550</v>
      </c>
      <c r="DG573" s="41">
        <f t="shared" si="6864"/>
        <v>-2550</v>
      </c>
      <c r="DH573" s="41">
        <f t="shared" si="6865"/>
        <v>-2550</v>
      </c>
      <c r="DI573" s="41">
        <f t="shared" si="6866"/>
        <v>-2550</v>
      </c>
    </row>
    <row r="574" spans="1:113" ht="12" outlineLevel="1">
      <c r="A574" s="1" t="s">
        <v>1037</v>
      </c>
      <c r="B574" s="15" t="s">
        <v>303</v>
      </c>
      <c r="C574" s="40">
        <v>0</v>
      </c>
      <c r="D574" s="40">
        <v>0</v>
      </c>
      <c r="E574" s="40">
        <v>0</v>
      </c>
      <c r="F574" s="40">
        <v>0</v>
      </c>
      <c r="G574" s="40">
        <v>0</v>
      </c>
      <c r="H574" s="40">
        <v>0</v>
      </c>
      <c r="I574" s="40">
        <v>0</v>
      </c>
      <c r="J574" s="40">
        <v>0</v>
      </c>
      <c r="K574" s="40">
        <v>0</v>
      </c>
      <c r="L574" s="40">
        <v>0</v>
      </c>
      <c r="M574" s="40">
        <v>-290</v>
      </c>
      <c r="N574" s="40">
        <v>-85</v>
      </c>
      <c r="O574" s="40">
        <v>-57</v>
      </c>
      <c r="P574" s="40">
        <v>-103</v>
      </c>
      <c r="Q574" s="40">
        <v>-92</v>
      </c>
      <c r="R574" s="40">
        <v>-524</v>
      </c>
      <c r="S574" s="40">
        <v>-325</v>
      </c>
      <c r="T574" s="40">
        <v>-215</v>
      </c>
      <c r="U574" s="40">
        <v>-235</v>
      </c>
      <c r="V574" s="40">
        <v>-154</v>
      </c>
      <c r="W574" s="40">
        <v>-136</v>
      </c>
      <c r="X574" s="40">
        <v>-92</v>
      </c>
      <c r="Y574" s="40">
        <v>-301</v>
      </c>
      <c r="Z574" s="141">
        <v>-990</v>
      </c>
      <c r="AA574" s="141">
        <v>-1102</v>
      </c>
      <c r="AB574" s="141">
        <v>-934</v>
      </c>
      <c r="AC574" s="141">
        <v>-809</v>
      </c>
      <c r="AD574" s="141">
        <v>-610</v>
      </c>
      <c r="AE574" s="141">
        <v>-694</v>
      </c>
      <c r="AF574" s="141">
        <v>-793</v>
      </c>
      <c r="AG574" s="141">
        <v>-899</v>
      </c>
      <c r="AH574" s="141">
        <v>-902</v>
      </c>
      <c r="AI574" s="141">
        <v>-946</v>
      </c>
      <c r="AJ574" s="141">
        <v>-869</v>
      </c>
      <c r="AK574" s="141">
        <v>-1118</v>
      </c>
      <c r="AL574" s="141">
        <v>-1162</v>
      </c>
      <c r="AM574" s="141">
        <v>-1376</v>
      </c>
      <c r="AN574" s="141">
        <v>-1815</v>
      </c>
      <c r="AO574" s="141">
        <v>-2128</v>
      </c>
      <c r="AP574" s="141">
        <v>-2109</v>
      </c>
      <c r="AQ574" s="141">
        <v>-2357</v>
      </c>
      <c r="AR574" s="141">
        <v>-2908</v>
      </c>
      <c r="AS574" s="544">
        <v>-2511</v>
      </c>
      <c r="AT574" s="544">
        <v>-2461</v>
      </c>
      <c r="AU574" s="544">
        <v>-2579</v>
      </c>
      <c r="AV574" s="544">
        <v>-2716</v>
      </c>
      <c r="AW574" s="544">
        <v>-3112</v>
      </c>
      <c r="AX574" s="544">
        <v>-3412</v>
      </c>
      <c r="AY574" s="525">
        <v>-3720</v>
      </c>
      <c r="AZ574" s="210">
        <f t="shared" si="6882"/>
        <v>-3720</v>
      </c>
      <c r="BA574" s="210">
        <f t="shared" si="6883"/>
        <v>-3720</v>
      </c>
      <c r="BB574" s="210">
        <f t="shared" si="6884"/>
        <v>-3720</v>
      </c>
      <c r="BC574" s="210">
        <f t="shared" si="6885"/>
        <v>-3720</v>
      </c>
      <c r="BD574" s="210">
        <f t="shared" si="6886"/>
        <v>-3720</v>
      </c>
      <c r="BE574" s="210">
        <f t="shared" si="6887"/>
        <v>-3720</v>
      </c>
      <c r="BF574" s="210">
        <f t="shared" si="6888"/>
        <v>-3720</v>
      </c>
      <c r="BG574" s="210">
        <f t="shared" si="6889"/>
        <v>-3720</v>
      </c>
      <c r="BH574" s="210">
        <f t="shared" si="6889"/>
        <v>-3720</v>
      </c>
      <c r="BI574" s="210">
        <f t="shared" si="6889"/>
        <v>-3720</v>
      </c>
      <c r="BJ574" s="210">
        <f t="shared" si="6889"/>
        <v>-3720</v>
      </c>
      <c r="BK574" s="210">
        <f t="shared" si="6889"/>
        <v>-3720</v>
      </c>
      <c r="BL574" s="210">
        <f t="shared" si="6890"/>
        <v>-3720</v>
      </c>
      <c r="BM574" s="210">
        <f t="shared" si="6891"/>
        <v>-3720</v>
      </c>
      <c r="BN574" s="210">
        <f t="shared" si="6892"/>
        <v>-3720</v>
      </c>
      <c r="BO574" s="210">
        <f t="shared" si="6893"/>
        <v>-3720</v>
      </c>
      <c r="BP574" s="210">
        <f t="shared" si="6894"/>
        <v>-3720</v>
      </c>
      <c r="BQ574" s="210">
        <f t="shared" si="6895"/>
        <v>-3720</v>
      </c>
      <c r="BR574" s="41"/>
      <c r="BS574" s="40">
        <v>-712.6</v>
      </c>
      <c r="BT574" s="40">
        <v>-587.1</v>
      </c>
      <c r="BU574" s="40">
        <v>-336</v>
      </c>
      <c r="BV574" s="40">
        <v>-236</v>
      </c>
      <c r="BW574" s="40">
        <v>-46</v>
      </c>
      <c r="BX574" s="40">
        <v>0</v>
      </c>
      <c r="BY574" s="40">
        <v>-46</v>
      </c>
      <c r="BZ574" s="40">
        <v>0</v>
      </c>
      <c r="CA574" s="40">
        <v>0</v>
      </c>
      <c r="CB574" s="40">
        <v>0</v>
      </c>
      <c r="CC574" s="41">
        <f t="shared" si="6835"/>
        <v>0</v>
      </c>
      <c r="CD574" s="41">
        <f t="shared" si="6836"/>
        <v>0</v>
      </c>
      <c r="CE574" s="41">
        <f t="shared" si="6837"/>
        <v>0</v>
      </c>
      <c r="CF574" s="41">
        <f t="shared" si="6881"/>
        <v>0</v>
      </c>
      <c r="CG574" s="41">
        <f t="shared" si="6838"/>
        <v>-290</v>
      </c>
      <c r="CH574" s="41">
        <f t="shared" si="6839"/>
        <v>-57</v>
      </c>
      <c r="CI574" s="41">
        <f t="shared" si="6840"/>
        <v>-92</v>
      </c>
      <c r="CJ574" s="41">
        <f t="shared" si="6841"/>
        <v>-325</v>
      </c>
      <c r="CK574" s="41">
        <f t="shared" si="6842"/>
        <v>-235</v>
      </c>
      <c r="CL574" s="41">
        <f t="shared" si="6843"/>
        <v>-136</v>
      </c>
      <c r="CM574" s="41">
        <f t="shared" si="6844"/>
        <v>-301</v>
      </c>
      <c r="CN574" s="41">
        <f t="shared" si="6845"/>
        <v>-1102</v>
      </c>
      <c r="CO574" s="41">
        <f t="shared" si="6846"/>
        <v>-809</v>
      </c>
      <c r="CP574" s="41">
        <f t="shared" si="6847"/>
        <v>-694</v>
      </c>
      <c r="CQ574" s="41">
        <f t="shared" si="6848"/>
        <v>-899</v>
      </c>
      <c r="CR574" s="41">
        <f t="shared" si="6849"/>
        <v>-946</v>
      </c>
      <c r="CS574" s="41">
        <f t="shared" si="6850"/>
        <v>-1118</v>
      </c>
      <c r="CT574" s="41">
        <f t="shared" si="6851"/>
        <v>-1376</v>
      </c>
      <c r="CU574" s="41">
        <f t="shared" si="6852"/>
        <v>-2128</v>
      </c>
      <c r="CV574" s="41">
        <f t="shared" si="6853"/>
        <v>-2357</v>
      </c>
      <c r="CW574" s="41">
        <f t="shared" si="6854"/>
        <v>-2511</v>
      </c>
      <c r="CX574" s="41">
        <f t="shared" si="6855"/>
        <v>-2579</v>
      </c>
      <c r="CY574" s="41">
        <f t="shared" si="6856"/>
        <v>-3112</v>
      </c>
      <c r="CZ574" s="211">
        <f t="shared" si="6857"/>
        <v>-3720</v>
      </c>
      <c r="DA574" s="41">
        <f t="shared" si="6858"/>
        <v>-3720</v>
      </c>
      <c r="DB574" s="41">
        <f t="shared" si="6859"/>
        <v>-3720</v>
      </c>
      <c r="DC574" s="41">
        <f t="shared" si="6860"/>
        <v>-3720</v>
      </c>
      <c r="DD574" s="41">
        <f t="shared" si="6861"/>
        <v>-3720</v>
      </c>
      <c r="DE574" s="41">
        <f t="shared" si="6862"/>
        <v>-3720</v>
      </c>
      <c r="DF574" s="41">
        <f t="shared" si="6863"/>
        <v>-3720</v>
      </c>
      <c r="DG574" s="41">
        <f t="shared" si="6864"/>
        <v>-3720</v>
      </c>
      <c r="DH574" s="41">
        <f t="shared" si="6865"/>
        <v>-3720</v>
      </c>
      <c r="DI574" s="41">
        <f t="shared" si="6866"/>
        <v>-3720</v>
      </c>
    </row>
    <row r="575" spans="1:113" ht="12" outlineLevel="1">
      <c r="A575" s="1" t="s">
        <v>1038</v>
      </c>
      <c r="B575" s="15" t="s">
        <v>2390</v>
      </c>
      <c r="C575" s="40">
        <v>-18</v>
      </c>
      <c r="D575" s="40">
        <v>-18</v>
      </c>
      <c r="E575" s="40">
        <v>-27</v>
      </c>
      <c r="F575" s="40">
        <v>-27</v>
      </c>
      <c r="G575" s="40">
        <v>-27</v>
      </c>
      <c r="H575" s="40">
        <v>-27</v>
      </c>
      <c r="I575" s="40">
        <v>-27</v>
      </c>
      <c r="J575" s="40">
        <v>-27</v>
      </c>
      <c r="K575" s="40">
        <v>-27</v>
      </c>
      <c r="L575" s="40">
        <v>-27</v>
      </c>
      <c r="M575" s="40">
        <v>-31</v>
      </c>
      <c r="N575" s="40">
        <v>-31</v>
      </c>
      <c r="O575" s="40">
        <v>-101</v>
      </c>
      <c r="P575" s="40">
        <v>-53</v>
      </c>
      <c r="Q575" s="40">
        <v>-65</v>
      </c>
      <c r="R575" s="40">
        <v>-141</v>
      </c>
      <c r="S575" s="40">
        <v>-161</v>
      </c>
      <c r="T575" s="40">
        <v>-189</v>
      </c>
      <c r="U575" s="40">
        <v>-198</v>
      </c>
      <c r="V575" s="40">
        <v>-200</v>
      </c>
      <c r="W575" s="40">
        <v>-200</v>
      </c>
      <c r="X575" s="40">
        <v>-300</v>
      </c>
      <c r="Y575" s="40">
        <v>-300</v>
      </c>
      <c r="Z575" s="141">
        <v>-684</v>
      </c>
      <c r="AA575" s="141">
        <v>-453</v>
      </c>
      <c r="AB575" s="141">
        <v>-428</v>
      </c>
      <c r="AC575" s="141">
        <v>-402</v>
      </c>
      <c r="AD575" s="141">
        <v>-401</v>
      </c>
      <c r="AE575" s="141">
        <v>-297</v>
      </c>
      <c r="AF575" s="141">
        <v>-297</v>
      </c>
      <c r="AG575" s="141">
        <v>-297</v>
      </c>
      <c r="AH575" s="141">
        <v>-274</v>
      </c>
      <c r="AI575" s="141">
        <v>-274</v>
      </c>
      <c r="AJ575" s="141">
        <v>-274</v>
      </c>
      <c r="AK575" s="141">
        <v>-270</v>
      </c>
      <c r="AL575" s="141">
        <v>-270</v>
      </c>
      <c r="AM575" s="141">
        <v>-336</v>
      </c>
      <c r="AN575" s="141">
        <v>-336</v>
      </c>
      <c r="AO575" s="141">
        <v>-336</v>
      </c>
      <c r="AP575" s="141">
        <v>-336</v>
      </c>
      <c r="AQ575" s="141">
        <v>-356</v>
      </c>
      <c r="AR575" s="141">
        <v>-347</v>
      </c>
      <c r="AS575" s="141">
        <v>-348</v>
      </c>
      <c r="AT575" s="141">
        <v>-284</v>
      </c>
      <c r="AU575" s="141">
        <v>-225</v>
      </c>
      <c r="AV575" s="141">
        <v>-225</v>
      </c>
      <c r="AW575" s="141">
        <v>-225</v>
      </c>
      <c r="AX575" s="141">
        <v>-225</v>
      </c>
      <c r="AY575" s="226">
        <v>-225</v>
      </c>
      <c r="AZ575" s="210">
        <f t="shared" si="6882"/>
        <v>-225</v>
      </c>
      <c r="BA575" s="210">
        <f t="shared" si="6883"/>
        <v>-225</v>
      </c>
      <c r="BB575" s="210">
        <f t="shared" si="6884"/>
        <v>-225</v>
      </c>
      <c r="BC575" s="210">
        <f t="shared" si="6885"/>
        <v>-225</v>
      </c>
      <c r="BD575" s="210">
        <f t="shared" si="6886"/>
        <v>-225</v>
      </c>
      <c r="BE575" s="210">
        <f t="shared" si="6887"/>
        <v>-225</v>
      </c>
      <c r="BF575" s="210">
        <f t="shared" si="6888"/>
        <v>-225</v>
      </c>
      <c r="BG575" s="210">
        <f t="shared" si="6889"/>
        <v>-225</v>
      </c>
      <c r="BH575" s="210">
        <f t="shared" si="6889"/>
        <v>-225</v>
      </c>
      <c r="BI575" s="210">
        <f t="shared" si="6889"/>
        <v>-225</v>
      </c>
      <c r="BJ575" s="210">
        <f t="shared" si="6889"/>
        <v>-225</v>
      </c>
      <c r="BK575" s="210">
        <f t="shared" si="6889"/>
        <v>-225</v>
      </c>
      <c r="BL575" s="210">
        <f t="shared" si="6890"/>
        <v>-225</v>
      </c>
      <c r="BM575" s="210">
        <f t="shared" si="6891"/>
        <v>-225</v>
      </c>
      <c r="BN575" s="210">
        <f t="shared" si="6892"/>
        <v>-225</v>
      </c>
      <c r="BO575" s="210">
        <f t="shared" si="6893"/>
        <v>-225</v>
      </c>
      <c r="BP575" s="210">
        <f t="shared" si="6894"/>
        <v>-225</v>
      </c>
      <c r="BQ575" s="210">
        <f t="shared" si="6895"/>
        <v>-225</v>
      </c>
      <c r="BR575" s="41"/>
      <c r="BS575" s="40">
        <v>0</v>
      </c>
      <c r="BT575" s="40">
        <v>0</v>
      </c>
      <c r="BU575" s="40">
        <v>0</v>
      </c>
      <c r="BV575" s="40">
        <v>0</v>
      </c>
      <c r="BW575" s="40">
        <v>0</v>
      </c>
      <c r="BX575" s="40">
        <v>0</v>
      </c>
      <c r="BY575" s="40">
        <v>-18</v>
      </c>
      <c r="BZ575" s="40">
        <v>-18</v>
      </c>
      <c r="CA575" s="40">
        <v>-18</v>
      </c>
      <c r="CB575" s="40">
        <v>-18</v>
      </c>
      <c r="CC575" s="41">
        <f t="shared" si="6835"/>
        <v>-27</v>
      </c>
      <c r="CD575" s="41">
        <f t="shared" si="6836"/>
        <v>-27</v>
      </c>
      <c r="CE575" s="41">
        <f t="shared" si="6837"/>
        <v>-27</v>
      </c>
      <c r="CF575" s="41">
        <f t="shared" si="6881"/>
        <v>-27</v>
      </c>
      <c r="CG575" s="41">
        <f t="shared" si="6838"/>
        <v>-31</v>
      </c>
      <c r="CH575" s="41">
        <f t="shared" si="6839"/>
        <v>-101</v>
      </c>
      <c r="CI575" s="41">
        <f t="shared" si="6840"/>
        <v>-65</v>
      </c>
      <c r="CJ575" s="41">
        <f t="shared" si="6841"/>
        <v>-161</v>
      </c>
      <c r="CK575" s="41">
        <f t="shared" si="6842"/>
        <v>-198</v>
      </c>
      <c r="CL575" s="41">
        <f t="shared" si="6843"/>
        <v>-200</v>
      </c>
      <c r="CM575" s="41">
        <f t="shared" si="6844"/>
        <v>-300</v>
      </c>
      <c r="CN575" s="41">
        <f t="shared" si="6845"/>
        <v>-453</v>
      </c>
      <c r="CO575" s="41">
        <f t="shared" si="6846"/>
        <v>-402</v>
      </c>
      <c r="CP575" s="41">
        <f t="shared" si="6847"/>
        <v>-297</v>
      </c>
      <c r="CQ575" s="41">
        <f t="shared" si="6848"/>
        <v>-297</v>
      </c>
      <c r="CR575" s="41">
        <f t="shared" si="6849"/>
        <v>-274</v>
      </c>
      <c r="CS575" s="41">
        <f t="shared" si="6850"/>
        <v>-270</v>
      </c>
      <c r="CT575" s="41">
        <f t="shared" si="6851"/>
        <v>-336</v>
      </c>
      <c r="CU575" s="41">
        <f t="shared" si="6852"/>
        <v>-336</v>
      </c>
      <c r="CV575" s="41">
        <f t="shared" si="6853"/>
        <v>-356</v>
      </c>
      <c r="CW575" s="41">
        <f t="shared" si="6854"/>
        <v>-348</v>
      </c>
      <c r="CX575" s="41">
        <f t="shared" si="6855"/>
        <v>-225</v>
      </c>
      <c r="CY575" s="41">
        <f t="shared" si="6856"/>
        <v>-225</v>
      </c>
      <c r="CZ575" s="211">
        <f t="shared" si="6857"/>
        <v>-225</v>
      </c>
      <c r="DA575" s="41">
        <f t="shared" si="6858"/>
        <v>-225</v>
      </c>
      <c r="DB575" s="41">
        <f t="shared" si="6859"/>
        <v>-225</v>
      </c>
      <c r="DC575" s="41">
        <f t="shared" si="6860"/>
        <v>-225</v>
      </c>
      <c r="DD575" s="41">
        <f t="shared" si="6861"/>
        <v>-225</v>
      </c>
      <c r="DE575" s="41">
        <f t="shared" si="6862"/>
        <v>-225</v>
      </c>
      <c r="DF575" s="41">
        <f t="shared" si="6863"/>
        <v>-225</v>
      </c>
      <c r="DG575" s="41">
        <f t="shared" si="6864"/>
        <v>-225</v>
      </c>
      <c r="DH575" s="41">
        <f t="shared" si="6865"/>
        <v>-225</v>
      </c>
      <c r="DI575" s="41">
        <f t="shared" si="6866"/>
        <v>-225</v>
      </c>
    </row>
    <row r="576" spans="1:113" ht="12" outlineLevel="1">
      <c r="A576" s="1" t="s">
        <v>1039</v>
      </c>
      <c r="B576" s="15" t="s">
        <v>2391</v>
      </c>
      <c r="C576" s="40"/>
      <c r="D576" s="40"/>
      <c r="E576" s="40"/>
      <c r="F576" s="40"/>
      <c r="G576" s="40"/>
      <c r="H576" s="40"/>
      <c r="I576" s="40"/>
      <c r="J576" s="40"/>
      <c r="K576" s="40"/>
      <c r="L576" s="40"/>
      <c r="M576" s="40"/>
      <c r="N576" s="40"/>
      <c r="O576" s="40"/>
      <c r="P576" s="40">
        <f>-34-263-27</f>
        <v>-324</v>
      </c>
      <c r="Q576" s="40">
        <f>-34-262-36</f>
        <v>-332</v>
      </c>
      <c r="R576" s="40">
        <f>-33-728-36</f>
        <v>-797</v>
      </c>
      <c r="S576" s="40">
        <f>-33-737-36</f>
        <v>-806</v>
      </c>
      <c r="T576" s="40">
        <f>-33-634-36</f>
        <v>-703</v>
      </c>
      <c r="U576" s="40">
        <f>-36-845-21</f>
        <v>-902</v>
      </c>
      <c r="V576" s="40">
        <f>-29-901</f>
        <v>-930</v>
      </c>
      <c r="W576" s="40">
        <f>-29-906</f>
        <v>-935</v>
      </c>
      <c r="X576" s="40">
        <f>-27-922</f>
        <v>-949</v>
      </c>
      <c r="Y576" s="40">
        <f>-27-721</f>
        <v>-748</v>
      </c>
      <c r="Z576" s="141">
        <v>-1042</v>
      </c>
      <c r="AA576" s="141">
        <v>-1059</v>
      </c>
      <c r="AB576" s="141">
        <v>-984</v>
      </c>
      <c r="AC576" s="141">
        <v>-979</v>
      </c>
      <c r="AD576" s="141">
        <v>-990</v>
      </c>
      <c r="AE576" s="141">
        <v>-1349</v>
      </c>
      <c r="AF576" s="141">
        <v>-1749</v>
      </c>
      <c r="AG576" s="141">
        <v>-1752</v>
      </c>
      <c r="AH576" s="141">
        <v>-1749</v>
      </c>
      <c r="AI576" s="141">
        <v>-1750</v>
      </c>
      <c r="AJ576" s="141">
        <v>-1751</v>
      </c>
      <c r="AK576" s="141">
        <v>-750</v>
      </c>
      <c r="AL576" s="141">
        <v>-735</v>
      </c>
      <c r="AM576" s="141">
        <v>-103</v>
      </c>
      <c r="AN576" s="141">
        <v>-48</v>
      </c>
      <c r="AO576" s="141">
        <v>-45</v>
      </c>
      <c r="AP576" s="141">
        <v>-45</v>
      </c>
      <c r="AQ576" s="141">
        <v>-47</v>
      </c>
      <c r="AR576" s="141">
        <v>-45</v>
      </c>
      <c r="AS576" s="141">
        <v>-43</v>
      </c>
      <c r="AT576" s="141">
        <v>-45</v>
      </c>
      <c r="AU576" s="141">
        <v>-46</v>
      </c>
      <c r="AV576" s="141">
        <v>-45</v>
      </c>
      <c r="AW576" s="141">
        <v>-52</v>
      </c>
      <c r="AX576" s="141">
        <v>-52</v>
      </c>
      <c r="AY576" s="226">
        <v>-51</v>
      </c>
      <c r="AZ576" s="210">
        <f t="shared" ref="AZ576" si="6896">AY576*(1+0.1%)</f>
        <v>-51.050999999999995</v>
      </c>
      <c r="BA576" s="210">
        <f t="shared" ref="BA576" si="6897">AZ576*(1+0.1%)</f>
        <v>-51.102050999999989</v>
      </c>
      <c r="BB576" s="210">
        <f t="shared" ref="BB576" si="6898">BA576*(1+0.1%)</f>
        <v>-51.153153050999983</v>
      </c>
      <c r="BC576" s="210">
        <f t="shared" ref="BC576" si="6899">BB576*(1+0.1%)</f>
        <v>-51.20430620405098</v>
      </c>
      <c r="BD576" s="210">
        <f t="shared" ref="BD576" si="6900">BC576*(1+0.1%)</f>
        <v>-51.255510510255021</v>
      </c>
      <c r="BE576" s="210">
        <f t="shared" ref="BE576" si="6901">BD576*(1+0.1%)</f>
        <v>-51.306766020765274</v>
      </c>
      <c r="BF576" s="210">
        <f t="shared" ref="BF576" si="6902">BE576*(1+0.1%)</f>
        <v>-51.358072786786032</v>
      </c>
      <c r="BG576" s="210">
        <f t="shared" ref="BG576:BK576" si="6903">BF576*(1+0.1%)</f>
        <v>-51.409430859572815</v>
      </c>
      <c r="BH576" s="210">
        <f t="shared" si="6903"/>
        <v>-51.46084029043238</v>
      </c>
      <c r="BI576" s="210">
        <f t="shared" si="6903"/>
        <v>-51.512301130722804</v>
      </c>
      <c r="BJ576" s="210">
        <f t="shared" si="6903"/>
        <v>-51.563813431853518</v>
      </c>
      <c r="BK576" s="210">
        <f t="shared" si="6903"/>
        <v>-51.615377245285366</v>
      </c>
      <c r="BL576" s="210">
        <f t="shared" ref="BL576" si="6904">BK576*(1+0.1%)</f>
        <v>-51.666992622530643</v>
      </c>
      <c r="BM576" s="210">
        <f t="shared" ref="BM576" si="6905">BL576*(1+0.1%)</f>
        <v>-51.718659615153165</v>
      </c>
      <c r="BN576" s="210">
        <f t="shared" ref="BN576" si="6906">BM576*(1+0.1%)</f>
        <v>-51.770378274768312</v>
      </c>
      <c r="BO576" s="210">
        <f t="shared" ref="BO576" si="6907">BN576*(1+0.1%)</f>
        <v>-51.822148653043072</v>
      </c>
      <c r="BP576" s="210">
        <f t="shared" ref="BP576" si="6908">BO576*(1+0.1%)</f>
        <v>-51.87397080169611</v>
      </c>
      <c r="BQ576" s="210">
        <f t="shared" ref="BQ576" si="6909">BP576*(1+0.1%)</f>
        <v>-51.925844772497804</v>
      </c>
      <c r="BR576" s="41"/>
      <c r="BS576" s="40">
        <v>0</v>
      </c>
      <c r="BT576" s="40">
        <v>0</v>
      </c>
      <c r="BU576" s="40">
        <v>0</v>
      </c>
      <c r="BV576" s="40">
        <v>0</v>
      </c>
      <c r="BW576" s="40">
        <v>0</v>
      </c>
      <c r="BX576" s="40">
        <v>0</v>
      </c>
      <c r="BY576" s="40">
        <v>0</v>
      </c>
      <c r="BZ576" s="40">
        <v>0</v>
      </c>
      <c r="CA576" s="40">
        <v>0</v>
      </c>
      <c r="CB576" s="40">
        <v>0</v>
      </c>
      <c r="CC576" s="41">
        <f t="shared" si="6835"/>
        <v>0</v>
      </c>
      <c r="CD576" s="41">
        <f t="shared" si="6836"/>
        <v>0</v>
      </c>
      <c r="CE576" s="41">
        <f t="shared" si="6837"/>
        <v>0</v>
      </c>
      <c r="CF576" s="41">
        <f t="shared" si="6881"/>
        <v>0</v>
      </c>
      <c r="CG576" s="41">
        <f t="shared" si="6838"/>
        <v>0</v>
      </c>
      <c r="CH576" s="41">
        <f t="shared" si="6839"/>
        <v>0</v>
      </c>
      <c r="CI576" s="41">
        <f t="shared" si="6840"/>
        <v>-332</v>
      </c>
      <c r="CJ576" s="41">
        <f t="shared" si="6841"/>
        <v>-806</v>
      </c>
      <c r="CK576" s="41">
        <f t="shared" si="6842"/>
        <v>-902</v>
      </c>
      <c r="CL576" s="41">
        <f t="shared" si="6843"/>
        <v>-935</v>
      </c>
      <c r="CM576" s="41">
        <f t="shared" si="6844"/>
        <v>-748</v>
      </c>
      <c r="CN576" s="41">
        <f t="shared" si="6845"/>
        <v>-1059</v>
      </c>
      <c r="CO576" s="41">
        <f t="shared" si="6846"/>
        <v>-979</v>
      </c>
      <c r="CP576" s="41">
        <f t="shared" si="6847"/>
        <v>-1349</v>
      </c>
      <c r="CQ576" s="41">
        <f t="shared" si="6848"/>
        <v>-1752</v>
      </c>
      <c r="CR576" s="41">
        <f t="shared" si="6849"/>
        <v>-1750</v>
      </c>
      <c r="CS576" s="41">
        <f t="shared" si="6850"/>
        <v>-750</v>
      </c>
      <c r="CT576" s="41">
        <f t="shared" si="6851"/>
        <v>-103</v>
      </c>
      <c r="CU576" s="41">
        <f t="shared" si="6852"/>
        <v>-45</v>
      </c>
      <c r="CV576" s="41">
        <f t="shared" si="6853"/>
        <v>-47</v>
      </c>
      <c r="CW576" s="41">
        <f t="shared" si="6854"/>
        <v>-43</v>
      </c>
      <c r="CX576" s="41">
        <f t="shared" si="6855"/>
        <v>-46</v>
      </c>
      <c r="CY576" s="41">
        <f t="shared" si="6856"/>
        <v>-52</v>
      </c>
      <c r="CZ576" s="211">
        <f t="shared" si="6857"/>
        <v>-51</v>
      </c>
      <c r="DA576" s="41">
        <f t="shared" si="6858"/>
        <v>-51.102050999999989</v>
      </c>
      <c r="DB576" s="41">
        <f t="shared" si="6859"/>
        <v>-51.20430620405098</v>
      </c>
      <c r="DC576" s="41">
        <f t="shared" si="6860"/>
        <v>-51.306766020765274</v>
      </c>
      <c r="DD576" s="41">
        <f t="shared" si="6861"/>
        <v>-51.409430859572815</v>
      </c>
      <c r="DE576" s="41">
        <f t="shared" si="6862"/>
        <v>-51.512301130722804</v>
      </c>
      <c r="DF576" s="41">
        <f t="shared" si="6863"/>
        <v>-51.615377245285366</v>
      </c>
      <c r="DG576" s="41">
        <f t="shared" si="6864"/>
        <v>-51.718659615153165</v>
      </c>
      <c r="DH576" s="41">
        <f t="shared" si="6865"/>
        <v>-51.822148653043072</v>
      </c>
      <c r="DI576" s="41">
        <f t="shared" si="6866"/>
        <v>-51.925844772497804</v>
      </c>
    </row>
    <row r="577" spans="1:113" ht="12" outlineLevel="1">
      <c r="A577" s="1" t="s">
        <v>1040</v>
      </c>
      <c r="B577" s="15" t="s">
        <v>2392</v>
      </c>
      <c r="C577" s="40"/>
      <c r="D577" s="40"/>
      <c r="E577" s="40"/>
      <c r="F577" s="40"/>
      <c r="G577" s="40"/>
      <c r="H577" s="40"/>
      <c r="I577" s="40"/>
      <c r="J577" s="40"/>
      <c r="K577" s="40"/>
      <c r="L577" s="40"/>
      <c r="M577" s="40"/>
      <c r="N577" s="40"/>
      <c r="O577" s="40"/>
      <c r="P577" s="40">
        <v>-568</v>
      </c>
      <c r="Q577" s="40">
        <f>-610</f>
        <v>-610</v>
      </c>
      <c r="R577" s="40">
        <v>-925</v>
      </c>
      <c r="S577" s="40">
        <v>-976</v>
      </c>
      <c r="T577" s="40">
        <v>-981</v>
      </c>
      <c r="U577" s="40">
        <v>-988</v>
      </c>
      <c r="V577" s="40">
        <v>-1162</v>
      </c>
      <c r="W577" s="40">
        <v>-1151</v>
      </c>
      <c r="X577" s="40">
        <v>-1118</v>
      </c>
      <c r="Y577" s="40">
        <v>-1070</v>
      </c>
      <c r="Z577" s="141">
        <v>-2956</v>
      </c>
      <c r="AA577" s="141">
        <v>-3361</v>
      </c>
      <c r="AB577" s="141">
        <v>-3565</v>
      </c>
      <c r="AC577" s="141">
        <v>-3811</v>
      </c>
      <c r="AD577" s="141">
        <v>-4499</v>
      </c>
      <c r="AE577" s="141">
        <v>-4734</v>
      </c>
      <c r="AF577" s="141">
        <v>-4708</v>
      </c>
      <c r="AG577" s="141">
        <v>-4674</v>
      </c>
      <c r="AH577" s="141">
        <v>-3826</v>
      </c>
      <c r="AI577" s="141">
        <v>-3919</v>
      </c>
      <c r="AJ577" s="141">
        <v>-2272</v>
      </c>
      <c r="AK577" s="141">
        <v>-2333</v>
      </c>
      <c r="AL577" s="141">
        <v>-2501</v>
      </c>
      <c r="AM577" s="141">
        <v>-2707</v>
      </c>
      <c r="AN577" s="141">
        <v>-2313</v>
      </c>
      <c r="AO577" s="141">
        <v>-2164</v>
      </c>
      <c r="AP577" s="141">
        <v>-1854</v>
      </c>
      <c r="AQ577" s="141">
        <v>-1972</v>
      </c>
      <c r="AR577" s="141">
        <v>-2018</v>
      </c>
      <c r="AS577" s="141">
        <v>-2181</v>
      </c>
      <c r="AT577" s="141">
        <v>-2214</v>
      </c>
      <c r="AU577" s="141">
        <v>-2321</v>
      </c>
      <c r="AV577" s="141">
        <v>-1405</v>
      </c>
      <c r="AW577" s="141">
        <v>-1415</v>
      </c>
      <c r="AX577" s="141">
        <v>-1479</v>
      </c>
      <c r="AY577" s="226">
        <v>-1140</v>
      </c>
      <c r="AZ577" s="210">
        <f t="shared" ref="AZ577" si="6910">AY577</f>
        <v>-1140</v>
      </c>
      <c r="BA577" s="210">
        <f t="shared" ref="BA577" si="6911">AZ577</f>
        <v>-1140</v>
      </c>
      <c r="BB577" s="210">
        <f t="shared" ref="BB577" si="6912">BA577</f>
        <v>-1140</v>
      </c>
      <c r="BC577" s="210">
        <f t="shared" ref="BC577" si="6913">BB577</f>
        <v>-1140</v>
      </c>
      <c r="BD577" s="210">
        <f t="shared" ref="BD577" si="6914">BC577</f>
        <v>-1140</v>
      </c>
      <c r="BE577" s="210">
        <f t="shared" ref="BE577" si="6915">BD577</f>
        <v>-1140</v>
      </c>
      <c r="BF577" s="210">
        <f t="shared" ref="BF577" si="6916">BE577</f>
        <v>-1140</v>
      </c>
      <c r="BG577" s="210">
        <f t="shared" ref="BG577:BK577" si="6917">BF577</f>
        <v>-1140</v>
      </c>
      <c r="BH577" s="210">
        <f t="shared" si="6917"/>
        <v>-1140</v>
      </c>
      <c r="BI577" s="210">
        <f t="shared" si="6917"/>
        <v>-1140</v>
      </c>
      <c r="BJ577" s="210">
        <f t="shared" si="6917"/>
        <v>-1140</v>
      </c>
      <c r="BK577" s="210">
        <f t="shared" si="6917"/>
        <v>-1140</v>
      </c>
      <c r="BL577" s="210">
        <f t="shared" ref="BL577" si="6918">BK577</f>
        <v>-1140</v>
      </c>
      <c r="BM577" s="210">
        <f t="shared" ref="BM577" si="6919">BL577</f>
        <v>-1140</v>
      </c>
      <c r="BN577" s="210">
        <f t="shared" ref="BN577" si="6920">BM577</f>
        <v>-1140</v>
      </c>
      <c r="BO577" s="210">
        <f t="shared" ref="BO577" si="6921">BN577</f>
        <v>-1140</v>
      </c>
      <c r="BP577" s="210">
        <f t="shared" ref="BP577" si="6922">BO577</f>
        <v>-1140</v>
      </c>
      <c r="BQ577" s="210">
        <f t="shared" ref="BQ577" si="6923">BP577</f>
        <v>-1140</v>
      </c>
      <c r="BR577" s="41"/>
      <c r="BS577" s="40">
        <v>0</v>
      </c>
      <c r="BT577" s="40">
        <v>0</v>
      </c>
      <c r="BU577" s="40">
        <v>0</v>
      </c>
      <c r="BV577" s="40">
        <v>0</v>
      </c>
      <c r="BW577" s="40">
        <v>0</v>
      </c>
      <c r="BX577" s="40">
        <v>0</v>
      </c>
      <c r="BY577" s="40">
        <v>0</v>
      </c>
      <c r="BZ577" s="40">
        <v>0</v>
      </c>
      <c r="CA577" s="40">
        <v>0</v>
      </c>
      <c r="CB577" s="40">
        <v>0</v>
      </c>
      <c r="CC577" s="41">
        <f t="shared" si="6835"/>
        <v>0</v>
      </c>
      <c r="CD577" s="41">
        <f t="shared" si="6836"/>
        <v>0</v>
      </c>
      <c r="CE577" s="41">
        <f t="shared" si="6837"/>
        <v>0</v>
      </c>
      <c r="CF577" s="41">
        <f t="shared" si="6881"/>
        <v>0</v>
      </c>
      <c r="CG577" s="41">
        <f t="shared" si="6838"/>
        <v>0</v>
      </c>
      <c r="CH577" s="41">
        <f t="shared" si="6839"/>
        <v>0</v>
      </c>
      <c r="CI577" s="41">
        <f t="shared" si="6840"/>
        <v>-610</v>
      </c>
      <c r="CJ577" s="41">
        <f t="shared" si="6841"/>
        <v>-976</v>
      </c>
      <c r="CK577" s="41">
        <f t="shared" si="6842"/>
        <v>-988</v>
      </c>
      <c r="CL577" s="41">
        <f t="shared" si="6843"/>
        <v>-1151</v>
      </c>
      <c r="CM577" s="41">
        <f t="shared" si="6844"/>
        <v>-1070</v>
      </c>
      <c r="CN577" s="41">
        <f t="shared" si="6845"/>
        <v>-3361</v>
      </c>
      <c r="CO577" s="41">
        <f t="shared" si="6846"/>
        <v>-3811</v>
      </c>
      <c r="CP577" s="41">
        <f t="shared" si="6847"/>
        <v>-4734</v>
      </c>
      <c r="CQ577" s="41">
        <f t="shared" si="6848"/>
        <v>-4674</v>
      </c>
      <c r="CR577" s="41">
        <f t="shared" si="6849"/>
        <v>-3919</v>
      </c>
      <c r="CS577" s="41">
        <f t="shared" si="6850"/>
        <v>-2333</v>
      </c>
      <c r="CT577" s="41">
        <f t="shared" si="6851"/>
        <v>-2707</v>
      </c>
      <c r="CU577" s="41">
        <f t="shared" si="6852"/>
        <v>-2164</v>
      </c>
      <c r="CV577" s="41">
        <f t="shared" si="6853"/>
        <v>-1972</v>
      </c>
      <c r="CW577" s="41">
        <f t="shared" si="6854"/>
        <v>-2181</v>
      </c>
      <c r="CX577" s="41">
        <f t="shared" si="6855"/>
        <v>-2321</v>
      </c>
      <c r="CY577" s="41">
        <f t="shared" si="6856"/>
        <v>-1415</v>
      </c>
      <c r="CZ577" s="211">
        <f t="shared" si="6857"/>
        <v>-1140</v>
      </c>
      <c r="DA577" s="41">
        <f t="shared" si="6858"/>
        <v>-1140</v>
      </c>
      <c r="DB577" s="41">
        <f t="shared" si="6859"/>
        <v>-1140</v>
      </c>
      <c r="DC577" s="41">
        <f t="shared" si="6860"/>
        <v>-1140</v>
      </c>
      <c r="DD577" s="41">
        <f t="shared" si="6861"/>
        <v>-1140</v>
      </c>
      <c r="DE577" s="41">
        <f t="shared" si="6862"/>
        <v>-1140</v>
      </c>
      <c r="DF577" s="41">
        <f t="shared" si="6863"/>
        <v>-1140</v>
      </c>
      <c r="DG577" s="41">
        <f t="shared" si="6864"/>
        <v>-1140</v>
      </c>
      <c r="DH577" s="41">
        <f t="shared" si="6865"/>
        <v>-1140</v>
      </c>
      <c r="DI577" s="41">
        <f t="shared" si="6866"/>
        <v>-1140</v>
      </c>
    </row>
    <row r="578" spans="1:113" ht="12" outlineLevel="1">
      <c r="A578" s="1" t="s">
        <v>1041</v>
      </c>
      <c r="B578" s="15" t="s">
        <v>476</v>
      </c>
      <c r="C578" s="40"/>
      <c r="D578" s="40"/>
      <c r="E578" s="40"/>
      <c r="F578" s="40"/>
      <c r="G578" s="40"/>
      <c r="H578" s="40"/>
      <c r="I578" s="40"/>
      <c r="J578" s="40"/>
      <c r="K578" s="40"/>
      <c r="L578" s="40"/>
      <c r="M578" s="40"/>
      <c r="N578" s="40"/>
      <c r="O578" s="40"/>
      <c r="P578" s="40">
        <v>-358</v>
      </c>
      <c r="Q578" s="40">
        <v>-167</v>
      </c>
      <c r="R578" s="40">
        <v>-508</v>
      </c>
      <c r="S578" s="40">
        <v>-506</v>
      </c>
      <c r="T578" s="40">
        <v>-518</v>
      </c>
      <c r="U578" s="40">
        <v>-560</v>
      </c>
      <c r="V578" s="40">
        <v>-473</v>
      </c>
      <c r="W578" s="40">
        <v>-475</v>
      </c>
      <c r="X578" s="40">
        <v>-524</v>
      </c>
      <c r="Y578" s="40">
        <v>-542</v>
      </c>
      <c r="Z578" s="141">
        <v>-526</v>
      </c>
      <c r="AA578" s="141">
        <v>-376</v>
      </c>
      <c r="AB578" s="141">
        <v>-145</v>
      </c>
      <c r="AC578" s="141">
        <v>-240</v>
      </c>
      <c r="AD578" s="141">
        <v>-374</v>
      </c>
      <c r="AE578" s="141">
        <v>-479</v>
      </c>
      <c r="AF578" s="141">
        <v>-600</v>
      </c>
      <c r="AG578" s="141">
        <v>-700</v>
      </c>
      <c r="AH578" s="141">
        <v>-696</v>
      </c>
      <c r="AI578" s="141">
        <v>-719</v>
      </c>
      <c r="AJ578" s="141">
        <v>-686</v>
      </c>
      <c r="AK578" s="141">
        <v>-609</v>
      </c>
      <c r="AL578" s="141">
        <v>-42</v>
      </c>
      <c r="AM578" s="141">
        <v>-1</v>
      </c>
      <c r="AN578" s="141">
        <v>0</v>
      </c>
      <c r="AO578" s="141">
        <v>-43</v>
      </c>
      <c r="AP578" s="141">
        <v>-42</v>
      </c>
      <c r="AQ578" s="141">
        <v>-36</v>
      </c>
      <c r="AR578" s="141">
        <v>-32</v>
      </c>
      <c r="AS578" s="141">
        <v>-11</v>
      </c>
      <c r="AT578" s="141">
        <v>-39</v>
      </c>
      <c r="AU578" s="141">
        <v>-272</v>
      </c>
      <c r="AV578" s="141">
        <v>-282</v>
      </c>
      <c r="AW578" s="141">
        <v>-210</v>
      </c>
      <c r="AX578" s="141">
        <v>-304</v>
      </c>
      <c r="AY578" s="226">
        <v>-25</v>
      </c>
      <c r="AZ578" s="210">
        <f t="shared" ref="AZ578" si="6924">AY578*AZ161/AY161</f>
        <v>-25.772350786308081</v>
      </c>
      <c r="BA578" s="210">
        <f t="shared" ref="BA578" si="6925">AZ578*BA161/AZ161</f>
        <v>-26.475560957351796</v>
      </c>
      <c r="BB578" s="210">
        <f t="shared" ref="BB578" si="6926">BA578*BB161/BA161</f>
        <v>-27.192800299510637</v>
      </c>
      <c r="BC578" s="210">
        <f t="shared" ref="BC578" si="6927">BB578*BC161/BB161</f>
        <v>-27.967779262058947</v>
      </c>
      <c r="BD578" s="210">
        <f t="shared" ref="BD578" si="6928">BC578*BD161/BC161</f>
        <v>-28.714954331396733</v>
      </c>
      <c r="BE578" s="210">
        <f t="shared" ref="BE578" si="6929">BD578*BE161/BD161</f>
        <v>-29.482432397200085</v>
      </c>
      <c r="BF578" s="210">
        <f t="shared" ref="BF578" si="6930">BE578*BF161/BE161</f>
        <v>-30.206546807982921</v>
      </c>
      <c r="BG578" s="210">
        <f t="shared" ref="BG578:BK578" si="6931">BF578*BG161/BF161</f>
        <v>-30.909514966518529</v>
      </c>
      <c r="BH578" s="210">
        <f t="shared" si="6931"/>
        <v>-31.578677826888924</v>
      </c>
      <c r="BI578" s="210">
        <f t="shared" si="6931"/>
        <v>-32.211010527116727</v>
      </c>
      <c r="BJ578" s="210">
        <f t="shared" si="6931"/>
        <v>-32.856029067410091</v>
      </c>
      <c r="BK578" s="210">
        <f t="shared" si="6931"/>
        <v>-33.513988192081037</v>
      </c>
      <c r="BL578" s="210">
        <f t="shared" ref="BL578" si="6932">BK578*BL161/BK161</f>
        <v>-34.185147763385558</v>
      </c>
      <c r="BM578" s="210">
        <f t="shared" ref="BM578" si="6933">BL578*BM161/BL161</f>
        <v>-34.869772864369942</v>
      </c>
      <c r="BN578" s="210">
        <f t="shared" ref="BN578" si="6934">BM578*BN161/BM161</f>
        <v>-35.568133903784293</v>
      </c>
      <c r="BO578" s="210">
        <f t="shared" ref="BO578" si="6935">BN578*BO161/BN161</f>
        <v>-36.280506723104388</v>
      </c>
      <c r="BP578" s="210">
        <f t="shared" ref="BP578" si="6936">BO578*BP161/BO161</f>
        <v>-37.007172705704562</v>
      </c>
      <c r="BQ578" s="210">
        <f t="shared" ref="BQ578" si="6937">BP578*BQ161/BP161</f>
        <v>-37.748418888224599</v>
      </c>
      <c r="BR578" s="41"/>
      <c r="BS578" s="40">
        <v>0</v>
      </c>
      <c r="BT578" s="40">
        <v>0</v>
      </c>
      <c r="BU578" s="40">
        <v>0</v>
      </c>
      <c r="BV578" s="40">
        <v>0</v>
      </c>
      <c r="BW578" s="40">
        <v>0</v>
      </c>
      <c r="BX578" s="40">
        <v>0</v>
      </c>
      <c r="BY578" s="40">
        <v>0</v>
      </c>
      <c r="BZ578" s="40">
        <v>0</v>
      </c>
      <c r="CA578" s="40">
        <v>0</v>
      </c>
      <c r="CB578" s="40">
        <v>0</v>
      </c>
      <c r="CC578" s="41">
        <f t="shared" si="6835"/>
        <v>0</v>
      </c>
      <c r="CD578" s="41">
        <f t="shared" si="6836"/>
        <v>0</v>
      </c>
      <c r="CE578" s="41">
        <f t="shared" si="6837"/>
        <v>0</v>
      </c>
      <c r="CF578" s="41">
        <f t="shared" si="6881"/>
        <v>0</v>
      </c>
      <c r="CG578" s="41">
        <f t="shared" si="6838"/>
        <v>0</v>
      </c>
      <c r="CH578" s="41">
        <f t="shared" si="6839"/>
        <v>0</v>
      </c>
      <c r="CI578" s="41">
        <f t="shared" si="6840"/>
        <v>-167</v>
      </c>
      <c r="CJ578" s="41">
        <f t="shared" si="6841"/>
        <v>-506</v>
      </c>
      <c r="CK578" s="41">
        <f t="shared" si="6842"/>
        <v>-560</v>
      </c>
      <c r="CL578" s="41">
        <f t="shared" si="6843"/>
        <v>-475</v>
      </c>
      <c r="CM578" s="41">
        <f t="shared" si="6844"/>
        <v>-542</v>
      </c>
      <c r="CN578" s="41">
        <f t="shared" si="6845"/>
        <v>-376</v>
      </c>
      <c r="CO578" s="41">
        <f t="shared" si="6846"/>
        <v>-240</v>
      </c>
      <c r="CP578" s="41">
        <f t="shared" si="6847"/>
        <v>-479</v>
      </c>
      <c r="CQ578" s="41">
        <f t="shared" si="6848"/>
        <v>-700</v>
      </c>
      <c r="CR578" s="41">
        <f t="shared" si="6849"/>
        <v>-719</v>
      </c>
      <c r="CS578" s="41">
        <f t="shared" si="6850"/>
        <v>-609</v>
      </c>
      <c r="CT578" s="41">
        <f t="shared" si="6851"/>
        <v>-1</v>
      </c>
      <c r="CU578" s="41">
        <f t="shared" si="6852"/>
        <v>-43</v>
      </c>
      <c r="CV578" s="41">
        <f t="shared" si="6853"/>
        <v>-36</v>
      </c>
      <c r="CW578" s="41">
        <f t="shared" si="6854"/>
        <v>-11</v>
      </c>
      <c r="CX578" s="41">
        <f t="shared" si="6855"/>
        <v>-272</v>
      </c>
      <c r="CY578" s="41">
        <f t="shared" si="6856"/>
        <v>-210</v>
      </c>
      <c r="CZ578" s="211">
        <f t="shared" si="6857"/>
        <v>-25</v>
      </c>
      <c r="DA578" s="41">
        <f t="shared" si="6858"/>
        <v>-26.475560957351796</v>
      </c>
      <c r="DB578" s="41">
        <f t="shared" si="6859"/>
        <v>-27.967779262058947</v>
      </c>
      <c r="DC578" s="41">
        <f t="shared" si="6860"/>
        <v>-29.482432397200085</v>
      </c>
      <c r="DD578" s="41">
        <f t="shared" si="6861"/>
        <v>-30.909514966518529</v>
      </c>
      <c r="DE578" s="41">
        <f t="shared" si="6862"/>
        <v>-32.211010527116727</v>
      </c>
      <c r="DF578" s="41">
        <f t="shared" si="6863"/>
        <v>-33.513988192081037</v>
      </c>
      <c r="DG578" s="41">
        <f t="shared" si="6864"/>
        <v>-34.869772864369942</v>
      </c>
      <c r="DH578" s="41">
        <f t="shared" si="6865"/>
        <v>-36.280506723104388</v>
      </c>
      <c r="DI578" s="41">
        <f t="shared" si="6866"/>
        <v>-37.748418888224599</v>
      </c>
    </row>
    <row r="579" spans="1:113" ht="12" hidden="1" outlineLevel="2">
      <c r="A579" s="1" t="s">
        <v>1042</v>
      </c>
      <c r="B579" s="15" t="s">
        <v>1114</v>
      </c>
      <c r="C579" s="40"/>
      <c r="D579" s="40"/>
      <c r="E579" s="40"/>
      <c r="F579" s="40"/>
      <c r="G579" s="40"/>
      <c r="H579" s="40"/>
      <c r="I579" s="40"/>
      <c r="J579" s="40"/>
      <c r="K579" s="40"/>
      <c r="L579" s="40">
        <v>0</v>
      </c>
      <c r="M579" s="40">
        <v>716</v>
      </c>
      <c r="N579" s="40">
        <v>716</v>
      </c>
      <c r="O579" s="40">
        <v>716</v>
      </c>
      <c r="P579" s="40"/>
      <c r="Q579" s="40"/>
      <c r="R579" s="40"/>
      <c r="S579" s="40"/>
      <c r="T579" s="40"/>
      <c r="U579" s="40"/>
      <c r="V579" s="40"/>
      <c r="W579" s="40"/>
      <c r="X579" s="40"/>
      <c r="Y579" s="40"/>
      <c r="Z579" s="210"/>
      <c r="AA579" s="210"/>
      <c r="AB579" s="210"/>
      <c r="AC579" s="210"/>
      <c r="AD579" s="210"/>
      <c r="AE579" s="210"/>
      <c r="AF579" s="210"/>
      <c r="AG579" s="210"/>
      <c r="AH579" s="210"/>
      <c r="AI579" s="210"/>
      <c r="AJ579" s="210"/>
      <c r="AK579" s="210"/>
      <c r="AL579" s="210"/>
      <c r="AM579" s="210"/>
      <c r="AN579" s="210"/>
      <c r="AO579" s="210"/>
      <c r="AP579" s="210"/>
      <c r="AQ579" s="210"/>
      <c r="AR579" s="210"/>
      <c r="AS579" s="210"/>
      <c r="AT579" s="210"/>
      <c r="AU579" s="210"/>
      <c r="AV579" s="210"/>
      <c r="AW579" s="210"/>
      <c r="AX579" s="210"/>
      <c r="AY579" s="234"/>
      <c r="AZ579" s="210"/>
      <c r="BA579" s="210"/>
      <c r="BB579" s="210"/>
      <c r="BC579" s="210"/>
      <c r="BD579" s="210"/>
      <c r="BE579" s="210"/>
      <c r="BF579" s="210"/>
      <c r="BG579" s="210"/>
      <c r="BH579" s="210"/>
      <c r="BI579" s="210"/>
      <c r="BJ579" s="210"/>
      <c r="BK579" s="210"/>
      <c r="BL579" s="210"/>
      <c r="BM579" s="210"/>
      <c r="BN579" s="210"/>
      <c r="BO579" s="210"/>
      <c r="BP579" s="210"/>
      <c r="BQ579" s="210"/>
      <c r="BR579" s="41"/>
      <c r="BS579" s="40"/>
      <c r="BT579" s="40"/>
      <c r="BU579" s="40"/>
      <c r="BV579" s="40"/>
      <c r="BW579" s="40"/>
      <c r="BX579" s="40"/>
      <c r="BY579" s="40"/>
      <c r="BZ579" s="40"/>
      <c r="CA579" s="40"/>
      <c r="CB579" s="40"/>
      <c r="CC579" s="41"/>
      <c r="CD579" s="41"/>
      <c r="CE579" s="41"/>
      <c r="CF579" s="41"/>
      <c r="CG579" s="41"/>
      <c r="CH579" s="41"/>
      <c r="CI579" s="41">
        <f t="shared" si="6840"/>
        <v>0</v>
      </c>
      <c r="CJ579" s="41"/>
      <c r="CK579" s="41"/>
      <c r="CL579" s="41"/>
      <c r="CM579" s="41"/>
      <c r="CN579" s="41"/>
      <c r="CO579" s="41"/>
      <c r="CP579" s="41"/>
      <c r="CQ579" s="41"/>
      <c r="CR579" s="41"/>
      <c r="CS579" s="41"/>
      <c r="CT579" s="41"/>
      <c r="CU579" s="41"/>
      <c r="CV579" s="41"/>
      <c r="CW579" s="41"/>
      <c r="CX579" s="41"/>
      <c r="CY579" s="41"/>
      <c r="CZ579" s="211"/>
      <c r="DA579" s="41"/>
      <c r="DB579" s="15"/>
      <c r="DC579" s="15"/>
      <c r="DD579" s="15"/>
      <c r="DE579" s="15"/>
      <c r="DF579" s="15"/>
      <c r="DG579" s="15"/>
      <c r="DH579" s="15"/>
      <c r="DI579" s="15"/>
    </row>
    <row r="580" spans="1:113" ht="12" hidden="1" outlineLevel="2">
      <c r="A580" s="1" t="s">
        <v>67</v>
      </c>
      <c r="B580" s="15" t="s">
        <v>804</v>
      </c>
      <c r="C580" s="40"/>
      <c r="D580" s="40"/>
      <c r="E580" s="40"/>
      <c r="F580" s="40"/>
      <c r="G580" s="40"/>
      <c r="H580" s="40"/>
      <c r="I580" s="40"/>
      <c r="J580" s="40"/>
      <c r="K580" s="40"/>
      <c r="L580" s="40"/>
      <c r="M580" s="41"/>
      <c r="N580" s="41"/>
      <c r="O580" s="41"/>
      <c r="P580" s="41"/>
      <c r="Q580" s="41"/>
      <c r="R580" s="41"/>
      <c r="S580" s="41"/>
      <c r="T580" s="41"/>
      <c r="U580" s="41"/>
      <c r="V580" s="41"/>
      <c r="W580" s="41"/>
      <c r="X580" s="41"/>
      <c r="Y580" s="41"/>
      <c r="Z580" s="210"/>
      <c r="AA580" s="210"/>
      <c r="AB580" s="210"/>
      <c r="AC580" s="210"/>
      <c r="AD580" s="210"/>
      <c r="AE580" s="210"/>
      <c r="AF580" s="210"/>
      <c r="AG580" s="210"/>
      <c r="AH580" s="210"/>
      <c r="AI580" s="210"/>
      <c r="AJ580" s="210"/>
      <c r="AK580" s="210"/>
      <c r="AL580" s="210"/>
      <c r="AM580" s="210"/>
      <c r="AN580" s="210"/>
      <c r="AO580" s="210"/>
      <c r="AP580" s="210"/>
      <c r="AQ580" s="210"/>
      <c r="AR580" s="210"/>
      <c r="AS580" s="210"/>
      <c r="AT580" s="210"/>
      <c r="AU580" s="210"/>
      <c r="AV580" s="210"/>
      <c r="AW580" s="210"/>
      <c r="AX580" s="210"/>
      <c r="AY580" s="234"/>
      <c r="AZ580" s="210"/>
      <c r="BA580" s="210"/>
      <c r="BB580" s="210"/>
      <c r="BC580" s="210"/>
      <c r="BD580" s="210"/>
      <c r="BE580" s="210"/>
      <c r="BF580" s="210"/>
      <c r="BG580" s="210"/>
      <c r="BH580" s="210"/>
      <c r="BI580" s="210"/>
      <c r="BJ580" s="210"/>
      <c r="BK580" s="210"/>
      <c r="BL580" s="210"/>
      <c r="BM580" s="210"/>
      <c r="BN580" s="210"/>
      <c r="BO580" s="210"/>
      <c r="BP580" s="210"/>
      <c r="BQ580" s="210"/>
      <c r="BR580" s="41"/>
      <c r="BS580" s="40">
        <v>-7.9</v>
      </c>
      <c r="BT580" s="40"/>
      <c r="BU580" s="40"/>
      <c r="BV580" s="40"/>
      <c r="BW580" s="40"/>
      <c r="BX580" s="40"/>
      <c r="BY580" s="40"/>
      <c r="BZ580" s="40"/>
      <c r="CA580" s="40"/>
      <c r="CB580" s="40"/>
      <c r="CC580" s="41"/>
      <c r="CD580" s="41"/>
      <c r="CE580" s="41"/>
      <c r="CF580" s="41"/>
      <c r="CG580" s="41"/>
      <c r="CH580" s="41"/>
      <c r="CI580" s="41"/>
      <c r="CJ580" s="41"/>
      <c r="CK580" s="41"/>
      <c r="CL580" s="41"/>
      <c r="CM580" s="41"/>
      <c r="CN580" s="41"/>
      <c r="CO580" s="41"/>
      <c r="CP580" s="41"/>
      <c r="CQ580" s="41"/>
      <c r="CR580" s="41"/>
      <c r="CS580" s="41"/>
      <c r="CT580" s="41"/>
      <c r="CU580" s="41"/>
      <c r="CV580" s="41"/>
      <c r="CW580" s="41"/>
      <c r="CX580" s="41"/>
      <c r="CY580" s="41"/>
      <c r="CZ580" s="211"/>
      <c r="DA580" s="41"/>
      <c r="DB580" s="15"/>
      <c r="DC580" s="15"/>
      <c r="DD580" s="15"/>
      <c r="DE580" s="15"/>
      <c r="DF580" s="15"/>
      <c r="DG580" s="15"/>
      <c r="DH580" s="15"/>
      <c r="DI580" s="15"/>
    </row>
    <row r="581" spans="1:113" ht="12" hidden="1" outlineLevel="2">
      <c r="A581" s="1" t="s">
        <v>68</v>
      </c>
      <c r="B581" s="15" t="s">
        <v>804</v>
      </c>
      <c r="C581" s="40"/>
      <c r="D581" s="40"/>
      <c r="E581" s="40"/>
      <c r="F581" s="40"/>
      <c r="G581" s="40"/>
      <c r="H581" s="40"/>
      <c r="I581" s="40"/>
      <c r="J581" s="40"/>
      <c r="K581" s="40"/>
      <c r="L581" s="40"/>
      <c r="M581" s="41"/>
      <c r="N581" s="41"/>
      <c r="O581" s="41"/>
      <c r="P581" s="41"/>
      <c r="Q581" s="41"/>
      <c r="R581" s="41"/>
      <c r="S581" s="41"/>
      <c r="T581" s="41"/>
      <c r="U581" s="41"/>
      <c r="V581" s="41"/>
      <c r="W581" s="41"/>
      <c r="X581" s="41"/>
      <c r="Y581" s="41"/>
      <c r="Z581" s="210"/>
      <c r="AA581" s="210"/>
      <c r="AB581" s="210"/>
      <c r="AC581" s="210"/>
      <c r="AD581" s="210"/>
      <c r="AE581" s="210"/>
      <c r="AF581" s="210"/>
      <c r="AG581" s="210"/>
      <c r="AH581" s="210"/>
      <c r="AI581" s="210"/>
      <c r="AJ581" s="210"/>
      <c r="AK581" s="210"/>
      <c r="AL581" s="210"/>
      <c r="AM581" s="210"/>
      <c r="AN581" s="210"/>
      <c r="AO581" s="210"/>
      <c r="AP581" s="210"/>
      <c r="AQ581" s="210"/>
      <c r="AR581" s="210"/>
      <c r="AS581" s="210"/>
      <c r="AT581" s="210"/>
      <c r="AU581" s="210"/>
      <c r="AV581" s="210"/>
      <c r="AW581" s="210"/>
      <c r="AX581" s="210"/>
      <c r="AY581" s="234"/>
      <c r="AZ581" s="210"/>
      <c r="BA581" s="210"/>
      <c r="BB581" s="210"/>
      <c r="BC581" s="210"/>
      <c r="BD581" s="210"/>
      <c r="BE581" s="210"/>
      <c r="BF581" s="210"/>
      <c r="BG581" s="210"/>
      <c r="BH581" s="210"/>
      <c r="BI581" s="210"/>
      <c r="BJ581" s="210"/>
      <c r="BK581" s="210"/>
      <c r="BL581" s="210"/>
      <c r="BM581" s="210"/>
      <c r="BN581" s="210"/>
      <c r="BO581" s="210"/>
      <c r="BP581" s="210"/>
      <c r="BQ581" s="210"/>
      <c r="BR581" s="41"/>
      <c r="BS581" s="40"/>
      <c r="BT581" s="40"/>
      <c r="BU581" s="40"/>
      <c r="BV581" s="40"/>
      <c r="BW581" s="40"/>
      <c r="BX581" s="40"/>
      <c r="BY581" s="40"/>
      <c r="BZ581" s="40"/>
      <c r="CA581" s="40"/>
      <c r="CB581" s="40"/>
      <c r="CC581" s="41"/>
      <c r="CD581" s="41"/>
      <c r="CE581" s="41"/>
      <c r="CF581" s="41"/>
      <c r="CG581" s="41"/>
      <c r="CH581" s="41"/>
      <c r="CI581" s="41"/>
      <c r="CJ581" s="41"/>
      <c r="CK581" s="41"/>
      <c r="CL581" s="41"/>
      <c r="CM581" s="41"/>
      <c r="CN581" s="41"/>
      <c r="CO581" s="41"/>
      <c r="CP581" s="41"/>
      <c r="CQ581" s="41"/>
      <c r="CR581" s="41"/>
      <c r="CS581" s="41"/>
      <c r="CT581" s="41"/>
      <c r="CU581" s="41"/>
      <c r="CV581" s="41"/>
      <c r="CW581" s="41"/>
      <c r="CX581" s="41"/>
      <c r="CY581" s="41"/>
      <c r="CZ581" s="211"/>
      <c r="DA581" s="41"/>
      <c r="DB581" s="15"/>
      <c r="DC581" s="15"/>
      <c r="DD581" s="15"/>
      <c r="DE581" s="15"/>
      <c r="DF581" s="15"/>
      <c r="DG581" s="15"/>
      <c r="DH581" s="15"/>
      <c r="DI581" s="15"/>
    </row>
    <row r="582" spans="1:113" ht="12" hidden="1" outlineLevel="2">
      <c r="A582" s="1" t="s">
        <v>11</v>
      </c>
      <c r="B582" s="15" t="s">
        <v>804</v>
      </c>
      <c r="C582" s="40"/>
      <c r="D582" s="40"/>
      <c r="E582" s="40"/>
      <c r="F582" s="40"/>
      <c r="G582" s="40"/>
      <c r="H582" s="40"/>
      <c r="I582" s="40"/>
      <c r="J582" s="40"/>
      <c r="K582" s="40"/>
      <c r="L582" s="40"/>
      <c r="M582" s="41"/>
      <c r="N582" s="41"/>
      <c r="O582" s="41"/>
      <c r="P582" s="41"/>
      <c r="Q582" s="41"/>
      <c r="R582" s="41"/>
      <c r="S582" s="41"/>
      <c r="T582" s="41"/>
      <c r="U582" s="41"/>
      <c r="V582" s="41"/>
      <c r="W582" s="41"/>
      <c r="X582" s="41"/>
      <c r="Y582" s="41"/>
      <c r="Z582" s="210"/>
      <c r="AA582" s="210"/>
      <c r="AB582" s="210"/>
      <c r="AC582" s="210"/>
      <c r="AD582" s="210"/>
      <c r="AE582" s="210"/>
      <c r="AF582" s="210"/>
      <c r="AG582" s="210"/>
      <c r="AH582" s="210"/>
      <c r="AI582" s="210"/>
      <c r="AJ582" s="210"/>
      <c r="AK582" s="210"/>
      <c r="AL582" s="210"/>
      <c r="AM582" s="210"/>
      <c r="AN582" s="210"/>
      <c r="AO582" s="210"/>
      <c r="AP582" s="210"/>
      <c r="AQ582" s="210"/>
      <c r="AR582" s="210"/>
      <c r="AS582" s="210"/>
      <c r="AT582" s="210"/>
      <c r="AU582" s="210"/>
      <c r="AV582" s="210"/>
      <c r="AW582" s="210"/>
      <c r="AX582" s="210"/>
      <c r="AY582" s="234"/>
      <c r="AZ582" s="210"/>
      <c r="BA582" s="210"/>
      <c r="BB582" s="210"/>
      <c r="BC582" s="210"/>
      <c r="BD582" s="210"/>
      <c r="BE582" s="210"/>
      <c r="BF582" s="210"/>
      <c r="BG582" s="210"/>
      <c r="BH582" s="210"/>
      <c r="BI582" s="210"/>
      <c r="BJ582" s="210"/>
      <c r="BK582" s="210"/>
      <c r="BL582" s="210"/>
      <c r="BM582" s="210"/>
      <c r="BN582" s="210"/>
      <c r="BO582" s="210"/>
      <c r="BP582" s="210"/>
      <c r="BQ582" s="210"/>
      <c r="BR582" s="41"/>
      <c r="BS582" s="40"/>
      <c r="BT582" s="40"/>
      <c r="BU582" s="40"/>
      <c r="BV582" s="40"/>
      <c r="BW582" s="40"/>
      <c r="BX582" s="40"/>
      <c r="BY582" s="40"/>
      <c r="BZ582" s="40"/>
      <c r="CA582" s="40"/>
      <c r="CB582" s="40"/>
      <c r="CC582" s="41"/>
      <c r="CD582" s="41"/>
      <c r="CE582" s="41"/>
      <c r="CF582" s="41"/>
      <c r="CG582" s="41"/>
      <c r="CH582" s="41"/>
      <c r="CI582" s="41"/>
      <c r="CJ582" s="41"/>
      <c r="CK582" s="41"/>
      <c r="CL582" s="41"/>
      <c r="CM582" s="41"/>
      <c r="CN582" s="41"/>
      <c r="CO582" s="41"/>
      <c r="CP582" s="41"/>
      <c r="CQ582" s="41"/>
      <c r="CR582" s="41"/>
      <c r="CS582" s="41"/>
      <c r="CT582" s="41"/>
      <c r="CU582" s="41"/>
      <c r="CV582" s="41"/>
      <c r="CW582" s="41"/>
      <c r="CX582" s="41"/>
      <c r="CY582" s="41"/>
      <c r="CZ582" s="211"/>
      <c r="DA582" s="41"/>
      <c r="DB582" s="15"/>
      <c r="DC582" s="15"/>
      <c r="DD582" s="15"/>
      <c r="DE582" s="15"/>
      <c r="DF582" s="15"/>
      <c r="DG582" s="15"/>
      <c r="DH582" s="15"/>
      <c r="DI582" s="15"/>
    </row>
    <row r="583" spans="1:113" ht="12" outlineLevel="1" collapsed="1">
      <c r="A583" s="1" t="s">
        <v>1043</v>
      </c>
      <c r="B583" s="15" t="s">
        <v>477</v>
      </c>
      <c r="C583" s="40">
        <f>10387-C568-SUM(C571:C582)</f>
        <v>355</v>
      </c>
      <c r="D583" s="40">
        <f>10589-D568-SUM(D571:D582)</f>
        <v>-82</v>
      </c>
      <c r="E583" s="40">
        <f>11201-E568-SUM(E571:E582)</f>
        <v>-81</v>
      </c>
      <c r="F583" s="40">
        <f>11511-F568-SUM(F571:F582)</f>
        <v>-90</v>
      </c>
      <c r="G583" s="40">
        <f>11740-G568-SUM(G571:G582)</f>
        <v>40</v>
      </c>
      <c r="H583" s="40">
        <f>13025-H568-SUM(H571:H582)</f>
        <v>-44</v>
      </c>
      <c r="I583" s="40">
        <f>13566-I568-SUM(I571:I582)</f>
        <v>-160</v>
      </c>
      <c r="J583" s="40">
        <f>14680-J568-SUM(J571:J582)</f>
        <v>70</v>
      </c>
      <c r="K583" s="40">
        <f>15157-K568-SUM(K571:K582)</f>
        <v>0</v>
      </c>
      <c r="L583" s="40">
        <v>0</v>
      </c>
      <c r="M583" s="40">
        <v>9</v>
      </c>
      <c r="N583" s="40">
        <v>4</v>
      </c>
      <c r="O583" s="40">
        <f>-37</f>
        <v>-37</v>
      </c>
      <c r="P583" s="40">
        <f>-113-212</f>
        <v>-325</v>
      </c>
      <c r="Q583" s="40">
        <f>-117-285</f>
        <v>-402</v>
      </c>
      <c r="R583" s="40">
        <f>-358-106</f>
        <v>-464</v>
      </c>
      <c r="S583" s="40">
        <f>12-20</f>
        <v>-8</v>
      </c>
      <c r="T583" s="40">
        <f>-6603-SUM(T571:T574)</f>
        <v>22</v>
      </c>
      <c r="U583" s="40">
        <f>-7031-SUM(U571:U574)</f>
        <v>-19</v>
      </c>
      <c r="V583" s="40">
        <f>-7015-SUM(V571:V574)</f>
        <v>-18</v>
      </c>
      <c r="W583" s="40">
        <f>-7540-SUM(W571:W574)</f>
        <v>-128</v>
      </c>
      <c r="X583" s="40">
        <f>-7641-SUM(X571:X574)</f>
        <v>-40</v>
      </c>
      <c r="Y583" s="40">
        <f>-8025-SUM(Y571:Y574)</f>
        <v>-46</v>
      </c>
      <c r="Z583" s="141">
        <v>-496</v>
      </c>
      <c r="AA583" s="141">
        <v>-394</v>
      </c>
      <c r="AB583" s="141">
        <v>-348</v>
      </c>
      <c r="AC583" s="141">
        <v>-465</v>
      </c>
      <c r="AD583" s="141">
        <v>-608</v>
      </c>
      <c r="AE583" s="141">
        <v>-533</v>
      </c>
      <c r="AF583" s="141">
        <v>-505</v>
      </c>
      <c r="AG583" s="141">
        <v>-554</v>
      </c>
      <c r="AH583" s="141">
        <v>-1088</v>
      </c>
      <c r="AI583" s="141">
        <v>-1022</v>
      </c>
      <c r="AJ583" s="141">
        <v>-1397</v>
      </c>
      <c r="AK583" s="141">
        <v>-1387</v>
      </c>
      <c r="AL583" s="141">
        <v>-1952</v>
      </c>
      <c r="AM583" s="141">
        <v>-2208</v>
      </c>
      <c r="AN583" s="141">
        <v>-1317</v>
      </c>
      <c r="AO583" s="141">
        <v>-1224</v>
      </c>
      <c r="AP583" s="141">
        <v>-806</v>
      </c>
      <c r="AQ583" s="141">
        <v>-573</v>
      </c>
      <c r="AR583" s="141">
        <v>973</v>
      </c>
      <c r="AS583" s="141">
        <v>1627</v>
      </c>
      <c r="AT583" s="141">
        <v>936</v>
      </c>
      <c r="AU583" s="141">
        <v>1533</v>
      </c>
      <c r="AV583" s="141">
        <v>846</v>
      </c>
      <c r="AW583" s="141">
        <v>164</v>
      </c>
      <c r="AX583" s="141">
        <v>-207</v>
      </c>
      <c r="AY583" s="226">
        <v>-592</v>
      </c>
      <c r="AZ583" s="210">
        <f t="shared" ref="AZ583:AZ584" si="6938">AY583</f>
        <v>-592</v>
      </c>
      <c r="BA583" s="210">
        <f t="shared" ref="BA583:BA584" si="6939">AZ583</f>
        <v>-592</v>
      </c>
      <c r="BB583" s="210">
        <f t="shared" ref="BB583:BB584" si="6940">BA583</f>
        <v>-592</v>
      </c>
      <c r="BC583" s="210">
        <f t="shared" ref="BC583:BC584" si="6941">BB583</f>
        <v>-592</v>
      </c>
      <c r="BD583" s="210">
        <f t="shared" ref="BD583:BD584" si="6942">BC583</f>
        <v>-592</v>
      </c>
      <c r="BE583" s="210">
        <f t="shared" ref="BE583:BE584" si="6943">BD583</f>
        <v>-592</v>
      </c>
      <c r="BF583" s="210">
        <f t="shared" ref="BF583:BF584" si="6944">BE583</f>
        <v>-592</v>
      </c>
      <c r="BG583" s="210">
        <f t="shared" ref="BG583:BK584" si="6945">BF583</f>
        <v>-592</v>
      </c>
      <c r="BH583" s="210">
        <f t="shared" si="6945"/>
        <v>-592</v>
      </c>
      <c r="BI583" s="210">
        <f t="shared" si="6945"/>
        <v>-592</v>
      </c>
      <c r="BJ583" s="210">
        <f t="shared" si="6945"/>
        <v>-592</v>
      </c>
      <c r="BK583" s="210">
        <f t="shared" si="6945"/>
        <v>-592</v>
      </c>
      <c r="BL583" s="210">
        <f t="shared" ref="BL583:BL584" si="6946">BK583</f>
        <v>-592</v>
      </c>
      <c r="BM583" s="210">
        <f t="shared" ref="BM583:BM584" si="6947">BL583</f>
        <v>-592</v>
      </c>
      <c r="BN583" s="210">
        <f t="shared" ref="BN583:BN584" si="6948">BM583</f>
        <v>-592</v>
      </c>
      <c r="BO583" s="210">
        <f t="shared" ref="BO583:BO584" si="6949">BN583</f>
        <v>-592</v>
      </c>
      <c r="BP583" s="210">
        <f t="shared" ref="BP583:BP584" si="6950">BO583</f>
        <v>-592</v>
      </c>
      <c r="BQ583" s="210">
        <f t="shared" ref="BQ583:BQ584" si="6951">BP583</f>
        <v>-592</v>
      </c>
      <c r="BR583" s="41"/>
      <c r="BS583" s="41">
        <f t="shared" ref="BS583:CB583" si="6952">BS585-SUM(BS584,BS571:BS582)</f>
        <v>600.09999999999991</v>
      </c>
      <c r="BT583" s="41">
        <f t="shared" si="6952"/>
        <v>266.8999999999993</v>
      </c>
      <c r="BU583" s="41">
        <f t="shared" si="6952"/>
        <v>389</v>
      </c>
      <c r="BV583" s="41">
        <f t="shared" si="6952"/>
        <v>0</v>
      </c>
      <c r="BW583" s="41">
        <f t="shared" si="6952"/>
        <v>0</v>
      </c>
      <c r="BX583" s="41">
        <f t="shared" si="6952"/>
        <v>0</v>
      </c>
      <c r="BY583" s="41">
        <f t="shared" si="6952"/>
        <v>645</v>
      </c>
      <c r="BZ583" s="41">
        <f t="shared" si="6952"/>
        <v>1145</v>
      </c>
      <c r="CA583" s="41">
        <f t="shared" si="6952"/>
        <v>1374</v>
      </c>
      <c r="CB583" s="41">
        <f t="shared" si="6952"/>
        <v>1526</v>
      </c>
      <c r="CC583" s="41">
        <f>E583</f>
        <v>-81</v>
      </c>
      <c r="CD583" s="41">
        <f>G583</f>
        <v>40</v>
      </c>
      <c r="CE583" s="41">
        <f>I583</f>
        <v>-160</v>
      </c>
      <c r="CF583" s="41">
        <f>K583</f>
        <v>0</v>
      </c>
      <c r="CG583" s="41">
        <f>M583</f>
        <v>9</v>
      </c>
      <c r="CH583" s="41">
        <f>O583</f>
        <v>-37</v>
      </c>
      <c r="CI583" s="41">
        <f>Q583</f>
        <v>-402</v>
      </c>
      <c r="CJ583" s="41">
        <f>S583</f>
        <v>-8</v>
      </c>
      <c r="CK583" s="41">
        <f>U583</f>
        <v>-19</v>
      </c>
      <c r="CL583" s="41">
        <f>W583</f>
        <v>-128</v>
      </c>
      <c r="CM583" s="41">
        <f>Y583</f>
        <v>-46</v>
      </c>
      <c r="CN583" s="41">
        <f>AA583</f>
        <v>-394</v>
      </c>
      <c r="CO583" s="41">
        <f>AC583</f>
        <v>-465</v>
      </c>
      <c r="CP583" s="41">
        <f>AE583</f>
        <v>-533</v>
      </c>
      <c r="CQ583" s="41">
        <f>AG583</f>
        <v>-554</v>
      </c>
      <c r="CR583" s="41">
        <f>AI583</f>
        <v>-1022</v>
      </c>
      <c r="CS583" s="41">
        <f>AK583</f>
        <v>-1387</v>
      </c>
      <c r="CT583" s="41">
        <f>AM583</f>
        <v>-2208</v>
      </c>
      <c r="CU583" s="41">
        <f>AO583</f>
        <v>-1224</v>
      </c>
      <c r="CV583" s="41">
        <f>AQ583</f>
        <v>-573</v>
      </c>
      <c r="CW583" s="41">
        <f>AS583</f>
        <v>1627</v>
      </c>
      <c r="CX583" s="41">
        <f>AU583</f>
        <v>1533</v>
      </c>
      <c r="CY583" s="41">
        <f>AW583</f>
        <v>164</v>
      </c>
      <c r="CZ583" s="211">
        <f>AY583</f>
        <v>-592</v>
      </c>
      <c r="DA583" s="41">
        <f>BA583</f>
        <v>-592</v>
      </c>
      <c r="DB583" s="41">
        <f>BC583</f>
        <v>-592</v>
      </c>
      <c r="DC583" s="41">
        <f>BE583</f>
        <v>-592</v>
      </c>
      <c r="DD583" s="41">
        <f>BG583</f>
        <v>-592</v>
      </c>
      <c r="DE583" s="41">
        <f>BI583</f>
        <v>-592</v>
      </c>
      <c r="DF583" s="41">
        <f>BK583</f>
        <v>-592</v>
      </c>
      <c r="DG583" s="41">
        <f>BM583</f>
        <v>-592</v>
      </c>
      <c r="DH583" s="41">
        <f>BO583</f>
        <v>-592</v>
      </c>
      <c r="DI583" s="41">
        <f>BQ583</f>
        <v>-592</v>
      </c>
    </row>
    <row r="584" spans="1:113" ht="12" outlineLevel="1">
      <c r="A584" s="1" t="s">
        <v>1044</v>
      </c>
      <c r="B584" s="15" t="s">
        <v>575</v>
      </c>
      <c r="C584" s="41">
        <v>0</v>
      </c>
      <c r="D584" s="41">
        <v>0</v>
      </c>
      <c r="E584" s="41">
        <v>0</v>
      </c>
      <c r="F584" s="41">
        <v>0</v>
      </c>
      <c r="G584" s="41">
        <v>0</v>
      </c>
      <c r="H584" s="41">
        <v>0</v>
      </c>
      <c r="I584" s="41">
        <v>0</v>
      </c>
      <c r="J584" s="41">
        <v>0</v>
      </c>
      <c r="K584" s="41">
        <v>0</v>
      </c>
      <c r="L584" s="41">
        <f>L585-SUM(L571:L583)</f>
        <v>0</v>
      </c>
      <c r="M584" s="41">
        <f>M585-SUM(M571:M583)</f>
        <v>0</v>
      </c>
      <c r="N584" s="41">
        <f>N585-SUM(N571:N583)</f>
        <v>0</v>
      </c>
      <c r="O584" s="41">
        <f>O585-SUM(O571:O583)</f>
        <v>0</v>
      </c>
      <c r="P584" s="41">
        <f>P585-SUM(P571:P583)</f>
        <v>-51</v>
      </c>
      <c r="Q584" s="41">
        <f t="shared" ref="Q584:X584" si="6953">Q585-SUM(Q571:Q583)</f>
        <v>-32</v>
      </c>
      <c r="R584" s="41">
        <f t="shared" si="6953"/>
        <v>-233</v>
      </c>
      <c r="S584" s="41">
        <f t="shared" si="6953"/>
        <v>-212</v>
      </c>
      <c r="T584" s="41">
        <f t="shared" si="6953"/>
        <v>-439</v>
      </c>
      <c r="U584" s="41">
        <f t="shared" si="6953"/>
        <v>-378</v>
      </c>
      <c r="V584" s="41">
        <f t="shared" si="6953"/>
        <v>-290</v>
      </c>
      <c r="W584" s="41">
        <f t="shared" si="6953"/>
        <v>-310</v>
      </c>
      <c r="X584" s="41">
        <f t="shared" si="6953"/>
        <v>-326</v>
      </c>
      <c r="Y584" s="41">
        <f>Y585-SUM(Y571:Y583)</f>
        <v>-154</v>
      </c>
      <c r="Z584" s="141">
        <f>Z585-SUM(Z571:Z583)</f>
        <v>0</v>
      </c>
      <c r="AA584" s="141">
        <v>0</v>
      </c>
      <c r="AB584" s="41">
        <f t="shared" ref="AB584:AG584" si="6954">AB585-SUM(AB571:AB583)</f>
        <v>0</v>
      </c>
      <c r="AC584" s="41">
        <f t="shared" si="6954"/>
        <v>0</v>
      </c>
      <c r="AD584" s="41">
        <f t="shared" si="6954"/>
        <v>0</v>
      </c>
      <c r="AE584" s="41">
        <f t="shared" si="6954"/>
        <v>0</v>
      </c>
      <c r="AF584" s="41">
        <f t="shared" si="6954"/>
        <v>0</v>
      </c>
      <c r="AG584" s="41">
        <f t="shared" si="6954"/>
        <v>0</v>
      </c>
      <c r="AH584" s="41">
        <f t="shared" ref="AH584:AI584" si="6955">AH585-SUM(AH571:AH583)</f>
        <v>0</v>
      </c>
      <c r="AI584" s="41">
        <f t="shared" si="6955"/>
        <v>0</v>
      </c>
      <c r="AJ584" s="41">
        <f t="shared" ref="AJ584:AK584" si="6956">AJ585-SUM(AJ571:AJ583)</f>
        <v>0</v>
      </c>
      <c r="AK584" s="41">
        <f t="shared" si="6956"/>
        <v>0</v>
      </c>
      <c r="AL584" s="41">
        <f t="shared" ref="AL584:AM584" si="6957">AL585-SUM(AL571:AL583)</f>
        <v>0</v>
      </c>
      <c r="AM584" s="41">
        <f t="shared" si="6957"/>
        <v>0</v>
      </c>
      <c r="AN584" s="41">
        <f t="shared" ref="AN584:AO584" si="6958">AN585-SUM(AN571:AN583)</f>
        <v>-1254</v>
      </c>
      <c r="AO584" s="41">
        <f t="shared" si="6958"/>
        <v>-1149</v>
      </c>
      <c r="AP584" s="41">
        <f t="shared" ref="AP584:AQ584" si="6959">AP585-SUM(AP571:AP583)</f>
        <v>-1254</v>
      </c>
      <c r="AQ584" s="41">
        <f t="shared" si="6959"/>
        <v>-1360</v>
      </c>
      <c r="AR584" s="41">
        <f t="shared" ref="AR584:AS584" si="6960">AR585-SUM(AR571:AR583)</f>
        <v>-1432</v>
      </c>
      <c r="AS584" s="41">
        <f t="shared" si="6960"/>
        <v>-1385</v>
      </c>
      <c r="AT584" s="41">
        <f t="shared" ref="AT584:AU584" si="6961">AT585-SUM(AT571:AT583)</f>
        <v>-973</v>
      </c>
      <c r="AU584" s="41">
        <f t="shared" si="6961"/>
        <v>-925</v>
      </c>
      <c r="AV584" s="41">
        <f t="shared" ref="AV584:AW584" si="6962">AV585-SUM(AV571:AV583)</f>
        <v>-1168</v>
      </c>
      <c r="AW584" s="41">
        <f t="shared" si="6962"/>
        <v>-1032</v>
      </c>
      <c r="AX584" s="41">
        <f t="shared" ref="AX584:AY584" si="6963">AX585-SUM(AX571:AX583)</f>
        <v>-1597</v>
      </c>
      <c r="AY584" s="211">
        <f t="shared" si="6963"/>
        <v>-1302</v>
      </c>
      <c r="AZ584" s="210">
        <f t="shared" si="6938"/>
        <v>-1302</v>
      </c>
      <c r="BA584" s="210">
        <f t="shared" si="6939"/>
        <v>-1302</v>
      </c>
      <c r="BB584" s="210">
        <f t="shared" si="6940"/>
        <v>-1302</v>
      </c>
      <c r="BC584" s="210">
        <f t="shared" si="6941"/>
        <v>-1302</v>
      </c>
      <c r="BD584" s="210">
        <f t="shared" si="6942"/>
        <v>-1302</v>
      </c>
      <c r="BE584" s="210">
        <f t="shared" si="6943"/>
        <v>-1302</v>
      </c>
      <c r="BF584" s="210">
        <f t="shared" si="6944"/>
        <v>-1302</v>
      </c>
      <c r="BG584" s="210">
        <f t="shared" si="6945"/>
        <v>-1302</v>
      </c>
      <c r="BH584" s="210">
        <f t="shared" si="6945"/>
        <v>-1302</v>
      </c>
      <c r="BI584" s="210">
        <f t="shared" si="6945"/>
        <v>-1302</v>
      </c>
      <c r="BJ584" s="210">
        <f t="shared" si="6945"/>
        <v>-1302</v>
      </c>
      <c r="BK584" s="210">
        <f t="shared" si="6945"/>
        <v>-1302</v>
      </c>
      <c r="BL584" s="210">
        <f t="shared" si="6946"/>
        <v>-1302</v>
      </c>
      <c r="BM584" s="210">
        <f t="shared" si="6947"/>
        <v>-1302</v>
      </c>
      <c r="BN584" s="210">
        <f t="shared" si="6948"/>
        <v>-1302</v>
      </c>
      <c r="BO584" s="210">
        <f t="shared" si="6949"/>
        <v>-1302</v>
      </c>
      <c r="BP584" s="210">
        <f t="shared" si="6950"/>
        <v>-1302</v>
      </c>
      <c r="BQ584" s="210">
        <f t="shared" si="6951"/>
        <v>-1302</v>
      </c>
      <c r="BR584" s="41"/>
      <c r="BS584" s="40">
        <v>0</v>
      </c>
      <c r="BT584" s="40">
        <v>0</v>
      </c>
      <c r="BU584" s="40">
        <v>0</v>
      </c>
      <c r="BV584" s="40">
        <v>0</v>
      </c>
      <c r="BW584" s="40">
        <v>0</v>
      </c>
      <c r="BX584" s="40">
        <v>0</v>
      </c>
      <c r="BY584" s="40">
        <v>0</v>
      </c>
      <c r="BZ584" s="40">
        <v>0</v>
      </c>
      <c r="CA584" s="40">
        <v>0</v>
      </c>
      <c r="CB584" s="40">
        <v>0</v>
      </c>
      <c r="CC584" s="41">
        <f>E584</f>
        <v>0</v>
      </c>
      <c r="CD584" s="41">
        <f>G584</f>
        <v>0</v>
      </c>
      <c r="CE584" s="41">
        <f>I584</f>
        <v>0</v>
      </c>
      <c r="CF584" s="41">
        <f>K584</f>
        <v>0</v>
      </c>
      <c r="CG584" s="41">
        <f>M584</f>
        <v>0</v>
      </c>
      <c r="CH584" s="41">
        <f>O584</f>
        <v>0</v>
      </c>
      <c r="CI584" s="41">
        <f>Q584</f>
        <v>-32</v>
      </c>
      <c r="CJ584" s="41">
        <f>S584</f>
        <v>-212</v>
      </c>
      <c r="CK584" s="41">
        <f>U584</f>
        <v>-378</v>
      </c>
      <c r="CL584" s="41">
        <f>W584</f>
        <v>-310</v>
      </c>
      <c r="CM584" s="41">
        <f>Y584</f>
        <v>-154</v>
      </c>
      <c r="CN584" s="41">
        <f>AA584</f>
        <v>0</v>
      </c>
      <c r="CO584" s="41">
        <f>AC584</f>
        <v>0</v>
      </c>
      <c r="CP584" s="41">
        <f>AE584</f>
        <v>0</v>
      </c>
      <c r="CQ584" s="41">
        <f>AG584</f>
        <v>0</v>
      </c>
      <c r="CR584" s="41">
        <f>AI584</f>
        <v>0</v>
      </c>
      <c r="CS584" s="41">
        <f>AK584</f>
        <v>0</v>
      </c>
      <c r="CT584" s="41">
        <f>AM584</f>
        <v>0</v>
      </c>
      <c r="CU584" s="41">
        <f>AO584</f>
        <v>-1149</v>
      </c>
      <c r="CV584" s="41">
        <f>AQ584</f>
        <v>-1360</v>
      </c>
      <c r="CW584" s="41">
        <f>AS584</f>
        <v>-1385</v>
      </c>
      <c r="CX584" s="41">
        <f>AU584</f>
        <v>-925</v>
      </c>
      <c r="CY584" s="41">
        <f>AW584</f>
        <v>-1032</v>
      </c>
      <c r="CZ584" s="211">
        <f>AY584</f>
        <v>-1302</v>
      </c>
      <c r="DA584" s="41">
        <f>BA584</f>
        <v>-1302</v>
      </c>
      <c r="DB584" s="41">
        <f>BC584</f>
        <v>-1302</v>
      </c>
      <c r="DC584" s="41">
        <f>BE584</f>
        <v>-1302</v>
      </c>
      <c r="DD584" s="41">
        <f>BG584</f>
        <v>-1302</v>
      </c>
      <c r="DE584" s="41">
        <f>BI584</f>
        <v>-1302</v>
      </c>
      <c r="DF584" s="41">
        <f>BK584</f>
        <v>-1302</v>
      </c>
      <c r="DG584" s="41">
        <f>BM584</f>
        <v>-1302</v>
      </c>
      <c r="DH584" s="41">
        <f>BO584</f>
        <v>-1302</v>
      </c>
      <c r="DI584" s="41">
        <f>BQ584</f>
        <v>-1302</v>
      </c>
    </row>
    <row r="585" spans="1:113" s="17" customFormat="1" ht="12" outlineLevel="1">
      <c r="A585" s="1" t="s">
        <v>1045</v>
      </c>
      <c r="B585" s="17" t="s">
        <v>168</v>
      </c>
      <c r="C585" s="61">
        <f t="shared" ref="C585:J585" si="6964">SUM(C571:C583)</f>
        <v>222</v>
      </c>
      <c r="D585" s="61">
        <f t="shared" si="6964"/>
        <v>-265</v>
      </c>
      <c r="E585" s="61">
        <f t="shared" si="6964"/>
        <v>-266</v>
      </c>
      <c r="F585" s="61">
        <f t="shared" si="6964"/>
        <v>-268</v>
      </c>
      <c r="G585" s="61">
        <f t="shared" si="6964"/>
        <v>-1031</v>
      </c>
      <c r="H585" s="61">
        <f t="shared" si="6964"/>
        <v>-4167</v>
      </c>
      <c r="I585" s="61">
        <f t="shared" si="6964"/>
        <v>-4822</v>
      </c>
      <c r="J585" s="61">
        <f t="shared" si="6964"/>
        <v>-4456</v>
      </c>
      <c r="K585" s="61">
        <f>SUM(K571:K583)</f>
        <v>-4453</v>
      </c>
      <c r="L585" s="61">
        <v>-4504</v>
      </c>
      <c r="M585" s="61">
        <f>-5274+716</f>
        <v>-4558</v>
      </c>
      <c r="N585" s="61">
        <f>-5943+716</f>
        <v>-5227</v>
      </c>
      <c r="O585" s="61">
        <f>-6170+716</f>
        <v>-5454</v>
      </c>
      <c r="P585" s="61">
        <v>-7882</v>
      </c>
      <c r="Q585" s="61">
        <v>-7856</v>
      </c>
      <c r="R585" s="61">
        <v>-8051</v>
      </c>
      <c r="S585" s="61">
        <v>-7492</v>
      </c>
      <c r="T585" s="61">
        <v>-9433</v>
      </c>
      <c r="U585" s="61">
        <v>-10057</v>
      </c>
      <c r="V585" s="61">
        <v>-10070</v>
      </c>
      <c r="W585" s="61">
        <v>-10611</v>
      </c>
      <c r="X585" s="61">
        <v>-10858</v>
      </c>
      <c r="Y585" s="61">
        <v>-10839</v>
      </c>
      <c r="Z585" s="194">
        <v>-15170</v>
      </c>
      <c r="AA585" s="194">
        <v>-15892</v>
      </c>
      <c r="AB585" s="194">
        <v>-15947</v>
      </c>
      <c r="AC585" s="194">
        <v>-16297</v>
      </c>
      <c r="AD585" s="194">
        <v>-17796</v>
      </c>
      <c r="AE585" s="194">
        <v>-18440</v>
      </c>
      <c r="AF585" s="194">
        <v>-17778</v>
      </c>
      <c r="AG585" s="194">
        <v>-18179</v>
      </c>
      <c r="AH585" s="194">
        <v>-17182</v>
      </c>
      <c r="AI585" s="194">
        <v>-17258</v>
      </c>
      <c r="AJ585" s="194">
        <v>-15399</v>
      </c>
      <c r="AK585" s="194">
        <v>-14370</v>
      </c>
      <c r="AL585" s="194">
        <v>-14400</v>
      </c>
      <c r="AM585" s="194">
        <v>-13559</v>
      </c>
      <c r="AN585" s="194">
        <v>-13271</v>
      </c>
      <c r="AO585" s="194">
        <v>-12784</v>
      </c>
      <c r="AP585" s="194">
        <v>-11900</v>
      </c>
      <c r="AQ585" s="194">
        <v>-12320</v>
      </c>
      <c r="AR585" s="194">
        <v>-11425</v>
      </c>
      <c r="AS585" s="194">
        <v>-10354</v>
      </c>
      <c r="AT585" s="194">
        <v>-10887</v>
      </c>
      <c r="AU585" s="194">
        <v>-10895</v>
      </c>
      <c r="AV585" s="194">
        <v>-11142</v>
      </c>
      <c r="AW585" s="194">
        <v>-13570</v>
      </c>
      <c r="AX585" s="194">
        <v>-14882</v>
      </c>
      <c r="AY585" s="227">
        <v>-14825</v>
      </c>
      <c r="AZ585" s="62">
        <f t="shared" ref="AZ585:BA585" si="6965">SUM(AZ571:AZ584)</f>
        <v>-14776.77255576157</v>
      </c>
      <c r="BA585" s="62">
        <f t="shared" si="6965"/>
        <v>-14748.296311839971</v>
      </c>
      <c r="BB585" s="62">
        <f t="shared" ref="BB585:BC585" si="6966">SUM(BB571:BB584)</f>
        <v>-14724.59761240789</v>
      </c>
      <c r="BC585" s="62">
        <f t="shared" si="6966"/>
        <v>-14715.098553367159</v>
      </c>
      <c r="BD585" s="62">
        <f t="shared" ref="BD585:BE585" si="6967">SUM(BD571:BD584)</f>
        <v>-14705.715355325781</v>
      </c>
      <c r="BE585" s="62">
        <f t="shared" si="6967"/>
        <v>-14707.302539334889</v>
      </c>
      <c r="BF585" s="62">
        <f t="shared" ref="BF585:BG585" si="6968">SUM(BF571:BF584)</f>
        <v>-14706.248859814323</v>
      </c>
      <c r="BG585" s="62">
        <f t="shared" si="6968"/>
        <v>-14714.368138814561</v>
      </c>
      <c r="BH585" s="62">
        <f t="shared" ref="BH585:BI585" si="6969">SUM(BH571:BH584)</f>
        <v>-14718.195567662811</v>
      </c>
      <c r="BI585" s="62">
        <f t="shared" si="6969"/>
        <v>-14730.254504322784</v>
      </c>
      <c r="BJ585" s="62">
        <f t="shared" ref="BJ585:BK585" si="6970">SUM(BJ571:BJ584)</f>
        <v>-14737.265600763822</v>
      </c>
      <c r="BK585" s="62">
        <f t="shared" si="6970"/>
        <v>-14754.787881935801</v>
      </c>
      <c r="BL585" s="62">
        <f t="shared" ref="BL585:BM585" si="6971">SUM(BL571:BL584)</f>
        <v>-14759.268105122554</v>
      </c>
      <c r="BM585" s="62">
        <f t="shared" si="6971"/>
        <v>-14776.868179182942</v>
      </c>
      <c r="BN585" s="62">
        <f t="shared" ref="BN585:BO585" si="6972">SUM(BN571:BN584)</f>
        <v>-14781.393014992616</v>
      </c>
      <c r="BO585" s="62">
        <f t="shared" si="6972"/>
        <v>-14798.360238821238</v>
      </c>
      <c r="BP585" s="62">
        <f t="shared" ref="BP585:BQ585" si="6973">SUM(BP571:BP584)</f>
        <v>-14803.66249699304</v>
      </c>
      <c r="BQ585" s="62">
        <f t="shared" si="6973"/>
        <v>-14820.964020647798</v>
      </c>
      <c r="BR585" s="62"/>
      <c r="BS585" s="61">
        <f>3870.6-BS568</f>
        <v>-120.40000000000009</v>
      </c>
      <c r="BT585" s="61">
        <f>4545.8-BT568</f>
        <v>-320.20000000000073</v>
      </c>
      <c r="BU585" s="61">
        <f>5164-BU568</f>
        <v>49</v>
      </c>
      <c r="BV585" s="61">
        <f>5503-BV568</f>
        <v>-244</v>
      </c>
      <c r="BW585" s="61">
        <f>6273-BW568</f>
        <v>-63</v>
      </c>
      <c r="BX585" s="61">
        <f>6972-BX568</f>
        <v>-21</v>
      </c>
      <c r="BY585" s="61">
        <f>8309-BY568</f>
        <v>563</v>
      </c>
      <c r="BZ585" s="61">
        <f>9329-BZ568</f>
        <v>1045</v>
      </c>
      <c r="CA585" s="61">
        <f>9640-CA568</f>
        <v>1238</v>
      </c>
      <c r="CB585" s="61">
        <f>10387-CB568</f>
        <v>1393</v>
      </c>
      <c r="CC585" s="62">
        <f t="shared" ref="CC585:CP585" si="6974">SUM(CC571:CC584)</f>
        <v>-266</v>
      </c>
      <c r="CD585" s="62">
        <f t="shared" si="6974"/>
        <v>-1031</v>
      </c>
      <c r="CE585" s="62">
        <f t="shared" si="6974"/>
        <v>-4822</v>
      </c>
      <c r="CF585" s="62">
        <f t="shared" si="6974"/>
        <v>-4453</v>
      </c>
      <c r="CG585" s="62">
        <f t="shared" si="6974"/>
        <v>-5274</v>
      </c>
      <c r="CH585" s="62">
        <f t="shared" si="6974"/>
        <v>-6170</v>
      </c>
      <c r="CI585" s="62">
        <f t="shared" si="6974"/>
        <v>-7856</v>
      </c>
      <c r="CJ585" s="62">
        <f t="shared" si="6974"/>
        <v>-7492</v>
      </c>
      <c r="CK585" s="62">
        <f t="shared" si="6974"/>
        <v>-10057</v>
      </c>
      <c r="CL585" s="62">
        <f t="shared" si="6974"/>
        <v>-10611</v>
      </c>
      <c r="CM585" s="62">
        <f t="shared" si="6974"/>
        <v>-10839</v>
      </c>
      <c r="CN585" s="62">
        <f t="shared" si="6974"/>
        <v>-15892</v>
      </c>
      <c r="CO585" s="62">
        <f t="shared" si="6974"/>
        <v>-16297</v>
      </c>
      <c r="CP585" s="62">
        <f t="shared" si="6974"/>
        <v>-18440</v>
      </c>
      <c r="CQ585" s="62">
        <f t="shared" ref="CQ585:CX585" si="6975">SUM(CQ571:CQ584)</f>
        <v>-18179</v>
      </c>
      <c r="CR585" s="62">
        <f t="shared" si="6975"/>
        <v>-17258</v>
      </c>
      <c r="CS585" s="62">
        <f t="shared" si="6975"/>
        <v>-14370</v>
      </c>
      <c r="CT585" s="62">
        <f t="shared" si="6975"/>
        <v>-13559</v>
      </c>
      <c r="CU585" s="62">
        <f t="shared" si="6975"/>
        <v>-12784</v>
      </c>
      <c r="CV585" s="62">
        <f t="shared" si="6975"/>
        <v>-12320</v>
      </c>
      <c r="CW585" s="62">
        <f t="shared" si="6975"/>
        <v>-10354</v>
      </c>
      <c r="CX585" s="62">
        <f t="shared" si="6975"/>
        <v>-10895</v>
      </c>
      <c r="CY585" s="62">
        <f t="shared" ref="CY585:DD585" si="6976">SUM(CY571:CY584)</f>
        <v>-13570</v>
      </c>
      <c r="CZ585" s="220">
        <f t="shared" si="6976"/>
        <v>-14825</v>
      </c>
      <c r="DA585" s="62">
        <f t="shared" si="6976"/>
        <v>-14748.296311839971</v>
      </c>
      <c r="DB585" s="62">
        <f t="shared" si="6976"/>
        <v>-14715.098553367159</v>
      </c>
      <c r="DC585" s="62">
        <f t="shared" si="6976"/>
        <v>-14707.302539334889</v>
      </c>
      <c r="DD585" s="62">
        <f t="shared" si="6976"/>
        <v>-14714.368138814561</v>
      </c>
      <c r="DE585" s="62">
        <f t="shared" ref="DE585" si="6977">SUM(DE571:DE584)</f>
        <v>-14730.254504322784</v>
      </c>
      <c r="DF585" s="62">
        <f t="shared" ref="DF585" si="6978">SUM(DF571:DF584)</f>
        <v>-14754.787881935801</v>
      </c>
      <c r="DG585" s="62">
        <f>SUM(DG571:DG584)</f>
        <v>-14776.868179182942</v>
      </c>
      <c r="DH585" s="62">
        <f>SUM(DH571:DH584)</f>
        <v>-14798.360238821238</v>
      </c>
      <c r="DI585" s="62">
        <f>SUM(DI571:DI584)</f>
        <v>-14820.964020647798</v>
      </c>
    </row>
    <row r="586" spans="1:113" ht="12" outlineLevel="1">
      <c r="C586" s="41"/>
      <c r="D586" s="41"/>
      <c r="E586" s="41"/>
      <c r="F586" s="41"/>
      <c r="G586" s="41"/>
      <c r="H586" s="41"/>
      <c r="I586" s="41"/>
      <c r="J586" s="41"/>
      <c r="K586" s="41"/>
      <c r="L586" s="41"/>
      <c r="M586" s="41"/>
      <c r="N586" s="41"/>
      <c r="O586" s="41"/>
      <c r="P586" s="41"/>
      <c r="Q586" s="41"/>
      <c r="R586" s="41"/>
      <c r="S586" s="41"/>
      <c r="T586" s="41"/>
      <c r="U586" s="41"/>
      <c r="V586" s="41"/>
      <c r="W586" s="41"/>
      <c r="X586" s="41"/>
      <c r="Y586" s="41"/>
      <c r="Z586" s="41"/>
      <c r="AA586" s="41"/>
      <c r="AB586" s="41"/>
      <c r="AC586" s="41"/>
      <c r="AD586" s="41"/>
      <c r="AE586" s="41"/>
      <c r="AF586" s="41"/>
      <c r="AG586" s="41"/>
      <c r="AH586" s="41"/>
      <c r="AI586" s="41"/>
      <c r="AJ586" s="41"/>
      <c r="AK586" s="41"/>
      <c r="AL586" s="41"/>
      <c r="AM586" s="41"/>
      <c r="AN586" s="41"/>
      <c r="AO586" s="41"/>
      <c r="AP586" s="41"/>
      <c r="AQ586" s="41"/>
      <c r="AR586" s="41"/>
      <c r="AS586" s="41"/>
      <c r="AT586" s="41"/>
      <c r="AU586" s="41"/>
      <c r="AV586" s="41"/>
      <c r="AW586" s="41"/>
      <c r="AX586" s="41"/>
      <c r="AY586" s="211"/>
      <c r="AZ586" s="41"/>
      <c r="BA586" s="41"/>
      <c r="BB586" s="41"/>
      <c r="BC586" s="41"/>
      <c r="BD586" s="41"/>
      <c r="BE586" s="41"/>
      <c r="BF586" s="41"/>
      <c r="BG586" s="41"/>
      <c r="BH586" s="41"/>
      <c r="BI586" s="41"/>
      <c r="BJ586" s="41"/>
      <c r="BK586" s="41"/>
      <c r="BL586" s="41"/>
      <c r="BM586" s="41"/>
      <c r="BN586" s="41"/>
      <c r="BO586" s="41"/>
      <c r="BP586" s="41"/>
      <c r="BQ586" s="41"/>
      <c r="BR586" s="41"/>
      <c r="BS586" s="41"/>
      <c r="BT586" s="41"/>
      <c r="BU586" s="41"/>
      <c r="BV586" s="41"/>
      <c r="BW586" s="41"/>
      <c r="BX586" s="41"/>
      <c r="BY586" s="41"/>
      <c r="BZ586" s="41"/>
      <c r="CA586" s="41"/>
      <c r="CB586" s="41"/>
      <c r="CC586" s="41"/>
      <c r="CD586" s="41"/>
      <c r="CE586" s="41"/>
      <c r="CF586" s="41"/>
      <c r="CG586" s="41"/>
      <c r="CH586" s="41"/>
      <c r="CI586" s="41"/>
      <c r="CJ586" s="41"/>
      <c r="CK586" s="41"/>
      <c r="CL586" s="41"/>
      <c r="CM586" s="41"/>
      <c r="CN586" s="41"/>
      <c r="CO586" s="41"/>
      <c r="CP586" s="41"/>
      <c r="CQ586" s="41"/>
      <c r="CR586" s="41"/>
      <c r="CS586" s="41"/>
      <c r="CT586" s="41"/>
      <c r="CU586" s="41"/>
      <c r="CV586" s="41"/>
      <c r="CW586" s="41"/>
      <c r="CX586" s="41"/>
      <c r="CY586" s="41"/>
      <c r="CZ586" s="211"/>
      <c r="DA586" s="41"/>
      <c r="DB586" s="15"/>
      <c r="DC586" s="15"/>
      <c r="DD586" s="15"/>
      <c r="DE586" s="15"/>
      <c r="DF586" s="15"/>
      <c r="DG586" s="15"/>
      <c r="DH586" s="15"/>
      <c r="DI586" s="15"/>
    </row>
    <row r="587" spans="1:113" s="17" customFormat="1" ht="12" outlineLevel="1">
      <c r="A587" s="1" t="s">
        <v>1046</v>
      </c>
      <c r="B587" s="17" t="str">
        <f>"= Total Tier 1 capital"</f>
        <v>= Total Tier 1 capital</v>
      </c>
      <c r="C587" s="62">
        <f>C568+C585</f>
        <v>10387</v>
      </c>
      <c r="D587" s="62">
        <f>D568+D585</f>
        <v>10589</v>
      </c>
      <c r="E587" s="62">
        <f>E568+E585</f>
        <v>11201</v>
      </c>
      <c r="F587" s="62">
        <f t="shared" ref="F587:L587" si="6979">F568+F585</f>
        <v>11511</v>
      </c>
      <c r="G587" s="62">
        <f t="shared" si="6979"/>
        <v>11740</v>
      </c>
      <c r="H587" s="62">
        <f t="shared" si="6979"/>
        <v>13025</v>
      </c>
      <c r="I587" s="62">
        <f t="shared" si="6979"/>
        <v>13566</v>
      </c>
      <c r="J587" s="62">
        <f t="shared" si="6979"/>
        <v>14680</v>
      </c>
      <c r="K587" s="62">
        <f t="shared" si="6979"/>
        <v>15157</v>
      </c>
      <c r="L587" s="62">
        <f t="shared" si="6979"/>
        <v>15789</v>
      </c>
      <c r="M587" s="62">
        <f t="shared" ref="M587:AB587" si="6980">M568+M585</f>
        <v>16357</v>
      </c>
      <c r="N587" s="62">
        <f t="shared" si="6980"/>
        <v>16751</v>
      </c>
      <c r="O587" s="62">
        <f t="shared" si="6980"/>
        <v>18428</v>
      </c>
      <c r="P587" s="62">
        <f t="shared" si="6980"/>
        <v>18308</v>
      </c>
      <c r="Q587" s="62">
        <f t="shared" si="6980"/>
        <v>21229</v>
      </c>
      <c r="R587" s="62">
        <f t="shared" si="6980"/>
        <v>22943</v>
      </c>
      <c r="S587" s="62">
        <f t="shared" si="6980"/>
        <v>26619</v>
      </c>
      <c r="T587" s="62">
        <f t="shared" si="6980"/>
        <v>26628</v>
      </c>
      <c r="U587" s="62">
        <f t="shared" si="6980"/>
        <v>26691</v>
      </c>
      <c r="V587" s="62">
        <f t="shared" si="6980"/>
        <v>27770</v>
      </c>
      <c r="W587" s="62">
        <f t="shared" si="6980"/>
        <v>30616</v>
      </c>
      <c r="X587" s="62">
        <f t="shared" si="6980"/>
        <v>32088</v>
      </c>
      <c r="Y587" s="62">
        <f>Y568+Y585</f>
        <v>32501</v>
      </c>
      <c r="Z587" s="62">
        <f t="shared" si="6980"/>
        <v>31740</v>
      </c>
      <c r="AA587" s="62">
        <f t="shared" si="6980"/>
        <v>35180</v>
      </c>
      <c r="AB587" s="62">
        <f t="shared" si="6980"/>
        <v>37299</v>
      </c>
      <c r="AC587" s="62">
        <f t="shared" ref="AC587:AD587" si="6981">AC568+AC585</f>
        <v>38601</v>
      </c>
      <c r="AD587" s="62">
        <f t="shared" si="6981"/>
        <v>41088</v>
      </c>
      <c r="AE587" s="62">
        <f t="shared" ref="AE587:AF587" si="6982">AE568+AE585</f>
        <v>45484</v>
      </c>
      <c r="AF587" s="62">
        <f t="shared" si="6982"/>
        <v>45062</v>
      </c>
      <c r="AG587" s="62">
        <f t="shared" ref="AG587:AH587" si="6983">AG568+AG585</f>
        <v>48285</v>
      </c>
      <c r="AH587" s="62">
        <f t="shared" si="6983"/>
        <v>48091</v>
      </c>
      <c r="AI587" s="62">
        <f t="shared" ref="AI587:AJ587" si="6984">AI568+AI585</f>
        <v>49324</v>
      </c>
      <c r="AJ587" s="62">
        <f t="shared" si="6984"/>
        <v>51125</v>
      </c>
      <c r="AK587" s="62">
        <f t="shared" ref="AK587:AL587" si="6985">AK568+AK585</f>
        <v>52240</v>
      </c>
      <c r="AL587" s="62">
        <f t="shared" si="6985"/>
        <v>53075</v>
      </c>
      <c r="AM587" s="62">
        <f t="shared" ref="AM587:AN587" si="6986">AM568+AM585</f>
        <v>55221</v>
      </c>
      <c r="AN587" s="62">
        <f t="shared" si="6986"/>
        <v>56002</v>
      </c>
      <c r="AO587" s="62">
        <f t="shared" ref="AO587" si="6987">AO568+AO585</f>
        <v>56087</v>
      </c>
      <c r="AP587" s="62">
        <f t="shared" ref="AP587:AQ587" si="6988">AP568+AP585</f>
        <v>58431</v>
      </c>
      <c r="AQ587" s="62">
        <f t="shared" si="6988"/>
        <v>59473</v>
      </c>
      <c r="AR587" s="62">
        <f t="shared" ref="AR587:AS587" si="6989">AR568+AR585</f>
        <v>58001</v>
      </c>
      <c r="AS587" s="62">
        <f t="shared" si="6989"/>
        <v>63558</v>
      </c>
      <c r="AT587" s="62">
        <f t="shared" ref="AT587:AU587" si="6990">AT568+AT585</f>
        <v>65565</v>
      </c>
      <c r="AU587" s="62">
        <f t="shared" si="6990"/>
        <v>66026</v>
      </c>
      <c r="AV587" s="62">
        <f t="shared" ref="AV587:AW587" si="6991">AV568+AV585</f>
        <v>66709</v>
      </c>
      <c r="AW587" s="62">
        <f t="shared" si="6991"/>
        <v>62676</v>
      </c>
      <c r="AX587" s="62">
        <f t="shared" ref="AX587:AY587" si="6992">AX568+AX585</f>
        <v>62672</v>
      </c>
      <c r="AY587" s="220">
        <f t="shared" si="6992"/>
        <v>62541</v>
      </c>
      <c r="AZ587" s="62">
        <f t="shared" ref="AZ587:BA587" si="6993">AZ568+AZ585</f>
        <v>65170.828166989413</v>
      </c>
      <c r="BA587" s="62">
        <f t="shared" si="6993"/>
        <v>67025.654168494104</v>
      </c>
      <c r="BB587" s="62">
        <f t="shared" ref="BB587:BC587" si="6994">BB568+BB585</f>
        <v>68056.643011854365</v>
      </c>
      <c r="BC587" s="62">
        <f t="shared" si="6994"/>
        <v>67740.30522057804</v>
      </c>
      <c r="BD587" s="62">
        <f t="shared" ref="BD587:BE587" si="6995">BD568+BD585</f>
        <v>67816.856178822112</v>
      </c>
      <c r="BE587" s="62">
        <f t="shared" si="6995"/>
        <v>67513.57259361379</v>
      </c>
      <c r="BF587" s="62">
        <f t="shared" ref="BF587:BG587" si="6996">BF568+BF585</f>
        <v>67596.161286408955</v>
      </c>
      <c r="BG587" s="62">
        <f t="shared" si="6996"/>
        <v>67403.505869549073</v>
      </c>
      <c r="BH587" s="62">
        <f t="shared" ref="BH587:BI587" si="6997">BH568+BH585</f>
        <v>68538.028620546102</v>
      </c>
      <c r="BI587" s="62">
        <f t="shared" si="6997"/>
        <v>69338.915361892796</v>
      </c>
      <c r="BJ587" s="62">
        <f t="shared" ref="BJ587:BK587" si="6998">BJ568+BJ585</f>
        <v>70610.036153999768</v>
      </c>
      <c r="BK587" s="62">
        <f t="shared" si="6998"/>
        <v>71820.321166620648</v>
      </c>
      <c r="BL587" s="62">
        <f t="shared" ref="BL587:BM587" si="6999">BL568+BL585</f>
        <v>73202.243833847693</v>
      </c>
      <c r="BM587" s="62">
        <f t="shared" si="6999"/>
        <v>74333.456440024995</v>
      </c>
      <c r="BN587" s="62">
        <f t="shared" ref="BN587:BO587" si="7000">BN568+BN585</f>
        <v>75619.092753551915</v>
      </c>
      <c r="BO587" s="62">
        <f t="shared" si="7000"/>
        <v>76695.260603824951</v>
      </c>
      <c r="BP587" s="62">
        <f t="shared" ref="BP587:BQ587" si="7001">BP568+BP585</f>
        <v>77939.213512603135</v>
      </c>
      <c r="BQ587" s="62">
        <f t="shared" si="7001"/>
        <v>79014.14286509782</v>
      </c>
      <c r="BR587" s="62"/>
      <c r="BS587" s="62">
        <f t="shared" ref="BS587:CB587" si="7002">BS568+BS585</f>
        <v>3870.6</v>
      </c>
      <c r="BT587" s="62">
        <f t="shared" si="7002"/>
        <v>4545.8</v>
      </c>
      <c r="BU587" s="62">
        <f t="shared" si="7002"/>
        <v>5164</v>
      </c>
      <c r="BV587" s="62">
        <f t="shared" si="7002"/>
        <v>5503</v>
      </c>
      <c r="BW587" s="62">
        <f t="shared" si="7002"/>
        <v>6273</v>
      </c>
      <c r="BX587" s="62">
        <f t="shared" si="7002"/>
        <v>6972</v>
      </c>
      <c r="BY587" s="62">
        <f t="shared" si="7002"/>
        <v>8309</v>
      </c>
      <c r="BZ587" s="62">
        <f t="shared" si="7002"/>
        <v>9329</v>
      </c>
      <c r="CA587" s="62">
        <f t="shared" si="7002"/>
        <v>9640</v>
      </c>
      <c r="CB587" s="62">
        <f t="shared" si="7002"/>
        <v>10387</v>
      </c>
      <c r="CC587" s="62">
        <f t="shared" ref="CC587:CO587" si="7003">CC568+CC585</f>
        <v>11201</v>
      </c>
      <c r="CD587" s="62">
        <f t="shared" si="7003"/>
        <v>11740</v>
      </c>
      <c r="CE587" s="62">
        <f t="shared" si="7003"/>
        <v>13566</v>
      </c>
      <c r="CF587" s="62">
        <f t="shared" si="7003"/>
        <v>15157</v>
      </c>
      <c r="CG587" s="62">
        <f t="shared" si="7003"/>
        <v>15641</v>
      </c>
      <c r="CH587" s="62">
        <f t="shared" si="7003"/>
        <v>17712</v>
      </c>
      <c r="CI587" s="62">
        <f t="shared" si="7003"/>
        <v>21229</v>
      </c>
      <c r="CJ587" s="62">
        <f t="shared" si="7003"/>
        <v>26619</v>
      </c>
      <c r="CK587" s="62">
        <f t="shared" si="7003"/>
        <v>26691</v>
      </c>
      <c r="CL587" s="62">
        <f t="shared" si="7003"/>
        <v>30616</v>
      </c>
      <c r="CM587" s="62">
        <f t="shared" si="7003"/>
        <v>32501</v>
      </c>
      <c r="CN587" s="62">
        <f t="shared" si="7003"/>
        <v>35180</v>
      </c>
      <c r="CO587" s="62">
        <f t="shared" si="7003"/>
        <v>38601</v>
      </c>
      <c r="CP587" s="62">
        <f t="shared" ref="CP587:CX587" si="7004">CP568+CP585</f>
        <v>45484</v>
      </c>
      <c r="CQ587" s="62">
        <f t="shared" si="7004"/>
        <v>48285</v>
      </c>
      <c r="CR587" s="62">
        <f t="shared" si="7004"/>
        <v>49324</v>
      </c>
      <c r="CS587" s="62">
        <f t="shared" si="7004"/>
        <v>52240</v>
      </c>
      <c r="CT587" s="62">
        <f t="shared" si="7004"/>
        <v>55221</v>
      </c>
      <c r="CU587" s="62">
        <f t="shared" si="7004"/>
        <v>56087</v>
      </c>
      <c r="CV587" s="62">
        <f t="shared" si="7004"/>
        <v>59473</v>
      </c>
      <c r="CW587" s="62">
        <f t="shared" si="7004"/>
        <v>63558</v>
      </c>
      <c r="CX587" s="62">
        <f t="shared" si="7004"/>
        <v>66026</v>
      </c>
      <c r="CY587" s="62">
        <f t="shared" ref="CY587:DD587" si="7005">CY568+CY585</f>
        <v>62676</v>
      </c>
      <c r="CZ587" s="220">
        <f t="shared" si="7005"/>
        <v>62541</v>
      </c>
      <c r="DA587" s="62">
        <f t="shared" si="7005"/>
        <v>67025.654168494104</v>
      </c>
      <c r="DB587" s="62">
        <f t="shared" si="7005"/>
        <v>67740.305220578026</v>
      </c>
      <c r="DC587" s="62">
        <f t="shared" si="7005"/>
        <v>67513.572593613775</v>
      </c>
      <c r="DD587" s="62">
        <f t="shared" si="7005"/>
        <v>67403.505869549073</v>
      </c>
      <c r="DE587" s="62">
        <f t="shared" ref="DE587" si="7006">DE568+DE585</f>
        <v>69338.915361892781</v>
      </c>
      <c r="DF587" s="62">
        <f t="shared" ref="DF587" si="7007">DF568+DF585</f>
        <v>71820.321166620619</v>
      </c>
      <c r="DG587" s="62">
        <f>DG568+DG585</f>
        <v>74333.456440024951</v>
      </c>
      <c r="DH587" s="62">
        <f>DH568+DH585</f>
        <v>76695.260603824921</v>
      </c>
      <c r="DI587" s="62">
        <f>DI568+DI585</f>
        <v>79014.142865097776</v>
      </c>
    </row>
    <row r="588" spans="1:113" ht="12" outlineLevel="1">
      <c r="A588" s="1" t="s">
        <v>1047</v>
      </c>
      <c r="B588" s="15" t="s">
        <v>576</v>
      </c>
      <c r="C588" s="41">
        <f>-C539</f>
        <v>-1526</v>
      </c>
      <c r="D588" s="41">
        <f>-D539</f>
        <v>-1410</v>
      </c>
      <c r="E588" s="41">
        <f>-E539</f>
        <v>-1375</v>
      </c>
      <c r="F588" s="41">
        <f t="shared" ref="F588:L588" si="7008">-F539</f>
        <v>-1225</v>
      </c>
      <c r="G588" s="41">
        <f t="shared" si="7008"/>
        <v>-2212</v>
      </c>
      <c r="H588" s="41">
        <f t="shared" si="7008"/>
        <v>-987</v>
      </c>
      <c r="I588" s="41">
        <f t="shared" si="7008"/>
        <v>-871</v>
      </c>
      <c r="J588" s="41">
        <f t="shared" si="7008"/>
        <v>-1858</v>
      </c>
      <c r="K588" s="41">
        <f t="shared" si="7008"/>
        <v>-1858</v>
      </c>
      <c r="L588" s="41">
        <f t="shared" si="7008"/>
        <v>-871</v>
      </c>
      <c r="M588" s="41">
        <f t="shared" ref="M588:AB588" si="7009">-M539</f>
        <v>-871</v>
      </c>
      <c r="N588" s="41">
        <f t="shared" si="7009"/>
        <v>-871</v>
      </c>
      <c r="O588" s="41">
        <f t="shared" si="7009"/>
        <v>-871</v>
      </c>
      <c r="P588" s="41">
        <f t="shared" si="7009"/>
        <v>-871</v>
      </c>
      <c r="Q588" s="41">
        <f t="shared" si="7009"/>
        <v>-871</v>
      </c>
      <c r="R588" s="41">
        <f t="shared" si="7009"/>
        <v>-871</v>
      </c>
      <c r="S588" s="41">
        <f t="shared" si="7009"/>
        <v>-871</v>
      </c>
      <c r="T588" s="41">
        <f t="shared" si="7009"/>
        <v>-871</v>
      </c>
      <c r="U588" s="41">
        <f t="shared" si="7009"/>
        <v>-871</v>
      </c>
      <c r="V588" s="41">
        <f t="shared" si="7009"/>
        <v>-871</v>
      </c>
      <c r="W588" s="41">
        <f t="shared" si="7009"/>
        <v>-871</v>
      </c>
      <c r="X588" s="41">
        <f t="shared" si="7009"/>
        <v>-871</v>
      </c>
      <c r="Y588" s="41">
        <f>-Y539</f>
        <v>-871</v>
      </c>
      <c r="Z588" s="41">
        <f t="shared" si="7009"/>
        <v>-871</v>
      </c>
      <c r="AA588" s="41">
        <f t="shared" si="7009"/>
        <v>-871</v>
      </c>
      <c r="AB588" s="41">
        <f t="shared" si="7009"/>
        <v>-871</v>
      </c>
      <c r="AC588" s="41">
        <f t="shared" ref="AC588:AD588" si="7010">-AC539</f>
        <v>-871</v>
      </c>
      <c r="AD588" s="41">
        <f t="shared" si="7010"/>
        <v>0</v>
      </c>
      <c r="AE588" s="41">
        <f t="shared" ref="AE588:AF588" si="7011">-AE539</f>
        <v>0</v>
      </c>
      <c r="AF588" s="41">
        <f t="shared" si="7011"/>
        <v>0</v>
      </c>
      <c r="AG588" s="41">
        <f t="shared" ref="AG588:AH588" si="7012">-AG539</f>
        <v>0</v>
      </c>
      <c r="AH588" s="41">
        <f t="shared" si="7012"/>
        <v>0</v>
      </c>
      <c r="AI588" s="41">
        <f t="shared" ref="AI588:AJ588" si="7013">-AI539</f>
        <v>0</v>
      </c>
      <c r="AJ588" s="41">
        <f t="shared" si="7013"/>
        <v>0</v>
      </c>
      <c r="AK588" s="41">
        <f t="shared" ref="AK588:AL588" si="7014">-AK539</f>
        <v>0</v>
      </c>
      <c r="AL588" s="41">
        <f t="shared" si="7014"/>
        <v>0</v>
      </c>
      <c r="AM588" s="41">
        <f t="shared" ref="AM588:AN588" si="7015">-AM539</f>
        <v>0</v>
      </c>
      <c r="AN588" s="41">
        <f t="shared" si="7015"/>
        <v>0</v>
      </c>
      <c r="AO588" s="41">
        <f t="shared" ref="AO588" si="7016">-AO539</f>
        <v>0</v>
      </c>
      <c r="AP588" s="41">
        <f t="shared" ref="AP588:AQ588" si="7017">-AP539</f>
        <v>0</v>
      </c>
      <c r="AQ588" s="41">
        <f t="shared" si="7017"/>
        <v>0</v>
      </c>
      <c r="AR588" s="41">
        <f t="shared" ref="AR588:AS588" si="7018">-AR539</f>
        <v>0</v>
      </c>
      <c r="AS588" s="41">
        <f t="shared" si="7018"/>
        <v>0</v>
      </c>
      <c r="AT588" s="41">
        <f t="shared" ref="AT588:AU588" si="7019">-AT539</f>
        <v>0</v>
      </c>
      <c r="AU588" s="41">
        <f t="shared" si="7019"/>
        <v>0</v>
      </c>
      <c r="AV588" s="41">
        <f t="shared" ref="AV588:AW588" si="7020">-AV539</f>
        <v>0</v>
      </c>
      <c r="AW588" s="41">
        <f t="shared" si="7020"/>
        <v>0</v>
      </c>
      <c r="AX588" s="41">
        <f t="shared" ref="AX588:AY588" si="7021">-AX539</f>
        <v>0</v>
      </c>
      <c r="AY588" s="211">
        <f t="shared" si="7021"/>
        <v>0</v>
      </c>
      <c r="AZ588" s="41">
        <f t="shared" ref="AZ588:BA588" si="7022">-AZ539</f>
        <v>0</v>
      </c>
      <c r="BA588" s="41">
        <f t="shared" si="7022"/>
        <v>0</v>
      </c>
      <c r="BB588" s="41">
        <f t="shared" ref="BB588:BC588" si="7023">-BB539</f>
        <v>0</v>
      </c>
      <c r="BC588" s="41">
        <f t="shared" si="7023"/>
        <v>0</v>
      </c>
      <c r="BD588" s="41">
        <f t="shared" ref="BD588:BE588" si="7024">-BD539</f>
        <v>0</v>
      </c>
      <c r="BE588" s="41">
        <f t="shared" si="7024"/>
        <v>0</v>
      </c>
      <c r="BF588" s="41">
        <f t="shared" ref="BF588:BG588" si="7025">-BF539</f>
        <v>0</v>
      </c>
      <c r="BG588" s="41">
        <f t="shared" si="7025"/>
        <v>0</v>
      </c>
      <c r="BH588" s="41">
        <f t="shared" ref="BH588:BI588" si="7026">-BH539</f>
        <v>0</v>
      </c>
      <c r="BI588" s="41">
        <f t="shared" si="7026"/>
        <v>0</v>
      </c>
      <c r="BJ588" s="41">
        <f t="shared" ref="BJ588:BK588" si="7027">-BJ539</f>
        <v>0</v>
      </c>
      <c r="BK588" s="41">
        <f t="shared" si="7027"/>
        <v>0</v>
      </c>
      <c r="BL588" s="41">
        <f t="shared" ref="BL588:BM588" si="7028">-BL539</f>
        <v>0</v>
      </c>
      <c r="BM588" s="41">
        <f t="shared" si="7028"/>
        <v>0</v>
      </c>
      <c r="BN588" s="41">
        <f t="shared" ref="BN588:BO588" si="7029">-BN539</f>
        <v>0</v>
      </c>
      <c r="BO588" s="41">
        <f t="shared" si="7029"/>
        <v>0</v>
      </c>
      <c r="BP588" s="41">
        <f t="shared" ref="BP588:BQ588" si="7030">-BP539</f>
        <v>0</v>
      </c>
      <c r="BQ588" s="41">
        <f t="shared" si="7030"/>
        <v>0</v>
      </c>
      <c r="BR588" s="41"/>
      <c r="BS588" s="41">
        <f t="shared" ref="BS588:CB588" si="7031">-BS539</f>
        <v>-599.70000000000073</v>
      </c>
      <c r="BT588" s="41">
        <f t="shared" si="7031"/>
        <v>-600</v>
      </c>
      <c r="BU588" s="41">
        <f t="shared" si="7031"/>
        <v>-600</v>
      </c>
      <c r="BV588" s="41">
        <f t="shared" si="7031"/>
        <v>0</v>
      </c>
      <c r="BW588" s="41">
        <f t="shared" si="7031"/>
        <v>0</v>
      </c>
      <c r="BX588" s="41">
        <f t="shared" si="7031"/>
        <v>0</v>
      </c>
      <c r="BY588" s="41">
        <f t="shared" si="7031"/>
        <v>-645</v>
      </c>
      <c r="BZ588" s="41">
        <f t="shared" si="7031"/>
        <v>-1145</v>
      </c>
      <c r="CA588" s="41">
        <f t="shared" si="7031"/>
        <v>-1374</v>
      </c>
      <c r="CB588" s="41">
        <f t="shared" si="7031"/>
        <v>-1526</v>
      </c>
      <c r="CC588" s="41">
        <f>E588</f>
        <v>-1375</v>
      </c>
      <c r="CD588" s="41">
        <f>G588</f>
        <v>-2212</v>
      </c>
      <c r="CE588" s="41">
        <f>I588</f>
        <v>-871</v>
      </c>
      <c r="CF588" s="41">
        <f>K588</f>
        <v>-1858</v>
      </c>
      <c r="CG588" s="41">
        <f>M588</f>
        <v>-871</v>
      </c>
      <c r="CH588" s="41">
        <f>O588</f>
        <v>-871</v>
      </c>
      <c r="CI588" s="41">
        <f>Q588</f>
        <v>-871</v>
      </c>
      <c r="CJ588" s="41">
        <f>S588</f>
        <v>-871</v>
      </c>
      <c r="CK588" s="41">
        <f>U588</f>
        <v>-871</v>
      </c>
      <c r="CL588" s="41">
        <f>W588</f>
        <v>-871</v>
      </c>
      <c r="CM588" s="41">
        <f>Y588</f>
        <v>-871</v>
      </c>
      <c r="CN588" s="41">
        <f>AA588</f>
        <v>-871</v>
      </c>
      <c r="CO588" s="41">
        <f>AC588</f>
        <v>-871</v>
      </c>
      <c r="CP588" s="41">
        <f>AE588</f>
        <v>0</v>
      </c>
      <c r="CQ588" s="41">
        <f>AG588</f>
        <v>0</v>
      </c>
      <c r="CR588" s="41">
        <f>AI588</f>
        <v>0</v>
      </c>
      <c r="CS588" s="41">
        <f>AK588</f>
        <v>0</v>
      </c>
      <c r="CT588" s="41">
        <f>AM588</f>
        <v>0</v>
      </c>
      <c r="CU588" s="41">
        <f>AO588</f>
        <v>0</v>
      </c>
      <c r="CV588" s="41">
        <f>AQ588</f>
        <v>0</v>
      </c>
      <c r="CW588" s="41">
        <f>AS588</f>
        <v>0</v>
      </c>
      <c r="CX588" s="41">
        <f>AU588</f>
        <v>0</v>
      </c>
      <c r="CY588" s="41">
        <f>AW588</f>
        <v>0</v>
      </c>
      <c r="CZ588" s="211">
        <f>AY588</f>
        <v>0</v>
      </c>
      <c r="DA588" s="41">
        <f>BA588</f>
        <v>0</v>
      </c>
      <c r="DB588" s="41">
        <f>BC588</f>
        <v>0</v>
      </c>
      <c r="DC588" s="41">
        <f>BE588</f>
        <v>0</v>
      </c>
      <c r="DD588" s="41">
        <f>BG588</f>
        <v>0</v>
      </c>
      <c r="DE588" s="41">
        <f>BI588</f>
        <v>0</v>
      </c>
      <c r="DF588" s="41">
        <f>BK588</f>
        <v>0</v>
      </c>
      <c r="DG588" s="41">
        <f>BM588</f>
        <v>0</v>
      </c>
      <c r="DH588" s="41">
        <f>BO588</f>
        <v>0</v>
      </c>
      <c r="DI588" s="41">
        <f>BQ588</f>
        <v>0</v>
      </c>
    </row>
    <row r="589" spans="1:113" ht="12" outlineLevel="1">
      <c r="A589" s="1" t="s">
        <v>1048</v>
      </c>
      <c r="B589" s="15" t="s">
        <v>577</v>
      </c>
      <c r="C589" s="41">
        <f>-C565-C566-C555-C567</f>
        <v>386</v>
      </c>
      <c r="D589" s="41">
        <f>-D565-D566-D555-D567</f>
        <v>-51</v>
      </c>
      <c r="E589" s="41">
        <f>-E565-E566-E555-E567</f>
        <v>-50</v>
      </c>
      <c r="F589" s="41">
        <f>-F565-F566-F555-F567</f>
        <v>-59</v>
      </c>
      <c r="G589" s="41">
        <f>-G565-G566-G555-G567</f>
        <v>71</v>
      </c>
      <c r="H589" s="41">
        <f t="shared" ref="H589:L589" si="7032">-H565-H566-H555-H567</f>
        <v>-1463</v>
      </c>
      <c r="I589" s="41">
        <f t="shared" si="7032"/>
        <v>-1664</v>
      </c>
      <c r="J589" s="41">
        <f t="shared" si="7032"/>
        <v>-1405</v>
      </c>
      <c r="K589" s="41">
        <f t="shared" si="7032"/>
        <v>-1443</v>
      </c>
      <c r="L589" s="41">
        <f t="shared" si="7032"/>
        <v>-2514</v>
      </c>
      <c r="M589" s="41">
        <f t="shared" ref="M589:AB589" si="7033">-M565-M566-M555-M567</f>
        <v>-2471</v>
      </c>
      <c r="N589" s="41">
        <f t="shared" si="7033"/>
        <v>-2317</v>
      </c>
      <c r="O589" s="41">
        <f t="shared" si="7033"/>
        <v>-3281</v>
      </c>
      <c r="P589" s="41">
        <f t="shared" si="7033"/>
        <v>-3182</v>
      </c>
      <c r="Q589" s="41">
        <f t="shared" si="7033"/>
        <v>-4071</v>
      </c>
      <c r="R589" s="41">
        <f t="shared" si="7033"/>
        <v>-4224</v>
      </c>
      <c r="S589" s="41">
        <f t="shared" si="7033"/>
        <v>-3152</v>
      </c>
      <c r="T589" s="41">
        <f t="shared" si="7033"/>
        <v>-4610</v>
      </c>
      <c r="U589" s="41">
        <f t="shared" ref="U589:Z589" si="7034">-U565-U566-U555-U567</f>
        <v>-4562</v>
      </c>
      <c r="V589" s="41">
        <f t="shared" si="7034"/>
        <v>-4477</v>
      </c>
      <c r="W589" s="41">
        <f t="shared" si="7034"/>
        <v>-5881</v>
      </c>
      <c r="X589" s="41">
        <f t="shared" si="7034"/>
        <v>-5802</v>
      </c>
      <c r="Y589" s="41">
        <f t="shared" si="7034"/>
        <v>-5106</v>
      </c>
      <c r="Z589" s="41">
        <f t="shared" si="7034"/>
        <v>-4494</v>
      </c>
      <c r="AA589" s="41">
        <f t="shared" si="7033"/>
        <v>-5530</v>
      </c>
      <c r="AB589" s="41">
        <f t="shared" si="7033"/>
        <v>-6408</v>
      </c>
      <c r="AC589" s="41">
        <f t="shared" ref="AC589:AD589" si="7035">-AC565-AC566-AC555-AC567</f>
        <v>-5954</v>
      </c>
      <c r="AD589" s="41">
        <f t="shared" si="7035"/>
        <v>-7352</v>
      </c>
      <c r="AE589" s="41">
        <f t="shared" ref="AE589:AF589" si="7036">-AE565-AE566-AE555-AE567</f>
        <v>-6958</v>
      </c>
      <c r="AF589" s="41">
        <f t="shared" si="7036"/>
        <v>-6960</v>
      </c>
      <c r="AG589" s="41">
        <f t="shared" ref="AG589:AH589" si="7037">-AG565-AG566-AG555-AG567</f>
        <v>-9018</v>
      </c>
      <c r="AH589" s="41">
        <f t="shared" si="7037"/>
        <v>-7874</v>
      </c>
      <c r="AI589" s="41">
        <f t="shared" ref="AI589:AJ589" si="7038">-AI565-AI566-AI555-AI567</f>
        <v>-7988</v>
      </c>
      <c r="AJ589" s="41">
        <f t="shared" si="7038"/>
        <v>-7418</v>
      </c>
      <c r="AK589" s="41">
        <f t="shared" ref="AK589:AL589" si="7039">-AK565-AK566-AK555-AK567</f>
        <v>-7527</v>
      </c>
      <c r="AL589" s="41">
        <f t="shared" si="7039"/>
        <v>-7547</v>
      </c>
      <c r="AM589" s="41">
        <f t="shared" ref="AM589:AN589" si="7040">-AM565-AM566-AM555-AM567</f>
        <v>-7866</v>
      </c>
      <c r="AN589" s="41">
        <f t="shared" si="7040"/>
        <v>-7964</v>
      </c>
      <c r="AO589" s="41">
        <f t="shared" ref="AO589" si="7041">-AO565-AO566-AO555-AO567</f>
        <v>-7779</v>
      </c>
      <c r="AP589" s="41">
        <f t="shared" ref="AP589:AQ589" si="7042">-AP565-AP566-AP555-AP567</f>
        <v>-7645</v>
      </c>
      <c r="AQ589" s="41">
        <f t="shared" si="7042"/>
        <v>-8114</v>
      </c>
      <c r="AR589" s="41">
        <f t="shared" ref="AR589:AS589" si="7043">-AR565-AR566-AR555-AR567</f>
        <v>-7490</v>
      </c>
      <c r="AS589" s="41">
        <f t="shared" si="7043"/>
        <v>-7686</v>
      </c>
      <c r="AT589" s="41">
        <f t="shared" ref="AT589:AU589" si="7044">-AT565-AT566-AT555-AT567</f>
        <v>-8184</v>
      </c>
      <c r="AU589" s="41">
        <f t="shared" si="7044"/>
        <v>-8232</v>
      </c>
      <c r="AV589" s="41">
        <f t="shared" ref="AV589:AW589" si="7045">-AV565-AV566-AV555-AV567</f>
        <v>-8297</v>
      </c>
      <c r="AW589" s="41">
        <f t="shared" si="7045"/>
        <v>-8207</v>
      </c>
      <c r="AX589" s="41">
        <f t="shared" ref="AX589:AY589" si="7046">-AX565-AX566-AX555-AX567</f>
        <v>-7443</v>
      </c>
      <c r="AY589" s="211">
        <f t="shared" si="7046"/>
        <v>-7357</v>
      </c>
      <c r="AZ589" s="41">
        <f t="shared" ref="AZ589:BA589" si="7047">-AZ565-AZ566-AZ555-AZ567</f>
        <v>-7357</v>
      </c>
      <c r="BA589" s="41">
        <f t="shared" si="7047"/>
        <v>-7357</v>
      </c>
      <c r="BB589" s="41">
        <f t="shared" ref="BB589:BC589" si="7048">-BB565-BB566-BB555-BB567</f>
        <v>-7357</v>
      </c>
      <c r="BC589" s="41">
        <f t="shared" si="7048"/>
        <v>-7357</v>
      </c>
      <c r="BD589" s="41">
        <f t="shared" ref="BD589:BE589" si="7049">-BD565-BD566-BD555-BD567</f>
        <v>-7357</v>
      </c>
      <c r="BE589" s="41">
        <f t="shared" si="7049"/>
        <v>-7357</v>
      </c>
      <c r="BF589" s="41">
        <f t="shared" ref="BF589:BG589" si="7050">-BF565-BF566-BF555-BF567</f>
        <v>-7357</v>
      </c>
      <c r="BG589" s="41">
        <f t="shared" si="7050"/>
        <v>-7357</v>
      </c>
      <c r="BH589" s="41">
        <f t="shared" ref="BH589:BI589" si="7051">-BH565-BH566-BH555-BH567</f>
        <v>-7357</v>
      </c>
      <c r="BI589" s="41">
        <f t="shared" si="7051"/>
        <v>-7357</v>
      </c>
      <c r="BJ589" s="41">
        <f t="shared" ref="BJ589:BK589" si="7052">-BJ565-BJ566-BJ555-BJ567</f>
        <v>-7357</v>
      </c>
      <c r="BK589" s="41">
        <f t="shared" si="7052"/>
        <v>-7357</v>
      </c>
      <c r="BL589" s="41">
        <f t="shared" ref="BL589:BM589" si="7053">-BL565-BL566-BL555-BL567</f>
        <v>-7357</v>
      </c>
      <c r="BM589" s="41">
        <f t="shared" si="7053"/>
        <v>-7357</v>
      </c>
      <c r="BN589" s="41">
        <f t="shared" ref="BN589:BO589" si="7054">-BN565-BN566-BN555-BN567</f>
        <v>-7357</v>
      </c>
      <c r="BO589" s="41">
        <f t="shared" si="7054"/>
        <v>-7357</v>
      </c>
      <c r="BP589" s="41">
        <f t="shared" ref="BP589:BQ589" si="7055">-BP565-BP566-BP555-BP567</f>
        <v>-7357</v>
      </c>
      <c r="BQ589" s="41">
        <f t="shared" si="7055"/>
        <v>-7357</v>
      </c>
      <c r="BR589" s="41"/>
      <c r="BS589" s="41">
        <f t="shared" ref="BS589:CB589" si="7056">-BS565-BS566-BS555-BS567</f>
        <v>600</v>
      </c>
      <c r="BT589" s="41">
        <f t="shared" si="7056"/>
        <v>267</v>
      </c>
      <c r="BU589" s="41">
        <f t="shared" si="7056"/>
        <v>389</v>
      </c>
      <c r="BV589" s="41">
        <f t="shared" si="7056"/>
        <v>0</v>
      </c>
      <c r="BW589" s="41">
        <f t="shared" si="7056"/>
        <v>0</v>
      </c>
      <c r="BX589" s="41">
        <f t="shared" si="7056"/>
        <v>0</v>
      </c>
      <c r="BY589" s="41">
        <f t="shared" si="7056"/>
        <v>645</v>
      </c>
      <c r="BZ589" s="41">
        <f t="shared" si="7056"/>
        <v>1145</v>
      </c>
      <c r="CA589" s="41">
        <f t="shared" si="7056"/>
        <v>1374</v>
      </c>
      <c r="CB589" s="41">
        <f t="shared" si="7056"/>
        <v>1526</v>
      </c>
      <c r="CC589" s="41">
        <f>E589</f>
        <v>-50</v>
      </c>
      <c r="CD589" s="41">
        <f>G589</f>
        <v>71</v>
      </c>
      <c r="CE589" s="41">
        <f>I589</f>
        <v>-1664</v>
      </c>
      <c r="CF589" s="41">
        <f>K589</f>
        <v>-1443</v>
      </c>
      <c r="CG589" s="41">
        <f>M589</f>
        <v>-2471</v>
      </c>
      <c r="CH589" s="41">
        <f>O589</f>
        <v>-3281</v>
      </c>
      <c r="CI589" s="41">
        <f>Q589</f>
        <v>-4071</v>
      </c>
      <c r="CJ589" s="41">
        <f>S589</f>
        <v>-3152</v>
      </c>
      <c r="CK589" s="41">
        <f>U589</f>
        <v>-4562</v>
      </c>
      <c r="CL589" s="41">
        <f>W589</f>
        <v>-5881</v>
      </c>
      <c r="CM589" s="41">
        <f>Y589</f>
        <v>-5106</v>
      </c>
      <c r="CN589" s="41">
        <f>AA589</f>
        <v>-5530</v>
      </c>
      <c r="CO589" s="41">
        <f>AC589</f>
        <v>-5954</v>
      </c>
      <c r="CP589" s="41">
        <f>AE589</f>
        <v>-6958</v>
      </c>
      <c r="CQ589" s="41">
        <f>AG589</f>
        <v>-9018</v>
      </c>
      <c r="CR589" s="41">
        <f>AI589</f>
        <v>-7988</v>
      </c>
      <c r="CS589" s="41">
        <f>AK589</f>
        <v>-7527</v>
      </c>
      <c r="CT589" s="41">
        <f>AM589</f>
        <v>-7866</v>
      </c>
      <c r="CU589" s="41">
        <f>AO589</f>
        <v>-7779</v>
      </c>
      <c r="CV589" s="41">
        <f>AQ589</f>
        <v>-8114</v>
      </c>
      <c r="CW589" s="41">
        <f>AS589</f>
        <v>-7686</v>
      </c>
      <c r="CX589" s="41">
        <f>AU589</f>
        <v>-8232</v>
      </c>
      <c r="CY589" s="41">
        <f>AW589</f>
        <v>-8207</v>
      </c>
      <c r="CZ589" s="211">
        <f>AY589</f>
        <v>-7357</v>
      </c>
      <c r="DA589" s="41">
        <f>BA589</f>
        <v>-7357</v>
      </c>
      <c r="DB589" s="41">
        <f>BC589</f>
        <v>-7357</v>
      </c>
      <c r="DC589" s="41">
        <f>BE589</f>
        <v>-7357</v>
      </c>
      <c r="DD589" s="41">
        <f>BG589</f>
        <v>-7357</v>
      </c>
      <c r="DE589" s="41">
        <f>BI589</f>
        <v>-7357</v>
      </c>
      <c r="DF589" s="41">
        <f>BK589</f>
        <v>-7357</v>
      </c>
      <c r="DG589" s="41">
        <f>BM589</f>
        <v>-7357</v>
      </c>
      <c r="DH589" s="41">
        <f>BO589</f>
        <v>-7357</v>
      </c>
      <c r="DI589" s="41">
        <f>BQ589</f>
        <v>-7357</v>
      </c>
    </row>
    <row r="590" spans="1:113" s="17" customFormat="1" ht="12" outlineLevel="1">
      <c r="A590" s="1" t="s">
        <v>935</v>
      </c>
      <c r="B590" s="17" t="s">
        <v>578</v>
      </c>
      <c r="C590" s="62">
        <f t="shared" ref="C590:L590" si="7057">C587+C588+C589</f>
        <v>9247</v>
      </c>
      <c r="D590" s="62">
        <f t="shared" si="7057"/>
        <v>9128</v>
      </c>
      <c r="E590" s="62">
        <f t="shared" si="7057"/>
        <v>9776</v>
      </c>
      <c r="F590" s="62">
        <f t="shared" si="7057"/>
        <v>10227</v>
      </c>
      <c r="G590" s="62">
        <f t="shared" si="7057"/>
        <v>9599</v>
      </c>
      <c r="H590" s="62">
        <f t="shared" si="7057"/>
        <v>10575</v>
      </c>
      <c r="I590" s="62">
        <f t="shared" si="7057"/>
        <v>11031</v>
      </c>
      <c r="J590" s="62">
        <f t="shared" si="7057"/>
        <v>11417</v>
      </c>
      <c r="K590" s="62">
        <f t="shared" si="7057"/>
        <v>11856</v>
      </c>
      <c r="L590" s="62">
        <f t="shared" si="7057"/>
        <v>12404</v>
      </c>
      <c r="M590" s="62">
        <f t="shared" ref="M590:AB590" si="7058">M587+M588+M589</f>
        <v>13015</v>
      </c>
      <c r="N590" s="62">
        <f t="shared" si="7058"/>
        <v>13563</v>
      </c>
      <c r="O590" s="62">
        <f t="shared" si="7058"/>
        <v>14276</v>
      </c>
      <c r="P590" s="62">
        <f t="shared" si="7058"/>
        <v>14255</v>
      </c>
      <c r="Q590" s="62">
        <f t="shared" si="7058"/>
        <v>16287</v>
      </c>
      <c r="R590" s="62">
        <f t="shared" si="7058"/>
        <v>17848</v>
      </c>
      <c r="S590" s="62">
        <f t="shared" si="7058"/>
        <v>22596</v>
      </c>
      <c r="T590" s="62">
        <f t="shared" si="7058"/>
        <v>21147</v>
      </c>
      <c r="U590" s="62">
        <f t="shared" si="7058"/>
        <v>21258</v>
      </c>
      <c r="V590" s="62">
        <f t="shared" si="7058"/>
        <v>22422</v>
      </c>
      <c r="W590" s="62">
        <f t="shared" si="7058"/>
        <v>23864</v>
      </c>
      <c r="X590" s="62">
        <f t="shared" si="7058"/>
        <v>25415</v>
      </c>
      <c r="Y590" s="62">
        <f t="shared" si="7058"/>
        <v>26524</v>
      </c>
      <c r="Z590" s="62">
        <f t="shared" si="7058"/>
        <v>26375</v>
      </c>
      <c r="AA590" s="62">
        <f t="shared" si="7058"/>
        <v>28779</v>
      </c>
      <c r="AB590" s="62">
        <f t="shared" si="7058"/>
        <v>30020</v>
      </c>
      <c r="AC590" s="62">
        <f t="shared" ref="AC590:AD590" si="7059">AC587+AC588+AC589</f>
        <v>31776</v>
      </c>
      <c r="AD590" s="62">
        <f t="shared" si="7059"/>
        <v>33736</v>
      </c>
      <c r="AE590" s="62">
        <f t="shared" ref="AE590:AF590" si="7060">AE587+AE588+AE589</f>
        <v>38526</v>
      </c>
      <c r="AF590" s="62">
        <f t="shared" si="7060"/>
        <v>38102</v>
      </c>
      <c r="AG590" s="62">
        <f t="shared" ref="AG590:AH590" si="7061">AG587+AG588+AG589</f>
        <v>39267</v>
      </c>
      <c r="AH590" s="62">
        <f t="shared" si="7061"/>
        <v>40217</v>
      </c>
      <c r="AI590" s="62">
        <f t="shared" ref="AI590:AJ590" si="7062">AI587+AI588+AI589</f>
        <v>41336</v>
      </c>
      <c r="AJ590" s="62">
        <f t="shared" si="7062"/>
        <v>43707</v>
      </c>
      <c r="AK590" s="62">
        <f t="shared" ref="AK590:AL590" si="7063">AK587+AK588+AK589</f>
        <v>44713</v>
      </c>
      <c r="AL590" s="62">
        <f t="shared" si="7063"/>
        <v>45528</v>
      </c>
      <c r="AM590" s="62">
        <f t="shared" ref="AM590:AN590" si="7064">AM587+AM588+AM589</f>
        <v>47355</v>
      </c>
      <c r="AN590" s="62">
        <f t="shared" si="7064"/>
        <v>48038</v>
      </c>
      <c r="AO590" s="62">
        <f t="shared" ref="AO590" si="7065">AO587+AO588+AO589</f>
        <v>48308</v>
      </c>
      <c r="AP590" s="62">
        <f t="shared" ref="AP590:AQ590" si="7066">AP587+AP588+AP589</f>
        <v>50786</v>
      </c>
      <c r="AQ590" s="62">
        <f t="shared" si="7066"/>
        <v>51359</v>
      </c>
      <c r="AR590" s="62">
        <f t="shared" ref="AR590:AS590" si="7067">AR587+AR588+AR589</f>
        <v>50511</v>
      </c>
      <c r="AS590" s="62">
        <f t="shared" si="7067"/>
        <v>55872</v>
      </c>
      <c r="AT590" s="62">
        <f t="shared" ref="AT590:AU590" si="7068">AT587+AT588+AT589</f>
        <v>57381</v>
      </c>
      <c r="AU590" s="62">
        <f t="shared" si="7068"/>
        <v>57794</v>
      </c>
      <c r="AV590" s="62">
        <f t="shared" ref="AV590:AW590" si="7069">AV587+AV588+AV589</f>
        <v>58412</v>
      </c>
      <c r="AW590" s="62">
        <f t="shared" si="7069"/>
        <v>54469</v>
      </c>
      <c r="AX590" s="62">
        <f t="shared" ref="AX590:AY590" si="7070">AX587+AX588+AX589</f>
        <v>55229</v>
      </c>
      <c r="AY590" s="220">
        <f t="shared" si="7070"/>
        <v>55184</v>
      </c>
      <c r="AZ590" s="62">
        <f t="shared" ref="AZ590:BA590" si="7071">AZ587+AZ588+AZ589</f>
        <v>57813.828166989413</v>
      </c>
      <c r="BA590" s="62">
        <f t="shared" si="7071"/>
        <v>59668.654168494104</v>
      </c>
      <c r="BB590" s="62">
        <f t="shared" ref="BB590:BC590" si="7072">BB587+BB588+BB589</f>
        <v>60699.643011854365</v>
      </c>
      <c r="BC590" s="62">
        <f t="shared" si="7072"/>
        <v>60383.30522057804</v>
      </c>
      <c r="BD590" s="62">
        <f t="shared" ref="BD590:BE590" si="7073">BD587+BD588+BD589</f>
        <v>60459.856178822112</v>
      </c>
      <c r="BE590" s="62">
        <f t="shared" si="7073"/>
        <v>60156.57259361379</v>
      </c>
      <c r="BF590" s="62">
        <f t="shared" ref="BF590:BG590" si="7074">BF587+BF588+BF589</f>
        <v>60239.161286408955</v>
      </c>
      <c r="BG590" s="62">
        <f t="shared" si="7074"/>
        <v>60046.505869549073</v>
      </c>
      <c r="BH590" s="62">
        <f t="shared" ref="BH590:BI590" si="7075">BH587+BH588+BH589</f>
        <v>61181.028620546102</v>
      </c>
      <c r="BI590" s="62">
        <f t="shared" si="7075"/>
        <v>61981.915361892796</v>
      </c>
      <c r="BJ590" s="62">
        <f t="shared" ref="BJ590:BK590" si="7076">BJ587+BJ588+BJ589</f>
        <v>63253.036153999768</v>
      </c>
      <c r="BK590" s="62">
        <f t="shared" si="7076"/>
        <v>64463.321166620648</v>
      </c>
      <c r="BL590" s="62">
        <f t="shared" ref="BL590:BM590" si="7077">BL587+BL588+BL589</f>
        <v>65845.243833847693</v>
      </c>
      <c r="BM590" s="62">
        <f t="shared" si="7077"/>
        <v>66976.456440024995</v>
      </c>
      <c r="BN590" s="62">
        <f t="shared" ref="BN590:BO590" si="7078">BN587+BN588+BN589</f>
        <v>68262.092753551915</v>
      </c>
      <c r="BO590" s="62">
        <f t="shared" si="7078"/>
        <v>69338.260603824951</v>
      </c>
      <c r="BP590" s="62">
        <f t="shared" ref="BP590:BQ590" si="7079">BP587+BP588+BP589</f>
        <v>70582.213512603135</v>
      </c>
      <c r="BQ590" s="62">
        <f t="shared" si="7079"/>
        <v>71657.14286509782</v>
      </c>
      <c r="BR590" s="62"/>
      <c r="BS590" s="62">
        <f t="shared" ref="BS590:CB590" si="7080">BS587+BS588+BS589</f>
        <v>3870.8999999999992</v>
      </c>
      <c r="BT590" s="62">
        <f t="shared" si="7080"/>
        <v>4212.8</v>
      </c>
      <c r="BU590" s="62">
        <f t="shared" si="7080"/>
        <v>4953</v>
      </c>
      <c r="BV590" s="62">
        <f t="shared" si="7080"/>
        <v>5503</v>
      </c>
      <c r="BW590" s="62">
        <f t="shared" si="7080"/>
        <v>6273</v>
      </c>
      <c r="BX590" s="62">
        <f t="shared" si="7080"/>
        <v>6972</v>
      </c>
      <c r="BY590" s="62">
        <f t="shared" si="7080"/>
        <v>8309</v>
      </c>
      <c r="BZ590" s="62">
        <f t="shared" si="7080"/>
        <v>9329</v>
      </c>
      <c r="CA590" s="62">
        <f t="shared" si="7080"/>
        <v>9640</v>
      </c>
      <c r="CB590" s="62">
        <f t="shared" si="7080"/>
        <v>10387</v>
      </c>
      <c r="CC590" s="62">
        <f t="shared" ref="CC590:CP590" si="7081">CC587+CC588+CC589</f>
        <v>9776</v>
      </c>
      <c r="CD590" s="62">
        <f t="shared" si="7081"/>
        <v>9599</v>
      </c>
      <c r="CE590" s="62">
        <f t="shared" si="7081"/>
        <v>11031</v>
      </c>
      <c r="CF590" s="62">
        <f t="shared" si="7081"/>
        <v>11856</v>
      </c>
      <c r="CG590" s="62">
        <f t="shared" si="7081"/>
        <v>12299</v>
      </c>
      <c r="CH590" s="62">
        <f t="shared" si="7081"/>
        <v>13560</v>
      </c>
      <c r="CI590" s="62">
        <f t="shared" si="7081"/>
        <v>16287</v>
      </c>
      <c r="CJ590" s="62">
        <f t="shared" si="7081"/>
        <v>22596</v>
      </c>
      <c r="CK590" s="62">
        <f t="shared" si="7081"/>
        <v>21258</v>
      </c>
      <c r="CL590" s="62">
        <f t="shared" si="7081"/>
        <v>23864</v>
      </c>
      <c r="CM590" s="62">
        <f t="shared" si="7081"/>
        <v>26524</v>
      </c>
      <c r="CN590" s="62">
        <f t="shared" si="7081"/>
        <v>28779</v>
      </c>
      <c r="CO590" s="62">
        <f t="shared" si="7081"/>
        <v>31776</v>
      </c>
      <c r="CP590" s="62">
        <f t="shared" si="7081"/>
        <v>38526</v>
      </c>
      <c r="CQ590" s="62">
        <f t="shared" ref="CQ590:CX590" si="7082">CQ587+CQ588+CQ589</f>
        <v>39267</v>
      </c>
      <c r="CR590" s="62">
        <f t="shared" si="7082"/>
        <v>41336</v>
      </c>
      <c r="CS590" s="62">
        <f t="shared" si="7082"/>
        <v>44713</v>
      </c>
      <c r="CT590" s="62">
        <f t="shared" si="7082"/>
        <v>47355</v>
      </c>
      <c r="CU590" s="62">
        <f t="shared" si="7082"/>
        <v>48308</v>
      </c>
      <c r="CV590" s="62">
        <f t="shared" si="7082"/>
        <v>51359</v>
      </c>
      <c r="CW590" s="62">
        <f t="shared" si="7082"/>
        <v>55872</v>
      </c>
      <c r="CX590" s="62">
        <f t="shared" si="7082"/>
        <v>57794</v>
      </c>
      <c r="CY590" s="62">
        <f t="shared" ref="CY590:DD590" si="7083">CY587+CY588+CY589</f>
        <v>54469</v>
      </c>
      <c r="CZ590" s="220">
        <f t="shared" si="7083"/>
        <v>55184</v>
      </c>
      <c r="DA590" s="62">
        <f t="shared" si="7083"/>
        <v>59668.654168494104</v>
      </c>
      <c r="DB590" s="62">
        <f t="shared" si="7083"/>
        <v>60383.305220578026</v>
      </c>
      <c r="DC590" s="62">
        <f t="shared" si="7083"/>
        <v>60156.572593613775</v>
      </c>
      <c r="DD590" s="62">
        <f t="shared" si="7083"/>
        <v>60046.505869549073</v>
      </c>
      <c r="DE590" s="62">
        <f t="shared" ref="DE590" si="7084">DE587+DE588+DE589</f>
        <v>61981.915361892781</v>
      </c>
      <c r="DF590" s="62">
        <f t="shared" ref="DF590" si="7085">DF587+DF588+DF589</f>
        <v>64463.321166620619</v>
      </c>
      <c r="DG590" s="62">
        <f>DG587+DG588+DG589</f>
        <v>66976.456440024951</v>
      </c>
      <c r="DH590" s="62">
        <f>DH587+DH588+DH589</f>
        <v>69338.260603824921</v>
      </c>
      <c r="DI590" s="62">
        <f>DI587+DI588+DI589</f>
        <v>71657.142865097776</v>
      </c>
    </row>
    <row r="591" spans="1:113" s="17" customFormat="1" ht="12" outlineLevel="1">
      <c r="A591" s="1" t="s">
        <v>2273</v>
      </c>
      <c r="B591" s="15" t="s">
        <v>2274</v>
      </c>
      <c r="C591" s="62"/>
      <c r="D591" s="62"/>
      <c r="E591" s="62"/>
      <c r="F591" s="62"/>
      <c r="G591" s="62"/>
      <c r="H591" s="62"/>
      <c r="I591" s="62"/>
      <c r="J591" s="62"/>
      <c r="K591" s="62"/>
      <c r="L591" s="62"/>
      <c r="M591" s="62"/>
      <c r="N591" s="62"/>
      <c r="O591" s="62"/>
      <c r="P591" s="62"/>
      <c r="Q591" s="62"/>
      <c r="R591" s="62"/>
      <c r="S591" s="62"/>
      <c r="T591" s="62"/>
      <c r="U591" s="62"/>
      <c r="V591" s="62"/>
      <c r="W591" s="62"/>
      <c r="X591" s="62"/>
      <c r="Y591" s="41"/>
      <c r="Z591" s="41">
        <f>MIN(Z593*10%,-Z575-Z576-Z577-Z556)</f>
        <v>3056.8566000000001</v>
      </c>
      <c r="AA591" s="41">
        <f>MIN(AA593*10%,-AA575-AA576-AA577-AA556)</f>
        <v>3318.9445000000001</v>
      </c>
      <c r="AB591" s="41">
        <f t="shared" ref="AB591:AE591" si="7086">MIN(AB593*10%,-AB575-AB576-AB577-AB556)</f>
        <v>3434.8879999999999</v>
      </c>
      <c r="AC591" s="41">
        <f t="shared" si="7086"/>
        <v>3611.4348</v>
      </c>
      <c r="AD591" s="41">
        <f t="shared" si="7086"/>
        <v>3837.8356000000003</v>
      </c>
      <c r="AE591" s="41">
        <f t="shared" si="7086"/>
        <v>4254.5370000000003</v>
      </c>
      <c r="AF591" s="41">
        <f t="shared" ref="AF591:AG591" si="7087">MIN(AF593*10%,-AF575-AF576-AF577-AF556)</f>
        <v>4276.2020000000002</v>
      </c>
      <c r="AG591" s="41">
        <f t="shared" si="7087"/>
        <v>4498.7148000000007</v>
      </c>
      <c r="AH591" s="41">
        <f t="shared" ref="AH591:AI591" si="7088">MIN(AH593*10%,-AH575-AH576-AH577-AH556)</f>
        <v>4617.26</v>
      </c>
      <c r="AI591" s="41">
        <f t="shared" si="7088"/>
        <v>4798.4921000000004</v>
      </c>
      <c r="AJ591" s="41">
        <f t="shared" ref="AJ591:AK591" si="7089">MIN(AJ593*10%,-AJ575-AJ576-AJ577-AJ556)</f>
        <v>4905</v>
      </c>
      <c r="AK591" s="41">
        <f t="shared" si="7089"/>
        <v>3862</v>
      </c>
      <c r="AL591" s="41">
        <f t="shared" ref="AL591:AM591" si="7090">MIN(AL593*10%,-AL575-AL576-AL577-AL556)</f>
        <v>3719</v>
      </c>
      <c r="AM591" s="41">
        <f t="shared" si="7090"/>
        <v>3146</v>
      </c>
      <c r="AN591" s="41">
        <f t="shared" ref="AN591:AO591" si="7091">MIN(AN593*10%,-AN575-AN576-AN577-AN556)</f>
        <v>2697</v>
      </c>
      <c r="AO591" s="41">
        <f t="shared" si="7091"/>
        <v>2545</v>
      </c>
      <c r="AP591" s="41">
        <f t="shared" ref="AP591:AQ591" si="7092">MIN(AP593*10%,-AP575-AP576-AP577-AP556)</f>
        <v>2235</v>
      </c>
      <c r="AQ591" s="41">
        <f t="shared" si="7092"/>
        <v>2375</v>
      </c>
      <c r="AR591" s="41">
        <f t="shared" ref="AR591:AS591" si="7093">MIN(AR593*10%,-AR575-AR576-AR577-AR556)</f>
        <v>2410</v>
      </c>
      <c r="AS591" s="41">
        <f t="shared" si="7093"/>
        <v>2572</v>
      </c>
      <c r="AT591" s="41">
        <f t="shared" ref="AT591:AU591" si="7094">MIN(AT593*10%,-AT575-AT576-AT577-AT556)</f>
        <v>2543</v>
      </c>
      <c r="AU591" s="41">
        <f t="shared" si="7094"/>
        <v>2592</v>
      </c>
      <c r="AV591" s="41">
        <f t="shared" ref="AV591:AW591" si="7095">MIN(AV593*10%,-AV575-AV576-AV577-AV556)</f>
        <v>1675</v>
      </c>
      <c r="AW591" s="41">
        <f t="shared" si="7095"/>
        <v>1692</v>
      </c>
      <c r="AX591" s="41">
        <f t="shared" ref="AX591:AY591" si="7096">MIN(AX593*10%,-AX575-AX576-AX577-AX556)</f>
        <v>1756</v>
      </c>
      <c r="AY591" s="211">
        <f t="shared" si="7096"/>
        <v>1416</v>
      </c>
      <c r="AZ591" s="41">
        <f t="shared" ref="AZ591:BA591" si="7097">MIN((AZ590+AZ592)*10%/(1-10%),-AZ575-AZ576-AZ577-AZ556)</f>
        <v>1416.0509999999999</v>
      </c>
      <c r="BA591" s="41">
        <f t="shared" si="7097"/>
        <v>1416.1020509999998</v>
      </c>
      <c r="BB591" s="41">
        <f t="shared" ref="BB591:BC591" si="7098">MIN((BB590+BB592)*10%/(1-10%),-BB575-BB576-BB577-BB556)</f>
        <v>1416.1531530510001</v>
      </c>
      <c r="BC591" s="41">
        <f t="shared" si="7098"/>
        <v>1416.2043062040509</v>
      </c>
      <c r="BD591" s="41">
        <f t="shared" ref="BD591:BE591" si="7099">MIN((BD590+BD592)*10%/(1-10%),-BD575-BD576-BD577-BD556)</f>
        <v>1416.2555105102551</v>
      </c>
      <c r="BE591" s="41">
        <f t="shared" si="7099"/>
        <v>1416.3067660207653</v>
      </c>
      <c r="BF591" s="41">
        <f t="shared" ref="BF591:BG591" si="7100">MIN((BF590+BF592)*10%/(1-10%),-BF575-BF576-BF577-BF556)</f>
        <v>1416.3580727867861</v>
      </c>
      <c r="BG591" s="41">
        <f t="shared" si="7100"/>
        <v>1416.4094308595727</v>
      </c>
      <c r="BH591" s="41">
        <f t="shared" ref="BH591:BI591" si="7101">MIN((BH590+BH592)*10%/(1-10%),-BH575-BH576-BH577-BH556)</f>
        <v>1416.4608402904323</v>
      </c>
      <c r="BI591" s="41">
        <f t="shared" si="7101"/>
        <v>1416.5123011307228</v>
      </c>
      <c r="BJ591" s="41">
        <f t="shared" ref="BJ591:BK591" si="7102">MIN((BJ590+BJ592)*10%/(1-10%),-BJ575-BJ576-BJ577-BJ556)</f>
        <v>1416.5638134318535</v>
      </c>
      <c r="BK591" s="41">
        <f t="shared" si="7102"/>
        <v>1416.6153772452853</v>
      </c>
      <c r="BL591" s="41">
        <f t="shared" ref="BL591:BM591" si="7103">MIN((BL590+BL592)*10%/(1-10%),-BL575-BL576-BL577-BL556)</f>
        <v>1416.6669926225306</v>
      </c>
      <c r="BM591" s="41">
        <f t="shared" si="7103"/>
        <v>1416.7186596151532</v>
      </c>
      <c r="BN591" s="41">
        <f t="shared" ref="BN591:BO591" si="7104">MIN((BN590+BN592)*10%/(1-10%),-BN575-BN576-BN577-BN556)</f>
        <v>1416.7703782747683</v>
      </c>
      <c r="BO591" s="41">
        <f t="shared" si="7104"/>
        <v>1416.8221486530431</v>
      </c>
      <c r="BP591" s="41">
        <f t="shared" ref="BP591:BQ591" si="7105">MIN((BP590+BP592)*10%/(1-10%),-BP575-BP576-BP577-BP556)</f>
        <v>1416.873970801696</v>
      </c>
      <c r="BQ591" s="41">
        <f t="shared" si="7105"/>
        <v>1416.9258447724978</v>
      </c>
      <c r="BR591" s="62"/>
      <c r="BS591" s="41"/>
      <c r="BT591" s="41"/>
      <c r="BU591" s="41"/>
      <c r="BV591" s="41"/>
      <c r="BW591" s="41"/>
      <c r="BX591" s="41"/>
      <c r="BY591" s="41"/>
      <c r="BZ591" s="41"/>
      <c r="CA591" s="41">
        <f t="shared" ref="CA591:CB593" si="7106">M591</f>
        <v>0</v>
      </c>
      <c r="CB591" s="41">
        <f t="shared" si="7106"/>
        <v>0</v>
      </c>
      <c r="CC591" s="41">
        <f t="shared" ref="CC591:CC593" si="7107">E591</f>
        <v>0</v>
      </c>
      <c r="CD591" s="41">
        <f>G591</f>
        <v>0</v>
      </c>
      <c r="CE591" s="41">
        <f>I591</f>
        <v>0</v>
      </c>
      <c r="CF591" s="41">
        <f>K591</f>
        <v>0</v>
      </c>
      <c r="CG591" s="41">
        <f>M591</f>
        <v>0</v>
      </c>
      <c r="CH591" s="41">
        <f>O591</f>
        <v>0</v>
      </c>
      <c r="CI591" s="41">
        <f>Q591</f>
        <v>0</v>
      </c>
      <c r="CJ591" s="41">
        <f>S591</f>
        <v>0</v>
      </c>
      <c r="CK591" s="41">
        <f>U591</f>
        <v>0</v>
      </c>
      <c r="CL591" s="41">
        <f>W591</f>
        <v>0</v>
      </c>
      <c r="CM591" s="41">
        <f>Y591</f>
        <v>0</v>
      </c>
      <c r="CN591" s="41">
        <f>AA591</f>
        <v>3318.9445000000001</v>
      </c>
      <c r="CO591" s="41">
        <f>AC591</f>
        <v>3611.4348</v>
      </c>
      <c r="CP591" s="41">
        <f>AE591</f>
        <v>4254.5370000000003</v>
      </c>
      <c r="CQ591" s="41">
        <f>AG591</f>
        <v>4498.7148000000007</v>
      </c>
      <c r="CR591" s="41">
        <f>AI591</f>
        <v>4798.4921000000004</v>
      </c>
      <c r="CS591" s="41">
        <f>AK591</f>
        <v>3862</v>
      </c>
      <c r="CT591" s="41">
        <f>AM591</f>
        <v>3146</v>
      </c>
      <c r="CU591" s="41">
        <f>AO591</f>
        <v>2545</v>
      </c>
      <c r="CV591" s="41">
        <f>AQ591</f>
        <v>2375</v>
      </c>
      <c r="CW591" s="41">
        <f>AS591</f>
        <v>2572</v>
      </c>
      <c r="CX591" s="41">
        <f>AU591</f>
        <v>2592</v>
      </c>
      <c r="CY591" s="41">
        <f>AW591</f>
        <v>1692</v>
      </c>
      <c r="CZ591" s="211">
        <f>AY591</f>
        <v>1416</v>
      </c>
      <c r="DA591" s="41">
        <f>BA591</f>
        <v>1416.1020509999998</v>
      </c>
      <c r="DB591" s="41">
        <f>BC591</f>
        <v>1416.2043062040509</v>
      </c>
      <c r="DC591" s="41">
        <f>BE591</f>
        <v>1416.3067660207653</v>
      </c>
      <c r="DD591" s="41">
        <f>BG591</f>
        <v>1416.4094308595727</v>
      </c>
      <c r="DE591" s="41">
        <f>BI591</f>
        <v>1416.5123011307228</v>
      </c>
      <c r="DF591" s="41">
        <f>BK591</f>
        <v>1416.6153772452853</v>
      </c>
      <c r="DG591" s="41">
        <f>BM591</f>
        <v>1416.7186596151532</v>
      </c>
      <c r="DH591" s="41">
        <f>BO591</f>
        <v>1416.8221486530431</v>
      </c>
      <c r="DI591" s="41">
        <f>BQ591</f>
        <v>1416.9258447724978</v>
      </c>
    </row>
    <row r="592" spans="1:113" s="17" customFormat="1" ht="12" outlineLevel="1">
      <c r="A592" s="1" t="s">
        <v>2275</v>
      </c>
      <c r="B592" s="15" t="s">
        <v>2276</v>
      </c>
      <c r="C592" s="62"/>
      <c r="D592" s="62"/>
      <c r="E592" s="62"/>
      <c r="F592" s="62"/>
      <c r="G592" s="62"/>
      <c r="H592" s="62"/>
      <c r="I592" s="62"/>
      <c r="J592" s="62"/>
      <c r="K592" s="62"/>
      <c r="L592" s="62"/>
      <c r="M592" s="62"/>
      <c r="N592" s="62"/>
      <c r="O592" s="62"/>
      <c r="P592" s="62"/>
      <c r="Q592" s="62"/>
      <c r="R592" s="62"/>
      <c r="S592" s="62"/>
      <c r="T592" s="62"/>
      <c r="U592" s="62"/>
      <c r="V592" s="62"/>
      <c r="W592" s="62"/>
      <c r="X592" s="62"/>
      <c r="Y592" s="62"/>
      <c r="Z592" s="41">
        <f>Z593-Z591-Z590</f>
        <v>1136.7093999999997</v>
      </c>
      <c r="AA592" s="41">
        <f>AA593-AA591-AA590</f>
        <v>1091.5004999999983</v>
      </c>
      <c r="AB592" s="41">
        <f t="shared" ref="AB592:AE592" si="7108">AB593-AB591-AB590</f>
        <v>893.99199999999837</v>
      </c>
      <c r="AC592" s="41">
        <f t="shared" si="7108"/>
        <v>726.91319999999905</v>
      </c>
      <c r="AD592" s="41">
        <f t="shared" si="7108"/>
        <v>804.52040000000125</v>
      </c>
      <c r="AE592" s="41">
        <f t="shared" si="7108"/>
        <v>-235.16700000000128</v>
      </c>
      <c r="AF592" s="41">
        <f t="shared" ref="AF592:AG592" si="7109">AF593-AF591-AF590</f>
        <v>383.81800000000658</v>
      </c>
      <c r="AG592" s="41">
        <f t="shared" si="7109"/>
        <v>1221.4331999999995</v>
      </c>
      <c r="AH592" s="41">
        <f t="shared" ref="AH592:AI592" si="7110">AH593-AH591-AH590</f>
        <v>1338.3399999999965</v>
      </c>
      <c r="AI592" s="41">
        <f t="shared" si="7110"/>
        <v>1850.428899999999</v>
      </c>
      <c r="AJ592" s="41">
        <f t="shared" ref="AJ592:AK592" si="7111">AJ593-AJ591-AJ590</f>
        <v>1823.2090000000026</v>
      </c>
      <c r="AK592" s="41">
        <f t="shared" si="7111"/>
        <v>3172.760000000002</v>
      </c>
      <c r="AL592" s="41">
        <f t="shared" ref="AL592:AM592" si="7112">AL593-AL591-AL590</f>
        <v>3017.9470000000001</v>
      </c>
      <c r="AM592" s="41">
        <f t="shared" si="7112"/>
        <v>3525.3760000000038</v>
      </c>
      <c r="AN592" s="41">
        <f t="shared" ref="AN592:AO592" si="7113">AN593-AN591-AN590</f>
        <v>2242.1319999999978</v>
      </c>
      <c r="AO592" s="41">
        <f t="shared" si="7113"/>
        <v>2607.6080000000002</v>
      </c>
      <c r="AP592" s="41">
        <f t="shared" ref="AP592:AQ592" si="7114">AP593-AP591-AP590</f>
        <v>3479.3240000000005</v>
      </c>
      <c r="AQ592" s="41">
        <f t="shared" si="7114"/>
        <v>2618.0319999999992</v>
      </c>
      <c r="AR592" s="41">
        <f t="shared" ref="AR592:AS592" si="7115">AR593-AR591-AR590</f>
        <v>4158.6500000000015</v>
      </c>
      <c r="AS592" s="41">
        <f t="shared" si="7115"/>
        <v>4703.4879999999976</v>
      </c>
      <c r="AT592" s="41">
        <f t="shared" ref="AT592:AU592" si="7116">AT593-AT591-AT590</f>
        <v>2683.1679999999978</v>
      </c>
      <c r="AU592" s="41">
        <f t="shared" si="7116"/>
        <v>4774.5590000000011</v>
      </c>
      <c r="AV592" s="41">
        <f t="shared" ref="AV592:AW592" si="7117">AV593-AV591-AV590</f>
        <v>4989.7966000000015</v>
      </c>
      <c r="AW592" s="41">
        <f t="shared" si="7117"/>
        <v>4158.2241999999969</v>
      </c>
      <c r="AX592" s="41">
        <f t="shared" ref="AX592:AY592" si="7118">AX593-AX591-AX590</f>
        <v>4059.5875999999989</v>
      </c>
      <c r="AY592" s="211">
        <f t="shared" si="7118"/>
        <v>4269.982799999998</v>
      </c>
      <c r="AZ592" s="41">
        <f t="shared" ref="AZ592" si="7119">AY$592/AY$574*AZ574</f>
        <v>4269.982799999998</v>
      </c>
      <c r="BA592" s="41">
        <f t="shared" ref="BA592" si="7120">AZ$592/AZ$574*BA574</f>
        <v>4269.982799999998</v>
      </c>
      <c r="BB592" s="41">
        <f t="shared" ref="BB592" si="7121">BA$592/BA$574*BB574</f>
        <v>4269.982799999998</v>
      </c>
      <c r="BC592" s="41">
        <f t="shared" ref="BC592" si="7122">BB$592/BB$574*BC574</f>
        <v>4269.982799999998</v>
      </c>
      <c r="BD592" s="41">
        <f t="shared" ref="BD592" si="7123">BC$592/BC$574*BD574</f>
        <v>4269.982799999998</v>
      </c>
      <c r="BE592" s="41">
        <f t="shared" ref="BE592" si="7124">BD$592/BD$574*BE574</f>
        <v>4269.982799999998</v>
      </c>
      <c r="BF592" s="41">
        <f t="shared" ref="BF592" si="7125">BE$592/BE$574*BF574</f>
        <v>4269.982799999998</v>
      </c>
      <c r="BG592" s="41">
        <f t="shared" ref="BG592:BK592" si="7126">BF$592/BF$574*BG574</f>
        <v>4269.982799999998</v>
      </c>
      <c r="BH592" s="41">
        <f t="shared" si="7126"/>
        <v>4269.982799999998</v>
      </c>
      <c r="BI592" s="41">
        <f t="shared" si="7126"/>
        <v>4269.982799999998</v>
      </c>
      <c r="BJ592" s="41">
        <f t="shared" si="7126"/>
        <v>4269.982799999998</v>
      </c>
      <c r="BK592" s="41">
        <f t="shared" si="7126"/>
        <v>4269.982799999998</v>
      </c>
      <c r="BL592" s="41">
        <f t="shared" ref="BL592" si="7127">BK$592/BK$574*BL574</f>
        <v>4269.982799999998</v>
      </c>
      <c r="BM592" s="41">
        <f t="shared" ref="BM592" si="7128">BL$592/BL$574*BM574</f>
        <v>4269.982799999998</v>
      </c>
      <c r="BN592" s="41">
        <f t="shared" ref="BN592" si="7129">BM$592/BM$574*BN574</f>
        <v>4269.982799999998</v>
      </c>
      <c r="BO592" s="41">
        <f t="shared" ref="BO592" si="7130">BN$592/BN$574*BO574</f>
        <v>4269.982799999998</v>
      </c>
      <c r="BP592" s="41">
        <f t="shared" ref="BP592" si="7131">BO$592/BO$574*BP574</f>
        <v>4269.982799999998</v>
      </c>
      <c r="BQ592" s="41">
        <f t="shared" ref="BQ592" si="7132">BP$592/BP$574*BQ574</f>
        <v>4269.982799999998</v>
      </c>
      <c r="BR592" s="62"/>
      <c r="BS592" s="62"/>
      <c r="BT592" s="62"/>
      <c r="BU592" s="62"/>
      <c r="BV592" s="62"/>
      <c r="BW592" s="62"/>
      <c r="BX592" s="62"/>
      <c r="BY592" s="62"/>
      <c r="BZ592" s="62"/>
      <c r="CA592" s="41">
        <f t="shared" si="7106"/>
        <v>0</v>
      </c>
      <c r="CB592" s="41">
        <f t="shared" si="7106"/>
        <v>0</v>
      </c>
      <c r="CC592" s="41">
        <f t="shared" si="7107"/>
        <v>0</v>
      </c>
      <c r="CD592" s="41">
        <f>G592</f>
        <v>0</v>
      </c>
      <c r="CE592" s="41">
        <f>I592</f>
        <v>0</v>
      </c>
      <c r="CF592" s="41">
        <f>K592</f>
        <v>0</v>
      </c>
      <c r="CG592" s="41">
        <f>M592</f>
        <v>0</v>
      </c>
      <c r="CH592" s="41">
        <f>O592</f>
        <v>0</v>
      </c>
      <c r="CI592" s="41">
        <f>Q592</f>
        <v>0</v>
      </c>
      <c r="CJ592" s="41">
        <f>S592</f>
        <v>0</v>
      </c>
      <c r="CK592" s="41">
        <f>U592</f>
        <v>0</v>
      </c>
      <c r="CL592" s="41">
        <f>W592</f>
        <v>0</v>
      </c>
      <c r="CM592" s="41">
        <f>Y592</f>
        <v>0</v>
      </c>
      <c r="CN592" s="41">
        <f>AA592</f>
        <v>1091.5004999999983</v>
      </c>
      <c r="CO592" s="41">
        <f>AC592</f>
        <v>726.91319999999905</v>
      </c>
      <c r="CP592" s="41">
        <f>AE592</f>
        <v>-235.16700000000128</v>
      </c>
      <c r="CQ592" s="41">
        <f>AG592</f>
        <v>1221.4331999999995</v>
      </c>
      <c r="CR592" s="41">
        <f>AI592</f>
        <v>1850.428899999999</v>
      </c>
      <c r="CS592" s="41">
        <f>AK592</f>
        <v>3172.760000000002</v>
      </c>
      <c r="CT592" s="41">
        <f>AM592</f>
        <v>3525.3760000000038</v>
      </c>
      <c r="CU592" s="41">
        <f>AO592</f>
        <v>2607.6080000000002</v>
      </c>
      <c r="CV592" s="41">
        <f>AQ592</f>
        <v>2618.0319999999992</v>
      </c>
      <c r="CW592" s="41">
        <f>AS592</f>
        <v>4703.4879999999976</v>
      </c>
      <c r="CX592" s="41">
        <f>AU592</f>
        <v>4774.5590000000011</v>
      </c>
      <c r="CY592" s="41">
        <f>AW592</f>
        <v>4158.2241999999969</v>
      </c>
      <c r="CZ592" s="211">
        <f>AY592</f>
        <v>4269.982799999998</v>
      </c>
      <c r="DA592" s="41">
        <f>BA592</f>
        <v>4269.982799999998</v>
      </c>
      <c r="DB592" s="41">
        <f>BC592</f>
        <v>4269.982799999998</v>
      </c>
      <c r="DC592" s="41">
        <f>BE592</f>
        <v>4269.982799999998</v>
      </c>
      <c r="DD592" s="41">
        <f>BG592</f>
        <v>4269.982799999998</v>
      </c>
      <c r="DE592" s="41">
        <f>BI592</f>
        <v>4269.982799999998</v>
      </c>
      <c r="DF592" s="41">
        <f>BK592</f>
        <v>4269.982799999998</v>
      </c>
      <c r="DG592" s="41">
        <f>BM592</f>
        <v>4269.982799999998</v>
      </c>
      <c r="DH592" s="41">
        <f>BO592</f>
        <v>4269.982799999998</v>
      </c>
      <c r="DI592" s="41">
        <f>BQ592</f>
        <v>4269.982799999998</v>
      </c>
    </row>
    <row r="593" spans="1:113" s="17" customFormat="1" ht="12" outlineLevel="1">
      <c r="A593" s="1" t="s">
        <v>2277</v>
      </c>
      <c r="B593" s="17" t="s">
        <v>2278</v>
      </c>
      <c r="C593" s="62"/>
      <c r="D593" s="62"/>
      <c r="E593" s="62" t="s">
        <v>2374</v>
      </c>
      <c r="F593" s="62"/>
      <c r="G593" s="62"/>
      <c r="H593" s="62"/>
      <c r="I593" s="62"/>
      <c r="J593" s="62"/>
      <c r="K593" s="62"/>
      <c r="L593" s="62"/>
      <c r="M593" s="62"/>
      <c r="N593" s="62"/>
      <c r="O593" s="62"/>
      <c r="P593" s="62"/>
      <c r="Q593" s="62"/>
      <c r="R593" s="62"/>
      <c r="S593" s="62"/>
      <c r="T593" s="62"/>
      <c r="U593" s="62"/>
      <c r="V593" s="62"/>
      <c r="W593" s="62"/>
      <c r="X593" s="62"/>
      <c r="Y593" s="62"/>
      <c r="Z593" s="194">
        <f>Z590+1.3%*Z613</f>
        <v>30568.565999999999</v>
      </c>
      <c r="AA593" s="194">
        <f>AA590+1.3%*AA613</f>
        <v>33189.445</v>
      </c>
      <c r="AB593" s="194">
        <f>AB590+(0.8%+0.2%+0.2%)*AB613</f>
        <v>34348.879999999997</v>
      </c>
      <c r="AC593" s="194">
        <f>AC590+(1%+0.2%)*AC613</f>
        <v>36114.347999999998</v>
      </c>
      <c r="AD593" s="194">
        <f>AD590+(0.9%+0.3%)*AD613</f>
        <v>38378.356</v>
      </c>
      <c r="AE593" s="194">
        <f>AE590+(1%)*AE613</f>
        <v>42545.37</v>
      </c>
      <c r="AF593" s="194">
        <f>AF590+(1%+0.2%)*AF613</f>
        <v>42762.020000000004</v>
      </c>
      <c r="AG593" s="194">
        <f>AG590+(1%+0.4%)*AG613</f>
        <v>44987.148000000001</v>
      </c>
      <c r="AH593" s="194">
        <f>AH590+(1.1%+0.4%)*AH613</f>
        <v>46172.6</v>
      </c>
      <c r="AI593" s="194">
        <f>AI590+(1.3%+0.4%)*AI613</f>
        <v>47984.921000000002</v>
      </c>
      <c r="AJ593" s="194">
        <f>AJ590+(1.3%+0.4%)*AJ613</f>
        <v>50435.209000000003</v>
      </c>
      <c r="AK593" s="194">
        <f>AK590+(1.4%+0.4%)*AK613</f>
        <v>51747.76</v>
      </c>
      <c r="AL593" s="194">
        <f>AL590+(1.3%+0.4%)*AL613</f>
        <v>52264.947</v>
      </c>
      <c r="AM593" s="194">
        <f>AM590+(1.2%+0.4%)*AM613</f>
        <v>54026.376000000004</v>
      </c>
      <c r="AN593" s="194">
        <f>AN590+(0.9%+0.2%)*AN613</f>
        <v>52977.131999999998</v>
      </c>
      <c r="AO593" s="194">
        <f>AO590+(0.9%+0.3%)*AO613</f>
        <v>53460.608</v>
      </c>
      <c r="AP593" s="194">
        <f>AP590+(0.9%+0.5%)*AP613</f>
        <v>56500.324000000001</v>
      </c>
      <c r="AQ593" s="194">
        <f>AQ590+(0.9%+0.3%)*AQ613</f>
        <v>56352.031999999999</v>
      </c>
      <c r="AR593" s="194">
        <f>AR590+(1%+0.5%)*AR613</f>
        <v>57079.65</v>
      </c>
      <c r="AS593" s="194">
        <f>AS590+(1.2%+0.4%)*AS613</f>
        <v>63147.487999999998</v>
      </c>
      <c r="AT593" s="194">
        <f>AT590+(0.8%+0.2%+0.2%)*AT613</f>
        <v>62607.167999999998</v>
      </c>
      <c r="AU593" s="194">
        <f>AU590+(1.1%+0.3%+0.3%)*AU613</f>
        <v>65160.559000000001</v>
      </c>
      <c r="AV593" s="194">
        <f>AV590+(0.91%+0.26%+0.37%)*AV613</f>
        <v>65076.796600000001</v>
      </c>
      <c r="AW593" s="194">
        <f>AW590+(0.7%+0.25%+0.36%)*AW613</f>
        <v>60319.224199999997</v>
      </c>
      <c r="AX593" s="194">
        <f>AX590+(0.6%+0.3%+0.34%)*AX613</f>
        <v>61044.587599999999</v>
      </c>
      <c r="AY593" s="227">
        <f>AY590+(0.6%+0.3%+0.34%)*AY613</f>
        <v>60869.982799999998</v>
      </c>
      <c r="AZ593" s="62">
        <f t="shared" ref="AZ593:BA593" si="7133">SUM(AZ590:AZ592)</f>
        <v>63499.861966989411</v>
      </c>
      <c r="BA593" s="62">
        <f t="shared" si="7133"/>
        <v>65354.739019494104</v>
      </c>
      <c r="BB593" s="62">
        <f t="shared" ref="BB593:BC593" si="7134">SUM(BB590:BB592)</f>
        <v>66385.778964905359</v>
      </c>
      <c r="BC593" s="62">
        <f t="shared" si="7134"/>
        <v>66069.492326782085</v>
      </c>
      <c r="BD593" s="62">
        <f t="shared" ref="BD593:BE593" si="7135">SUM(BD590:BD592)</f>
        <v>66146.094489332376</v>
      </c>
      <c r="BE593" s="62">
        <f t="shared" si="7135"/>
        <v>65842.862159634562</v>
      </c>
      <c r="BF593" s="62">
        <f t="shared" ref="BF593:BG593" si="7136">SUM(BF590:BF592)</f>
        <v>65925.502159195748</v>
      </c>
      <c r="BG593" s="62">
        <f t="shared" si="7136"/>
        <v>65732.898100408638</v>
      </c>
      <c r="BH593" s="62">
        <f t="shared" ref="BH593:BI593" si="7137">SUM(BH590:BH592)</f>
        <v>66867.472260836541</v>
      </c>
      <c r="BI593" s="62">
        <f t="shared" si="7137"/>
        <v>67668.410463023523</v>
      </c>
      <c r="BJ593" s="62">
        <f t="shared" ref="BJ593:BK593" si="7138">SUM(BJ590:BJ592)</f>
        <v>68939.582767431624</v>
      </c>
      <c r="BK593" s="62">
        <f t="shared" si="7138"/>
        <v>70149.919343865928</v>
      </c>
      <c r="BL593" s="62">
        <f t="shared" ref="BL593:BM593" si="7139">SUM(BL590:BL592)</f>
        <v>71531.893626470221</v>
      </c>
      <c r="BM593" s="62">
        <f t="shared" si="7139"/>
        <v>72663.157899640151</v>
      </c>
      <c r="BN593" s="62">
        <f t="shared" ref="BN593:BO593" si="7140">SUM(BN590:BN592)</f>
        <v>73948.845931826683</v>
      </c>
      <c r="BO593" s="62">
        <f t="shared" si="7140"/>
        <v>75025.065552477987</v>
      </c>
      <c r="BP593" s="62">
        <f t="shared" ref="BP593:BQ593" si="7141">SUM(BP590:BP592)</f>
        <v>76269.070283404828</v>
      </c>
      <c r="BQ593" s="62">
        <f t="shared" si="7141"/>
        <v>77344.051509870318</v>
      </c>
      <c r="BR593" s="62"/>
      <c r="BS593" s="62"/>
      <c r="BT593" s="62"/>
      <c r="BU593" s="62"/>
      <c r="BV593" s="62"/>
      <c r="BW593" s="62"/>
      <c r="BX593" s="62"/>
      <c r="BY593" s="62"/>
      <c r="BZ593" s="62"/>
      <c r="CA593" s="62">
        <f t="shared" si="7106"/>
        <v>0</v>
      </c>
      <c r="CB593" s="62">
        <f t="shared" si="7106"/>
        <v>0</v>
      </c>
      <c r="CC593" s="62" t="str">
        <f t="shared" si="7107"/>
        <v xml:space="preserve"> </v>
      </c>
      <c r="CD593" s="62">
        <f>G593</f>
        <v>0</v>
      </c>
      <c r="CE593" s="62">
        <f>I593</f>
        <v>0</v>
      </c>
      <c r="CF593" s="62">
        <f>K593</f>
        <v>0</v>
      </c>
      <c r="CG593" s="62">
        <f>M593</f>
        <v>0</v>
      </c>
      <c r="CH593" s="62">
        <f>O593</f>
        <v>0</v>
      </c>
      <c r="CI593" s="62">
        <f>Q593</f>
        <v>0</v>
      </c>
      <c r="CJ593" s="62">
        <f>S593</f>
        <v>0</v>
      </c>
      <c r="CK593" s="62">
        <f>U593</f>
        <v>0</v>
      </c>
      <c r="CL593" s="62">
        <f>W593</f>
        <v>0</v>
      </c>
      <c r="CM593" s="62">
        <f>Y593</f>
        <v>0</v>
      </c>
      <c r="CN593" s="62">
        <f t="shared" ref="CN593:CS593" si="7142">SUM(CN590:CN592)</f>
        <v>33189.445</v>
      </c>
      <c r="CO593" s="62">
        <f t="shared" si="7142"/>
        <v>36114.347999999998</v>
      </c>
      <c r="CP593" s="62">
        <f t="shared" si="7142"/>
        <v>42545.369999999995</v>
      </c>
      <c r="CQ593" s="62">
        <f t="shared" si="7142"/>
        <v>44987.148000000001</v>
      </c>
      <c r="CR593" s="62">
        <f t="shared" si="7142"/>
        <v>47984.921000000002</v>
      </c>
      <c r="CS593" s="62">
        <f t="shared" si="7142"/>
        <v>51747.76</v>
      </c>
      <c r="CT593" s="62">
        <f t="shared" ref="CT593:CU593" si="7143">SUM(CT590:CT592)</f>
        <v>54026.376000000004</v>
      </c>
      <c r="CU593" s="62">
        <f t="shared" si="7143"/>
        <v>53460.608</v>
      </c>
      <c r="CV593" s="62">
        <f t="shared" ref="CV593:CW593" si="7144">SUM(CV590:CV592)</f>
        <v>56352.031999999999</v>
      </c>
      <c r="CW593" s="62">
        <f t="shared" si="7144"/>
        <v>63147.487999999998</v>
      </c>
      <c r="CX593" s="62">
        <f t="shared" ref="CX593" si="7145">SUM(CX590:CX592)</f>
        <v>65160.559000000001</v>
      </c>
      <c r="CY593" s="62">
        <f t="shared" ref="CY593:CZ593" si="7146">SUM(CY590:CY592)</f>
        <v>60319.224199999997</v>
      </c>
      <c r="CZ593" s="220">
        <f t="shared" si="7146"/>
        <v>60869.982799999998</v>
      </c>
      <c r="DA593" s="62">
        <f t="shared" ref="DA593:DB593" si="7147">SUM(DA590:DA592)</f>
        <v>65354.739019494104</v>
      </c>
      <c r="DB593" s="62">
        <f t="shared" si="7147"/>
        <v>66069.492326782085</v>
      </c>
      <c r="DC593" s="62">
        <f t="shared" ref="DC593" si="7148">SUM(DC590:DC592)</f>
        <v>65842.862159634533</v>
      </c>
      <c r="DD593" s="62">
        <f t="shared" ref="DD593:DI593" si="7149">SUM(DD590:DD592)</f>
        <v>65732.898100408638</v>
      </c>
      <c r="DE593" s="62">
        <f t="shared" si="7149"/>
        <v>67668.410463023494</v>
      </c>
      <c r="DF593" s="62">
        <f t="shared" si="7149"/>
        <v>70149.919343865899</v>
      </c>
      <c r="DG593" s="62">
        <f t="shared" si="7149"/>
        <v>72663.157899640108</v>
      </c>
      <c r="DH593" s="62">
        <f t="shared" si="7149"/>
        <v>75025.065552477958</v>
      </c>
      <c r="DI593" s="62">
        <f t="shared" si="7149"/>
        <v>77344.051509870274</v>
      </c>
    </row>
    <row r="594" spans="1:113" ht="12" outlineLevel="1">
      <c r="C594" s="41"/>
      <c r="D594" s="41"/>
      <c r="E594" s="41"/>
      <c r="F594" s="41"/>
      <c r="G594" s="41"/>
      <c r="H594" s="41"/>
      <c r="I594" s="41"/>
      <c r="J594" s="41"/>
      <c r="K594" s="41"/>
      <c r="L594" s="41"/>
      <c r="M594" s="41"/>
      <c r="N594" s="41"/>
      <c r="O594" s="41"/>
      <c r="P594" s="41"/>
      <c r="Q594" s="41"/>
      <c r="R594" s="41"/>
      <c r="S594" s="41"/>
      <c r="T594" s="41"/>
      <c r="U594" s="41"/>
      <c r="V594" s="41"/>
      <c r="W594" s="41"/>
      <c r="X594" s="41"/>
      <c r="Y594" s="41"/>
      <c r="Z594" s="41"/>
      <c r="AA594" s="41"/>
      <c r="AB594" s="41"/>
      <c r="AC594" s="41"/>
      <c r="AD594" s="41"/>
      <c r="AE594" s="41"/>
      <c r="AF594" s="41"/>
      <c r="AG594" s="41"/>
      <c r="AH594" s="41"/>
      <c r="AI594" s="41"/>
      <c r="AJ594" s="41"/>
      <c r="AK594" s="41"/>
      <c r="AL594" s="41"/>
      <c r="AM594" s="41"/>
      <c r="AN594" s="41"/>
      <c r="AO594" s="41"/>
      <c r="AP594" s="41"/>
      <c r="AQ594" s="41"/>
      <c r="AR594" s="41"/>
      <c r="AS594" s="41"/>
      <c r="AT594" s="41"/>
      <c r="AU594" s="41"/>
      <c r="AV594" s="41"/>
      <c r="AW594" s="41"/>
      <c r="AX594" s="41"/>
      <c r="AY594" s="211"/>
      <c r="AZ594" s="41"/>
      <c r="BA594" s="41"/>
      <c r="BB594" s="41"/>
      <c r="BC594" s="41"/>
      <c r="BD594" s="41"/>
      <c r="BE594" s="41"/>
      <c r="BF594" s="41"/>
      <c r="BG594" s="41"/>
      <c r="BH594" s="41"/>
      <c r="BI594" s="41"/>
      <c r="BJ594" s="41"/>
      <c r="BK594" s="41"/>
      <c r="BL594" s="41"/>
      <c r="BM594" s="41"/>
      <c r="BN594" s="41"/>
      <c r="BO594" s="41"/>
      <c r="BP594" s="41"/>
      <c r="BQ594" s="41"/>
      <c r="BR594" s="41"/>
      <c r="BS594" s="41"/>
      <c r="BT594" s="41"/>
      <c r="BU594" s="41"/>
      <c r="BV594" s="41"/>
      <c r="BW594" s="41"/>
      <c r="BX594" s="41"/>
      <c r="BY594" s="41"/>
      <c r="BZ594" s="41"/>
      <c r="CA594" s="41"/>
      <c r="CB594" s="41"/>
      <c r="CC594" s="41"/>
      <c r="CD594" s="41"/>
      <c r="CE594" s="41"/>
      <c r="CF594" s="41"/>
      <c r="CG594" s="41"/>
      <c r="CH594" s="41"/>
      <c r="CI594" s="41"/>
      <c r="CJ594" s="41"/>
      <c r="CK594" s="41"/>
      <c r="CL594" s="41"/>
      <c r="CM594" s="41"/>
      <c r="CN594" s="41"/>
      <c r="CO594" s="41"/>
      <c r="CP594" s="41"/>
      <c r="CQ594" s="41"/>
      <c r="CR594" s="41"/>
      <c r="CS594" s="41"/>
      <c r="CT594" s="41"/>
      <c r="CU594" s="41"/>
      <c r="CV594" s="41"/>
      <c r="CW594" s="41"/>
      <c r="CX594" s="41"/>
      <c r="CY594" s="41"/>
      <c r="CZ594" s="211"/>
      <c r="DA594" s="41"/>
      <c r="DB594" s="15"/>
      <c r="DC594" s="15"/>
      <c r="DD594" s="15"/>
      <c r="DE594" s="15"/>
      <c r="DF594" s="15"/>
      <c r="DG594" s="15"/>
      <c r="DH594" s="15"/>
      <c r="DI594" s="15"/>
    </row>
    <row r="595" spans="1:113" s="17" customFormat="1" ht="12" outlineLevel="1">
      <c r="A595" s="1" t="s">
        <v>936</v>
      </c>
      <c r="B595" s="17" t="s">
        <v>579</v>
      </c>
      <c r="C595" s="62">
        <f t="shared" ref="C595:AE595" si="7150">C590-C151*C613</f>
        <v>2290.5499999999993</v>
      </c>
      <c r="D595" s="62">
        <f t="shared" si="7150"/>
        <v>2357.0999999999995</v>
      </c>
      <c r="E595" s="62">
        <f t="shared" si="7150"/>
        <v>2706.5</v>
      </c>
      <c r="F595" s="62">
        <f t="shared" si="7150"/>
        <v>2796.8499999999995</v>
      </c>
      <c r="G595" s="62">
        <f t="shared" si="7150"/>
        <v>1990.7999999999993</v>
      </c>
      <c r="H595" s="62">
        <f t="shared" si="7150"/>
        <v>1267.1499999999996</v>
      </c>
      <c r="I595" s="62">
        <f t="shared" si="7150"/>
        <v>1197.7999999999993</v>
      </c>
      <c r="J595" s="62">
        <f t="shared" si="7150"/>
        <v>940.79999999999927</v>
      </c>
      <c r="K595" s="62">
        <f t="shared" si="7150"/>
        <v>877.34999999999854</v>
      </c>
      <c r="L595" s="62">
        <f t="shared" si="7150"/>
        <v>871.34999999999854</v>
      </c>
      <c r="M595" s="62">
        <f t="shared" si="7150"/>
        <v>1004.0499999999993</v>
      </c>
      <c r="N595" s="62">
        <f t="shared" si="7150"/>
        <v>1038.75</v>
      </c>
      <c r="O595" s="62">
        <f t="shared" si="7150"/>
        <v>525.09999999999854</v>
      </c>
      <c r="P595" s="62">
        <f t="shared" si="7150"/>
        <v>880.69999999999891</v>
      </c>
      <c r="Q595" s="62">
        <f t="shared" si="7150"/>
        <v>2515.2999999999993</v>
      </c>
      <c r="R595" s="62">
        <f t="shared" si="7150"/>
        <v>-409.33000000000175</v>
      </c>
      <c r="S595" s="62">
        <f t="shared" si="7150"/>
        <v>6211.5149999999994</v>
      </c>
      <c r="T595" s="62">
        <f t="shared" si="7150"/>
        <v>4964.5349999999999</v>
      </c>
      <c r="U595" s="62">
        <f t="shared" si="7150"/>
        <v>4082.2700000000004</v>
      </c>
      <c r="V595" s="62">
        <f t="shared" si="7150"/>
        <v>-2510.242000000002</v>
      </c>
      <c r="W595" s="62">
        <f t="shared" si="7150"/>
        <v>-2183.7191999999995</v>
      </c>
      <c r="X595" s="62">
        <f t="shared" si="7150"/>
        <v>-1281.7620000000024</v>
      </c>
      <c r="Y595" s="62">
        <f t="shared" si="7150"/>
        <v>-690.27370000000519</v>
      </c>
      <c r="Z595" s="62">
        <f t="shared" si="7150"/>
        <v>-238.01500000000306</v>
      </c>
      <c r="AA595" s="62">
        <f t="shared" si="7150"/>
        <v>789.63749999999709</v>
      </c>
      <c r="AB595" s="62">
        <f t="shared" si="7150"/>
        <v>-1544.7499999999964</v>
      </c>
      <c r="AC595" s="62">
        <f t="shared" si="7150"/>
        <v>-761.61000000000058</v>
      </c>
      <c r="AD595" s="62">
        <f t="shared" si="7150"/>
        <v>-1081.6699999999983</v>
      </c>
      <c r="AE595" s="62">
        <f t="shared" si="7150"/>
        <v>2351.6699999999983</v>
      </c>
      <c r="AF595" s="62">
        <f t="shared" ref="AF595:AG595" si="7151">AF590-AF151*AF613</f>
        <v>-731.5</v>
      </c>
      <c r="AG595" s="62">
        <f t="shared" si="7151"/>
        <v>-1591.2000000000044</v>
      </c>
      <c r="AH595" s="62">
        <f t="shared" ref="AH595:AI595" si="7152">AH590-AH151*AH613</f>
        <v>513</v>
      </c>
      <c r="AI595" s="62">
        <f t="shared" si="7152"/>
        <v>269.13500000000204</v>
      </c>
      <c r="AJ595" s="62">
        <f t="shared" ref="AJ595:AK595" si="7153">AJ590-AJ151*AJ613</f>
        <v>2150.4150000000009</v>
      </c>
      <c r="AK595" s="62">
        <f t="shared" si="7153"/>
        <v>3676.9000000000015</v>
      </c>
      <c r="AL595" s="62">
        <f t="shared" ref="AL595:AM595" si="7154">AL590-AL151*AL613</f>
        <v>3917.4449999999997</v>
      </c>
      <c r="AM595" s="62">
        <f t="shared" si="7154"/>
        <v>3574.0950000000012</v>
      </c>
      <c r="AN595" s="62">
        <f t="shared" ref="AN595:AO595" si="7155">AN590-AN151*AN613</f>
        <v>891.74000000000524</v>
      </c>
      <c r="AO595" s="62">
        <f t="shared" si="7155"/>
        <v>3222.6800000000003</v>
      </c>
      <c r="AP595" s="62">
        <f t="shared" ref="AP595:AQ595" si="7156">AP590-AP151*AP613</f>
        <v>7928.57</v>
      </c>
      <c r="AQ595" s="62">
        <f t="shared" si="7156"/>
        <v>7669.9700000000012</v>
      </c>
      <c r="AR595" s="62">
        <f t="shared" ref="AR595:AS595" si="7157">AR590-AR151*AR613</f>
        <v>4530.4500000000044</v>
      </c>
      <c r="AS595" s="62">
        <f t="shared" si="7157"/>
        <v>8126.6100000000006</v>
      </c>
      <c r="AT595" s="62">
        <f t="shared" ref="AT595:AU595" si="7158">AT590-AT151*AT613</f>
        <v>9474.4599999999991</v>
      </c>
      <c r="AU595" s="62">
        <f t="shared" si="7158"/>
        <v>10128.029999999999</v>
      </c>
      <c r="AV595" s="62">
        <f t="shared" ref="AV595:AW595" si="7159">AV590-AV151*AV613</f>
        <v>10806.309999999998</v>
      </c>
      <c r="AW595" s="62">
        <f t="shared" si="7159"/>
        <v>5344.9800000000032</v>
      </c>
      <c r="AX595" s="62">
        <f t="shared" ref="AX595" si="7160">AX590-AX151*AX613</f>
        <v>3639.1100000000006</v>
      </c>
      <c r="AY595" s="220">
        <f t="shared" ref="AY595" si="7161">AY590-AY151*AY613</f>
        <v>4743.8300000000017</v>
      </c>
      <c r="AZ595" s="62">
        <f t="shared" ref="AZ595:BA595" si="7162">AZ590-AZ151*AZ613</f>
        <v>5783.3793687865473</v>
      </c>
      <c r="BA595" s="62">
        <f t="shared" si="7162"/>
        <v>7123.4155200712994</v>
      </c>
      <c r="BB595" s="62">
        <f t="shared" ref="BB595:BC595" si="7163">BB590-BB151*BB613</f>
        <v>7691.4383788708656</v>
      </c>
      <c r="BC595" s="62">
        <f t="shared" si="7163"/>
        <v>6857.6909497942543</v>
      </c>
      <c r="BD595" s="62">
        <f t="shared" ref="BD595:BE595" si="7164">BD590-BD151*BD613</f>
        <v>6443.2940979472769</v>
      </c>
      <c r="BE595" s="62">
        <f t="shared" si="7164"/>
        <v>5579.479045632921</v>
      </c>
      <c r="BF595" s="62">
        <f t="shared" ref="BF595:BG595" si="7165">BF590-BF151*BF613</f>
        <v>5161.8585623955296</v>
      </c>
      <c r="BG595" s="62">
        <f t="shared" si="7165"/>
        <v>4470.510227032355</v>
      </c>
      <c r="BH595" s="62">
        <f t="shared" ref="BH595:BI595" si="7166">BH590-BH151*BH613</f>
        <v>4798.747181640807</v>
      </c>
      <c r="BI595" s="62">
        <f t="shared" si="7166"/>
        <v>4802.9220782568227</v>
      </c>
      <c r="BJ595" s="62">
        <f t="shared" ref="BJ595:BK595" si="7167">BJ590-BJ151*BJ613</f>
        <v>5174.7044523582881</v>
      </c>
      <c r="BK595" s="62">
        <f t="shared" si="7167"/>
        <v>5553.2061997810233</v>
      </c>
      <c r="BL595" s="62">
        <f t="shared" ref="BL595:BM595" si="7168">BL590-BL151*BL613</f>
        <v>6085.9332759893368</v>
      </c>
      <c r="BM595" s="62">
        <f t="shared" si="7168"/>
        <v>6350.1950444575486</v>
      </c>
      <c r="BN595" s="62">
        <f t="shared" ref="BN595:BO595" si="7169">BN590-BN151*BN613</f>
        <v>6657.1765338721962</v>
      </c>
      <c r="BO595" s="62">
        <f t="shared" si="7169"/>
        <v>6734.8237040159656</v>
      </c>
      <c r="BP595" s="62">
        <f t="shared" ref="BP595:BQ595" si="7170">BP590-BP151*BP613</f>
        <v>6882.0914054740715</v>
      </c>
      <c r="BQ595" s="62">
        <f t="shared" si="7170"/>
        <v>6834.9987287226395</v>
      </c>
      <c r="BR595" s="62"/>
      <c r="BS595" s="62">
        <f t="shared" ref="BS595:CY595" si="7171">BS590-BS151*BS613</f>
        <v>-165.13000000000147</v>
      </c>
      <c r="BT595" s="62">
        <f t="shared" si="7171"/>
        <v>369.80000000000018</v>
      </c>
      <c r="BU595" s="62">
        <f t="shared" si="7171"/>
        <v>1151.6499999999996</v>
      </c>
      <c r="BV595" s="62">
        <f t="shared" si="7171"/>
        <v>1349.1999999999998</v>
      </c>
      <c r="BW595" s="62">
        <f t="shared" si="7171"/>
        <v>1597.1499999999996</v>
      </c>
      <c r="BX595" s="62">
        <f t="shared" si="7171"/>
        <v>1664.6499999999996</v>
      </c>
      <c r="BY595" s="62">
        <f t="shared" si="7171"/>
        <v>2504.1999999999998</v>
      </c>
      <c r="BZ595" s="62">
        <f t="shared" si="7171"/>
        <v>3427.1499999999996</v>
      </c>
      <c r="CA595" s="62">
        <f t="shared" si="7171"/>
        <v>3155.5999999999995</v>
      </c>
      <c r="CB595" s="62">
        <f t="shared" si="7171"/>
        <v>3430.5499999999993</v>
      </c>
      <c r="CC595" s="62">
        <f t="shared" si="7171"/>
        <v>2706.5</v>
      </c>
      <c r="CD595" s="62">
        <f t="shared" si="7171"/>
        <v>2024.3499999999995</v>
      </c>
      <c r="CE595" s="62">
        <f t="shared" si="7171"/>
        <v>1247.2999999999993</v>
      </c>
      <c r="CF595" s="62">
        <f t="shared" si="7171"/>
        <v>951.84999999999854</v>
      </c>
      <c r="CG595" s="62">
        <f t="shared" si="7171"/>
        <v>371.84999999999854</v>
      </c>
      <c r="CH595" s="62">
        <f t="shared" si="7171"/>
        <v>-93.550000000001091</v>
      </c>
      <c r="CI595" s="62">
        <f t="shared" si="7171"/>
        <v>3749.5</v>
      </c>
      <c r="CJ595" s="62">
        <f t="shared" si="7171"/>
        <v>7658.2849999999999</v>
      </c>
      <c r="CK595" s="62">
        <f t="shared" si="7171"/>
        <v>6079.3949999999986</v>
      </c>
      <c r="CL595" s="62">
        <f t="shared" si="7171"/>
        <v>713.15963088968419</v>
      </c>
      <c r="CM595" s="62">
        <f t="shared" si="7171"/>
        <v>3412.3742472569174</v>
      </c>
      <c r="CN595" s="62">
        <f t="shared" si="7171"/>
        <v>5047.7924999999996</v>
      </c>
      <c r="CO595" s="62">
        <f t="shared" si="7171"/>
        <v>3976.3500000000022</v>
      </c>
      <c r="CP595" s="62">
        <f t="shared" si="7171"/>
        <v>7048.41</v>
      </c>
      <c r="CQ595" s="62">
        <f t="shared" si="7171"/>
        <v>4063.6999999999971</v>
      </c>
      <c r="CR595" s="62">
        <f t="shared" si="7171"/>
        <v>5968.43</v>
      </c>
      <c r="CS595" s="62">
        <f t="shared" si="7171"/>
        <v>9267.0999999999985</v>
      </c>
      <c r="CT595" s="62">
        <f t="shared" si="7171"/>
        <v>3574.0950000000012</v>
      </c>
      <c r="CU595" s="62">
        <f t="shared" si="7171"/>
        <v>3222.6800000000003</v>
      </c>
      <c r="CV595" s="62">
        <f t="shared" si="7171"/>
        <v>7669.9700000000012</v>
      </c>
      <c r="CW595" s="62">
        <f t="shared" si="7171"/>
        <v>8126.6100000000006</v>
      </c>
      <c r="CX595" s="62">
        <f t="shared" si="7171"/>
        <v>10128.029999999999</v>
      </c>
      <c r="CY595" s="62">
        <f t="shared" si="7171"/>
        <v>5344.9800000000032</v>
      </c>
      <c r="CZ595" s="220">
        <f t="shared" ref="CZ595" si="7172">CZ590-CZ151*CZ613</f>
        <v>4743.8300000000017</v>
      </c>
      <c r="DA595" s="62">
        <f t="shared" ref="DA595:DF595" si="7173">DA590-DA151*DA613</f>
        <v>7123.4155200712994</v>
      </c>
      <c r="DB595" s="62">
        <f t="shared" si="7173"/>
        <v>6857.6909497942397</v>
      </c>
      <c r="DC595" s="62">
        <f t="shared" si="7173"/>
        <v>5579.4790456329065</v>
      </c>
      <c r="DD595" s="62">
        <f t="shared" si="7173"/>
        <v>4470.510227032355</v>
      </c>
      <c r="DE595" s="62">
        <f t="shared" si="7173"/>
        <v>4802.9220782568082</v>
      </c>
      <c r="DF595" s="62">
        <f t="shared" si="7173"/>
        <v>5553.2061997809942</v>
      </c>
      <c r="DG595" s="62">
        <f t="shared" ref="DG595" si="7174">DG590-DG151*DG613</f>
        <v>6350.195044457505</v>
      </c>
      <c r="DH595" s="62">
        <f>DH590-DH151*DH613</f>
        <v>6734.8237040159365</v>
      </c>
      <c r="DI595" s="62">
        <f>DI590-DI151*DI613</f>
        <v>6834.9987287225958</v>
      </c>
    </row>
    <row r="596" spans="1:113" ht="12" outlineLevel="1">
      <c r="C596" s="41"/>
      <c r="D596" s="41"/>
      <c r="E596" s="41"/>
      <c r="F596" s="41"/>
      <c r="G596" s="41"/>
      <c r="H596" s="41"/>
      <c r="I596" s="41"/>
      <c r="J596" s="41"/>
      <c r="K596" s="41"/>
      <c r="L596" s="41"/>
      <c r="M596" s="41"/>
      <c r="N596" s="41"/>
      <c r="O596" s="41"/>
      <c r="P596" s="41"/>
      <c r="Q596" s="41"/>
      <c r="R596" s="41"/>
      <c r="S596" s="41"/>
      <c r="T596" s="41"/>
      <c r="U596" s="41"/>
      <c r="V596" s="41"/>
      <c r="W596" s="41"/>
      <c r="X596" s="41"/>
      <c r="Y596" s="41"/>
      <c r="Z596" s="41"/>
      <c r="AA596" s="189"/>
      <c r="AB596" s="189"/>
      <c r="AC596" s="41"/>
      <c r="AD596" s="41"/>
      <c r="AE596" s="41"/>
      <c r="AF596" s="41"/>
      <c r="AG596" s="41"/>
      <c r="AH596" s="41"/>
      <c r="AI596" s="41"/>
      <c r="AJ596" s="41"/>
      <c r="AK596" s="41"/>
      <c r="AM596" s="41"/>
      <c r="AN596" s="41"/>
      <c r="AO596" s="41"/>
      <c r="AP596" s="41"/>
      <c r="AQ596" s="41"/>
      <c r="AR596" s="41"/>
      <c r="AS596" s="41"/>
      <c r="AT596" s="41"/>
      <c r="AU596" s="41"/>
      <c r="AV596" s="41"/>
      <c r="AW596" s="41"/>
      <c r="AX596" s="41"/>
      <c r="AY596" s="211"/>
      <c r="AZ596" s="41"/>
      <c r="BA596" s="41"/>
      <c r="BB596" s="41"/>
      <c r="BC596" s="41"/>
      <c r="BD596" s="41"/>
      <c r="BE596" s="41"/>
      <c r="BF596" s="41"/>
      <c r="BG596" s="41"/>
      <c r="BH596" s="41"/>
      <c r="BI596" s="41"/>
      <c r="BJ596" s="41"/>
      <c r="BK596" s="41"/>
      <c r="BL596" s="41"/>
      <c r="BM596" s="41"/>
      <c r="BN596" s="41"/>
      <c r="BO596" s="41"/>
      <c r="BP596" s="41"/>
      <c r="BQ596" s="41"/>
      <c r="BR596" s="41"/>
      <c r="BS596" s="41"/>
      <c r="BT596" s="41"/>
      <c r="BU596" s="41"/>
      <c r="BV596" s="41"/>
      <c r="BW596" s="41"/>
      <c r="BX596" s="41"/>
      <c r="BY596" s="41"/>
      <c r="BZ596" s="41"/>
      <c r="CA596" s="41"/>
      <c r="CB596" s="41"/>
      <c r="CC596" s="41"/>
      <c r="CD596" s="41"/>
      <c r="CE596" s="41"/>
      <c r="CF596" s="41"/>
      <c r="CG596" s="41"/>
      <c r="CH596" s="41"/>
      <c r="CI596" s="41"/>
      <c r="CJ596" s="41"/>
      <c r="CK596" s="41"/>
      <c r="CL596" s="41"/>
      <c r="CM596" s="41"/>
      <c r="CN596" s="41"/>
      <c r="CO596" s="41"/>
      <c r="CP596" s="41"/>
      <c r="CQ596" s="41"/>
      <c r="CR596" s="41"/>
      <c r="CS596" s="41"/>
      <c r="CT596" s="41"/>
      <c r="CU596" s="41"/>
      <c r="CV596" s="41"/>
      <c r="CW596" s="41"/>
      <c r="CX596" s="41"/>
      <c r="CY596" s="41"/>
      <c r="CZ596" s="211"/>
      <c r="DA596" s="41"/>
      <c r="DB596" s="15"/>
      <c r="DC596" s="15"/>
      <c r="DD596" s="15"/>
      <c r="DE596" s="15"/>
      <c r="DF596" s="15"/>
      <c r="DG596" s="15"/>
      <c r="DH596" s="15"/>
      <c r="DI596" s="15"/>
    </row>
    <row r="597" spans="1:113" s="17" customFormat="1" ht="12" outlineLevel="1">
      <c r="A597" s="1"/>
      <c r="B597" s="17" t="s">
        <v>580</v>
      </c>
      <c r="C597" s="62"/>
      <c r="D597" s="62"/>
      <c r="E597" s="62"/>
      <c r="F597" s="62"/>
      <c r="G597" s="62"/>
      <c r="H597" s="62"/>
      <c r="I597" s="62"/>
      <c r="J597" s="62"/>
      <c r="K597" s="62"/>
      <c r="L597" s="62"/>
      <c r="M597" s="62"/>
      <c r="N597" s="62"/>
      <c r="O597" s="62"/>
      <c r="P597" s="62"/>
      <c r="Q597" s="62"/>
      <c r="R597" s="62"/>
      <c r="S597" s="62"/>
      <c r="T597" s="62"/>
      <c r="U597" s="62"/>
      <c r="V597" s="62"/>
      <c r="W597" s="62"/>
      <c r="X597" s="62"/>
      <c r="Y597" s="62"/>
      <c r="Z597" s="62"/>
      <c r="AA597" s="62"/>
      <c r="AB597" s="62"/>
      <c r="AC597" s="62"/>
      <c r="AD597" s="62"/>
      <c r="AE597" s="62"/>
      <c r="AF597" s="62"/>
      <c r="AG597" s="62"/>
      <c r="AH597" s="62"/>
      <c r="AI597" s="62"/>
      <c r="AJ597" s="62"/>
      <c r="AK597" s="62"/>
      <c r="AL597" s="62"/>
      <c r="AM597" s="62"/>
      <c r="AN597" s="62"/>
      <c r="AO597" s="62"/>
      <c r="AP597" s="62"/>
      <c r="AQ597" s="62"/>
      <c r="AR597" s="62"/>
      <c r="AS597" s="62"/>
      <c r="AT597" s="62"/>
      <c r="AU597" s="62"/>
      <c r="AV597" s="62"/>
      <c r="AW597" s="62"/>
      <c r="AX597" s="62"/>
      <c r="AY597" s="220"/>
      <c r="AZ597" s="62"/>
      <c r="BA597" s="62"/>
      <c r="BB597" s="62"/>
      <c r="BC597" s="62"/>
      <c r="BD597" s="62"/>
      <c r="BE597" s="62"/>
      <c r="BF597" s="62"/>
      <c r="BG597" s="62"/>
      <c r="BH597" s="62"/>
      <c r="BI597" s="62"/>
      <c r="BJ597" s="62"/>
      <c r="BK597" s="62"/>
      <c r="BL597" s="62"/>
      <c r="BM597" s="62"/>
      <c r="BN597" s="62"/>
      <c r="BO597" s="62"/>
      <c r="BP597" s="62"/>
      <c r="BQ597" s="62"/>
      <c r="BR597" s="62"/>
      <c r="BS597" s="62"/>
      <c r="BT597" s="62"/>
      <c r="BU597" s="62"/>
      <c r="BV597" s="62"/>
      <c r="BW597" s="62"/>
      <c r="BX597" s="62"/>
      <c r="BY597" s="62"/>
      <c r="BZ597" s="62"/>
      <c r="CA597" s="62"/>
      <c r="CB597" s="62"/>
      <c r="CC597" s="62"/>
      <c r="CD597" s="62"/>
      <c r="CE597" s="62"/>
      <c r="CF597" s="62"/>
      <c r="CG597" s="62"/>
      <c r="CH597" s="62"/>
      <c r="CI597" s="62"/>
      <c r="CJ597" s="62"/>
      <c r="CK597" s="62"/>
      <c r="CL597" s="62"/>
      <c r="CM597" s="62"/>
      <c r="CN597" s="62"/>
      <c r="CO597" s="62"/>
      <c r="CP597" s="62"/>
      <c r="CQ597" s="62"/>
      <c r="CR597" s="62"/>
      <c r="CS597" s="62"/>
      <c r="CT597" s="62"/>
      <c r="CU597" s="62"/>
      <c r="CV597" s="62"/>
      <c r="CW597" s="62"/>
      <c r="CX597" s="62"/>
      <c r="CY597" s="62"/>
      <c r="CZ597" s="220"/>
      <c r="DA597" s="62"/>
    </row>
    <row r="598" spans="1:113" ht="12" outlineLevel="1">
      <c r="A598" s="1" t="s">
        <v>937</v>
      </c>
      <c r="B598" s="15" t="s">
        <v>406</v>
      </c>
      <c r="C598" s="40">
        <v>950</v>
      </c>
      <c r="D598" s="40">
        <v>1045</v>
      </c>
      <c r="E598" s="40">
        <v>1007</v>
      </c>
      <c r="F598" s="40">
        <v>1033</v>
      </c>
      <c r="G598" s="40">
        <v>1029</v>
      </c>
      <c r="H598" s="40">
        <v>1232</v>
      </c>
      <c r="I598" s="40">
        <v>1342</v>
      </c>
      <c r="J598" s="40">
        <v>1390</v>
      </c>
      <c r="K598" s="40">
        <v>1448</v>
      </c>
      <c r="L598" s="40">
        <v>1318</v>
      </c>
      <c r="M598" s="40">
        <v>1344</v>
      </c>
      <c r="N598" s="40">
        <v>1372</v>
      </c>
      <c r="O598" s="40">
        <v>1392</v>
      </c>
      <c r="P598" s="40">
        <v>6</v>
      </c>
      <c r="Q598" s="40">
        <v>54</v>
      </c>
      <c r="R598" s="40">
        <v>64</v>
      </c>
      <c r="S598" s="40">
        <v>97</v>
      </c>
      <c r="T598" s="40">
        <v>85</v>
      </c>
      <c r="U598" s="40">
        <v>280</v>
      </c>
      <c r="V598" s="40">
        <v>264</v>
      </c>
      <c r="W598" s="40">
        <v>266</v>
      </c>
      <c r="X598" s="40">
        <v>230</v>
      </c>
      <c r="Y598" s="40">
        <v>234</v>
      </c>
      <c r="Z598" s="141">
        <v>244</v>
      </c>
      <c r="AA598" s="141">
        <v>245</v>
      </c>
      <c r="AB598" s="141">
        <v>212</v>
      </c>
      <c r="AC598" s="141">
        <v>228</v>
      </c>
      <c r="AD598" s="141">
        <v>249</v>
      </c>
      <c r="AE598" s="141">
        <v>252</v>
      </c>
      <c r="AF598" s="141">
        <v>255</v>
      </c>
      <c r="AG598" s="141">
        <v>267</v>
      </c>
      <c r="AH598" s="141">
        <v>257</v>
      </c>
      <c r="AI598" s="141">
        <v>200</v>
      </c>
      <c r="AJ598" s="141">
        <v>123</v>
      </c>
      <c r="AK598" s="141">
        <v>119</v>
      </c>
      <c r="AL598" s="141">
        <v>307</v>
      </c>
      <c r="AM598" s="141">
        <v>296</v>
      </c>
      <c r="AN598" s="141">
        <v>1253</v>
      </c>
      <c r="AO598" s="141">
        <v>1813</v>
      </c>
      <c r="AP598" s="141">
        <v>1417</v>
      </c>
      <c r="AQ598" s="141">
        <v>1412</v>
      </c>
      <c r="AR598" s="141">
        <v>1082</v>
      </c>
      <c r="AS598" s="141">
        <v>1233</v>
      </c>
      <c r="AT598" s="141">
        <v>1781</v>
      </c>
      <c r="AU598" s="141">
        <v>1776</v>
      </c>
      <c r="AV598" s="141">
        <v>1609</v>
      </c>
      <c r="AW598" s="141">
        <v>1712</v>
      </c>
      <c r="AX598" s="141">
        <v>1639</v>
      </c>
      <c r="AY598" s="226">
        <v>1710</v>
      </c>
      <c r="AZ598" s="41">
        <f t="shared" ref="AZ598" si="7175">AY598*AZ121/AY121</f>
        <v>1738.7736459110415</v>
      </c>
      <c r="BA598" s="41">
        <f t="shared" ref="BA598" si="7176">AZ598*BA121/AZ121</f>
        <v>1769.0374877514075</v>
      </c>
      <c r="BB598" s="41">
        <f t="shared" ref="BB598" si="7177">BA598*BB121/BA121</f>
        <v>1796.2631342785714</v>
      </c>
      <c r="BC598" s="41">
        <f t="shared" ref="BC598" si="7178">BB598*BC121/BB121</f>
        <v>1826.3815887323681</v>
      </c>
      <c r="BD598" s="41">
        <f t="shared" ref="BD598" si="7179">BC598*BD121/BC121</f>
        <v>1850.2952014490454</v>
      </c>
      <c r="BE598" s="41">
        <f t="shared" ref="BE598" si="7180">BD598*BE121/BD121</f>
        <v>1876.2267193986956</v>
      </c>
      <c r="BF598" s="41">
        <f t="shared" ref="BF598" si="7181">BE598*BF121/BE121</f>
        <v>1899.4790858288793</v>
      </c>
      <c r="BG598" s="41">
        <f t="shared" ref="BG598:BK598" si="7182">BF598*BG121/BF121</f>
        <v>1922.6617045821176</v>
      </c>
      <c r="BH598" s="41">
        <f t="shared" si="7182"/>
        <v>1959.4907433963101</v>
      </c>
      <c r="BI598" s="41">
        <f t="shared" si="7182"/>
        <v>1995.8924150283642</v>
      </c>
      <c r="BJ598" s="41">
        <f t="shared" si="7182"/>
        <v>2034.4654445371152</v>
      </c>
      <c r="BK598" s="41">
        <f t="shared" si="7182"/>
        <v>2070.2125170856298</v>
      </c>
      <c r="BL598" s="41">
        <f t="shared" ref="BL598" si="7183">BK598*BL121/BK121</f>
        <v>2106.6848889431908</v>
      </c>
      <c r="BM598" s="41">
        <f t="shared" ref="BM598" si="7184">BL598*BM121/BL121</f>
        <v>2143.8968987658805</v>
      </c>
      <c r="BN598" s="41">
        <f t="shared" ref="BN598" si="7185">BM598*BN121/BM121</f>
        <v>2185.7751782296259</v>
      </c>
      <c r="BO598" s="41">
        <f t="shared" ref="BO598" si="7186">BN598*BO121/BN121</f>
        <v>2228.4813216618663</v>
      </c>
      <c r="BP598" s="41">
        <f t="shared" ref="BP598" si="7187">BO598*BP121/BO121</f>
        <v>2275.2878597674035</v>
      </c>
      <c r="BQ598" s="41">
        <f t="shared" ref="BQ598" si="7188">BP598*BQ121/BP121</f>
        <v>2323.1509352453718</v>
      </c>
      <c r="BR598" s="41"/>
      <c r="BS598" s="40">
        <f>556.6+376.2</f>
        <v>932.8</v>
      </c>
      <c r="BT598" s="40">
        <v>564.70000000000005</v>
      </c>
      <c r="BU598" s="40">
        <v>567</v>
      </c>
      <c r="BV598" s="40">
        <v>678</v>
      </c>
      <c r="BW598" s="40">
        <v>896</v>
      </c>
      <c r="BX598" s="40">
        <v>918</v>
      </c>
      <c r="BY598" s="40">
        <v>889</v>
      </c>
      <c r="BZ598" s="40">
        <v>851</v>
      </c>
      <c r="CA598" s="40">
        <v>919</v>
      </c>
      <c r="CB598" s="40">
        <v>950</v>
      </c>
      <c r="CC598" s="41">
        <f t="shared" ref="CC598:CC603" si="7189">E598</f>
        <v>1007</v>
      </c>
      <c r="CD598" s="41">
        <f t="shared" ref="CD598:CD603" si="7190">G598</f>
        <v>1029</v>
      </c>
      <c r="CE598" s="41">
        <f t="shared" ref="CE598:CE603" si="7191">I598</f>
        <v>1342</v>
      </c>
      <c r="CF598" s="41">
        <f t="shared" ref="CF598:CF603" si="7192">K598</f>
        <v>1448</v>
      </c>
      <c r="CG598" s="41">
        <f t="shared" ref="CG598:CG603" si="7193">M598</f>
        <v>1344</v>
      </c>
      <c r="CH598" s="41">
        <f t="shared" ref="CH598:CH603" si="7194">O598</f>
        <v>1392</v>
      </c>
      <c r="CI598" s="41">
        <f t="shared" ref="CI598:CI603" si="7195">Q598</f>
        <v>54</v>
      </c>
      <c r="CJ598" s="41">
        <f t="shared" ref="CJ598:CJ603" si="7196">S598</f>
        <v>97</v>
      </c>
      <c r="CK598" s="41">
        <f t="shared" ref="CK598:CK603" si="7197">U598</f>
        <v>280</v>
      </c>
      <c r="CL598" s="41">
        <f t="shared" ref="CL598:CL603" si="7198">W598</f>
        <v>266</v>
      </c>
      <c r="CM598" s="41">
        <f t="shared" ref="CM598:CM603" si="7199">Y598</f>
        <v>234</v>
      </c>
      <c r="CN598" s="41">
        <f t="shared" ref="CN598:CN603" si="7200">AA598</f>
        <v>245</v>
      </c>
      <c r="CO598" s="41">
        <f t="shared" ref="CO598:CO603" si="7201">AC598</f>
        <v>228</v>
      </c>
      <c r="CP598" s="41">
        <f t="shared" ref="CP598:CP603" si="7202">AE598</f>
        <v>252</v>
      </c>
      <c r="CQ598" s="41">
        <f t="shared" ref="CQ598:CQ603" si="7203">AG598</f>
        <v>267</v>
      </c>
      <c r="CR598" s="41">
        <f t="shared" ref="CR598:CR603" si="7204">AI598</f>
        <v>200</v>
      </c>
      <c r="CS598" s="41">
        <f t="shared" ref="CS598:CS603" si="7205">AK598</f>
        <v>119</v>
      </c>
      <c r="CT598" s="41">
        <f t="shared" ref="CT598:CT603" si="7206">AM598</f>
        <v>296</v>
      </c>
      <c r="CU598" s="41">
        <f t="shared" ref="CU598:CU603" si="7207">AO598</f>
        <v>1813</v>
      </c>
      <c r="CV598" s="41">
        <f t="shared" ref="CV598:CV603" si="7208">AQ598</f>
        <v>1412</v>
      </c>
      <c r="CW598" s="41">
        <f t="shared" ref="CW598:CW603" si="7209">AS598</f>
        <v>1233</v>
      </c>
      <c r="CX598" s="41">
        <f t="shared" ref="CX598:CX603" si="7210">AU598</f>
        <v>1776</v>
      </c>
      <c r="CY598" s="41">
        <f t="shared" ref="CY598:CY603" si="7211">AW598</f>
        <v>1712</v>
      </c>
      <c r="CZ598" s="211">
        <f t="shared" ref="CZ598:CZ603" si="7212">AY598</f>
        <v>1710</v>
      </c>
      <c r="DA598" s="41">
        <f t="shared" ref="DA598:DA603" si="7213">BA598</f>
        <v>1769.0374877514075</v>
      </c>
      <c r="DB598" s="41">
        <f t="shared" ref="DB598:DB603" si="7214">BC598</f>
        <v>1826.3815887323681</v>
      </c>
      <c r="DC598" s="41">
        <f t="shared" ref="DC598:DC603" si="7215">BE598</f>
        <v>1876.2267193986956</v>
      </c>
      <c r="DD598" s="41">
        <f t="shared" ref="DD598:DD603" si="7216">BG598</f>
        <v>1922.6617045821176</v>
      </c>
      <c r="DE598" s="41">
        <f t="shared" ref="DE598:DE603" si="7217">BI598</f>
        <v>1995.8924150283642</v>
      </c>
      <c r="DF598" s="41">
        <f t="shared" ref="DF598:DF603" si="7218">BK598</f>
        <v>2070.2125170856298</v>
      </c>
      <c r="DG598" s="41">
        <f t="shared" ref="DG598:DG603" si="7219">BM598</f>
        <v>2143.8968987658805</v>
      </c>
      <c r="DH598" s="41">
        <f t="shared" ref="DH598:DH603" si="7220">BO598</f>
        <v>2228.4813216618663</v>
      </c>
      <c r="DI598" s="41">
        <f t="shared" ref="DI598:DI603" si="7221">BQ598</f>
        <v>2323.1509352453718</v>
      </c>
    </row>
    <row r="599" spans="1:113" ht="12" outlineLevel="1">
      <c r="A599" s="1" t="s">
        <v>938</v>
      </c>
      <c r="B599" s="15" t="s">
        <v>407</v>
      </c>
      <c r="C599" s="41">
        <v>0</v>
      </c>
      <c r="D599" s="41">
        <v>0</v>
      </c>
      <c r="E599" s="41">
        <v>0</v>
      </c>
      <c r="F599" s="41">
        <v>0</v>
      </c>
      <c r="G599" s="41">
        <v>0</v>
      </c>
      <c r="H599" s="41">
        <v>0</v>
      </c>
      <c r="I599" s="41">
        <v>0</v>
      </c>
      <c r="J599" s="41">
        <v>0</v>
      </c>
      <c r="K599" s="41">
        <v>0</v>
      </c>
      <c r="L599" s="41">
        <v>0</v>
      </c>
      <c r="M599" s="41">
        <v>0</v>
      </c>
      <c r="N599" s="41">
        <v>0</v>
      </c>
      <c r="O599" s="41">
        <v>0</v>
      </c>
      <c r="P599" s="41">
        <f>-P567</f>
        <v>0</v>
      </c>
      <c r="Q599" s="41">
        <f t="shared" ref="Q599:AD599" si="7222">-Q567</f>
        <v>0</v>
      </c>
      <c r="R599" s="41">
        <f t="shared" si="7222"/>
        <v>0</v>
      </c>
      <c r="S599" s="41">
        <f t="shared" si="7222"/>
        <v>0</v>
      </c>
      <c r="T599" s="41">
        <f t="shared" si="7222"/>
        <v>0</v>
      </c>
      <c r="U599" s="41">
        <f>-U567</f>
        <v>0</v>
      </c>
      <c r="V599" s="41">
        <f>-V567</f>
        <v>0</v>
      </c>
      <c r="W599" s="41">
        <f>-W567</f>
        <v>0</v>
      </c>
      <c r="X599" s="41">
        <f>-X567</f>
        <v>0</v>
      </c>
      <c r="Y599" s="41">
        <f>-Y567</f>
        <v>0</v>
      </c>
      <c r="Z599" s="41">
        <f t="shared" si="7222"/>
        <v>0</v>
      </c>
      <c r="AA599" s="41">
        <f t="shared" si="7222"/>
        <v>0</v>
      </c>
      <c r="AB599" s="41">
        <f t="shared" si="7222"/>
        <v>0</v>
      </c>
      <c r="AC599" s="41">
        <f t="shared" si="7222"/>
        <v>0</v>
      </c>
      <c r="AD599" s="41">
        <f t="shared" si="7222"/>
        <v>0</v>
      </c>
      <c r="AE599" s="41">
        <f t="shared" ref="AE599:AF599" si="7223">-AE567</f>
        <v>0</v>
      </c>
      <c r="AF599" s="41">
        <f t="shared" si="7223"/>
        <v>0</v>
      </c>
      <c r="AG599" s="41">
        <f t="shared" ref="AG599:AH599" si="7224">-AG567</f>
        <v>0</v>
      </c>
      <c r="AH599" s="41">
        <f t="shared" si="7224"/>
        <v>0</v>
      </c>
      <c r="AI599" s="41">
        <f t="shared" ref="AI599:AJ599" si="7225">-AI567</f>
        <v>0</v>
      </c>
      <c r="AJ599" s="41">
        <f t="shared" si="7225"/>
        <v>0</v>
      </c>
      <c r="AK599" s="41">
        <f t="shared" ref="AK599:AL599" si="7226">-AK567</f>
        <v>0</v>
      </c>
      <c r="AL599" s="41">
        <f t="shared" si="7226"/>
        <v>0</v>
      </c>
      <c r="AM599" s="41">
        <f t="shared" ref="AM599:AO599" si="7227">-AM567</f>
        <v>0</v>
      </c>
      <c r="AN599" s="41">
        <f t="shared" si="7227"/>
        <v>0</v>
      </c>
      <c r="AO599" s="41">
        <f t="shared" si="7227"/>
        <v>0</v>
      </c>
      <c r="AP599" s="41">
        <f t="shared" ref="AP599:AQ599" si="7228">-AP567</f>
        <v>0</v>
      </c>
      <c r="AQ599" s="41">
        <f t="shared" si="7228"/>
        <v>0</v>
      </c>
      <c r="AR599" s="41">
        <f t="shared" ref="AR599:AS599" si="7229">-AR567</f>
        <v>0</v>
      </c>
      <c r="AS599" s="41">
        <f t="shared" si="7229"/>
        <v>0</v>
      </c>
      <c r="AT599" s="41">
        <f t="shared" ref="AT599:AU599" si="7230">-AT567</f>
        <v>0</v>
      </c>
      <c r="AU599" s="41">
        <f t="shared" si="7230"/>
        <v>0</v>
      </c>
      <c r="AV599" s="41">
        <f t="shared" ref="AV599:AW599" si="7231">-AV567</f>
        <v>0</v>
      </c>
      <c r="AW599" s="41">
        <f t="shared" si="7231"/>
        <v>0</v>
      </c>
      <c r="AX599" s="41">
        <f t="shared" ref="AX599:AY599" si="7232">-AX567</f>
        <v>0</v>
      </c>
      <c r="AY599" s="211">
        <f t="shared" si="7232"/>
        <v>0</v>
      </c>
      <c r="AZ599" s="41">
        <f t="shared" ref="AZ599:BA599" si="7233">-AZ567</f>
        <v>0</v>
      </c>
      <c r="BA599" s="41">
        <f t="shared" si="7233"/>
        <v>0</v>
      </c>
      <c r="BB599" s="41">
        <f t="shared" ref="BB599:BC599" si="7234">-BB567</f>
        <v>0</v>
      </c>
      <c r="BC599" s="41">
        <f t="shared" si="7234"/>
        <v>0</v>
      </c>
      <c r="BD599" s="41">
        <f t="shared" ref="BD599:BE599" si="7235">-BD567</f>
        <v>0</v>
      </c>
      <c r="BE599" s="41">
        <f t="shared" si="7235"/>
        <v>0</v>
      </c>
      <c r="BF599" s="41">
        <f t="shared" ref="BF599:BG599" si="7236">-BF567</f>
        <v>0</v>
      </c>
      <c r="BG599" s="41">
        <f t="shared" si="7236"/>
        <v>0</v>
      </c>
      <c r="BH599" s="41">
        <f t="shared" ref="BH599:BI599" si="7237">-BH567</f>
        <v>0</v>
      </c>
      <c r="BI599" s="41">
        <f t="shared" si="7237"/>
        <v>0</v>
      </c>
      <c r="BJ599" s="41">
        <f t="shared" ref="BJ599:BK599" si="7238">-BJ567</f>
        <v>0</v>
      </c>
      <c r="BK599" s="41">
        <f t="shared" si="7238"/>
        <v>0</v>
      </c>
      <c r="BL599" s="41">
        <f t="shared" ref="BL599:BM599" si="7239">-BL567</f>
        <v>0</v>
      </c>
      <c r="BM599" s="41">
        <f t="shared" si="7239"/>
        <v>0</v>
      </c>
      <c r="BN599" s="41">
        <f t="shared" ref="BN599:BO599" si="7240">-BN567</f>
        <v>0</v>
      </c>
      <c r="BO599" s="41">
        <f t="shared" si="7240"/>
        <v>0</v>
      </c>
      <c r="BP599" s="41">
        <f t="shared" ref="BP599:BQ599" si="7241">-BP567</f>
        <v>0</v>
      </c>
      <c r="BQ599" s="41">
        <f t="shared" si="7241"/>
        <v>0</v>
      </c>
      <c r="BR599" s="41"/>
      <c r="BS599" s="40">
        <v>0</v>
      </c>
      <c r="BT599" s="40">
        <v>0</v>
      </c>
      <c r="BU599" s="40">
        <v>0</v>
      </c>
      <c r="BV599" s="40">
        <v>0</v>
      </c>
      <c r="BW599" s="40">
        <v>0</v>
      </c>
      <c r="BX599" s="40">
        <v>0</v>
      </c>
      <c r="BY599" s="40">
        <v>0</v>
      </c>
      <c r="BZ599" s="40">
        <v>0</v>
      </c>
      <c r="CA599" s="40">
        <v>0</v>
      </c>
      <c r="CB599" s="40">
        <v>0</v>
      </c>
      <c r="CC599" s="41">
        <f t="shared" si="7189"/>
        <v>0</v>
      </c>
      <c r="CD599" s="41">
        <f t="shared" si="7190"/>
        <v>0</v>
      </c>
      <c r="CE599" s="41">
        <f t="shared" si="7191"/>
        <v>0</v>
      </c>
      <c r="CF599" s="41">
        <f t="shared" si="7192"/>
        <v>0</v>
      </c>
      <c r="CG599" s="41">
        <f t="shared" si="7193"/>
        <v>0</v>
      </c>
      <c r="CH599" s="41">
        <f t="shared" si="7194"/>
        <v>0</v>
      </c>
      <c r="CI599" s="41">
        <f t="shared" si="7195"/>
        <v>0</v>
      </c>
      <c r="CJ599" s="41">
        <f t="shared" si="7196"/>
        <v>0</v>
      </c>
      <c r="CK599" s="41">
        <f t="shared" si="7197"/>
        <v>0</v>
      </c>
      <c r="CL599" s="41">
        <f t="shared" si="7198"/>
        <v>0</v>
      </c>
      <c r="CM599" s="41">
        <f t="shared" si="7199"/>
        <v>0</v>
      </c>
      <c r="CN599" s="41">
        <f t="shared" si="7200"/>
        <v>0</v>
      </c>
      <c r="CO599" s="41">
        <f t="shared" si="7201"/>
        <v>0</v>
      </c>
      <c r="CP599" s="41">
        <f t="shared" si="7202"/>
        <v>0</v>
      </c>
      <c r="CQ599" s="41">
        <f t="shared" si="7203"/>
        <v>0</v>
      </c>
      <c r="CR599" s="41">
        <f t="shared" si="7204"/>
        <v>0</v>
      </c>
      <c r="CS599" s="41">
        <f t="shared" si="7205"/>
        <v>0</v>
      </c>
      <c r="CT599" s="41">
        <f t="shared" si="7206"/>
        <v>0</v>
      </c>
      <c r="CU599" s="41">
        <f t="shared" si="7207"/>
        <v>0</v>
      </c>
      <c r="CV599" s="41">
        <f t="shared" si="7208"/>
        <v>0</v>
      </c>
      <c r="CW599" s="41">
        <f t="shared" si="7209"/>
        <v>0</v>
      </c>
      <c r="CX599" s="41">
        <f t="shared" si="7210"/>
        <v>0</v>
      </c>
      <c r="CY599" s="41">
        <f t="shared" si="7211"/>
        <v>0</v>
      </c>
      <c r="CZ599" s="211">
        <f t="shared" si="7212"/>
        <v>0</v>
      </c>
      <c r="DA599" s="41">
        <f t="shared" si="7213"/>
        <v>0</v>
      </c>
      <c r="DB599" s="41">
        <f t="shared" si="7214"/>
        <v>0</v>
      </c>
      <c r="DC599" s="41">
        <f t="shared" si="7215"/>
        <v>0</v>
      </c>
      <c r="DD599" s="41">
        <f t="shared" si="7216"/>
        <v>0</v>
      </c>
      <c r="DE599" s="41">
        <f t="shared" si="7217"/>
        <v>0</v>
      </c>
      <c r="DF599" s="41">
        <f t="shared" si="7218"/>
        <v>0</v>
      </c>
      <c r="DG599" s="41">
        <f t="shared" si="7219"/>
        <v>0</v>
      </c>
      <c r="DH599" s="41">
        <f t="shared" si="7220"/>
        <v>0</v>
      </c>
      <c r="DI599" s="41">
        <f t="shared" si="7221"/>
        <v>0</v>
      </c>
    </row>
    <row r="600" spans="1:113" ht="12" outlineLevel="1">
      <c r="A600" s="1" t="s">
        <v>939</v>
      </c>
      <c r="B600" s="15" t="s">
        <v>863</v>
      </c>
      <c r="C600" s="40">
        <v>1140</v>
      </c>
      <c r="D600" s="40">
        <v>1053</v>
      </c>
      <c r="E600" s="40">
        <v>1027</v>
      </c>
      <c r="F600" s="40">
        <v>497</v>
      </c>
      <c r="G600" s="40">
        <v>442</v>
      </c>
      <c r="H600" s="40">
        <v>396</v>
      </c>
      <c r="I600" s="40">
        <v>419</v>
      </c>
      <c r="J600" s="40">
        <v>389</v>
      </c>
      <c r="K600" s="40">
        <v>394</v>
      </c>
      <c r="L600" s="40">
        <v>419</v>
      </c>
      <c r="M600" s="40">
        <v>401</v>
      </c>
      <c r="N600" s="40">
        <v>721</v>
      </c>
      <c r="O600" s="40">
        <v>690</v>
      </c>
      <c r="P600" s="40">
        <v>678</v>
      </c>
      <c r="Q600" s="40">
        <v>1072</v>
      </c>
      <c r="R600" s="40">
        <v>1127</v>
      </c>
      <c r="S600" s="40">
        <v>1024</v>
      </c>
      <c r="T600" s="40">
        <v>972</v>
      </c>
      <c r="U600" s="40">
        <v>943</v>
      </c>
      <c r="V600" s="40">
        <v>902</v>
      </c>
      <c r="W600" s="40">
        <v>962</v>
      </c>
      <c r="X600" s="40">
        <v>943</v>
      </c>
      <c r="Y600" s="40">
        <v>951</v>
      </c>
      <c r="Z600" s="141">
        <v>957</v>
      </c>
      <c r="AA600" s="141">
        <v>1065</v>
      </c>
      <c r="AB600" s="141">
        <v>1108</v>
      </c>
      <c r="AC600" s="141">
        <v>1087</v>
      </c>
      <c r="AD600" s="141">
        <v>1211</v>
      </c>
      <c r="AE600" s="141">
        <v>1188</v>
      </c>
      <c r="AF600" s="141">
        <v>1145</v>
      </c>
      <c r="AG600" s="141">
        <v>1190</v>
      </c>
      <c r="AH600" s="141">
        <v>1156</v>
      </c>
      <c r="AI600" s="141">
        <v>1150</v>
      </c>
      <c r="AJ600" s="141">
        <v>390</v>
      </c>
      <c r="AK600" s="141">
        <v>416</v>
      </c>
      <c r="AL600" s="141">
        <v>423</v>
      </c>
      <c r="AM600" s="141">
        <v>444</v>
      </c>
      <c r="AN600" s="141">
        <v>485</v>
      </c>
      <c r="AO600" s="141">
        <v>422</v>
      </c>
      <c r="AP600" s="141">
        <v>395</v>
      </c>
      <c r="AQ600" s="141">
        <v>417</v>
      </c>
      <c r="AR600" s="141">
        <v>0</v>
      </c>
      <c r="AS600" s="141">
        <v>0</v>
      </c>
      <c r="AT600" s="141">
        <v>0</v>
      </c>
      <c r="AU600" s="141">
        <v>0</v>
      </c>
      <c r="AV600" s="141">
        <v>0</v>
      </c>
      <c r="AW600" s="141">
        <v>0</v>
      </c>
      <c r="AX600" s="141">
        <v>0</v>
      </c>
      <c r="AY600" s="226">
        <v>0</v>
      </c>
      <c r="AZ600" s="210">
        <f t="shared" ref="AZ600" si="7242">AY600</f>
        <v>0</v>
      </c>
      <c r="BA600" s="210">
        <f t="shared" ref="BA600:BA603" si="7243">AZ600</f>
        <v>0</v>
      </c>
      <c r="BB600" s="210">
        <f t="shared" ref="BB600" si="7244">BA600</f>
        <v>0</v>
      </c>
      <c r="BC600" s="210">
        <f t="shared" ref="BC600:BC603" si="7245">BB600</f>
        <v>0</v>
      </c>
      <c r="BD600" s="210">
        <f t="shared" ref="BD600" si="7246">BC600</f>
        <v>0</v>
      </c>
      <c r="BE600" s="210">
        <f t="shared" ref="BE600:BE603" si="7247">BD600</f>
        <v>0</v>
      </c>
      <c r="BF600" s="210">
        <f t="shared" ref="BF600" si="7248">BE600</f>
        <v>0</v>
      </c>
      <c r="BG600" s="210">
        <f t="shared" ref="BG600:BK603" si="7249">BF600</f>
        <v>0</v>
      </c>
      <c r="BH600" s="210">
        <f t="shared" si="7249"/>
        <v>0</v>
      </c>
      <c r="BI600" s="210">
        <f t="shared" si="7249"/>
        <v>0</v>
      </c>
      <c r="BJ600" s="210">
        <f t="shared" si="7249"/>
        <v>0</v>
      </c>
      <c r="BK600" s="210">
        <f t="shared" si="7249"/>
        <v>0</v>
      </c>
      <c r="BL600" s="210">
        <f t="shared" ref="BL600:BL603" si="7250">BK600</f>
        <v>0</v>
      </c>
      <c r="BM600" s="210">
        <f t="shared" ref="BM600:BM603" si="7251">BL600</f>
        <v>0</v>
      </c>
      <c r="BN600" s="210">
        <f t="shared" ref="BN600:BN603" si="7252">BM600</f>
        <v>0</v>
      </c>
      <c r="BO600" s="210">
        <f t="shared" ref="BO600:BO603" si="7253">BN600</f>
        <v>0</v>
      </c>
      <c r="BP600" s="210">
        <f t="shared" ref="BP600:BP603" si="7254">BO600</f>
        <v>0</v>
      </c>
      <c r="BQ600" s="210">
        <f t="shared" ref="BQ600:BQ603" si="7255">BP600</f>
        <v>0</v>
      </c>
      <c r="BR600" s="41"/>
      <c r="BS600" s="40">
        <v>630</v>
      </c>
      <c r="BT600" s="40">
        <v>1098.0999999999999</v>
      </c>
      <c r="BU600" s="40">
        <v>959</v>
      </c>
      <c r="BV600" s="40">
        <v>943</v>
      </c>
      <c r="BW600" s="40">
        <v>709</v>
      </c>
      <c r="BX600" s="40">
        <v>776</v>
      </c>
      <c r="BY600" s="40">
        <v>936</v>
      </c>
      <c r="BZ600" s="40">
        <v>855</v>
      </c>
      <c r="CA600" s="40">
        <v>1026</v>
      </c>
      <c r="CB600" s="40">
        <v>1140</v>
      </c>
      <c r="CC600" s="41">
        <f t="shared" si="7189"/>
        <v>1027</v>
      </c>
      <c r="CD600" s="41">
        <f t="shared" si="7190"/>
        <v>442</v>
      </c>
      <c r="CE600" s="41">
        <f t="shared" si="7191"/>
        <v>419</v>
      </c>
      <c r="CF600" s="41">
        <f t="shared" si="7192"/>
        <v>394</v>
      </c>
      <c r="CG600" s="41">
        <f t="shared" si="7193"/>
        <v>401</v>
      </c>
      <c r="CH600" s="41">
        <f t="shared" si="7194"/>
        <v>690</v>
      </c>
      <c r="CI600" s="41">
        <f t="shared" si="7195"/>
        <v>1072</v>
      </c>
      <c r="CJ600" s="41">
        <f t="shared" si="7196"/>
        <v>1024</v>
      </c>
      <c r="CK600" s="41">
        <f t="shared" si="7197"/>
        <v>943</v>
      </c>
      <c r="CL600" s="41">
        <f t="shared" si="7198"/>
        <v>962</v>
      </c>
      <c r="CM600" s="41">
        <f t="shared" si="7199"/>
        <v>951</v>
      </c>
      <c r="CN600" s="41">
        <f t="shared" si="7200"/>
        <v>1065</v>
      </c>
      <c r="CO600" s="41">
        <f t="shared" si="7201"/>
        <v>1087</v>
      </c>
      <c r="CP600" s="41">
        <f t="shared" si="7202"/>
        <v>1188</v>
      </c>
      <c r="CQ600" s="41">
        <f t="shared" si="7203"/>
        <v>1190</v>
      </c>
      <c r="CR600" s="41">
        <f t="shared" si="7204"/>
        <v>1150</v>
      </c>
      <c r="CS600" s="41">
        <f t="shared" si="7205"/>
        <v>416</v>
      </c>
      <c r="CT600" s="41">
        <f t="shared" si="7206"/>
        <v>444</v>
      </c>
      <c r="CU600" s="41">
        <f t="shared" si="7207"/>
        <v>422</v>
      </c>
      <c r="CV600" s="41">
        <f t="shared" si="7208"/>
        <v>417</v>
      </c>
      <c r="CW600" s="41">
        <f t="shared" si="7209"/>
        <v>0</v>
      </c>
      <c r="CX600" s="41">
        <f t="shared" si="7210"/>
        <v>0</v>
      </c>
      <c r="CY600" s="41">
        <f t="shared" si="7211"/>
        <v>0</v>
      </c>
      <c r="CZ600" s="211">
        <f t="shared" si="7212"/>
        <v>0</v>
      </c>
      <c r="DA600" s="41">
        <f t="shared" si="7213"/>
        <v>0</v>
      </c>
      <c r="DB600" s="41">
        <f t="shared" si="7214"/>
        <v>0</v>
      </c>
      <c r="DC600" s="41">
        <f t="shared" si="7215"/>
        <v>0</v>
      </c>
      <c r="DD600" s="41">
        <f t="shared" si="7216"/>
        <v>0</v>
      </c>
      <c r="DE600" s="41">
        <f t="shared" si="7217"/>
        <v>0</v>
      </c>
      <c r="DF600" s="41">
        <f t="shared" si="7218"/>
        <v>0</v>
      </c>
      <c r="DG600" s="41">
        <f t="shared" si="7219"/>
        <v>0</v>
      </c>
      <c r="DH600" s="41">
        <f t="shared" si="7220"/>
        <v>0</v>
      </c>
      <c r="DI600" s="41">
        <f t="shared" si="7221"/>
        <v>0</v>
      </c>
    </row>
    <row r="601" spans="1:113" ht="12" outlineLevel="1">
      <c r="A601" s="1" t="s">
        <v>740</v>
      </c>
      <c r="B601" s="15" t="s">
        <v>719</v>
      </c>
      <c r="C601" s="40">
        <v>2436</v>
      </c>
      <c r="D601" s="40">
        <v>2017</v>
      </c>
      <c r="E601" s="40">
        <v>1872</v>
      </c>
      <c r="F601" s="40">
        <v>3482</v>
      </c>
      <c r="G601" s="40">
        <v>4563</v>
      </c>
      <c r="H601" s="40">
        <v>5198</v>
      </c>
      <c r="I601" s="40">
        <v>6052</v>
      </c>
      <c r="J601" s="40">
        <v>5769</v>
      </c>
      <c r="K601" s="40">
        <v>6701</v>
      </c>
      <c r="L601" s="40">
        <v>7416</v>
      </c>
      <c r="M601" s="40">
        <v>8177</v>
      </c>
      <c r="N601" s="40">
        <v>8398</v>
      </c>
      <c r="O601" s="40">
        <v>8826</v>
      </c>
      <c r="P601" s="40">
        <v>9093</v>
      </c>
      <c r="Q601" s="40">
        <v>9170</v>
      </c>
      <c r="R601" s="40">
        <v>9191</v>
      </c>
      <c r="S601" s="40">
        <v>9082</v>
      </c>
      <c r="T601" s="40">
        <v>7405</v>
      </c>
      <c r="U601" s="40">
        <v>6619</v>
      </c>
      <c r="V601" s="40">
        <v>6176</v>
      </c>
      <c r="W601" s="40">
        <v>5017</v>
      </c>
      <c r="X601" s="40">
        <v>5757</v>
      </c>
      <c r="Y601" s="40">
        <v>5702</v>
      </c>
      <c r="Z601" s="141">
        <v>4979</v>
      </c>
      <c r="AA601" s="141">
        <f>5448-340</f>
        <v>5108</v>
      </c>
      <c r="AB601" s="141">
        <f>5668-354</f>
        <v>5314</v>
      </c>
      <c r="AC601" s="141">
        <f>6516-399</f>
        <v>6117</v>
      </c>
      <c r="AD601" s="141">
        <f>7799-336</f>
        <v>7463</v>
      </c>
      <c r="AE601" s="141">
        <f>8398-717</f>
        <v>7681</v>
      </c>
      <c r="AF601" s="141">
        <f>8985-660</f>
        <v>8325</v>
      </c>
      <c r="AG601" s="141">
        <f>11281-936</f>
        <v>10345</v>
      </c>
      <c r="AH601" s="141">
        <f>10841-518</f>
        <v>10323</v>
      </c>
      <c r="AI601" s="141">
        <f>8108-789</f>
        <v>7319</v>
      </c>
      <c r="AJ601" s="141">
        <f>8216-689</f>
        <v>7527</v>
      </c>
      <c r="AK601" s="141">
        <f>7575-819</f>
        <v>6756</v>
      </c>
      <c r="AL601" s="141">
        <f>7806-967</f>
        <v>6839</v>
      </c>
      <c r="AM601" s="141">
        <f>7971-162</f>
        <v>7809</v>
      </c>
      <c r="AN601" s="141">
        <f>12197-823</f>
        <v>11374</v>
      </c>
      <c r="AO601" s="141">
        <f>12443-721</f>
        <v>11722</v>
      </c>
      <c r="AP601" s="141">
        <f>15220-568</f>
        <v>14652</v>
      </c>
      <c r="AQ601" s="141">
        <f>15790-494</f>
        <v>15296</v>
      </c>
      <c r="AR601" s="141">
        <f>14047-349</f>
        <v>13698</v>
      </c>
      <c r="AS601" s="141">
        <f>17907+137</f>
        <v>18044</v>
      </c>
      <c r="AT601" s="141">
        <f>22797-510</f>
        <v>22287</v>
      </c>
      <c r="AU601" s="141">
        <f>23707-524</f>
        <v>23183</v>
      </c>
      <c r="AV601" s="141">
        <f>26754-140</f>
        <v>26614</v>
      </c>
      <c r="AW601" s="141">
        <f>28584-1107</f>
        <v>27477</v>
      </c>
      <c r="AX601" s="141">
        <f>32444-1252</f>
        <v>31192</v>
      </c>
      <c r="AY601" s="226">
        <f>33811-1711</f>
        <v>32100</v>
      </c>
      <c r="AZ601" s="210">
        <f t="shared" ref="AZ601" si="7256">AY601</f>
        <v>32100</v>
      </c>
      <c r="BA601" s="210">
        <f t="shared" ref="BA601" si="7257">AZ601</f>
        <v>32100</v>
      </c>
      <c r="BB601" s="210">
        <f t="shared" ref="BB601" si="7258">BA601</f>
        <v>32100</v>
      </c>
      <c r="BC601" s="210">
        <f t="shared" ref="BC601" si="7259">BB601</f>
        <v>32100</v>
      </c>
      <c r="BD601" s="210">
        <f t="shared" ref="BD601" si="7260">BC601</f>
        <v>32100</v>
      </c>
      <c r="BE601" s="210">
        <f t="shared" ref="BE601" si="7261">BD601</f>
        <v>32100</v>
      </c>
      <c r="BF601" s="210">
        <f t="shared" ref="BF601" si="7262">BE601</f>
        <v>32100</v>
      </c>
      <c r="BG601" s="210">
        <f t="shared" ref="BG601" si="7263">BF601</f>
        <v>32100</v>
      </c>
      <c r="BH601" s="210">
        <f t="shared" ref="BH601" si="7264">BG601</f>
        <v>32100</v>
      </c>
      <c r="BI601" s="210">
        <f t="shared" ref="BI601:BK601" si="7265">BH601</f>
        <v>32100</v>
      </c>
      <c r="BJ601" s="210">
        <f t="shared" si="7265"/>
        <v>32100</v>
      </c>
      <c r="BK601" s="210">
        <f t="shared" si="7265"/>
        <v>32100</v>
      </c>
      <c r="BL601" s="210">
        <f t="shared" si="7250"/>
        <v>32100</v>
      </c>
      <c r="BM601" s="210">
        <f t="shared" si="7251"/>
        <v>32100</v>
      </c>
      <c r="BN601" s="210">
        <f t="shared" si="7252"/>
        <v>32100</v>
      </c>
      <c r="BO601" s="210">
        <f t="shared" si="7253"/>
        <v>32100</v>
      </c>
      <c r="BP601" s="210">
        <f t="shared" si="7254"/>
        <v>32100</v>
      </c>
      <c r="BQ601" s="210">
        <f t="shared" si="7255"/>
        <v>32100</v>
      </c>
      <c r="BR601" s="41"/>
      <c r="BS601" s="40">
        <v>2174.5</v>
      </c>
      <c r="BT601" s="40">
        <v>2298</v>
      </c>
      <c r="BU601" s="40">
        <v>2122</v>
      </c>
      <c r="BV601" s="40">
        <v>2213</v>
      </c>
      <c r="BW601" s="40">
        <v>2418</v>
      </c>
      <c r="BX601" s="40">
        <v>2336</v>
      </c>
      <c r="BY601" s="40">
        <v>2567</v>
      </c>
      <c r="BZ601" s="40">
        <v>2211</v>
      </c>
      <c r="CA601" s="40">
        <v>2432</v>
      </c>
      <c r="CB601" s="40">
        <v>2436</v>
      </c>
      <c r="CC601" s="41">
        <f t="shared" si="7189"/>
        <v>1872</v>
      </c>
      <c r="CD601" s="41">
        <f t="shared" si="7190"/>
        <v>4563</v>
      </c>
      <c r="CE601" s="41">
        <f t="shared" si="7191"/>
        <v>6052</v>
      </c>
      <c r="CF601" s="41">
        <f t="shared" si="7192"/>
        <v>6701</v>
      </c>
      <c r="CG601" s="41">
        <f t="shared" si="7193"/>
        <v>8177</v>
      </c>
      <c r="CH601" s="41">
        <f t="shared" si="7194"/>
        <v>8826</v>
      </c>
      <c r="CI601" s="41">
        <f t="shared" si="7195"/>
        <v>9170</v>
      </c>
      <c r="CJ601" s="41">
        <f t="shared" si="7196"/>
        <v>9082</v>
      </c>
      <c r="CK601" s="41">
        <f t="shared" si="7197"/>
        <v>6619</v>
      </c>
      <c r="CL601" s="41">
        <f t="shared" si="7198"/>
        <v>5017</v>
      </c>
      <c r="CM601" s="41">
        <f t="shared" si="7199"/>
        <v>5702</v>
      </c>
      <c r="CN601" s="41">
        <f t="shared" si="7200"/>
        <v>5108</v>
      </c>
      <c r="CO601" s="41">
        <f t="shared" si="7201"/>
        <v>6117</v>
      </c>
      <c r="CP601" s="41">
        <f t="shared" si="7202"/>
        <v>7681</v>
      </c>
      <c r="CQ601" s="41">
        <f t="shared" si="7203"/>
        <v>10345</v>
      </c>
      <c r="CR601" s="41">
        <f t="shared" si="7204"/>
        <v>7319</v>
      </c>
      <c r="CS601" s="41">
        <f t="shared" si="7205"/>
        <v>6756</v>
      </c>
      <c r="CT601" s="41">
        <f t="shared" si="7206"/>
        <v>7809</v>
      </c>
      <c r="CU601" s="41">
        <f t="shared" si="7207"/>
        <v>11722</v>
      </c>
      <c r="CV601" s="41">
        <f t="shared" si="7208"/>
        <v>15296</v>
      </c>
      <c r="CW601" s="41">
        <f t="shared" si="7209"/>
        <v>18044</v>
      </c>
      <c r="CX601" s="41">
        <f t="shared" si="7210"/>
        <v>23183</v>
      </c>
      <c r="CY601" s="41">
        <f t="shared" si="7211"/>
        <v>27477</v>
      </c>
      <c r="CZ601" s="211">
        <f t="shared" si="7212"/>
        <v>32100</v>
      </c>
      <c r="DA601" s="41">
        <f t="shared" si="7213"/>
        <v>32100</v>
      </c>
      <c r="DB601" s="41">
        <f t="shared" si="7214"/>
        <v>32100</v>
      </c>
      <c r="DC601" s="41">
        <f t="shared" si="7215"/>
        <v>32100</v>
      </c>
      <c r="DD601" s="41">
        <f t="shared" si="7216"/>
        <v>32100</v>
      </c>
      <c r="DE601" s="41">
        <f t="shared" si="7217"/>
        <v>32100</v>
      </c>
      <c r="DF601" s="41">
        <f t="shared" si="7218"/>
        <v>32100</v>
      </c>
      <c r="DG601" s="41">
        <f t="shared" si="7219"/>
        <v>32100</v>
      </c>
      <c r="DH601" s="41">
        <f t="shared" si="7220"/>
        <v>32100</v>
      </c>
      <c r="DI601" s="41">
        <f t="shared" si="7221"/>
        <v>32100</v>
      </c>
    </row>
    <row r="602" spans="1:113" ht="12" outlineLevel="1">
      <c r="A602" s="1" t="s">
        <v>741</v>
      </c>
      <c r="B602" s="15" t="s">
        <v>720</v>
      </c>
      <c r="C602" s="41">
        <v>0</v>
      </c>
      <c r="D602" s="41">
        <v>0</v>
      </c>
      <c r="E602" s="41">
        <v>0</v>
      </c>
      <c r="F602" s="41">
        <v>0</v>
      </c>
      <c r="G602" s="41">
        <v>0</v>
      </c>
      <c r="H602" s="41">
        <v>0</v>
      </c>
      <c r="I602" s="41">
        <v>0</v>
      </c>
      <c r="J602" s="41">
        <v>0</v>
      </c>
      <c r="K602" s="41">
        <v>0</v>
      </c>
      <c r="L602" s="41">
        <v>0</v>
      </c>
      <c r="M602" s="41">
        <v>0</v>
      </c>
      <c r="N602" s="41">
        <v>0</v>
      </c>
      <c r="O602" s="41">
        <v>0</v>
      </c>
      <c r="P602" s="41">
        <f t="shared" ref="P602:X602" si="7266">SUM(P584,P575:P578)</f>
        <v>-1354</v>
      </c>
      <c r="Q602" s="41">
        <f t="shared" si="7266"/>
        <v>-1206</v>
      </c>
      <c r="R602" s="41">
        <f t="shared" si="7266"/>
        <v>-2604</v>
      </c>
      <c r="S602" s="41">
        <f t="shared" si="7266"/>
        <v>-2661</v>
      </c>
      <c r="T602" s="41">
        <f t="shared" si="7266"/>
        <v>-2830</v>
      </c>
      <c r="U602" s="41">
        <f t="shared" si="7266"/>
        <v>-3026</v>
      </c>
      <c r="V602" s="41">
        <f t="shared" si="7266"/>
        <v>-3055</v>
      </c>
      <c r="W602" s="41">
        <f t="shared" si="7266"/>
        <v>-3071</v>
      </c>
      <c r="X602" s="41">
        <f t="shared" si="7266"/>
        <v>-3217</v>
      </c>
      <c r="Y602" s="41">
        <f>SUM(Y584,Y575:Y578)</f>
        <v>-2814</v>
      </c>
      <c r="Z602" s="41">
        <f t="shared" ref="Z602:AE602" si="7267">Z604-SUM(Z598:Z601,Z603)</f>
        <v>0</v>
      </c>
      <c r="AA602" s="41">
        <f t="shared" si="7267"/>
        <v>0</v>
      </c>
      <c r="AB602" s="41">
        <f t="shared" si="7267"/>
        <v>0</v>
      </c>
      <c r="AC602" s="41">
        <f t="shared" si="7267"/>
        <v>0</v>
      </c>
      <c r="AD602" s="41">
        <f t="shared" si="7267"/>
        <v>0</v>
      </c>
      <c r="AE602" s="41">
        <f t="shared" si="7267"/>
        <v>0</v>
      </c>
      <c r="AF602" s="41">
        <f t="shared" ref="AF602:AG602" si="7268">AF604-SUM(AF598:AF601,AF603)</f>
        <v>0</v>
      </c>
      <c r="AG602" s="41">
        <f t="shared" si="7268"/>
        <v>0</v>
      </c>
      <c r="AH602" s="41">
        <f t="shared" ref="AH602:AI602" si="7269">AH604-SUM(AH598:AH601,AH603)</f>
        <v>0</v>
      </c>
      <c r="AI602" s="41">
        <f t="shared" si="7269"/>
        <v>0</v>
      </c>
      <c r="AJ602" s="41">
        <f t="shared" ref="AJ602:AK602" si="7270">AJ604-SUM(AJ598:AJ601,AJ603)</f>
        <v>0</v>
      </c>
      <c r="AK602" s="41">
        <f t="shared" si="7270"/>
        <v>0</v>
      </c>
      <c r="AL602" s="41">
        <f t="shared" ref="AL602:AM602" si="7271">AL604-SUM(AL598:AL601,AL603)</f>
        <v>0</v>
      </c>
      <c r="AM602" s="41">
        <f t="shared" si="7271"/>
        <v>0</v>
      </c>
      <c r="AN602" s="41">
        <f t="shared" ref="AN602:AO602" si="7272">AN604-SUM(AN598:AN601,AN603)</f>
        <v>0</v>
      </c>
      <c r="AO602" s="41">
        <f t="shared" si="7272"/>
        <v>0</v>
      </c>
      <c r="AP602" s="41">
        <f t="shared" ref="AP602:AQ602" si="7273">AP604-SUM(AP598:AP601,AP603)</f>
        <v>0</v>
      </c>
      <c r="AQ602" s="41">
        <f t="shared" si="7273"/>
        <v>0</v>
      </c>
      <c r="AR602" s="41">
        <f t="shared" ref="AR602:AS602" si="7274">AR604-SUM(AR598:AR601,AR603)</f>
        <v>0</v>
      </c>
      <c r="AS602" s="41">
        <f t="shared" si="7274"/>
        <v>0</v>
      </c>
      <c r="AT602" s="41">
        <f t="shared" ref="AT602:AU602" si="7275">AT604-SUM(AT598:AT601,AT603)</f>
        <v>0</v>
      </c>
      <c r="AU602" s="41">
        <f t="shared" si="7275"/>
        <v>0</v>
      </c>
      <c r="AV602" s="41">
        <f t="shared" ref="AV602:AW602" si="7276">AV604-SUM(AV598:AV601,AV603)</f>
        <v>0</v>
      </c>
      <c r="AW602" s="41">
        <f t="shared" si="7276"/>
        <v>0</v>
      </c>
      <c r="AX602" s="41">
        <f t="shared" ref="AX602:AY602" si="7277">AX604-SUM(AX598:AX601,AX603)</f>
        <v>0</v>
      </c>
      <c r="AY602" s="211">
        <f t="shared" si="7277"/>
        <v>0</v>
      </c>
      <c r="AZ602" s="239">
        <f t="shared" ref="AZ602:AZ603" si="7278">AY602</f>
        <v>0</v>
      </c>
      <c r="BA602" s="239">
        <f t="shared" si="7243"/>
        <v>0</v>
      </c>
      <c r="BB602" s="239">
        <f t="shared" ref="BB602:BB603" si="7279">BA602</f>
        <v>0</v>
      </c>
      <c r="BC602" s="239">
        <f t="shared" si="7245"/>
        <v>0</v>
      </c>
      <c r="BD602" s="239">
        <f t="shared" ref="BD602:BD603" si="7280">BC602</f>
        <v>0</v>
      </c>
      <c r="BE602" s="239">
        <f t="shared" si="7247"/>
        <v>0</v>
      </c>
      <c r="BF602" s="239">
        <f t="shared" ref="BF602:BF603" si="7281">BE602</f>
        <v>0</v>
      </c>
      <c r="BG602" s="239">
        <f t="shared" si="7249"/>
        <v>0</v>
      </c>
      <c r="BH602" s="239">
        <f t="shared" si="7249"/>
        <v>0</v>
      </c>
      <c r="BI602" s="239">
        <f t="shared" si="7249"/>
        <v>0</v>
      </c>
      <c r="BJ602" s="239">
        <f t="shared" si="7249"/>
        <v>0</v>
      </c>
      <c r="BK602" s="239">
        <f t="shared" si="7249"/>
        <v>0</v>
      </c>
      <c r="BL602" s="239">
        <f t="shared" si="7250"/>
        <v>0</v>
      </c>
      <c r="BM602" s="239">
        <f t="shared" si="7251"/>
        <v>0</v>
      </c>
      <c r="BN602" s="239">
        <f t="shared" si="7252"/>
        <v>0</v>
      </c>
      <c r="BO602" s="239">
        <f t="shared" si="7253"/>
        <v>0</v>
      </c>
      <c r="BP602" s="239">
        <f t="shared" si="7254"/>
        <v>0</v>
      </c>
      <c r="BQ602" s="239">
        <f t="shared" si="7255"/>
        <v>0</v>
      </c>
      <c r="BR602" s="41"/>
      <c r="BS602" s="40">
        <v>-239.2</v>
      </c>
      <c r="BT602" s="40">
        <v>-25.1</v>
      </c>
      <c r="BU602" s="40">
        <v>0</v>
      </c>
      <c r="BV602" s="40">
        <v>0</v>
      </c>
      <c r="BW602" s="40">
        <v>0</v>
      </c>
      <c r="BX602" s="40">
        <v>0</v>
      </c>
      <c r="BY602" s="40">
        <v>0</v>
      </c>
      <c r="BZ602" s="40">
        <v>0</v>
      </c>
      <c r="CA602" s="40">
        <v>0</v>
      </c>
      <c r="CB602" s="40">
        <v>0</v>
      </c>
      <c r="CC602" s="41">
        <f t="shared" si="7189"/>
        <v>0</v>
      </c>
      <c r="CD602" s="41">
        <f t="shared" si="7190"/>
        <v>0</v>
      </c>
      <c r="CE602" s="41">
        <f t="shared" si="7191"/>
        <v>0</v>
      </c>
      <c r="CF602" s="41">
        <f t="shared" si="7192"/>
        <v>0</v>
      </c>
      <c r="CG602" s="41">
        <f t="shared" si="7193"/>
        <v>0</v>
      </c>
      <c r="CH602" s="41">
        <f t="shared" si="7194"/>
        <v>0</v>
      </c>
      <c r="CI602" s="41">
        <f t="shared" si="7195"/>
        <v>-1206</v>
      </c>
      <c r="CJ602" s="41">
        <f t="shared" si="7196"/>
        <v>-2661</v>
      </c>
      <c r="CK602" s="41">
        <f t="shared" si="7197"/>
        <v>-3026</v>
      </c>
      <c r="CL602" s="41">
        <f t="shared" si="7198"/>
        <v>-3071</v>
      </c>
      <c r="CM602" s="41">
        <f t="shared" si="7199"/>
        <v>-2814</v>
      </c>
      <c r="CN602" s="41">
        <f t="shared" si="7200"/>
        <v>0</v>
      </c>
      <c r="CO602" s="41">
        <f t="shared" si="7201"/>
        <v>0</v>
      </c>
      <c r="CP602" s="41">
        <f t="shared" si="7202"/>
        <v>0</v>
      </c>
      <c r="CQ602" s="41">
        <f t="shared" si="7203"/>
        <v>0</v>
      </c>
      <c r="CR602" s="41">
        <f t="shared" si="7204"/>
        <v>0</v>
      </c>
      <c r="CS602" s="41">
        <f t="shared" si="7205"/>
        <v>0</v>
      </c>
      <c r="CT602" s="41">
        <f t="shared" si="7206"/>
        <v>0</v>
      </c>
      <c r="CU602" s="41">
        <f t="shared" si="7207"/>
        <v>0</v>
      </c>
      <c r="CV602" s="41">
        <f t="shared" si="7208"/>
        <v>0</v>
      </c>
      <c r="CW602" s="41">
        <f t="shared" si="7209"/>
        <v>0</v>
      </c>
      <c r="CX602" s="41">
        <f t="shared" si="7210"/>
        <v>0</v>
      </c>
      <c r="CY602" s="41">
        <f t="shared" si="7211"/>
        <v>0</v>
      </c>
      <c r="CZ602" s="211">
        <f t="shared" si="7212"/>
        <v>0</v>
      </c>
      <c r="DA602" s="41">
        <f t="shared" si="7213"/>
        <v>0</v>
      </c>
      <c r="DB602" s="41">
        <f t="shared" si="7214"/>
        <v>0</v>
      </c>
      <c r="DC602" s="41">
        <f t="shared" si="7215"/>
        <v>0</v>
      </c>
      <c r="DD602" s="41">
        <f t="shared" si="7216"/>
        <v>0</v>
      </c>
      <c r="DE602" s="41">
        <f t="shared" si="7217"/>
        <v>0</v>
      </c>
      <c r="DF602" s="41">
        <f t="shared" si="7218"/>
        <v>0</v>
      </c>
      <c r="DG602" s="41">
        <f t="shared" si="7219"/>
        <v>0</v>
      </c>
      <c r="DH602" s="41">
        <f t="shared" si="7220"/>
        <v>0</v>
      </c>
      <c r="DI602" s="41">
        <f t="shared" si="7221"/>
        <v>0</v>
      </c>
    </row>
    <row r="603" spans="1:113" ht="12" outlineLevel="1">
      <c r="A603" s="1" t="s">
        <v>742</v>
      </c>
      <c r="B603" s="15" t="s">
        <v>271</v>
      </c>
      <c r="C603" s="41">
        <f t="shared" ref="C603" si="7282">C604-SUM(C598:C602)</f>
        <v>31</v>
      </c>
      <c r="D603" s="41">
        <f t="shared" ref="D603:L603" si="7283">D604-SUM(D598:D602)</f>
        <v>31</v>
      </c>
      <c r="E603" s="41">
        <f t="shared" si="7283"/>
        <v>31</v>
      </c>
      <c r="F603" s="41">
        <f t="shared" si="7283"/>
        <v>31</v>
      </c>
      <c r="G603" s="41">
        <f t="shared" si="7283"/>
        <v>31</v>
      </c>
      <c r="H603" s="41">
        <f t="shared" si="7283"/>
        <v>31</v>
      </c>
      <c r="I603" s="41">
        <f t="shared" si="7283"/>
        <v>31</v>
      </c>
      <c r="J603" s="41">
        <f t="shared" si="7283"/>
        <v>31</v>
      </c>
      <c r="K603" s="41">
        <f t="shared" si="7283"/>
        <v>31</v>
      </c>
      <c r="L603" s="41">
        <f t="shared" si="7283"/>
        <v>0</v>
      </c>
      <c r="M603" s="41">
        <f t="shared" ref="M603:Y603" si="7284">M604-SUM(M598:M602)</f>
        <v>201</v>
      </c>
      <c r="N603" s="41">
        <f t="shared" si="7284"/>
        <v>227</v>
      </c>
      <c r="O603" s="41">
        <f t="shared" si="7284"/>
        <v>214</v>
      </c>
      <c r="P603" s="41">
        <f t="shared" si="7284"/>
        <v>244</v>
      </c>
      <c r="Q603" s="41">
        <f t="shared" si="7284"/>
        <v>248</v>
      </c>
      <c r="R603" s="41">
        <f t="shared" si="7284"/>
        <v>271</v>
      </c>
      <c r="S603" s="41">
        <f t="shared" si="7284"/>
        <v>269</v>
      </c>
      <c r="T603" s="41">
        <f t="shared" si="7284"/>
        <v>0</v>
      </c>
      <c r="U603" s="41">
        <f t="shared" si="7284"/>
        <v>0</v>
      </c>
      <c r="V603" s="41">
        <f t="shared" si="7284"/>
        <v>0</v>
      </c>
      <c r="W603" s="41">
        <f t="shared" si="7284"/>
        <v>0</v>
      </c>
      <c r="X603" s="41">
        <f t="shared" si="7284"/>
        <v>0</v>
      </c>
      <c r="Y603" s="41">
        <f t="shared" si="7284"/>
        <v>0</v>
      </c>
      <c r="Z603" s="141">
        <f>-87-31</f>
        <v>-118</v>
      </c>
      <c r="AA603" s="141">
        <v>-228</v>
      </c>
      <c r="AB603" s="141">
        <v>-299</v>
      </c>
      <c r="AC603" s="141">
        <v>-294</v>
      </c>
      <c r="AD603" s="141">
        <v>-1207</v>
      </c>
      <c r="AE603" s="141">
        <v>-1170</v>
      </c>
      <c r="AF603" s="141">
        <v>-1649</v>
      </c>
      <c r="AG603" s="141">
        <v>-1474</v>
      </c>
      <c r="AH603" s="141">
        <v>-2088</v>
      </c>
      <c r="AI603" s="141">
        <v>0</v>
      </c>
      <c r="AJ603" s="141">
        <v>0</v>
      </c>
      <c r="AK603" s="141">
        <v>0</v>
      </c>
      <c r="AL603" s="141">
        <v>0</v>
      </c>
      <c r="AM603" s="141">
        <v>0</v>
      </c>
      <c r="AN603" s="141">
        <v>0</v>
      </c>
      <c r="AO603" s="141">
        <v>0</v>
      </c>
      <c r="AP603" s="141">
        <v>0</v>
      </c>
      <c r="AQ603" s="141">
        <v>0</v>
      </c>
      <c r="AR603" s="141">
        <v>0</v>
      </c>
      <c r="AS603" s="141">
        <v>0</v>
      </c>
      <c r="AT603" s="141">
        <v>0</v>
      </c>
      <c r="AU603" s="141">
        <v>0</v>
      </c>
      <c r="AV603" s="141">
        <v>0</v>
      </c>
      <c r="AW603" s="141">
        <v>0</v>
      </c>
      <c r="AX603" s="141">
        <v>0</v>
      </c>
      <c r="AY603" s="226">
        <v>0</v>
      </c>
      <c r="AZ603" s="210">
        <f t="shared" si="7278"/>
        <v>0</v>
      </c>
      <c r="BA603" s="210">
        <f t="shared" si="7243"/>
        <v>0</v>
      </c>
      <c r="BB603" s="210">
        <f t="shared" si="7279"/>
        <v>0</v>
      </c>
      <c r="BC603" s="210">
        <f t="shared" si="7245"/>
        <v>0</v>
      </c>
      <c r="BD603" s="210">
        <f t="shared" si="7280"/>
        <v>0</v>
      </c>
      <c r="BE603" s="210">
        <f t="shared" si="7247"/>
        <v>0</v>
      </c>
      <c r="BF603" s="210">
        <f t="shared" si="7281"/>
        <v>0</v>
      </c>
      <c r="BG603" s="210">
        <f t="shared" si="7249"/>
        <v>0</v>
      </c>
      <c r="BH603" s="210">
        <f t="shared" si="7249"/>
        <v>0</v>
      </c>
      <c r="BI603" s="210">
        <f t="shared" si="7249"/>
        <v>0</v>
      </c>
      <c r="BJ603" s="210">
        <f t="shared" si="7249"/>
        <v>0</v>
      </c>
      <c r="BK603" s="210">
        <f t="shared" si="7249"/>
        <v>0</v>
      </c>
      <c r="BL603" s="210">
        <f t="shared" si="7250"/>
        <v>0</v>
      </c>
      <c r="BM603" s="210">
        <f t="shared" si="7251"/>
        <v>0</v>
      </c>
      <c r="BN603" s="210">
        <f t="shared" si="7252"/>
        <v>0</v>
      </c>
      <c r="BO603" s="210">
        <f t="shared" si="7253"/>
        <v>0</v>
      </c>
      <c r="BP603" s="210">
        <f t="shared" si="7254"/>
        <v>0</v>
      </c>
      <c r="BQ603" s="210">
        <f t="shared" si="7255"/>
        <v>0</v>
      </c>
      <c r="BR603" s="41"/>
      <c r="BS603" s="41">
        <f t="shared" ref="BS603:CB603" si="7285">BS604-SUM(BS598:BS602)</f>
        <v>7.8999999999996362</v>
      </c>
      <c r="BT603" s="41">
        <f t="shared" si="7285"/>
        <v>0</v>
      </c>
      <c r="BU603" s="41">
        <f t="shared" si="7285"/>
        <v>0</v>
      </c>
      <c r="BV603" s="41">
        <f t="shared" si="7285"/>
        <v>0</v>
      </c>
      <c r="BW603" s="41">
        <f t="shared" si="7285"/>
        <v>0</v>
      </c>
      <c r="BX603" s="41">
        <f t="shared" si="7285"/>
        <v>0</v>
      </c>
      <c r="BY603" s="41">
        <f t="shared" si="7285"/>
        <v>0</v>
      </c>
      <c r="BZ603" s="41">
        <f t="shared" si="7285"/>
        <v>0</v>
      </c>
      <c r="CA603" s="41">
        <f t="shared" si="7285"/>
        <v>31</v>
      </c>
      <c r="CB603" s="41">
        <f t="shared" si="7285"/>
        <v>31</v>
      </c>
      <c r="CC603" s="41">
        <f t="shared" si="7189"/>
        <v>31</v>
      </c>
      <c r="CD603" s="41">
        <f t="shared" si="7190"/>
        <v>31</v>
      </c>
      <c r="CE603" s="41">
        <f t="shared" si="7191"/>
        <v>31</v>
      </c>
      <c r="CF603" s="41">
        <f t="shared" si="7192"/>
        <v>31</v>
      </c>
      <c r="CG603" s="41">
        <f t="shared" si="7193"/>
        <v>201</v>
      </c>
      <c r="CH603" s="41">
        <f t="shared" si="7194"/>
        <v>214</v>
      </c>
      <c r="CI603" s="41">
        <f t="shared" si="7195"/>
        <v>248</v>
      </c>
      <c r="CJ603" s="41">
        <f t="shared" si="7196"/>
        <v>269</v>
      </c>
      <c r="CK603" s="41">
        <f t="shared" si="7197"/>
        <v>0</v>
      </c>
      <c r="CL603" s="41">
        <f t="shared" si="7198"/>
        <v>0</v>
      </c>
      <c r="CM603" s="41">
        <f t="shared" si="7199"/>
        <v>0</v>
      </c>
      <c r="CN603" s="41">
        <f t="shared" si="7200"/>
        <v>-228</v>
      </c>
      <c r="CO603" s="41">
        <f t="shared" si="7201"/>
        <v>-294</v>
      </c>
      <c r="CP603" s="41">
        <f t="shared" si="7202"/>
        <v>-1170</v>
      </c>
      <c r="CQ603" s="41">
        <f t="shared" si="7203"/>
        <v>-1474</v>
      </c>
      <c r="CR603" s="41">
        <f t="shared" si="7204"/>
        <v>0</v>
      </c>
      <c r="CS603" s="41">
        <f t="shared" si="7205"/>
        <v>0</v>
      </c>
      <c r="CT603" s="41">
        <f t="shared" si="7206"/>
        <v>0</v>
      </c>
      <c r="CU603" s="41">
        <f t="shared" si="7207"/>
        <v>0</v>
      </c>
      <c r="CV603" s="41">
        <f t="shared" si="7208"/>
        <v>0</v>
      </c>
      <c r="CW603" s="41">
        <f t="shared" si="7209"/>
        <v>0</v>
      </c>
      <c r="CX603" s="41">
        <f t="shared" si="7210"/>
        <v>0</v>
      </c>
      <c r="CY603" s="41">
        <f t="shared" si="7211"/>
        <v>0</v>
      </c>
      <c r="CZ603" s="211">
        <f t="shared" si="7212"/>
        <v>0</v>
      </c>
      <c r="DA603" s="41">
        <f t="shared" si="7213"/>
        <v>0</v>
      </c>
      <c r="DB603" s="41">
        <f t="shared" si="7214"/>
        <v>0</v>
      </c>
      <c r="DC603" s="41">
        <f t="shared" si="7215"/>
        <v>0</v>
      </c>
      <c r="DD603" s="41">
        <f t="shared" si="7216"/>
        <v>0</v>
      </c>
      <c r="DE603" s="41">
        <f t="shared" si="7217"/>
        <v>0</v>
      </c>
      <c r="DF603" s="41">
        <f t="shared" si="7218"/>
        <v>0</v>
      </c>
      <c r="DG603" s="41">
        <f t="shared" si="7219"/>
        <v>0</v>
      </c>
      <c r="DH603" s="41">
        <f t="shared" si="7220"/>
        <v>0</v>
      </c>
      <c r="DI603" s="41">
        <f t="shared" si="7221"/>
        <v>0</v>
      </c>
    </row>
    <row r="604" spans="1:113" s="17" customFormat="1" ht="12" outlineLevel="1">
      <c r="A604" s="1" t="s">
        <v>743</v>
      </c>
      <c r="B604" s="17" t="s">
        <v>168</v>
      </c>
      <c r="C604" s="61">
        <v>4557</v>
      </c>
      <c r="D604" s="61">
        <v>4146</v>
      </c>
      <c r="E604" s="61">
        <v>3937</v>
      </c>
      <c r="F604" s="61">
        <v>5043</v>
      </c>
      <c r="G604" s="61">
        <v>6065</v>
      </c>
      <c r="H604" s="61">
        <v>6857</v>
      </c>
      <c r="I604" s="61">
        <v>7844</v>
      </c>
      <c r="J604" s="61">
        <v>7579</v>
      </c>
      <c r="K604" s="61">
        <v>8574</v>
      </c>
      <c r="L604" s="61">
        <v>9153</v>
      </c>
      <c r="M604" s="61">
        <v>10123</v>
      </c>
      <c r="N604" s="61">
        <v>10718</v>
      </c>
      <c r="O604" s="61">
        <v>11122</v>
      </c>
      <c r="P604" s="61">
        <v>8667</v>
      </c>
      <c r="Q604" s="61">
        <v>9338</v>
      </c>
      <c r="R604" s="61">
        <v>8049</v>
      </c>
      <c r="S604" s="61">
        <v>7811</v>
      </c>
      <c r="T604" s="61">
        <v>5632</v>
      </c>
      <c r="U604" s="61">
        <v>4816</v>
      </c>
      <c r="V604" s="61">
        <v>4287</v>
      </c>
      <c r="W604" s="61">
        <v>3174</v>
      </c>
      <c r="X604" s="61">
        <v>3713</v>
      </c>
      <c r="Y604" s="61">
        <v>4073</v>
      </c>
      <c r="Z604" s="194">
        <v>6062</v>
      </c>
      <c r="AA604" s="194">
        <v>6190</v>
      </c>
      <c r="AB604" s="194">
        <v>6335</v>
      </c>
      <c r="AC604" s="194">
        <v>7138</v>
      </c>
      <c r="AD604" s="194">
        <v>7716</v>
      </c>
      <c r="AE604" s="194">
        <v>7951</v>
      </c>
      <c r="AF604" s="194">
        <v>8076</v>
      </c>
      <c r="AG604" s="194">
        <v>10328</v>
      </c>
      <c r="AH604" s="194">
        <v>9648</v>
      </c>
      <c r="AI604" s="194">
        <v>8669</v>
      </c>
      <c r="AJ604" s="194">
        <v>8040</v>
      </c>
      <c r="AK604" s="194">
        <v>7291</v>
      </c>
      <c r="AL604" s="194">
        <v>7569</v>
      </c>
      <c r="AM604" s="194">
        <v>8549</v>
      </c>
      <c r="AN604" s="194">
        <v>13112</v>
      </c>
      <c r="AO604" s="194">
        <v>13957</v>
      </c>
      <c r="AP604" s="194">
        <v>16464</v>
      </c>
      <c r="AQ604" s="194">
        <v>17125</v>
      </c>
      <c r="AR604" s="194">
        <v>14780</v>
      </c>
      <c r="AS604" s="194">
        <v>19277</v>
      </c>
      <c r="AT604" s="194">
        <v>24068</v>
      </c>
      <c r="AU604" s="194">
        <v>24959</v>
      </c>
      <c r="AV604" s="194">
        <v>28223</v>
      </c>
      <c r="AW604" s="194">
        <v>29189</v>
      </c>
      <c r="AX604" s="194">
        <v>32831</v>
      </c>
      <c r="AY604" s="227">
        <v>33810</v>
      </c>
      <c r="AZ604" s="62">
        <f t="shared" ref="AZ604:BA604" si="7286">SUM(AZ598:AZ603)</f>
        <v>33838.773645911038</v>
      </c>
      <c r="BA604" s="62">
        <f t="shared" si="7286"/>
        <v>33869.037487751404</v>
      </c>
      <c r="BB604" s="62">
        <f t="shared" ref="BB604:BC604" si="7287">SUM(BB598:BB603)</f>
        <v>33896.263134278568</v>
      </c>
      <c r="BC604" s="62">
        <f t="shared" si="7287"/>
        <v>33926.381588732365</v>
      </c>
      <c r="BD604" s="62">
        <f t="shared" ref="BD604:BE604" si="7288">SUM(BD598:BD603)</f>
        <v>33950.295201449044</v>
      </c>
      <c r="BE604" s="62">
        <f t="shared" si="7288"/>
        <v>33976.226719398699</v>
      </c>
      <c r="BF604" s="62">
        <f t="shared" ref="BF604:BG604" si="7289">SUM(BF598:BF603)</f>
        <v>33999.479085828876</v>
      </c>
      <c r="BG604" s="62">
        <f t="shared" si="7289"/>
        <v>34022.661704582119</v>
      </c>
      <c r="BH604" s="62">
        <f t="shared" ref="BH604:BI604" si="7290">SUM(BH598:BH603)</f>
        <v>34059.490743396309</v>
      </c>
      <c r="BI604" s="62">
        <f t="shared" si="7290"/>
        <v>34095.892415028364</v>
      </c>
      <c r="BJ604" s="62">
        <f t="shared" ref="BJ604:BK604" si="7291">SUM(BJ598:BJ603)</f>
        <v>34134.465444537112</v>
      </c>
      <c r="BK604" s="62">
        <f t="shared" si="7291"/>
        <v>34170.212517085631</v>
      </c>
      <c r="BL604" s="62">
        <f t="shared" ref="BL604:BM604" si="7292">SUM(BL598:BL603)</f>
        <v>34206.684888943193</v>
      </c>
      <c r="BM604" s="62">
        <f t="shared" si="7292"/>
        <v>34243.896898765881</v>
      </c>
      <c r="BN604" s="62">
        <f t="shared" ref="BN604:BO604" si="7293">SUM(BN598:BN603)</f>
        <v>34285.775178229625</v>
      </c>
      <c r="BO604" s="62">
        <f t="shared" si="7293"/>
        <v>34328.481321661864</v>
      </c>
      <c r="BP604" s="62">
        <f t="shared" ref="BP604:BQ604" si="7294">SUM(BP598:BP603)</f>
        <v>34375.287859767406</v>
      </c>
      <c r="BQ604" s="62">
        <f t="shared" si="7294"/>
        <v>34423.150935245372</v>
      </c>
      <c r="BR604" s="62"/>
      <c r="BS604" s="61">
        <v>3506</v>
      </c>
      <c r="BT604" s="61">
        <v>3935.7</v>
      </c>
      <c r="BU604" s="61">
        <v>3648</v>
      </c>
      <c r="BV604" s="61">
        <v>3834</v>
      </c>
      <c r="BW604" s="61">
        <v>4023</v>
      </c>
      <c r="BX604" s="61">
        <v>4030</v>
      </c>
      <c r="BY604" s="61">
        <v>4392</v>
      </c>
      <c r="BZ604" s="61">
        <v>3917</v>
      </c>
      <c r="CA604" s="61">
        <v>4408</v>
      </c>
      <c r="CB604" s="61">
        <v>4557</v>
      </c>
      <c r="CC604" s="62">
        <f t="shared" ref="CC604:CP604" si="7295">SUM(CC598:CC603)</f>
        <v>3937</v>
      </c>
      <c r="CD604" s="62">
        <f t="shared" si="7295"/>
        <v>6065</v>
      </c>
      <c r="CE604" s="62">
        <f t="shared" si="7295"/>
        <v>7844</v>
      </c>
      <c r="CF604" s="62">
        <f t="shared" si="7295"/>
        <v>8574</v>
      </c>
      <c r="CG604" s="62">
        <f t="shared" si="7295"/>
        <v>10123</v>
      </c>
      <c r="CH604" s="62">
        <f t="shared" si="7295"/>
        <v>11122</v>
      </c>
      <c r="CI604" s="62">
        <f t="shared" si="7295"/>
        <v>9338</v>
      </c>
      <c r="CJ604" s="62">
        <f t="shared" si="7295"/>
        <v>7811</v>
      </c>
      <c r="CK604" s="62">
        <f t="shared" si="7295"/>
        <v>4816</v>
      </c>
      <c r="CL604" s="62">
        <f t="shared" si="7295"/>
        <v>3174</v>
      </c>
      <c r="CM604" s="62">
        <f t="shared" si="7295"/>
        <v>4073</v>
      </c>
      <c r="CN604" s="62">
        <f t="shared" si="7295"/>
        <v>6190</v>
      </c>
      <c r="CO604" s="62">
        <f t="shared" si="7295"/>
        <v>7138</v>
      </c>
      <c r="CP604" s="62">
        <f t="shared" si="7295"/>
        <v>7951</v>
      </c>
      <c r="CQ604" s="62">
        <f t="shared" ref="CQ604:CX604" si="7296">SUM(CQ598:CQ603)</f>
        <v>10328</v>
      </c>
      <c r="CR604" s="62">
        <f t="shared" si="7296"/>
        <v>8669</v>
      </c>
      <c r="CS604" s="62">
        <f t="shared" si="7296"/>
        <v>7291</v>
      </c>
      <c r="CT604" s="62">
        <f t="shared" si="7296"/>
        <v>8549</v>
      </c>
      <c r="CU604" s="62">
        <f t="shared" si="7296"/>
        <v>13957</v>
      </c>
      <c r="CV604" s="62">
        <f t="shared" si="7296"/>
        <v>17125</v>
      </c>
      <c r="CW604" s="62">
        <f t="shared" si="7296"/>
        <v>19277</v>
      </c>
      <c r="CX604" s="62">
        <f t="shared" si="7296"/>
        <v>24959</v>
      </c>
      <c r="CY604" s="62">
        <f t="shared" ref="CY604:DD604" si="7297">SUM(CY598:CY603)</f>
        <v>29189</v>
      </c>
      <c r="CZ604" s="220">
        <f t="shared" si="7297"/>
        <v>33810</v>
      </c>
      <c r="DA604" s="62">
        <f t="shared" si="7297"/>
        <v>33869.037487751404</v>
      </c>
      <c r="DB604" s="62">
        <f t="shared" si="7297"/>
        <v>33926.381588732365</v>
      </c>
      <c r="DC604" s="62">
        <f t="shared" si="7297"/>
        <v>33976.226719398699</v>
      </c>
      <c r="DD604" s="62">
        <f t="shared" si="7297"/>
        <v>34022.661704582119</v>
      </c>
      <c r="DE604" s="62">
        <f t="shared" ref="DE604" si="7298">SUM(DE598:DE603)</f>
        <v>34095.892415028364</v>
      </c>
      <c r="DF604" s="62">
        <f t="shared" ref="DF604" si="7299">SUM(DF598:DF603)</f>
        <v>34170.212517085631</v>
      </c>
      <c r="DG604" s="62">
        <f>SUM(DG598:DG603)</f>
        <v>34243.896898765881</v>
      </c>
      <c r="DH604" s="62">
        <f>SUM(DH598:DH603)</f>
        <v>34328.481321661864</v>
      </c>
      <c r="DI604" s="62">
        <f>SUM(DI598:DI603)</f>
        <v>34423.150935245372</v>
      </c>
    </row>
    <row r="605" spans="1:113" ht="12" outlineLevel="1">
      <c r="C605" s="41"/>
      <c r="D605" s="41"/>
      <c r="E605" s="41"/>
      <c r="F605" s="41"/>
      <c r="G605" s="41"/>
      <c r="H605" s="41"/>
      <c r="I605" s="41"/>
      <c r="J605" s="41"/>
      <c r="K605" s="41"/>
      <c r="L605" s="41"/>
      <c r="M605" s="41"/>
      <c r="N605" s="41"/>
      <c r="O605" s="41"/>
      <c r="P605" s="41"/>
      <c r="Q605" s="41"/>
      <c r="R605" s="41"/>
      <c r="S605" s="41"/>
      <c r="T605" s="41"/>
      <c r="U605" s="41"/>
      <c r="V605" s="41"/>
      <c r="W605" s="41"/>
      <c r="X605" s="41"/>
      <c r="Y605" s="41"/>
      <c r="Z605" s="41"/>
      <c r="AA605" s="41"/>
      <c r="AB605" s="41"/>
      <c r="AC605" s="41"/>
      <c r="AD605" s="41"/>
      <c r="AE605" s="41"/>
      <c r="AF605" s="41"/>
      <c r="AG605" s="41"/>
      <c r="AH605" s="41"/>
      <c r="AI605" s="41"/>
      <c r="AJ605" s="41"/>
      <c r="AK605" s="41"/>
      <c r="AL605" s="41"/>
      <c r="AM605" s="41"/>
      <c r="AN605" s="41"/>
      <c r="AO605" s="41"/>
      <c r="AP605" s="41"/>
      <c r="AQ605" s="41"/>
      <c r="AR605" s="41"/>
      <c r="AS605" s="41"/>
      <c r="AT605" s="41"/>
      <c r="AU605" s="41"/>
      <c r="AV605" s="41"/>
      <c r="AW605" s="41"/>
      <c r="AX605" s="41"/>
      <c r="AY605" s="211"/>
      <c r="AZ605" s="41"/>
      <c r="BA605" s="41"/>
      <c r="BB605" s="41"/>
      <c r="BC605" s="41"/>
      <c r="BD605" s="41"/>
      <c r="BE605" s="41"/>
      <c r="BF605" s="41"/>
      <c r="BG605" s="41"/>
      <c r="BH605" s="41"/>
      <c r="BI605" s="41"/>
      <c r="BJ605" s="41"/>
      <c r="BK605" s="41"/>
      <c r="BL605" s="41"/>
      <c r="BM605" s="41"/>
      <c r="BN605" s="41"/>
      <c r="BO605" s="41"/>
      <c r="BP605" s="41"/>
      <c r="BQ605" s="41"/>
      <c r="BR605" s="41"/>
      <c r="BS605" s="41"/>
      <c r="BT605" s="41"/>
      <c r="BU605" s="41"/>
      <c r="BV605" s="41"/>
      <c r="BW605" s="41"/>
      <c r="BX605" s="41"/>
      <c r="BY605" s="41"/>
      <c r="BZ605" s="41"/>
      <c r="CA605" s="41"/>
      <c r="CB605" s="41"/>
      <c r="CC605" s="41"/>
      <c r="CD605" s="41"/>
      <c r="CE605" s="41"/>
      <c r="CF605" s="41"/>
      <c r="CG605" s="41"/>
      <c r="CH605" s="41"/>
      <c r="CI605" s="41"/>
      <c r="CJ605" s="41"/>
      <c r="CK605" s="41"/>
      <c r="CL605" s="41"/>
      <c r="CM605" s="41"/>
      <c r="CN605" s="41"/>
      <c r="CO605" s="41"/>
      <c r="CP605" s="41"/>
      <c r="CQ605" s="41"/>
      <c r="CR605" s="41"/>
      <c r="CS605" s="41"/>
      <c r="CT605" s="41"/>
      <c r="CU605" s="41"/>
      <c r="CV605" s="41"/>
      <c r="CW605" s="41"/>
      <c r="CX605" s="41"/>
      <c r="CY605" s="41"/>
      <c r="CZ605" s="211"/>
      <c r="DA605" s="41"/>
      <c r="DB605" s="15"/>
      <c r="DC605" s="15"/>
      <c r="DD605" s="15"/>
      <c r="DE605" s="15"/>
      <c r="DF605" s="15"/>
      <c r="DG605" s="15"/>
      <c r="DH605" s="15"/>
      <c r="DI605" s="15"/>
    </row>
    <row r="606" spans="1:113" ht="12" outlineLevel="1">
      <c r="A606" s="1" t="s">
        <v>744</v>
      </c>
      <c r="B606" s="15" t="s">
        <v>721</v>
      </c>
      <c r="C606" s="40">
        <v>-604</v>
      </c>
      <c r="D606" s="40">
        <v>-657</v>
      </c>
      <c r="E606" s="40">
        <v>-1703</v>
      </c>
      <c r="F606" s="40">
        <v>-1784</v>
      </c>
      <c r="G606" s="40">
        <v>-920</v>
      </c>
      <c r="H606" s="40">
        <v>-976</v>
      </c>
      <c r="I606" s="40">
        <v>-1019</v>
      </c>
      <c r="J606" s="40">
        <v>-767</v>
      </c>
      <c r="K606" s="40">
        <v>-784</v>
      </c>
      <c r="L606" s="40">
        <v>-945</v>
      </c>
      <c r="M606" s="40">
        <v>-1073</v>
      </c>
      <c r="N606" s="40">
        <v>-1810</v>
      </c>
      <c r="O606" s="40">
        <v>-1837</v>
      </c>
      <c r="P606" s="40">
        <v>0</v>
      </c>
      <c r="Q606" s="40">
        <v>0</v>
      </c>
      <c r="R606" s="40">
        <v>0</v>
      </c>
      <c r="S606" s="40">
        <v>0</v>
      </c>
      <c r="T606" s="40">
        <v>0</v>
      </c>
      <c r="U606" s="40">
        <v>0</v>
      </c>
      <c r="V606" s="40">
        <v>0</v>
      </c>
      <c r="W606" s="40">
        <v>0</v>
      </c>
      <c r="X606" s="40">
        <v>0</v>
      </c>
      <c r="Y606" s="40">
        <v>0</v>
      </c>
      <c r="Z606" s="141">
        <v>0</v>
      </c>
      <c r="AA606" s="41">
        <f t="shared" ref="AA606:AX606" si="7300">Z606</f>
        <v>0</v>
      </c>
      <c r="AB606" s="41">
        <f t="shared" si="7300"/>
        <v>0</v>
      </c>
      <c r="AC606" s="41">
        <f t="shared" si="7300"/>
        <v>0</v>
      </c>
      <c r="AD606" s="41">
        <f t="shared" si="7300"/>
        <v>0</v>
      </c>
      <c r="AE606" s="41">
        <f t="shared" si="7300"/>
        <v>0</v>
      </c>
      <c r="AF606" s="41">
        <f t="shared" si="7300"/>
        <v>0</v>
      </c>
      <c r="AG606" s="41">
        <f t="shared" si="7300"/>
        <v>0</v>
      </c>
      <c r="AH606" s="41">
        <f t="shared" si="7300"/>
        <v>0</v>
      </c>
      <c r="AI606" s="41">
        <f t="shared" si="7300"/>
        <v>0</v>
      </c>
      <c r="AJ606" s="41">
        <f t="shared" si="7300"/>
        <v>0</v>
      </c>
      <c r="AK606" s="41">
        <f t="shared" si="7300"/>
        <v>0</v>
      </c>
      <c r="AL606" s="41">
        <f t="shared" si="7300"/>
        <v>0</v>
      </c>
      <c r="AM606" s="41">
        <f t="shared" si="7300"/>
        <v>0</v>
      </c>
      <c r="AN606" s="41">
        <f t="shared" si="7300"/>
        <v>0</v>
      </c>
      <c r="AO606" s="41">
        <f t="shared" si="7300"/>
        <v>0</v>
      </c>
      <c r="AP606" s="41">
        <f t="shared" si="7300"/>
        <v>0</v>
      </c>
      <c r="AQ606" s="41">
        <f t="shared" si="7300"/>
        <v>0</v>
      </c>
      <c r="AR606" s="41">
        <f t="shared" si="7300"/>
        <v>0</v>
      </c>
      <c r="AS606" s="41">
        <f t="shared" si="7300"/>
        <v>0</v>
      </c>
      <c r="AT606" s="41">
        <f t="shared" si="7300"/>
        <v>0</v>
      </c>
      <c r="AU606" s="41">
        <f t="shared" si="7300"/>
        <v>0</v>
      </c>
      <c r="AV606" s="41">
        <f t="shared" si="7300"/>
        <v>0</v>
      </c>
      <c r="AW606" s="41">
        <f t="shared" si="7300"/>
        <v>0</v>
      </c>
      <c r="AX606" s="41">
        <f t="shared" si="7300"/>
        <v>0</v>
      </c>
      <c r="AY606" s="211">
        <f t="shared" ref="AY606" si="7301">AX606</f>
        <v>0</v>
      </c>
      <c r="AZ606" s="41">
        <f t="shared" ref="AZ606" si="7302">AY606</f>
        <v>0</v>
      </c>
      <c r="BA606" s="41">
        <f t="shared" ref="BA606" si="7303">AZ606</f>
        <v>0</v>
      </c>
      <c r="BB606" s="41">
        <f t="shared" ref="BB606" si="7304">BA606</f>
        <v>0</v>
      </c>
      <c r="BC606" s="41">
        <f t="shared" ref="BC606" si="7305">BB606</f>
        <v>0</v>
      </c>
      <c r="BD606" s="41">
        <f t="shared" ref="BD606" si="7306">BC606</f>
        <v>0</v>
      </c>
      <c r="BE606" s="41">
        <f t="shared" ref="BE606" si="7307">BD606</f>
        <v>0</v>
      </c>
      <c r="BF606" s="41">
        <f t="shared" ref="BF606" si="7308">BE606</f>
        <v>0</v>
      </c>
      <c r="BG606" s="41">
        <f t="shared" ref="BG606:BK606" si="7309">BF606</f>
        <v>0</v>
      </c>
      <c r="BH606" s="41">
        <f t="shared" si="7309"/>
        <v>0</v>
      </c>
      <c r="BI606" s="41">
        <f t="shared" si="7309"/>
        <v>0</v>
      </c>
      <c r="BJ606" s="41">
        <f t="shared" si="7309"/>
        <v>0</v>
      </c>
      <c r="BK606" s="41">
        <f t="shared" si="7309"/>
        <v>0</v>
      </c>
      <c r="BL606" s="41">
        <f t="shared" ref="BL606" si="7310">BK606</f>
        <v>0</v>
      </c>
      <c r="BM606" s="41">
        <f t="shared" ref="BM606" si="7311">BL606</f>
        <v>0</v>
      </c>
      <c r="BN606" s="41">
        <f t="shared" ref="BN606" si="7312">BM606</f>
        <v>0</v>
      </c>
      <c r="BO606" s="41">
        <f t="shared" ref="BO606" si="7313">BN606</f>
        <v>0</v>
      </c>
      <c r="BP606" s="41">
        <f t="shared" ref="BP606" si="7314">BO606</f>
        <v>0</v>
      </c>
      <c r="BQ606" s="41">
        <f t="shared" ref="BQ606" si="7315">BP606</f>
        <v>0</v>
      </c>
      <c r="BR606" s="41"/>
      <c r="BS606" s="40">
        <f t="shared" ref="BS606" si="7316">12662-BS604-BS587</f>
        <v>5285.4</v>
      </c>
      <c r="BT606" s="40">
        <f>8278.6-BT604-BT587</f>
        <v>-202.89999999999964</v>
      </c>
      <c r="BU606" s="40">
        <f>8564-BU604-BU587</f>
        <v>-248</v>
      </c>
      <c r="BV606" s="40">
        <f>9035-BV604-BV587</f>
        <v>-302</v>
      </c>
      <c r="BW606" s="40">
        <f>9820-BW604-BW587</f>
        <v>-476</v>
      </c>
      <c r="BX606" s="40">
        <f>10415-BX604-BX587</f>
        <v>-587</v>
      </c>
      <c r="BY606" s="40">
        <f>12396-BY604-BY587</f>
        <v>-305</v>
      </c>
      <c r="BZ606" s="40">
        <f>12662-BZ604-BZ587</f>
        <v>-584</v>
      </c>
      <c r="CA606" s="40">
        <f>13261-CA604-CA587</f>
        <v>-787</v>
      </c>
      <c r="CB606" s="40">
        <f>14340-CB604-CB587</f>
        <v>-604</v>
      </c>
      <c r="CC606" s="41">
        <f>E606</f>
        <v>-1703</v>
      </c>
      <c r="CD606" s="41">
        <f>G606</f>
        <v>-920</v>
      </c>
      <c r="CE606" s="41">
        <f>I606</f>
        <v>-1019</v>
      </c>
      <c r="CF606" s="41">
        <f>K606</f>
        <v>-784</v>
      </c>
      <c r="CG606" s="41">
        <f>M606</f>
        <v>-1073</v>
      </c>
      <c r="CH606" s="41">
        <f>O606</f>
        <v>-1837</v>
      </c>
      <c r="CI606" s="41">
        <f>Q606</f>
        <v>0</v>
      </c>
      <c r="CJ606" s="41">
        <f>S606</f>
        <v>0</v>
      </c>
      <c r="CK606" s="41">
        <f>U606</f>
        <v>0</v>
      </c>
      <c r="CL606" s="41">
        <f>W606</f>
        <v>0</v>
      </c>
      <c r="CM606" s="41">
        <f>Y606</f>
        <v>0</v>
      </c>
      <c r="CN606" s="41">
        <f>AA606</f>
        <v>0</v>
      </c>
      <c r="CO606" s="41">
        <f>AC606</f>
        <v>0</v>
      </c>
      <c r="CP606" s="41">
        <f>AE606</f>
        <v>0</v>
      </c>
      <c r="CQ606" s="41">
        <f>AG606</f>
        <v>0</v>
      </c>
      <c r="CR606" s="41">
        <f>AI606</f>
        <v>0</v>
      </c>
      <c r="CS606" s="41">
        <f>AK606</f>
        <v>0</v>
      </c>
      <c r="CT606" s="41">
        <f>AM606</f>
        <v>0</v>
      </c>
      <c r="CU606" s="41">
        <f>AO606</f>
        <v>0</v>
      </c>
      <c r="CV606" s="41">
        <f>AQ606</f>
        <v>0</v>
      </c>
      <c r="CW606" s="41">
        <f>AS606</f>
        <v>0</v>
      </c>
      <c r="CX606" s="41">
        <f>AU606</f>
        <v>0</v>
      </c>
      <c r="CY606" s="41">
        <f>AW606</f>
        <v>0</v>
      </c>
      <c r="CZ606" s="211">
        <f>AY606</f>
        <v>0</v>
      </c>
      <c r="DA606" s="41">
        <f>BA606</f>
        <v>0</v>
      </c>
      <c r="DB606" s="41">
        <f>BC606</f>
        <v>0</v>
      </c>
      <c r="DC606" s="41">
        <f>BE606</f>
        <v>0</v>
      </c>
      <c r="DD606" s="41">
        <f>BG606</f>
        <v>0</v>
      </c>
      <c r="DE606" s="41">
        <f>BI606</f>
        <v>0</v>
      </c>
      <c r="DF606" s="41">
        <f>BK606</f>
        <v>0</v>
      </c>
      <c r="DG606" s="41">
        <f>BM606</f>
        <v>0</v>
      </c>
      <c r="DH606" s="41">
        <f>BO606</f>
        <v>0</v>
      </c>
      <c r="DI606" s="41">
        <f>BQ606</f>
        <v>0</v>
      </c>
    </row>
    <row r="607" spans="1:113" s="17" customFormat="1" ht="12" outlineLevel="1">
      <c r="A607" s="1" t="s">
        <v>745</v>
      </c>
      <c r="B607" s="17" t="s">
        <v>722</v>
      </c>
      <c r="C607" s="62">
        <f t="shared" ref="C607:L607" si="7317">C587+C604+C606</f>
        <v>14340</v>
      </c>
      <c r="D607" s="62">
        <f t="shared" si="7317"/>
        <v>14078</v>
      </c>
      <c r="E607" s="62">
        <f t="shared" si="7317"/>
        <v>13435</v>
      </c>
      <c r="F607" s="62">
        <f t="shared" si="7317"/>
        <v>14770</v>
      </c>
      <c r="G607" s="62">
        <f t="shared" si="7317"/>
        <v>16885</v>
      </c>
      <c r="H607" s="62">
        <f t="shared" si="7317"/>
        <v>18906</v>
      </c>
      <c r="I607" s="62">
        <f t="shared" si="7317"/>
        <v>20391</v>
      </c>
      <c r="J607" s="62">
        <f t="shared" si="7317"/>
        <v>21492</v>
      </c>
      <c r="K607" s="62">
        <f t="shared" si="7317"/>
        <v>22947</v>
      </c>
      <c r="L607" s="62">
        <f t="shared" si="7317"/>
        <v>23997</v>
      </c>
      <c r="M607" s="62">
        <f t="shared" ref="M607:AD607" si="7318">M587+M604+M606</f>
        <v>25407</v>
      </c>
      <c r="N607" s="62">
        <f t="shared" si="7318"/>
        <v>25659</v>
      </c>
      <c r="O607" s="62">
        <f t="shared" si="7318"/>
        <v>27713</v>
      </c>
      <c r="P607" s="62">
        <f t="shared" si="7318"/>
        <v>26975</v>
      </c>
      <c r="Q607" s="62">
        <f t="shared" si="7318"/>
        <v>30567</v>
      </c>
      <c r="R607" s="62">
        <f t="shared" si="7318"/>
        <v>30992</v>
      </c>
      <c r="S607" s="62">
        <f t="shared" si="7318"/>
        <v>34430</v>
      </c>
      <c r="T607" s="62">
        <f t="shared" si="7318"/>
        <v>32260</v>
      </c>
      <c r="U607" s="62">
        <f t="shared" si="7318"/>
        <v>31507</v>
      </c>
      <c r="V607" s="62">
        <f t="shared" si="7318"/>
        <v>32057</v>
      </c>
      <c r="W607" s="62">
        <f t="shared" si="7318"/>
        <v>33790</v>
      </c>
      <c r="X607" s="62">
        <f t="shared" si="7318"/>
        <v>35801</v>
      </c>
      <c r="Y607" s="62">
        <f t="shared" si="7318"/>
        <v>36574</v>
      </c>
      <c r="Z607" s="62">
        <f t="shared" si="7318"/>
        <v>37802</v>
      </c>
      <c r="AA607" s="62">
        <f t="shared" si="7318"/>
        <v>41370</v>
      </c>
      <c r="AB607" s="62">
        <f t="shared" si="7318"/>
        <v>43634</v>
      </c>
      <c r="AC607" s="62">
        <f t="shared" ref="AC607" si="7319">AC587+AC604+AC606</f>
        <v>45739</v>
      </c>
      <c r="AD607" s="62">
        <f t="shared" si="7318"/>
        <v>48804</v>
      </c>
      <c r="AE607" s="62">
        <f t="shared" ref="AE607:AF607" si="7320">AE587+AE604+AE606</f>
        <v>53435</v>
      </c>
      <c r="AF607" s="62">
        <f t="shared" si="7320"/>
        <v>53138</v>
      </c>
      <c r="AG607" s="62">
        <f t="shared" ref="AG607:AH607" si="7321">AG587+AG604+AG606</f>
        <v>58613</v>
      </c>
      <c r="AH607" s="62">
        <f t="shared" si="7321"/>
        <v>57739</v>
      </c>
      <c r="AI607" s="62">
        <f t="shared" ref="AI607:AJ607" si="7322">AI587+AI604+AI606</f>
        <v>57993</v>
      </c>
      <c r="AJ607" s="62">
        <f t="shared" si="7322"/>
        <v>59165</v>
      </c>
      <c r="AK607" s="62">
        <f t="shared" ref="AK607:AL607" si="7323">AK587+AK604+AK606</f>
        <v>59531</v>
      </c>
      <c r="AL607" s="62">
        <f t="shared" si="7323"/>
        <v>60644</v>
      </c>
      <c r="AM607" s="62">
        <f t="shared" ref="AM607:AN607" si="7324">AM587+AM604+AM606</f>
        <v>63770</v>
      </c>
      <c r="AN607" s="62">
        <f t="shared" si="7324"/>
        <v>69114</v>
      </c>
      <c r="AO607" s="62">
        <f t="shared" ref="AO607" si="7325">AO587+AO604+AO606</f>
        <v>70044</v>
      </c>
      <c r="AP607" s="62">
        <f t="shared" ref="AP607:AQ607" si="7326">AP587+AP604+AP606</f>
        <v>74895</v>
      </c>
      <c r="AQ607" s="62">
        <f t="shared" si="7326"/>
        <v>76598</v>
      </c>
      <c r="AR607" s="62">
        <f t="shared" ref="AR607:AS607" si="7327">AR587+AR604+AR606</f>
        <v>72781</v>
      </c>
      <c r="AS607" s="62">
        <f t="shared" si="7327"/>
        <v>82835</v>
      </c>
      <c r="AT607" s="62">
        <f t="shared" ref="AT607:AU607" si="7328">AT587+AT604+AT606</f>
        <v>89633</v>
      </c>
      <c r="AU607" s="62">
        <f t="shared" si="7328"/>
        <v>90985</v>
      </c>
      <c r="AV607" s="62">
        <f t="shared" ref="AV607:AW607" si="7329">AV587+AV604+AV606</f>
        <v>94932</v>
      </c>
      <c r="AW607" s="62">
        <f t="shared" si="7329"/>
        <v>91865</v>
      </c>
      <c r="AX607" s="62">
        <f t="shared" ref="AX607" si="7330">AX587+AX604+AX606</f>
        <v>95503</v>
      </c>
      <c r="AY607" s="220">
        <f t="shared" ref="AY607" si="7331">AY587+AY604+AY606</f>
        <v>96351</v>
      </c>
      <c r="AZ607" s="62">
        <f t="shared" ref="AZ607:BA607" si="7332">AZ587+AZ604+AZ606</f>
        <v>99009.601812900451</v>
      </c>
      <c r="BA607" s="62">
        <f t="shared" si="7332"/>
        <v>100894.6916562455</v>
      </c>
      <c r="BB607" s="62">
        <f t="shared" ref="BB607:BC607" si="7333">BB587+BB604+BB606</f>
        <v>101952.90614613294</v>
      </c>
      <c r="BC607" s="62">
        <f t="shared" si="7333"/>
        <v>101666.6868093104</v>
      </c>
      <c r="BD607" s="62">
        <f t="shared" ref="BD607:BE607" si="7334">BD587+BD604+BD606</f>
        <v>101767.15138027116</v>
      </c>
      <c r="BE607" s="62">
        <f t="shared" si="7334"/>
        <v>101489.79931301248</v>
      </c>
      <c r="BF607" s="62">
        <f t="shared" ref="BF607:BG607" si="7335">BF587+BF604+BF606</f>
        <v>101595.64037223783</v>
      </c>
      <c r="BG607" s="62">
        <f t="shared" si="7335"/>
        <v>101426.16757413119</v>
      </c>
      <c r="BH607" s="62">
        <f t="shared" ref="BH607:BI607" si="7336">BH587+BH604+BH606</f>
        <v>102597.51936394241</v>
      </c>
      <c r="BI607" s="62">
        <f t="shared" si="7336"/>
        <v>103434.80777692117</v>
      </c>
      <c r="BJ607" s="62">
        <f t="shared" ref="BJ607:BK607" si="7337">BJ587+BJ604+BJ606</f>
        <v>104744.50159853688</v>
      </c>
      <c r="BK607" s="62">
        <f t="shared" si="7337"/>
        <v>105990.53368370628</v>
      </c>
      <c r="BL607" s="62">
        <f t="shared" ref="BL607:BM607" si="7338">BL587+BL604+BL606</f>
        <v>107408.92872279088</v>
      </c>
      <c r="BM607" s="62">
        <f t="shared" si="7338"/>
        <v>108577.35333879088</v>
      </c>
      <c r="BN607" s="62">
        <f t="shared" ref="BN607:BO607" si="7339">BN587+BN604+BN606</f>
        <v>109904.86793178154</v>
      </c>
      <c r="BO607" s="62">
        <f t="shared" si="7339"/>
        <v>111023.74192548681</v>
      </c>
      <c r="BP607" s="62">
        <f t="shared" ref="BP607:BQ607" si="7340">BP587+BP604+BP606</f>
        <v>112314.50137237055</v>
      </c>
      <c r="BQ607" s="62">
        <f t="shared" si="7340"/>
        <v>113437.29380034319</v>
      </c>
      <c r="BR607" s="62"/>
      <c r="BS607" s="62">
        <f t="shared" ref="BS607:CB607" si="7341">BS587+BS604+BS606</f>
        <v>12662</v>
      </c>
      <c r="BT607" s="62">
        <f t="shared" si="7341"/>
        <v>8278.6</v>
      </c>
      <c r="BU607" s="62">
        <f t="shared" si="7341"/>
        <v>8564</v>
      </c>
      <c r="BV607" s="62">
        <f t="shared" si="7341"/>
        <v>9035</v>
      </c>
      <c r="BW607" s="62">
        <f t="shared" si="7341"/>
        <v>9820</v>
      </c>
      <c r="BX607" s="62">
        <f t="shared" si="7341"/>
        <v>10415</v>
      </c>
      <c r="BY607" s="62">
        <f t="shared" si="7341"/>
        <v>12396</v>
      </c>
      <c r="BZ607" s="62">
        <f t="shared" si="7341"/>
        <v>12662</v>
      </c>
      <c r="CA607" s="62">
        <f t="shared" si="7341"/>
        <v>13261</v>
      </c>
      <c r="CB607" s="62">
        <f t="shared" si="7341"/>
        <v>14340</v>
      </c>
      <c r="CC607" s="62">
        <f t="shared" ref="CC607:CP607" si="7342">CC587+CC604+CC606</f>
        <v>13435</v>
      </c>
      <c r="CD607" s="62">
        <f t="shared" si="7342"/>
        <v>16885</v>
      </c>
      <c r="CE607" s="62">
        <f t="shared" si="7342"/>
        <v>20391</v>
      </c>
      <c r="CF607" s="62">
        <f t="shared" si="7342"/>
        <v>22947</v>
      </c>
      <c r="CG607" s="62">
        <f t="shared" si="7342"/>
        <v>24691</v>
      </c>
      <c r="CH607" s="62">
        <f t="shared" si="7342"/>
        <v>26997</v>
      </c>
      <c r="CI607" s="62">
        <f t="shared" si="7342"/>
        <v>30567</v>
      </c>
      <c r="CJ607" s="62">
        <f t="shared" si="7342"/>
        <v>34430</v>
      </c>
      <c r="CK607" s="62">
        <f t="shared" si="7342"/>
        <v>31507</v>
      </c>
      <c r="CL607" s="62">
        <f t="shared" si="7342"/>
        <v>33790</v>
      </c>
      <c r="CM607" s="62">
        <f t="shared" si="7342"/>
        <v>36574</v>
      </c>
      <c r="CN607" s="62">
        <f t="shared" si="7342"/>
        <v>41370</v>
      </c>
      <c r="CO607" s="62">
        <f t="shared" si="7342"/>
        <v>45739</v>
      </c>
      <c r="CP607" s="62">
        <f t="shared" si="7342"/>
        <v>53435</v>
      </c>
      <c r="CQ607" s="62">
        <f t="shared" ref="CQ607:CX607" si="7343">CQ587+CQ604+CQ606</f>
        <v>58613</v>
      </c>
      <c r="CR607" s="62">
        <f t="shared" si="7343"/>
        <v>57993</v>
      </c>
      <c r="CS607" s="62">
        <f t="shared" si="7343"/>
        <v>59531</v>
      </c>
      <c r="CT607" s="62">
        <f t="shared" si="7343"/>
        <v>63770</v>
      </c>
      <c r="CU607" s="62">
        <f t="shared" si="7343"/>
        <v>70044</v>
      </c>
      <c r="CV607" s="62">
        <f t="shared" si="7343"/>
        <v>76598</v>
      </c>
      <c r="CW607" s="62">
        <f t="shared" si="7343"/>
        <v>82835</v>
      </c>
      <c r="CX607" s="62">
        <f t="shared" si="7343"/>
        <v>90985</v>
      </c>
      <c r="CY607" s="62">
        <f t="shared" ref="CY607:DD607" si="7344">CY587+CY604+CY606</f>
        <v>91865</v>
      </c>
      <c r="CZ607" s="220">
        <f t="shared" si="7344"/>
        <v>96351</v>
      </c>
      <c r="DA607" s="62">
        <f t="shared" si="7344"/>
        <v>100894.6916562455</v>
      </c>
      <c r="DB607" s="62">
        <f t="shared" si="7344"/>
        <v>101666.6868093104</v>
      </c>
      <c r="DC607" s="62">
        <f t="shared" si="7344"/>
        <v>101489.79931301248</v>
      </c>
      <c r="DD607" s="62">
        <f t="shared" si="7344"/>
        <v>101426.16757413119</v>
      </c>
      <c r="DE607" s="62">
        <f t="shared" ref="DE607" si="7345">DE587+DE604+DE606</f>
        <v>103434.80777692114</v>
      </c>
      <c r="DF607" s="62">
        <f t="shared" ref="DF607" si="7346">DF587+DF604+DF606</f>
        <v>105990.53368370625</v>
      </c>
      <c r="DG607" s="62">
        <f>DG587+DG604+DG606</f>
        <v>108577.35333879082</v>
      </c>
      <c r="DH607" s="62">
        <f>DH587+DH604+DH606</f>
        <v>111023.74192548679</v>
      </c>
      <c r="DI607" s="62">
        <f>DI587+DI604+DI606</f>
        <v>113437.29380034315</v>
      </c>
    </row>
    <row r="608" spans="1:113" ht="12" outlineLevel="1">
      <c r="C608" s="41"/>
      <c r="D608" s="41"/>
      <c r="E608" s="41"/>
      <c r="F608" s="41"/>
      <c r="G608" s="41"/>
      <c r="H608" s="41"/>
      <c r="I608" s="41"/>
      <c r="J608" s="41"/>
      <c r="K608" s="41"/>
      <c r="L608" s="41"/>
      <c r="M608" s="41"/>
      <c r="N608" s="41"/>
      <c r="O608" s="41"/>
      <c r="P608" s="41"/>
      <c r="Q608" s="41"/>
      <c r="R608" s="41"/>
      <c r="S608" s="41"/>
      <c r="T608" s="41"/>
      <c r="U608" s="41"/>
      <c r="V608" s="41"/>
      <c r="W608" s="41"/>
      <c r="X608" s="41"/>
      <c r="Y608" s="41"/>
      <c r="Z608" s="41"/>
      <c r="AA608" s="41"/>
      <c r="AB608" s="41"/>
      <c r="AC608" s="41"/>
      <c r="AD608" s="41"/>
      <c r="AE608" s="41"/>
      <c r="AF608" s="41"/>
      <c r="AG608" s="41"/>
      <c r="AH608" s="41"/>
      <c r="AI608" s="41"/>
      <c r="AJ608" s="41"/>
      <c r="AK608" s="32"/>
      <c r="AL608" s="32"/>
      <c r="AM608" s="32"/>
      <c r="AY608" s="200"/>
      <c r="AZ608" s="41"/>
      <c r="BA608" s="41"/>
      <c r="BB608" s="41"/>
      <c r="BC608" s="41"/>
      <c r="BD608" s="41"/>
      <c r="BE608" s="41"/>
      <c r="BF608" s="41"/>
      <c r="BG608" s="41"/>
      <c r="BH608" s="41"/>
      <c r="BI608" s="41"/>
      <c r="BJ608" s="41"/>
      <c r="BK608" s="41"/>
      <c r="BL608" s="41"/>
      <c r="BM608" s="41"/>
      <c r="BN608" s="41"/>
      <c r="BO608" s="41"/>
      <c r="BP608" s="41"/>
      <c r="BQ608" s="41"/>
      <c r="BR608" s="41"/>
      <c r="BS608" s="41"/>
      <c r="BT608" s="41"/>
      <c r="BU608" s="41"/>
      <c r="BV608" s="41"/>
      <c r="BW608" s="41"/>
      <c r="BX608" s="41"/>
      <c r="BY608" s="41"/>
      <c r="BZ608" s="41"/>
      <c r="CA608" s="41"/>
      <c r="CB608" s="41"/>
      <c r="CC608" s="41"/>
      <c r="CD608" s="41"/>
      <c r="CE608" s="41"/>
      <c r="CF608" s="41"/>
      <c r="CG608" s="41"/>
      <c r="CH608" s="41"/>
      <c r="CI608" s="41"/>
      <c r="CJ608" s="41"/>
      <c r="CK608" s="41"/>
      <c r="CL608" s="41"/>
      <c r="CM608" s="41"/>
      <c r="CN608" s="41"/>
      <c r="CO608" s="41"/>
      <c r="CP608" s="41"/>
      <c r="CQ608" s="41"/>
      <c r="CR608" s="41"/>
      <c r="CS608" s="41"/>
      <c r="CT608" s="41"/>
      <c r="CU608" s="41"/>
      <c r="CV608" s="41"/>
      <c r="CW608" s="41"/>
      <c r="CX608" s="41"/>
      <c r="CY608" s="41"/>
      <c r="CZ608" s="211"/>
      <c r="DA608" s="41"/>
      <c r="DB608" s="15"/>
      <c r="DC608" s="15"/>
      <c r="DD608" s="15"/>
      <c r="DE608" s="15"/>
      <c r="DF608" s="15"/>
      <c r="DG608" s="15"/>
      <c r="DH608" s="15"/>
      <c r="DI608" s="15"/>
    </row>
    <row r="609" spans="1:113" s="17" customFormat="1" ht="12" outlineLevel="1">
      <c r="A609" s="1"/>
      <c r="B609" s="17" t="s">
        <v>723</v>
      </c>
      <c r="C609" s="62"/>
      <c r="D609" s="62"/>
      <c r="E609" s="62"/>
      <c r="F609" s="62"/>
      <c r="G609" s="62"/>
      <c r="H609" s="62"/>
      <c r="I609" s="62"/>
      <c r="J609" s="62"/>
      <c r="K609" s="62"/>
      <c r="L609" s="62"/>
      <c r="M609" s="62"/>
      <c r="N609" s="62"/>
      <c r="O609" s="62"/>
      <c r="P609" s="62"/>
      <c r="Q609" s="62"/>
      <c r="R609" s="62"/>
      <c r="S609" s="62"/>
      <c r="T609" s="62"/>
      <c r="U609" s="62"/>
      <c r="V609" s="62"/>
      <c r="W609" s="62"/>
      <c r="X609" s="62"/>
      <c r="Y609" s="62"/>
      <c r="Z609" s="62"/>
      <c r="AA609" s="150"/>
      <c r="AB609" s="62"/>
      <c r="AC609" s="41"/>
      <c r="AD609" s="41"/>
      <c r="AE609" s="41"/>
      <c r="AF609" s="41"/>
      <c r="AG609" s="41"/>
      <c r="AH609" s="41"/>
      <c r="AI609" s="41"/>
      <c r="AJ609" s="41"/>
      <c r="AS609" s="545"/>
      <c r="AT609" s="545"/>
      <c r="AU609" s="545"/>
      <c r="AV609" s="545"/>
      <c r="AW609" s="545"/>
      <c r="AX609" s="545"/>
      <c r="AY609" s="539"/>
      <c r="AZ609" s="62"/>
      <c r="BA609" s="62"/>
      <c r="BB609" s="62"/>
      <c r="BC609" s="62"/>
      <c r="BD609" s="62"/>
      <c r="BE609" s="62"/>
      <c r="BF609" s="62"/>
      <c r="BG609" s="62"/>
      <c r="BH609" s="62"/>
      <c r="BI609" s="62"/>
      <c r="BJ609" s="62"/>
      <c r="BK609" s="62"/>
      <c r="BL609" s="62"/>
      <c r="BM609" s="62"/>
      <c r="BN609" s="62"/>
      <c r="BO609" s="62"/>
      <c r="BP609" s="62"/>
      <c r="BQ609" s="62"/>
      <c r="BR609" s="62"/>
      <c r="BS609" s="62"/>
      <c r="BT609" s="62"/>
      <c r="BU609" s="62"/>
      <c r="BV609" s="62"/>
      <c r="BW609" s="62"/>
      <c r="BX609" s="62"/>
      <c r="BY609" s="62"/>
      <c r="BZ609" s="62"/>
      <c r="CA609" s="62"/>
      <c r="CB609" s="62"/>
      <c r="CC609" s="62"/>
      <c r="CD609" s="62"/>
      <c r="CE609" s="62"/>
      <c r="CF609" s="62"/>
      <c r="CG609" s="62"/>
      <c r="CH609" s="62"/>
      <c r="CI609" s="62"/>
      <c r="CJ609" s="62"/>
      <c r="CK609" s="62"/>
      <c r="CL609" s="62"/>
      <c r="CM609" s="62"/>
      <c r="CN609" s="62"/>
      <c r="CO609" s="62"/>
      <c r="CP609" s="62"/>
      <c r="CQ609" s="62"/>
      <c r="CR609" s="62"/>
      <c r="CS609" s="62"/>
      <c r="CT609" s="62"/>
      <c r="CU609" s="62"/>
      <c r="CV609" s="62"/>
      <c r="CW609" s="62"/>
      <c r="CX609" s="62"/>
      <c r="CY609" s="62"/>
      <c r="CZ609" s="220"/>
      <c r="DA609" s="62"/>
    </row>
    <row r="610" spans="1:113" ht="12" outlineLevel="1">
      <c r="A610" s="1" t="s">
        <v>746</v>
      </c>
      <c r="B610" s="15" t="s">
        <v>765</v>
      </c>
      <c r="C610" s="41">
        <f t="shared" ref="C610:P610" si="7347">50%*C176</f>
        <v>26841.5</v>
      </c>
      <c r="D610" s="41">
        <f t="shared" si="7347"/>
        <v>28746.5</v>
      </c>
      <c r="E610" s="41">
        <f t="shared" si="7347"/>
        <v>31250</v>
      </c>
      <c r="F610" s="41">
        <f t="shared" si="7347"/>
        <v>33949</v>
      </c>
      <c r="G610" s="41">
        <f t="shared" si="7347"/>
        <v>36697</v>
      </c>
      <c r="H610" s="41">
        <f t="shared" si="7347"/>
        <v>48186.5</v>
      </c>
      <c r="I610" s="41">
        <f t="shared" si="7347"/>
        <v>55321.5</v>
      </c>
      <c r="J610" s="41">
        <f t="shared" si="7347"/>
        <v>60031.5</v>
      </c>
      <c r="K610" s="41">
        <f t="shared" si="7347"/>
        <v>63323.5</v>
      </c>
      <c r="L610" s="41">
        <f t="shared" si="7347"/>
        <v>66250</v>
      </c>
      <c r="M610" s="41">
        <f t="shared" si="7347"/>
        <v>70278</v>
      </c>
      <c r="N610" s="41">
        <f t="shared" si="7347"/>
        <v>74320.5</v>
      </c>
      <c r="O610" s="41">
        <f t="shared" si="7347"/>
        <v>78692</v>
      </c>
      <c r="P610" s="41">
        <f t="shared" si="7347"/>
        <v>83725</v>
      </c>
      <c r="Q610" s="40">
        <v>34071</v>
      </c>
      <c r="R610" s="40">
        <v>36399</v>
      </c>
      <c r="S610" s="40">
        <v>37136</v>
      </c>
      <c r="T610" s="40">
        <f>37423+399</f>
        <v>37822</v>
      </c>
      <c r="U610" s="40">
        <f>38708+567</f>
        <v>39275</v>
      </c>
      <c r="V610" s="40">
        <f>40126+406</f>
        <v>40532</v>
      </c>
      <c r="W610" s="40">
        <f>41041+845</f>
        <v>41886</v>
      </c>
      <c r="X610" s="40">
        <f>42684+1445</f>
        <v>44129</v>
      </c>
      <c r="Y610" s="40">
        <f>42959+1812</f>
        <v>44771</v>
      </c>
      <c r="Z610" s="141">
        <f>44597+1827</f>
        <v>46424</v>
      </c>
      <c r="AA610" s="141">
        <f>47559+1922</f>
        <v>49481</v>
      </c>
      <c r="AB610" s="141">
        <f>50426+1966</f>
        <v>52392</v>
      </c>
      <c r="AC610" s="141">
        <f>50068+2344</f>
        <v>52412</v>
      </c>
      <c r="AD610" s="141">
        <f>53501+2603</f>
        <v>56104</v>
      </c>
      <c r="AE610" s="141">
        <f>54996+2882</f>
        <v>57878</v>
      </c>
      <c r="AF610" s="141">
        <f>57218+2616</f>
        <v>59834</v>
      </c>
      <c r="AG610" s="141">
        <f>84275+2493</f>
        <v>86768</v>
      </c>
      <c r="AH610" s="141">
        <f>86218+2354</f>
        <v>88572</v>
      </c>
      <c r="AI610" s="141">
        <f>96267+950</f>
        <v>97217</v>
      </c>
      <c r="AJ610" s="141">
        <f>99560+321</f>
        <v>99881</v>
      </c>
      <c r="AK610" s="141">
        <f>97764+327</f>
        <v>98091</v>
      </c>
      <c r="AL610" s="141">
        <f>101469+331</f>
        <v>101800</v>
      </c>
      <c r="AM610" s="141">
        <f>105491+216</f>
        <v>105707</v>
      </c>
      <c r="AN610" s="141">
        <f>107351+228</f>
        <v>107579</v>
      </c>
      <c r="AO610" s="141">
        <f>110353+210</f>
        <v>110563</v>
      </c>
      <c r="AP610" s="141">
        <f>110206+203</f>
        <v>110409</v>
      </c>
      <c r="AQ610" s="141">
        <f>110622+203</f>
        <v>110825</v>
      </c>
      <c r="AR610" s="141">
        <f>111355+194</f>
        <v>111549</v>
      </c>
      <c r="AS610" s="141">
        <f>113590+224</f>
        <v>113814</v>
      </c>
      <c r="AT610" s="141">
        <f>86726+1809</f>
        <v>88535</v>
      </c>
      <c r="AU610" s="141">
        <f>96290+2065</f>
        <v>98355</v>
      </c>
      <c r="AV610" s="141">
        <f>101338+1853</f>
        <v>103191</v>
      </c>
      <c r="AW610" s="141">
        <f>90924+21987</f>
        <v>112911</v>
      </c>
      <c r="AX610" s="141">
        <f>94747+21970</f>
        <v>116717</v>
      </c>
      <c r="AY610" s="226">
        <f>94135+22407</f>
        <v>116542</v>
      </c>
      <c r="AZ610" s="41">
        <f t="shared" ref="AZ610:BA610" si="7348">AZ145*AZ176</f>
        <v>121180.6778347464</v>
      </c>
      <c r="BA610" s="41">
        <f t="shared" si="7348"/>
        <v>123078.20411185216</v>
      </c>
      <c r="BB610" s="41">
        <f t="shared" ref="BB610:BC610" si="7349">BB145*BB176</f>
        <v>125346.99653359664</v>
      </c>
      <c r="BC610" s="41">
        <f t="shared" si="7349"/>
        <v>128588.27550198617</v>
      </c>
      <c r="BD610" s="41">
        <f t="shared" ref="BD610:BE610" si="7350">BD145*BD176</f>
        <v>131819.02164320828</v>
      </c>
      <c r="BE610" s="41">
        <f t="shared" si="7350"/>
        <v>135042.82787435508</v>
      </c>
      <c r="BF610" s="41">
        <f t="shared" ref="BF610:BG610" si="7351">BF145*BF176</f>
        <v>138172.66010592823</v>
      </c>
      <c r="BG610" s="41">
        <f t="shared" si="7351"/>
        <v>141197.50009072284</v>
      </c>
      <c r="BH610" s="41">
        <f t="shared" ref="BH610:BI610" si="7352">BH145*BH176</f>
        <v>144069.09341656385</v>
      </c>
      <c r="BI610" s="41">
        <f t="shared" si="7352"/>
        <v>146718.36495944657</v>
      </c>
      <c r="BJ610" s="41">
        <f t="shared" ref="BJ610:BK610" si="7353">BJ145*BJ176</f>
        <v>149548.57978224967</v>
      </c>
      <c r="BK610" s="41">
        <f t="shared" si="7353"/>
        <v>152557.15089035037</v>
      </c>
      <c r="BL610" s="41">
        <f t="shared" ref="BL610:BM610" si="7354">BL145*BL176</f>
        <v>155626.30006390304</v>
      </c>
      <c r="BM610" s="41">
        <f t="shared" si="7354"/>
        <v>158757.24915347036</v>
      </c>
      <c r="BN610" s="41">
        <f t="shared" ref="BN610:BO610" si="7355">BN145*BN176</f>
        <v>161951.24473806925</v>
      </c>
      <c r="BO610" s="41">
        <f t="shared" si="7355"/>
        <v>165209.55862898316</v>
      </c>
      <c r="BP610" s="41">
        <f t="shared" ref="BP610:BQ610" si="7356">BP145*BP176</f>
        <v>168533.48838397159</v>
      </c>
      <c r="BQ610" s="41">
        <f t="shared" si="7356"/>
        <v>171924.35783209713</v>
      </c>
      <c r="BR610" s="41"/>
      <c r="BS610" s="40">
        <f t="shared" ref="BS610:CB610" si="7357">50%*BS176</f>
        <v>6678.2000000000007</v>
      </c>
      <c r="BT610" s="40">
        <f t="shared" si="7357"/>
        <v>7336.1</v>
      </c>
      <c r="BU610" s="40">
        <f t="shared" si="7357"/>
        <v>9050.5</v>
      </c>
      <c r="BV610" s="40">
        <f t="shared" si="7357"/>
        <v>12517.422051410947</v>
      </c>
      <c r="BW610" s="40">
        <f t="shared" si="7357"/>
        <v>13767.196751475531</v>
      </c>
      <c r="BX610" s="40">
        <f t="shared" si="7357"/>
        <v>15123.794339856327</v>
      </c>
      <c r="BY610" s="40">
        <f t="shared" si="7357"/>
        <v>16882.957332177357</v>
      </c>
      <c r="BZ610" s="40">
        <f t="shared" si="7357"/>
        <v>20066.5</v>
      </c>
      <c r="CA610" s="40">
        <f t="shared" si="7357"/>
        <v>24714</v>
      </c>
      <c r="CB610" s="40">
        <f t="shared" si="7357"/>
        <v>26841.5</v>
      </c>
      <c r="CC610" s="41">
        <f>E610</f>
        <v>31250</v>
      </c>
      <c r="CD610" s="41">
        <f>G610</f>
        <v>36697</v>
      </c>
      <c r="CE610" s="41">
        <f>I610</f>
        <v>55321.5</v>
      </c>
      <c r="CF610" s="41">
        <f>K610</f>
        <v>63323.5</v>
      </c>
      <c r="CG610" s="41">
        <f>M610</f>
        <v>70278</v>
      </c>
      <c r="CH610" s="41">
        <f>O610</f>
        <v>78692</v>
      </c>
      <c r="CI610" s="41">
        <f>Q610</f>
        <v>34071</v>
      </c>
      <c r="CJ610" s="41">
        <f>S610</f>
        <v>37136</v>
      </c>
      <c r="CK610" s="41">
        <f>U610</f>
        <v>39275</v>
      </c>
      <c r="CL610" s="41">
        <f>W610</f>
        <v>41886</v>
      </c>
      <c r="CM610" s="41">
        <f>Y610</f>
        <v>44771</v>
      </c>
      <c r="CN610" s="41">
        <f>AA610</f>
        <v>49481</v>
      </c>
      <c r="CO610" s="41">
        <f>AC610</f>
        <v>52412</v>
      </c>
      <c r="CP610" s="41">
        <f>AE610</f>
        <v>57878</v>
      </c>
      <c r="CQ610" s="41">
        <f>AG610</f>
        <v>86768</v>
      </c>
      <c r="CR610" s="41">
        <f>AI610</f>
        <v>97217</v>
      </c>
      <c r="CS610" s="41">
        <f>AK610</f>
        <v>98091</v>
      </c>
      <c r="CT610" s="41">
        <f>AM610</f>
        <v>105707</v>
      </c>
      <c r="CU610" s="41">
        <f>AO610</f>
        <v>110563</v>
      </c>
      <c r="CV610" s="41">
        <f>AQ610</f>
        <v>110825</v>
      </c>
      <c r="CW610" s="41">
        <f>AS610</f>
        <v>113814</v>
      </c>
      <c r="CX610" s="41">
        <f>AU610</f>
        <v>98355</v>
      </c>
      <c r="CY610" s="41">
        <f>AW610</f>
        <v>112911</v>
      </c>
      <c r="CZ610" s="211">
        <f>AY610</f>
        <v>116542</v>
      </c>
      <c r="DA610" s="41">
        <f>BA610</f>
        <v>123078.20411185216</v>
      </c>
      <c r="DB610" s="41">
        <f>BC610</f>
        <v>128588.27550198617</v>
      </c>
      <c r="DC610" s="41">
        <f>BE610</f>
        <v>135042.82787435508</v>
      </c>
      <c r="DD610" s="41">
        <f>BG610</f>
        <v>141197.50009072284</v>
      </c>
      <c r="DE610" s="41">
        <f>BI610</f>
        <v>146718.36495944657</v>
      </c>
      <c r="DF610" s="41">
        <f>BK610</f>
        <v>152557.15089035037</v>
      </c>
      <c r="DG610" s="41">
        <f>BM610</f>
        <v>158757.24915347036</v>
      </c>
      <c r="DH610" s="41">
        <f>BO610</f>
        <v>165209.55862898316</v>
      </c>
      <c r="DI610" s="41">
        <f>BQ610</f>
        <v>171924.35783209713</v>
      </c>
    </row>
    <row r="611" spans="1:113" ht="12" outlineLevel="1">
      <c r="A611" s="1" t="s">
        <v>893</v>
      </c>
      <c r="B611" s="15" t="s">
        <v>626</v>
      </c>
      <c r="C611" s="41">
        <f t="shared" ref="C611:E611" si="7358">C613-C610-C612</f>
        <v>112287.5</v>
      </c>
      <c r="D611" s="41">
        <f t="shared" si="7358"/>
        <v>106671.5</v>
      </c>
      <c r="E611" s="41">
        <f t="shared" si="7358"/>
        <v>110140</v>
      </c>
      <c r="F611" s="41">
        <f>F613-F610-F612</f>
        <v>114654</v>
      </c>
      <c r="G611" s="141">
        <f>151493-G610</f>
        <v>114796</v>
      </c>
      <c r="H611" s="141">
        <f>185288-H610</f>
        <v>137101.5</v>
      </c>
      <c r="I611" s="141">
        <f>195674-I610</f>
        <v>140352.5</v>
      </c>
      <c r="J611" s="141">
        <f>208365-J610</f>
        <v>148333.5</v>
      </c>
      <c r="K611" s="141">
        <f>218083-K610</f>
        <v>154759.5</v>
      </c>
      <c r="L611" s="141">
        <f>229000-L610</f>
        <v>162750</v>
      </c>
      <c r="M611" s="141">
        <f>238543-M610</f>
        <v>168265</v>
      </c>
      <c r="N611" s="141">
        <f>248295-N610</f>
        <v>173974.5</v>
      </c>
      <c r="O611" s="141">
        <f>273071-O610</f>
        <v>194379</v>
      </c>
      <c r="P611" s="40">
        <f>249186-P610</f>
        <v>165461</v>
      </c>
      <c r="Q611" s="40">
        <f>250750-Q610</f>
        <v>216679</v>
      </c>
      <c r="R611" s="40">
        <f>257770-R610</f>
        <v>221371</v>
      </c>
      <c r="S611" s="40">
        <f>229811-S610</f>
        <v>192675</v>
      </c>
      <c r="T611" s="40">
        <f>220375-T610</f>
        <v>182553</v>
      </c>
      <c r="U611" s="40">
        <f>233517-U610</f>
        <v>194242</v>
      </c>
      <c r="V611" s="40">
        <f>233246-V610</f>
        <v>192714</v>
      </c>
      <c r="W611" s="40">
        <f>248828-W610</f>
        <v>206942</v>
      </c>
      <c r="X611" s="40">
        <f>250165-X610</f>
        <v>206036</v>
      </c>
      <c r="Y611" s="40">
        <f>254875-Y610</f>
        <v>210104</v>
      </c>
      <c r="Z611" s="141">
        <f>274978-Z610</f>
        <v>228554</v>
      </c>
      <c r="AA611" s="141">
        <f>287651-AA610</f>
        <v>238170</v>
      </c>
      <c r="AB611" s="141">
        <f>305328-AB610</f>
        <v>252936</v>
      </c>
      <c r="AC611" s="141">
        <f>308885-AC610</f>
        <v>256473</v>
      </c>
      <c r="AD611" s="141">
        <f>339697-AD610</f>
        <v>283593</v>
      </c>
      <c r="AE611" s="141">
        <f>349751-AE610</f>
        <v>291873</v>
      </c>
      <c r="AF611" s="141">
        <f>334308-AF610</f>
        <v>274474</v>
      </c>
      <c r="AG611" s="141">
        <f>352033-AG610</f>
        <v>265265</v>
      </c>
      <c r="AH611" s="141">
        <f>341809-AH610</f>
        <v>253237</v>
      </c>
      <c r="AI611" s="141">
        <f>336834-AI610</f>
        <v>239617</v>
      </c>
      <c r="AJ611" s="141">
        <f>342822-AJ610</f>
        <v>242941</v>
      </c>
      <c r="AK611" s="141">
        <f>337580-AK610</f>
        <v>239489</v>
      </c>
      <c r="AL611" s="141">
        <f>345523-AL610</f>
        <v>243723</v>
      </c>
      <c r="AM611" s="141">
        <f>358106-AM610</f>
        <v>252399</v>
      </c>
      <c r="AN611" s="141">
        <f>385997-AN610</f>
        <v>278418</v>
      </c>
      <c r="AO611" s="141">
        <f>360037-AO610</f>
        <v>249474</v>
      </c>
      <c r="AP611" s="141">
        <f>341862-AP610</f>
        <v>231453</v>
      </c>
      <c r="AQ611" s="141">
        <f>342498-AQ610</f>
        <v>231673</v>
      </c>
      <c r="AR611" s="141">
        <f>348817-AR610</f>
        <v>237268</v>
      </c>
      <c r="AS611" s="141">
        <f>359442-AS610</f>
        <v>245628</v>
      </c>
      <c r="AT611" s="141">
        <f>345294-AT610</f>
        <v>256759</v>
      </c>
      <c r="AU611" s="141">
        <f>349041-AU610</f>
        <v>250686</v>
      </c>
      <c r="AV611" s="141">
        <f>348447-AV610</f>
        <v>245256</v>
      </c>
      <c r="AW611" s="141">
        <f>361185-AW610</f>
        <v>248274</v>
      </c>
      <c r="AX611" s="141">
        <f>378081-AX610</f>
        <v>261364</v>
      </c>
      <c r="AY611" s="226">
        <f>369583-AY610</f>
        <v>253041</v>
      </c>
      <c r="AZ611" s="41">
        <f t="shared" ref="AZ611:BA611" si="7359">AZ146*(AZ177+AZ179)</f>
        <v>263304.22214891604</v>
      </c>
      <c r="BA611" s="41">
        <f t="shared" si="7359"/>
        <v>266529.19950108242</v>
      </c>
      <c r="BB611" s="41">
        <f t="shared" ref="BB611:BC611" si="7360">BB146*(BB177+BB179)</f>
        <v>268909.57167766243</v>
      </c>
      <c r="BC611" s="41">
        <f t="shared" si="7360"/>
        <v>270810.19769517303</v>
      </c>
      <c r="BD611" s="41">
        <f t="shared" ref="BD611:BE611" si="7361">BD146*(BD177+BD179)</f>
        <v>272478.6035647376</v>
      </c>
      <c r="BE611" s="41">
        <f t="shared" si="7361"/>
        <v>274567.44301882741</v>
      </c>
      <c r="BF611" s="41">
        <f t="shared" ref="BF611:BG611" si="7362">BF146*(BF177+BF179)</f>
        <v>276201.32974549866</v>
      </c>
      <c r="BG611" s="41">
        <f t="shared" si="7362"/>
        <v>277925.8836525603</v>
      </c>
      <c r="BH611" s="41">
        <f t="shared" ref="BH611:BI611" si="7363">BH146*(BH177+BH179)</f>
        <v>282599.44355367805</v>
      </c>
      <c r="BI611" s="41">
        <f t="shared" si="7363"/>
        <v>287407.75110771466</v>
      </c>
      <c r="BJ611" s="41">
        <f t="shared" ref="BJ611:BK611" si="7364">BJ146*(BJ177+BJ179)</f>
        <v>292967.54736942181</v>
      </c>
      <c r="BK611" s="41">
        <f t="shared" si="7364"/>
        <v>297734.31407482596</v>
      </c>
      <c r="BL611" s="41">
        <f t="shared" ref="BL611:BM611" si="7365">BL146*(BL177+BL179)</f>
        <v>302598.26240645885</v>
      </c>
      <c r="BM611" s="41">
        <f t="shared" si="7365"/>
        <v>307561.28931165865</v>
      </c>
      <c r="BN611" s="41">
        <f t="shared" ref="BN611:BO611" si="7366">BN146*(BN177+BN179)</f>
        <v>313476.22899545322</v>
      </c>
      <c r="BO611" s="41">
        <f t="shared" si="7366"/>
        <v>319506.91888091876</v>
      </c>
      <c r="BP611" s="41">
        <f t="shared" ref="BP611:BQ611" si="7367">BP146*(BP177+BP179)</f>
        <v>326363.86883733375</v>
      </c>
      <c r="BQ611" s="41">
        <f t="shared" si="7367"/>
        <v>333383.68630991806</v>
      </c>
      <c r="BR611" s="41"/>
      <c r="BS611" s="41">
        <f t="shared" ref="BS611:CB611" si="7368">BS613-SUM(BS610,BS612)</f>
        <v>74042.400000000009</v>
      </c>
      <c r="BT611" s="41">
        <f t="shared" si="7368"/>
        <v>69523.899999999994</v>
      </c>
      <c r="BU611" s="41">
        <f t="shared" si="7368"/>
        <v>66976.5</v>
      </c>
      <c r="BV611" s="41">
        <f t="shared" si="7368"/>
        <v>70558.577948589053</v>
      </c>
      <c r="BW611" s="41">
        <f t="shared" si="7368"/>
        <v>79749.803248524462</v>
      </c>
      <c r="BX611" s="41">
        <f t="shared" si="7368"/>
        <v>91023.205660143678</v>
      </c>
      <c r="BY611" s="41">
        <f t="shared" si="7368"/>
        <v>99213.04266782265</v>
      </c>
      <c r="BZ611" s="41">
        <f t="shared" si="7368"/>
        <v>97970.5</v>
      </c>
      <c r="CA611" s="41">
        <f t="shared" si="7368"/>
        <v>104974</v>
      </c>
      <c r="CB611" s="41">
        <f t="shared" si="7368"/>
        <v>112287.5</v>
      </c>
      <c r="CC611" s="41">
        <f>E611</f>
        <v>110140</v>
      </c>
      <c r="CD611" s="41">
        <f>G611</f>
        <v>114796</v>
      </c>
      <c r="CE611" s="41">
        <f>I611</f>
        <v>140352.5</v>
      </c>
      <c r="CF611" s="41">
        <f>K611</f>
        <v>154759.5</v>
      </c>
      <c r="CG611" s="41">
        <f>M611</f>
        <v>168265</v>
      </c>
      <c r="CH611" s="41">
        <f>O611</f>
        <v>194379</v>
      </c>
      <c r="CI611" s="41">
        <f>Q611</f>
        <v>216679</v>
      </c>
      <c r="CJ611" s="41">
        <f>S611</f>
        <v>192675</v>
      </c>
      <c r="CK611" s="41">
        <f>U611</f>
        <v>194242</v>
      </c>
      <c r="CL611" s="41">
        <f>W611</f>
        <v>206942</v>
      </c>
      <c r="CM611" s="41">
        <f>Y611</f>
        <v>210104</v>
      </c>
      <c r="CN611" s="41">
        <f>AA611</f>
        <v>238170</v>
      </c>
      <c r="CO611" s="41">
        <f>AC611</f>
        <v>256473</v>
      </c>
      <c r="CP611" s="41">
        <f>AE611</f>
        <v>291873</v>
      </c>
      <c r="CQ611" s="41">
        <f>AG611</f>
        <v>265265</v>
      </c>
      <c r="CR611" s="41">
        <f>AI611</f>
        <v>239617</v>
      </c>
      <c r="CS611" s="41">
        <f>AK611</f>
        <v>239489</v>
      </c>
      <c r="CT611" s="41">
        <f>AM611</f>
        <v>252399</v>
      </c>
      <c r="CU611" s="41">
        <f>AO611</f>
        <v>249474</v>
      </c>
      <c r="CV611" s="41">
        <f>AQ611</f>
        <v>231673</v>
      </c>
      <c r="CW611" s="41">
        <f>AS611</f>
        <v>245628</v>
      </c>
      <c r="CX611" s="41">
        <f>AU611</f>
        <v>250686</v>
      </c>
      <c r="CY611" s="41">
        <f>AW611</f>
        <v>248274</v>
      </c>
      <c r="CZ611" s="211">
        <f>AY611</f>
        <v>253041</v>
      </c>
      <c r="DA611" s="41">
        <f>BA611</f>
        <v>266529.19950108242</v>
      </c>
      <c r="DB611" s="41">
        <f>BC611</f>
        <v>270810.19769517303</v>
      </c>
      <c r="DC611" s="41">
        <f>BE611</f>
        <v>274567.44301882741</v>
      </c>
      <c r="DD611" s="41">
        <f>BG611</f>
        <v>277925.8836525603</v>
      </c>
      <c r="DE611" s="41">
        <f>BI611</f>
        <v>287407.75110771466</v>
      </c>
      <c r="DF611" s="41">
        <f>BK611</f>
        <v>297734.31407482596</v>
      </c>
      <c r="DG611" s="41">
        <f>BM611</f>
        <v>307561.28931165865</v>
      </c>
      <c r="DH611" s="41">
        <f>BO611</f>
        <v>319506.91888091876</v>
      </c>
      <c r="DI611" s="41">
        <f>BQ611</f>
        <v>333383.68630991806</v>
      </c>
    </row>
    <row r="612" spans="1:113" ht="12" outlineLevel="1">
      <c r="A612" s="1" t="s">
        <v>894</v>
      </c>
      <c r="B612" s="15" t="s">
        <v>414</v>
      </c>
      <c r="C612" s="141">
        <v>0</v>
      </c>
      <c r="D612" s="141">
        <v>0</v>
      </c>
      <c r="E612" s="141">
        <v>0</v>
      </c>
      <c r="F612" s="141">
        <v>0</v>
      </c>
      <c r="G612" s="41">
        <f t="shared" ref="G612:J612" si="7369">G613-G610-G611</f>
        <v>671</v>
      </c>
      <c r="H612" s="41">
        <f t="shared" si="7369"/>
        <v>869</v>
      </c>
      <c r="I612" s="41">
        <f t="shared" si="7369"/>
        <v>990</v>
      </c>
      <c r="J612" s="41">
        <f t="shared" si="7369"/>
        <v>1159</v>
      </c>
      <c r="K612" s="41">
        <f>K613-K610-K611</f>
        <v>1490</v>
      </c>
      <c r="L612" s="41">
        <f>L613-L610-L611</f>
        <v>1653</v>
      </c>
      <c r="M612" s="41">
        <f>M613-M610-M611</f>
        <v>1676</v>
      </c>
      <c r="N612" s="41">
        <f>N613-N610-N611</f>
        <v>2190</v>
      </c>
      <c r="O612" s="41">
        <f>O613-O610-O611</f>
        <v>1947</v>
      </c>
      <c r="P612" s="41">
        <f t="shared" ref="P612:X612" si="7370">P613-SUM(P610:P611)</f>
        <v>18300</v>
      </c>
      <c r="Q612" s="41">
        <f t="shared" si="7370"/>
        <v>24684</v>
      </c>
      <c r="R612" s="41">
        <f t="shared" si="7370"/>
        <v>23112</v>
      </c>
      <c r="S612" s="41">
        <f t="shared" si="7370"/>
        <v>22258</v>
      </c>
      <c r="T612" s="41">
        <f t="shared" si="7370"/>
        <v>28586</v>
      </c>
      <c r="U612" s="41">
        <f t="shared" si="7370"/>
        <v>30725</v>
      </c>
      <c r="V612" s="41">
        <f t="shared" si="7370"/>
        <v>30990</v>
      </c>
      <c r="W612" s="41">
        <f t="shared" si="7370"/>
        <v>31136</v>
      </c>
      <c r="X612" s="41">
        <f t="shared" si="7370"/>
        <v>34671</v>
      </c>
      <c r="Y612" s="41">
        <f t="shared" ref="Y612:AE612" si="7371">Y613-SUM(Y610:Y611)</f>
        <v>45244</v>
      </c>
      <c r="Z612" s="41">
        <f t="shared" si="7371"/>
        <v>47604</v>
      </c>
      <c r="AA612" s="41">
        <f t="shared" si="7371"/>
        <v>51614</v>
      </c>
      <c r="AB612" s="41">
        <f t="shared" si="7371"/>
        <v>55412</v>
      </c>
      <c r="AC612" s="41">
        <f t="shared" si="7371"/>
        <v>52644</v>
      </c>
      <c r="AD612" s="41">
        <f t="shared" si="7371"/>
        <v>47166</v>
      </c>
      <c r="AE612" s="41">
        <f t="shared" si="7371"/>
        <v>52186</v>
      </c>
      <c r="AF612" s="41">
        <f t="shared" ref="AF612:AG612" si="7372">AF613-SUM(AF610:AF611)</f>
        <v>54027</v>
      </c>
      <c r="AG612" s="41">
        <f t="shared" si="7372"/>
        <v>56549</v>
      </c>
      <c r="AH612" s="41">
        <f t="shared" ref="AH612:AI612" si="7373">AH613-SUM(AH610:AH611)</f>
        <v>55231</v>
      </c>
      <c r="AI612" s="41">
        <f t="shared" si="7373"/>
        <v>54279</v>
      </c>
      <c r="AJ612" s="41">
        <f t="shared" ref="AJ612:AK612" si="7374">AJ613-SUM(AJ610:AJ611)</f>
        <v>52955</v>
      </c>
      <c r="AK612" s="41">
        <f t="shared" si="7374"/>
        <v>53240</v>
      </c>
      <c r="AL612" s="41">
        <f t="shared" ref="AL612:AM612" si="7375">AL613-SUM(AL610:AL611)</f>
        <v>50768</v>
      </c>
      <c r="AM612" s="41">
        <f t="shared" si="7375"/>
        <v>58855</v>
      </c>
      <c r="AN612" s="41">
        <f t="shared" ref="AN612:AO612" si="7376">AN613-SUM(AN610:AN611)</f>
        <v>63015</v>
      </c>
      <c r="AO612" s="41">
        <f t="shared" si="7376"/>
        <v>69347</v>
      </c>
      <c r="AP612" s="41">
        <f t="shared" ref="AP612:AQ612" si="7377">AP613-SUM(AP610:AP611)</f>
        <v>66304</v>
      </c>
      <c r="AQ612" s="41">
        <f t="shared" si="7377"/>
        <v>73588</v>
      </c>
      <c r="AR612" s="41">
        <f t="shared" ref="AR612:AS612" si="7378">AR613-SUM(AR610:AR611)</f>
        <v>89093</v>
      </c>
      <c r="AS612" s="41">
        <f t="shared" si="7378"/>
        <v>95276</v>
      </c>
      <c r="AT612" s="41">
        <f t="shared" ref="AT612:AU612" si="7379">AT613-SUM(AT610:AT611)</f>
        <v>90220</v>
      </c>
      <c r="AU612" s="41">
        <f t="shared" si="7379"/>
        <v>84286</v>
      </c>
      <c r="AV612" s="41">
        <f t="shared" ref="AV612:AW612" si="7380">AV613-SUM(AV610:AV611)</f>
        <v>84332</v>
      </c>
      <c r="AW612" s="41">
        <f t="shared" si="7380"/>
        <v>85397</v>
      </c>
      <c r="AX612" s="41">
        <f t="shared" ref="AX612:AY612" si="7381">AX613-SUM(AX610:AX611)</f>
        <v>90918</v>
      </c>
      <c r="AY612" s="211">
        <f t="shared" si="7381"/>
        <v>88964</v>
      </c>
      <c r="AZ612" s="41">
        <f>AY612*0.995</f>
        <v>88519.18</v>
      </c>
      <c r="BA612" s="41">
        <f t="shared" ref="BA612:BD612" si="7382">AZ612*0.995</f>
        <v>88076.584099999993</v>
      </c>
      <c r="BB612" s="41">
        <f t="shared" si="7382"/>
        <v>87636.201179499985</v>
      </c>
      <c r="BC612" s="41">
        <f t="shared" si="7382"/>
        <v>87198.02017360249</v>
      </c>
      <c r="BD612" s="41">
        <f t="shared" si="7382"/>
        <v>86762.030072734473</v>
      </c>
      <c r="BE612" s="41">
        <f>BD612*0.9975</f>
        <v>86545.124997552644</v>
      </c>
      <c r="BF612" s="41">
        <f t="shared" ref="BF612:CS612" si="7383">BE612*0.9975</f>
        <v>86328.76218505876</v>
      </c>
      <c r="BG612" s="41">
        <f t="shared" si="7383"/>
        <v>86112.940279596121</v>
      </c>
      <c r="BH612" s="41">
        <f t="shared" si="7383"/>
        <v>85897.657928897141</v>
      </c>
      <c r="BI612" s="41">
        <f t="shared" si="7383"/>
        <v>85682.913784074903</v>
      </c>
      <c r="BJ612" s="41">
        <f t="shared" si="7383"/>
        <v>85468.706499614724</v>
      </c>
      <c r="BK612" s="41">
        <f t="shared" si="7383"/>
        <v>85255.034733365697</v>
      </c>
      <c r="BL612" s="41">
        <f t="shared" si="7383"/>
        <v>85041.897146532283</v>
      </c>
      <c r="BM612" s="41">
        <f t="shared" si="7383"/>
        <v>84829.292403665953</v>
      </c>
      <c r="BN612" s="41">
        <f t="shared" si="7383"/>
        <v>84617.219172656798</v>
      </c>
      <c r="BO612" s="41">
        <f t="shared" si="7383"/>
        <v>84405.676124725156</v>
      </c>
      <c r="BP612" s="41">
        <f t="shared" si="7383"/>
        <v>84194.661934413351</v>
      </c>
      <c r="BQ612" s="41">
        <f t="shared" si="7383"/>
        <v>83984.175279577321</v>
      </c>
      <c r="BR612" s="41"/>
      <c r="BS612" s="41">
        <f t="shared" si="7383"/>
        <v>0</v>
      </c>
      <c r="BT612" s="41">
        <f t="shared" si="7383"/>
        <v>0</v>
      </c>
      <c r="BU612" s="41">
        <f t="shared" si="7383"/>
        <v>0</v>
      </c>
      <c r="BV612" s="41">
        <f t="shared" si="7383"/>
        <v>0</v>
      </c>
      <c r="BW612" s="41">
        <f t="shared" si="7383"/>
        <v>0</v>
      </c>
      <c r="BX612" s="41">
        <f t="shared" si="7383"/>
        <v>0</v>
      </c>
      <c r="BY612" s="41">
        <f t="shared" si="7383"/>
        <v>0</v>
      </c>
      <c r="BZ612" s="41">
        <f t="shared" si="7383"/>
        <v>0</v>
      </c>
      <c r="CA612" s="41">
        <f t="shared" si="7383"/>
        <v>0</v>
      </c>
      <c r="CB612" s="41">
        <f t="shared" si="7383"/>
        <v>0</v>
      </c>
      <c r="CC612" s="41">
        <f t="shared" si="7383"/>
        <v>0</v>
      </c>
      <c r="CD612" s="41">
        <f t="shared" si="7383"/>
        <v>0</v>
      </c>
      <c r="CE612" s="41">
        <f t="shared" si="7383"/>
        <v>0</v>
      </c>
      <c r="CF612" s="41">
        <f t="shared" si="7383"/>
        <v>0</v>
      </c>
      <c r="CG612" s="41">
        <f t="shared" si="7383"/>
        <v>0</v>
      </c>
      <c r="CH612" s="41">
        <f t="shared" si="7383"/>
        <v>0</v>
      </c>
      <c r="CI612" s="41">
        <f t="shared" si="7383"/>
        <v>0</v>
      </c>
      <c r="CJ612" s="41">
        <f t="shared" si="7383"/>
        <v>0</v>
      </c>
      <c r="CK612" s="41">
        <f t="shared" si="7383"/>
        <v>0</v>
      </c>
      <c r="CL612" s="41">
        <f t="shared" si="7383"/>
        <v>0</v>
      </c>
      <c r="CM612" s="41">
        <f t="shared" si="7383"/>
        <v>0</v>
      </c>
      <c r="CN612" s="41">
        <f t="shared" si="7383"/>
        <v>0</v>
      </c>
      <c r="CO612" s="41">
        <f t="shared" si="7383"/>
        <v>0</v>
      </c>
      <c r="CP612" s="41">
        <f t="shared" si="7383"/>
        <v>0</v>
      </c>
      <c r="CQ612" s="41">
        <f t="shared" si="7383"/>
        <v>0</v>
      </c>
      <c r="CR612" s="41">
        <f t="shared" si="7383"/>
        <v>0</v>
      </c>
      <c r="CS612" s="41">
        <f t="shared" si="7383"/>
        <v>0</v>
      </c>
      <c r="CT612" s="41">
        <f>AM612</f>
        <v>58855</v>
      </c>
      <c r="CU612" s="41">
        <f>AO612</f>
        <v>69347</v>
      </c>
      <c r="CV612" s="41">
        <f>AQ612</f>
        <v>73588</v>
      </c>
      <c r="CW612" s="41">
        <f>AS612</f>
        <v>95276</v>
      </c>
      <c r="CX612" s="41">
        <f>AU612</f>
        <v>84286</v>
      </c>
      <c r="CY612" s="41">
        <f>AW612</f>
        <v>85397</v>
      </c>
      <c r="CZ612" s="211">
        <f>AY612</f>
        <v>88964</v>
      </c>
      <c r="DA612" s="41">
        <f>BA612</f>
        <v>88076.584099999993</v>
      </c>
      <c r="DB612" s="41">
        <f>BC612</f>
        <v>87198.02017360249</v>
      </c>
      <c r="DC612" s="41">
        <f>BE612</f>
        <v>86545.124997552644</v>
      </c>
      <c r="DD612" s="41">
        <f>BG612</f>
        <v>86112.940279596121</v>
      </c>
      <c r="DE612" s="41">
        <f>BI612</f>
        <v>85682.913784074903</v>
      </c>
      <c r="DF612" s="41">
        <f>BK612</f>
        <v>85255.034733365697</v>
      </c>
      <c r="DG612" s="41">
        <f>BM612</f>
        <v>84829.292403665953</v>
      </c>
      <c r="DH612" s="41">
        <f>BO612</f>
        <v>84405.676124725156</v>
      </c>
      <c r="DI612" s="41">
        <f>BQ612</f>
        <v>83984.175279577321</v>
      </c>
    </row>
    <row r="613" spans="1:113" s="17" customFormat="1" ht="12" outlineLevel="1">
      <c r="A613" s="1" t="s">
        <v>895</v>
      </c>
      <c r="B613" s="17" t="s">
        <v>168</v>
      </c>
      <c r="C613" s="61">
        <v>139129</v>
      </c>
      <c r="D613" s="61">
        <v>135418</v>
      </c>
      <c r="E613" s="61">
        <v>141390</v>
      </c>
      <c r="F613" s="61">
        <v>148603</v>
      </c>
      <c r="G613" s="61">
        <v>152164</v>
      </c>
      <c r="H613" s="61">
        <v>186157</v>
      </c>
      <c r="I613" s="61">
        <v>196664</v>
      </c>
      <c r="J613" s="61">
        <v>209524</v>
      </c>
      <c r="K613" s="61">
        <v>219573</v>
      </c>
      <c r="L613" s="61">
        <v>230653</v>
      </c>
      <c r="M613" s="61">
        <v>240219</v>
      </c>
      <c r="N613" s="61">
        <v>250485</v>
      </c>
      <c r="O613" s="61">
        <v>275018</v>
      </c>
      <c r="P613" s="61">
        <v>267486</v>
      </c>
      <c r="Q613" s="61">
        <v>275434</v>
      </c>
      <c r="R613" s="61">
        <v>280882</v>
      </c>
      <c r="S613" s="61">
        <v>252069</v>
      </c>
      <c r="T613" s="61">
        <v>248961</v>
      </c>
      <c r="U613" s="61">
        <v>264242</v>
      </c>
      <c r="V613" s="61">
        <v>264236</v>
      </c>
      <c r="W613" s="61">
        <v>279964</v>
      </c>
      <c r="X613" s="61">
        <v>284836</v>
      </c>
      <c r="Y613" s="61">
        <v>300119</v>
      </c>
      <c r="Z613" s="194">
        <v>322582</v>
      </c>
      <c r="AA613" s="194">
        <v>339265</v>
      </c>
      <c r="AB613" s="194">
        <v>360740</v>
      </c>
      <c r="AC613" s="194">
        <v>361529</v>
      </c>
      <c r="AD613" s="194">
        <v>386863</v>
      </c>
      <c r="AE613" s="194">
        <v>401937</v>
      </c>
      <c r="AF613" s="194">
        <v>388335</v>
      </c>
      <c r="AG613" s="194">
        <v>408582</v>
      </c>
      <c r="AH613" s="194">
        <v>397040</v>
      </c>
      <c r="AI613" s="194">
        <v>391113</v>
      </c>
      <c r="AJ613" s="194">
        <v>395777</v>
      </c>
      <c r="AK613" s="194">
        <v>390820</v>
      </c>
      <c r="AL613" s="194">
        <v>396291</v>
      </c>
      <c r="AM613" s="194">
        <v>416961</v>
      </c>
      <c r="AN613" s="194">
        <v>449012</v>
      </c>
      <c r="AO613" s="194">
        <v>429384</v>
      </c>
      <c r="AP613" s="194">
        <v>408166</v>
      </c>
      <c r="AQ613" s="194">
        <v>416086</v>
      </c>
      <c r="AR613" s="194">
        <v>437910</v>
      </c>
      <c r="AS613" s="194">
        <v>454718</v>
      </c>
      <c r="AT613" s="194">
        <v>435514</v>
      </c>
      <c r="AU613" s="194">
        <v>433327</v>
      </c>
      <c r="AV613" s="194">
        <v>432779</v>
      </c>
      <c r="AW613" s="194">
        <v>446582</v>
      </c>
      <c r="AX613" s="194">
        <v>468999</v>
      </c>
      <c r="AY613" s="227">
        <v>458547</v>
      </c>
      <c r="AZ613" s="62">
        <f t="shared" ref="AZ613:BA613" si="7384">SUM(AZ610:AZ612)</f>
        <v>473004.07998366241</v>
      </c>
      <c r="BA613" s="62">
        <f t="shared" si="7384"/>
        <v>477683.98771293456</v>
      </c>
      <c r="BB613" s="62">
        <f t="shared" ref="BB613:BC613" si="7385">SUM(BB610:BB612)</f>
        <v>481892.76939075906</v>
      </c>
      <c r="BC613" s="62">
        <f t="shared" si="7385"/>
        <v>486596.49337076169</v>
      </c>
      <c r="BD613" s="62">
        <f t="shared" ref="BD613:BE613" si="7386">SUM(BD610:BD612)</f>
        <v>491059.65528068034</v>
      </c>
      <c r="BE613" s="62">
        <f t="shared" si="7386"/>
        <v>496155.39589073515</v>
      </c>
      <c r="BF613" s="62">
        <f t="shared" ref="BF613:BG613" si="7387">SUM(BF610:BF612)</f>
        <v>500702.7520364857</v>
      </c>
      <c r="BG613" s="62">
        <f t="shared" si="7387"/>
        <v>505236.32402287924</v>
      </c>
      <c r="BH613" s="62">
        <f t="shared" ref="BH613:BI613" si="7388">SUM(BH610:BH612)</f>
        <v>512566.19489913905</v>
      </c>
      <c r="BI613" s="62">
        <f t="shared" si="7388"/>
        <v>519809.02985123609</v>
      </c>
      <c r="BJ613" s="62">
        <f t="shared" ref="BJ613:BK613" si="7389">SUM(BJ610:BJ612)</f>
        <v>527984.8336512862</v>
      </c>
      <c r="BK613" s="62">
        <f t="shared" si="7389"/>
        <v>535546.49969854206</v>
      </c>
      <c r="BL613" s="62">
        <f t="shared" ref="BL613:BM613" si="7390">SUM(BL610:BL612)</f>
        <v>543266.45961689414</v>
      </c>
      <c r="BM613" s="62">
        <f t="shared" si="7390"/>
        <v>551147.83086879493</v>
      </c>
      <c r="BN613" s="62">
        <f t="shared" ref="BN613:BO613" si="7391">SUM(BN610:BN612)</f>
        <v>560044.69290617923</v>
      </c>
      <c r="BO613" s="62">
        <f t="shared" si="7391"/>
        <v>569122.15363462712</v>
      </c>
      <c r="BP613" s="62">
        <f t="shared" ref="BP613:BQ613" si="7392">SUM(BP610:BP612)</f>
        <v>579092.01915571874</v>
      </c>
      <c r="BQ613" s="62">
        <f t="shared" si="7392"/>
        <v>589292.21942159254</v>
      </c>
      <c r="BR613" s="62"/>
      <c r="BS613" s="61">
        <v>80720.600000000006</v>
      </c>
      <c r="BT613" s="61">
        <v>76860</v>
      </c>
      <c r="BU613" s="61">
        <v>76027</v>
      </c>
      <c r="BV613" s="61">
        <v>83076</v>
      </c>
      <c r="BW613" s="61">
        <v>93517</v>
      </c>
      <c r="BX613" s="61">
        <v>106147</v>
      </c>
      <c r="BY613" s="61">
        <v>116096</v>
      </c>
      <c r="BZ613" s="61">
        <v>118037</v>
      </c>
      <c r="CA613" s="61">
        <v>129688</v>
      </c>
      <c r="CB613" s="61">
        <v>139129</v>
      </c>
      <c r="CC613" s="62">
        <f t="shared" ref="CC613:CP613" si="7393">SUM(CC610:CC612)</f>
        <v>141390</v>
      </c>
      <c r="CD613" s="62">
        <f t="shared" si="7393"/>
        <v>151493</v>
      </c>
      <c r="CE613" s="62">
        <f t="shared" si="7393"/>
        <v>195674</v>
      </c>
      <c r="CF613" s="62">
        <f t="shared" si="7393"/>
        <v>218083</v>
      </c>
      <c r="CG613" s="62">
        <f t="shared" si="7393"/>
        <v>238543</v>
      </c>
      <c r="CH613" s="62">
        <f t="shared" si="7393"/>
        <v>273071</v>
      </c>
      <c r="CI613" s="62">
        <f t="shared" si="7393"/>
        <v>250750</v>
      </c>
      <c r="CJ613" s="62">
        <f t="shared" si="7393"/>
        <v>229811</v>
      </c>
      <c r="CK613" s="62">
        <f t="shared" si="7393"/>
        <v>233517</v>
      </c>
      <c r="CL613" s="62">
        <f t="shared" si="7393"/>
        <v>248828</v>
      </c>
      <c r="CM613" s="62">
        <f t="shared" si="7393"/>
        <v>254875</v>
      </c>
      <c r="CN613" s="62">
        <f t="shared" si="7393"/>
        <v>287651</v>
      </c>
      <c r="CO613" s="62">
        <f t="shared" si="7393"/>
        <v>308885</v>
      </c>
      <c r="CP613" s="62">
        <f t="shared" si="7393"/>
        <v>349751</v>
      </c>
      <c r="CQ613" s="62">
        <f t="shared" ref="CQ613:CX613" si="7394">SUM(CQ610:CQ612)</f>
        <v>352033</v>
      </c>
      <c r="CR613" s="62">
        <f t="shared" si="7394"/>
        <v>336834</v>
      </c>
      <c r="CS613" s="62">
        <f t="shared" si="7394"/>
        <v>337580</v>
      </c>
      <c r="CT613" s="62">
        <f t="shared" si="7394"/>
        <v>416961</v>
      </c>
      <c r="CU613" s="62">
        <f t="shared" si="7394"/>
        <v>429384</v>
      </c>
      <c r="CV613" s="62">
        <f t="shared" si="7394"/>
        <v>416086</v>
      </c>
      <c r="CW613" s="62">
        <f t="shared" si="7394"/>
        <v>454718</v>
      </c>
      <c r="CX613" s="62">
        <f t="shared" si="7394"/>
        <v>433327</v>
      </c>
      <c r="CY613" s="62">
        <f t="shared" ref="CY613:DD613" si="7395">SUM(CY610:CY612)</f>
        <v>446582</v>
      </c>
      <c r="CZ613" s="220">
        <f t="shared" si="7395"/>
        <v>458547</v>
      </c>
      <c r="DA613" s="62">
        <f t="shared" si="7395"/>
        <v>477683.98771293456</v>
      </c>
      <c r="DB613" s="62">
        <f t="shared" si="7395"/>
        <v>486596.49337076169</v>
      </c>
      <c r="DC613" s="62">
        <f t="shared" si="7395"/>
        <v>496155.39589073515</v>
      </c>
      <c r="DD613" s="62">
        <f t="shared" si="7395"/>
        <v>505236.32402287924</v>
      </c>
      <c r="DE613" s="62">
        <f t="shared" ref="DE613" si="7396">SUM(DE610:DE612)</f>
        <v>519809.02985123609</v>
      </c>
      <c r="DF613" s="62">
        <f t="shared" ref="DF613" si="7397">SUM(DF610:DF612)</f>
        <v>535546.49969854206</v>
      </c>
      <c r="DG613" s="62">
        <f>SUM(DG610:DG612)</f>
        <v>551147.83086879493</v>
      </c>
      <c r="DH613" s="62">
        <f>SUM(DH610:DH612)</f>
        <v>569122.15363462712</v>
      </c>
      <c r="DI613" s="62">
        <f>SUM(DI610:DI612)</f>
        <v>589292.21942159254</v>
      </c>
    </row>
    <row r="614" spans="1:113" s="17" customFormat="1" ht="12" outlineLevel="1">
      <c r="A614" s="1" t="s">
        <v>2279</v>
      </c>
      <c r="B614" s="15" t="s">
        <v>2280</v>
      </c>
      <c r="C614" s="61"/>
      <c r="D614" s="61"/>
      <c r="E614" s="61"/>
      <c r="F614" s="61"/>
      <c r="G614" s="61"/>
      <c r="H614" s="61"/>
      <c r="I614" s="61"/>
      <c r="J614" s="61"/>
      <c r="K614" s="61"/>
      <c r="L614" s="61"/>
      <c r="M614" s="61"/>
      <c r="N614" s="61"/>
      <c r="O614" s="61"/>
      <c r="P614" s="61"/>
      <c r="Q614" s="61"/>
      <c r="R614" s="61"/>
      <c r="S614" s="61"/>
      <c r="T614" s="61"/>
      <c r="U614" s="61"/>
      <c r="V614" s="61"/>
      <c r="W614" s="61"/>
      <c r="X614" s="61"/>
      <c r="Y614" s="61"/>
      <c r="Z614" s="141">
        <v>-12629</v>
      </c>
      <c r="AA614" s="141">
        <v>-18287</v>
      </c>
      <c r="AB614" s="141">
        <v>-16359</v>
      </c>
      <c r="AC614" s="141">
        <v>-13627</v>
      </c>
      <c r="AD614" s="141">
        <v>-7690</v>
      </c>
      <c r="AE614" s="141">
        <v>-7433</v>
      </c>
      <c r="AF614" s="141">
        <v>-10280</v>
      </c>
      <c r="AG614" s="141">
        <v>-11700</v>
      </c>
      <c r="AH614" s="141">
        <v>-10332</v>
      </c>
      <c r="AI614" s="141">
        <v>-11611</v>
      </c>
      <c r="AJ614" s="141">
        <v>-9019</v>
      </c>
      <c r="AK614" s="141">
        <v>-8814</v>
      </c>
      <c r="AL614" s="141">
        <v>-7245</v>
      </c>
      <c r="AM614" s="141">
        <v>-6922</v>
      </c>
      <c r="AN614" s="141">
        <v>-8011</v>
      </c>
      <c r="AO614" s="141">
        <v>-13547</v>
      </c>
      <c r="AP614" s="141">
        <v>-10150</v>
      </c>
      <c r="AQ614" s="141">
        <v>-18036</v>
      </c>
      <c r="AR614" s="141">
        <v>-33402</v>
      </c>
      <c r="AS614" s="141">
        <v>-38063</v>
      </c>
      <c r="AT614" s="141">
        <v>-31887</v>
      </c>
      <c r="AU614" s="141">
        <v>-31703</v>
      </c>
      <c r="AV614" s="141">
        <v>-26200</v>
      </c>
      <c r="AW614" s="141">
        <v>23052</v>
      </c>
      <c r="AX614" s="141">
        <v>21357</v>
      </c>
      <c r="AY614" s="226">
        <v>24797</v>
      </c>
      <c r="AZ614" s="41">
        <f t="shared" ref="AZ614" si="7398">AY614*(AZ612/AY612)</f>
        <v>24673.014999999996</v>
      </c>
      <c r="BA614" s="41">
        <f t="shared" ref="BA614" si="7399">AZ614*(BA612/AZ612)</f>
        <v>24549.649924999994</v>
      </c>
      <c r="BB614" s="41">
        <f t="shared" ref="BB614" si="7400">BA614*(BB612/BA612)</f>
        <v>24426.901675374993</v>
      </c>
      <c r="BC614" s="41">
        <f t="shared" ref="BC614" si="7401">BB614*(BC612/BB612)</f>
        <v>24304.767166998121</v>
      </c>
      <c r="BD614" s="41">
        <f t="shared" ref="BD614" si="7402">BC614*(BD612/BC612)</f>
        <v>24183.243331163128</v>
      </c>
      <c r="BE614" s="41">
        <f t="shared" ref="BE614" si="7403">BD614*(BE612/BD612)</f>
        <v>24122.78522283522</v>
      </c>
      <c r="BF614" s="41">
        <f t="shared" ref="BF614" si="7404">BE614*(BF612/BE612)</f>
        <v>24062.47825977813</v>
      </c>
      <c r="BG614" s="41">
        <f t="shared" ref="BG614:BK614" si="7405">BF614*(BG612/BF612)</f>
        <v>24002.322064128686</v>
      </c>
      <c r="BH614" s="41">
        <f t="shared" si="7405"/>
        <v>23942.316258968367</v>
      </c>
      <c r="BI614" s="41">
        <f t="shared" si="7405"/>
        <v>23882.460468320947</v>
      </c>
      <c r="BJ614" s="41">
        <f t="shared" si="7405"/>
        <v>23822.754317150146</v>
      </c>
      <c r="BK614" s="41">
        <f t="shared" si="7405"/>
        <v>23763.197431357275</v>
      </c>
      <c r="BL614" s="41">
        <f t="shared" ref="BL614" si="7406">BK614*(BL612/BK612)</f>
        <v>23703.789437778883</v>
      </c>
      <c r="BM614" s="41">
        <f t="shared" ref="BM614" si="7407">BL614*(BM612/BL612)</f>
        <v>23644.529964184436</v>
      </c>
      <c r="BN614" s="41">
        <f t="shared" ref="BN614" si="7408">BM614*(BN612/BM612)</f>
        <v>23585.418639273979</v>
      </c>
      <c r="BO614" s="41">
        <f t="shared" ref="BO614" si="7409">BN614*(BO612/BN612)</f>
        <v>23526.455092675795</v>
      </c>
      <c r="BP614" s="41">
        <f t="shared" ref="BP614" si="7410">BO614*(BP612/BO612)</f>
        <v>23467.638954944108</v>
      </c>
      <c r="BQ614" s="41">
        <f t="shared" ref="BQ614" si="7411">BP614*(BQ612/BP612)</f>
        <v>23408.969857556749</v>
      </c>
      <c r="BR614" s="62"/>
      <c r="BS614" s="61"/>
      <c r="BT614" s="61"/>
      <c r="BU614" s="61"/>
      <c r="BV614" s="61"/>
      <c r="BW614" s="61"/>
      <c r="BX614" s="61"/>
      <c r="BY614" s="61"/>
      <c r="BZ614" s="61"/>
      <c r="CA614" s="61"/>
      <c r="CB614" s="61"/>
      <c r="CC614" s="62"/>
      <c r="CD614" s="62"/>
      <c r="CE614" s="62"/>
      <c r="CF614" s="62"/>
      <c r="CG614" s="62"/>
      <c r="CH614" s="62"/>
      <c r="CI614" s="62"/>
      <c r="CJ614" s="62"/>
      <c r="CK614" s="62"/>
      <c r="CL614" s="62"/>
      <c r="CM614" s="62"/>
      <c r="CN614" s="41">
        <f>AA614</f>
        <v>-18287</v>
      </c>
      <c r="CO614" s="41">
        <f>AC614</f>
        <v>-13627</v>
      </c>
      <c r="CP614" s="41">
        <f>AE614</f>
        <v>-7433</v>
      </c>
      <c r="CQ614" s="41">
        <f>AG614</f>
        <v>-11700</v>
      </c>
      <c r="CR614" s="41">
        <f>AI614</f>
        <v>-11611</v>
      </c>
      <c r="CS614" s="41">
        <f>AK614</f>
        <v>-8814</v>
      </c>
      <c r="CT614" s="41">
        <f>AM614</f>
        <v>-6922</v>
      </c>
      <c r="CU614" s="41">
        <f>AO614</f>
        <v>-13547</v>
      </c>
      <c r="CV614" s="41">
        <f>AQ614</f>
        <v>-18036</v>
      </c>
      <c r="CW614" s="41">
        <f>AS614</f>
        <v>-38063</v>
      </c>
      <c r="CX614" s="41">
        <f>AU614</f>
        <v>-31703</v>
      </c>
      <c r="CY614" s="41">
        <f>AW614</f>
        <v>23052</v>
      </c>
      <c r="CZ614" s="211">
        <f>AY614</f>
        <v>24797</v>
      </c>
      <c r="DA614" s="41">
        <f>BA614</f>
        <v>24549.649924999994</v>
      </c>
      <c r="DB614" s="41">
        <f>BC614</f>
        <v>24304.767166998121</v>
      </c>
      <c r="DC614" s="41">
        <f>BE614</f>
        <v>24122.78522283522</v>
      </c>
      <c r="DD614" s="41">
        <f>BG614</f>
        <v>24002.322064128686</v>
      </c>
      <c r="DE614" s="41">
        <f>BI614</f>
        <v>23882.460468320947</v>
      </c>
      <c r="DF614" s="41">
        <f>BK614</f>
        <v>23763.197431357275</v>
      </c>
      <c r="DG614" s="41">
        <f>BM614</f>
        <v>23644.529964184436</v>
      </c>
      <c r="DH614" s="41">
        <f>BO614</f>
        <v>23526.455092675795</v>
      </c>
      <c r="DI614" s="41">
        <f>BQ614</f>
        <v>23408.969857556749</v>
      </c>
    </row>
    <row r="615" spans="1:113" s="17" customFormat="1" ht="12" outlineLevel="1">
      <c r="A615" s="1" t="s">
        <v>2281</v>
      </c>
      <c r="B615" s="15" t="s">
        <v>2276</v>
      </c>
      <c r="C615" s="61"/>
      <c r="D615" s="61"/>
      <c r="E615" s="61"/>
      <c r="F615" s="61"/>
      <c r="G615" s="61"/>
      <c r="H615" s="61"/>
      <c r="I615" s="61"/>
      <c r="J615" s="61"/>
      <c r="K615" s="61"/>
      <c r="L615" s="61"/>
      <c r="M615" s="61"/>
      <c r="N615" s="61"/>
      <c r="O615" s="61"/>
      <c r="P615" s="61"/>
      <c r="Q615" s="61"/>
      <c r="R615" s="61"/>
      <c r="S615" s="61"/>
      <c r="T615" s="61"/>
      <c r="U615" s="61"/>
      <c r="V615" s="61"/>
      <c r="W615" s="61"/>
      <c r="X615" s="61"/>
      <c r="Y615" s="61"/>
      <c r="Z615" s="41">
        <f t="shared" ref="Z615:AE615" si="7412">Z616-Z614-Z613</f>
        <v>-13061.72450865095</v>
      </c>
      <c r="AA615" s="41">
        <f t="shared" si="7412"/>
        <v>-13176.681952878833</v>
      </c>
      <c r="AB615" s="41">
        <f t="shared" si="7412"/>
        <v>-17926.063657450082</v>
      </c>
      <c r="AC615" s="41">
        <f t="shared" si="7412"/>
        <v>-63298.086473622592</v>
      </c>
      <c r="AD615" s="41">
        <f t="shared" si="7412"/>
        <v>-70178.468098840734</v>
      </c>
      <c r="AE615" s="41">
        <f t="shared" si="7412"/>
        <v>-71825.970348668809</v>
      </c>
      <c r="AF615" s="41">
        <f t="shared" ref="AF615:AG615" si="7413">AF616-AF614-AF613</f>
        <v>-72865.562496519648</v>
      </c>
      <c r="AG615" s="41">
        <f t="shared" si="7413"/>
        <v>-86851.499075066706</v>
      </c>
      <c r="AH615" s="41">
        <f t="shared" ref="AH615:AI615" si="7414">AH616-AH614-AH613</f>
        <v>-83523.450391657825</v>
      </c>
      <c r="AI615" s="41">
        <f t="shared" si="7414"/>
        <v>-75199.309391208051</v>
      </c>
      <c r="AJ615" s="41">
        <f t="shared" ref="AJ615:AK615" si="7415">AJ616-AJ614-AJ613</f>
        <v>-78160.070773343672</v>
      </c>
      <c r="AK615" s="41">
        <f t="shared" si="7415"/>
        <v>-76543.986089315382</v>
      </c>
      <c r="AL615" s="41">
        <f t="shared" ref="AL615:AM615" si="7416">AL616-AL614-AL613</f>
        <v>-79575.873595010256</v>
      </c>
      <c r="AM615" s="41">
        <f t="shared" si="7416"/>
        <v>-79747.44026277418</v>
      </c>
      <c r="AN615" s="41">
        <f t="shared" ref="AN615:AO615" si="7417">AN616-AN614-AN613</f>
        <v>-96962.383899502223</v>
      </c>
      <c r="AO615" s="41">
        <f t="shared" si="7417"/>
        <v>-94762.596627533552</v>
      </c>
      <c r="AP615" s="41">
        <f t="shared" ref="AP615:AQ615" si="7418">AP616-AP614-AP613</f>
        <v>-86590.531509128108</v>
      </c>
      <c r="AQ615" s="41">
        <f t="shared" si="7418"/>
        <v>-90843.322759765724</v>
      </c>
      <c r="AR615" s="41">
        <f t="shared" ref="AR615:AS615" si="7419">AR616-AR614-AR613</f>
        <v>-88006.549461444549</v>
      </c>
      <c r="AS615" s="41">
        <f t="shared" si="7419"/>
        <v>-87542.00964911998</v>
      </c>
      <c r="AT615" s="41">
        <f t="shared" ref="AT615:AU615" si="7420">AT616-AT614-AT613</f>
        <v>-71941.587651613401</v>
      </c>
      <c r="AU615" s="41">
        <f t="shared" si="7420"/>
        <v>-71484.356146627921</v>
      </c>
      <c r="AV615" s="41">
        <f t="shared" ref="AV615:AW615" si="7421">AV616-AV614-AV613</f>
        <v>-75853.099710086011</v>
      </c>
      <c r="AW615" s="41">
        <f t="shared" si="7421"/>
        <v>-127044.74857252499</v>
      </c>
      <c r="AX615" s="41">
        <f t="shared" ref="AX615:AY615" si="7422">AX616-AX614-AX613</f>
        <v>-131606.38734243263</v>
      </c>
      <c r="AY615" s="211">
        <f t="shared" si="7422"/>
        <v>-130975.71807403071</v>
      </c>
      <c r="AZ615" s="210">
        <f t="shared" ref="AZ615" si="7423">AY615*(AZ610/AY610)</f>
        <v>-136188.89581527421</v>
      </c>
      <c r="BA615" s="210">
        <f t="shared" ref="BA615" si="7424">AZ615*(BA610/AZ610)</f>
        <v>-138321.43058135227</v>
      </c>
      <c r="BB615" s="210">
        <f t="shared" ref="BB615" si="7425">BA615*(BB610/BA610)</f>
        <v>-140871.21277660294</v>
      </c>
      <c r="BC615" s="210">
        <f t="shared" ref="BC615" si="7426">BB615*(BC610/BB610)</f>
        <v>-144513.92390532108</v>
      </c>
      <c r="BD615" s="210">
        <f t="shared" ref="BD615" si="7427">BC615*(BD610/BC610)</f>
        <v>-148144.79771700673</v>
      </c>
      <c r="BE615" s="210">
        <f t="shared" ref="BE615" si="7428">BD615*(BE610/BD610)</f>
        <v>-151767.87211126793</v>
      </c>
      <c r="BF615" s="210">
        <f t="shared" ref="BF615" si="7429">BE615*(BF610/BE610)</f>
        <v>-155285.33383306384</v>
      </c>
      <c r="BG615" s="210">
        <f t="shared" ref="BG615:BK615" si="7430">BF615*(BG610/BF610)</f>
        <v>-158684.80002608881</v>
      </c>
      <c r="BH615" s="210">
        <f t="shared" si="7430"/>
        <v>-161912.03997279145</v>
      </c>
      <c r="BI615" s="210">
        <f t="shared" si="7430"/>
        <v>-164889.42360017181</v>
      </c>
      <c r="BJ615" s="210">
        <f t="shared" si="7430"/>
        <v>-168070.16031929795</v>
      </c>
      <c r="BK615" s="210">
        <f t="shared" si="7430"/>
        <v>-171451.34273645462</v>
      </c>
      <c r="BL615" s="210">
        <f t="shared" ref="BL615" si="7431">BK615*(BL610/BK610)</f>
        <v>-174900.6058079857</v>
      </c>
      <c r="BM615" s="210">
        <f t="shared" ref="BM615" si="7432">BL615*(BM610/BL610)</f>
        <v>-178419.32271055569</v>
      </c>
      <c r="BN615" s="210">
        <f t="shared" ref="BN615" si="7433">BM615*(BN610/BM610)</f>
        <v>-182008.89441190046</v>
      </c>
      <c r="BO615" s="210">
        <f t="shared" ref="BO615" si="7434">BN615*(BO610/BN610)</f>
        <v>-185670.75023703676</v>
      </c>
      <c r="BP615" s="210">
        <f t="shared" ref="BP615" si="7435">BO615*(BP610/BO610)</f>
        <v>-189406.34844615663</v>
      </c>
      <c r="BQ615" s="210">
        <f t="shared" ref="BQ615" si="7436">BP615*(BQ610/BP610)</f>
        <v>-193217.17682445401</v>
      </c>
      <c r="BR615" s="62"/>
      <c r="BS615" s="61"/>
      <c r="BT615" s="61"/>
      <c r="BU615" s="61"/>
      <c r="BV615" s="61"/>
      <c r="BW615" s="61"/>
      <c r="BX615" s="61"/>
      <c r="BY615" s="61"/>
      <c r="BZ615" s="61"/>
      <c r="CA615" s="61"/>
      <c r="CB615" s="61"/>
      <c r="CC615" s="62"/>
      <c r="CD615" s="62"/>
      <c r="CE615" s="62"/>
      <c r="CF615" s="62"/>
      <c r="CG615" s="62"/>
      <c r="CH615" s="62"/>
      <c r="CI615" s="62"/>
      <c r="CJ615" s="62"/>
      <c r="CK615" s="62"/>
      <c r="CL615" s="62"/>
      <c r="CM615" s="62"/>
      <c r="CN615" s="41">
        <f>AA615</f>
        <v>-13176.681952878833</v>
      </c>
      <c r="CO615" s="41">
        <f>AC615</f>
        <v>-63298.086473622592</v>
      </c>
      <c r="CP615" s="41">
        <f>AE615</f>
        <v>-71825.970348668809</v>
      </c>
      <c r="CQ615" s="41">
        <f>AG615</f>
        <v>-86851.499075066706</v>
      </c>
      <c r="CR615" s="41">
        <f>AI615</f>
        <v>-75199.309391208051</v>
      </c>
      <c r="CS615" s="41">
        <f>AK615</f>
        <v>-76543.986089315382</v>
      </c>
      <c r="CT615" s="41">
        <f>AM615</f>
        <v>-79747.44026277418</v>
      </c>
      <c r="CU615" s="41">
        <f>AO615</f>
        <v>-94762.596627533552</v>
      </c>
      <c r="CV615" s="41">
        <f>AQ615</f>
        <v>-90843.322759765724</v>
      </c>
      <c r="CW615" s="41">
        <f>AS615</f>
        <v>-87542.00964911998</v>
      </c>
      <c r="CX615" s="41">
        <f>AU615</f>
        <v>-71484.356146627921</v>
      </c>
      <c r="CY615" s="41">
        <f>AW615</f>
        <v>-127044.74857252499</v>
      </c>
      <c r="CZ615" s="211">
        <f>AY615</f>
        <v>-130975.71807403071</v>
      </c>
      <c r="DA615" s="41">
        <f>BA615</f>
        <v>-138321.43058135227</v>
      </c>
      <c r="DB615" s="41">
        <f>BC615</f>
        <v>-144513.92390532108</v>
      </c>
      <c r="DC615" s="41">
        <f>BE615</f>
        <v>-151767.87211126793</v>
      </c>
      <c r="DD615" s="41">
        <f>BG615</f>
        <v>-158684.80002608881</v>
      </c>
      <c r="DE615" s="41">
        <f>BI615</f>
        <v>-164889.42360017181</v>
      </c>
      <c r="DF615" s="41">
        <f>BK615</f>
        <v>-171451.34273645462</v>
      </c>
      <c r="DG615" s="41">
        <f>BM615</f>
        <v>-178419.32271055569</v>
      </c>
      <c r="DH615" s="41">
        <f>BO615</f>
        <v>-185670.75023703676</v>
      </c>
      <c r="DI615" s="41">
        <f>BQ615</f>
        <v>-193217.17682445401</v>
      </c>
    </row>
    <row r="616" spans="1:113" s="17" customFormat="1" ht="12" outlineLevel="1">
      <c r="A616" s="1" t="s">
        <v>2282</v>
      </c>
      <c r="B616" s="17" t="s">
        <v>2283</v>
      </c>
      <c r="C616" s="61"/>
      <c r="D616" s="61"/>
      <c r="E616" s="61"/>
      <c r="F616" s="61"/>
      <c r="G616" s="61"/>
      <c r="H616" s="61"/>
      <c r="I616" s="61"/>
      <c r="J616" s="61"/>
      <c r="K616" s="61"/>
      <c r="L616" s="61"/>
      <c r="M616" s="61"/>
      <c r="N616" s="61"/>
      <c r="O616" s="61"/>
      <c r="P616" s="61"/>
      <c r="Q616" s="61"/>
      <c r="R616" s="61"/>
      <c r="S616" s="61"/>
      <c r="T616" s="61"/>
      <c r="U616" s="61"/>
      <c r="V616" s="61"/>
      <c r="W616" s="61"/>
      <c r="X616" s="61"/>
      <c r="Y616" s="61"/>
      <c r="Z616" s="194">
        <f>Z593/((Z593/Z613)+0.82%)</f>
        <v>296891.27549134905</v>
      </c>
      <c r="AA616" s="194">
        <f>AA593/((AA593/AA613)+1%)</f>
        <v>307801.31804712117</v>
      </c>
      <c r="AB616" s="194">
        <f>AB593/((AB593/AB613)+(0.6%+0.4%))</f>
        <v>326454.93634254992</v>
      </c>
      <c r="AC616" s="194">
        <f>AC593/((AC593/AC613)+(0.4%+0.4%+0.4%+1.5%))</f>
        <v>284603.91352637741</v>
      </c>
      <c r="AD616" s="194">
        <f>AD593/((AD593/AD613)+(0.4%+0.2%+0.4%+1.5%))</f>
        <v>308994.53190115927</v>
      </c>
      <c r="AE616" s="194">
        <f>AE593/((AE593/AE613)+(0.4%+0.2%+0.4%+1.6%))</f>
        <v>322678.02965133119</v>
      </c>
      <c r="AF616" s="194">
        <f>AF593/((AF593/AF613)+(0.6%+0.3%+0.4%+1.7%))</f>
        <v>305189.43750348035</v>
      </c>
      <c r="AG616" s="194">
        <f>AG593/((AG593/AG613)+(1.5%+1.1%+0.6%+0.3%))</f>
        <v>310030.50092493329</v>
      </c>
      <c r="AH616" s="194">
        <f>AH593/((AH593/AH613)+(1.4%+1.3%+0.6%+0.3%))</f>
        <v>303184.54960834217</v>
      </c>
      <c r="AI616" s="194">
        <f>AI593/((AI593/AI613)+(1.4%+1.1%+0.6%+0.4%))</f>
        <v>304302.69060879195</v>
      </c>
      <c r="AJ616" s="194">
        <f>AJ593/((AJ593/AJ613)+(1.5%+1.1%+0.7%+0.3%))</f>
        <v>308597.92922665633</v>
      </c>
      <c r="AK616" s="194">
        <f>AK593/((AK593/AK613)+(1.6%+1%+0.7%+0.4%))</f>
        <v>305462.01391068462</v>
      </c>
      <c r="AL616" s="194">
        <f>AL593/((AL593/AL613)+(1.7%+1%+0.8%+0.2%))</f>
        <v>309470.12640498974</v>
      </c>
      <c r="AM616" s="194">
        <f>AM593/((AM593/AM613)+(1.6%+0.9%+0.7%+0.2%))</f>
        <v>330291.55973722582</v>
      </c>
      <c r="AN616" s="194">
        <f>AN593/((AN593/AN613)+(1.6%+1.1%+0.7%+0.2%))</f>
        <v>344038.61610049778</v>
      </c>
      <c r="AO616" s="194">
        <f>AO593/((AO593/AO613)+(1.7%+1.3%+0.8%+0.4%))</f>
        <v>321074.40337246645</v>
      </c>
      <c r="AP616" s="194">
        <f>AP593/((AP593/AP613)+(1.7%+1.5%+0.8%+0.3%))</f>
        <v>311425.46849087189</v>
      </c>
      <c r="AQ616" s="194">
        <f>AQ593/((AQ593/AQ613)+(1.8%+1.5%+0.9%+0.6%))</f>
        <v>307206.67724023428</v>
      </c>
      <c r="AR616" s="194">
        <f>AR593/((AR593/AR613)+(1.8%+1.4%+0.8%+1%))</f>
        <v>316501.45053855545</v>
      </c>
      <c r="AS616" s="194">
        <f>AS593/((AS593/AS613)+(2%+0.9%+1.5%+0.9%))</f>
        <v>329112.99035088002</v>
      </c>
      <c r="AT616" s="194">
        <f>AT593/((AT593/AT613)+(1.1%+1%+0.9%+0.9%+0.6%))</f>
        <v>331685.4123483866</v>
      </c>
      <c r="AU616" s="194">
        <f>AU593/((AU593/AU613)+(1.3%+0.9%+1%+0.9%+0.6%))</f>
        <v>330139.64385337208</v>
      </c>
      <c r="AV616" s="194">
        <f>AV593/((AV593/AV613)+(1.33%+0.98%+0.96%+0.77%+0.6%))</f>
        <v>330725.90028991399</v>
      </c>
      <c r="AW616" s="194">
        <f>AW593/((AW593/AW613)+(1.05%+0.86%+0.85%+0.86%+0.48%))</f>
        <v>342589.25142747501</v>
      </c>
      <c r="AX616" s="194">
        <f>AX593/((AX593/AX613)+(1%+0.83%+0.78%+0.9%+0.49%))</f>
        <v>358749.61265756737</v>
      </c>
      <c r="AY616" s="227">
        <f>AY593/((AY593/AY613)+(1%+0.83%+0.78%+0.9%+0.49%))</f>
        <v>352368.28192596929</v>
      </c>
      <c r="AZ616" s="62">
        <f t="shared" ref="AZ616:BA616" si="7437">SUM(AZ613:AZ615)</f>
        <v>361488.19916838821</v>
      </c>
      <c r="BA616" s="62">
        <f t="shared" si="7437"/>
        <v>363912.20705658227</v>
      </c>
      <c r="BB616" s="62">
        <f t="shared" ref="BB616:BC616" si="7438">SUM(BB613:BB615)</f>
        <v>365448.45828953112</v>
      </c>
      <c r="BC616" s="62">
        <f t="shared" si="7438"/>
        <v>366387.3366324387</v>
      </c>
      <c r="BD616" s="62">
        <f t="shared" ref="BD616:BE616" si="7439">SUM(BD613:BD615)</f>
        <v>367098.10089483671</v>
      </c>
      <c r="BE616" s="62">
        <f t="shared" si="7439"/>
        <v>368510.30900230241</v>
      </c>
      <c r="BF616" s="62">
        <f t="shared" ref="BF616:BG616" si="7440">SUM(BF613:BF615)</f>
        <v>369479.89646319998</v>
      </c>
      <c r="BG616" s="62">
        <f t="shared" si="7440"/>
        <v>370553.84606091911</v>
      </c>
      <c r="BH616" s="62">
        <f t="shared" ref="BH616:BI616" si="7441">SUM(BH613:BH615)</f>
        <v>374596.47118531598</v>
      </c>
      <c r="BI616" s="62">
        <f t="shared" si="7441"/>
        <v>378802.06671938521</v>
      </c>
      <c r="BJ616" s="62">
        <f t="shared" ref="BJ616:BK616" si="7442">SUM(BJ613:BJ615)</f>
        <v>383737.42764913838</v>
      </c>
      <c r="BK616" s="62">
        <f t="shared" si="7442"/>
        <v>387858.35439344466</v>
      </c>
      <c r="BL616" s="62">
        <f t="shared" ref="BL616:BM616" si="7443">SUM(BL613:BL615)</f>
        <v>392069.64324668731</v>
      </c>
      <c r="BM616" s="62">
        <f t="shared" si="7443"/>
        <v>396373.03812242363</v>
      </c>
      <c r="BN616" s="62">
        <f t="shared" ref="BN616:BO616" si="7444">SUM(BN613:BN615)</f>
        <v>401621.21713355277</v>
      </c>
      <c r="BO616" s="62">
        <f t="shared" si="7444"/>
        <v>406977.85849026614</v>
      </c>
      <c r="BP616" s="62">
        <f t="shared" ref="BP616:BQ616" si="7445">SUM(BP613:BP615)</f>
        <v>413153.30966450623</v>
      </c>
      <c r="BQ616" s="62">
        <f t="shared" si="7445"/>
        <v>419484.0124546953</v>
      </c>
      <c r="BR616" s="62"/>
      <c r="BS616" s="61"/>
      <c r="BT616" s="61"/>
      <c r="BU616" s="61"/>
      <c r="BV616" s="61"/>
      <c r="BW616" s="61"/>
      <c r="BX616" s="61"/>
      <c r="BY616" s="61"/>
      <c r="BZ616" s="61"/>
      <c r="CA616" s="61"/>
      <c r="CB616" s="61"/>
      <c r="CC616" s="62"/>
      <c r="CD616" s="62"/>
      <c r="CE616" s="62"/>
      <c r="CF616" s="62"/>
      <c r="CG616" s="62"/>
      <c r="CH616" s="62"/>
      <c r="CI616" s="62"/>
      <c r="CJ616" s="62"/>
      <c r="CK616" s="62"/>
      <c r="CL616" s="62"/>
      <c r="CM616" s="62"/>
      <c r="CN616" s="62">
        <f t="shared" ref="CN616:CS616" si="7446">SUM(CN613:CN615)</f>
        <v>256187.31804712117</v>
      </c>
      <c r="CO616" s="62">
        <f t="shared" si="7446"/>
        <v>231959.91352637741</v>
      </c>
      <c r="CP616" s="62">
        <f t="shared" si="7446"/>
        <v>270492.02965133119</v>
      </c>
      <c r="CQ616" s="62">
        <f t="shared" si="7446"/>
        <v>253481.50092493329</v>
      </c>
      <c r="CR616" s="62">
        <f t="shared" si="7446"/>
        <v>250023.69060879195</v>
      </c>
      <c r="CS616" s="62">
        <f t="shared" si="7446"/>
        <v>252222.01391068462</v>
      </c>
      <c r="CT616" s="62">
        <f t="shared" ref="CT616:CU616" si="7447">SUM(CT613:CT615)</f>
        <v>330291.55973722582</v>
      </c>
      <c r="CU616" s="62">
        <f t="shared" si="7447"/>
        <v>321074.40337246645</v>
      </c>
      <c r="CV616" s="62">
        <f t="shared" ref="CV616:CW616" si="7448">SUM(CV613:CV615)</f>
        <v>307206.67724023428</v>
      </c>
      <c r="CW616" s="62">
        <f t="shared" si="7448"/>
        <v>329112.99035088002</v>
      </c>
      <c r="CX616" s="62">
        <f t="shared" ref="CX616" si="7449">SUM(CX613:CX615)</f>
        <v>330139.64385337208</v>
      </c>
      <c r="CY616" s="62">
        <f t="shared" ref="CY616:CZ616" si="7450">SUM(CY613:CY615)</f>
        <v>342589.25142747501</v>
      </c>
      <c r="CZ616" s="220">
        <f t="shared" si="7450"/>
        <v>352368.28192596929</v>
      </c>
      <c r="DA616" s="62">
        <f t="shared" ref="DA616:DB616" si="7451">SUM(DA613:DA615)</f>
        <v>363912.20705658227</v>
      </c>
      <c r="DB616" s="62">
        <f t="shared" si="7451"/>
        <v>366387.3366324387</v>
      </c>
      <c r="DC616" s="62">
        <f t="shared" ref="DC616" si="7452">SUM(DC613:DC615)</f>
        <v>368510.30900230241</v>
      </c>
      <c r="DD616" s="62">
        <f t="shared" ref="DD616:DI616" si="7453">SUM(DD613:DD615)</f>
        <v>370553.84606091911</v>
      </c>
      <c r="DE616" s="62">
        <f t="shared" si="7453"/>
        <v>378802.06671938521</v>
      </c>
      <c r="DF616" s="62">
        <f t="shared" si="7453"/>
        <v>387858.35439344466</v>
      </c>
      <c r="DG616" s="62">
        <f t="shared" si="7453"/>
        <v>396373.03812242363</v>
      </c>
      <c r="DH616" s="62">
        <f t="shared" si="7453"/>
        <v>406977.85849026614</v>
      </c>
      <c r="DI616" s="62">
        <f t="shared" si="7453"/>
        <v>419484.0124546953</v>
      </c>
    </row>
    <row r="617" spans="1:113" ht="12">
      <c r="C617" s="41"/>
      <c r="D617" s="41"/>
      <c r="E617" s="41"/>
      <c r="F617" s="41"/>
      <c r="G617" s="41"/>
      <c r="H617" s="41"/>
      <c r="I617" s="41"/>
      <c r="J617" s="41"/>
      <c r="K617" s="41"/>
      <c r="L617" s="41"/>
      <c r="M617" s="41"/>
      <c r="N617" s="41"/>
      <c r="O617" s="41"/>
      <c r="P617" s="41"/>
      <c r="Q617" s="41"/>
      <c r="R617" s="41"/>
      <c r="S617" s="41"/>
      <c r="T617" s="41"/>
      <c r="U617" s="41"/>
      <c r="V617" s="41"/>
      <c r="W617" s="189"/>
      <c r="X617" s="41"/>
      <c r="Y617" s="41"/>
      <c r="Z617" s="41"/>
      <c r="AA617" s="41"/>
      <c r="AB617" s="32"/>
      <c r="AC617" s="32"/>
      <c r="AD617" s="32"/>
      <c r="AE617" s="32"/>
      <c r="AF617" s="32"/>
      <c r="AG617" s="32"/>
      <c r="AH617" s="41"/>
      <c r="AI617" s="41"/>
      <c r="AJ617" s="41"/>
      <c r="AK617" s="41"/>
      <c r="AL617" s="41"/>
      <c r="AM617" s="41"/>
      <c r="AN617" s="41"/>
      <c r="AO617" s="41"/>
      <c r="AP617" s="41"/>
      <c r="AQ617" s="41"/>
      <c r="AR617" s="41"/>
      <c r="AS617" s="41"/>
      <c r="AT617" s="41"/>
      <c r="AU617" s="41"/>
      <c r="AV617" s="41"/>
      <c r="AW617" s="41"/>
      <c r="AX617" s="562"/>
      <c r="AY617" s="563"/>
      <c r="AZ617" s="562"/>
      <c r="BA617" s="562"/>
      <c r="BB617" s="562"/>
      <c r="BC617" s="562"/>
      <c r="BD617" s="562"/>
      <c r="BE617" s="562"/>
      <c r="BF617" s="562"/>
      <c r="BG617" s="562"/>
      <c r="BH617" s="562"/>
      <c r="BI617" s="562"/>
      <c r="BJ617" s="41"/>
      <c r="BK617" s="41"/>
      <c r="BL617" s="41"/>
      <c r="BM617" s="41"/>
      <c r="BN617" s="41"/>
      <c r="BO617" s="41"/>
      <c r="BP617" s="41"/>
      <c r="BQ617" s="41"/>
      <c r="BR617" s="41"/>
      <c r="BS617" s="41"/>
      <c r="BT617" s="41"/>
      <c r="BU617" s="41"/>
      <c r="BV617" s="41"/>
      <c r="BW617" s="41"/>
      <c r="BX617" s="41"/>
      <c r="BY617" s="41"/>
      <c r="BZ617" s="41"/>
      <c r="CA617" s="41"/>
      <c r="CB617" s="41"/>
      <c r="CC617" s="41"/>
      <c r="CD617" s="41"/>
      <c r="CE617" s="41"/>
      <c r="CF617" s="41"/>
      <c r="CG617" s="41"/>
      <c r="CH617" s="41"/>
      <c r="CI617" s="41"/>
      <c r="CJ617" s="41"/>
      <c r="CK617" s="41"/>
      <c r="CL617" s="41"/>
      <c r="CM617" s="41"/>
      <c r="CN617" s="41"/>
      <c r="CO617" s="41"/>
      <c r="CP617" s="41"/>
      <c r="CQ617" s="32"/>
      <c r="CR617" s="41"/>
      <c r="CS617" s="41"/>
      <c r="CT617" s="41"/>
      <c r="CU617" s="41"/>
      <c r="CV617" s="41"/>
      <c r="CW617" s="41"/>
      <c r="CX617" s="41"/>
      <c r="CY617" s="41"/>
      <c r="CZ617" s="211"/>
      <c r="DA617" s="41"/>
      <c r="DB617" s="15"/>
      <c r="DC617" s="15"/>
      <c r="DD617" s="15"/>
      <c r="DE617" s="15"/>
      <c r="DF617" s="15"/>
      <c r="DG617" s="15"/>
      <c r="DH617" s="15"/>
      <c r="DI617" s="15"/>
    </row>
    <row r="618" spans="1:113" s="26" customFormat="1" ht="12" collapsed="1">
      <c r="A618" s="1" t="s">
        <v>26</v>
      </c>
      <c r="B618" s="2" t="s">
        <v>415</v>
      </c>
      <c r="C618" s="60" t="e">
        <f>C631</f>
        <v>#VALUE!</v>
      </c>
      <c r="D618" s="60">
        <f>D631</f>
        <v>480</v>
      </c>
      <c r="E618" s="60">
        <f>E631</f>
        <v>565.99999999999977</v>
      </c>
      <c r="F618" s="60">
        <f>F631</f>
        <v>534.00000000000023</v>
      </c>
      <c r="G618" s="60">
        <f>G631</f>
        <v>648</v>
      </c>
      <c r="H618" s="60">
        <f t="shared" ref="H618:L618" si="7454">H631</f>
        <v>-2854</v>
      </c>
      <c r="I618" s="60">
        <f t="shared" si="7454"/>
        <v>826.00000000000068</v>
      </c>
      <c r="J618" s="60">
        <f t="shared" si="7454"/>
        <v>896.00000000000045</v>
      </c>
      <c r="K618" s="60">
        <f t="shared" si="7454"/>
        <v>964.99999999999955</v>
      </c>
      <c r="L618" s="60">
        <f t="shared" si="7454"/>
        <v>991.99999999999955</v>
      </c>
      <c r="M618" s="60">
        <f t="shared" ref="M618:AD618" si="7455">M631</f>
        <v>1048</v>
      </c>
      <c r="N618" s="60">
        <f t="shared" si="7455"/>
        <v>981.99999999999955</v>
      </c>
      <c r="O618" s="60">
        <f t="shared" si="7455"/>
        <v>819.99999999999977</v>
      </c>
      <c r="P618" s="60">
        <f t="shared" si="7455"/>
        <v>-279.99999999999909</v>
      </c>
      <c r="Q618" s="60">
        <f t="shared" si="7455"/>
        <v>-726.99999999999955</v>
      </c>
      <c r="R618" s="60">
        <f t="shared" si="7455"/>
        <v>-591</v>
      </c>
      <c r="S618" s="60">
        <f t="shared" si="7455"/>
        <v>-3627</v>
      </c>
      <c r="T618" s="60">
        <f t="shared" si="7455"/>
        <v>1146</v>
      </c>
      <c r="U618" s="60">
        <f t="shared" si="7455"/>
        <v>1278</v>
      </c>
      <c r="V618" s="60">
        <f t="shared" si="7455"/>
        <v>919</v>
      </c>
      <c r="W618" s="60">
        <f t="shared" si="7455"/>
        <v>1219</v>
      </c>
      <c r="X618" s="60">
        <f t="shared" si="7455"/>
        <v>873</v>
      </c>
      <c r="Y618" s="60">
        <f t="shared" si="7455"/>
        <v>1241</v>
      </c>
      <c r="Z618" s="60">
        <f t="shared" si="7455"/>
        <v>-605</v>
      </c>
      <c r="AA618" s="60">
        <f t="shared" si="7455"/>
        <v>1915</v>
      </c>
      <c r="AB618" s="60">
        <f t="shared" si="7455"/>
        <v>2567</v>
      </c>
      <c r="AC618" s="60">
        <f t="shared" si="7455"/>
        <v>1737</v>
      </c>
      <c r="AD618" s="60">
        <f t="shared" si="7455"/>
        <v>2457</v>
      </c>
      <c r="AE618" s="60">
        <f t="shared" ref="AE618:AF618" si="7456">AE631</f>
        <v>1321</v>
      </c>
      <c r="AF618" s="60">
        <f t="shared" si="7456"/>
        <v>2453</v>
      </c>
      <c r="AG618" s="60">
        <f t="shared" ref="AG618:AH618" si="7457">AG631</f>
        <v>2150</v>
      </c>
      <c r="AH618" s="60">
        <f t="shared" si="7457"/>
        <v>2029</v>
      </c>
      <c r="AI618" s="60">
        <f t="shared" ref="AI618:AJ618" si="7458">AI631</f>
        <v>2257</v>
      </c>
      <c r="AJ618" s="60">
        <f t="shared" si="7458"/>
        <v>3463</v>
      </c>
      <c r="AK618" s="60">
        <f t="shared" ref="AK618:AL618" si="7459">AK631</f>
        <v>3091</v>
      </c>
      <c r="AL618" s="60">
        <f t="shared" si="7459"/>
        <v>3411</v>
      </c>
      <c r="AM618" s="60">
        <f t="shared" ref="AM618:AN618" si="7460">AM631</f>
        <v>2190</v>
      </c>
      <c r="AN618" s="60">
        <f t="shared" si="7460"/>
        <v>2278</v>
      </c>
      <c r="AO618" s="60">
        <f t="shared" ref="AO618" si="7461">AO631</f>
        <v>604</v>
      </c>
      <c r="AP618" s="60">
        <f t="shared" ref="AP618:AQ618" si="7462">AP631</f>
        <v>889</v>
      </c>
      <c r="AQ618" s="60">
        <f t="shared" si="7462"/>
        <v>2586</v>
      </c>
      <c r="AR618" s="60">
        <f t="shared" ref="AR618:AS618" si="7463">AR631</f>
        <v>2887</v>
      </c>
      <c r="AS618" s="60">
        <f t="shared" si="7463"/>
        <v>1764</v>
      </c>
      <c r="AT618" s="60">
        <f t="shared" ref="AT618:AU618" si="7464">AT631</f>
        <v>1926</v>
      </c>
      <c r="AU618" s="60">
        <f t="shared" si="7464"/>
        <v>2375</v>
      </c>
      <c r="AV618" s="60">
        <f t="shared" ref="AV618:AW618" si="7465">AV631</f>
        <v>2833</v>
      </c>
      <c r="AW618" s="60">
        <f t="shared" si="7465"/>
        <v>3038</v>
      </c>
      <c r="AX618" s="60">
        <f t="shared" ref="AX618" si="7466">AX631</f>
        <v>2507</v>
      </c>
      <c r="AY618" s="219">
        <f t="shared" ref="AY618" si="7467">AY631</f>
        <v>2367</v>
      </c>
      <c r="AZ618" s="60">
        <f t="shared" ref="AZ618:BA618" si="7468">AZ631</f>
        <v>1733.4252245800003</v>
      </c>
      <c r="BA618" s="60">
        <f t="shared" si="7468"/>
        <v>1809.2494331490689</v>
      </c>
      <c r="BB618" s="60">
        <f t="shared" ref="BB618:BC618" si="7469">BB631</f>
        <v>2724.5242809157921</v>
      </c>
      <c r="BC618" s="60">
        <f t="shared" si="7469"/>
        <v>3754.7967729259954</v>
      </c>
      <c r="BD618" s="60">
        <f t="shared" ref="BD618:BE618" si="7470">BD631</f>
        <v>3761.3268867846346</v>
      </c>
      <c r="BE618" s="60">
        <f t="shared" si="7470"/>
        <v>3798.1415747429264</v>
      </c>
      <c r="BF618" s="60">
        <f t="shared" ref="BF618:BG618" si="7471">BF631</f>
        <v>3834.9890884379502</v>
      </c>
      <c r="BG618" s="60">
        <f t="shared" si="7471"/>
        <v>3871.8883630441578</v>
      </c>
      <c r="BH618" s="60">
        <f t="shared" ref="BH618:BI618" si="7472">BH631</f>
        <v>2908.8566425306849</v>
      </c>
      <c r="BI618" s="60">
        <f t="shared" si="7472"/>
        <v>2967.0337753813133</v>
      </c>
      <c r="BJ618" s="60">
        <f t="shared" ref="BJ618:BK618" si="7473">BJ631</f>
        <v>3025.2109082319298</v>
      </c>
      <c r="BK618" s="60">
        <f t="shared" si="7473"/>
        <v>3083.3880410825304</v>
      </c>
      <c r="BL618" s="60">
        <f t="shared" ref="BL618:BM618" si="7474">BL631</f>
        <v>3141.5651739331342</v>
      </c>
      <c r="BM618" s="60">
        <f t="shared" si="7474"/>
        <v>3199.7423067837885</v>
      </c>
      <c r="BN618" s="60">
        <f t="shared" ref="BN618:BO618" si="7475">BN631</f>
        <v>3257.9194396343746</v>
      </c>
      <c r="BO618" s="60">
        <f t="shared" si="7475"/>
        <v>3316.0965724850043</v>
      </c>
      <c r="BP618" s="60">
        <f t="shared" ref="BP618:BQ618" si="7476">BP631</f>
        <v>3374.2737053356091</v>
      </c>
      <c r="BQ618" s="60">
        <f t="shared" si="7476"/>
        <v>3432.4508381862156</v>
      </c>
      <c r="BR618" s="60"/>
      <c r="BS618" s="60">
        <f t="shared" ref="BS618:CB618" si="7477">BS631</f>
        <v>-3294.2</v>
      </c>
      <c r="BT618" s="60">
        <f t="shared" si="7477"/>
        <v>74.399999999998954</v>
      </c>
      <c r="BU618" s="60">
        <f t="shared" si="7477"/>
        <v>268</v>
      </c>
      <c r="BV618" s="60">
        <f t="shared" si="7477"/>
        <v>338</v>
      </c>
      <c r="BW618" s="60">
        <f t="shared" si="7477"/>
        <v>431</v>
      </c>
      <c r="BX618" s="60">
        <f t="shared" si="7477"/>
        <v>475</v>
      </c>
      <c r="BY618" s="60">
        <f t="shared" si="7477"/>
        <v>501</v>
      </c>
      <c r="BZ618" s="60">
        <f t="shared" si="7477"/>
        <v>625</v>
      </c>
      <c r="CA618" s="60">
        <f t="shared" si="7477"/>
        <v>1683</v>
      </c>
      <c r="CB618" s="60">
        <f t="shared" si="7477"/>
        <v>1357</v>
      </c>
      <c r="CC618" s="60">
        <f t="shared" ref="CC618:CO618" si="7478">CC631</f>
        <v>1046</v>
      </c>
      <c r="CD618" s="60">
        <f t="shared" si="7478"/>
        <v>1182</v>
      </c>
      <c r="CE618" s="60">
        <f t="shared" si="7478"/>
        <v>-2028</v>
      </c>
      <c r="CF618" s="60">
        <f t="shared" si="7478"/>
        <v>1860.9999999999991</v>
      </c>
      <c r="CG618" s="60">
        <f t="shared" si="7478"/>
        <v>2039.9999999999995</v>
      </c>
      <c r="CH618" s="60">
        <f t="shared" si="7478"/>
        <v>1801.9999999999995</v>
      </c>
      <c r="CI618" s="60">
        <f t="shared" si="7478"/>
        <v>-1007.0000000000005</v>
      </c>
      <c r="CJ618" s="60">
        <f t="shared" si="7478"/>
        <v>-4218</v>
      </c>
      <c r="CK618" s="60">
        <f t="shared" si="7478"/>
        <v>2424</v>
      </c>
      <c r="CL618" s="60">
        <f t="shared" si="7478"/>
        <v>2138</v>
      </c>
      <c r="CM618" s="60">
        <f t="shared" si="7478"/>
        <v>2114</v>
      </c>
      <c r="CN618" s="60">
        <f t="shared" si="7478"/>
        <v>1310</v>
      </c>
      <c r="CO618" s="60">
        <f t="shared" si="7478"/>
        <v>4304</v>
      </c>
      <c r="CP618" s="60">
        <f t="shared" ref="CP618:CX618" si="7479">CP631</f>
        <v>3778</v>
      </c>
      <c r="CQ618" s="60">
        <f t="shared" si="7479"/>
        <v>4603</v>
      </c>
      <c r="CR618" s="60">
        <f t="shared" si="7479"/>
        <v>4286</v>
      </c>
      <c r="CS618" s="60">
        <f t="shared" si="7479"/>
        <v>6554</v>
      </c>
      <c r="CT618" s="60">
        <f t="shared" si="7479"/>
        <v>5601</v>
      </c>
      <c r="CU618" s="60">
        <f t="shared" si="7479"/>
        <v>2882</v>
      </c>
      <c r="CV618" s="60">
        <f t="shared" si="7479"/>
        <v>3475</v>
      </c>
      <c r="CW618" s="60">
        <f t="shared" si="7479"/>
        <v>4651</v>
      </c>
      <c r="CX618" s="60">
        <f t="shared" si="7479"/>
        <v>4301</v>
      </c>
      <c r="CY618" s="60">
        <f t="shared" ref="CY618:DD618" si="7480">CY631</f>
        <v>5871</v>
      </c>
      <c r="CZ618" s="219">
        <f t="shared" si="7480"/>
        <v>4874</v>
      </c>
      <c r="DA618" s="60">
        <f t="shared" si="7480"/>
        <v>3542.6746577290705</v>
      </c>
      <c r="DB618" s="60">
        <f t="shared" si="7480"/>
        <v>6479.3210538417889</v>
      </c>
      <c r="DC618" s="60">
        <f t="shared" si="7480"/>
        <v>7559.4684615275628</v>
      </c>
      <c r="DD618" s="60">
        <f t="shared" si="7480"/>
        <v>7706.8774514821089</v>
      </c>
      <c r="DE618" s="60">
        <f t="shared" ref="DE618" si="7481">DE631</f>
        <v>5875.8904179119972</v>
      </c>
      <c r="DF618" s="60">
        <f t="shared" ref="DF618" si="7482">DF631</f>
        <v>6108.598949314458</v>
      </c>
      <c r="DG618" s="60">
        <f>DG631</f>
        <v>6341.3074807169205</v>
      </c>
      <c r="DH618" s="60">
        <f>DH631</f>
        <v>6574.0160121193821</v>
      </c>
      <c r="DI618" s="60">
        <f>DI631</f>
        <v>6806.7245435218265</v>
      </c>
    </row>
    <row r="619" spans="1:113" ht="12" outlineLevel="1">
      <c r="C619" s="41"/>
      <c r="D619" s="41"/>
      <c r="E619" s="41"/>
      <c r="F619" s="41"/>
      <c r="G619" s="41"/>
      <c r="H619" s="41"/>
      <c r="I619" s="41"/>
      <c r="J619" s="41"/>
      <c r="K619" s="41"/>
      <c r="L619" s="41"/>
      <c r="M619" s="41"/>
      <c r="N619" s="41"/>
      <c r="O619" s="41"/>
      <c r="P619" s="41"/>
      <c r="Q619" s="41"/>
      <c r="R619" s="41"/>
      <c r="S619" s="41"/>
      <c r="T619" s="41"/>
      <c r="U619" s="41"/>
      <c r="V619" s="41"/>
      <c r="W619" s="41"/>
      <c r="X619" s="41"/>
      <c r="Y619" s="41"/>
      <c r="Z619" s="41"/>
      <c r="AA619" s="41"/>
      <c r="AB619" s="41"/>
      <c r="AC619" s="41"/>
      <c r="AD619" s="41"/>
      <c r="AE619" s="41"/>
      <c r="AF619" s="41"/>
      <c r="AG619" s="41"/>
      <c r="AH619" s="41"/>
      <c r="AI619" s="41"/>
      <c r="AJ619" s="41"/>
      <c r="AK619" s="41"/>
      <c r="AL619" s="41"/>
      <c r="AM619" s="41"/>
      <c r="AN619" s="41"/>
      <c r="AO619" s="41"/>
      <c r="AP619" s="41"/>
      <c r="AQ619" s="41"/>
      <c r="AR619" s="41"/>
      <c r="AS619" s="41"/>
      <c r="AT619" s="41"/>
      <c r="AU619" s="41"/>
      <c r="AV619" s="41"/>
      <c r="AW619" s="41"/>
      <c r="AX619" s="41"/>
      <c r="AY619" s="211"/>
      <c r="AZ619" s="41"/>
      <c r="BA619" s="41"/>
      <c r="BB619" s="41"/>
      <c r="BC619" s="41"/>
      <c r="BD619" s="41"/>
      <c r="BE619" s="41"/>
      <c r="BF619" s="41"/>
      <c r="BG619" s="41"/>
      <c r="BH619" s="41"/>
      <c r="BI619" s="41"/>
      <c r="BJ619" s="41"/>
      <c r="BK619" s="41"/>
      <c r="BL619" s="41"/>
      <c r="BM619" s="41"/>
      <c r="BN619" s="41"/>
      <c r="BO619" s="41"/>
      <c r="BP619" s="41"/>
      <c r="BQ619" s="41"/>
      <c r="BR619" s="41"/>
      <c r="BS619" s="41"/>
      <c r="BT619" s="41"/>
      <c r="BU619" s="41"/>
      <c r="BV619" s="41"/>
      <c r="BW619" s="41"/>
      <c r="BX619" s="41"/>
      <c r="BY619" s="41"/>
      <c r="BZ619" s="41"/>
      <c r="CA619" s="41"/>
      <c r="CB619" s="41"/>
      <c r="CC619" s="41"/>
      <c r="CD619" s="41"/>
      <c r="CE619" s="41"/>
      <c r="CF619" s="41"/>
      <c r="CG619" s="41"/>
      <c r="CH619" s="41"/>
      <c r="CI619" s="41"/>
      <c r="CJ619" s="41"/>
      <c r="CK619" s="41"/>
      <c r="CL619" s="41"/>
      <c r="CM619" s="41"/>
      <c r="CN619" s="41"/>
      <c r="CO619" s="41"/>
      <c r="CP619" s="41"/>
      <c r="CQ619" s="41"/>
      <c r="CR619" s="41"/>
      <c r="CS619" s="41"/>
      <c r="CT619" s="41"/>
      <c r="CU619" s="41"/>
      <c r="CV619" s="41"/>
      <c r="CW619" s="41"/>
      <c r="CX619" s="41"/>
      <c r="CY619" s="41"/>
      <c r="CZ619" s="211"/>
      <c r="DA619" s="41"/>
      <c r="DB619" s="15"/>
      <c r="DC619" s="15"/>
      <c r="DD619" s="15"/>
      <c r="DE619" s="15"/>
      <c r="DF619" s="15"/>
      <c r="DG619" s="15"/>
      <c r="DH619" s="15"/>
      <c r="DI619" s="15"/>
    </row>
    <row r="620" spans="1:113" s="17" customFormat="1" ht="12" outlineLevel="1">
      <c r="A620" s="1" t="s">
        <v>60</v>
      </c>
      <c r="B620" s="17" t="s">
        <v>357</v>
      </c>
      <c r="C620" s="62">
        <f>C515</f>
        <v>915</v>
      </c>
      <c r="D620" s="62">
        <f>D515</f>
        <v>1006</v>
      </c>
      <c r="E620" s="62">
        <f>E515</f>
        <v>1044.9999999999998</v>
      </c>
      <c r="F620" s="62">
        <f>F515</f>
        <v>1087.0000000000002</v>
      </c>
      <c r="G620" s="62">
        <f>G515</f>
        <v>1159</v>
      </c>
      <c r="H620" s="62">
        <f t="shared" ref="H620:L620" si="7483">H515</f>
        <v>1248</v>
      </c>
      <c r="I620" s="62">
        <f t="shared" si="7483"/>
        <v>1385.0000000000007</v>
      </c>
      <c r="J620" s="62">
        <f t="shared" si="7483"/>
        <v>1562.0000000000005</v>
      </c>
      <c r="K620" s="62">
        <f t="shared" si="7483"/>
        <v>1570.9999999999995</v>
      </c>
      <c r="L620" s="62">
        <f t="shared" si="7483"/>
        <v>1718.9999999999995</v>
      </c>
      <c r="M620" s="62">
        <f t="shared" ref="M620:AB620" si="7484">M515</f>
        <v>1841</v>
      </c>
      <c r="N620" s="62">
        <f t="shared" si="7484"/>
        <v>1918.9999999999995</v>
      </c>
      <c r="O620" s="62">
        <f t="shared" si="7484"/>
        <v>1967.9999999999998</v>
      </c>
      <c r="P620" s="62">
        <f t="shared" si="7484"/>
        <v>1899.0000000000007</v>
      </c>
      <c r="Q620" s="62">
        <f t="shared" si="7484"/>
        <v>1332.0000000000005</v>
      </c>
      <c r="R620" s="62">
        <f t="shared" si="7484"/>
        <v>930</v>
      </c>
      <c r="S620" s="62">
        <f t="shared" si="7484"/>
        <v>2420</v>
      </c>
      <c r="T620" s="62">
        <f t="shared" si="7484"/>
        <v>2370</v>
      </c>
      <c r="U620" s="62">
        <f t="shared" si="7484"/>
        <v>2752</v>
      </c>
      <c r="V620" s="62">
        <f t="shared" si="7484"/>
        <v>2717</v>
      </c>
      <c r="W620" s="62">
        <f t="shared" si="7484"/>
        <v>2738</v>
      </c>
      <c r="X620" s="62">
        <f t="shared" si="7484"/>
        <v>2889</v>
      </c>
      <c r="Y620" s="62">
        <f t="shared" si="7484"/>
        <v>3150</v>
      </c>
      <c r="Z620" s="62">
        <f t="shared" si="7484"/>
        <v>3176</v>
      </c>
      <c r="AA620" s="62">
        <f t="shared" si="7484"/>
        <v>3310</v>
      </c>
      <c r="AB620" s="62">
        <f t="shared" si="7484"/>
        <v>3512</v>
      </c>
      <c r="AC620" s="62">
        <f t="shared" ref="AC620:AD620" si="7485">AC515</f>
        <v>3599</v>
      </c>
      <c r="AD620" s="62">
        <f t="shared" si="7485"/>
        <v>3675</v>
      </c>
      <c r="AE620" s="62">
        <f t="shared" ref="AE620:AF620" si="7486">AE515</f>
        <v>3540</v>
      </c>
      <c r="AF620" s="62">
        <f t="shared" si="7486"/>
        <v>2782</v>
      </c>
      <c r="AG620" s="62">
        <f t="shared" ref="AG620:AH620" si="7487">AG515</f>
        <v>3107</v>
      </c>
      <c r="AH620" s="62">
        <f t="shared" si="7487"/>
        <v>3355</v>
      </c>
      <c r="AI620" s="62">
        <f t="shared" ref="AI620:AJ620" si="7488">AI515</f>
        <v>3454</v>
      </c>
      <c r="AJ620" s="62">
        <f t="shared" si="7488"/>
        <v>3493</v>
      </c>
      <c r="AK620" s="62">
        <f t="shared" ref="AK620:AL620" si="7489">AK515</f>
        <v>2994</v>
      </c>
      <c r="AL620" s="62">
        <f t="shared" si="7489"/>
        <v>3564</v>
      </c>
      <c r="AM620" s="62">
        <f t="shared" ref="AM620:AN620" si="7490">AM515</f>
        <v>2906</v>
      </c>
      <c r="AN620" s="62">
        <f t="shared" si="7490"/>
        <v>1413</v>
      </c>
      <c r="AO620" s="62">
        <f t="shared" ref="AO620" si="7491">AO515</f>
        <v>2345</v>
      </c>
      <c r="AP620" s="62">
        <f t="shared" ref="AP620:AQ620" si="7492">AP515</f>
        <v>2990</v>
      </c>
      <c r="AQ620" s="62">
        <f t="shared" si="7492"/>
        <v>3208</v>
      </c>
      <c r="AR620" s="62">
        <f t="shared" ref="AR620:AS620" si="7493">AR515</f>
        <v>3113</v>
      </c>
      <c r="AS620" s="62">
        <f t="shared" si="7493"/>
        <v>3402</v>
      </c>
      <c r="AT620" s="62">
        <f t="shared" ref="AT620:AU620" si="7494">AT515</f>
        <v>3829</v>
      </c>
      <c r="AU620" s="62">
        <f t="shared" si="7494"/>
        <v>3584</v>
      </c>
      <c r="AV620" s="62">
        <f t="shared" ref="AV620:AW620" si="7495">AV515</f>
        <v>3552</v>
      </c>
      <c r="AW620" s="62">
        <f t="shared" si="7495"/>
        <v>3173</v>
      </c>
      <c r="AX620" s="62">
        <f t="shared" ref="AX620" si="7496">AX515</f>
        <v>3568</v>
      </c>
      <c r="AY620" s="220">
        <f t="shared" ref="AY620" si="7497">AY515</f>
        <v>2219</v>
      </c>
      <c r="AZ620" s="62">
        <f t="shared" ref="AZ620:BA620" si="7498">AZ515</f>
        <v>3822.0786327811115</v>
      </c>
      <c r="BA620" s="62">
        <f t="shared" si="7498"/>
        <v>3787.7479095662015</v>
      </c>
      <c r="BB620" s="62">
        <f t="shared" ref="BB620:BC620" si="7499">BB515</f>
        <v>3961.4812412299361</v>
      </c>
      <c r="BC620" s="62">
        <f t="shared" si="7499"/>
        <v>3621.5306533571138</v>
      </c>
      <c r="BD620" s="62">
        <f t="shared" ref="BD620:BE620" si="7500">BD515</f>
        <v>4055.998950735765</v>
      </c>
      <c r="BE620" s="62">
        <f t="shared" si="7500"/>
        <v>3757.8946649627974</v>
      </c>
      <c r="BF620" s="62">
        <f t="shared" ref="BF620:BG620" si="7501">BF515</f>
        <v>4173.6762135902381</v>
      </c>
      <c r="BG620" s="62">
        <f t="shared" si="7501"/>
        <v>3935.7576125989444</v>
      </c>
      <c r="BH620" s="62">
        <f t="shared" ref="BH620:BI620" si="7502">BH515</f>
        <v>4275.3908680601107</v>
      </c>
      <c r="BI620" s="62">
        <f t="shared" si="7502"/>
        <v>4000.6619080592413</v>
      </c>
      <c r="BJ620" s="62">
        <f t="shared" ref="BJ620:BK620" si="7503">BJ515</f>
        <v>4419.7437697908626</v>
      </c>
      <c r="BK620" s="62">
        <f t="shared" si="7503"/>
        <v>4328.1798279280592</v>
      </c>
      <c r="BL620" s="62">
        <f t="shared" ref="BL620:BM620" si="7504">BL515</f>
        <v>4545.2922472606579</v>
      </c>
      <c r="BM620" s="62">
        <f t="shared" si="7504"/>
        <v>4366.2256535934766</v>
      </c>
      <c r="BN620" s="62">
        <f t="shared" ref="BN620:BO620" si="7505">BN515</f>
        <v>4566.1046688744091</v>
      </c>
      <c r="BO620" s="62">
        <f t="shared" si="7505"/>
        <v>4427.6162080881677</v>
      </c>
      <c r="BP620" s="62">
        <f t="shared" ref="BP620:BQ620" si="7506">BP515</f>
        <v>4642.2811250171344</v>
      </c>
      <c r="BQ620" s="62">
        <f t="shared" si="7506"/>
        <v>4543.8090121218265</v>
      </c>
      <c r="BR620" s="62"/>
      <c r="BS620" s="62">
        <f t="shared" ref="BS620:CB620" si="7507">BS515</f>
        <v>-657.9</v>
      </c>
      <c r="BT620" s="62">
        <f t="shared" si="7507"/>
        <v>380.1</v>
      </c>
      <c r="BU620" s="62">
        <f t="shared" si="7507"/>
        <v>723</v>
      </c>
      <c r="BV620" s="62">
        <f t="shared" si="7507"/>
        <v>953</v>
      </c>
      <c r="BW620" s="62">
        <f t="shared" si="7507"/>
        <v>1116</v>
      </c>
      <c r="BX620" s="62">
        <f t="shared" si="7507"/>
        <v>1171</v>
      </c>
      <c r="BY620" s="62">
        <f t="shared" si="7507"/>
        <v>1175</v>
      </c>
      <c r="BZ620" s="62">
        <f t="shared" si="7507"/>
        <v>1408</v>
      </c>
      <c r="CA620" s="62">
        <f t="shared" si="7507"/>
        <v>1613</v>
      </c>
      <c r="CB620" s="62">
        <f t="shared" si="7507"/>
        <v>1768</v>
      </c>
      <c r="CC620" s="62">
        <f t="shared" ref="CC620:CO620" si="7508">CC515</f>
        <v>2051</v>
      </c>
      <c r="CD620" s="62">
        <f t="shared" si="7508"/>
        <v>2246</v>
      </c>
      <c r="CE620" s="62">
        <f t="shared" si="7508"/>
        <v>2633</v>
      </c>
      <c r="CF620" s="62">
        <f t="shared" si="7508"/>
        <v>3132.9999999999991</v>
      </c>
      <c r="CG620" s="62">
        <f t="shared" si="7508"/>
        <v>3559.9999999999995</v>
      </c>
      <c r="CH620" s="62">
        <f t="shared" si="7508"/>
        <v>3886.9999999999995</v>
      </c>
      <c r="CI620" s="62">
        <f t="shared" si="7508"/>
        <v>3230.9999999999995</v>
      </c>
      <c r="CJ620" s="62">
        <f t="shared" si="7508"/>
        <v>3350</v>
      </c>
      <c r="CK620" s="62">
        <f t="shared" si="7508"/>
        <v>5122</v>
      </c>
      <c r="CL620" s="62">
        <f t="shared" si="7508"/>
        <v>5455</v>
      </c>
      <c r="CM620" s="62">
        <f t="shared" si="7508"/>
        <v>6039</v>
      </c>
      <c r="CN620" s="62">
        <f t="shared" si="7508"/>
        <v>6486</v>
      </c>
      <c r="CO620" s="62">
        <f t="shared" si="7508"/>
        <v>7111</v>
      </c>
      <c r="CP620" s="62">
        <f t="shared" ref="CP620:CX620" si="7509">CP515</f>
        <v>7215</v>
      </c>
      <c r="CQ620" s="62">
        <f t="shared" si="7509"/>
        <v>5889</v>
      </c>
      <c r="CR620" s="62">
        <f t="shared" si="7509"/>
        <v>6809</v>
      </c>
      <c r="CS620" s="62">
        <f t="shared" si="7509"/>
        <v>6487</v>
      </c>
      <c r="CT620" s="62">
        <f t="shared" si="7509"/>
        <v>6470</v>
      </c>
      <c r="CU620" s="62">
        <f t="shared" si="7509"/>
        <v>3758</v>
      </c>
      <c r="CV620" s="62">
        <f t="shared" si="7509"/>
        <v>6198</v>
      </c>
      <c r="CW620" s="62">
        <f t="shared" si="7509"/>
        <v>6515</v>
      </c>
      <c r="CX620" s="62">
        <f t="shared" si="7509"/>
        <v>7413</v>
      </c>
      <c r="CY620" s="62">
        <f t="shared" ref="CY620:DD620" si="7510">CY515</f>
        <v>6725</v>
      </c>
      <c r="CZ620" s="220">
        <f t="shared" si="7510"/>
        <v>5787</v>
      </c>
      <c r="DA620" s="62">
        <f t="shared" si="7510"/>
        <v>7609.826542347314</v>
      </c>
      <c r="DB620" s="62">
        <f t="shared" si="7510"/>
        <v>7583.0118945870518</v>
      </c>
      <c r="DC620" s="62">
        <f t="shared" si="7510"/>
        <v>7813.8936156985646</v>
      </c>
      <c r="DD620" s="62">
        <f t="shared" si="7510"/>
        <v>8109.4338261891835</v>
      </c>
      <c r="DE620" s="62">
        <f t="shared" ref="DE620" si="7511">DE515</f>
        <v>8276.0527761193516</v>
      </c>
      <c r="DF620" s="62">
        <f t="shared" ref="DF620" si="7512">DF515</f>
        <v>8747.9235977189201</v>
      </c>
      <c r="DG620" s="62">
        <f>DG515</f>
        <v>8911.5179008541327</v>
      </c>
      <c r="DH620" s="62">
        <f>DH515</f>
        <v>8993.7208769625795</v>
      </c>
      <c r="DI620" s="62">
        <f>DI515</f>
        <v>9186.0901371389627</v>
      </c>
    </row>
    <row r="621" spans="1:113" ht="12" outlineLevel="1">
      <c r="A621" s="1" t="s">
        <v>61</v>
      </c>
      <c r="B621" s="15" t="str">
        <f>B526</f>
        <v>Move in foreign currency translation reserve</v>
      </c>
      <c r="C621" s="41">
        <f t="shared" ref="C621:L622" si="7513">C526</f>
        <v>-4</v>
      </c>
      <c r="D621" s="41">
        <f t="shared" si="7513"/>
        <v>45</v>
      </c>
      <c r="E621" s="41">
        <f t="shared" si="7513"/>
        <v>-143</v>
      </c>
      <c r="F621" s="41">
        <f t="shared" si="7513"/>
        <v>-49</v>
      </c>
      <c r="G621" s="41">
        <f t="shared" si="7513"/>
        <v>-307</v>
      </c>
      <c r="H621" s="41">
        <f t="shared" si="7513"/>
        <v>-254</v>
      </c>
      <c r="I621" s="41">
        <f t="shared" si="7513"/>
        <v>487</v>
      </c>
      <c r="J621" s="41">
        <f t="shared" si="7513"/>
        <v>-284</v>
      </c>
      <c r="K621" s="41">
        <f t="shared" si="7513"/>
        <v>-159</v>
      </c>
      <c r="L621" s="41">
        <f t="shared" si="7513"/>
        <v>-305</v>
      </c>
      <c r="M621" s="41">
        <f t="shared" ref="M621:AB621" si="7514">M526</f>
        <v>102</v>
      </c>
      <c r="N621" s="41">
        <f t="shared" si="7514"/>
        <v>-89</v>
      </c>
      <c r="O621" s="41">
        <f t="shared" si="7514"/>
        <v>-474</v>
      </c>
      <c r="P621" s="41">
        <f t="shared" si="7514"/>
        <v>74</v>
      </c>
      <c r="Q621" s="41">
        <f t="shared" si="7514"/>
        <v>319</v>
      </c>
      <c r="R621" s="41">
        <f t="shared" si="7514"/>
        <v>443</v>
      </c>
      <c r="S621" s="41">
        <f t="shared" si="7514"/>
        <v>-1352</v>
      </c>
      <c r="T621" s="41">
        <f t="shared" si="7514"/>
        <v>-656</v>
      </c>
      <c r="U621" s="41">
        <f t="shared" si="7514"/>
        <v>-361</v>
      </c>
      <c r="V621" s="41">
        <f t="shared" si="7514"/>
        <v>-557</v>
      </c>
      <c r="W621" s="41">
        <f t="shared" si="7514"/>
        <v>881</v>
      </c>
      <c r="X621" s="41">
        <f t="shared" si="7514"/>
        <v>-412</v>
      </c>
      <c r="Y621" s="41">
        <f t="shared" si="7514"/>
        <v>-1</v>
      </c>
      <c r="Z621" s="41">
        <f t="shared" si="7514"/>
        <v>5</v>
      </c>
      <c r="AA621" s="41">
        <f t="shared" si="7514"/>
        <v>1701</v>
      </c>
      <c r="AB621" s="41">
        <f t="shared" si="7514"/>
        <v>570</v>
      </c>
      <c r="AC621" s="41">
        <f t="shared" ref="AC621:AD621" si="7515">AC526</f>
        <v>-83</v>
      </c>
      <c r="AD621" s="41">
        <f t="shared" si="7515"/>
        <v>2181</v>
      </c>
      <c r="AE621" s="41">
        <f t="shared" ref="AE621:AF621" si="7516">AE526</f>
        <v>-445</v>
      </c>
      <c r="AF621" s="41">
        <f t="shared" si="7516"/>
        <v>-1015</v>
      </c>
      <c r="AG621" s="41">
        <f t="shared" ref="AG621:AH621" si="7517">AG526</f>
        <v>559</v>
      </c>
      <c r="AH621" s="41">
        <f t="shared" si="7517"/>
        <v>-689</v>
      </c>
      <c r="AI621" s="41">
        <f t="shared" ref="AI621:AJ621" si="7518">AI526</f>
        <v>-59</v>
      </c>
      <c r="AJ621" s="41">
        <f t="shared" si="7518"/>
        <v>460</v>
      </c>
      <c r="AK621" s="41">
        <f t="shared" ref="AK621:AL621" si="7519">AK526</f>
        <v>-238</v>
      </c>
      <c r="AL621" s="41">
        <f t="shared" si="7519"/>
        <v>834</v>
      </c>
      <c r="AM621" s="41">
        <f t="shared" ref="AM621:AN621" si="7520">AM526</f>
        <v>-137</v>
      </c>
      <c r="AN621" s="41">
        <f t="shared" si="7520"/>
        <v>1281</v>
      </c>
      <c r="AO621" s="41">
        <f t="shared" ref="AO621" si="7521">AO526</f>
        <v>-1831</v>
      </c>
      <c r="AP621" s="41">
        <f t="shared" ref="AP621:AQ621" si="7522">AP526</f>
        <v>-658</v>
      </c>
      <c r="AQ621" s="41">
        <f t="shared" si="7522"/>
        <v>1114</v>
      </c>
      <c r="AR621" s="41">
        <f t="shared" ref="AR621:AS621" si="7523">AR526</f>
        <v>-775</v>
      </c>
      <c r="AS621" s="41">
        <f t="shared" si="7523"/>
        <v>16</v>
      </c>
      <c r="AT621" s="41">
        <f t="shared" ref="AT621:AU621" si="7524">AT526</f>
        <v>792</v>
      </c>
      <c r="AU621" s="41">
        <f t="shared" si="7524"/>
        <v>-74</v>
      </c>
      <c r="AV621" s="41">
        <f t="shared" ref="AV621:AW621" si="7525">AV526</f>
        <v>-378</v>
      </c>
      <c r="AW621" s="41">
        <f t="shared" si="7525"/>
        <v>-552</v>
      </c>
      <c r="AX621" s="41">
        <f t="shared" ref="AX621" si="7526">AX526</f>
        <v>608</v>
      </c>
      <c r="AY621" s="211">
        <f t="shared" ref="AY621" si="7527">AY526</f>
        <v>-1210</v>
      </c>
      <c r="AZ621" s="41">
        <f t="shared" ref="AZ621:BA621" si="7528">AZ526</f>
        <v>506.60731454987376</v>
      </c>
      <c r="BA621" s="41">
        <f t="shared" si="7528"/>
        <v>-138.21551883404297</v>
      </c>
      <c r="BB621" s="41">
        <f t="shared" ref="BB621:BC621" si="7529">BB526</f>
        <v>-215.4549523859634</v>
      </c>
      <c r="BC621" s="41">
        <f t="shared" si="7529"/>
        <v>-178.07462946817395</v>
      </c>
      <c r="BD621" s="41">
        <f t="shared" ref="BD621:BE621" si="7530">BD526</f>
        <v>-212.71828044283711</v>
      </c>
      <c r="BE621" s="41">
        <f t="shared" si="7530"/>
        <v>-246.36774764737402</v>
      </c>
      <c r="BF621" s="41">
        <f t="shared" ref="BF621:BG621" si="7531">BF526</f>
        <v>-241.76873323054366</v>
      </c>
      <c r="BG621" s="41">
        <f t="shared" si="7531"/>
        <v>-232.71434119433775</v>
      </c>
      <c r="BH621" s="41">
        <f t="shared" ref="BH621:BI621" si="7532">BH526</f>
        <v>-212.17917853965815</v>
      </c>
      <c r="BI621" s="41">
        <f t="shared" si="7532"/>
        <v>-204.3574901838808</v>
      </c>
      <c r="BJ621" s="41">
        <f t="shared" ref="BJ621:BK621" si="7533">BJ526</f>
        <v>-99.749509233794299</v>
      </c>
      <c r="BK621" s="41">
        <f t="shared" si="7533"/>
        <v>0</v>
      </c>
      <c r="BL621" s="41">
        <f t="shared" ref="BL621:BM621" si="7534">BL526</f>
        <v>0</v>
      </c>
      <c r="BM621" s="41">
        <f t="shared" si="7534"/>
        <v>0</v>
      </c>
      <c r="BN621" s="41">
        <f t="shared" ref="BN621:BO621" si="7535">BN526</f>
        <v>0</v>
      </c>
      <c r="BO621" s="41">
        <f t="shared" si="7535"/>
        <v>0</v>
      </c>
      <c r="BP621" s="41">
        <f t="shared" ref="BP621:BQ621" si="7536">BP526</f>
        <v>0</v>
      </c>
      <c r="BQ621" s="41">
        <f t="shared" si="7536"/>
        <v>0</v>
      </c>
      <c r="BR621" s="41"/>
      <c r="BS621" s="41">
        <f t="shared" ref="BS621:CB622" si="7537">BS526</f>
        <v>734.8</v>
      </c>
      <c r="BT621" s="41">
        <f t="shared" si="7537"/>
        <v>112.3</v>
      </c>
      <c r="BU621" s="41">
        <f t="shared" si="7537"/>
        <v>-229</v>
      </c>
      <c r="BV621" s="41">
        <f t="shared" si="7537"/>
        <v>-1</v>
      </c>
      <c r="BW621" s="41">
        <f t="shared" si="7537"/>
        <v>-95</v>
      </c>
      <c r="BX621" s="41">
        <f t="shared" si="7537"/>
        <v>104</v>
      </c>
      <c r="BY621" s="41">
        <f t="shared" si="7537"/>
        <v>142</v>
      </c>
      <c r="BZ621" s="41">
        <f t="shared" si="7537"/>
        <v>-215</v>
      </c>
      <c r="CA621" s="41">
        <f t="shared" si="7537"/>
        <v>170</v>
      </c>
      <c r="CB621" s="41">
        <f t="shared" si="7537"/>
        <v>197</v>
      </c>
      <c r="CC621" s="41">
        <f>SUM(D621:E621)</f>
        <v>-98</v>
      </c>
      <c r="CD621" s="41">
        <f>SUM(F621:G621)</f>
        <v>-356</v>
      </c>
      <c r="CE621" s="41">
        <f>SUM(H621:I621)</f>
        <v>233</v>
      </c>
      <c r="CF621" s="41">
        <f>SUM(J621:K621)</f>
        <v>-443</v>
      </c>
      <c r="CG621" s="41">
        <f>SUM(L621:M621)</f>
        <v>-203</v>
      </c>
      <c r="CH621" s="41">
        <f>SUM(N621:O621)</f>
        <v>-563</v>
      </c>
      <c r="CI621" s="41">
        <f>SUM(P621:Q621)</f>
        <v>393</v>
      </c>
      <c r="CJ621" s="41">
        <f>SUM(R621:S621)</f>
        <v>-909</v>
      </c>
      <c r="CK621" s="41">
        <f>SUM(T621:U621)</f>
        <v>-1017</v>
      </c>
      <c r="CL621" s="41">
        <f>SUM(V621:W621)</f>
        <v>324</v>
      </c>
      <c r="CM621" s="41">
        <f>SUM(X621:Y621)</f>
        <v>-413</v>
      </c>
      <c r="CN621" s="41">
        <f>SUM(Z621:AA621)</f>
        <v>1706</v>
      </c>
      <c r="CO621" s="41">
        <f>SUM(AB621:AC621)</f>
        <v>487</v>
      </c>
      <c r="CP621" s="41">
        <f>SUM(AD621:AE621)</f>
        <v>1736</v>
      </c>
      <c r="CQ621" s="41">
        <f>SUM(AF621:AG621)</f>
        <v>-456</v>
      </c>
      <c r="CR621" s="41">
        <f>SUM(AH621:AI621)</f>
        <v>-748</v>
      </c>
      <c r="CS621" s="41">
        <f>SUM(AJ621:AK621)</f>
        <v>222</v>
      </c>
      <c r="CT621" s="41">
        <f>SUM(AL621:AM621)</f>
        <v>697</v>
      </c>
      <c r="CU621" s="41">
        <f>SUM(AN621:AO621)</f>
        <v>-550</v>
      </c>
      <c r="CV621" s="41">
        <f>SUM(AP621:AQ621)</f>
        <v>456</v>
      </c>
      <c r="CW621" s="41">
        <f>SUM(AR621:AS621)</f>
        <v>-759</v>
      </c>
      <c r="CX621" s="41">
        <f>SUM(AT621:AU621)</f>
        <v>718</v>
      </c>
      <c r="CY621" s="41">
        <f>SUM(AV621:AW621)</f>
        <v>-930</v>
      </c>
      <c r="CZ621" s="211">
        <f>SUM(AX621:AY621)</f>
        <v>-602</v>
      </c>
      <c r="DA621" s="41">
        <f>SUM(AZ621:BA621)</f>
        <v>368.39179571583077</v>
      </c>
      <c r="DB621" s="41">
        <f>SUM(BB621:BC621)</f>
        <v>-393.52958185413735</v>
      </c>
      <c r="DC621" s="41">
        <f>SUM(BD621:BE621)</f>
        <v>-459.08602809021113</v>
      </c>
      <c r="DD621" s="41">
        <f>SUM(BF621:BG621)</f>
        <v>-474.48307442488141</v>
      </c>
      <c r="DE621" s="41">
        <f>SUM(BH621:BI621)</f>
        <v>-416.53666872353892</v>
      </c>
      <c r="DF621" s="41">
        <f>SUM(BJ621:BK621)</f>
        <v>-99.749509233794299</v>
      </c>
      <c r="DG621" s="41">
        <f>SUM(BL621:BM621)</f>
        <v>0</v>
      </c>
      <c r="DH621" s="41">
        <f>SUM(BN621:BO621)</f>
        <v>0</v>
      </c>
      <c r="DI621" s="41">
        <f>SUM(BP621:BQ621)</f>
        <v>0</v>
      </c>
    </row>
    <row r="622" spans="1:113" ht="12" outlineLevel="1">
      <c r="A622" s="1" t="s">
        <v>62</v>
      </c>
      <c r="B622" s="15" t="str">
        <f>B527</f>
        <v>Net effect of change in accounting policies</v>
      </c>
      <c r="C622" s="41">
        <f t="shared" si="7513"/>
        <v>-66</v>
      </c>
      <c r="D622" s="41">
        <f t="shared" si="7513"/>
        <v>-188</v>
      </c>
      <c r="E622" s="41">
        <f t="shared" si="7513"/>
        <v>188</v>
      </c>
      <c r="F622" s="41">
        <f t="shared" si="7513"/>
        <v>0</v>
      </c>
      <c r="G622" s="41">
        <f t="shared" si="7513"/>
        <v>0</v>
      </c>
      <c r="H622" s="41">
        <f t="shared" si="7513"/>
        <v>181</v>
      </c>
      <c r="I622" s="41">
        <f t="shared" si="7513"/>
        <v>113</v>
      </c>
      <c r="J622" s="41">
        <f t="shared" si="7513"/>
        <v>-301</v>
      </c>
      <c r="K622" s="41">
        <f t="shared" si="7513"/>
        <v>-29</v>
      </c>
      <c r="L622" s="41">
        <f t="shared" si="7513"/>
        <v>-211</v>
      </c>
      <c r="M622" s="41">
        <f t="shared" ref="M622:AB622" si="7538">M527</f>
        <v>-49</v>
      </c>
      <c r="N622" s="41">
        <f t="shared" si="7538"/>
        <v>115</v>
      </c>
      <c r="O622" s="41">
        <f t="shared" si="7538"/>
        <v>131</v>
      </c>
      <c r="P622" s="41">
        <f t="shared" si="7538"/>
        <v>-202</v>
      </c>
      <c r="Q622" s="41">
        <f t="shared" si="7538"/>
        <v>-121</v>
      </c>
      <c r="R622" s="41">
        <f t="shared" si="7538"/>
        <v>-104</v>
      </c>
      <c r="S622" s="41">
        <f t="shared" si="7538"/>
        <v>-133</v>
      </c>
      <c r="T622" s="41">
        <f t="shared" si="7538"/>
        <v>121</v>
      </c>
      <c r="U622" s="41">
        <f t="shared" si="7538"/>
        <v>65</v>
      </c>
      <c r="V622" s="41">
        <f t="shared" si="7538"/>
        <v>20</v>
      </c>
      <c r="W622" s="41">
        <f t="shared" si="7538"/>
        <v>162</v>
      </c>
      <c r="X622" s="41">
        <f t="shared" si="7538"/>
        <v>91</v>
      </c>
      <c r="Y622" s="41">
        <f t="shared" si="7538"/>
        <v>-99</v>
      </c>
      <c r="Z622" s="41">
        <f t="shared" si="7538"/>
        <v>-116</v>
      </c>
      <c r="AA622" s="41">
        <f t="shared" si="7538"/>
        <v>-21</v>
      </c>
      <c r="AB622" s="41">
        <f t="shared" si="7538"/>
        <v>38</v>
      </c>
      <c r="AC622" s="41">
        <f t="shared" ref="AC622:AD622" si="7539">AC527</f>
        <v>180</v>
      </c>
      <c r="AD622" s="41">
        <f t="shared" si="7539"/>
        <v>391</v>
      </c>
      <c r="AE622" s="41">
        <f t="shared" ref="AE622:AF622" si="7540">AE527</f>
        <v>3070</v>
      </c>
      <c r="AF622" s="41">
        <f t="shared" si="7540"/>
        <v>-154</v>
      </c>
      <c r="AG622" s="41">
        <f t="shared" ref="AG622:AH622" si="7541">AG527</f>
        <v>75</v>
      </c>
      <c r="AH622" s="41">
        <f t="shared" si="7541"/>
        <v>-220</v>
      </c>
      <c r="AI622" s="41">
        <f t="shared" ref="AI622:AJ622" si="7542">AI527</f>
        <v>-11</v>
      </c>
      <c r="AJ622" s="41">
        <f t="shared" si="7542"/>
        <v>95</v>
      </c>
      <c r="AK622" s="41">
        <f t="shared" ref="AK622:AL622" si="7543">AK527</f>
        <v>143</v>
      </c>
      <c r="AL622" s="41">
        <f t="shared" si="7543"/>
        <v>-40</v>
      </c>
      <c r="AM622" s="41">
        <f t="shared" ref="AM622:AN622" si="7544">AM527</f>
        <v>509</v>
      </c>
      <c r="AN622" s="41">
        <f t="shared" si="7544"/>
        <v>33</v>
      </c>
      <c r="AO622" s="41">
        <f t="shared" ref="AO622" si="7545">AO527</f>
        <v>326</v>
      </c>
      <c r="AP622" s="41">
        <f t="shared" ref="AP622:AQ622" si="7546">AP527</f>
        <v>-117</v>
      </c>
      <c r="AQ622" s="41">
        <f t="shared" si="7546"/>
        <v>-648</v>
      </c>
      <c r="AR622" s="41">
        <f t="shared" ref="AR622:AS622" si="7547">AR527</f>
        <v>-1786</v>
      </c>
      <c r="AS622" s="41">
        <f t="shared" si="7547"/>
        <v>2319</v>
      </c>
      <c r="AT622" s="41">
        <f t="shared" ref="AT622:AU622" si="7548">AT527</f>
        <v>727</v>
      </c>
      <c r="AU622" s="41">
        <f t="shared" si="7548"/>
        <v>-662</v>
      </c>
      <c r="AV622" s="41">
        <f t="shared" ref="AV622:AW622" si="7549">AV527</f>
        <v>-153</v>
      </c>
      <c r="AW622" s="41">
        <f t="shared" si="7549"/>
        <v>10</v>
      </c>
      <c r="AX622" s="41">
        <f t="shared" ref="AX622" si="7550">AX527</f>
        <v>-26</v>
      </c>
      <c r="AY622" s="211">
        <f t="shared" ref="AY622" si="7551">AY527</f>
        <v>914</v>
      </c>
      <c r="AZ622" s="41">
        <f t="shared" ref="AZ622:BA622" si="7552">AZ527</f>
        <v>0</v>
      </c>
      <c r="BA622" s="41">
        <f t="shared" si="7552"/>
        <v>0</v>
      </c>
      <c r="BB622" s="41">
        <f t="shared" ref="BB622:BC622" si="7553">BB527</f>
        <v>0</v>
      </c>
      <c r="BC622" s="41">
        <f t="shared" si="7553"/>
        <v>0</v>
      </c>
      <c r="BD622" s="41">
        <f t="shared" ref="BD622:BE622" si="7554">BD527</f>
        <v>0</v>
      </c>
      <c r="BE622" s="41">
        <f t="shared" si="7554"/>
        <v>0</v>
      </c>
      <c r="BF622" s="41">
        <f t="shared" ref="BF622:BG622" si="7555">BF527</f>
        <v>0</v>
      </c>
      <c r="BG622" s="41">
        <f t="shared" si="7555"/>
        <v>0</v>
      </c>
      <c r="BH622" s="41">
        <f t="shared" ref="BH622:BI622" si="7556">BH527</f>
        <v>0</v>
      </c>
      <c r="BI622" s="41">
        <f t="shared" si="7556"/>
        <v>0</v>
      </c>
      <c r="BJ622" s="41">
        <f t="shared" ref="BJ622:BK622" si="7557">BJ527</f>
        <v>0</v>
      </c>
      <c r="BK622" s="41">
        <f t="shared" si="7557"/>
        <v>0</v>
      </c>
      <c r="BL622" s="41">
        <f t="shared" ref="BL622:BM622" si="7558">BL527</f>
        <v>0</v>
      </c>
      <c r="BM622" s="41">
        <f t="shared" si="7558"/>
        <v>0</v>
      </c>
      <c r="BN622" s="41">
        <f t="shared" ref="BN622:BO622" si="7559">BN527</f>
        <v>0</v>
      </c>
      <c r="BO622" s="41">
        <f t="shared" si="7559"/>
        <v>0</v>
      </c>
      <c r="BP622" s="41">
        <f t="shared" ref="BP622:BQ622" si="7560">BP527</f>
        <v>0</v>
      </c>
      <c r="BQ622" s="41">
        <f t="shared" si="7560"/>
        <v>0</v>
      </c>
      <c r="BR622" s="41"/>
      <c r="BS622" s="41">
        <f t="shared" si="7537"/>
        <v>564.19999999999936</v>
      </c>
      <c r="BT622" s="41">
        <f t="shared" si="7537"/>
        <v>341.90000000000055</v>
      </c>
      <c r="BU622" s="41">
        <f t="shared" si="7537"/>
        <v>121.99999999999909</v>
      </c>
      <c r="BV622" s="41">
        <f t="shared" si="7537"/>
        <v>211</v>
      </c>
      <c r="BW622" s="41">
        <f t="shared" si="7537"/>
        <v>0</v>
      </c>
      <c r="BX622" s="41">
        <f t="shared" si="7537"/>
        <v>0</v>
      </c>
      <c r="BY622" s="41">
        <f t="shared" si="7537"/>
        <v>0</v>
      </c>
      <c r="BZ622" s="41">
        <f t="shared" si="7537"/>
        <v>0</v>
      </c>
      <c r="CA622" s="41">
        <f t="shared" si="7537"/>
        <v>0</v>
      </c>
      <c r="CB622" s="41">
        <f t="shared" si="7537"/>
        <v>0</v>
      </c>
      <c r="CC622" s="41">
        <f>SUM(D622:E622)</f>
        <v>0</v>
      </c>
      <c r="CD622" s="41">
        <f>SUM(F622:G622)</f>
        <v>0</v>
      </c>
      <c r="CE622" s="41">
        <f>SUM(H622:I622)</f>
        <v>294</v>
      </c>
      <c r="CF622" s="41">
        <f>SUM(J622:K622)</f>
        <v>-330</v>
      </c>
      <c r="CG622" s="41">
        <f>SUM(L622:M622)</f>
        <v>-260</v>
      </c>
      <c r="CH622" s="41">
        <f>SUM(N622:O622)</f>
        <v>246</v>
      </c>
      <c r="CI622" s="41">
        <f>SUM(P622:Q622)</f>
        <v>-323</v>
      </c>
      <c r="CJ622" s="41">
        <f>SUM(R622:S622)</f>
        <v>-237</v>
      </c>
      <c r="CK622" s="41">
        <f>SUM(T622:U622)</f>
        <v>186</v>
      </c>
      <c r="CL622" s="41">
        <f>SUM(V622:W622)</f>
        <v>182</v>
      </c>
      <c r="CM622" s="41">
        <f>SUM(X622:Y622)</f>
        <v>-8</v>
      </c>
      <c r="CN622" s="41">
        <f>SUM(Z622:AA622)</f>
        <v>-137</v>
      </c>
      <c r="CO622" s="41">
        <f>SUM(AB622:AC622)</f>
        <v>218</v>
      </c>
      <c r="CP622" s="41">
        <f>SUM(AD622:AE622)</f>
        <v>3461</v>
      </c>
      <c r="CQ622" s="41">
        <f>SUM(AF622:AG622)</f>
        <v>-79</v>
      </c>
      <c r="CR622" s="41">
        <f>SUM(AH622:AI622)</f>
        <v>-231</v>
      </c>
      <c r="CS622" s="41">
        <f>SUM(AJ622:AK622)</f>
        <v>238</v>
      </c>
      <c r="CT622" s="41">
        <f>SUM(AL622:AM622)</f>
        <v>469</v>
      </c>
      <c r="CU622" s="41">
        <f>SUM(AN622:AO622)</f>
        <v>359</v>
      </c>
      <c r="CV622" s="41">
        <f>SUM(AP622:AQ622)</f>
        <v>-765</v>
      </c>
      <c r="CW622" s="41">
        <f>SUM(AR622:AS622)</f>
        <v>533</v>
      </c>
      <c r="CX622" s="41">
        <f>SUM(AT622:AU622)</f>
        <v>65</v>
      </c>
      <c r="CY622" s="41">
        <f>SUM(AV622:AW622)</f>
        <v>-143</v>
      </c>
      <c r="CZ622" s="211">
        <f>SUM(AX622:AY622)</f>
        <v>888</v>
      </c>
      <c r="DA622" s="41">
        <f>SUM(AZ622:BA622)</f>
        <v>0</v>
      </c>
      <c r="DB622" s="41">
        <f>SUM(BB622:BC622)</f>
        <v>0</v>
      </c>
      <c r="DC622" s="41">
        <f>SUM(BD622:BE622)</f>
        <v>0</v>
      </c>
      <c r="DD622" s="41">
        <f>SUM(BF622:BG622)</f>
        <v>0</v>
      </c>
      <c r="DE622" s="41">
        <f>SUM(BH622:BI622)</f>
        <v>0</v>
      </c>
      <c r="DF622" s="41">
        <f>SUM(BJ622:BK622)</f>
        <v>0</v>
      </c>
      <c r="DG622" s="41">
        <f>SUM(BL622:BM622)</f>
        <v>0</v>
      </c>
      <c r="DH622" s="41">
        <f>SUM(BN622:BO622)</f>
        <v>0</v>
      </c>
      <c r="DI622" s="41">
        <f>SUM(BP622:BQ622)</f>
        <v>0</v>
      </c>
    </row>
    <row r="623" spans="1:113" ht="12" outlineLevel="1">
      <c r="A623" s="1" t="s">
        <v>63</v>
      </c>
      <c r="B623" s="15" t="str">
        <f>B523</f>
        <v>Non-recurring items</v>
      </c>
      <c r="C623" s="41">
        <f t="shared" ref="C623:L623" si="7561">C523+C522+C536</f>
        <v>0</v>
      </c>
      <c r="D623" s="41">
        <f t="shared" si="7561"/>
        <v>0</v>
      </c>
      <c r="E623" s="41">
        <f t="shared" si="7561"/>
        <v>0</v>
      </c>
      <c r="F623" s="41">
        <f t="shared" si="7561"/>
        <v>0</v>
      </c>
      <c r="G623" s="41">
        <f t="shared" si="7561"/>
        <v>0</v>
      </c>
      <c r="H623" s="41">
        <f t="shared" si="7561"/>
        <v>0</v>
      </c>
      <c r="I623" s="41">
        <f t="shared" si="7561"/>
        <v>0</v>
      </c>
      <c r="J623" s="41">
        <f t="shared" si="7561"/>
        <v>2</v>
      </c>
      <c r="K623" s="41">
        <f t="shared" si="7561"/>
        <v>-9</v>
      </c>
      <c r="L623" s="41">
        <f t="shared" si="7561"/>
        <v>67</v>
      </c>
      <c r="M623" s="41">
        <f t="shared" ref="M623:AB623" si="7562">M523+M522+M536</f>
        <v>0</v>
      </c>
      <c r="N623" s="41">
        <f t="shared" si="7562"/>
        <v>141</v>
      </c>
      <c r="O623" s="41">
        <f t="shared" si="7562"/>
        <v>30</v>
      </c>
      <c r="P623" s="41">
        <f t="shared" si="7562"/>
        <v>-16</v>
      </c>
      <c r="Q623" s="41">
        <f t="shared" si="7562"/>
        <v>-159</v>
      </c>
      <c r="R623" s="41">
        <f t="shared" si="7562"/>
        <v>-17</v>
      </c>
      <c r="S623" s="41">
        <f t="shared" si="7562"/>
        <v>-196</v>
      </c>
      <c r="T623" s="41">
        <f t="shared" si="7562"/>
        <v>-336</v>
      </c>
      <c r="U623" s="41">
        <f t="shared" si="7562"/>
        <v>-138</v>
      </c>
      <c r="V623" s="41">
        <f t="shared" si="7562"/>
        <v>22</v>
      </c>
      <c r="W623" s="41">
        <f t="shared" si="7562"/>
        <v>32</v>
      </c>
      <c r="X623" s="41">
        <f t="shared" si="7562"/>
        <v>-18</v>
      </c>
      <c r="Y623" s="41">
        <f t="shared" si="7562"/>
        <v>-195</v>
      </c>
      <c r="Z623" s="41">
        <f t="shared" si="7562"/>
        <v>-34</v>
      </c>
      <c r="AA623" s="41">
        <f t="shared" si="7562"/>
        <v>-46</v>
      </c>
      <c r="AB623" s="41">
        <f t="shared" si="7562"/>
        <v>-11</v>
      </c>
      <c r="AC623" s="41">
        <f t="shared" ref="AC623:AD623" si="7563">AC523+AC522+AC536</f>
        <v>91</v>
      </c>
      <c r="AD623" s="41">
        <f t="shared" si="7563"/>
        <v>-172</v>
      </c>
      <c r="AE623" s="41">
        <f t="shared" ref="AE623:AF623" si="7564">AE523+AE522+AE536</f>
        <v>181</v>
      </c>
      <c r="AF623" s="41">
        <f t="shared" si="7564"/>
        <v>41</v>
      </c>
      <c r="AG623" s="41">
        <f t="shared" ref="AG623:AH623" si="7565">AG523+AG522+AG536</f>
        <v>-129</v>
      </c>
      <c r="AH623" s="41">
        <f t="shared" si="7565"/>
        <v>-154</v>
      </c>
      <c r="AI623" s="41">
        <f t="shared" ref="AI623:AJ623" si="7566">AI523+AI522+AI536</f>
        <v>52</v>
      </c>
      <c r="AJ623" s="41">
        <f t="shared" si="7566"/>
        <v>-503</v>
      </c>
      <c r="AK623" s="41">
        <f t="shared" ref="AK623:AL623" si="7567">AK523+AK522+AK536</f>
        <v>83</v>
      </c>
      <c r="AL623" s="41">
        <f t="shared" si="7567"/>
        <v>-391</v>
      </c>
      <c r="AM623" s="41">
        <f t="shared" ref="AM623:AN623" si="7568">AM523+AM522+AM536</f>
        <v>-126</v>
      </c>
      <c r="AN623" s="41">
        <f t="shared" si="7568"/>
        <v>132</v>
      </c>
      <c r="AO623" s="41">
        <f t="shared" ref="AO623" si="7569">AO523+AO522+AO536</f>
        <v>-313</v>
      </c>
      <c r="AP623" s="41">
        <f t="shared" ref="AP623:AQ623" si="7570">AP523+AP522+AP536</f>
        <v>-47</v>
      </c>
      <c r="AQ623" s="41">
        <f t="shared" si="7570"/>
        <v>11</v>
      </c>
      <c r="AR623" s="41">
        <f t="shared" ref="AR623:AS623" si="7571">AR523+AR522+AR536</f>
        <v>417</v>
      </c>
      <c r="AS623" s="41">
        <f t="shared" si="7571"/>
        <v>187</v>
      </c>
      <c r="AT623" s="41">
        <f t="shared" ref="AT623:AU623" si="7572">AT523+AT522+AT536</f>
        <v>-274</v>
      </c>
      <c r="AU623" s="41">
        <f t="shared" si="7572"/>
        <v>-33</v>
      </c>
      <c r="AV623" s="41">
        <f t="shared" ref="AV623:AW623" si="7573">AV523+AV522+AV536</f>
        <v>-145</v>
      </c>
      <c r="AW623" s="41">
        <f t="shared" si="7573"/>
        <v>-45</v>
      </c>
      <c r="AX623" s="41">
        <f t="shared" ref="AX623" si="7574">AX523+AX522+AX536</f>
        <v>74</v>
      </c>
      <c r="AY623" s="211">
        <f t="shared" ref="AY623" si="7575">AY523+AY522+AY536</f>
        <v>30</v>
      </c>
      <c r="AZ623" s="41">
        <f t="shared" ref="AZ623:BA623" si="7576">AZ523+AZ522+AZ536</f>
        <v>0</v>
      </c>
      <c r="BA623" s="41">
        <f t="shared" si="7576"/>
        <v>0</v>
      </c>
      <c r="BB623" s="41">
        <f t="shared" ref="BB623:BC623" si="7577">BB523+BB522+BB536</f>
        <v>0</v>
      </c>
      <c r="BC623" s="41">
        <f t="shared" si="7577"/>
        <v>0</v>
      </c>
      <c r="BD623" s="41">
        <f t="shared" ref="BD623:BE623" si="7578">BD523+BD522+BD536</f>
        <v>0</v>
      </c>
      <c r="BE623" s="41">
        <f t="shared" si="7578"/>
        <v>0</v>
      </c>
      <c r="BF623" s="41">
        <f t="shared" ref="BF623:BG623" si="7579">BF523+BF522+BF536</f>
        <v>0</v>
      </c>
      <c r="BG623" s="41">
        <f t="shared" si="7579"/>
        <v>0</v>
      </c>
      <c r="BH623" s="41">
        <f t="shared" ref="BH623:BI623" si="7580">BH523+BH522+BH536</f>
        <v>0</v>
      </c>
      <c r="BI623" s="41">
        <f t="shared" si="7580"/>
        <v>0</v>
      </c>
      <c r="BJ623" s="41">
        <f t="shared" ref="BJ623:BK623" si="7581">BJ523+BJ522+BJ536</f>
        <v>0</v>
      </c>
      <c r="BK623" s="41">
        <f t="shared" si="7581"/>
        <v>0</v>
      </c>
      <c r="BL623" s="41">
        <f t="shared" ref="BL623:BM623" si="7582">BL523+BL522+BL536</f>
        <v>0</v>
      </c>
      <c r="BM623" s="41">
        <f t="shared" si="7582"/>
        <v>0</v>
      </c>
      <c r="BN623" s="41">
        <f t="shared" ref="BN623:BO623" si="7583">BN523+BN522+BN536</f>
        <v>0</v>
      </c>
      <c r="BO623" s="41">
        <f t="shared" si="7583"/>
        <v>0</v>
      </c>
      <c r="BP623" s="41">
        <f t="shared" ref="BP623:BQ623" si="7584">BP523+BP522+BP536</f>
        <v>0</v>
      </c>
      <c r="BQ623" s="41">
        <f t="shared" si="7584"/>
        <v>0</v>
      </c>
      <c r="BR623" s="41"/>
      <c r="BS623" s="41">
        <f t="shared" ref="BS623:CB623" si="7585">BS523+BS522+BS536</f>
        <v>-0.90000000000000568</v>
      </c>
      <c r="BT623" s="41">
        <f t="shared" si="7585"/>
        <v>-213.2</v>
      </c>
      <c r="BU623" s="41">
        <f t="shared" si="7585"/>
        <v>19</v>
      </c>
      <c r="BV623" s="41">
        <f t="shared" si="7585"/>
        <v>19</v>
      </c>
      <c r="BW623" s="41">
        <f t="shared" si="7585"/>
        <v>0</v>
      </c>
      <c r="BX623" s="41">
        <f t="shared" si="7585"/>
        <v>-147</v>
      </c>
      <c r="BY623" s="41">
        <f t="shared" si="7585"/>
        <v>-69</v>
      </c>
      <c r="BZ623" s="41">
        <f t="shared" si="7585"/>
        <v>0</v>
      </c>
      <c r="CA623" s="41">
        <f t="shared" si="7585"/>
        <v>44</v>
      </c>
      <c r="CB623" s="41">
        <f t="shared" si="7585"/>
        <v>0</v>
      </c>
      <c r="CC623" s="41">
        <f t="shared" ref="CC623:CR623" si="7586">CC523+CC522+CC536</f>
        <v>0</v>
      </c>
      <c r="CD623" s="41">
        <f t="shared" si="7586"/>
        <v>0</v>
      </c>
      <c r="CE623" s="41">
        <f t="shared" si="7586"/>
        <v>0</v>
      </c>
      <c r="CF623" s="41">
        <f t="shared" si="7586"/>
        <v>-7</v>
      </c>
      <c r="CG623" s="41">
        <f t="shared" si="7586"/>
        <v>67</v>
      </c>
      <c r="CH623" s="41">
        <f t="shared" si="7586"/>
        <v>171</v>
      </c>
      <c r="CI623" s="41">
        <f t="shared" si="7586"/>
        <v>-175</v>
      </c>
      <c r="CJ623" s="41">
        <f t="shared" si="7586"/>
        <v>-213</v>
      </c>
      <c r="CK623" s="41">
        <f t="shared" si="7586"/>
        <v>-474</v>
      </c>
      <c r="CL623" s="41">
        <f t="shared" si="7586"/>
        <v>54</v>
      </c>
      <c r="CM623" s="41">
        <f t="shared" si="7586"/>
        <v>-213</v>
      </c>
      <c r="CN623" s="41">
        <f t="shared" si="7586"/>
        <v>-80</v>
      </c>
      <c r="CO623" s="41">
        <f t="shared" si="7586"/>
        <v>80</v>
      </c>
      <c r="CP623" s="41">
        <f t="shared" si="7586"/>
        <v>9</v>
      </c>
      <c r="CQ623" s="41">
        <f t="shared" si="7586"/>
        <v>-88</v>
      </c>
      <c r="CR623" s="41">
        <f t="shared" si="7586"/>
        <v>-102</v>
      </c>
      <c r="CS623" s="41">
        <f t="shared" ref="CS623:CX623" si="7587">CS523+CS522+CS536</f>
        <v>-420</v>
      </c>
      <c r="CT623" s="41">
        <f t="shared" si="7587"/>
        <v>-517</v>
      </c>
      <c r="CU623" s="41">
        <f t="shared" si="7587"/>
        <v>-181</v>
      </c>
      <c r="CV623" s="41">
        <f t="shared" si="7587"/>
        <v>-36</v>
      </c>
      <c r="CW623" s="41">
        <f t="shared" si="7587"/>
        <v>604</v>
      </c>
      <c r="CX623" s="41">
        <f t="shared" si="7587"/>
        <v>-307</v>
      </c>
      <c r="CY623" s="41">
        <f t="shared" ref="CY623:DD623" si="7588">CY523+CY522+CY536</f>
        <v>-190</v>
      </c>
      <c r="CZ623" s="211">
        <f t="shared" si="7588"/>
        <v>104</v>
      </c>
      <c r="DA623" s="41">
        <f t="shared" si="7588"/>
        <v>0</v>
      </c>
      <c r="DB623" s="41">
        <f t="shared" si="7588"/>
        <v>0</v>
      </c>
      <c r="DC623" s="41">
        <f t="shared" si="7588"/>
        <v>0</v>
      </c>
      <c r="DD623" s="41">
        <f t="shared" si="7588"/>
        <v>0</v>
      </c>
      <c r="DE623" s="41">
        <f t="shared" ref="DE623" si="7589">DE523+DE522+DE536</f>
        <v>0</v>
      </c>
      <c r="DF623" s="41">
        <f t="shared" ref="DF623" si="7590">DF523+DF522+DF536</f>
        <v>0</v>
      </c>
      <c r="DG623" s="41">
        <f>DG523+DG522+DG536</f>
        <v>0</v>
      </c>
      <c r="DH623" s="41">
        <f>DH523+DH522+DH536</f>
        <v>0</v>
      </c>
      <c r="DI623" s="41">
        <f>DI523+DI522+DI536</f>
        <v>0</v>
      </c>
    </row>
    <row r="624" spans="1:113" s="17" customFormat="1" ht="12" outlineLevel="1">
      <c r="A624" s="1" t="s">
        <v>20</v>
      </c>
      <c r="B624" s="17" t="s">
        <v>416</v>
      </c>
      <c r="C624" s="62">
        <f t="shared" ref="C624" si="7591">SUM(C620:C623)</f>
        <v>845</v>
      </c>
      <c r="D624" s="62">
        <f t="shared" ref="D624:L624" si="7592">SUM(D620:D623)</f>
        <v>863</v>
      </c>
      <c r="E624" s="62">
        <f t="shared" si="7592"/>
        <v>1089.9999999999998</v>
      </c>
      <c r="F624" s="62">
        <f t="shared" si="7592"/>
        <v>1038.0000000000002</v>
      </c>
      <c r="G624" s="62">
        <f t="shared" si="7592"/>
        <v>852</v>
      </c>
      <c r="H624" s="62">
        <f t="shared" si="7592"/>
        <v>1175</v>
      </c>
      <c r="I624" s="62">
        <f t="shared" si="7592"/>
        <v>1985.0000000000007</v>
      </c>
      <c r="J624" s="62">
        <f t="shared" si="7592"/>
        <v>979.00000000000045</v>
      </c>
      <c r="K624" s="62">
        <f t="shared" si="7592"/>
        <v>1373.9999999999995</v>
      </c>
      <c r="L624" s="62">
        <f t="shared" si="7592"/>
        <v>1269.9999999999995</v>
      </c>
      <c r="M624" s="62">
        <f t="shared" ref="M624:AB624" si="7593">SUM(M620:M623)</f>
        <v>1894</v>
      </c>
      <c r="N624" s="62">
        <f t="shared" si="7593"/>
        <v>2085.9999999999995</v>
      </c>
      <c r="O624" s="62">
        <f t="shared" si="7593"/>
        <v>1654.9999999999998</v>
      </c>
      <c r="P624" s="62">
        <f t="shared" si="7593"/>
        <v>1755.0000000000007</v>
      </c>
      <c r="Q624" s="62">
        <f t="shared" si="7593"/>
        <v>1371.0000000000005</v>
      </c>
      <c r="R624" s="62">
        <f t="shared" si="7593"/>
        <v>1252</v>
      </c>
      <c r="S624" s="62">
        <f t="shared" si="7593"/>
        <v>739</v>
      </c>
      <c r="T624" s="62">
        <f t="shared" si="7593"/>
        <v>1499</v>
      </c>
      <c r="U624" s="62">
        <f t="shared" si="7593"/>
        <v>2318</v>
      </c>
      <c r="V624" s="62">
        <f t="shared" si="7593"/>
        <v>2202</v>
      </c>
      <c r="W624" s="62">
        <f t="shared" si="7593"/>
        <v>3813</v>
      </c>
      <c r="X624" s="62">
        <f t="shared" si="7593"/>
        <v>2550</v>
      </c>
      <c r="Y624" s="62">
        <f t="shared" si="7593"/>
        <v>2855</v>
      </c>
      <c r="Z624" s="62">
        <f t="shared" si="7593"/>
        <v>3031</v>
      </c>
      <c r="AA624" s="62">
        <f t="shared" si="7593"/>
        <v>4944</v>
      </c>
      <c r="AB624" s="62">
        <f t="shared" si="7593"/>
        <v>4109</v>
      </c>
      <c r="AC624" s="62">
        <f t="shared" ref="AC624:AD624" si="7594">SUM(AC620:AC623)</f>
        <v>3787</v>
      </c>
      <c r="AD624" s="62">
        <f t="shared" si="7594"/>
        <v>6075</v>
      </c>
      <c r="AE624" s="62">
        <f t="shared" ref="AE624:AF624" si="7595">SUM(AE620:AE623)</f>
        <v>6346</v>
      </c>
      <c r="AF624" s="62">
        <f t="shared" si="7595"/>
        <v>1654</v>
      </c>
      <c r="AG624" s="62">
        <f t="shared" ref="AG624:AH624" si="7596">SUM(AG620:AG623)</f>
        <v>3612</v>
      </c>
      <c r="AH624" s="62">
        <f t="shared" si="7596"/>
        <v>2292</v>
      </c>
      <c r="AI624" s="62">
        <f t="shared" ref="AI624:AJ624" si="7597">SUM(AI620:AI623)</f>
        <v>3436</v>
      </c>
      <c r="AJ624" s="62">
        <f t="shared" si="7597"/>
        <v>3545</v>
      </c>
      <c r="AK624" s="62">
        <f t="shared" ref="AK624:AL624" si="7598">SUM(AK620:AK623)</f>
        <v>2982</v>
      </c>
      <c r="AL624" s="62">
        <f t="shared" si="7598"/>
        <v>3967</v>
      </c>
      <c r="AM624" s="62">
        <f t="shared" ref="AM624:AN624" si="7599">SUM(AM620:AM623)</f>
        <v>3152</v>
      </c>
      <c r="AN624" s="62">
        <f t="shared" si="7599"/>
        <v>2859</v>
      </c>
      <c r="AO624" s="62">
        <f t="shared" ref="AO624" si="7600">SUM(AO620:AO623)</f>
        <v>527</v>
      </c>
      <c r="AP624" s="62">
        <f t="shared" ref="AP624:AQ624" si="7601">SUM(AP620:AP623)</f>
        <v>2168</v>
      </c>
      <c r="AQ624" s="62">
        <f t="shared" si="7601"/>
        <v>3685</v>
      </c>
      <c r="AR624" s="62">
        <f t="shared" ref="AR624:AS624" si="7602">SUM(AR620:AR623)</f>
        <v>969</v>
      </c>
      <c r="AS624" s="62">
        <f t="shared" si="7602"/>
        <v>5924</v>
      </c>
      <c r="AT624" s="62">
        <f t="shared" ref="AT624:AU624" si="7603">SUM(AT620:AT623)</f>
        <v>5074</v>
      </c>
      <c r="AU624" s="62">
        <f t="shared" si="7603"/>
        <v>2815</v>
      </c>
      <c r="AV624" s="62">
        <f t="shared" ref="AV624:AW624" si="7604">SUM(AV620:AV623)</f>
        <v>2876</v>
      </c>
      <c r="AW624" s="62">
        <f t="shared" si="7604"/>
        <v>2586</v>
      </c>
      <c r="AX624" s="62">
        <f t="shared" ref="AX624" si="7605">SUM(AX620:AX623)</f>
        <v>4224</v>
      </c>
      <c r="AY624" s="220">
        <f t="shared" ref="AY624" si="7606">SUM(AY620:AY623)</f>
        <v>1953</v>
      </c>
      <c r="AZ624" s="62">
        <f t="shared" ref="AZ624:BA624" si="7607">SUM(AZ620:AZ623)</f>
        <v>4328.6859473309851</v>
      </c>
      <c r="BA624" s="62">
        <f t="shared" si="7607"/>
        <v>3649.5323907321585</v>
      </c>
      <c r="BB624" s="62">
        <f t="shared" ref="BB624:BC624" si="7608">SUM(BB620:BB623)</f>
        <v>3746.0262888439729</v>
      </c>
      <c r="BC624" s="62">
        <f t="shared" si="7608"/>
        <v>3443.4560238889399</v>
      </c>
      <c r="BD624" s="62">
        <f t="shared" ref="BD624:BE624" si="7609">SUM(BD620:BD623)</f>
        <v>3843.2806702929279</v>
      </c>
      <c r="BE624" s="62">
        <f t="shared" si="7609"/>
        <v>3511.5269173154234</v>
      </c>
      <c r="BF624" s="62">
        <f t="shared" ref="BF624:BG624" si="7610">SUM(BF620:BF623)</f>
        <v>3931.9074803596945</v>
      </c>
      <c r="BG624" s="62">
        <f t="shared" si="7610"/>
        <v>3703.0432714046065</v>
      </c>
      <c r="BH624" s="62">
        <f t="shared" ref="BH624:BI624" si="7611">SUM(BH620:BH623)</f>
        <v>4063.2116895204526</v>
      </c>
      <c r="BI624" s="62">
        <f t="shared" si="7611"/>
        <v>3796.3044178753607</v>
      </c>
      <c r="BJ624" s="62">
        <f t="shared" ref="BJ624:BK624" si="7612">SUM(BJ620:BJ623)</f>
        <v>4319.9942605570686</v>
      </c>
      <c r="BK624" s="62">
        <f t="shared" si="7612"/>
        <v>4328.1798279280592</v>
      </c>
      <c r="BL624" s="62">
        <f t="shared" ref="BL624:BM624" si="7613">SUM(BL620:BL623)</f>
        <v>4545.2922472606579</v>
      </c>
      <c r="BM624" s="62">
        <f t="shared" si="7613"/>
        <v>4366.2256535934766</v>
      </c>
      <c r="BN624" s="62">
        <f t="shared" ref="BN624:BO624" si="7614">SUM(BN620:BN623)</f>
        <v>4566.1046688744091</v>
      </c>
      <c r="BO624" s="62">
        <f t="shared" si="7614"/>
        <v>4427.6162080881677</v>
      </c>
      <c r="BP624" s="62">
        <f t="shared" ref="BP624:BQ624" si="7615">SUM(BP620:BP623)</f>
        <v>4642.2811250171344</v>
      </c>
      <c r="BQ624" s="62">
        <f t="shared" si="7615"/>
        <v>4543.8090121218265</v>
      </c>
      <c r="BR624" s="62"/>
      <c r="BS624" s="62">
        <f t="shared" ref="BS624:CB624" si="7616">SUM(BS620:BS623)</f>
        <v>640.19999999999936</v>
      </c>
      <c r="BT624" s="62">
        <f t="shared" si="7616"/>
        <v>621.10000000000059</v>
      </c>
      <c r="BU624" s="62">
        <f t="shared" si="7616"/>
        <v>634.99999999999909</v>
      </c>
      <c r="BV624" s="62">
        <f t="shared" si="7616"/>
        <v>1182</v>
      </c>
      <c r="BW624" s="62">
        <f t="shared" si="7616"/>
        <v>1021</v>
      </c>
      <c r="BX624" s="62">
        <f t="shared" si="7616"/>
        <v>1128</v>
      </c>
      <c r="BY624" s="62">
        <f t="shared" si="7616"/>
        <v>1248</v>
      </c>
      <c r="BZ624" s="62">
        <f t="shared" si="7616"/>
        <v>1193</v>
      </c>
      <c r="CA624" s="62">
        <f t="shared" si="7616"/>
        <v>1827</v>
      </c>
      <c r="CB624" s="62">
        <f t="shared" si="7616"/>
        <v>1965</v>
      </c>
      <c r="CC624" s="62">
        <f t="shared" ref="CC624:CP624" si="7617">SUM(CC620:CC623)</f>
        <v>1953</v>
      </c>
      <c r="CD624" s="62">
        <f t="shared" si="7617"/>
        <v>1890</v>
      </c>
      <c r="CE624" s="62">
        <f t="shared" si="7617"/>
        <v>3160</v>
      </c>
      <c r="CF624" s="62">
        <f t="shared" si="7617"/>
        <v>2352.9999999999991</v>
      </c>
      <c r="CG624" s="62">
        <f t="shared" si="7617"/>
        <v>3163.9999999999995</v>
      </c>
      <c r="CH624" s="62">
        <f t="shared" si="7617"/>
        <v>3740.9999999999995</v>
      </c>
      <c r="CI624" s="62">
        <f t="shared" si="7617"/>
        <v>3125.9999999999995</v>
      </c>
      <c r="CJ624" s="62">
        <f t="shared" si="7617"/>
        <v>1991</v>
      </c>
      <c r="CK624" s="62">
        <f t="shared" si="7617"/>
        <v>3817</v>
      </c>
      <c r="CL624" s="62">
        <f t="shared" si="7617"/>
        <v>6015</v>
      </c>
      <c r="CM624" s="62">
        <f t="shared" si="7617"/>
        <v>5405</v>
      </c>
      <c r="CN624" s="62">
        <f t="shared" si="7617"/>
        <v>7975</v>
      </c>
      <c r="CO624" s="62">
        <f t="shared" si="7617"/>
        <v>7896</v>
      </c>
      <c r="CP624" s="62">
        <f t="shared" si="7617"/>
        <v>12421</v>
      </c>
      <c r="CQ624" s="62">
        <f t="shared" ref="CQ624:CX624" si="7618">SUM(CQ620:CQ623)</f>
        <v>5266</v>
      </c>
      <c r="CR624" s="62">
        <f t="shared" si="7618"/>
        <v>5728</v>
      </c>
      <c r="CS624" s="62">
        <f t="shared" si="7618"/>
        <v>6527</v>
      </c>
      <c r="CT624" s="62">
        <f t="shared" si="7618"/>
        <v>7119</v>
      </c>
      <c r="CU624" s="62">
        <f t="shared" si="7618"/>
        <v>3386</v>
      </c>
      <c r="CV624" s="62">
        <f t="shared" si="7618"/>
        <v>5853</v>
      </c>
      <c r="CW624" s="62">
        <f t="shared" si="7618"/>
        <v>6893</v>
      </c>
      <c r="CX624" s="62">
        <f t="shared" si="7618"/>
        <v>7889</v>
      </c>
      <c r="CY624" s="62">
        <f t="shared" ref="CY624:DD624" si="7619">SUM(CY620:CY623)</f>
        <v>5462</v>
      </c>
      <c r="CZ624" s="220">
        <f t="shared" si="7619"/>
        <v>6177</v>
      </c>
      <c r="DA624" s="62">
        <f t="shared" si="7619"/>
        <v>7978.218338063145</v>
      </c>
      <c r="DB624" s="62">
        <f t="shared" si="7619"/>
        <v>7189.4823127329146</v>
      </c>
      <c r="DC624" s="62">
        <f t="shared" si="7619"/>
        <v>7354.8075876083531</v>
      </c>
      <c r="DD624" s="62">
        <f t="shared" si="7619"/>
        <v>7634.9507517643024</v>
      </c>
      <c r="DE624" s="62">
        <f t="shared" ref="DE624" si="7620">SUM(DE620:DE623)</f>
        <v>7859.5161073958125</v>
      </c>
      <c r="DF624" s="62">
        <f t="shared" ref="DF624" si="7621">SUM(DF620:DF623)</f>
        <v>8648.174088485126</v>
      </c>
      <c r="DG624" s="62">
        <f>SUM(DG620:DG623)</f>
        <v>8911.5179008541327</v>
      </c>
      <c r="DH624" s="62">
        <f>SUM(DH620:DH623)</f>
        <v>8993.7208769625795</v>
      </c>
      <c r="DI624" s="62">
        <f>SUM(DI620:DI623)</f>
        <v>9186.0901371389627</v>
      </c>
    </row>
    <row r="625" spans="1:113" ht="12" outlineLevel="1">
      <c r="A625" s="1" t="s">
        <v>21</v>
      </c>
      <c r="B625" s="15" t="s">
        <v>544</v>
      </c>
      <c r="C625" s="41" t="e">
        <f t="shared" ref="C625:AX625" si="7622">B613*B151-C613*C151</f>
        <v>#VALUE!</v>
      </c>
      <c r="D625" s="41">
        <f t="shared" si="7622"/>
        <v>185.55000000000018</v>
      </c>
      <c r="E625" s="41">
        <f t="shared" si="7622"/>
        <v>-298.59999999999945</v>
      </c>
      <c r="F625" s="41">
        <f t="shared" si="7622"/>
        <v>-360.65000000000055</v>
      </c>
      <c r="G625" s="41">
        <f t="shared" si="7622"/>
        <v>-178.05000000000018</v>
      </c>
      <c r="H625" s="41">
        <f t="shared" si="7622"/>
        <v>-1699.6499999999996</v>
      </c>
      <c r="I625" s="41">
        <f t="shared" si="7622"/>
        <v>-525.35000000000036</v>
      </c>
      <c r="J625" s="41">
        <f t="shared" si="7622"/>
        <v>-643</v>
      </c>
      <c r="K625" s="41">
        <f t="shared" si="7622"/>
        <v>-502.45000000000073</v>
      </c>
      <c r="L625" s="41">
        <f t="shared" si="7622"/>
        <v>-554</v>
      </c>
      <c r="M625" s="41">
        <f t="shared" si="7622"/>
        <v>-478.29999999999927</v>
      </c>
      <c r="N625" s="41">
        <f t="shared" si="7622"/>
        <v>-513.29999999999927</v>
      </c>
      <c r="O625" s="41">
        <f t="shared" si="7622"/>
        <v>-1226.6500000000015</v>
      </c>
      <c r="P625" s="41">
        <f t="shared" si="7622"/>
        <v>376.60000000000036</v>
      </c>
      <c r="Q625" s="41">
        <f t="shared" si="7622"/>
        <v>-397.39999999999964</v>
      </c>
      <c r="R625" s="41">
        <f t="shared" si="7622"/>
        <v>-4485.630000000001</v>
      </c>
      <c r="S625" s="41">
        <f t="shared" si="7622"/>
        <v>1872.8450000000012</v>
      </c>
      <c r="T625" s="41">
        <f t="shared" si="7622"/>
        <v>202.02000000000044</v>
      </c>
      <c r="U625" s="41">
        <f t="shared" si="7622"/>
        <v>-993.26499999999942</v>
      </c>
      <c r="V625" s="41">
        <f t="shared" si="7622"/>
        <v>-7756.5120000000024</v>
      </c>
      <c r="W625" s="41">
        <f t="shared" si="7622"/>
        <v>-1115.4771999999975</v>
      </c>
      <c r="X625" s="41">
        <f t="shared" si="7622"/>
        <v>-649.0428000000029</v>
      </c>
      <c r="Y625" s="41">
        <f t="shared" si="7622"/>
        <v>-517.51170000000275</v>
      </c>
      <c r="Z625" s="41">
        <f t="shared" si="7622"/>
        <v>601.25870000000214</v>
      </c>
      <c r="AA625" s="41">
        <f t="shared" si="7622"/>
        <v>-1376.3474999999999</v>
      </c>
      <c r="AB625" s="41">
        <f t="shared" si="7622"/>
        <v>-3575.3874999999935</v>
      </c>
      <c r="AC625" s="41">
        <f t="shared" si="7622"/>
        <v>-972.86000000000422</v>
      </c>
      <c r="AD625" s="41">
        <f t="shared" si="7622"/>
        <v>-2280.0599999999977</v>
      </c>
      <c r="AE625" s="41">
        <f t="shared" si="7622"/>
        <v>-1356.6600000000035</v>
      </c>
      <c r="AF625" s="41">
        <f t="shared" si="7622"/>
        <v>-2659.1699999999983</v>
      </c>
      <c r="AG625" s="41">
        <f t="shared" si="7622"/>
        <v>-2024.7000000000044</v>
      </c>
      <c r="AH625" s="41">
        <f t="shared" si="7622"/>
        <v>1154.2000000000044</v>
      </c>
      <c r="AI625" s="41">
        <f t="shared" si="7622"/>
        <v>-1362.864999999998</v>
      </c>
      <c r="AJ625" s="41">
        <f t="shared" si="7622"/>
        <v>-489.72000000000116</v>
      </c>
      <c r="AK625" s="41">
        <f t="shared" si="7622"/>
        <v>520.48500000000058</v>
      </c>
      <c r="AL625" s="41">
        <f t="shared" si="7622"/>
        <v>-574.45500000000175</v>
      </c>
      <c r="AM625" s="41">
        <f t="shared" si="7622"/>
        <v>-2170.3499999999985</v>
      </c>
      <c r="AN625" s="41">
        <f t="shared" si="7622"/>
        <v>-3365.3549999999959</v>
      </c>
      <c r="AO625" s="41">
        <f t="shared" si="7622"/>
        <v>2060.9399999999951</v>
      </c>
      <c r="AP625" s="41">
        <f t="shared" si="7622"/>
        <v>2227.8899999999994</v>
      </c>
      <c r="AQ625" s="41">
        <f t="shared" si="7622"/>
        <v>-831.59999999999854</v>
      </c>
      <c r="AR625" s="41">
        <f t="shared" si="7622"/>
        <v>-2291.5199999999968</v>
      </c>
      <c r="AS625" s="41">
        <f t="shared" si="7622"/>
        <v>-1764.8400000000038</v>
      </c>
      <c r="AT625" s="41">
        <f t="shared" si="7622"/>
        <v>-161.15000000000146</v>
      </c>
      <c r="AU625" s="41">
        <f t="shared" si="7622"/>
        <v>240.56999999999971</v>
      </c>
      <c r="AV625" s="41">
        <f t="shared" si="7622"/>
        <v>60.279999999998836</v>
      </c>
      <c r="AW625" s="41">
        <f t="shared" si="7622"/>
        <v>-1518.3299999999945</v>
      </c>
      <c r="AX625" s="41">
        <f t="shared" si="7622"/>
        <v>-2465.8700000000026</v>
      </c>
      <c r="AY625" s="211">
        <f t="shared" ref="AY625" si="7623">AX613*AX151-AY613*AY151</f>
        <v>1149.7200000000012</v>
      </c>
      <c r="AZ625" s="41">
        <f t="shared" ref="AZ625" si="7624">AY613*AY151-AZ613*AZ151</f>
        <v>-1590.2787982028676</v>
      </c>
      <c r="BA625" s="41">
        <f t="shared" ref="BA625" si="7625">AZ613*AZ151-BA613*BA151</f>
        <v>-514.78985021993867</v>
      </c>
      <c r="BB625" s="41">
        <f t="shared" ref="BB625" si="7626">BA613*BA151-BB613*BB151</f>
        <v>-462.96598456069478</v>
      </c>
      <c r="BC625" s="41">
        <f t="shared" ref="BC625" si="7627">BB613*BB151-BC613*BC151</f>
        <v>-517.40963780028687</v>
      </c>
      <c r="BD625" s="41">
        <f t="shared" ref="BD625" si="7628">BC613*BC151-BD613*BD151</f>
        <v>-490.94781009104918</v>
      </c>
      <c r="BE625" s="41">
        <f t="shared" ref="BE625" si="7629">BD613*BD151-BE613*BE151</f>
        <v>-560.53146710603323</v>
      </c>
      <c r="BF625" s="41">
        <f t="shared" ref="BF625" si="7630">BE613*BE151-BF613*BF151</f>
        <v>-500.20917603255657</v>
      </c>
      <c r="BG625" s="41">
        <f t="shared" ref="BG625:BK625" si="7631">BF613*BF151-BG613*BG151</f>
        <v>-498.69291850329319</v>
      </c>
      <c r="BH625" s="41">
        <f t="shared" si="7631"/>
        <v>-806.28579638857627</v>
      </c>
      <c r="BI625" s="41">
        <f t="shared" si="7631"/>
        <v>-796.71184473067842</v>
      </c>
      <c r="BJ625" s="41">
        <f t="shared" si="7631"/>
        <v>-899.33841800550726</v>
      </c>
      <c r="BK625" s="41">
        <f t="shared" si="7631"/>
        <v>-831.78326519814436</v>
      </c>
      <c r="BL625" s="41">
        <f t="shared" ref="BL625" si="7632">BK613*BK151-BL613*BL151</f>
        <v>-849.19559101873165</v>
      </c>
      <c r="BM625" s="41">
        <f t="shared" ref="BM625" si="7633">BL613*BL151-BM613*BM151</f>
        <v>-866.95083770908968</v>
      </c>
      <c r="BN625" s="41">
        <f t="shared" ref="BN625" si="7634">BM613*BM151-BN613*BN151</f>
        <v>-978.65482411227276</v>
      </c>
      <c r="BO625" s="41">
        <f t="shared" ref="BO625" si="7635">BN613*BN151-BO613*BO151</f>
        <v>-998.52068012926611</v>
      </c>
      <c r="BP625" s="41">
        <f t="shared" ref="BP625" si="7636">BO613*BO151-BP613*BP151</f>
        <v>-1096.6852073200789</v>
      </c>
      <c r="BQ625" s="41">
        <f t="shared" ref="BQ625" si="7637">BP613*BP151-BQ613*BQ151</f>
        <v>-1122.0220292461163</v>
      </c>
      <c r="BR625" s="41"/>
      <c r="BS625" s="41">
        <f t="shared" ref="BS625:CB625" si="7638">BR613*BR151-BS613*BS151</f>
        <v>-4036.0300000000007</v>
      </c>
      <c r="BT625" s="41">
        <f t="shared" si="7638"/>
        <v>193.03000000000065</v>
      </c>
      <c r="BU625" s="41">
        <f t="shared" si="7638"/>
        <v>41.649999999999636</v>
      </c>
      <c r="BV625" s="41">
        <f t="shared" si="7638"/>
        <v>-352.44999999999982</v>
      </c>
      <c r="BW625" s="41">
        <f t="shared" si="7638"/>
        <v>-522.05000000000018</v>
      </c>
      <c r="BX625" s="41">
        <f t="shared" si="7638"/>
        <v>-631.5</v>
      </c>
      <c r="BY625" s="41">
        <f t="shared" si="7638"/>
        <v>-497.44999999999982</v>
      </c>
      <c r="BZ625" s="41">
        <f t="shared" si="7638"/>
        <v>-97.050000000000182</v>
      </c>
      <c r="CA625" s="41">
        <f t="shared" si="7638"/>
        <v>-582.55000000000018</v>
      </c>
      <c r="CB625" s="41">
        <f t="shared" si="7638"/>
        <v>-472.05000000000018</v>
      </c>
      <c r="CC625" s="41">
        <f>SUM(D625:E625)</f>
        <v>-113.04999999999927</v>
      </c>
      <c r="CD625" s="41">
        <f>SUM(F625:G625)</f>
        <v>-538.70000000000073</v>
      </c>
      <c r="CE625" s="41">
        <f>SUM(H625:I625)</f>
        <v>-2225</v>
      </c>
      <c r="CF625" s="41">
        <f>SUM(J625:K625)</f>
        <v>-1145.4500000000007</v>
      </c>
      <c r="CG625" s="41">
        <f>SUM(L625:M625)</f>
        <v>-1032.2999999999993</v>
      </c>
      <c r="CH625" s="41">
        <f>SUM(N625:O625)</f>
        <v>-1739.9500000000007</v>
      </c>
      <c r="CI625" s="41">
        <f>SUM(P625:Q625)</f>
        <v>-20.799999999999272</v>
      </c>
      <c r="CJ625" s="41">
        <f>SUM(R625:S625)</f>
        <v>-2612.7849999999999</v>
      </c>
      <c r="CK625" s="41">
        <f>SUM(T625:U625)</f>
        <v>-791.24499999999898</v>
      </c>
      <c r="CL625" s="41">
        <f>SUM(V625:W625)</f>
        <v>-8871.9892</v>
      </c>
      <c r="CM625" s="41">
        <f>SUM(X625:Y625)</f>
        <v>-1166.5545000000056</v>
      </c>
      <c r="CN625" s="41">
        <f>SUM(Z625:AA625)</f>
        <v>-775.08879999999772</v>
      </c>
      <c r="CO625" s="41">
        <f>SUM(AB625:AC625)</f>
        <v>-4548.2474999999977</v>
      </c>
      <c r="CP625" s="41">
        <f>SUM(AD625:AE625)</f>
        <v>-3636.7200000000012</v>
      </c>
      <c r="CQ625" s="41">
        <f>SUM(AF625:AG625)</f>
        <v>-4683.8700000000026</v>
      </c>
      <c r="CR625" s="41">
        <f>SUM(AH625:AI625)</f>
        <v>-208.6649999999936</v>
      </c>
      <c r="CS625" s="41">
        <f>SUM(AJ625:AK625)</f>
        <v>30.764999999999418</v>
      </c>
      <c r="CT625" s="41">
        <f>SUM(AL625:AM625)</f>
        <v>-2744.8050000000003</v>
      </c>
      <c r="CU625" s="41">
        <f>SUM(AN625:AO625)</f>
        <v>-1304.4150000000009</v>
      </c>
      <c r="CV625" s="41">
        <f>SUM(AP625:AQ625)</f>
        <v>1396.2900000000009</v>
      </c>
      <c r="CW625" s="41">
        <f>SUM(AR625:AS625)</f>
        <v>-4056.3600000000006</v>
      </c>
      <c r="CX625" s="41">
        <f>SUM(AT625:AU625)</f>
        <v>79.419999999998254</v>
      </c>
      <c r="CY625" s="41">
        <f>SUM(AV625:AW625)</f>
        <v>-1458.0499999999956</v>
      </c>
      <c r="CZ625" s="211">
        <f>SUM(AX625:AY625)</f>
        <v>-1316.1500000000015</v>
      </c>
      <c r="DA625" s="41">
        <f>SUM(AZ625:BA625)</f>
        <v>-2105.0686484228063</v>
      </c>
      <c r="DB625" s="41">
        <f>SUM(BB625:BC625)</f>
        <v>-980.37562236098165</v>
      </c>
      <c r="DC625" s="41">
        <f>SUM(BD625:BE625)</f>
        <v>-1051.4792771970824</v>
      </c>
      <c r="DD625" s="41">
        <f>SUM(BF625:BG625)</f>
        <v>-998.90209453584976</v>
      </c>
      <c r="DE625" s="41">
        <f>SUM(BH625:BI625)</f>
        <v>-1602.9976411192547</v>
      </c>
      <c r="DF625" s="41">
        <f>SUM(BJ625:BK625)</f>
        <v>-1731.1216832036516</v>
      </c>
      <c r="DG625" s="41">
        <f>SUM(BL625:BM625)</f>
        <v>-1716.1464287278213</v>
      </c>
      <c r="DH625" s="41">
        <f>SUM(BN625:BO625)</f>
        <v>-1977.1755042415389</v>
      </c>
      <c r="DI625" s="41">
        <f>SUM(BP625:BQ625)</f>
        <v>-2218.7072365661952</v>
      </c>
    </row>
    <row r="626" spans="1:113" ht="12" outlineLevel="1">
      <c r="A626" s="1" t="s">
        <v>22</v>
      </c>
      <c r="B626" s="15" t="s">
        <v>545</v>
      </c>
      <c r="C626" s="41" t="e">
        <f>(C576+C556)-(B576+B556)</f>
        <v>#VALUE!</v>
      </c>
      <c r="D626" s="41">
        <f>(D576+D556)-(C576+C556)</f>
        <v>0</v>
      </c>
      <c r="E626" s="41">
        <f>(E576+E556)-(D576+D556)</f>
        <v>-48</v>
      </c>
      <c r="F626" s="41">
        <f t="shared" ref="F626:L626" si="7639">(F576+F556)-(E576+E556)</f>
        <v>-51</v>
      </c>
      <c r="G626" s="41">
        <f t="shared" si="7639"/>
        <v>-69</v>
      </c>
      <c r="H626" s="41">
        <f t="shared" si="7639"/>
        <v>-1</v>
      </c>
      <c r="I626" s="41">
        <f t="shared" si="7639"/>
        <v>-49</v>
      </c>
      <c r="J626" s="41">
        <f t="shared" si="7639"/>
        <v>-48</v>
      </c>
      <c r="K626" s="41">
        <f t="shared" si="7639"/>
        <v>53</v>
      </c>
      <c r="L626" s="41">
        <f t="shared" si="7639"/>
        <v>52</v>
      </c>
      <c r="M626" s="41">
        <f t="shared" ref="M626:Y626" si="7640">(M576+M556)-(L576+L556)</f>
        <v>-128</v>
      </c>
      <c r="N626" s="41">
        <f t="shared" si="7640"/>
        <v>-97</v>
      </c>
      <c r="O626" s="41">
        <f t="shared" si="7640"/>
        <v>-12</v>
      </c>
      <c r="P626" s="41">
        <f t="shared" si="7640"/>
        <v>-459</v>
      </c>
      <c r="Q626" s="41">
        <f t="shared" si="7640"/>
        <v>-316</v>
      </c>
      <c r="R626" s="41">
        <f t="shared" si="7640"/>
        <v>-960</v>
      </c>
      <c r="S626" s="41">
        <f t="shared" si="7640"/>
        <v>317</v>
      </c>
      <c r="T626" s="41">
        <f t="shared" si="7640"/>
        <v>158</v>
      </c>
      <c r="U626" s="41">
        <f t="shared" si="7640"/>
        <v>-556</v>
      </c>
      <c r="V626" s="41">
        <f t="shared" si="7640"/>
        <v>10</v>
      </c>
      <c r="W626" s="41">
        <f t="shared" si="7640"/>
        <v>-417</v>
      </c>
      <c r="X626" s="41">
        <f t="shared" si="7640"/>
        <v>228</v>
      </c>
      <c r="Y626" s="41">
        <f t="shared" si="7640"/>
        <v>-15</v>
      </c>
      <c r="Z626" s="41">
        <f>(Z576+Z556)-(Y576+Y556)</f>
        <v>793</v>
      </c>
      <c r="AA626" s="41">
        <f t="shared" ref="AA626:AX626" si="7641">(AA576+AA556)-(Z576+Z556)</f>
        <v>-27</v>
      </c>
      <c r="AB626" s="41">
        <f t="shared" si="7641"/>
        <v>-69</v>
      </c>
      <c r="AC626" s="41">
        <f t="shared" si="7641"/>
        <v>-62</v>
      </c>
      <c r="AD626" s="41">
        <f t="shared" si="7641"/>
        <v>-168</v>
      </c>
      <c r="AE626" s="41">
        <f t="shared" si="7641"/>
        <v>-199</v>
      </c>
      <c r="AF626" s="41">
        <f t="shared" si="7641"/>
        <v>-540</v>
      </c>
      <c r="AG626" s="41">
        <f t="shared" si="7641"/>
        <v>53</v>
      </c>
      <c r="AH626" s="41">
        <f t="shared" si="7641"/>
        <v>67</v>
      </c>
      <c r="AI626" s="41">
        <f t="shared" si="7641"/>
        <v>99</v>
      </c>
      <c r="AJ626" s="41">
        <f t="shared" si="7641"/>
        <v>102</v>
      </c>
      <c r="AK626" s="41">
        <f t="shared" si="7641"/>
        <v>1100</v>
      </c>
      <c r="AL626" s="41">
        <f t="shared" si="7641"/>
        <v>311</v>
      </c>
      <c r="AM626" s="41">
        <f t="shared" si="7641"/>
        <v>845</v>
      </c>
      <c r="AN626" s="41">
        <f t="shared" si="7641"/>
        <v>55</v>
      </c>
      <c r="AO626" s="41">
        <f t="shared" si="7641"/>
        <v>3</v>
      </c>
      <c r="AP626" s="41">
        <f t="shared" si="7641"/>
        <v>0</v>
      </c>
      <c r="AQ626" s="41">
        <f t="shared" si="7641"/>
        <v>-2</v>
      </c>
      <c r="AR626" s="41">
        <f t="shared" si="7641"/>
        <v>2</v>
      </c>
      <c r="AS626" s="41">
        <f t="shared" si="7641"/>
        <v>2</v>
      </c>
      <c r="AT626" s="41">
        <f t="shared" si="7641"/>
        <v>-2</v>
      </c>
      <c r="AU626" s="41">
        <f t="shared" si="7641"/>
        <v>-1</v>
      </c>
      <c r="AV626" s="41">
        <f t="shared" si="7641"/>
        <v>1</v>
      </c>
      <c r="AW626" s="41">
        <f t="shared" si="7641"/>
        <v>-7</v>
      </c>
      <c r="AX626" s="41">
        <f t="shared" si="7641"/>
        <v>0</v>
      </c>
      <c r="AY626" s="211">
        <f t="shared" ref="AY626" si="7642">(AY576+AY556)-(AX576+AX556)</f>
        <v>1</v>
      </c>
      <c r="AZ626" s="41">
        <f t="shared" ref="AZ626" si="7643">(AZ576+AZ556)-(AY576+AY556)</f>
        <v>-5.0999999999994827E-2</v>
      </c>
      <c r="BA626" s="41">
        <f t="shared" ref="BA626" si="7644">(BA576+BA556)-(AZ576+AZ556)</f>
        <v>-5.1050999999993962E-2</v>
      </c>
      <c r="BB626" s="41">
        <f t="shared" ref="BB626" si="7645">(BB576+BB556)-(BA576+BA556)</f>
        <v>-5.1102050999993764E-2</v>
      </c>
      <c r="BC626" s="41">
        <f t="shared" ref="BC626" si="7646">(BC576+BC556)-(BB576+BB556)</f>
        <v>-5.1153153050996991E-2</v>
      </c>
      <c r="BD626" s="41">
        <f t="shared" ref="BD626" si="7647">(BD576+BD556)-(BC576+BC556)</f>
        <v>-5.1204306204041927E-2</v>
      </c>
      <c r="BE626" s="41">
        <f t="shared" ref="BE626" si="7648">(BE576+BE556)-(BD576+BD556)</f>
        <v>-5.1255510510252122E-2</v>
      </c>
      <c r="BF626" s="41">
        <f t="shared" ref="BF626" si="7649">(BF576+BF556)-(BE576+BE556)</f>
        <v>-5.1306766020758232E-2</v>
      </c>
      <c r="BG626" s="41">
        <f t="shared" ref="BG626:BK626" si="7650">(BG576+BG556)-(BF576+BF556)</f>
        <v>-5.1358072786783282E-2</v>
      </c>
      <c r="BH626" s="41">
        <f t="shared" si="7650"/>
        <v>-5.1409430859564509E-2</v>
      </c>
      <c r="BI626" s="41">
        <f t="shared" si="7650"/>
        <v>-5.1460840290424414E-2</v>
      </c>
      <c r="BJ626" s="41">
        <f t="shared" si="7650"/>
        <v>-5.1512301130713922E-2</v>
      </c>
      <c r="BK626" s="41">
        <f t="shared" si="7650"/>
        <v>-5.1563813431847905E-2</v>
      </c>
      <c r="BL626" s="41">
        <f t="shared" ref="BL626" si="7651">(BL576+BL556)-(BK576+BK556)</f>
        <v>-5.1615377245276761E-2</v>
      </c>
      <c r="BM626" s="41">
        <f t="shared" ref="BM626" si="7652">(BM576+BM556)-(BL576+BL556)</f>
        <v>-5.1666992622521946E-2</v>
      </c>
      <c r="BN626" s="41">
        <f t="shared" ref="BN626" si="7653">(BN576+BN556)-(BM576+BM556)</f>
        <v>-5.1718659615147544E-2</v>
      </c>
      <c r="BO626" s="41">
        <f t="shared" ref="BO626" si="7654">(BO576+BO556)-(BN576+BN556)</f>
        <v>-5.1770378274760276E-2</v>
      </c>
      <c r="BP626" s="41">
        <f t="shared" ref="BP626" si="7655">(BP576+BP556)-(BO576+BO556)</f>
        <v>-5.1822148653037914E-2</v>
      </c>
      <c r="BQ626" s="41">
        <f t="shared" ref="BQ626" si="7656">(BQ576+BQ556)-(BP576+BP556)</f>
        <v>-5.1873970801693758E-2</v>
      </c>
      <c r="BR626" s="41"/>
      <c r="BS626" s="41">
        <f t="shared" ref="BS626:CB626" si="7657">(BS576+BS556)-(BR576+BR556)</f>
        <v>0</v>
      </c>
      <c r="BT626" s="41">
        <f t="shared" si="7657"/>
        <v>0</v>
      </c>
      <c r="BU626" s="41">
        <f t="shared" si="7657"/>
        <v>0</v>
      </c>
      <c r="BV626" s="41">
        <f t="shared" si="7657"/>
        <v>0</v>
      </c>
      <c r="BW626" s="41">
        <f t="shared" si="7657"/>
        <v>0</v>
      </c>
      <c r="BX626" s="41">
        <f t="shared" si="7657"/>
        <v>0</v>
      </c>
      <c r="BY626" s="41">
        <f t="shared" si="7657"/>
        <v>0</v>
      </c>
      <c r="BZ626" s="41">
        <f t="shared" si="7657"/>
        <v>0</v>
      </c>
      <c r="CA626" s="41">
        <f t="shared" si="7657"/>
        <v>0</v>
      </c>
      <c r="CB626" s="41">
        <f t="shared" si="7657"/>
        <v>0</v>
      </c>
      <c r="CC626" s="41">
        <f>SUM(D626:E626)</f>
        <v>-48</v>
      </c>
      <c r="CD626" s="41">
        <f>SUM(F626:G626)</f>
        <v>-120</v>
      </c>
      <c r="CE626" s="41">
        <f>SUM(H626:I626)</f>
        <v>-50</v>
      </c>
      <c r="CF626" s="41">
        <f>SUM(J626:K626)</f>
        <v>5</v>
      </c>
      <c r="CG626" s="41">
        <f>SUM(L626:M626)</f>
        <v>-76</v>
      </c>
      <c r="CH626" s="41">
        <f>SUM(N626:O626)</f>
        <v>-109</v>
      </c>
      <c r="CI626" s="41">
        <f>SUM(P626:Q626)</f>
        <v>-775</v>
      </c>
      <c r="CJ626" s="41">
        <f>SUM(R626:S626)</f>
        <v>-643</v>
      </c>
      <c r="CK626" s="41">
        <f>SUM(T626:U626)</f>
        <v>-398</v>
      </c>
      <c r="CL626" s="41">
        <f>SUM(V626:W626)</f>
        <v>-407</v>
      </c>
      <c r="CM626" s="41">
        <f>SUM(X626:Y626)</f>
        <v>213</v>
      </c>
      <c r="CN626" s="41">
        <f>SUM(Z626:AA626)</f>
        <v>766</v>
      </c>
      <c r="CO626" s="41">
        <f>SUM(AB626:AC626)</f>
        <v>-131</v>
      </c>
      <c r="CP626" s="41">
        <f>SUM(AD626:AE626)</f>
        <v>-367</v>
      </c>
      <c r="CQ626" s="41">
        <f>SUM(AF626:AG626)</f>
        <v>-487</v>
      </c>
      <c r="CR626" s="41">
        <f>SUM(AH626:AI626)</f>
        <v>166</v>
      </c>
      <c r="CS626" s="41">
        <f>SUM(AJ626:AK626)</f>
        <v>1202</v>
      </c>
      <c r="CT626" s="41">
        <f>SUM(AL626:AM626)</f>
        <v>1156</v>
      </c>
      <c r="CU626" s="41">
        <f>SUM(AN626:AO626)</f>
        <v>58</v>
      </c>
      <c r="CV626" s="41">
        <f>SUM(AP626:AQ626)</f>
        <v>-2</v>
      </c>
      <c r="CW626" s="41">
        <f>SUM(AR626:AS626)</f>
        <v>4</v>
      </c>
      <c r="CX626" s="41">
        <f>SUM(AT626:AU626)</f>
        <v>-3</v>
      </c>
      <c r="CY626" s="41">
        <f>SUM(AV626:AW626)</f>
        <v>-6</v>
      </c>
      <c r="CZ626" s="211">
        <f>SUM(AX626:AY626)</f>
        <v>1</v>
      </c>
      <c r="DA626" s="41">
        <f>SUM(AZ626:BA626)</f>
        <v>-0.10205099999998879</v>
      </c>
      <c r="DB626" s="41">
        <f>SUM(BB626:BC626)</f>
        <v>-0.10225520405099076</v>
      </c>
      <c r="DC626" s="41">
        <f>SUM(BD626:BE626)</f>
        <v>-0.10245981671429405</v>
      </c>
      <c r="DD626" s="41">
        <f>SUM(BF626:BG626)</f>
        <v>-0.10266483880754151</v>
      </c>
      <c r="DE626" s="41">
        <f>SUM(BH626:BI626)</f>
        <v>-0.10287027114998892</v>
      </c>
      <c r="DF626" s="41">
        <f>SUM(BJ626:BK626)</f>
        <v>-0.10307611456256183</v>
      </c>
      <c r="DG626" s="41">
        <f>SUM(BL626:BM626)</f>
        <v>-0.10328236986779871</v>
      </c>
      <c r="DH626" s="41">
        <f>SUM(BN626:BO626)</f>
        <v>-0.10348903788990782</v>
      </c>
      <c r="DI626" s="41">
        <f>SUM(BP626:BQ626)</f>
        <v>-0.10369611945473167</v>
      </c>
    </row>
    <row r="627" spans="1:113" ht="12" outlineLevel="1">
      <c r="A627" s="1" t="s">
        <v>23</v>
      </c>
      <c r="B627" s="15" t="s">
        <v>784</v>
      </c>
      <c r="C627" s="41" t="e">
        <f t="shared" ref="C627:L627" si="7658">C524+(C571+C572)-(B571+B572)</f>
        <v>#VALUE!</v>
      </c>
      <c r="D627" s="41">
        <f t="shared" si="7658"/>
        <v>-66</v>
      </c>
      <c r="E627" s="41">
        <f t="shared" si="7658"/>
        <v>177</v>
      </c>
      <c r="F627" s="41">
        <f t="shared" si="7658"/>
        <v>7</v>
      </c>
      <c r="G627" s="41">
        <f t="shared" si="7658"/>
        <v>-893</v>
      </c>
      <c r="H627" s="41">
        <f t="shared" si="7658"/>
        <v>-2968</v>
      </c>
      <c r="I627" s="41">
        <f t="shared" si="7658"/>
        <v>-74</v>
      </c>
      <c r="J627" s="41">
        <f t="shared" si="7658"/>
        <v>148</v>
      </c>
      <c r="K627" s="41">
        <f t="shared" si="7658"/>
        <v>151</v>
      </c>
      <c r="L627" s="41">
        <f t="shared" si="7658"/>
        <v>-28</v>
      </c>
      <c r="M627" s="41">
        <f t="shared" ref="M627:AX627" si="7659">M524+(M571+M572)-(L571+L572)</f>
        <v>-429</v>
      </c>
      <c r="N627" s="41">
        <f t="shared" si="7659"/>
        <v>-838</v>
      </c>
      <c r="O627" s="41">
        <f t="shared" si="7659"/>
        <v>-57</v>
      </c>
      <c r="P627" s="41">
        <f t="shared" si="7659"/>
        <v>-51</v>
      </c>
      <c r="Q627" s="41">
        <f t="shared" si="7659"/>
        <v>127</v>
      </c>
      <c r="R627" s="41">
        <f t="shared" si="7659"/>
        <v>2178</v>
      </c>
      <c r="S627" s="41">
        <f t="shared" si="7659"/>
        <v>-787</v>
      </c>
      <c r="T627" s="41">
        <f t="shared" si="7659"/>
        <v>-2012</v>
      </c>
      <c r="U627" s="41">
        <f t="shared" si="7659"/>
        <v>-372</v>
      </c>
      <c r="V627" s="41">
        <f t="shared" si="7659"/>
        <v>-136</v>
      </c>
      <c r="W627" s="41">
        <f t="shared" si="7659"/>
        <v>-496</v>
      </c>
      <c r="X627" s="41">
        <f t="shared" si="7659"/>
        <v>-119</v>
      </c>
      <c r="Y627" s="41">
        <f t="shared" si="7659"/>
        <v>-297</v>
      </c>
      <c r="Z627" s="41">
        <f t="shared" si="7659"/>
        <v>-972</v>
      </c>
      <c r="AA627" s="41">
        <f t="shared" si="7659"/>
        <v>-514</v>
      </c>
      <c r="AB627" s="41">
        <f t="shared" si="7659"/>
        <v>-429</v>
      </c>
      <c r="AC627" s="41">
        <f t="shared" si="7659"/>
        <v>179</v>
      </c>
      <c r="AD627" s="41">
        <f t="shared" si="7659"/>
        <v>-623</v>
      </c>
      <c r="AE627" s="41">
        <f t="shared" si="7659"/>
        <v>349</v>
      </c>
      <c r="AF627" s="41">
        <f t="shared" si="7659"/>
        <v>901</v>
      </c>
      <c r="AG627" s="41">
        <f t="shared" si="7659"/>
        <v>-114</v>
      </c>
      <c r="AH627" s="41">
        <f t="shared" si="7659"/>
        <v>347</v>
      </c>
      <c r="AI627" s="41">
        <f t="shared" si="7659"/>
        <v>28</v>
      </c>
      <c r="AJ627" s="41">
        <f t="shared" si="7659"/>
        <v>795</v>
      </c>
      <c r="AK627" s="41">
        <f t="shared" si="7659"/>
        <v>191</v>
      </c>
      <c r="AL627" s="41">
        <f t="shared" si="7659"/>
        <v>107</v>
      </c>
      <c r="AM627" s="41">
        <f t="shared" si="7659"/>
        <v>1069</v>
      </c>
      <c r="AN627" s="41">
        <f t="shared" si="7659"/>
        <v>687</v>
      </c>
      <c r="AO627" s="41">
        <f t="shared" si="7659"/>
        <v>584</v>
      </c>
      <c r="AP627" s="41">
        <f t="shared" si="7659"/>
        <v>356</v>
      </c>
      <c r="AQ627" s="41">
        <f t="shared" si="7659"/>
        <v>-101</v>
      </c>
      <c r="AR627" s="41">
        <f t="shared" si="7659"/>
        <v>56</v>
      </c>
      <c r="AS627" s="41">
        <f t="shared" si="7659"/>
        <v>191</v>
      </c>
      <c r="AT627" s="41">
        <f t="shared" si="7659"/>
        <v>-56</v>
      </c>
      <c r="AU627" s="41">
        <f t="shared" si="7659"/>
        <v>-28</v>
      </c>
      <c r="AV627" s="41">
        <f t="shared" si="7659"/>
        <v>54</v>
      </c>
      <c r="AW627" s="41">
        <f t="shared" si="7659"/>
        <v>-1444</v>
      </c>
      <c r="AX627" s="41">
        <f t="shared" si="7659"/>
        <v>175</v>
      </c>
      <c r="AY627" s="211">
        <f t="shared" ref="AY627" si="7660">AY524+(AY571+AY572)-(AX571+AX572)</f>
        <v>-44</v>
      </c>
      <c r="AZ627" s="41">
        <f t="shared" ref="AZ627" si="7661">AZ524+(AZ571+AZ572)-(AY571+AY572)</f>
        <v>49.050795024736544</v>
      </c>
      <c r="BA627" s="41">
        <f t="shared" ref="BA627" si="7662">BA524+(BA571+BA572)-(AZ571+AZ572)</f>
        <v>29.230505092643398</v>
      </c>
      <c r="BB627" s="41">
        <f t="shared" ref="BB627" si="7663">BB524+(BB571+BB572)-(BA571+BA572)</f>
        <v>24.467040825239565</v>
      </c>
      <c r="BC627" s="41">
        <f t="shared" ref="BC627" si="7664">BC524+(BC571+BC572)-(BB571+BB572)</f>
        <v>10.32519115633022</v>
      </c>
      <c r="BD627" s="41">
        <f t="shared" ref="BD627" si="7665">BD524+(BD571+BD572)-(BC571+BC572)</f>
        <v>10.181577416920845</v>
      </c>
      <c r="BE627" s="41">
        <f t="shared" ref="BE627" si="7666">BE524+(BE571+BE572)-(BD571+BD572)</f>
        <v>-0.76845043279354286</v>
      </c>
      <c r="BF627" s="41">
        <f t="shared" ref="BF627" si="7667">BF524+(BF571+BF572)-(BE571+BE572)</f>
        <v>1.8291006973704498</v>
      </c>
      <c r="BG627" s="41">
        <f t="shared" ref="BG627:BK627" si="7668">BG524+(BG571+BG572)-(BF571+BF572)</f>
        <v>-7.3649527689176466</v>
      </c>
      <c r="BH627" s="41">
        <f t="shared" si="7668"/>
        <v>-3.1068565570194551</v>
      </c>
      <c r="BI627" s="41">
        <f t="shared" si="7668"/>
        <v>-11.375143119455061</v>
      </c>
      <c r="BJ627" s="41">
        <f t="shared" si="7668"/>
        <v>-6.3145655996131609</v>
      </c>
      <c r="BK627" s="41">
        <f t="shared" si="7668"/>
        <v>-16.812758233876593</v>
      </c>
      <c r="BL627" s="41">
        <f t="shared" ref="BL627" si="7669">BL524+(BL571+BL572)-(BK571+BK572)</f>
        <v>-3.7574482382015049</v>
      </c>
      <c r="BM627" s="41">
        <f t="shared" ref="BM627" si="7670">BM524+(BM571+BM572)-(BL571+BL572)</f>
        <v>-16.86378196678379</v>
      </c>
      <c r="BN627" s="41">
        <f t="shared" ref="BN627" si="7671">BN524+(BN571+BN572)-(BM571+BM572)</f>
        <v>-3.7747561106443754</v>
      </c>
      <c r="BO627" s="41">
        <f t="shared" ref="BO627" si="7672">BO524+(BO571+BO572)-(BN571+BN572)</f>
        <v>-16.203080631025841</v>
      </c>
      <c r="BP627" s="41">
        <f t="shared" ref="BP627" si="7673">BP524+(BP571+BP572)-(BO571+BO572)</f>
        <v>-4.5237700405496071</v>
      </c>
      <c r="BQ627" s="41">
        <f t="shared" ref="BQ627" si="7674">BQ524+(BQ571+BQ572)-(BP571+BP572)</f>
        <v>-16.508403501436078</v>
      </c>
      <c r="BR627" s="41"/>
      <c r="BS627" s="41">
        <f t="shared" ref="BS627:CB627" si="7675">BS524+(BS571+BS572)-(BR571+BR572)</f>
        <v>0</v>
      </c>
      <c r="BT627" s="41">
        <f t="shared" si="7675"/>
        <v>0</v>
      </c>
      <c r="BU627" s="41">
        <f t="shared" si="7675"/>
        <v>-4</v>
      </c>
      <c r="BV627" s="41">
        <f t="shared" si="7675"/>
        <v>-4</v>
      </c>
      <c r="BW627" s="41">
        <f t="shared" si="7675"/>
        <v>-9</v>
      </c>
      <c r="BX627" s="41">
        <f t="shared" si="7675"/>
        <v>-4</v>
      </c>
      <c r="BY627" s="41">
        <f t="shared" si="7675"/>
        <v>3</v>
      </c>
      <c r="BZ627" s="41">
        <f t="shared" si="7675"/>
        <v>-64</v>
      </c>
      <c r="CA627" s="41">
        <f t="shared" si="7675"/>
        <v>-48</v>
      </c>
      <c r="CB627" s="41">
        <f t="shared" si="7675"/>
        <v>-14</v>
      </c>
      <c r="CC627" s="41">
        <f>SUM(D627:E627)</f>
        <v>111</v>
      </c>
      <c r="CD627" s="41">
        <f>SUM(F627:G627)</f>
        <v>-886</v>
      </c>
      <c r="CE627" s="41">
        <f>SUM(H627:I627)</f>
        <v>-3042</v>
      </c>
      <c r="CF627" s="41">
        <f>SUM(J627:K627)</f>
        <v>299</v>
      </c>
      <c r="CG627" s="41">
        <f>SUM(L627:M627)</f>
        <v>-457</v>
      </c>
      <c r="CH627" s="41">
        <f>SUM(N627:O627)</f>
        <v>-895</v>
      </c>
      <c r="CI627" s="41">
        <f>SUM(P627:Q627)</f>
        <v>76</v>
      </c>
      <c r="CJ627" s="41">
        <f>SUM(R627:S627)</f>
        <v>1391</v>
      </c>
      <c r="CK627" s="41">
        <f>SUM(T627:U627)</f>
        <v>-2384</v>
      </c>
      <c r="CL627" s="41">
        <f>SUM(V627:W627)</f>
        <v>-632</v>
      </c>
      <c r="CM627" s="41">
        <f>SUM(X627:Y627)</f>
        <v>-416</v>
      </c>
      <c r="CN627" s="41">
        <f>SUM(Z627:AA627)</f>
        <v>-1486</v>
      </c>
      <c r="CO627" s="41">
        <f>SUM(AB627:AC627)</f>
        <v>-250</v>
      </c>
      <c r="CP627" s="41">
        <f>SUM(AD627:AE627)</f>
        <v>-274</v>
      </c>
      <c r="CQ627" s="41">
        <f>SUM(AF627:AG627)</f>
        <v>787</v>
      </c>
      <c r="CR627" s="41">
        <f>SUM(AH627:AI627)</f>
        <v>375</v>
      </c>
      <c r="CS627" s="41">
        <f>SUM(AJ627:AK627)</f>
        <v>986</v>
      </c>
      <c r="CT627" s="41">
        <f>SUM(AL627:AM627)</f>
        <v>1176</v>
      </c>
      <c r="CU627" s="41">
        <f>SUM(AN627:AO627)</f>
        <v>1271</v>
      </c>
      <c r="CV627" s="41">
        <f>SUM(AP627:AQ627)</f>
        <v>255</v>
      </c>
      <c r="CW627" s="41">
        <f>SUM(AR627:AS627)</f>
        <v>247</v>
      </c>
      <c r="CX627" s="41">
        <f>SUM(AT627:AU627)</f>
        <v>-84</v>
      </c>
      <c r="CY627" s="41">
        <f>SUM(AV627:AW627)</f>
        <v>-1390</v>
      </c>
      <c r="CZ627" s="211">
        <f>SUM(AX627:AY627)</f>
        <v>131</v>
      </c>
      <c r="DA627" s="41">
        <f>SUM(AZ627:BA627)</f>
        <v>78.281300117379942</v>
      </c>
      <c r="DB627" s="41">
        <f>SUM(BB627:BC627)</f>
        <v>34.792231981569785</v>
      </c>
      <c r="DC627" s="41">
        <f>SUM(BD627:BE627)</f>
        <v>9.4131269841273024</v>
      </c>
      <c r="DD627" s="41">
        <f>SUM(BF627:BG627)</f>
        <v>-5.5358520715471968</v>
      </c>
      <c r="DE627" s="41">
        <f>SUM(BH627:BI627)</f>
        <v>-14.481999676474516</v>
      </c>
      <c r="DF627" s="41">
        <f>SUM(BJ627:BK627)</f>
        <v>-23.127323833489754</v>
      </c>
      <c r="DG627" s="41">
        <f>SUM(BL627:BM627)</f>
        <v>-20.621230204985295</v>
      </c>
      <c r="DH627" s="41">
        <f>SUM(BN627:BO627)</f>
        <v>-19.977836741670217</v>
      </c>
      <c r="DI627" s="41">
        <f>SUM(BP627:BQ627)</f>
        <v>-21.032173541985685</v>
      </c>
    </row>
    <row r="628" spans="1:113" ht="12" outlineLevel="1">
      <c r="A628" s="1" t="s">
        <v>24</v>
      </c>
      <c r="B628" s="15" t="s">
        <v>785</v>
      </c>
      <c r="C628" s="41" t="e">
        <f t="shared" ref="C628:L628" si="7676">SUM(C561,C554,C573:C575,C577:C584)-SUM(B561,B554,B573:B575,B577:B584)+C540-B540+C528</f>
        <v>#VALUE!</v>
      </c>
      <c r="D628" s="41">
        <f t="shared" si="7676"/>
        <v>-436</v>
      </c>
      <c r="E628" s="41">
        <f t="shared" si="7676"/>
        <v>-5</v>
      </c>
      <c r="F628" s="41">
        <f t="shared" si="7676"/>
        <v>-9</v>
      </c>
      <c r="G628" s="41">
        <f t="shared" si="7676"/>
        <v>130</v>
      </c>
      <c r="H628" s="41">
        <f t="shared" si="7676"/>
        <v>-84</v>
      </c>
      <c r="I628" s="41">
        <f t="shared" si="7676"/>
        <v>-580</v>
      </c>
      <c r="J628" s="41">
        <f t="shared" si="7676"/>
        <v>203</v>
      </c>
      <c r="K628" s="41">
        <f t="shared" si="7676"/>
        <v>-174</v>
      </c>
      <c r="L628" s="41">
        <f t="shared" si="7676"/>
        <v>246</v>
      </c>
      <c r="M628" s="41">
        <f t="shared" ref="M628:AS628" si="7677">SUM(M561,M554,M573:M575,M577:M584)-SUM(L561,L554,L573:L575,L577:L584)+M540-L540+M528</f>
        <v>322</v>
      </c>
      <c r="N628" s="41">
        <f t="shared" si="7677"/>
        <v>379</v>
      </c>
      <c r="O628" s="41">
        <f t="shared" si="7677"/>
        <v>-53</v>
      </c>
      <c r="P628" s="41">
        <f t="shared" si="7677"/>
        <v>-1546</v>
      </c>
      <c r="Q628" s="41">
        <f t="shared" si="7677"/>
        <v>123</v>
      </c>
      <c r="R628" s="41">
        <f t="shared" si="7677"/>
        <v>-1500</v>
      </c>
      <c r="S628" s="41">
        <f t="shared" si="7677"/>
        <v>852</v>
      </c>
      <c r="T628" s="41">
        <f t="shared" si="7677"/>
        <v>52</v>
      </c>
      <c r="U628" s="41">
        <f t="shared" si="7677"/>
        <v>-1</v>
      </c>
      <c r="V628" s="41">
        <f t="shared" si="7677"/>
        <v>7</v>
      </c>
      <c r="W628" s="41">
        <f t="shared" si="7677"/>
        <v>-239</v>
      </c>
      <c r="X628" s="41">
        <f t="shared" si="7677"/>
        <v>-235</v>
      </c>
      <c r="Y628" s="41">
        <f t="shared" si="7677"/>
        <v>-193</v>
      </c>
      <c r="Z628" s="41">
        <f t="shared" si="7677"/>
        <v>-3606</v>
      </c>
      <c r="AA628" s="41">
        <f t="shared" si="7677"/>
        <v>-84</v>
      </c>
      <c r="AB628" s="41">
        <f t="shared" si="7677"/>
        <v>197</v>
      </c>
      <c r="AC628" s="41">
        <f t="shared" si="7677"/>
        <v>-411</v>
      </c>
      <c r="AD628" s="41">
        <f t="shared" si="7677"/>
        <v>-867</v>
      </c>
      <c r="AE628" s="41">
        <f t="shared" si="7677"/>
        <v>-385</v>
      </c>
      <c r="AF628" s="41">
        <f t="shared" si="7677"/>
        <v>14</v>
      </c>
      <c r="AG628" s="41">
        <f t="shared" si="7677"/>
        <v>-236</v>
      </c>
      <c r="AH628" s="41">
        <f t="shared" si="7677"/>
        <v>273</v>
      </c>
      <c r="AI628" s="41">
        <f t="shared" si="7677"/>
        <v>-187</v>
      </c>
      <c r="AJ628" s="41">
        <f t="shared" si="7677"/>
        <v>1392</v>
      </c>
      <c r="AK628" s="41">
        <f t="shared" si="7677"/>
        <v>-176</v>
      </c>
      <c r="AL628" s="41">
        <f t="shared" si="7677"/>
        <v>-159</v>
      </c>
      <c r="AM628" s="41">
        <f t="shared" si="7677"/>
        <v>-1049</v>
      </c>
      <c r="AN628" s="41">
        <f t="shared" si="7677"/>
        <v>-640</v>
      </c>
      <c r="AO628" s="41">
        <f t="shared" si="7677"/>
        <v>-240</v>
      </c>
      <c r="AP628" s="41">
        <f t="shared" si="7677"/>
        <v>843</v>
      </c>
      <c r="AQ628" s="41">
        <f t="shared" si="7677"/>
        <v>-423</v>
      </c>
      <c r="AR628" s="41">
        <f t="shared" si="7677"/>
        <v>1012</v>
      </c>
      <c r="AS628" s="41">
        <f t="shared" si="7677"/>
        <v>1008</v>
      </c>
      <c r="AT628" s="41">
        <f>SUM(AT557,AT561,AT554,AT573:AT575,AT577:AT584)-SUM(AS557,AS561,AS554,AS573:AS575,AS577:AS584)+AT540-AS540+AT528</f>
        <v>-1581</v>
      </c>
      <c r="AU628" s="41">
        <f>SUM(AU557,AU561,AU554,AU573:AU575,AU577:AU584)-SUM(AT557,AT561,AT554,AT573:AT575,AT577:AT584)+AU540-AT540+AU528</f>
        <v>2</v>
      </c>
      <c r="AV628" s="41">
        <f>SUM(AV557,AV561,AV554,AV573:AV575,AV577:AV584)-SUM(AU557,AU561,AU554,AU573:AU575,AU577:AU584)+AV540-AU540+AV528</f>
        <v>520</v>
      </c>
      <c r="AW628" s="41">
        <f>SUM(AW557,AW561,AW554,AW573:AW575,AW577:AW584)-SUM(AV557,AV561,AV554,AV573:AV575,AV577:AV584)+AW540-AV540+AW528</f>
        <v>-2040</v>
      </c>
      <c r="AX628" s="41">
        <f>SUM(AX557,AX561,AX554,AX573:AX575,AX577:AX584)-SUM(AW557,AW561,AW554,AW573:AW575,AW577:AW584)+AX540-AW540+AX528</f>
        <v>-1132</v>
      </c>
      <c r="AY628" s="211">
        <f t="shared" ref="AY628:BM628" si="7678">SUM(AY557,AY561,AY554,AY573:AY575,AY577:AY584)-SUM(AX557,AX561,AX554,AX573:AX575,AX577:AX584)+AY540-AX540+AY528</f>
        <v>412</v>
      </c>
      <c r="AZ628" s="41">
        <f t="shared" si="7678"/>
        <v>-14.432350786308234</v>
      </c>
      <c r="BA628" s="41">
        <f t="shared" si="7678"/>
        <v>-14.636410171042371</v>
      </c>
      <c r="BB628" s="41">
        <f t="shared" si="7678"/>
        <v>-14.929103342159578</v>
      </c>
      <c r="BC628" s="41">
        <f t="shared" si="7678"/>
        <v>-15.271080242548123</v>
      </c>
      <c r="BD628" s="41">
        <f t="shared" si="7678"/>
        <v>-15.533198374938365</v>
      </c>
      <c r="BE628" s="41">
        <f t="shared" si="7678"/>
        <v>-15.84922183751587</v>
      </c>
      <c r="BF628" s="41">
        <f t="shared" si="7678"/>
        <v>-16.107493057928878</v>
      </c>
      <c r="BG628" s="41">
        <f t="shared" si="7678"/>
        <v>-16.394014378625798</v>
      </c>
      <c r="BH628" s="41">
        <f t="shared" si="7678"/>
        <v>-16.674030004860469</v>
      </c>
      <c r="BI628" s="41">
        <f t="shared" si="7678"/>
        <v>-16.957297187607764</v>
      </c>
      <c r="BJ628" s="41">
        <f t="shared" si="7678"/>
        <v>-17.296482317422488</v>
      </c>
      <c r="BK628" s="41">
        <f t="shared" si="7678"/>
        <v>-17.642452177340601</v>
      </c>
      <c r="BL628" s="41">
        <f t="shared" si="7678"/>
        <v>-17.99534248503187</v>
      </c>
      <c r="BM628" s="41">
        <f t="shared" si="7678"/>
        <v>-18.355291672980456</v>
      </c>
      <c r="BN628" s="41">
        <f t="shared" ref="BN628" si="7679">SUM(BN557,BN561,BN554,BN573:BN575,BN577:BN584)-SUM(BM557,BM561,BM554,BM573:BM575,BM577:BM584)+BN540-BM540+BN528</f>
        <v>-18.722440942854519</v>
      </c>
      <c r="BO628" s="41">
        <f t="shared" ref="BO628" si="7680">SUM(BO557,BO561,BO554,BO573:BO575,BO577:BO584)-SUM(BN557,BN561,BN554,BN573:BN575,BN577:BN584)+BO540-BN540+BO528</f>
        <v>-19.096934320827131</v>
      </c>
      <c r="BP628" s="41">
        <f t="shared" ref="BP628" si="7681">SUM(BP557,BP561,BP554,BP573:BP575,BP577:BP584)-SUM(BO557,BO561,BO554,BO573:BO575,BO577:BO584)+BP540-BO540+BP528</f>
        <v>-19.478918714137762</v>
      </c>
      <c r="BQ628" s="41">
        <f t="shared" ref="BQ628" si="7682">SUM(BQ557,BQ561,BQ554,BQ573:BQ575,BQ577:BQ584)-SUM(BP557,BP561,BP554,BP573:BP575,BP577:BP584)+BQ540-BP540+BQ528</f>
        <v>-19.868543968688755</v>
      </c>
      <c r="BR628" s="41"/>
      <c r="BS628" s="41">
        <f t="shared" ref="BS628:CB628" si="7683">SUM(BS561,BS554,BS573:BS575,BS577:BS584)-SUM(BR561,BR554,BR573:BR575,BR577:BR584)+BS540-BR540+BS528</f>
        <v>-63.500000000000092</v>
      </c>
      <c r="BT628" s="41">
        <f t="shared" si="7683"/>
        <v>-204.80000000000064</v>
      </c>
      <c r="BU628" s="41">
        <f t="shared" si="7683"/>
        <v>377.20000000000073</v>
      </c>
      <c r="BV628" s="41">
        <f t="shared" si="7683"/>
        <v>-290</v>
      </c>
      <c r="BW628" s="41">
        <f t="shared" si="7683"/>
        <v>189</v>
      </c>
      <c r="BX628" s="41">
        <f t="shared" si="7683"/>
        <v>50</v>
      </c>
      <c r="BY628" s="41">
        <f t="shared" si="7683"/>
        <v>587</v>
      </c>
      <c r="BZ628" s="41">
        <f t="shared" si="7683"/>
        <v>516</v>
      </c>
      <c r="CA628" s="41">
        <f t="shared" si="7683"/>
        <v>215</v>
      </c>
      <c r="CB628" s="41">
        <f t="shared" si="7683"/>
        <v>153</v>
      </c>
      <c r="CC628" s="41">
        <f>SUM(D628:E628)</f>
        <v>-441</v>
      </c>
      <c r="CD628" s="41">
        <f>SUM(F628:G628)</f>
        <v>121</v>
      </c>
      <c r="CE628" s="41">
        <f>SUM(H628:I628)</f>
        <v>-664</v>
      </c>
      <c r="CF628" s="41">
        <f>SUM(J628:K628)</f>
        <v>29</v>
      </c>
      <c r="CG628" s="41">
        <f>SUM(L628:M628)</f>
        <v>568</v>
      </c>
      <c r="CH628" s="41">
        <f>SUM(N628:O628)</f>
        <v>326</v>
      </c>
      <c r="CI628" s="41">
        <f>SUM(P628:Q628)</f>
        <v>-1423</v>
      </c>
      <c r="CJ628" s="41">
        <f>SUM(R628:S628)</f>
        <v>-648</v>
      </c>
      <c r="CK628" s="41">
        <f>SUM(T628:U628)</f>
        <v>51</v>
      </c>
      <c r="CL628" s="41">
        <f>SUM(V628:W628)</f>
        <v>-232</v>
      </c>
      <c r="CM628" s="41">
        <f>SUM(X628:Y628)</f>
        <v>-428</v>
      </c>
      <c r="CN628" s="41">
        <f>SUM(Z628:AA628)</f>
        <v>-3690</v>
      </c>
      <c r="CO628" s="41">
        <f>SUM(AB628:AC628)</f>
        <v>-214</v>
      </c>
      <c r="CP628" s="41">
        <f>SUM(AD628:AE628)</f>
        <v>-1252</v>
      </c>
      <c r="CQ628" s="41">
        <f>SUM(AF628:AG628)</f>
        <v>-222</v>
      </c>
      <c r="CR628" s="41">
        <f>SUM(AH628:AI628)</f>
        <v>86</v>
      </c>
      <c r="CS628" s="41">
        <f>SUM(AJ628:AK628)</f>
        <v>1216</v>
      </c>
      <c r="CT628" s="41">
        <f>SUM(AL628:AM628)</f>
        <v>-1208</v>
      </c>
      <c r="CU628" s="41">
        <f>SUM(AN628:AO628)</f>
        <v>-880</v>
      </c>
      <c r="CV628" s="41">
        <f>SUM(AP628:AQ628)</f>
        <v>420</v>
      </c>
      <c r="CW628" s="41">
        <f>SUM(AR628:AS628)</f>
        <v>2020</v>
      </c>
      <c r="CX628" s="41">
        <f>SUM(AT628:AU628)</f>
        <v>-1579</v>
      </c>
      <c r="CY628" s="41">
        <f>SUM(AV628:AW628)</f>
        <v>-1520</v>
      </c>
      <c r="CZ628" s="211">
        <f>SUM(AX628:AY628)</f>
        <v>-720</v>
      </c>
      <c r="DA628" s="41">
        <f>SUM(AZ628:BA628)</f>
        <v>-29.068760957350605</v>
      </c>
      <c r="DB628" s="41">
        <f>SUM(BB628:BC628)</f>
        <v>-30.200183584707702</v>
      </c>
      <c r="DC628" s="41">
        <f>SUM(BD628:BE628)</f>
        <v>-31.382420212454235</v>
      </c>
      <c r="DD628" s="41">
        <f>SUM(BF628:BG628)</f>
        <v>-32.501507436554675</v>
      </c>
      <c r="DE628" s="41">
        <f>SUM(BH628:BI628)</f>
        <v>-33.631327192468234</v>
      </c>
      <c r="DF628" s="41">
        <f>SUM(BJ628:BK628)</f>
        <v>-34.938934494763089</v>
      </c>
      <c r="DG628" s="41">
        <f>SUM(BL628:BM628)</f>
        <v>-36.350634158012326</v>
      </c>
      <c r="DH628" s="41">
        <f>SUM(BN628:BO628)</f>
        <v>-37.81937526368165</v>
      </c>
      <c r="DI628" s="41">
        <f>SUM(BP628:BQ628)</f>
        <v>-39.347462682826517</v>
      </c>
    </row>
    <row r="629" spans="1:113" s="17" customFormat="1" ht="12" outlineLevel="1">
      <c r="A629" s="1" t="s">
        <v>896</v>
      </c>
      <c r="B629" s="17" t="s">
        <v>786</v>
      </c>
      <c r="C629" s="62" t="e">
        <f t="shared" ref="C629:L629" si="7684">SUM(C624:C628)</f>
        <v>#VALUE!</v>
      </c>
      <c r="D629" s="62">
        <f t="shared" si="7684"/>
        <v>546.55000000000018</v>
      </c>
      <c r="E629" s="62">
        <f t="shared" si="7684"/>
        <v>915.40000000000032</v>
      </c>
      <c r="F629" s="62">
        <f t="shared" si="7684"/>
        <v>624.34999999999968</v>
      </c>
      <c r="G629" s="62">
        <f t="shared" si="7684"/>
        <v>-158.05000000000018</v>
      </c>
      <c r="H629" s="62">
        <f t="shared" si="7684"/>
        <v>-3577.6499999999996</v>
      </c>
      <c r="I629" s="62">
        <f t="shared" si="7684"/>
        <v>756.65000000000032</v>
      </c>
      <c r="J629" s="62">
        <f t="shared" si="7684"/>
        <v>639.00000000000045</v>
      </c>
      <c r="K629" s="62">
        <f t="shared" si="7684"/>
        <v>901.54999999999882</v>
      </c>
      <c r="L629" s="62">
        <f t="shared" si="7684"/>
        <v>985.99999999999955</v>
      </c>
      <c r="M629" s="62">
        <f t="shared" ref="M629:AB629" si="7685">SUM(M624:M628)</f>
        <v>1180.7000000000007</v>
      </c>
      <c r="N629" s="62">
        <f t="shared" si="7685"/>
        <v>1016.7000000000003</v>
      </c>
      <c r="O629" s="62">
        <f t="shared" si="7685"/>
        <v>306.34999999999832</v>
      </c>
      <c r="P629" s="62">
        <f t="shared" si="7685"/>
        <v>75.600000000001273</v>
      </c>
      <c r="Q629" s="62">
        <f t="shared" si="7685"/>
        <v>907.60000000000082</v>
      </c>
      <c r="R629" s="62">
        <f t="shared" si="7685"/>
        <v>-3515.630000000001</v>
      </c>
      <c r="S629" s="62">
        <f t="shared" si="7685"/>
        <v>2993.8450000000012</v>
      </c>
      <c r="T629" s="62">
        <f t="shared" si="7685"/>
        <v>-100.97999999999956</v>
      </c>
      <c r="U629" s="62">
        <f t="shared" si="7685"/>
        <v>395.73500000000058</v>
      </c>
      <c r="V629" s="62">
        <f t="shared" si="7685"/>
        <v>-5673.5120000000024</v>
      </c>
      <c r="W629" s="62">
        <f t="shared" si="7685"/>
        <v>1545.5228000000025</v>
      </c>
      <c r="X629" s="62">
        <f t="shared" si="7685"/>
        <v>1774.9571999999971</v>
      </c>
      <c r="Y629" s="62">
        <f t="shared" si="7685"/>
        <v>1832.4882999999973</v>
      </c>
      <c r="Z629" s="62">
        <f t="shared" si="7685"/>
        <v>-152.74129999999786</v>
      </c>
      <c r="AA629" s="62">
        <f t="shared" si="7685"/>
        <v>2942.6525000000001</v>
      </c>
      <c r="AB629" s="62">
        <f t="shared" si="7685"/>
        <v>232.61250000000655</v>
      </c>
      <c r="AC629" s="62">
        <f t="shared" ref="AC629:AD629" si="7686">SUM(AC624:AC628)</f>
        <v>2520.1399999999958</v>
      </c>
      <c r="AD629" s="62">
        <f t="shared" si="7686"/>
        <v>2136.9400000000023</v>
      </c>
      <c r="AE629" s="62">
        <f t="shared" ref="AE629:AF629" si="7687">SUM(AE624:AE628)</f>
        <v>4754.3399999999965</v>
      </c>
      <c r="AF629" s="62">
        <f t="shared" si="7687"/>
        <v>-630.16999999999825</v>
      </c>
      <c r="AG629" s="62">
        <f t="shared" ref="AG629:AH629" si="7688">SUM(AG624:AG628)</f>
        <v>1290.2999999999956</v>
      </c>
      <c r="AH629" s="62">
        <f t="shared" si="7688"/>
        <v>4133.2000000000044</v>
      </c>
      <c r="AI629" s="62">
        <f t="shared" ref="AI629:AJ629" si="7689">SUM(AI624:AI628)</f>
        <v>2013.135000000002</v>
      </c>
      <c r="AJ629" s="62">
        <f t="shared" si="7689"/>
        <v>5344.2799999999988</v>
      </c>
      <c r="AK629" s="62">
        <f t="shared" ref="AK629:AL629" si="7690">SUM(AK624:AK628)</f>
        <v>4617.4850000000006</v>
      </c>
      <c r="AL629" s="62">
        <f t="shared" si="7690"/>
        <v>3651.5449999999983</v>
      </c>
      <c r="AM629" s="62">
        <f t="shared" ref="AM629:AN629" si="7691">SUM(AM624:AM628)</f>
        <v>1846.6500000000015</v>
      </c>
      <c r="AN629" s="62">
        <f t="shared" si="7691"/>
        <v>-404.35499999999593</v>
      </c>
      <c r="AO629" s="62">
        <f t="shared" ref="AO629" si="7692">SUM(AO624:AO628)</f>
        <v>2934.9399999999951</v>
      </c>
      <c r="AP629" s="62">
        <f t="shared" ref="AP629:AQ629" si="7693">SUM(AP624:AP628)</f>
        <v>5594.8899999999994</v>
      </c>
      <c r="AQ629" s="62">
        <f t="shared" si="7693"/>
        <v>2327.4000000000015</v>
      </c>
      <c r="AR629" s="62">
        <f t="shared" ref="AR629:AS629" si="7694">SUM(AR624:AR628)</f>
        <v>-252.5199999999968</v>
      </c>
      <c r="AS629" s="62">
        <f t="shared" si="7694"/>
        <v>5360.1599999999962</v>
      </c>
      <c r="AT629" s="62">
        <f t="shared" ref="AT629:AU629" si="7695">SUM(AT624:AT628)</f>
        <v>3273.8499999999985</v>
      </c>
      <c r="AU629" s="62">
        <f t="shared" si="7695"/>
        <v>3028.5699999999997</v>
      </c>
      <c r="AV629" s="62">
        <f t="shared" ref="AV629:AW629" si="7696">SUM(AV624:AV628)</f>
        <v>3511.2799999999988</v>
      </c>
      <c r="AW629" s="62">
        <f t="shared" si="7696"/>
        <v>-2423.3299999999945</v>
      </c>
      <c r="AX629" s="62">
        <f t="shared" ref="AX629" si="7697">SUM(AX624:AX628)</f>
        <v>801.12999999999738</v>
      </c>
      <c r="AY629" s="220">
        <f t="shared" ref="AY629" si="7698">SUM(AY624:AY628)</f>
        <v>3471.7200000000012</v>
      </c>
      <c r="AZ629" s="62">
        <f t="shared" ref="AZ629:BA629" si="7699">SUM(AZ624:AZ628)</f>
        <v>2772.9745933665458</v>
      </c>
      <c r="BA629" s="62">
        <f t="shared" si="7699"/>
        <v>3149.285584433821</v>
      </c>
      <c r="BB629" s="62">
        <f t="shared" ref="BB629:BC629" si="7700">SUM(BB624:BB628)</f>
        <v>3292.5471397153583</v>
      </c>
      <c r="BC629" s="62">
        <f t="shared" si="7700"/>
        <v>2921.0493438493841</v>
      </c>
      <c r="BD629" s="62">
        <f t="shared" ref="BD629:BE629" si="7701">SUM(BD624:BD628)</f>
        <v>3346.9300349376572</v>
      </c>
      <c r="BE629" s="62">
        <f t="shared" si="7701"/>
        <v>2934.3265224285706</v>
      </c>
      <c r="BF629" s="62">
        <f t="shared" ref="BF629:BG629" si="7702">SUM(BF624:BF628)</f>
        <v>3417.3686052005587</v>
      </c>
      <c r="BG629" s="62">
        <f t="shared" si="7702"/>
        <v>3180.5400276809833</v>
      </c>
      <c r="BH629" s="62">
        <f t="shared" ref="BH629:BI629" si="7703">SUM(BH624:BH628)</f>
        <v>3237.0935971391368</v>
      </c>
      <c r="BI629" s="62">
        <f t="shared" si="7703"/>
        <v>2971.208671997329</v>
      </c>
      <c r="BJ629" s="62">
        <f t="shared" ref="BJ629:BK629" si="7704">SUM(BJ624:BJ628)</f>
        <v>3396.9932823333952</v>
      </c>
      <c r="BK629" s="62">
        <f t="shared" si="7704"/>
        <v>3461.8897885052656</v>
      </c>
      <c r="BL629" s="62">
        <f t="shared" ref="BL629:BM629" si="7705">SUM(BL624:BL628)</f>
        <v>3674.2922501414478</v>
      </c>
      <c r="BM629" s="62">
        <f t="shared" si="7705"/>
        <v>3464.0040752520003</v>
      </c>
      <c r="BN629" s="62">
        <f t="shared" ref="BN629:BO629" si="7706">SUM(BN624:BN628)</f>
        <v>3564.9009290490221</v>
      </c>
      <c r="BO629" s="62">
        <f t="shared" si="7706"/>
        <v>3393.7437426287738</v>
      </c>
      <c r="BP629" s="62">
        <f t="shared" ref="BP629:BQ629" si="7707">SUM(BP624:BP628)</f>
        <v>3521.5414067937149</v>
      </c>
      <c r="BQ629" s="62">
        <f t="shared" si="7707"/>
        <v>3385.3581614347836</v>
      </c>
      <c r="BR629" s="62"/>
      <c r="BS629" s="62">
        <f t="shared" ref="BS629:CB629" si="7708">SUM(BS624:BS628)</f>
        <v>-3459.3300000000013</v>
      </c>
      <c r="BT629" s="62">
        <f t="shared" si="7708"/>
        <v>609.33000000000061</v>
      </c>
      <c r="BU629" s="62">
        <f t="shared" si="7708"/>
        <v>1049.8499999999995</v>
      </c>
      <c r="BV629" s="62">
        <f t="shared" si="7708"/>
        <v>535.55000000000018</v>
      </c>
      <c r="BW629" s="62">
        <f t="shared" si="7708"/>
        <v>678.94999999999982</v>
      </c>
      <c r="BX629" s="62">
        <f t="shared" si="7708"/>
        <v>542.5</v>
      </c>
      <c r="BY629" s="62">
        <f t="shared" si="7708"/>
        <v>1340.5500000000002</v>
      </c>
      <c r="BZ629" s="62">
        <f t="shared" si="7708"/>
        <v>1547.9499999999998</v>
      </c>
      <c r="CA629" s="62">
        <f t="shared" si="7708"/>
        <v>1411.4499999999998</v>
      </c>
      <c r="CB629" s="62">
        <f t="shared" si="7708"/>
        <v>1631.9499999999998</v>
      </c>
      <c r="CC629" s="62">
        <f t="shared" ref="CC629:CP629" si="7709">SUM(CC624:CC628)</f>
        <v>1461.9500000000007</v>
      </c>
      <c r="CD629" s="62">
        <f t="shared" si="7709"/>
        <v>466.29999999999927</v>
      </c>
      <c r="CE629" s="62">
        <f t="shared" si="7709"/>
        <v>-2821</v>
      </c>
      <c r="CF629" s="62">
        <f t="shared" si="7709"/>
        <v>1540.5499999999984</v>
      </c>
      <c r="CG629" s="62">
        <f t="shared" si="7709"/>
        <v>2166.7000000000003</v>
      </c>
      <c r="CH629" s="62">
        <f t="shared" si="7709"/>
        <v>1323.0499999999988</v>
      </c>
      <c r="CI629" s="62">
        <f t="shared" si="7709"/>
        <v>983.20000000000027</v>
      </c>
      <c r="CJ629" s="62">
        <f t="shared" si="7709"/>
        <v>-521.78499999999985</v>
      </c>
      <c r="CK629" s="62">
        <f t="shared" si="7709"/>
        <v>294.75500000000102</v>
      </c>
      <c r="CL629" s="62">
        <f t="shared" si="7709"/>
        <v>-4127.9892</v>
      </c>
      <c r="CM629" s="62">
        <f t="shared" si="7709"/>
        <v>3607.4454999999944</v>
      </c>
      <c r="CN629" s="62">
        <f t="shared" si="7709"/>
        <v>2789.9112000000023</v>
      </c>
      <c r="CO629" s="62">
        <f t="shared" si="7709"/>
        <v>2752.7525000000023</v>
      </c>
      <c r="CP629" s="62">
        <f t="shared" si="7709"/>
        <v>6891.2799999999988</v>
      </c>
      <c r="CQ629" s="62">
        <f t="shared" ref="CQ629:CX629" si="7710">SUM(CQ624:CQ628)</f>
        <v>660.12999999999738</v>
      </c>
      <c r="CR629" s="62">
        <f t="shared" si="7710"/>
        <v>6146.3350000000064</v>
      </c>
      <c r="CS629" s="62">
        <f t="shared" si="7710"/>
        <v>9961.7649999999994</v>
      </c>
      <c r="CT629" s="62">
        <f t="shared" si="7710"/>
        <v>5498.1949999999997</v>
      </c>
      <c r="CU629" s="62">
        <f t="shared" si="7710"/>
        <v>2530.5849999999991</v>
      </c>
      <c r="CV629" s="62">
        <f t="shared" si="7710"/>
        <v>7922.2900000000009</v>
      </c>
      <c r="CW629" s="62">
        <f t="shared" si="7710"/>
        <v>5107.6399999999994</v>
      </c>
      <c r="CX629" s="62">
        <f t="shared" si="7710"/>
        <v>6302.4199999999983</v>
      </c>
      <c r="CY629" s="62">
        <f t="shared" ref="CY629:DD629" si="7711">SUM(CY624:CY628)</f>
        <v>1087.9500000000044</v>
      </c>
      <c r="CZ629" s="220">
        <f t="shared" si="7711"/>
        <v>4272.8499999999985</v>
      </c>
      <c r="DA629" s="62">
        <f t="shared" si="7711"/>
        <v>5922.2601778003682</v>
      </c>
      <c r="DB629" s="62">
        <f t="shared" si="7711"/>
        <v>6213.5964835647437</v>
      </c>
      <c r="DC629" s="62">
        <f t="shared" si="7711"/>
        <v>6281.2565573662296</v>
      </c>
      <c r="DD629" s="62">
        <f t="shared" si="7711"/>
        <v>6597.9086328815429</v>
      </c>
      <c r="DE629" s="62">
        <f t="shared" ref="DE629" si="7712">SUM(DE624:DE628)</f>
        <v>6208.3022691364649</v>
      </c>
      <c r="DF629" s="62">
        <f t="shared" ref="DF629" si="7713">SUM(DF624:DF628)</f>
        <v>6858.8830708386586</v>
      </c>
      <c r="DG629" s="62">
        <f>SUM(DG624:DG628)</f>
        <v>7138.2963253934458</v>
      </c>
      <c r="DH629" s="62">
        <f>SUM(DH624:DH628)</f>
        <v>6958.6446716777991</v>
      </c>
      <c r="DI629" s="62">
        <f>SUM(DI624:DI628)</f>
        <v>6906.8995682285004</v>
      </c>
    </row>
    <row r="630" spans="1:113" ht="12" outlineLevel="1">
      <c r="A630" s="1" t="s">
        <v>25</v>
      </c>
      <c r="B630" s="15" t="s">
        <v>787</v>
      </c>
      <c r="C630" s="41" t="e">
        <f t="shared" ref="C630:L630" si="7714">B595-C595</f>
        <v>#VALUE!</v>
      </c>
      <c r="D630" s="41">
        <f t="shared" si="7714"/>
        <v>-66.550000000000182</v>
      </c>
      <c r="E630" s="41">
        <f t="shared" si="7714"/>
        <v>-349.40000000000055</v>
      </c>
      <c r="F630" s="41">
        <f t="shared" si="7714"/>
        <v>-90.349999999999454</v>
      </c>
      <c r="G630" s="41">
        <f t="shared" si="7714"/>
        <v>806.05000000000018</v>
      </c>
      <c r="H630" s="41">
        <f t="shared" si="7714"/>
        <v>723.64999999999964</v>
      </c>
      <c r="I630" s="41">
        <f t="shared" si="7714"/>
        <v>69.350000000000364</v>
      </c>
      <c r="J630" s="41">
        <f t="shared" si="7714"/>
        <v>257</v>
      </c>
      <c r="K630" s="41">
        <f t="shared" si="7714"/>
        <v>63.450000000000728</v>
      </c>
      <c r="L630" s="41">
        <f t="shared" si="7714"/>
        <v>6</v>
      </c>
      <c r="M630" s="41">
        <f t="shared" ref="M630:AX630" si="7715">L595-M595</f>
        <v>-132.70000000000073</v>
      </c>
      <c r="N630" s="41">
        <f t="shared" si="7715"/>
        <v>-34.700000000000728</v>
      </c>
      <c r="O630" s="41">
        <f t="shared" si="7715"/>
        <v>513.65000000000146</v>
      </c>
      <c r="P630" s="41">
        <f t="shared" si="7715"/>
        <v>-355.60000000000036</v>
      </c>
      <c r="Q630" s="41">
        <f t="shared" si="7715"/>
        <v>-1634.6000000000004</v>
      </c>
      <c r="R630" s="41">
        <f t="shared" si="7715"/>
        <v>2924.630000000001</v>
      </c>
      <c r="S630" s="41">
        <f t="shared" si="7715"/>
        <v>-6620.8450000000012</v>
      </c>
      <c r="T630" s="41">
        <f t="shared" si="7715"/>
        <v>1246.9799999999996</v>
      </c>
      <c r="U630" s="41">
        <f t="shared" si="7715"/>
        <v>882.26499999999942</v>
      </c>
      <c r="V630" s="41">
        <f t="shared" si="7715"/>
        <v>6592.5120000000024</v>
      </c>
      <c r="W630" s="41">
        <f t="shared" si="7715"/>
        <v>-326.52280000000246</v>
      </c>
      <c r="X630" s="41">
        <f t="shared" si="7715"/>
        <v>-901.9571999999971</v>
      </c>
      <c r="Y630" s="41">
        <f t="shared" si="7715"/>
        <v>-591.48829999999725</v>
      </c>
      <c r="Z630" s="41">
        <f t="shared" si="7715"/>
        <v>-452.25870000000214</v>
      </c>
      <c r="AA630" s="41">
        <f t="shared" si="7715"/>
        <v>-1027.6525000000001</v>
      </c>
      <c r="AB630" s="41">
        <f t="shared" si="7715"/>
        <v>2334.3874999999935</v>
      </c>
      <c r="AC630" s="41">
        <f t="shared" si="7715"/>
        <v>-783.13999999999578</v>
      </c>
      <c r="AD630" s="41">
        <f t="shared" si="7715"/>
        <v>320.05999999999767</v>
      </c>
      <c r="AE630" s="41">
        <f t="shared" si="7715"/>
        <v>-3433.3399999999965</v>
      </c>
      <c r="AF630" s="41">
        <f t="shared" si="7715"/>
        <v>3083.1699999999983</v>
      </c>
      <c r="AG630" s="41">
        <f t="shared" si="7715"/>
        <v>859.70000000000437</v>
      </c>
      <c r="AH630" s="41">
        <f t="shared" si="7715"/>
        <v>-2104.2000000000044</v>
      </c>
      <c r="AI630" s="41">
        <f t="shared" si="7715"/>
        <v>243.86499999999796</v>
      </c>
      <c r="AJ630" s="41">
        <f t="shared" si="7715"/>
        <v>-1881.2799999999988</v>
      </c>
      <c r="AK630" s="41">
        <f t="shared" si="7715"/>
        <v>-1526.4850000000006</v>
      </c>
      <c r="AL630" s="41">
        <f t="shared" si="7715"/>
        <v>-240.54499999999825</v>
      </c>
      <c r="AM630" s="41">
        <f t="shared" si="7715"/>
        <v>343.34999999999854</v>
      </c>
      <c r="AN630" s="41">
        <f t="shared" si="7715"/>
        <v>2682.3549999999959</v>
      </c>
      <c r="AO630" s="41">
        <f t="shared" si="7715"/>
        <v>-2330.9399999999951</v>
      </c>
      <c r="AP630" s="41">
        <f t="shared" si="7715"/>
        <v>-4705.8899999999994</v>
      </c>
      <c r="AQ630" s="41">
        <f t="shared" si="7715"/>
        <v>258.59999999999854</v>
      </c>
      <c r="AR630" s="41">
        <f t="shared" si="7715"/>
        <v>3139.5199999999968</v>
      </c>
      <c r="AS630" s="41">
        <f t="shared" si="7715"/>
        <v>-3596.1599999999962</v>
      </c>
      <c r="AT630" s="41">
        <f t="shared" si="7715"/>
        <v>-1347.8499999999985</v>
      </c>
      <c r="AU630" s="41">
        <f t="shared" si="7715"/>
        <v>-653.56999999999971</v>
      </c>
      <c r="AV630" s="41">
        <f t="shared" si="7715"/>
        <v>-678.27999999999884</v>
      </c>
      <c r="AW630" s="41">
        <f t="shared" si="7715"/>
        <v>5461.3299999999945</v>
      </c>
      <c r="AX630" s="41">
        <f t="shared" si="7715"/>
        <v>1705.8700000000026</v>
      </c>
      <c r="AY630" s="211">
        <f t="shared" ref="AY630" si="7716">AX595-AY595</f>
        <v>-1104.7200000000012</v>
      </c>
      <c r="AZ630" s="41">
        <f t="shared" ref="AZ630" si="7717">AY595-AZ595</f>
        <v>-1039.5493687865455</v>
      </c>
      <c r="BA630" s="41">
        <f t="shared" ref="BA630" si="7718">AZ595-BA595</f>
        <v>-1340.0361512847521</v>
      </c>
      <c r="BB630" s="41">
        <f t="shared" ref="BB630" si="7719">BA595-BB595</f>
        <v>-568.02285879956617</v>
      </c>
      <c r="BC630" s="41">
        <f t="shared" ref="BC630" si="7720">BB595-BC595</f>
        <v>833.7474290766113</v>
      </c>
      <c r="BD630" s="41">
        <f t="shared" ref="BD630" si="7721">BC595-BD595</f>
        <v>414.39685184697737</v>
      </c>
      <c r="BE630" s="41">
        <f t="shared" ref="BE630" si="7722">BD595-BE595</f>
        <v>863.81505231435585</v>
      </c>
      <c r="BF630" s="41">
        <f t="shared" ref="BF630" si="7723">BE595-BF595</f>
        <v>417.62048323739145</v>
      </c>
      <c r="BG630" s="41">
        <f t="shared" ref="BG630:BK630" si="7724">BF595-BG595</f>
        <v>691.34833536317456</v>
      </c>
      <c r="BH630" s="41">
        <f t="shared" si="7724"/>
        <v>-328.23695460845192</v>
      </c>
      <c r="BI630" s="41">
        <f t="shared" si="7724"/>
        <v>-4.1748966160157579</v>
      </c>
      <c r="BJ630" s="41">
        <f t="shared" si="7724"/>
        <v>-371.78237410146539</v>
      </c>
      <c r="BK630" s="41">
        <f t="shared" si="7724"/>
        <v>-378.50174742273521</v>
      </c>
      <c r="BL630" s="41">
        <f t="shared" ref="BL630" si="7725">BK595-BL595</f>
        <v>-532.72707620831352</v>
      </c>
      <c r="BM630" s="41">
        <f t="shared" ref="BM630" si="7726">BL595-BM595</f>
        <v>-264.26176846821181</v>
      </c>
      <c r="BN630" s="41">
        <f t="shared" ref="BN630" si="7727">BM595-BN595</f>
        <v>-306.98148941464751</v>
      </c>
      <c r="BO630" s="41">
        <f t="shared" ref="BO630" si="7728">BN595-BO595</f>
        <v>-77.647170143769472</v>
      </c>
      <c r="BP630" s="41">
        <f t="shared" ref="BP630" si="7729">BO595-BP595</f>
        <v>-147.26770145810588</v>
      </c>
      <c r="BQ630" s="41">
        <f t="shared" ref="BQ630" si="7730">BP595-BQ595</f>
        <v>47.092676751432009</v>
      </c>
      <c r="BR630" s="41"/>
      <c r="BS630" s="41">
        <f t="shared" ref="BS630:CB630" si="7731">BR595-BS595</f>
        <v>165.13000000000147</v>
      </c>
      <c r="BT630" s="41">
        <f t="shared" si="7731"/>
        <v>-534.93000000000166</v>
      </c>
      <c r="BU630" s="41">
        <f t="shared" si="7731"/>
        <v>-781.84999999999945</v>
      </c>
      <c r="BV630" s="41">
        <f t="shared" si="7731"/>
        <v>-197.55000000000018</v>
      </c>
      <c r="BW630" s="41">
        <f t="shared" si="7731"/>
        <v>-247.94999999999982</v>
      </c>
      <c r="BX630" s="41">
        <f t="shared" si="7731"/>
        <v>-67.5</v>
      </c>
      <c r="BY630" s="41">
        <f t="shared" si="7731"/>
        <v>-839.55000000000018</v>
      </c>
      <c r="BZ630" s="41">
        <f t="shared" si="7731"/>
        <v>-922.94999999999982</v>
      </c>
      <c r="CA630" s="41">
        <f t="shared" si="7731"/>
        <v>271.55000000000018</v>
      </c>
      <c r="CB630" s="41">
        <f t="shared" si="7731"/>
        <v>-274.94999999999982</v>
      </c>
      <c r="CC630" s="41">
        <f>SUM(D630:E630)</f>
        <v>-415.95000000000073</v>
      </c>
      <c r="CD630" s="41">
        <f>SUM(F630:G630)</f>
        <v>715.70000000000073</v>
      </c>
      <c r="CE630" s="41">
        <f>SUM(H630:I630)</f>
        <v>793</v>
      </c>
      <c r="CF630" s="41">
        <f>SUM(J630:K630)</f>
        <v>320.45000000000073</v>
      </c>
      <c r="CG630" s="41">
        <f>SUM(L630:M630)</f>
        <v>-126.70000000000073</v>
      </c>
      <c r="CH630" s="41">
        <f>SUM(N630:O630)</f>
        <v>478.95000000000073</v>
      </c>
      <c r="CI630" s="41">
        <f>SUM(P630:Q630)</f>
        <v>-1990.2000000000007</v>
      </c>
      <c r="CJ630" s="41">
        <f>SUM(R630:S630)</f>
        <v>-3696.2150000000001</v>
      </c>
      <c r="CK630" s="41">
        <f>SUM(T630:U630)</f>
        <v>2129.244999999999</v>
      </c>
      <c r="CL630" s="41">
        <f>SUM(V630:W630)</f>
        <v>6265.9892</v>
      </c>
      <c r="CM630" s="41">
        <f>SUM(X630:Y630)</f>
        <v>-1493.4454999999944</v>
      </c>
      <c r="CN630" s="41">
        <f>SUM(Z630:AA630)</f>
        <v>-1479.9112000000023</v>
      </c>
      <c r="CO630" s="41">
        <f>SUM(AB630:AC630)</f>
        <v>1551.2474999999977</v>
      </c>
      <c r="CP630" s="41">
        <f>SUM(AD630:AE630)</f>
        <v>-3113.2799999999988</v>
      </c>
      <c r="CQ630" s="41">
        <f>SUM(AF630:AG630)</f>
        <v>3942.8700000000026</v>
      </c>
      <c r="CR630" s="41">
        <f>SUM(AH630:AI630)</f>
        <v>-1860.3350000000064</v>
      </c>
      <c r="CS630" s="41">
        <f>SUM(AJ630:AK630)</f>
        <v>-3407.7649999999994</v>
      </c>
      <c r="CT630" s="41">
        <f>SUM(AL630:AM630)</f>
        <v>102.80500000000029</v>
      </c>
      <c r="CU630" s="41">
        <f>SUM(AN630:AO630)</f>
        <v>351.41500000000087</v>
      </c>
      <c r="CV630" s="41">
        <f>SUM(AP630:AQ630)</f>
        <v>-4447.2900000000009</v>
      </c>
      <c r="CW630" s="41">
        <f>SUM(AR630:AS630)</f>
        <v>-456.63999999999942</v>
      </c>
      <c r="CX630" s="41">
        <f>SUM(AT630:AU630)</f>
        <v>-2001.4199999999983</v>
      </c>
      <c r="CY630" s="41">
        <f>SUM(AV630:AW630)</f>
        <v>4783.0499999999956</v>
      </c>
      <c r="CZ630" s="211">
        <f>SUM(AX630:AY630)</f>
        <v>601.15000000000146</v>
      </c>
      <c r="DA630" s="41">
        <f>SUM(AZ630:BA630)</f>
        <v>-2379.5855200712977</v>
      </c>
      <c r="DB630" s="41">
        <f>SUM(BB630:BC630)</f>
        <v>265.72457027704513</v>
      </c>
      <c r="DC630" s="41">
        <f>SUM(BD630:BE630)</f>
        <v>1278.2119041613332</v>
      </c>
      <c r="DD630" s="41">
        <f>SUM(BF630:BG630)</f>
        <v>1108.968818600566</v>
      </c>
      <c r="DE630" s="41">
        <f>SUM(BH630:BI630)</f>
        <v>-332.41185122446768</v>
      </c>
      <c r="DF630" s="41">
        <f>SUM(BJ630:BK630)</f>
        <v>-750.2841215242006</v>
      </c>
      <c r="DG630" s="41">
        <f>SUM(BL630:BM630)</f>
        <v>-796.98884467652533</v>
      </c>
      <c r="DH630" s="41">
        <f>SUM(BN630:BO630)</f>
        <v>-384.62865955841698</v>
      </c>
      <c r="DI630" s="41">
        <f>SUM(BP630:BQ630)</f>
        <v>-100.17502470667387</v>
      </c>
    </row>
    <row r="631" spans="1:113" s="17" customFormat="1" ht="12" outlineLevel="1">
      <c r="A631" s="1" t="s">
        <v>897</v>
      </c>
      <c r="B631" s="17" t="s">
        <v>653</v>
      </c>
      <c r="C631" s="62" t="e">
        <f t="shared" ref="C631:L631" si="7732">SUM(C629:C630)</f>
        <v>#VALUE!</v>
      </c>
      <c r="D631" s="62">
        <f t="shared" si="7732"/>
        <v>480</v>
      </c>
      <c r="E631" s="62">
        <f t="shared" si="7732"/>
        <v>565.99999999999977</v>
      </c>
      <c r="F631" s="62">
        <f t="shared" si="7732"/>
        <v>534.00000000000023</v>
      </c>
      <c r="G631" s="62">
        <f t="shared" si="7732"/>
        <v>648</v>
      </c>
      <c r="H631" s="62">
        <f t="shared" si="7732"/>
        <v>-2854</v>
      </c>
      <c r="I631" s="62">
        <f t="shared" si="7732"/>
        <v>826.00000000000068</v>
      </c>
      <c r="J631" s="62">
        <f t="shared" si="7732"/>
        <v>896.00000000000045</v>
      </c>
      <c r="K631" s="62">
        <f t="shared" si="7732"/>
        <v>964.99999999999955</v>
      </c>
      <c r="L631" s="62">
        <f t="shared" si="7732"/>
        <v>991.99999999999955</v>
      </c>
      <c r="M631" s="62">
        <f t="shared" ref="M631:AB631" si="7733">SUM(M629:M630)</f>
        <v>1048</v>
      </c>
      <c r="N631" s="62">
        <f t="shared" si="7733"/>
        <v>981.99999999999955</v>
      </c>
      <c r="O631" s="62">
        <f t="shared" si="7733"/>
        <v>819.99999999999977</v>
      </c>
      <c r="P631" s="62">
        <f t="shared" si="7733"/>
        <v>-279.99999999999909</v>
      </c>
      <c r="Q631" s="62">
        <f t="shared" si="7733"/>
        <v>-726.99999999999955</v>
      </c>
      <c r="R631" s="62">
        <f t="shared" si="7733"/>
        <v>-591</v>
      </c>
      <c r="S631" s="62">
        <f t="shared" si="7733"/>
        <v>-3627</v>
      </c>
      <c r="T631" s="62">
        <f t="shared" si="7733"/>
        <v>1146</v>
      </c>
      <c r="U631" s="62">
        <f t="shared" si="7733"/>
        <v>1278</v>
      </c>
      <c r="V631" s="62">
        <f t="shared" si="7733"/>
        <v>919</v>
      </c>
      <c r="W631" s="62">
        <f t="shared" si="7733"/>
        <v>1219</v>
      </c>
      <c r="X631" s="62">
        <f t="shared" si="7733"/>
        <v>873</v>
      </c>
      <c r="Y631" s="62">
        <f t="shared" si="7733"/>
        <v>1241</v>
      </c>
      <c r="Z631" s="62">
        <f t="shared" si="7733"/>
        <v>-605</v>
      </c>
      <c r="AA631" s="62">
        <f t="shared" si="7733"/>
        <v>1915</v>
      </c>
      <c r="AB631" s="62">
        <f t="shared" si="7733"/>
        <v>2567</v>
      </c>
      <c r="AC631" s="62">
        <f t="shared" ref="AC631:AD631" si="7734">SUM(AC629:AC630)</f>
        <v>1737</v>
      </c>
      <c r="AD631" s="62">
        <f t="shared" si="7734"/>
        <v>2457</v>
      </c>
      <c r="AE631" s="62">
        <f t="shared" ref="AE631:AF631" si="7735">SUM(AE629:AE630)</f>
        <v>1321</v>
      </c>
      <c r="AF631" s="62">
        <f t="shared" si="7735"/>
        <v>2453</v>
      </c>
      <c r="AG631" s="62">
        <f t="shared" ref="AG631:AH631" si="7736">SUM(AG629:AG630)</f>
        <v>2150</v>
      </c>
      <c r="AH631" s="62">
        <f t="shared" si="7736"/>
        <v>2029</v>
      </c>
      <c r="AI631" s="62">
        <f t="shared" ref="AI631:AJ631" si="7737">SUM(AI629:AI630)</f>
        <v>2257</v>
      </c>
      <c r="AJ631" s="62">
        <f t="shared" si="7737"/>
        <v>3463</v>
      </c>
      <c r="AK631" s="62">
        <f t="shared" ref="AK631:AL631" si="7738">SUM(AK629:AK630)</f>
        <v>3091</v>
      </c>
      <c r="AL631" s="62">
        <f t="shared" si="7738"/>
        <v>3411</v>
      </c>
      <c r="AM631" s="62">
        <f t="shared" ref="AM631:AN631" si="7739">SUM(AM629:AM630)</f>
        <v>2190</v>
      </c>
      <c r="AN631" s="62">
        <f t="shared" si="7739"/>
        <v>2278</v>
      </c>
      <c r="AO631" s="62">
        <f t="shared" ref="AO631" si="7740">SUM(AO629:AO630)</f>
        <v>604</v>
      </c>
      <c r="AP631" s="62">
        <f t="shared" ref="AP631:AQ631" si="7741">SUM(AP629:AP630)</f>
        <v>889</v>
      </c>
      <c r="AQ631" s="62">
        <f t="shared" si="7741"/>
        <v>2586</v>
      </c>
      <c r="AR631" s="62">
        <f t="shared" ref="AR631:AS631" si="7742">SUM(AR629:AR630)</f>
        <v>2887</v>
      </c>
      <c r="AS631" s="62">
        <f t="shared" si="7742"/>
        <v>1764</v>
      </c>
      <c r="AT631" s="62">
        <f t="shared" ref="AT631:AU631" si="7743">SUM(AT629:AT630)</f>
        <v>1926</v>
      </c>
      <c r="AU631" s="62">
        <f t="shared" si="7743"/>
        <v>2375</v>
      </c>
      <c r="AV631" s="62">
        <f t="shared" ref="AV631:AW631" si="7744">SUM(AV629:AV630)</f>
        <v>2833</v>
      </c>
      <c r="AW631" s="62">
        <f t="shared" si="7744"/>
        <v>3038</v>
      </c>
      <c r="AX631" s="62">
        <f t="shared" ref="AX631" si="7745">SUM(AX629:AX630)</f>
        <v>2507</v>
      </c>
      <c r="AY631" s="220">
        <f t="shared" ref="AY631" si="7746">SUM(AY629:AY630)</f>
        <v>2367</v>
      </c>
      <c r="AZ631" s="62">
        <f t="shared" ref="AZ631:BA631" si="7747">SUM(AZ629:AZ630)</f>
        <v>1733.4252245800003</v>
      </c>
      <c r="BA631" s="62">
        <f t="shared" si="7747"/>
        <v>1809.2494331490689</v>
      </c>
      <c r="BB631" s="62">
        <f t="shared" ref="BB631:BC631" si="7748">SUM(BB629:BB630)</f>
        <v>2724.5242809157921</v>
      </c>
      <c r="BC631" s="62">
        <f t="shared" si="7748"/>
        <v>3754.7967729259954</v>
      </c>
      <c r="BD631" s="62">
        <f t="shared" ref="BD631:BE631" si="7749">SUM(BD629:BD630)</f>
        <v>3761.3268867846346</v>
      </c>
      <c r="BE631" s="62">
        <f t="shared" si="7749"/>
        <v>3798.1415747429264</v>
      </c>
      <c r="BF631" s="62">
        <f t="shared" ref="BF631:BG631" si="7750">SUM(BF629:BF630)</f>
        <v>3834.9890884379502</v>
      </c>
      <c r="BG631" s="62">
        <f t="shared" si="7750"/>
        <v>3871.8883630441578</v>
      </c>
      <c r="BH631" s="62">
        <f t="shared" ref="BH631:BI631" si="7751">SUM(BH629:BH630)</f>
        <v>2908.8566425306849</v>
      </c>
      <c r="BI631" s="62">
        <f t="shared" si="7751"/>
        <v>2967.0337753813133</v>
      </c>
      <c r="BJ631" s="62">
        <f t="shared" ref="BJ631:BK631" si="7752">SUM(BJ629:BJ630)</f>
        <v>3025.2109082319298</v>
      </c>
      <c r="BK631" s="62">
        <f t="shared" si="7752"/>
        <v>3083.3880410825304</v>
      </c>
      <c r="BL631" s="62">
        <f t="shared" ref="BL631:BM631" si="7753">SUM(BL629:BL630)</f>
        <v>3141.5651739331342</v>
      </c>
      <c r="BM631" s="62">
        <f t="shared" si="7753"/>
        <v>3199.7423067837885</v>
      </c>
      <c r="BN631" s="62">
        <f t="shared" ref="BN631:BO631" si="7754">SUM(BN629:BN630)</f>
        <v>3257.9194396343746</v>
      </c>
      <c r="BO631" s="62">
        <f t="shared" si="7754"/>
        <v>3316.0965724850043</v>
      </c>
      <c r="BP631" s="62">
        <f t="shared" ref="BP631:BQ631" si="7755">SUM(BP629:BP630)</f>
        <v>3374.2737053356091</v>
      </c>
      <c r="BQ631" s="62">
        <f t="shared" si="7755"/>
        <v>3432.4508381862156</v>
      </c>
      <c r="BR631" s="62"/>
      <c r="BS631" s="62">
        <f t="shared" ref="BS631:CB631" si="7756">SUM(BS629:BS630)</f>
        <v>-3294.2</v>
      </c>
      <c r="BT631" s="62">
        <f t="shared" si="7756"/>
        <v>74.399999999998954</v>
      </c>
      <c r="BU631" s="62">
        <f t="shared" si="7756"/>
        <v>268</v>
      </c>
      <c r="BV631" s="62">
        <f t="shared" si="7756"/>
        <v>338</v>
      </c>
      <c r="BW631" s="62">
        <f t="shared" si="7756"/>
        <v>431</v>
      </c>
      <c r="BX631" s="62">
        <f t="shared" si="7756"/>
        <v>475</v>
      </c>
      <c r="BY631" s="62">
        <f t="shared" si="7756"/>
        <v>501</v>
      </c>
      <c r="BZ631" s="62">
        <f t="shared" si="7756"/>
        <v>625</v>
      </c>
      <c r="CA631" s="62">
        <f t="shared" si="7756"/>
        <v>1683</v>
      </c>
      <c r="CB631" s="62">
        <f t="shared" si="7756"/>
        <v>1357</v>
      </c>
      <c r="CC631" s="62">
        <f t="shared" ref="CC631:CP631" si="7757">SUM(CC629:CC630)</f>
        <v>1046</v>
      </c>
      <c r="CD631" s="62">
        <f t="shared" si="7757"/>
        <v>1182</v>
      </c>
      <c r="CE631" s="62">
        <f t="shared" si="7757"/>
        <v>-2028</v>
      </c>
      <c r="CF631" s="62">
        <f t="shared" si="7757"/>
        <v>1860.9999999999991</v>
      </c>
      <c r="CG631" s="62">
        <f t="shared" si="7757"/>
        <v>2039.9999999999995</v>
      </c>
      <c r="CH631" s="62">
        <f t="shared" si="7757"/>
        <v>1801.9999999999995</v>
      </c>
      <c r="CI631" s="62">
        <f t="shared" si="7757"/>
        <v>-1007.0000000000005</v>
      </c>
      <c r="CJ631" s="62">
        <f t="shared" si="7757"/>
        <v>-4218</v>
      </c>
      <c r="CK631" s="62">
        <f t="shared" si="7757"/>
        <v>2424</v>
      </c>
      <c r="CL631" s="62">
        <f t="shared" si="7757"/>
        <v>2138</v>
      </c>
      <c r="CM631" s="62">
        <f t="shared" si="7757"/>
        <v>2114</v>
      </c>
      <c r="CN631" s="62">
        <f t="shared" si="7757"/>
        <v>1310</v>
      </c>
      <c r="CO631" s="62">
        <f t="shared" si="7757"/>
        <v>4304</v>
      </c>
      <c r="CP631" s="62">
        <f t="shared" si="7757"/>
        <v>3778</v>
      </c>
      <c r="CQ631" s="62">
        <f t="shared" ref="CQ631:CX631" si="7758">SUM(CQ629:CQ630)</f>
        <v>4603</v>
      </c>
      <c r="CR631" s="62">
        <f t="shared" si="7758"/>
        <v>4286</v>
      </c>
      <c r="CS631" s="62">
        <f t="shared" si="7758"/>
        <v>6554</v>
      </c>
      <c r="CT631" s="62">
        <f t="shared" si="7758"/>
        <v>5601</v>
      </c>
      <c r="CU631" s="62">
        <f t="shared" si="7758"/>
        <v>2882</v>
      </c>
      <c r="CV631" s="62">
        <f t="shared" si="7758"/>
        <v>3475</v>
      </c>
      <c r="CW631" s="62">
        <f t="shared" si="7758"/>
        <v>4651</v>
      </c>
      <c r="CX631" s="62">
        <f t="shared" si="7758"/>
        <v>4301</v>
      </c>
      <c r="CY631" s="62">
        <f t="shared" ref="CY631:DD631" si="7759">SUM(CY629:CY630)</f>
        <v>5871</v>
      </c>
      <c r="CZ631" s="220">
        <f t="shared" si="7759"/>
        <v>4874</v>
      </c>
      <c r="DA631" s="62">
        <f t="shared" si="7759"/>
        <v>3542.6746577290705</v>
      </c>
      <c r="DB631" s="62">
        <f t="shared" si="7759"/>
        <v>6479.3210538417889</v>
      </c>
      <c r="DC631" s="62">
        <f t="shared" si="7759"/>
        <v>7559.4684615275628</v>
      </c>
      <c r="DD631" s="62">
        <f t="shared" si="7759"/>
        <v>7706.8774514821089</v>
      </c>
      <c r="DE631" s="62">
        <f t="shared" ref="DE631" si="7760">SUM(DE629:DE630)</f>
        <v>5875.8904179119972</v>
      </c>
      <c r="DF631" s="62">
        <f t="shared" ref="DF631" si="7761">SUM(DF629:DF630)</f>
        <v>6108.598949314458</v>
      </c>
      <c r="DG631" s="62">
        <f>SUM(DG629:DG630)</f>
        <v>6341.3074807169205</v>
      </c>
      <c r="DH631" s="62">
        <f>SUM(DH629:DH630)</f>
        <v>6574.0160121193821</v>
      </c>
      <c r="DI631" s="62">
        <f>SUM(DI629:DI630)</f>
        <v>6806.7245435218265</v>
      </c>
    </row>
    <row r="632" spans="1:113" ht="12" outlineLevel="1">
      <c r="C632" s="41"/>
      <c r="D632" s="41"/>
      <c r="E632" s="41"/>
      <c r="F632" s="41"/>
      <c r="G632" s="41"/>
      <c r="H632" s="41"/>
      <c r="I632" s="41"/>
      <c r="J632" s="41"/>
      <c r="K632" s="41"/>
      <c r="L632" s="41"/>
      <c r="M632" s="41"/>
      <c r="N632" s="41"/>
      <c r="O632" s="41"/>
      <c r="P632" s="41"/>
      <c r="Q632" s="41"/>
      <c r="R632" s="41"/>
      <c r="S632" s="41"/>
      <c r="T632" s="41"/>
      <c r="U632" s="41"/>
      <c r="V632" s="41"/>
      <c r="W632" s="41"/>
      <c r="X632" s="41"/>
      <c r="Y632" s="41"/>
      <c r="Z632" s="41"/>
      <c r="AA632" s="41"/>
      <c r="AB632" s="41"/>
      <c r="AC632" s="41"/>
      <c r="AD632" s="41"/>
      <c r="AE632" s="41"/>
      <c r="AF632" s="41"/>
      <c r="AG632" s="41"/>
      <c r="AH632" s="41"/>
      <c r="AI632" s="41"/>
      <c r="AJ632" s="41"/>
      <c r="AK632" s="41"/>
      <c r="AL632" s="41"/>
      <c r="AM632" s="41"/>
      <c r="AN632" s="41"/>
      <c r="AO632" s="41"/>
      <c r="AP632" s="41"/>
      <c r="AQ632" s="41"/>
      <c r="AR632" s="41"/>
      <c r="AS632" s="41"/>
      <c r="AT632" s="41"/>
      <c r="AU632" s="41"/>
      <c r="AV632" s="41"/>
      <c r="AW632" s="41"/>
      <c r="AX632" s="41"/>
      <c r="AY632" s="211"/>
      <c r="AZ632" s="41"/>
      <c r="BA632" s="41"/>
      <c r="BB632" s="41"/>
      <c r="BC632" s="41"/>
      <c r="BD632" s="41"/>
      <c r="BE632" s="41"/>
      <c r="BF632" s="41"/>
      <c r="BG632" s="41"/>
      <c r="BH632" s="41"/>
      <c r="BI632" s="41"/>
      <c r="BJ632" s="41"/>
      <c r="BK632" s="41"/>
      <c r="BL632" s="41"/>
      <c r="BM632" s="41"/>
      <c r="BN632" s="41"/>
      <c r="BO632" s="41"/>
      <c r="BP632" s="41"/>
      <c r="BQ632" s="41"/>
      <c r="BR632" s="41"/>
      <c r="BS632" s="41"/>
      <c r="BT632" s="41"/>
      <c r="BU632" s="41"/>
      <c r="BV632" s="41"/>
      <c r="BW632" s="41"/>
      <c r="BX632" s="41"/>
      <c r="BY632" s="41"/>
      <c r="BZ632" s="41"/>
      <c r="CA632" s="41"/>
      <c r="CB632" s="41"/>
      <c r="CC632" s="41"/>
      <c r="CD632" s="41"/>
      <c r="CE632" s="41"/>
      <c r="CF632" s="41"/>
      <c r="CG632" s="41"/>
      <c r="CH632" s="41"/>
      <c r="CI632" s="41"/>
      <c r="CJ632" s="41"/>
      <c r="CK632" s="41"/>
      <c r="CL632" s="41"/>
      <c r="CM632" s="41"/>
      <c r="CN632" s="41"/>
      <c r="CO632" s="41"/>
      <c r="CP632" s="41"/>
      <c r="CQ632" s="41"/>
      <c r="CR632" s="41"/>
      <c r="CS632" s="41"/>
      <c r="CT632" s="41"/>
      <c r="CU632" s="41"/>
      <c r="CV632" s="41"/>
      <c r="CW632" s="41"/>
      <c r="CX632" s="41"/>
      <c r="CY632" s="41"/>
      <c r="CZ632" s="211"/>
      <c r="DA632" s="41"/>
      <c r="DB632" s="15"/>
      <c r="DC632" s="15"/>
      <c r="DD632" s="15"/>
      <c r="DE632" s="15"/>
      <c r="DF632" s="15"/>
      <c r="DG632" s="15"/>
      <c r="DH632" s="15"/>
      <c r="DI632" s="15"/>
    </row>
    <row r="633" spans="1:113" ht="12" outlineLevel="1">
      <c r="A633" s="1" t="s">
        <v>607</v>
      </c>
      <c r="B633" s="15" t="s">
        <v>654</v>
      </c>
      <c r="C633" s="41" t="e">
        <f t="shared" ref="C633:L633" si="7762">B553-C553-C535</f>
        <v>#VALUE!</v>
      </c>
      <c r="D633" s="41">
        <f t="shared" si="7762"/>
        <v>571</v>
      </c>
      <c r="E633" s="41">
        <f t="shared" si="7762"/>
        <v>681</v>
      </c>
      <c r="F633" s="41">
        <f t="shared" si="7762"/>
        <v>653</v>
      </c>
      <c r="G633" s="41">
        <f t="shared" si="7762"/>
        <v>765</v>
      </c>
      <c r="H633" s="41">
        <f t="shared" si="7762"/>
        <v>835</v>
      </c>
      <c r="I633" s="41">
        <f t="shared" si="7762"/>
        <v>969</v>
      </c>
      <c r="J633" s="41">
        <f t="shared" si="7762"/>
        <v>911</v>
      </c>
      <c r="K633" s="41">
        <f t="shared" si="7762"/>
        <v>1060</v>
      </c>
      <c r="L633" s="41">
        <f t="shared" si="7762"/>
        <v>1007</v>
      </c>
      <c r="M633" s="41">
        <f t="shared" ref="M633:AX633" si="7763">L553-M553-M535</f>
        <v>1251</v>
      </c>
      <c r="N633" s="41">
        <f t="shared" si="7763"/>
        <v>1125</v>
      </c>
      <c r="O633" s="41">
        <f t="shared" si="7763"/>
        <v>1352</v>
      </c>
      <c r="P633" s="41">
        <f t="shared" si="7763"/>
        <v>1155</v>
      </c>
      <c r="Q633" s="41">
        <f t="shared" si="7763"/>
        <v>1481</v>
      </c>
      <c r="R633" s="41">
        <f t="shared" si="7763"/>
        <v>958</v>
      </c>
      <c r="S633" s="41">
        <f t="shared" si="7763"/>
        <v>1386</v>
      </c>
      <c r="T633" s="41">
        <f t="shared" si="7763"/>
        <v>1289</v>
      </c>
      <c r="U633" s="41">
        <f t="shared" si="7763"/>
        <v>1870</v>
      </c>
      <c r="V633" s="41">
        <f t="shared" si="7763"/>
        <v>1627</v>
      </c>
      <c r="W633" s="41">
        <f t="shared" si="7763"/>
        <v>1968</v>
      </c>
      <c r="X633" s="41">
        <f t="shared" si="7763"/>
        <v>1725</v>
      </c>
      <c r="Y633" s="41">
        <f t="shared" si="7763"/>
        <v>2116</v>
      </c>
      <c r="Z633" s="41">
        <f t="shared" si="7763"/>
        <v>-34</v>
      </c>
      <c r="AA633" s="41">
        <f t="shared" si="7763"/>
        <v>1967</v>
      </c>
      <c r="AB633" s="41">
        <f t="shared" si="7763"/>
        <v>2455</v>
      </c>
      <c r="AC633" s="41">
        <f t="shared" si="7763"/>
        <v>2239</v>
      </c>
      <c r="AD633" s="41">
        <f t="shared" si="7763"/>
        <v>2578</v>
      </c>
      <c r="AE633" s="41">
        <f t="shared" si="7763"/>
        <v>2328</v>
      </c>
      <c r="AF633" s="41">
        <f t="shared" si="7763"/>
        <v>2711</v>
      </c>
      <c r="AG633" s="41">
        <f t="shared" si="7763"/>
        <v>2290</v>
      </c>
      <c r="AH633" s="41">
        <f t="shared" si="7763"/>
        <v>2300</v>
      </c>
      <c r="AI633" s="41">
        <f t="shared" si="7763"/>
        <v>2309</v>
      </c>
      <c r="AJ633" s="41">
        <f t="shared" si="7763"/>
        <v>2308</v>
      </c>
      <c r="AK633" s="41">
        <f t="shared" si="7763"/>
        <v>2277</v>
      </c>
      <c r="AL633" s="41">
        <f t="shared" si="7763"/>
        <v>2254</v>
      </c>
      <c r="AM633" s="41">
        <f t="shared" si="7763"/>
        <v>2227</v>
      </c>
      <c r="AN633" s="41">
        <f t="shared" si="7763"/>
        <v>2228</v>
      </c>
      <c r="AO633" s="41">
        <f t="shared" si="7763"/>
        <v>694</v>
      </c>
      <c r="AP633" s="41">
        <f t="shared" si="7763"/>
        <v>973</v>
      </c>
      <c r="AQ633" s="41">
        <f t="shared" si="7763"/>
        <v>1955</v>
      </c>
      <c r="AR633" s="41">
        <f t="shared" si="7763"/>
        <v>1994</v>
      </c>
      <c r="AS633" s="41">
        <f t="shared" si="7763"/>
        <v>1973</v>
      </c>
      <c r="AT633" s="41">
        <f t="shared" si="7763"/>
        <v>2185</v>
      </c>
      <c r="AU633" s="41">
        <f t="shared" si="7763"/>
        <v>2401</v>
      </c>
      <c r="AV633" s="41">
        <f t="shared" si="7763"/>
        <v>2784</v>
      </c>
      <c r="AW633" s="41">
        <f t="shared" si="7763"/>
        <v>2468</v>
      </c>
      <c r="AX633" s="41">
        <f t="shared" si="7763"/>
        <v>2446</v>
      </c>
      <c r="AY633" s="211">
        <f t="shared" ref="AY633" si="7764">AX553-AY553-AY535</f>
        <v>2127</v>
      </c>
      <c r="AZ633" s="41">
        <f t="shared" ref="AZ633" si="7765">AY553-AZ553-AZ535</f>
        <v>2476.3217494</v>
      </c>
      <c r="BA633" s="41">
        <f t="shared" ref="BA633" si="7766">AZ553-BA553-BA535</f>
        <v>2584.6420473558155</v>
      </c>
      <c r="BB633" s="41">
        <f t="shared" ref="BB633" si="7767">BA553-BB553-BB535</f>
        <v>2724.5242809158135</v>
      </c>
      <c r="BC633" s="41">
        <f t="shared" ref="BC633" si="7768">BB553-BC553-BC535</f>
        <v>2754.7967729259894</v>
      </c>
      <c r="BD633" s="41">
        <f t="shared" ref="BD633" si="7769">BC553-BD553-BD535</f>
        <v>2761.3268867846368</v>
      </c>
      <c r="BE633" s="41">
        <f t="shared" ref="BE633" si="7770">BD553-BE553-BE535</f>
        <v>2798.1415747429228</v>
      </c>
      <c r="BF633" s="41">
        <f t="shared" ref="BF633" si="7771">BE553-BF553-BF535</f>
        <v>2834.9890884379479</v>
      </c>
      <c r="BG633" s="41">
        <f t="shared" ref="BG633:BK633" si="7772">BF553-BG553-BG535</f>
        <v>2871.8883630441555</v>
      </c>
      <c r="BH633" s="41">
        <f t="shared" si="7772"/>
        <v>2908.8566425306994</v>
      </c>
      <c r="BI633" s="41">
        <f t="shared" si="7772"/>
        <v>2967.0337753813133</v>
      </c>
      <c r="BJ633" s="41">
        <f t="shared" si="7772"/>
        <v>3025.2109082319275</v>
      </c>
      <c r="BK633" s="41">
        <f t="shared" si="7772"/>
        <v>3083.3880410825413</v>
      </c>
      <c r="BL633" s="41">
        <f t="shared" ref="BL633" si="7773">BK553-BL553-BL535</f>
        <v>3141.5651739331556</v>
      </c>
      <c r="BM633" s="41">
        <f t="shared" ref="BM633" si="7774">BL553-BM553-BM535</f>
        <v>3199.7423067837694</v>
      </c>
      <c r="BN633" s="41">
        <f t="shared" ref="BN633" si="7775">BM553-BN553-BN535</f>
        <v>3257.9194396343837</v>
      </c>
      <c r="BO633" s="41">
        <f t="shared" ref="BO633" si="7776">BN553-BO553-BO535</f>
        <v>3316.0965724849975</v>
      </c>
      <c r="BP633" s="41">
        <f t="shared" ref="BP633" si="7777">BO553-BP553-BP535</f>
        <v>3374.2737053356118</v>
      </c>
      <c r="BQ633" s="41">
        <f t="shared" ref="BQ633" si="7778">BP553-BQ553-BQ535</f>
        <v>3432.4508381862256</v>
      </c>
      <c r="BR633" s="41"/>
      <c r="BS633" s="41">
        <f t="shared" ref="BS633:CB633" si="7779">BR553-BS553-BS535</f>
        <v>202.8</v>
      </c>
      <c r="BT633" s="41">
        <f t="shared" si="7779"/>
        <v>224.5</v>
      </c>
      <c r="BU633" s="41">
        <f t="shared" si="7779"/>
        <v>313</v>
      </c>
      <c r="BV633" s="41">
        <f t="shared" si="7779"/>
        <v>424</v>
      </c>
      <c r="BW633" s="41">
        <f t="shared" si="7779"/>
        <v>584</v>
      </c>
      <c r="BX633" s="41">
        <f t="shared" si="7779"/>
        <v>695</v>
      </c>
      <c r="BY633" s="41">
        <f t="shared" si="7779"/>
        <v>747</v>
      </c>
      <c r="BZ633" s="41">
        <f t="shared" si="7779"/>
        <v>814</v>
      </c>
      <c r="CA633" s="41">
        <f t="shared" si="7779"/>
        <v>941</v>
      </c>
      <c r="CB633" s="41">
        <f t="shared" si="7779"/>
        <v>1062</v>
      </c>
      <c r="CC633" s="41">
        <f>SUM(D633:E633)</f>
        <v>1252</v>
      </c>
      <c r="CD633" s="41">
        <f>SUM(F633:G633)</f>
        <v>1418</v>
      </c>
      <c r="CE633" s="41">
        <f>SUM(H633:I633)</f>
        <v>1804</v>
      </c>
      <c r="CF633" s="41">
        <f>SUM(J633:K633)</f>
        <v>1971</v>
      </c>
      <c r="CG633" s="41">
        <f>SUM(L633:M633)</f>
        <v>2258</v>
      </c>
      <c r="CH633" s="41">
        <f>SUM(N633:O633)</f>
        <v>2477</v>
      </c>
      <c r="CI633" s="41">
        <f>SUM(P633:Q633)</f>
        <v>2636</v>
      </c>
      <c r="CJ633" s="41">
        <f>SUM(R633:S633)</f>
        <v>2344</v>
      </c>
      <c r="CK633" s="41">
        <f>SUM(T633:U633)</f>
        <v>3159</v>
      </c>
      <c r="CL633" s="41">
        <f>SUM(V633:W633)</f>
        <v>3595</v>
      </c>
      <c r="CM633" s="41">
        <f>SUM(X633:Y633)</f>
        <v>3841</v>
      </c>
      <c r="CN633" s="41">
        <f>SUM(Z633:AA633)</f>
        <v>1933</v>
      </c>
      <c r="CO633" s="41">
        <f>SUM(AB633:AC633)</f>
        <v>4694</v>
      </c>
      <c r="CP633" s="41">
        <f>SUM(AD633:AE633)</f>
        <v>4906</v>
      </c>
      <c r="CQ633" s="41">
        <f>SUM(AF633:AG633)</f>
        <v>5001</v>
      </c>
      <c r="CR633" s="41">
        <f>SUM(AH633:AI633)</f>
        <v>4609</v>
      </c>
      <c r="CS633" s="41">
        <f>SUM(AJ633:AK633)</f>
        <v>4585</v>
      </c>
      <c r="CT633" s="41">
        <f>SUM(AL633:AM633)</f>
        <v>4481</v>
      </c>
      <c r="CU633" s="41">
        <f>SUM(AN633:AO633)</f>
        <v>2922</v>
      </c>
      <c r="CV633" s="41">
        <f>SUM(AP633:AQ633)</f>
        <v>2928</v>
      </c>
      <c r="CW633" s="41">
        <f>SUM(AR633:AS633)</f>
        <v>3967</v>
      </c>
      <c r="CX633" s="41">
        <f>SUM(AT633:AU633)</f>
        <v>4586</v>
      </c>
      <c r="CY633" s="41">
        <f>SUM(AV633:AW633)</f>
        <v>5252</v>
      </c>
      <c r="CZ633" s="211">
        <f>SUM(AX633:AY633)</f>
        <v>4573</v>
      </c>
      <c r="DA633" s="41">
        <f>SUM(AZ633:BA633)</f>
        <v>5060.9637967558156</v>
      </c>
      <c r="DB633" s="41">
        <f>SUM(BB633:BC633)</f>
        <v>5479.3210538418025</v>
      </c>
      <c r="DC633" s="41">
        <f>SUM(BD633:BE633)</f>
        <v>5559.4684615275601</v>
      </c>
      <c r="DD633" s="41">
        <f>SUM(BF633:BG633)</f>
        <v>5706.8774514821034</v>
      </c>
      <c r="DE633" s="41">
        <f>SUM(BH633:BI633)</f>
        <v>5875.8904179120127</v>
      </c>
      <c r="DF633" s="41">
        <f>SUM(BJ633:BK633)</f>
        <v>6108.5989493144689</v>
      </c>
      <c r="DG633" s="41">
        <f>SUM(BL633:BM633)</f>
        <v>6341.3074807169251</v>
      </c>
      <c r="DH633" s="41">
        <f>SUM(BN633:BO633)</f>
        <v>6574.0160121193812</v>
      </c>
      <c r="DI633" s="41">
        <f>SUM(BP633:BQ633)</f>
        <v>6806.7245435218374</v>
      </c>
    </row>
    <row r="634" spans="1:113" ht="12" outlineLevel="1">
      <c r="A634" s="1" t="s">
        <v>747</v>
      </c>
      <c r="B634" s="15" t="str">
        <f>B537</f>
        <v>Net shares issued</v>
      </c>
      <c r="C634" s="41">
        <f>-C537</f>
        <v>-88</v>
      </c>
      <c r="D634" s="41">
        <f>-D537</f>
        <v>-91</v>
      </c>
      <c r="E634" s="41">
        <f>-E537</f>
        <v>-115</v>
      </c>
      <c r="F634" s="41">
        <f>-F537</f>
        <v>-119</v>
      </c>
      <c r="G634" s="41">
        <f>-G537</f>
        <v>-117</v>
      </c>
      <c r="H634" s="41">
        <f t="shared" ref="H634:L634" si="7780">-H537</f>
        <v>-3689</v>
      </c>
      <c r="I634" s="41">
        <f t="shared" si="7780"/>
        <v>-143</v>
      </c>
      <c r="J634" s="41">
        <f t="shared" si="7780"/>
        <v>-15</v>
      </c>
      <c r="K634" s="41">
        <f t="shared" si="7780"/>
        <v>-95</v>
      </c>
      <c r="L634" s="41">
        <f t="shared" si="7780"/>
        <v>-15</v>
      </c>
      <c r="M634" s="41">
        <f t="shared" ref="M634:AB634" si="7781">-M537</f>
        <v>-203</v>
      </c>
      <c r="N634" s="41">
        <f t="shared" si="7781"/>
        <v>-143</v>
      </c>
      <c r="O634" s="41">
        <f t="shared" si="7781"/>
        <v>-532</v>
      </c>
      <c r="P634" s="41">
        <f t="shared" si="7781"/>
        <v>-1435</v>
      </c>
      <c r="Q634" s="41">
        <f t="shared" si="7781"/>
        <v>-2208</v>
      </c>
      <c r="R634" s="41">
        <f t="shared" si="7781"/>
        <v>-1549</v>
      </c>
      <c r="S634" s="41">
        <f t="shared" si="7781"/>
        <v>-5013</v>
      </c>
      <c r="T634" s="41">
        <f t="shared" si="7781"/>
        <v>-143</v>
      </c>
      <c r="U634" s="41">
        <f t="shared" si="7781"/>
        <v>-592</v>
      </c>
      <c r="V634" s="41">
        <f t="shared" si="7781"/>
        <v>-708</v>
      </c>
      <c r="W634" s="41">
        <f t="shared" si="7781"/>
        <v>-749</v>
      </c>
      <c r="X634" s="41">
        <f t="shared" si="7781"/>
        <v>-852</v>
      </c>
      <c r="Y634" s="41">
        <f t="shared" si="7781"/>
        <v>-875</v>
      </c>
      <c r="Z634" s="41">
        <f t="shared" si="7781"/>
        <v>-571</v>
      </c>
      <c r="AA634" s="41">
        <f t="shared" si="7781"/>
        <v>-52</v>
      </c>
      <c r="AB634" s="41">
        <f t="shared" si="7781"/>
        <v>112</v>
      </c>
      <c r="AC634" s="41">
        <f t="shared" ref="AC634:AD634" si="7782">-AC537</f>
        <v>-502</v>
      </c>
      <c r="AD634" s="41">
        <f t="shared" si="7782"/>
        <v>-121</v>
      </c>
      <c r="AE634" s="41">
        <f t="shared" ref="AE634:AF634" si="7783">-AE537</f>
        <v>-1007</v>
      </c>
      <c r="AF634" s="41">
        <f t="shared" si="7783"/>
        <v>-258</v>
      </c>
      <c r="AG634" s="41">
        <f t="shared" ref="AG634:AH634" si="7784">-AG537</f>
        <v>-140</v>
      </c>
      <c r="AH634" s="41">
        <f t="shared" si="7784"/>
        <v>-271</v>
      </c>
      <c r="AI634" s="41">
        <f t="shared" ref="AI634:AJ634" si="7785">-AI537</f>
        <v>-52</v>
      </c>
      <c r="AJ634" s="41">
        <f t="shared" si="7785"/>
        <v>1155</v>
      </c>
      <c r="AK634" s="41">
        <f t="shared" ref="AK634:AL634" si="7786">-AK537</f>
        <v>814</v>
      </c>
      <c r="AL634" s="41">
        <f t="shared" si="7786"/>
        <v>1157</v>
      </c>
      <c r="AM634" s="41">
        <f t="shared" ref="AM634:AN634" si="7787">-AM537</f>
        <v>-37</v>
      </c>
      <c r="AN634" s="41">
        <f t="shared" si="7787"/>
        <v>50</v>
      </c>
      <c r="AO634" s="41">
        <f t="shared" ref="AO634" si="7788">-AO537</f>
        <v>-90</v>
      </c>
      <c r="AP634" s="41">
        <f t="shared" ref="AP634:AQ634" si="7789">-AP537</f>
        <v>-84</v>
      </c>
      <c r="AQ634" s="41">
        <f t="shared" si="7789"/>
        <v>631</v>
      </c>
      <c r="AR634" s="41">
        <f t="shared" ref="AR634:AS634" si="7790">-AR537</f>
        <v>893</v>
      </c>
      <c r="AS634" s="41">
        <f t="shared" si="7790"/>
        <v>-209</v>
      </c>
      <c r="AT634" s="41">
        <f t="shared" ref="AT634:AU634" si="7791">-AT537</f>
        <v>-259</v>
      </c>
      <c r="AU634" s="41">
        <f t="shared" si="7791"/>
        <v>-26</v>
      </c>
      <c r="AV634" s="41">
        <f t="shared" ref="AV634:AW634" si="7792">-AV537</f>
        <v>49</v>
      </c>
      <c r="AW634" s="41">
        <f t="shared" si="7792"/>
        <v>570</v>
      </c>
      <c r="AX634" s="41">
        <f t="shared" ref="AX634" si="7793">-AX537</f>
        <v>61</v>
      </c>
      <c r="AY634" s="211">
        <f t="shared" ref="AY634" si="7794">-AY537</f>
        <v>240</v>
      </c>
      <c r="AZ634" s="41">
        <f t="shared" ref="AZ634:BA634" si="7795">-AZ537</f>
        <v>-742.89652481999997</v>
      </c>
      <c r="BA634" s="41">
        <f t="shared" si="7795"/>
        <v>-775.39261420674461</v>
      </c>
      <c r="BB634" s="41">
        <f t="shared" ref="BB634:BC634" si="7796">-BB537</f>
        <v>0</v>
      </c>
      <c r="BC634" s="41">
        <f t="shared" si="7796"/>
        <v>1000</v>
      </c>
      <c r="BD634" s="41">
        <f t="shared" ref="BD634:BE634" si="7797">-BD537</f>
        <v>1000</v>
      </c>
      <c r="BE634" s="41">
        <f t="shared" si="7797"/>
        <v>1000</v>
      </c>
      <c r="BF634" s="41">
        <f t="shared" ref="BF634:BG634" si="7798">-BF537</f>
        <v>1000</v>
      </c>
      <c r="BG634" s="41">
        <f t="shared" si="7798"/>
        <v>1000</v>
      </c>
      <c r="BH634" s="41">
        <f t="shared" ref="BH634:BI634" si="7799">-BH537</f>
        <v>0</v>
      </c>
      <c r="BI634" s="41">
        <f t="shared" si="7799"/>
        <v>0</v>
      </c>
      <c r="BJ634" s="41">
        <f t="shared" ref="BJ634:BK634" si="7800">-BJ537</f>
        <v>0</v>
      </c>
      <c r="BK634" s="41">
        <f t="shared" si="7800"/>
        <v>0</v>
      </c>
      <c r="BL634" s="41">
        <f t="shared" ref="BL634:BM634" si="7801">-BL537</f>
        <v>0</v>
      </c>
      <c r="BM634" s="41">
        <f t="shared" si="7801"/>
        <v>0</v>
      </c>
      <c r="BN634" s="41">
        <f t="shared" ref="BN634:BO634" si="7802">-BN537</f>
        <v>0</v>
      </c>
      <c r="BO634" s="41">
        <f t="shared" si="7802"/>
        <v>0</v>
      </c>
      <c r="BP634" s="41">
        <f t="shared" ref="BP634:BQ634" si="7803">-BP537</f>
        <v>0</v>
      </c>
      <c r="BQ634" s="41">
        <f t="shared" si="7803"/>
        <v>0</v>
      </c>
      <c r="BR634" s="41"/>
      <c r="BS634" s="41">
        <f t="shared" ref="BS634:CB634" si="7804">-BS537</f>
        <v>-138.89999999999998</v>
      </c>
      <c r="BT634" s="41">
        <f t="shared" si="7804"/>
        <v>-150.1</v>
      </c>
      <c r="BU634" s="41">
        <f t="shared" si="7804"/>
        <v>-45</v>
      </c>
      <c r="BV634" s="41">
        <f t="shared" si="7804"/>
        <v>-86</v>
      </c>
      <c r="BW634" s="41">
        <f t="shared" si="7804"/>
        <v>-153</v>
      </c>
      <c r="BX634" s="41">
        <f t="shared" si="7804"/>
        <v>-220</v>
      </c>
      <c r="BY634" s="41">
        <f t="shared" si="7804"/>
        <v>-246</v>
      </c>
      <c r="BZ634" s="41">
        <f t="shared" si="7804"/>
        <v>-189</v>
      </c>
      <c r="CA634" s="41">
        <f t="shared" si="7804"/>
        <v>742</v>
      </c>
      <c r="CB634" s="41">
        <f t="shared" si="7804"/>
        <v>295</v>
      </c>
      <c r="CC634" s="41">
        <f>SUM(D634:E634)</f>
        <v>-206</v>
      </c>
      <c r="CD634" s="41">
        <f>SUM(F634:G634)</f>
        <v>-236</v>
      </c>
      <c r="CE634" s="41">
        <f>SUM(H634:I634)</f>
        <v>-3832</v>
      </c>
      <c r="CF634" s="41">
        <f>SUM(J634:K634)</f>
        <v>-110</v>
      </c>
      <c r="CG634" s="41">
        <f>SUM(L634:M634)</f>
        <v>-218</v>
      </c>
      <c r="CH634" s="41">
        <f>SUM(N634:O634)</f>
        <v>-675</v>
      </c>
      <c r="CI634" s="41">
        <f>SUM(P634:Q634)</f>
        <v>-3643</v>
      </c>
      <c r="CJ634" s="41">
        <f>SUM(R634:S634)</f>
        <v>-6562</v>
      </c>
      <c r="CK634" s="41">
        <f>SUM(T634:U634)</f>
        <v>-735</v>
      </c>
      <c r="CL634" s="41">
        <f>SUM(V634:W634)</f>
        <v>-1457</v>
      </c>
      <c r="CM634" s="41">
        <f>SUM(X634:Y634)</f>
        <v>-1727</v>
      </c>
      <c r="CN634" s="41">
        <f>SUM(Z634:AA634)</f>
        <v>-623</v>
      </c>
      <c r="CO634" s="41">
        <f>SUM(AB634:AC634)</f>
        <v>-390</v>
      </c>
      <c r="CP634" s="41">
        <f>SUM(AD634:AE634)</f>
        <v>-1128</v>
      </c>
      <c r="CQ634" s="41">
        <f>SUM(AF634:AG634)</f>
        <v>-398</v>
      </c>
      <c r="CR634" s="41">
        <f>SUM(AH634:AI634)</f>
        <v>-323</v>
      </c>
      <c r="CS634" s="41">
        <f>SUM(AJ634:AK634)</f>
        <v>1969</v>
      </c>
      <c r="CT634" s="41">
        <f>SUM(AL634:AM634)</f>
        <v>1120</v>
      </c>
      <c r="CU634" s="41">
        <f>SUM(AN634:AO634)</f>
        <v>-40</v>
      </c>
      <c r="CV634" s="41">
        <f>SUM(AP634:AQ634)</f>
        <v>547</v>
      </c>
      <c r="CW634" s="41">
        <f>SUM(AR634:AS634)</f>
        <v>684</v>
      </c>
      <c r="CX634" s="41">
        <f>SUM(AT634:AU634)</f>
        <v>-285</v>
      </c>
      <c r="CY634" s="41">
        <f>SUM(AV634:AW634)</f>
        <v>619</v>
      </c>
      <c r="CZ634" s="211">
        <f>SUM(AX634:AY634)</f>
        <v>301</v>
      </c>
      <c r="DA634" s="41">
        <f>SUM(AZ634:BA634)</f>
        <v>-1518.2891390267446</v>
      </c>
      <c r="DB634" s="41">
        <f>SUM(BB634:BC634)</f>
        <v>1000</v>
      </c>
      <c r="DC634" s="41">
        <f>SUM(BD634:BE634)</f>
        <v>2000</v>
      </c>
      <c r="DD634" s="41">
        <f>SUM(BF634:BG634)</f>
        <v>2000</v>
      </c>
      <c r="DE634" s="41">
        <f>SUM(BH634:BI634)</f>
        <v>0</v>
      </c>
      <c r="DF634" s="41">
        <f>SUM(BJ634:BK634)</f>
        <v>0</v>
      </c>
      <c r="DG634" s="41">
        <f>SUM(BL634:BM634)</f>
        <v>0</v>
      </c>
      <c r="DH634" s="41">
        <f>SUM(BN634:BO634)</f>
        <v>0</v>
      </c>
      <c r="DI634" s="41">
        <f>SUM(BP634:BQ634)</f>
        <v>0</v>
      </c>
    </row>
    <row r="635" spans="1:113" s="17" customFormat="1" ht="12" outlineLevel="1">
      <c r="A635" s="1" t="s">
        <v>897</v>
      </c>
      <c r="B635" s="17" t="str">
        <f>B631</f>
        <v>Distributed cash flow</v>
      </c>
      <c r="C635" s="62" t="e">
        <f t="shared" ref="C635:L635" si="7805">SUM(C633:C634)</f>
        <v>#VALUE!</v>
      </c>
      <c r="D635" s="62">
        <f t="shared" si="7805"/>
        <v>480</v>
      </c>
      <c r="E635" s="62">
        <f t="shared" si="7805"/>
        <v>566</v>
      </c>
      <c r="F635" s="62">
        <f t="shared" si="7805"/>
        <v>534</v>
      </c>
      <c r="G635" s="62">
        <f t="shared" si="7805"/>
        <v>648</v>
      </c>
      <c r="H635" s="62">
        <f t="shared" si="7805"/>
        <v>-2854</v>
      </c>
      <c r="I635" s="62">
        <f t="shared" si="7805"/>
        <v>826</v>
      </c>
      <c r="J635" s="62">
        <f t="shared" si="7805"/>
        <v>896</v>
      </c>
      <c r="K635" s="62">
        <f t="shared" si="7805"/>
        <v>965</v>
      </c>
      <c r="L635" s="62">
        <f t="shared" si="7805"/>
        <v>992</v>
      </c>
      <c r="M635" s="62">
        <f t="shared" ref="M635:AB635" si="7806">SUM(M633:M634)</f>
        <v>1048</v>
      </c>
      <c r="N635" s="62">
        <f t="shared" si="7806"/>
        <v>982</v>
      </c>
      <c r="O635" s="62">
        <f t="shared" si="7806"/>
        <v>820</v>
      </c>
      <c r="P635" s="62">
        <f t="shared" si="7806"/>
        <v>-280</v>
      </c>
      <c r="Q635" s="62">
        <f t="shared" si="7806"/>
        <v>-727</v>
      </c>
      <c r="R635" s="62">
        <f t="shared" si="7806"/>
        <v>-591</v>
      </c>
      <c r="S635" s="62">
        <f t="shared" si="7806"/>
        <v>-3627</v>
      </c>
      <c r="T635" s="62">
        <f t="shared" si="7806"/>
        <v>1146</v>
      </c>
      <c r="U635" s="62">
        <f t="shared" si="7806"/>
        <v>1278</v>
      </c>
      <c r="V635" s="62">
        <f t="shared" si="7806"/>
        <v>919</v>
      </c>
      <c r="W635" s="62">
        <f t="shared" si="7806"/>
        <v>1219</v>
      </c>
      <c r="X635" s="62">
        <f t="shared" si="7806"/>
        <v>873</v>
      </c>
      <c r="Y635" s="62">
        <f t="shared" si="7806"/>
        <v>1241</v>
      </c>
      <c r="Z635" s="62">
        <f t="shared" si="7806"/>
        <v>-605</v>
      </c>
      <c r="AA635" s="62">
        <f t="shared" si="7806"/>
        <v>1915</v>
      </c>
      <c r="AB635" s="62">
        <f t="shared" si="7806"/>
        <v>2567</v>
      </c>
      <c r="AC635" s="62">
        <f t="shared" ref="AC635:AD635" si="7807">SUM(AC633:AC634)</f>
        <v>1737</v>
      </c>
      <c r="AD635" s="62">
        <f t="shared" si="7807"/>
        <v>2457</v>
      </c>
      <c r="AE635" s="62">
        <f t="shared" ref="AE635:AF635" si="7808">SUM(AE633:AE634)</f>
        <v>1321</v>
      </c>
      <c r="AF635" s="62">
        <f t="shared" si="7808"/>
        <v>2453</v>
      </c>
      <c r="AG635" s="62">
        <f t="shared" ref="AG635:AH635" si="7809">SUM(AG633:AG634)</f>
        <v>2150</v>
      </c>
      <c r="AH635" s="62">
        <f t="shared" si="7809"/>
        <v>2029</v>
      </c>
      <c r="AI635" s="62">
        <f t="shared" ref="AI635:AJ635" si="7810">SUM(AI633:AI634)</f>
        <v>2257</v>
      </c>
      <c r="AJ635" s="62">
        <f t="shared" si="7810"/>
        <v>3463</v>
      </c>
      <c r="AK635" s="62">
        <f t="shared" ref="AK635:AL635" si="7811">SUM(AK633:AK634)</f>
        <v>3091</v>
      </c>
      <c r="AL635" s="62">
        <f t="shared" si="7811"/>
        <v>3411</v>
      </c>
      <c r="AM635" s="62">
        <f t="shared" ref="AM635:AN635" si="7812">SUM(AM633:AM634)</f>
        <v>2190</v>
      </c>
      <c r="AN635" s="62">
        <f t="shared" si="7812"/>
        <v>2278</v>
      </c>
      <c r="AO635" s="62">
        <f t="shared" ref="AO635" si="7813">SUM(AO633:AO634)</f>
        <v>604</v>
      </c>
      <c r="AP635" s="62">
        <f t="shared" ref="AP635:AQ635" si="7814">SUM(AP633:AP634)</f>
        <v>889</v>
      </c>
      <c r="AQ635" s="62">
        <f t="shared" si="7814"/>
        <v>2586</v>
      </c>
      <c r="AR635" s="62">
        <f t="shared" ref="AR635:AS635" si="7815">SUM(AR633:AR634)</f>
        <v>2887</v>
      </c>
      <c r="AS635" s="62">
        <f t="shared" si="7815"/>
        <v>1764</v>
      </c>
      <c r="AT635" s="62">
        <f t="shared" ref="AT635:AU635" si="7816">SUM(AT633:AT634)</f>
        <v>1926</v>
      </c>
      <c r="AU635" s="62">
        <f t="shared" si="7816"/>
        <v>2375</v>
      </c>
      <c r="AV635" s="62">
        <f t="shared" ref="AV635:AW635" si="7817">SUM(AV633:AV634)</f>
        <v>2833</v>
      </c>
      <c r="AW635" s="62">
        <f t="shared" si="7817"/>
        <v>3038</v>
      </c>
      <c r="AX635" s="62">
        <f t="shared" ref="AX635" si="7818">SUM(AX633:AX634)</f>
        <v>2507</v>
      </c>
      <c r="AY635" s="220">
        <f t="shared" ref="AY635" si="7819">SUM(AY633:AY634)</f>
        <v>2367</v>
      </c>
      <c r="AZ635" s="62">
        <f t="shared" ref="AZ635:BA635" si="7820">SUM(AZ633:AZ634)</f>
        <v>1733.4252245800001</v>
      </c>
      <c r="BA635" s="62">
        <f t="shared" si="7820"/>
        <v>1809.2494331490709</v>
      </c>
      <c r="BB635" s="62">
        <f t="shared" ref="BB635:BC635" si="7821">SUM(BB633:BB634)</f>
        <v>2724.5242809158135</v>
      </c>
      <c r="BC635" s="62">
        <f t="shared" si="7821"/>
        <v>3754.7967729259894</v>
      </c>
      <c r="BD635" s="62">
        <f t="shared" ref="BD635:BE635" si="7822">SUM(BD633:BD634)</f>
        <v>3761.3268867846368</v>
      </c>
      <c r="BE635" s="62">
        <f t="shared" si="7822"/>
        <v>3798.1415747429228</v>
      </c>
      <c r="BF635" s="62">
        <f t="shared" ref="BF635:BG635" si="7823">SUM(BF633:BF634)</f>
        <v>3834.9890884379479</v>
      </c>
      <c r="BG635" s="62">
        <f t="shared" si="7823"/>
        <v>3871.8883630441555</v>
      </c>
      <c r="BH635" s="62">
        <f t="shared" ref="BH635:BI635" si="7824">SUM(BH633:BH634)</f>
        <v>2908.8566425306994</v>
      </c>
      <c r="BI635" s="62">
        <f t="shared" si="7824"/>
        <v>2967.0337753813133</v>
      </c>
      <c r="BJ635" s="62">
        <f t="shared" ref="BJ635:BK635" si="7825">SUM(BJ633:BJ634)</f>
        <v>3025.2109082319275</v>
      </c>
      <c r="BK635" s="62">
        <f t="shared" si="7825"/>
        <v>3083.3880410825413</v>
      </c>
      <c r="BL635" s="62">
        <f t="shared" ref="BL635:BM635" si="7826">SUM(BL633:BL634)</f>
        <v>3141.5651739331556</v>
      </c>
      <c r="BM635" s="62">
        <f t="shared" si="7826"/>
        <v>3199.7423067837694</v>
      </c>
      <c r="BN635" s="62">
        <f t="shared" ref="BN635:BO635" si="7827">SUM(BN633:BN634)</f>
        <v>3257.9194396343837</v>
      </c>
      <c r="BO635" s="62">
        <f t="shared" si="7827"/>
        <v>3316.0965724849975</v>
      </c>
      <c r="BP635" s="62">
        <f t="shared" ref="BP635:BQ635" si="7828">SUM(BP633:BP634)</f>
        <v>3374.2737053356118</v>
      </c>
      <c r="BQ635" s="62">
        <f t="shared" si="7828"/>
        <v>3432.4508381862256</v>
      </c>
      <c r="BR635" s="62"/>
      <c r="BS635" s="62">
        <f t="shared" ref="BS635:CB635" si="7829">SUM(BS633:BS634)</f>
        <v>63.900000000000034</v>
      </c>
      <c r="BT635" s="62">
        <f t="shared" si="7829"/>
        <v>74.400000000000006</v>
      </c>
      <c r="BU635" s="62">
        <f t="shared" si="7829"/>
        <v>268</v>
      </c>
      <c r="BV635" s="62">
        <f t="shared" si="7829"/>
        <v>338</v>
      </c>
      <c r="BW635" s="62">
        <f t="shared" si="7829"/>
        <v>431</v>
      </c>
      <c r="BX635" s="62">
        <f t="shared" si="7829"/>
        <v>475</v>
      </c>
      <c r="BY635" s="62">
        <f t="shared" si="7829"/>
        <v>501</v>
      </c>
      <c r="BZ635" s="62">
        <f t="shared" si="7829"/>
        <v>625</v>
      </c>
      <c r="CA635" s="62">
        <f t="shared" si="7829"/>
        <v>1683</v>
      </c>
      <c r="CB635" s="62">
        <f t="shared" si="7829"/>
        <v>1357</v>
      </c>
      <c r="CC635" s="62">
        <f t="shared" ref="CC635:CP635" si="7830">SUM(CC633:CC634)</f>
        <v>1046</v>
      </c>
      <c r="CD635" s="62">
        <f t="shared" si="7830"/>
        <v>1182</v>
      </c>
      <c r="CE635" s="62">
        <f t="shared" si="7830"/>
        <v>-2028</v>
      </c>
      <c r="CF635" s="62">
        <f t="shared" si="7830"/>
        <v>1861</v>
      </c>
      <c r="CG635" s="62">
        <f t="shared" si="7830"/>
        <v>2040</v>
      </c>
      <c r="CH635" s="62">
        <f t="shared" si="7830"/>
        <v>1802</v>
      </c>
      <c r="CI635" s="62">
        <f t="shared" si="7830"/>
        <v>-1007</v>
      </c>
      <c r="CJ635" s="62">
        <f t="shared" si="7830"/>
        <v>-4218</v>
      </c>
      <c r="CK635" s="62">
        <f t="shared" si="7830"/>
        <v>2424</v>
      </c>
      <c r="CL635" s="62">
        <f t="shared" si="7830"/>
        <v>2138</v>
      </c>
      <c r="CM635" s="62">
        <f t="shared" si="7830"/>
        <v>2114</v>
      </c>
      <c r="CN635" s="62">
        <f t="shared" si="7830"/>
        <v>1310</v>
      </c>
      <c r="CO635" s="62">
        <f t="shared" si="7830"/>
        <v>4304</v>
      </c>
      <c r="CP635" s="62">
        <f t="shared" si="7830"/>
        <v>3778</v>
      </c>
      <c r="CQ635" s="62">
        <f t="shared" ref="CQ635:CX635" si="7831">SUM(CQ633:CQ634)</f>
        <v>4603</v>
      </c>
      <c r="CR635" s="62">
        <f t="shared" si="7831"/>
        <v>4286</v>
      </c>
      <c r="CS635" s="62">
        <f t="shared" si="7831"/>
        <v>6554</v>
      </c>
      <c r="CT635" s="62">
        <f t="shared" si="7831"/>
        <v>5601</v>
      </c>
      <c r="CU635" s="62">
        <f t="shared" si="7831"/>
        <v>2882</v>
      </c>
      <c r="CV635" s="62">
        <f t="shared" si="7831"/>
        <v>3475</v>
      </c>
      <c r="CW635" s="62">
        <f t="shared" si="7831"/>
        <v>4651</v>
      </c>
      <c r="CX635" s="62">
        <f t="shared" si="7831"/>
        <v>4301</v>
      </c>
      <c r="CY635" s="62">
        <f t="shared" ref="CY635:DD635" si="7832">SUM(CY633:CY634)</f>
        <v>5871</v>
      </c>
      <c r="CZ635" s="220">
        <f t="shared" si="7832"/>
        <v>4874</v>
      </c>
      <c r="DA635" s="62">
        <f t="shared" si="7832"/>
        <v>3542.674657729071</v>
      </c>
      <c r="DB635" s="62">
        <f t="shared" si="7832"/>
        <v>6479.3210538418025</v>
      </c>
      <c r="DC635" s="62">
        <f t="shared" si="7832"/>
        <v>7559.4684615275601</v>
      </c>
      <c r="DD635" s="62">
        <f t="shared" si="7832"/>
        <v>7706.8774514821034</v>
      </c>
      <c r="DE635" s="62">
        <f t="shared" ref="DE635" si="7833">SUM(DE633:DE634)</f>
        <v>5875.8904179120127</v>
      </c>
      <c r="DF635" s="62">
        <f t="shared" ref="DF635" si="7834">SUM(DF633:DF634)</f>
        <v>6108.5989493144689</v>
      </c>
      <c r="DG635" s="62">
        <f>SUM(DG633:DG634)</f>
        <v>6341.3074807169251</v>
      </c>
      <c r="DH635" s="62">
        <f>SUM(DH633:DH634)</f>
        <v>6574.0160121193812</v>
      </c>
      <c r="DI635" s="62">
        <f>SUM(DI633:DI634)</f>
        <v>6806.7245435218374</v>
      </c>
    </row>
    <row r="636" spans="1:113" ht="12" outlineLevel="1">
      <c r="A636" s="1" t="s">
        <v>748</v>
      </c>
      <c r="B636" s="15" t="s">
        <v>659</v>
      </c>
      <c r="C636" s="41" t="e">
        <f t="shared" ref="C636:AC636" si="7835">C633/(1-C128)*C128*C132*C138</f>
        <v>#VALUE!</v>
      </c>
      <c r="D636" s="41">
        <f t="shared" si="7835"/>
        <v>171.29999999999998</v>
      </c>
      <c r="E636" s="41">
        <f t="shared" si="7835"/>
        <v>204.29999999999998</v>
      </c>
      <c r="F636" s="41">
        <f t="shared" si="7835"/>
        <v>195.89999999999998</v>
      </c>
      <c r="G636" s="41">
        <f t="shared" si="7835"/>
        <v>229.49999999999997</v>
      </c>
      <c r="H636" s="41">
        <f t="shared" si="7835"/>
        <v>250.49999999999997</v>
      </c>
      <c r="I636" s="41">
        <f t="shared" si="7835"/>
        <v>290.7</v>
      </c>
      <c r="J636" s="41">
        <f t="shared" si="7835"/>
        <v>273.3</v>
      </c>
      <c r="K636" s="41">
        <f t="shared" si="7835"/>
        <v>318</v>
      </c>
      <c r="L636" s="41">
        <f t="shared" si="7835"/>
        <v>302.10000000000002</v>
      </c>
      <c r="M636" s="41">
        <f t="shared" si="7835"/>
        <v>321.68571428571431</v>
      </c>
      <c r="N636" s="41">
        <f t="shared" si="7835"/>
        <v>289.28571428571428</v>
      </c>
      <c r="O636" s="41">
        <f t="shared" si="7835"/>
        <v>347.65714285714284</v>
      </c>
      <c r="P636" s="41">
        <f t="shared" si="7835"/>
        <v>297</v>
      </c>
      <c r="Q636" s="41">
        <f t="shared" si="7835"/>
        <v>380.82857142857137</v>
      </c>
      <c r="R636" s="41">
        <f t="shared" si="7835"/>
        <v>246.34285714285716</v>
      </c>
      <c r="S636" s="41">
        <f t="shared" si="7835"/>
        <v>356.4</v>
      </c>
      <c r="T636" s="41">
        <f t="shared" si="7835"/>
        <v>331.45714285714286</v>
      </c>
      <c r="U636" s="41">
        <f t="shared" si="7835"/>
        <v>480.85714285714283</v>
      </c>
      <c r="V636" s="41">
        <f t="shared" si="7835"/>
        <v>418.37142857142851</v>
      </c>
      <c r="W636" s="41">
        <f t="shared" si="7835"/>
        <v>506.05714285714282</v>
      </c>
      <c r="X636" s="41">
        <f t="shared" si="7835"/>
        <v>443.5714285714285</v>
      </c>
      <c r="Y636" s="41">
        <f t="shared" si="7835"/>
        <v>544.11428571428576</v>
      </c>
      <c r="Z636" s="41">
        <f t="shared" si="7835"/>
        <v>-8.7428571428571438</v>
      </c>
      <c r="AA636" s="41">
        <f t="shared" si="7835"/>
        <v>505.79999999999995</v>
      </c>
      <c r="AB636" s="41">
        <f t="shared" si="7835"/>
        <v>631.28571428571422</v>
      </c>
      <c r="AC636" s="41">
        <f t="shared" si="7835"/>
        <v>575.74285714285713</v>
      </c>
      <c r="AD636" s="41">
        <f t="shared" ref="AD636:AE636" si="7836">AD633/(1-AD128)*AD128*AD132*AD138</f>
        <v>662.91428571428571</v>
      </c>
      <c r="AE636" s="41">
        <f t="shared" si="7836"/>
        <v>598.62857142857138</v>
      </c>
      <c r="AF636" s="41">
        <f t="shared" ref="AF636:AG636" si="7837">AF633/(1-AF128)*AF128*AF132*AF138</f>
        <v>697.11428571428576</v>
      </c>
      <c r="AG636" s="41">
        <f t="shared" si="7837"/>
        <v>588.85714285714289</v>
      </c>
      <c r="AH636" s="41">
        <f t="shared" ref="AH636:AI636" si="7838">AH633/(1-AH128)*AH128*AH132*AH138</f>
        <v>591.42857142857133</v>
      </c>
      <c r="AI636" s="41">
        <f t="shared" si="7838"/>
        <v>593.74285714285713</v>
      </c>
      <c r="AJ636" s="41">
        <f t="shared" ref="AJ636:AK636" si="7839">AJ633/(1-AJ128)*AJ128*AJ132*AJ138</f>
        <v>593.48571428571427</v>
      </c>
      <c r="AK636" s="41">
        <f t="shared" si="7839"/>
        <v>585.51428571428573</v>
      </c>
      <c r="AL636" s="41">
        <f t="shared" ref="AL636:AM636" si="7840">AL633/(1-AL128)*AL128*AL132*AL138</f>
        <v>579.6</v>
      </c>
      <c r="AM636" s="41">
        <f t="shared" si="7840"/>
        <v>400.85999999999996</v>
      </c>
      <c r="AN636" s="41">
        <f t="shared" ref="AN636:AO636" si="7841">AN633/(1-AN128)*AN128*AN132*AN138</f>
        <v>572.91428571428571</v>
      </c>
      <c r="AO636" s="41">
        <f t="shared" si="7841"/>
        <v>178.45714285714286</v>
      </c>
      <c r="AP636" s="41">
        <f t="shared" ref="AP636:AQ636" si="7842">AP633/(1-AP128)*AP128*AP132*AP138</f>
        <v>250.2</v>
      </c>
      <c r="AQ636" s="41">
        <f t="shared" si="7842"/>
        <v>502.71428571428572</v>
      </c>
      <c r="AR636" s="41">
        <f t="shared" ref="AR636:AS636" si="7843">AR633/(1-AR128)*AR128*AR132*AR138</f>
        <v>512.74285714285713</v>
      </c>
      <c r="AS636" s="41">
        <f t="shared" si="7843"/>
        <v>507.34285714285716</v>
      </c>
      <c r="AT636" s="41">
        <f t="shared" ref="AT636:AU636" si="7844">AT633/(1-AT128)*AT128*AT132*AT138</f>
        <v>561.85714285714289</v>
      </c>
      <c r="AU636" s="41">
        <f t="shared" si="7844"/>
        <v>345.80968085106383</v>
      </c>
      <c r="AV636" s="41">
        <f t="shared" ref="AV636:AW636" si="7845">AV633/(1-AV128)*AV128*AV132*AV138</f>
        <v>465.3257142857143</v>
      </c>
      <c r="AW636" s="41">
        <f t="shared" si="7845"/>
        <v>444.24</v>
      </c>
      <c r="AX636" s="41">
        <f t="shared" ref="AX636" si="7846">AX633/(1-AX128)*AX128*AX132*AX138</f>
        <v>440.28000000000003</v>
      </c>
      <c r="AY636" s="211">
        <f t="shared" ref="AY636" si="7847">AY633/(1-AY128)*AY128*AY132*AY138</f>
        <v>382.86</v>
      </c>
      <c r="AZ636" s="41">
        <f t="shared" ref="AZ636:BA636" si="7848">AZ633/(1-AZ128)*AZ128*AZ132*AZ138</f>
        <v>445.73791489200005</v>
      </c>
      <c r="BA636" s="41">
        <f t="shared" si="7848"/>
        <v>465.23556852404681</v>
      </c>
      <c r="BB636" s="41">
        <f t="shared" ref="BB636:BC636" si="7849">BB633/(1-BB128)*BB128*BB132*BB138</f>
        <v>490.41437056484642</v>
      </c>
      <c r="BC636" s="41">
        <f t="shared" si="7849"/>
        <v>495.86341912667808</v>
      </c>
      <c r="BD636" s="41">
        <f t="shared" ref="BD636:BE636" si="7850">BD633/(1-BD128)*BD128*BD132*BD138</f>
        <v>497.03883962123462</v>
      </c>
      <c r="BE636" s="41">
        <f t="shared" si="7850"/>
        <v>503.66548345372598</v>
      </c>
      <c r="BF636" s="41">
        <f t="shared" ref="BF636:BG636" si="7851">BF633/(1-BF128)*BF128*BF132*BF138</f>
        <v>510.29803591883058</v>
      </c>
      <c r="BG636" s="41">
        <f t="shared" si="7851"/>
        <v>516.93990534794807</v>
      </c>
      <c r="BH636" s="41">
        <f t="shared" ref="BH636:BI636" si="7852">BH633/(1-BH128)*BH128*BH132*BH138</f>
        <v>523.59419565552594</v>
      </c>
      <c r="BI636" s="41">
        <f t="shared" si="7852"/>
        <v>534.06607956863627</v>
      </c>
      <c r="BJ636" s="41">
        <f t="shared" ref="BJ636:BK636" si="7853">BJ633/(1-BJ128)*BJ128*BJ132*BJ138</f>
        <v>544.53796348174694</v>
      </c>
      <c r="BK636" s="41">
        <f t="shared" si="7853"/>
        <v>555.00984739485727</v>
      </c>
      <c r="BL636" s="41">
        <f t="shared" ref="BL636:BM636" si="7854">BL633/(1-BL128)*BL128*BL132*BL138</f>
        <v>565.48173130796795</v>
      </c>
      <c r="BM636" s="41">
        <f t="shared" si="7854"/>
        <v>575.95361522107839</v>
      </c>
      <c r="BN636" s="41">
        <f t="shared" ref="BN636:BO636" si="7855">BN633/(1-BN128)*BN128*BN132*BN138</f>
        <v>586.42549913418895</v>
      </c>
      <c r="BO636" s="41">
        <f t="shared" si="7855"/>
        <v>596.89738304729951</v>
      </c>
      <c r="BP636" s="41">
        <f t="shared" ref="BP636:BQ636" si="7856">BP633/(1-BP128)*BP128*BP132*BP138</f>
        <v>607.36926696041007</v>
      </c>
      <c r="BQ636" s="41">
        <f t="shared" si="7856"/>
        <v>617.84115087352052</v>
      </c>
      <c r="BR636" s="41"/>
      <c r="BS636" s="41">
        <f t="shared" ref="BS636:CB636" si="7857">BS633/(1-BS128)*BS128*BS132*BS138</f>
        <v>34.960298507462689</v>
      </c>
      <c r="BT636" s="41">
        <f t="shared" si="7857"/>
        <v>0</v>
      </c>
      <c r="BU636" s="41">
        <f t="shared" si="7857"/>
        <v>0</v>
      </c>
      <c r="BV636" s="41">
        <f t="shared" si="7857"/>
        <v>26.313313432835823</v>
      </c>
      <c r="BW636" s="41">
        <f t="shared" si="7857"/>
        <v>181.66050000000001</v>
      </c>
      <c r="BX636" s="41">
        <f t="shared" si="7857"/>
        <v>273.65625</v>
      </c>
      <c r="BY636" s="41">
        <f t="shared" si="7857"/>
        <v>185.35640732529663</v>
      </c>
      <c r="BZ636" s="41">
        <f t="shared" si="7857"/>
        <v>261.49379370583239</v>
      </c>
      <c r="CA636" s="41">
        <f t="shared" si="7857"/>
        <v>370.51874999999995</v>
      </c>
      <c r="CB636" s="41">
        <f t="shared" si="7857"/>
        <v>382.96363636363645</v>
      </c>
      <c r="CC636" s="41">
        <f>SUM(D636:E636)</f>
        <v>375.59999999999997</v>
      </c>
      <c r="CD636" s="41">
        <f>SUM(F636:G636)</f>
        <v>425.4</v>
      </c>
      <c r="CE636" s="41">
        <f>SUM(H636:I636)</f>
        <v>541.19999999999993</v>
      </c>
      <c r="CF636" s="41">
        <f>SUM(J636:K636)</f>
        <v>591.29999999999995</v>
      </c>
      <c r="CG636" s="41">
        <f>SUM(L636:M636)</f>
        <v>623.78571428571433</v>
      </c>
      <c r="CH636" s="41">
        <f>SUM(N636:O636)</f>
        <v>636.94285714285706</v>
      </c>
      <c r="CI636" s="41">
        <f>SUM(P636:Q636)</f>
        <v>677.82857142857142</v>
      </c>
      <c r="CJ636" s="41">
        <f>SUM(R636:S636)</f>
        <v>602.74285714285713</v>
      </c>
      <c r="CK636" s="41">
        <f>SUM(T636:U636)</f>
        <v>812.31428571428569</v>
      </c>
      <c r="CL636" s="41">
        <f>SUM(V636:W636)</f>
        <v>924.42857142857133</v>
      </c>
      <c r="CM636" s="41">
        <f>SUM(X636:Y636)</f>
        <v>987.68571428571431</v>
      </c>
      <c r="CN636" s="41">
        <f>SUM(Z636:AA636)</f>
        <v>497.05714285714282</v>
      </c>
      <c r="CO636" s="41">
        <f>SUM(AB636:AC636)</f>
        <v>1207.0285714285715</v>
      </c>
      <c r="CP636" s="41">
        <f>SUM(AD636:AE636)</f>
        <v>1261.542857142857</v>
      </c>
      <c r="CQ636" s="41">
        <f>SUM(AF636:AG636)</f>
        <v>1285.9714285714285</v>
      </c>
      <c r="CR636" s="41">
        <f>SUM(AH636:AI636)</f>
        <v>1185.1714285714284</v>
      </c>
      <c r="CS636" s="41">
        <f>SUM(AJ636:AK636)</f>
        <v>1179</v>
      </c>
      <c r="CT636" s="41">
        <f>SUM(AL636:AM636)</f>
        <v>980.46</v>
      </c>
      <c r="CU636" s="41">
        <f>SUM(AN636:AO636)</f>
        <v>751.37142857142862</v>
      </c>
      <c r="CV636" s="41">
        <f>SUM(AP636:AQ636)</f>
        <v>752.91428571428571</v>
      </c>
      <c r="CW636" s="41">
        <f>SUM(AR636:AS636)</f>
        <v>1020.0857142857143</v>
      </c>
      <c r="CX636" s="41">
        <f>SUM(AT636:AU636)</f>
        <v>907.66682370820672</v>
      </c>
      <c r="CY636" s="41">
        <f>SUM(AV636:AW636)</f>
        <v>909.56571428571431</v>
      </c>
      <c r="CZ636" s="211">
        <f>SUM(AX636:AY636)</f>
        <v>823.1400000000001</v>
      </c>
      <c r="DA636" s="41">
        <f>SUM(AZ636:BA636)</f>
        <v>910.97348341604686</v>
      </c>
      <c r="DB636" s="41">
        <f>SUM(BB636:BC636)</f>
        <v>986.2777896915245</v>
      </c>
      <c r="DC636" s="41">
        <f>SUM(BD636:BE636)</f>
        <v>1000.7043230749606</v>
      </c>
      <c r="DD636" s="41">
        <f>SUM(BF636:BG636)</f>
        <v>1027.2379412667788</v>
      </c>
      <c r="DE636" s="41">
        <f>SUM(BH636:BI636)</f>
        <v>1057.6602752241622</v>
      </c>
      <c r="DF636" s="41">
        <f>SUM(BJ636:BK636)</f>
        <v>1099.5478108766042</v>
      </c>
      <c r="DG636" s="41">
        <f>SUM(BL636:BM636)</f>
        <v>1141.4353465290465</v>
      </c>
      <c r="DH636" s="41">
        <f>SUM(BN636:BO636)</f>
        <v>1183.3228821814885</v>
      </c>
      <c r="DI636" s="41">
        <f>SUM(BP636:BQ636)</f>
        <v>1225.2104178339305</v>
      </c>
    </row>
    <row r="637" spans="1:113" s="17" customFormat="1" ht="12" outlineLevel="1">
      <c r="A637" s="1" t="s">
        <v>749</v>
      </c>
      <c r="B637" s="17" t="str">
        <f>B635&amp;" and value of franking credits"</f>
        <v>Distributed cash flow and value of franking credits</v>
      </c>
      <c r="C637" s="62" t="e">
        <f t="shared" ref="C637" si="7858">SUM(C635:C636)</f>
        <v>#VALUE!</v>
      </c>
      <c r="D637" s="62">
        <f t="shared" ref="D637:L637" si="7859">SUM(D635:D636)</f>
        <v>651.29999999999995</v>
      </c>
      <c r="E637" s="62">
        <f t="shared" si="7859"/>
        <v>770.3</v>
      </c>
      <c r="F637" s="62">
        <f t="shared" si="7859"/>
        <v>729.9</v>
      </c>
      <c r="G637" s="62">
        <f t="shared" si="7859"/>
        <v>877.5</v>
      </c>
      <c r="H637" s="62">
        <f t="shared" si="7859"/>
        <v>-2603.5</v>
      </c>
      <c r="I637" s="62">
        <f t="shared" si="7859"/>
        <v>1116.7</v>
      </c>
      <c r="J637" s="62">
        <f t="shared" si="7859"/>
        <v>1169.3</v>
      </c>
      <c r="K637" s="62">
        <f t="shared" si="7859"/>
        <v>1283</v>
      </c>
      <c r="L637" s="62">
        <f t="shared" si="7859"/>
        <v>1294.0999999999999</v>
      </c>
      <c r="M637" s="62">
        <f t="shared" ref="M637:AB637" si="7860">SUM(M635:M636)</f>
        <v>1369.6857142857143</v>
      </c>
      <c r="N637" s="62">
        <f t="shared" si="7860"/>
        <v>1271.2857142857142</v>
      </c>
      <c r="O637" s="62">
        <f t="shared" si="7860"/>
        <v>1167.6571428571428</v>
      </c>
      <c r="P637" s="62">
        <f t="shared" si="7860"/>
        <v>17</v>
      </c>
      <c r="Q637" s="62">
        <f t="shared" si="7860"/>
        <v>-346.17142857142863</v>
      </c>
      <c r="R637" s="62">
        <f t="shared" si="7860"/>
        <v>-344.65714285714284</v>
      </c>
      <c r="S637" s="62">
        <f t="shared" si="7860"/>
        <v>-3270.6</v>
      </c>
      <c r="T637" s="62">
        <f t="shared" si="7860"/>
        <v>1477.4571428571428</v>
      </c>
      <c r="U637" s="62">
        <f t="shared" si="7860"/>
        <v>1758.8571428571429</v>
      </c>
      <c r="V637" s="62">
        <f t="shared" si="7860"/>
        <v>1337.3714285714286</v>
      </c>
      <c r="W637" s="62">
        <f t="shared" si="7860"/>
        <v>1725.0571428571429</v>
      </c>
      <c r="X637" s="62">
        <f t="shared" si="7860"/>
        <v>1316.5714285714284</v>
      </c>
      <c r="Y637" s="62">
        <f t="shared" si="7860"/>
        <v>1785.1142857142859</v>
      </c>
      <c r="Z637" s="62">
        <f t="shared" si="7860"/>
        <v>-613.74285714285713</v>
      </c>
      <c r="AA637" s="62">
        <f t="shared" si="7860"/>
        <v>2420.8000000000002</v>
      </c>
      <c r="AB637" s="62">
        <f t="shared" si="7860"/>
        <v>3198.2857142857142</v>
      </c>
      <c r="AC637" s="62">
        <f t="shared" ref="AC637:AD637" si="7861">SUM(AC635:AC636)</f>
        <v>2312.7428571428572</v>
      </c>
      <c r="AD637" s="62">
        <f t="shared" si="7861"/>
        <v>3119.9142857142856</v>
      </c>
      <c r="AE637" s="62">
        <f t="shared" ref="AE637:AF637" si="7862">SUM(AE635:AE636)</f>
        <v>1919.6285714285714</v>
      </c>
      <c r="AF637" s="62">
        <f t="shared" si="7862"/>
        <v>3150.1142857142859</v>
      </c>
      <c r="AG637" s="62">
        <f t="shared" ref="AG637:AH637" si="7863">SUM(AG635:AG636)</f>
        <v>2738.8571428571431</v>
      </c>
      <c r="AH637" s="62">
        <f t="shared" si="7863"/>
        <v>2620.4285714285716</v>
      </c>
      <c r="AI637" s="62">
        <f t="shared" ref="AI637:AJ637" si="7864">SUM(AI635:AI636)</f>
        <v>2850.7428571428572</v>
      </c>
      <c r="AJ637" s="62">
        <f t="shared" si="7864"/>
        <v>4056.4857142857145</v>
      </c>
      <c r="AK637" s="62">
        <f t="shared" ref="AK637:AL637" si="7865">SUM(AK635:AK636)</f>
        <v>3676.5142857142855</v>
      </c>
      <c r="AL637" s="62">
        <f t="shared" si="7865"/>
        <v>3990.6</v>
      </c>
      <c r="AM637" s="62">
        <f t="shared" ref="AM637:AN637" si="7866">SUM(AM635:AM636)</f>
        <v>2590.86</v>
      </c>
      <c r="AN637" s="62">
        <f t="shared" si="7866"/>
        <v>2850.9142857142856</v>
      </c>
      <c r="AO637" s="62">
        <f t="shared" ref="AO637" si="7867">SUM(AO635:AO636)</f>
        <v>782.4571428571428</v>
      </c>
      <c r="AP637" s="62">
        <f t="shared" ref="AP637:AQ637" si="7868">SUM(AP635:AP636)</f>
        <v>1139.2</v>
      </c>
      <c r="AQ637" s="62">
        <f t="shared" si="7868"/>
        <v>3088.7142857142858</v>
      </c>
      <c r="AR637" s="62">
        <f t="shared" ref="AR637:AS637" si="7869">SUM(AR635:AR636)</f>
        <v>3399.7428571428572</v>
      </c>
      <c r="AS637" s="62">
        <f t="shared" si="7869"/>
        <v>2271.3428571428572</v>
      </c>
      <c r="AT637" s="62">
        <f t="shared" ref="AT637:AU637" si="7870">SUM(AT635:AT636)</f>
        <v>2487.8571428571431</v>
      </c>
      <c r="AU637" s="62">
        <f t="shared" si="7870"/>
        <v>2720.8096808510636</v>
      </c>
      <c r="AV637" s="62">
        <f t="shared" ref="AV637:AW637" si="7871">SUM(AV635:AV636)</f>
        <v>3298.3257142857142</v>
      </c>
      <c r="AW637" s="62">
        <f t="shared" si="7871"/>
        <v>3482.24</v>
      </c>
      <c r="AX637" s="62">
        <f t="shared" ref="AX637" si="7872">SUM(AX635:AX636)</f>
        <v>2947.28</v>
      </c>
      <c r="AY637" s="220">
        <f t="shared" ref="AY637" si="7873">SUM(AY635:AY636)</f>
        <v>2749.86</v>
      </c>
      <c r="AZ637" s="62">
        <f t="shared" ref="AZ637:BA637" si="7874">SUM(AZ635:AZ636)</f>
        <v>2179.1631394720002</v>
      </c>
      <c r="BA637" s="62">
        <f t="shared" si="7874"/>
        <v>2274.4850016731179</v>
      </c>
      <c r="BB637" s="62">
        <f t="shared" ref="BB637:BC637" si="7875">SUM(BB635:BB636)</f>
        <v>3214.9386514806602</v>
      </c>
      <c r="BC637" s="62">
        <f t="shared" si="7875"/>
        <v>4250.6601920526673</v>
      </c>
      <c r="BD637" s="62">
        <f t="shared" ref="BD637:BE637" si="7876">SUM(BD635:BD636)</f>
        <v>4258.3657264058711</v>
      </c>
      <c r="BE637" s="62">
        <f t="shared" si="7876"/>
        <v>4301.8070581966485</v>
      </c>
      <c r="BF637" s="62">
        <f t="shared" ref="BF637:BG637" si="7877">SUM(BF635:BF636)</f>
        <v>4345.2871243567788</v>
      </c>
      <c r="BG637" s="62">
        <f t="shared" si="7877"/>
        <v>4388.8282683921034</v>
      </c>
      <c r="BH637" s="62">
        <f t="shared" ref="BH637:BI637" si="7878">SUM(BH635:BH636)</f>
        <v>3432.4508381862252</v>
      </c>
      <c r="BI637" s="62">
        <f t="shared" si="7878"/>
        <v>3501.0998549499495</v>
      </c>
      <c r="BJ637" s="62">
        <f t="shared" ref="BJ637:BK637" si="7879">SUM(BJ635:BJ636)</f>
        <v>3569.7488717136744</v>
      </c>
      <c r="BK637" s="62">
        <f t="shared" si="7879"/>
        <v>3638.3978884773987</v>
      </c>
      <c r="BL637" s="62">
        <f t="shared" ref="BL637:BM637" si="7880">SUM(BL635:BL636)</f>
        <v>3707.0469052411236</v>
      </c>
      <c r="BM637" s="62">
        <f t="shared" si="7880"/>
        <v>3775.6959220048479</v>
      </c>
      <c r="BN637" s="62">
        <f t="shared" ref="BN637:BO637" si="7881">SUM(BN635:BN636)</f>
        <v>3844.3449387685728</v>
      </c>
      <c r="BO637" s="62">
        <f t="shared" si="7881"/>
        <v>3912.9939555322972</v>
      </c>
      <c r="BP637" s="62">
        <f t="shared" ref="BP637:BQ637" si="7882">SUM(BP635:BP636)</f>
        <v>3981.642972296022</v>
      </c>
      <c r="BQ637" s="62">
        <f t="shared" si="7882"/>
        <v>4050.2919890597459</v>
      </c>
      <c r="BR637" s="62"/>
      <c r="BS637" s="62">
        <f t="shared" ref="BS637:CB637" si="7883">SUM(BS635:BS636)</f>
        <v>98.860298507462716</v>
      </c>
      <c r="BT637" s="62">
        <f t="shared" si="7883"/>
        <v>74.400000000000006</v>
      </c>
      <c r="BU637" s="62">
        <f t="shared" si="7883"/>
        <v>268</v>
      </c>
      <c r="BV637" s="62">
        <f t="shared" si="7883"/>
        <v>364.3133134328358</v>
      </c>
      <c r="BW637" s="62">
        <f t="shared" si="7883"/>
        <v>612.66049999999996</v>
      </c>
      <c r="BX637" s="62">
        <f t="shared" si="7883"/>
        <v>748.65625</v>
      </c>
      <c r="BY637" s="62">
        <f t="shared" si="7883"/>
        <v>686.35640732529669</v>
      </c>
      <c r="BZ637" s="62">
        <f t="shared" si="7883"/>
        <v>886.49379370583233</v>
      </c>
      <c r="CA637" s="62">
        <f t="shared" si="7883"/>
        <v>2053.5187500000002</v>
      </c>
      <c r="CB637" s="62">
        <f t="shared" si="7883"/>
        <v>1739.9636363636364</v>
      </c>
      <c r="CC637" s="62">
        <f t="shared" ref="CC637:CP637" si="7884">SUM(CC635:CC636)</f>
        <v>1421.6</v>
      </c>
      <c r="CD637" s="62">
        <f t="shared" si="7884"/>
        <v>1607.4</v>
      </c>
      <c r="CE637" s="62">
        <f t="shared" si="7884"/>
        <v>-1486.8000000000002</v>
      </c>
      <c r="CF637" s="62">
        <f t="shared" si="7884"/>
        <v>2452.3000000000002</v>
      </c>
      <c r="CG637" s="62">
        <f t="shared" si="7884"/>
        <v>2663.7857142857142</v>
      </c>
      <c r="CH637" s="62">
        <f t="shared" si="7884"/>
        <v>2438.9428571428571</v>
      </c>
      <c r="CI637" s="62">
        <f t="shared" si="7884"/>
        <v>-329.17142857142858</v>
      </c>
      <c r="CJ637" s="62">
        <f t="shared" si="7884"/>
        <v>-3615.2571428571428</v>
      </c>
      <c r="CK637" s="62">
        <f t="shared" si="7884"/>
        <v>3236.3142857142857</v>
      </c>
      <c r="CL637" s="62">
        <f t="shared" si="7884"/>
        <v>3062.4285714285716</v>
      </c>
      <c r="CM637" s="62">
        <f t="shared" si="7884"/>
        <v>3101.6857142857143</v>
      </c>
      <c r="CN637" s="62">
        <f t="shared" si="7884"/>
        <v>1807.0571428571429</v>
      </c>
      <c r="CO637" s="62">
        <f t="shared" si="7884"/>
        <v>5511.028571428571</v>
      </c>
      <c r="CP637" s="62">
        <f t="shared" si="7884"/>
        <v>5039.5428571428565</v>
      </c>
      <c r="CQ637" s="62">
        <f t="shared" ref="CQ637:CX637" si="7885">SUM(CQ635:CQ636)</f>
        <v>5888.971428571429</v>
      </c>
      <c r="CR637" s="62">
        <f t="shared" si="7885"/>
        <v>5471.1714285714279</v>
      </c>
      <c r="CS637" s="62">
        <f t="shared" si="7885"/>
        <v>7733</v>
      </c>
      <c r="CT637" s="62">
        <f t="shared" si="7885"/>
        <v>6581.46</v>
      </c>
      <c r="CU637" s="62">
        <f t="shared" si="7885"/>
        <v>3633.3714285714286</v>
      </c>
      <c r="CV637" s="62">
        <f t="shared" si="7885"/>
        <v>4227.9142857142861</v>
      </c>
      <c r="CW637" s="62">
        <f t="shared" si="7885"/>
        <v>5671.0857142857139</v>
      </c>
      <c r="CX637" s="62">
        <f t="shared" si="7885"/>
        <v>5208.6668237082067</v>
      </c>
      <c r="CY637" s="62">
        <f t="shared" ref="CY637:DD637" si="7886">SUM(CY635:CY636)</f>
        <v>6780.5657142857144</v>
      </c>
      <c r="CZ637" s="220">
        <f t="shared" si="7886"/>
        <v>5697.14</v>
      </c>
      <c r="DA637" s="62">
        <f t="shared" si="7886"/>
        <v>4453.6481411451177</v>
      </c>
      <c r="DB637" s="62">
        <f t="shared" si="7886"/>
        <v>7465.5988435333275</v>
      </c>
      <c r="DC637" s="62">
        <f t="shared" si="7886"/>
        <v>8560.1727846025206</v>
      </c>
      <c r="DD637" s="62">
        <f t="shared" si="7886"/>
        <v>8734.1153927488813</v>
      </c>
      <c r="DE637" s="62">
        <f t="shared" ref="DE637" si="7887">SUM(DE635:DE636)</f>
        <v>6933.5506931361751</v>
      </c>
      <c r="DF637" s="62">
        <f t="shared" ref="DF637" si="7888">SUM(DF635:DF636)</f>
        <v>7208.1467601910736</v>
      </c>
      <c r="DG637" s="62">
        <f>SUM(DG635:DG636)</f>
        <v>7482.7428272459711</v>
      </c>
      <c r="DH637" s="62">
        <f>SUM(DH635:DH636)</f>
        <v>7757.3388943008695</v>
      </c>
      <c r="DI637" s="62">
        <f>SUM(DI635:DI636)</f>
        <v>8031.9349613557679</v>
      </c>
    </row>
    <row r="638" spans="1:113" ht="12" outlineLevel="1">
      <c r="C638" s="41"/>
      <c r="D638" s="41"/>
      <c r="E638" s="41"/>
      <c r="F638" s="41"/>
      <c r="G638" s="41"/>
      <c r="H638" s="41"/>
      <c r="I638" s="41"/>
      <c r="J638" s="41"/>
      <c r="K638" s="41"/>
      <c r="L638" s="41"/>
      <c r="M638" s="41"/>
      <c r="N638" s="41"/>
      <c r="O638" s="41"/>
      <c r="P638" s="41"/>
      <c r="Q638" s="41"/>
      <c r="R638" s="41"/>
      <c r="S638" s="41"/>
      <c r="T638" s="41"/>
      <c r="U638" s="41"/>
      <c r="V638" s="41"/>
      <c r="W638" s="41"/>
      <c r="X638" s="41"/>
      <c r="Y638" s="41"/>
      <c r="Z638" s="41"/>
      <c r="AA638" s="41"/>
      <c r="AB638" s="41"/>
      <c r="AC638" s="41"/>
      <c r="AD638" s="41"/>
      <c r="AE638" s="41"/>
      <c r="AF638" s="41"/>
      <c r="AG638" s="41"/>
      <c r="AH638" s="41"/>
      <c r="AI638" s="41"/>
      <c r="AJ638" s="41"/>
      <c r="AK638" s="41"/>
      <c r="AL638" s="41"/>
      <c r="AM638" s="41"/>
      <c r="AN638" s="41"/>
      <c r="AO638" s="41"/>
      <c r="AP638" s="41"/>
      <c r="AQ638" s="41"/>
      <c r="AR638" s="41"/>
      <c r="AS638" s="41"/>
      <c r="AT638" s="41"/>
      <c r="AU638" s="41"/>
      <c r="AV638" s="41"/>
      <c r="AW638" s="41"/>
      <c r="AX638" s="41"/>
      <c r="AY638" s="211"/>
      <c r="AZ638" s="41"/>
      <c r="BA638" s="41"/>
      <c r="BB638" s="41"/>
      <c r="BC638" s="41"/>
      <c r="BD638" s="41"/>
      <c r="BE638" s="41"/>
      <c r="BF638" s="41"/>
      <c r="BG638" s="41"/>
      <c r="BH638" s="41"/>
      <c r="BI638" s="41"/>
      <c r="BJ638" s="41"/>
      <c r="BK638" s="41"/>
      <c r="BL638" s="41"/>
      <c r="BM638" s="41"/>
      <c r="BN638" s="41"/>
      <c r="BO638" s="41"/>
      <c r="BP638" s="41"/>
      <c r="BQ638" s="41"/>
      <c r="BR638" s="41"/>
      <c r="BS638" s="41"/>
      <c r="BT638" s="41"/>
      <c r="BU638" s="41"/>
      <c r="BV638" s="41"/>
      <c r="BW638" s="41"/>
      <c r="BX638" s="41"/>
      <c r="BY638" s="41"/>
      <c r="BZ638" s="41"/>
      <c r="CA638" s="41"/>
      <c r="CB638" s="41"/>
      <c r="CC638" s="41"/>
      <c r="CD638" s="41"/>
      <c r="CE638" s="41"/>
      <c r="CF638" s="41"/>
      <c r="CG638" s="41"/>
      <c r="CH638" s="41"/>
      <c r="CI638" s="41"/>
      <c r="CJ638" s="41"/>
      <c r="CK638" s="41"/>
      <c r="CL638" s="41"/>
      <c r="CM638" s="41"/>
      <c r="CN638" s="41"/>
      <c r="CO638" s="41"/>
      <c r="CP638" s="41"/>
      <c r="CQ638" s="41"/>
      <c r="CR638" s="41"/>
      <c r="CS638" s="41"/>
      <c r="CT638" s="41"/>
      <c r="CU638" s="41"/>
      <c r="CV638" s="41"/>
      <c r="CW638" s="41"/>
      <c r="CX638" s="41"/>
      <c r="CY638" s="41"/>
      <c r="CZ638" s="211"/>
      <c r="DA638" s="41"/>
      <c r="DB638" s="15"/>
      <c r="DC638" s="15"/>
      <c r="DD638" s="15"/>
      <c r="DE638" s="15"/>
      <c r="DF638" s="15"/>
      <c r="DG638" s="15"/>
      <c r="DH638" s="15"/>
      <c r="DI638" s="15"/>
    </row>
    <row r="639" spans="1:113" s="4" customFormat="1" ht="12.95" customHeight="1" outlineLevel="1">
      <c r="A639" s="1"/>
      <c r="B639" s="5" t="s">
        <v>660</v>
      </c>
      <c r="C639" s="389" t="e">
        <f>IF(ROUND(C631-C635,2)=0,"Ok","Error")</f>
        <v>#VALUE!</v>
      </c>
      <c r="D639" s="389" t="str">
        <f>IF(ROUND(D631-D635,2)=0,"Ok","Error")</f>
        <v>Ok</v>
      </c>
      <c r="E639" s="389" t="str">
        <f>IF(ROUND(E631-E635,2)=0,"Ok","Error")</f>
        <v>Ok</v>
      </c>
      <c r="F639" s="389" t="str">
        <f>IF(ROUND(F631-F635,2)=0,"Ok","Error")</f>
        <v>Ok</v>
      </c>
      <c r="G639" s="389" t="str">
        <f>IF(ROUND(G631-G635,2)=0,"Ok","Error")</f>
        <v>Ok</v>
      </c>
      <c r="H639" s="389" t="str">
        <f t="shared" ref="H639:L639" si="7889">IF(ROUND(H631-H635,2)=0,"Ok","Error")</f>
        <v>Ok</v>
      </c>
      <c r="I639" s="389" t="str">
        <f t="shared" si="7889"/>
        <v>Ok</v>
      </c>
      <c r="J639" s="389" t="str">
        <f t="shared" si="7889"/>
        <v>Ok</v>
      </c>
      <c r="K639" s="389" t="str">
        <f t="shared" si="7889"/>
        <v>Ok</v>
      </c>
      <c r="L639" s="389" t="str">
        <f t="shared" si="7889"/>
        <v>Ok</v>
      </c>
      <c r="M639" s="75" t="str">
        <f t="shared" ref="M639:AD639" si="7890">IF(ROUND(M631-M635,2)=0,"Ok","Error")</f>
        <v>Ok</v>
      </c>
      <c r="N639" s="75" t="str">
        <f t="shared" si="7890"/>
        <v>Ok</v>
      </c>
      <c r="O639" s="75" t="str">
        <f t="shared" si="7890"/>
        <v>Ok</v>
      </c>
      <c r="P639" s="75" t="str">
        <f t="shared" si="7890"/>
        <v>Ok</v>
      </c>
      <c r="Q639" s="75" t="str">
        <f t="shared" si="7890"/>
        <v>Ok</v>
      </c>
      <c r="R639" s="75" t="str">
        <f t="shared" si="7890"/>
        <v>Ok</v>
      </c>
      <c r="S639" s="75" t="str">
        <f t="shared" si="7890"/>
        <v>Ok</v>
      </c>
      <c r="T639" s="78" t="str">
        <f t="shared" si="7890"/>
        <v>Ok</v>
      </c>
      <c r="U639" s="75" t="str">
        <f>IF(ROUND(U631-U635,2)=0,"Ok","Error")</f>
        <v>Ok</v>
      </c>
      <c r="V639" s="75" t="str">
        <f>IF(ROUND(V631-V635,2)=0,"Ok","Error")</f>
        <v>Ok</v>
      </c>
      <c r="W639" s="75" t="str">
        <f>IF(ROUND(W631-W635,2)=0,"Ok","Error")</f>
        <v>Ok</v>
      </c>
      <c r="X639" s="75" t="str">
        <f>IF(ROUND(X631-X635,2)=0,"Ok","Error")</f>
        <v>Ok</v>
      </c>
      <c r="Y639" s="78" t="str">
        <f>IF(ROUND(Y631-Y635,2)=0,"Ok","Error")</f>
        <v>Ok</v>
      </c>
      <c r="Z639" s="78" t="str">
        <f t="shared" si="7890"/>
        <v>Ok</v>
      </c>
      <c r="AA639" s="78" t="str">
        <f t="shared" si="7890"/>
        <v>Ok</v>
      </c>
      <c r="AB639" s="78" t="str">
        <f t="shared" si="7890"/>
        <v>Ok</v>
      </c>
      <c r="AC639" s="78" t="str">
        <f t="shared" si="7890"/>
        <v>Ok</v>
      </c>
      <c r="AD639" s="78" t="str">
        <f t="shared" si="7890"/>
        <v>Ok</v>
      </c>
      <c r="AE639" s="78" t="str">
        <f t="shared" ref="AE639:AF639" si="7891">IF(ROUND(AE631-AE635,2)=0,"Ok","Error")</f>
        <v>Ok</v>
      </c>
      <c r="AF639" s="78" t="str">
        <f t="shared" si="7891"/>
        <v>Ok</v>
      </c>
      <c r="AG639" s="78" t="str">
        <f t="shared" ref="AG639:AH639" si="7892">IF(ROUND(AG631-AG635,2)=0,"Ok","Error")</f>
        <v>Ok</v>
      </c>
      <c r="AH639" s="78" t="str">
        <f t="shared" si="7892"/>
        <v>Ok</v>
      </c>
      <c r="AI639" s="78" t="str">
        <f t="shared" ref="AI639:AJ639" si="7893">IF(ROUND(AI631-AI635,2)=0,"Ok","Error")</f>
        <v>Ok</v>
      </c>
      <c r="AJ639" s="78" t="str">
        <f t="shared" si="7893"/>
        <v>Ok</v>
      </c>
      <c r="AK639" s="78" t="str">
        <f t="shared" ref="AK639:AL639" si="7894">IF(ROUND(AK631-AK635,2)=0,"Ok","Error")</f>
        <v>Ok</v>
      </c>
      <c r="AL639" s="78" t="str">
        <f t="shared" si="7894"/>
        <v>Ok</v>
      </c>
      <c r="AM639" s="78" t="str">
        <f t="shared" ref="AM639:AN639" si="7895">IF(ROUND(AM631-AM635,2)=0,"Ok","Error")</f>
        <v>Ok</v>
      </c>
      <c r="AN639" s="78" t="str">
        <f t="shared" si="7895"/>
        <v>Ok</v>
      </c>
      <c r="AO639" s="78" t="str">
        <f t="shared" ref="AO639" si="7896">IF(ROUND(AO631-AO635,2)=0,"Ok","Error")</f>
        <v>Ok</v>
      </c>
      <c r="AP639" s="78" t="str">
        <f t="shared" ref="AP639:AQ639" si="7897">IF(ROUND(AP631-AP635,2)=0,"Ok","Error")</f>
        <v>Ok</v>
      </c>
      <c r="AQ639" s="78" t="str">
        <f t="shared" si="7897"/>
        <v>Ok</v>
      </c>
      <c r="AR639" s="78" t="str">
        <f t="shared" ref="AR639:AS639" si="7898">IF(ROUND(AR631-AR635,2)=0,"Ok","Error")</f>
        <v>Ok</v>
      </c>
      <c r="AS639" s="78" t="str">
        <f t="shared" si="7898"/>
        <v>Ok</v>
      </c>
      <c r="AT639" s="78" t="str">
        <f t="shared" ref="AT639:AU639" si="7899">IF(ROUND(AT631-AT635,2)=0,"Ok","Error")</f>
        <v>Ok</v>
      </c>
      <c r="AU639" s="78" t="str">
        <f t="shared" si="7899"/>
        <v>Ok</v>
      </c>
      <c r="AV639" s="78" t="str">
        <f t="shared" ref="AV639:AW639" si="7900">IF(ROUND(AV631-AV635,2)=0,"Ok","Error")</f>
        <v>Ok</v>
      </c>
      <c r="AW639" s="78" t="str">
        <f t="shared" si="7900"/>
        <v>Ok</v>
      </c>
      <c r="AX639" s="78" t="str">
        <f t="shared" ref="AX639" si="7901">IF(ROUND(AX631-AX635,2)=0,"Ok","Error")</f>
        <v>Ok</v>
      </c>
      <c r="AY639" s="76" t="str">
        <f t="shared" ref="AY639" si="7902">IF(ROUND(AY631-AY635,2)=0,"Ok","Error")</f>
        <v>Ok</v>
      </c>
      <c r="AZ639" s="75" t="str">
        <f t="shared" ref="AZ639:BA639" si="7903">IF(ROUND(AZ631-AZ635,2)=0,"Ok","Error")</f>
        <v>Ok</v>
      </c>
      <c r="BA639" s="75" t="str">
        <f t="shared" si="7903"/>
        <v>Ok</v>
      </c>
      <c r="BB639" s="75" t="str">
        <f t="shared" ref="BB639:BC639" si="7904">IF(ROUND(BB631-BB635,2)=0,"Ok","Error")</f>
        <v>Ok</v>
      </c>
      <c r="BC639" s="75" t="str">
        <f t="shared" si="7904"/>
        <v>Ok</v>
      </c>
      <c r="BD639" s="75" t="str">
        <f t="shared" ref="BD639:BE639" si="7905">IF(ROUND(BD631-BD635,2)=0,"Ok","Error")</f>
        <v>Ok</v>
      </c>
      <c r="BE639" s="75" t="str">
        <f t="shared" si="7905"/>
        <v>Ok</v>
      </c>
      <c r="BF639" s="75" t="str">
        <f t="shared" ref="BF639:BG639" si="7906">IF(ROUND(BF631-BF635,2)=0,"Ok","Error")</f>
        <v>Ok</v>
      </c>
      <c r="BG639" s="75" t="str">
        <f t="shared" si="7906"/>
        <v>Ok</v>
      </c>
      <c r="BH639" s="75" t="str">
        <f t="shared" ref="BH639:BI639" si="7907">IF(ROUND(BH631-BH635,2)=0,"Ok","Error")</f>
        <v>Ok</v>
      </c>
      <c r="BI639" s="75" t="str">
        <f t="shared" si="7907"/>
        <v>Ok</v>
      </c>
      <c r="BJ639" s="75" t="str">
        <f t="shared" ref="BJ639:BK639" si="7908">IF(ROUND(BJ631-BJ635,2)=0,"Ok","Error")</f>
        <v>Ok</v>
      </c>
      <c r="BK639" s="75" t="str">
        <f t="shared" si="7908"/>
        <v>Ok</v>
      </c>
      <c r="BL639" s="75" t="str">
        <f t="shared" ref="BL639:BM639" si="7909">IF(ROUND(BL631-BL635,2)=0,"Ok","Error")</f>
        <v>Ok</v>
      </c>
      <c r="BM639" s="75" t="str">
        <f t="shared" si="7909"/>
        <v>Ok</v>
      </c>
      <c r="BN639" s="75" t="str">
        <f t="shared" ref="BN639:BO639" si="7910">IF(ROUND(BN631-BN635,2)=0,"Ok","Error")</f>
        <v>Ok</v>
      </c>
      <c r="BO639" s="75" t="str">
        <f t="shared" si="7910"/>
        <v>Ok</v>
      </c>
      <c r="BP639" s="75" t="str">
        <f t="shared" ref="BP639:BQ639" si="7911">IF(ROUND(BP631-BP635,2)=0,"Ok","Error")</f>
        <v>Ok</v>
      </c>
      <c r="BQ639" s="75" t="str">
        <f t="shared" si="7911"/>
        <v>Ok</v>
      </c>
      <c r="BR639" s="77"/>
      <c r="BS639" s="389"/>
      <c r="BT639" s="389" t="str">
        <f t="shared" ref="BT639:CB639" si="7912">IF(ROUND(BT631-BT635,2)=0,"Ok","Error")</f>
        <v>Ok</v>
      </c>
      <c r="BU639" s="389" t="str">
        <f t="shared" si="7912"/>
        <v>Ok</v>
      </c>
      <c r="BV639" s="389" t="str">
        <f t="shared" si="7912"/>
        <v>Ok</v>
      </c>
      <c r="BW639" s="389" t="str">
        <f t="shared" si="7912"/>
        <v>Ok</v>
      </c>
      <c r="BX639" s="389" t="str">
        <f t="shared" si="7912"/>
        <v>Ok</v>
      </c>
      <c r="BY639" s="389" t="str">
        <f t="shared" si="7912"/>
        <v>Ok</v>
      </c>
      <c r="BZ639" s="389" t="str">
        <f t="shared" si="7912"/>
        <v>Ok</v>
      </c>
      <c r="CA639" s="389" t="str">
        <f t="shared" si="7912"/>
        <v>Ok</v>
      </c>
      <c r="CB639" s="389" t="str">
        <f t="shared" si="7912"/>
        <v>Ok</v>
      </c>
      <c r="CC639" s="75" t="str">
        <f>IF(ROUND(CC631-CC635,2)=0,"Ok","Drror")</f>
        <v>Ok</v>
      </c>
      <c r="CD639" s="75" t="str">
        <f>IF(ROUND(CD631-CD635,2)=0,"Ok","Error")</f>
        <v>Ok</v>
      </c>
      <c r="CE639" s="75" t="str">
        <f>IF(ROUND(CE631-CE635,2)=0,"Ok","Error")</f>
        <v>Ok</v>
      </c>
      <c r="CF639" s="75" t="str">
        <f>IF(ROUND(CF631-CF635,2)=0,"Ok","Error")</f>
        <v>Ok</v>
      </c>
      <c r="CG639" s="75" t="str">
        <f>IF(ROUND(CG631-CG635,2)=0,"Ok","Error")</f>
        <v>Ok</v>
      </c>
      <c r="CH639" s="75" t="str">
        <f>IF(ROUND(CH631-CH635,2)=0,"Ok","Error")</f>
        <v>Ok</v>
      </c>
      <c r="CI639" s="75" t="str">
        <f t="shared" ref="CI639:CN639" si="7913">IF(ROUND(CI631-CI635,2)=0,"Ok","Error")</f>
        <v>Ok</v>
      </c>
      <c r="CJ639" s="75" t="str">
        <f t="shared" si="7913"/>
        <v>Ok</v>
      </c>
      <c r="CK639" s="75" t="str">
        <f t="shared" si="7913"/>
        <v>Ok</v>
      </c>
      <c r="CL639" s="75" t="str">
        <f t="shared" si="7913"/>
        <v>Ok</v>
      </c>
      <c r="CM639" s="78" t="str">
        <f t="shared" si="7913"/>
        <v>Ok</v>
      </c>
      <c r="CN639" s="78" t="str">
        <f t="shared" si="7913"/>
        <v>Ok</v>
      </c>
      <c r="CO639" s="78" t="str">
        <f t="shared" ref="CO639:CX639" si="7914">IF(ROUND(CO631-CO635,2)=0,"Ok","Error")</f>
        <v>Ok</v>
      </c>
      <c r="CP639" s="78" t="str">
        <f t="shared" si="7914"/>
        <v>Ok</v>
      </c>
      <c r="CQ639" s="78" t="str">
        <f t="shared" si="7914"/>
        <v>Ok</v>
      </c>
      <c r="CR639" s="78" t="str">
        <f t="shared" si="7914"/>
        <v>Ok</v>
      </c>
      <c r="CS639" s="78" t="str">
        <f t="shared" si="7914"/>
        <v>Ok</v>
      </c>
      <c r="CT639" s="78" t="str">
        <f t="shared" si="7914"/>
        <v>Ok</v>
      </c>
      <c r="CU639" s="78" t="str">
        <f t="shared" si="7914"/>
        <v>Ok</v>
      </c>
      <c r="CV639" s="78" t="str">
        <f t="shared" si="7914"/>
        <v>Ok</v>
      </c>
      <c r="CW639" s="78" t="str">
        <f t="shared" si="7914"/>
        <v>Ok</v>
      </c>
      <c r="CX639" s="78" t="str">
        <f t="shared" si="7914"/>
        <v>Ok</v>
      </c>
      <c r="CY639" s="78" t="str">
        <f t="shared" ref="CY639:DD639" si="7915">IF(ROUND(CY631-CY635,2)=0,"Ok","Error")</f>
        <v>Ok</v>
      </c>
      <c r="CZ639" s="76" t="str">
        <f t="shared" si="7915"/>
        <v>Ok</v>
      </c>
      <c r="DA639" s="75" t="str">
        <f t="shared" si="7915"/>
        <v>Ok</v>
      </c>
      <c r="DB639" s="75" t="str">
        <f t="shared" si="7915"/>
        <v>Ok</v>
      </c>
      <c r="DC639" s="75" t="str">
        <f t="shared" si="7915"/>
        <v>Ok</v>
      </c>
      <c r="DD639" s="75" t="str">
        <f t="shared" si="7915"/>
        <v>Ok</v>
      </c>
      <c r="DE639" s="75" t="str">
        <f t="shared" ref="DE639" si="7916">IF(ROUND(DE631-DE635,2)=0,"Ok","Error")</f>
        <v>Ok</v>
      </c>
      <c r="DF639" s="75" t="str">
        <f t="shared" ref="DF639" si="7917">IF(ROUND(DF631-DF635,2)=0,"Ok","Error")</f>
        <v>Ok</v>
      </c>
      <c r="DG639" s="75" t="str">
        <f>IF(ROUND(DG631-DG635,2)=0,"Ok","Error")</f>
        <v>Ok</v>
      </c>
      <c r="DH639" s="75" t="str">
        <f>IF(ROUND(DH631-DH635,2)=0,"Ok","Error")</f>
        <v>Ok</v>
      </c>
      <c r="DI639" s="75" t="str">
        <f>IF(ROUND(DI631-DI635,2)=0,"Ok","Error")</f>
        <v>Ok</v>
      </c>
    </row>
    <row r="640" spans="1:113" ht="12">
      <c r="AY640" s="200"/>
      <c r="CZ640" s="200"/>
      <c r="DB640" s="15"/>
      <c r="DC640" s="15"/>
      <c r="DD640" s="15"/>
      <c r="DE640" s="15"/>
      <c r="DF640" s="15"/>
      <c r="DG640" s="15"/>
      <c r="DH640" s="15"/>
      <c r="DI640" s="15"/>
    </row>
    <row r="641" spans="1:113" s="26" customFormat="1" ht="12" collapsed="1">
      <c r="A641" s="1" t="s">
        <v>750</v>
      </c>
      <c r="B641" s="2" t="s">
        <v>661</v>
      </c>
      <c r="C641" s="81"/>
      <c r="D641" s="81"/>
      <c r="E641" s="81"/>
      <c r="F641" s="81"/>
      <c r="G641" s="81"/>
      <c r="H641" s="81"/>
      <c r="I641" s="81"/>
      <c r="J641" s="81"/>
      <c r="K641" s="81"/>
      <c r="L641" s="81"/>
      <c r="M641" s="81"/>
      <c r="N641" s="81"/>
      <c r="O641" s="81"/>
      <c r="P641" s="81"/>
      <c r="Q641" s="81"/>
      <c r="R641" s="81"/>
      <c r="S641" s="81"/>
      <c r="T641" s="81"/>
      <c r="U641" s="81"/>
      <c r="V641" s="81"/>
      <c r="W641" s="81"/>
      <c r="X641" s="81"/>
      <c r="Y641" s="81"/>
      <c r="Z641" s="81"/>
      <c r="AA641" s="81"/>
      <c r="AB641" s="81"/>
      <c r="AC641" s="81"/>
      <c r="AD641" s="81"/>
      <c r="AE641" s="81"/>
      <c r="AF641" s="81"/>
      <c r="AG641" s="81"/>
      <c r="AH641" s="81"/>
      <c r="AI641" s="81"/>
      <c r="AJ641" s="81"/>
      <c r="AK641" s="81"/>
      <c r="AL641" s="81"/>
      <c r="AM641" s="81"/>
      <c r="AN641" s="81"/>
      <c r="AO641" s="81"/>
      <c r="AP641" s="81"/>
      <c r="AQ641" s="81"/>
      <c r="AR641" s="81"/>
      <c r="AS641" s="81"/>
      <c r="AT641" s="81"/>
      <c r="AU641" s="81"/>
      <c r="AV641" s="81"/>
      <c r="AW641" s="81"/>
      <c r="AX641" s="81"/>
      <c r="AY641" s="222"/>
      <c r="AZ641" s="81"/>
      <c r="BA641" s="81"/>
      <c r="BB641" s="81"/>
      <c r="BC641" s="81"/>
      <c r="BD641" s="81"/>
      <c r="BE641" s="81"/>
      <c r="BF641" s="81"/>
      <c r="BG641" s="81"/>
      <c r="BH641" s="81"/>
      <c r="BI641" s="81"/>
      <c r="BJ641" s="81"/>
      <c r="BK641" s="81"/>
      <c r="BL641" s="81"/>
      <c r="BM641" s="81"/>
      <c r="BN641" s="81"/>
      <c r="BO641" s="81"/>
      <c r="BP641" s="81"/>
      <c r="BQ641" s="81"/>
      <c r="BR641" s="81"/>
      <c r="BS641" s="81">
        <f t="shared" ref="BS641:CZ641" ca="1" si="7918">BS653</f>
        <v>19.183291608516775</v>
      </c>
      <c r="BT641" s="81">
        <f t="shared" ca="1" si="7918"/>
        <v>16.82924449999204</v>
      </c>
      <c r="BU641" s="81">
        <f t="shared" ca="1" si="7918"/>
        <v>17.564975963002517</v>
      </c>
      <c r="BV641" s="81">
        <f t="shared" ca="1" si="7918"/>
        <v>17.704488783350243</v>
      </c>
      <c r="BW641" s="81">
        <f t="shared" ca="1" si="7918"/>
        <v>18.502983370976793</v>
      </c>
      <c r="BX641" s="81">
        <f t="shared" ca="1" si="7918"/>
        <v>19.304918257821136</v>
      </c>
      <c r="BY641" s="81">
        <f t="shared" ca="1" si="7918"/>
        <v>20.215648638825908</v>
      </c>
      <c r="BZ641" s="81">
        <f t="shared" ca="1" si="7918"/>
        <v>21.147198513590013</v>
      </c>
      <c r="CA641" s="81">
        <f t="shared" ca="1" si="7918"/>
        <v>22.648231733296019</v>
      </c>
      <c r="CB641" s="81">
        <f t="shared" ca="1" si="7918"/>
        <v>23.869480348801005</v>
      </c>
      <c r="CC641" s="81">
        <f t="shared" ca="1" si="7918"/>
        <v>24.857299903589091</v>
      </c>
      <c r="CD641" s="81">
        <f t="shared" ca="1" si="7918"/>
        <v>25.7786951925533</v>
      </c>
      <c r="CE641" s="81">
        <f t="shared" ca="1" si="7918"/>
        <v>24.368344953235326</v>
      </c>
      <c r="CF641" s="81">
        <f t="shared" ca="1" si="7918"/>
        <v>25.161604590317417</v>
      </c>
      <c r="CG641" s="81">
        <f t="shared" ca="1" si="7918"/>
        <v>25.884963701948383</v>
      </c>
      <c r="CH641" s="81">
        <f t="shared" ca="1" si="7918"/>
        <v>26.54281820692167</v>
      </c>
      <c r="CI641" s="81">
        <f t="shared" ca="1" si="7918"/>
        <v>26.644996149602413</v>
      </c>
      <c r="CJ641" s="81">
        <f t="shared" ca="1" si="7918"/>
        <v>25.140163088613154</v>
      </c>
      <c r="CK641" s="81">
        <f t="shared" ca="1" si="7918"/>
        <v>25.60670465244921</v>
      </c>
      <c r="CL641" s="81">
        <f t="shared" ca="1" si="7918"/>
        <v>26.069788406944223</v>
      </c>
      <c r="CM641" s="81">
        <f t="shared" ca="1" si="7918"/>
        <v>26.409723386591708</v>
      </c>
      <c r="CN641" s="81">
        <f t="shared" ca="1" si="7918"/>
        <v>27.909566721041813</v>
      </c>
      <c r="CO641" s="81">
        <f t="shared" ca="1" si="7918"/>
        <v>28.351232647740023</v>
      </c>
      <c r="CP641" s="81">
        <f t="shared" ca="1" si="7918"/>
        <v>27.678859244886034</v>
      </c>
      <c r="CQ641" s="81">
        <f t="shared" ca="1" si="7918"/>
        <v>27.973579401064729</v>
      </c>
      <c r="CR641" s="81">
        <f t="shared" ca="1" si="7918"/>
        <v>28.596196284101445</v>
      </c>
      <c r="CS641" s="81">
        <f t="shared" ca="1" si="7918"/>
        <v>29.250582385363259</v>
      </c>
      <c r="CT641" s="81">
        <f t="shared" ca="1" si="7918"/>
        <v>30.078015588703394</v>
      </c>
      <c r="CU641" s="81">
        <f t="shared" ca="1" si="7918"/>
        <v>31.509227642516105</v>
      </c>
      <c r="CV641" s="81">
        <f t="shared" ca="1" si="7918"/>
        <v>33.127364277771605</v>
      </c>
      <c r="CW641" s="81">
        <f t="shared" ca="1" si="7918"/>
        <v>32.538075787742187</v>
      </c>
      <c r="CX641" s="81">
        <f t="shared" ca="1" si="7918"/>
        <v>33.616772126687465</v>
      </c>
      <c r="CY641" s="81">
        <f t="shared" ca="1" si="7918"/>
        <v>34.752464831658337</v>
      </c>
      <c r="CZ641" s="222">
        <f t="shared" ca="1" si="7918"/>
        <v>35.987954404792042</v>
      </c>
      <c r="DA641" s="81">
        <f ca="1">DA653</f>
        <v>37.259982607077717</v>
      </c>
      <c r="DB641" s="81">
        <f t="shared" ref="DB641" ca="1" si="7919">DB653</f>
        <v>38.550405648302558</v>
      </c>
      <c r="DC641" s="81">
        <f t="shared" ref="DC641" ca="1" si="7920">DC653</f>
        <v>39.887280326672979</v>
      </c>
      <c r="DD641" s="81">
        <f t="shared" ref="DD641:DI641" ca="1" si="7921">DD653</f>
        <v>41.217015636217297</v>
      </c>
      <c r="DE641" s="81">
        <f t="shared" ca="1" si="7921"/>
        <v>42.625381074749292</v>
      </c>
      <c r="DF641" s="81">
        <f t="shared" ca="1" si="7921"/>
        <v>44.068916133626239</v>
      </c>
      <c r="DG641" s="81">
        <f t="shared" ca="1" si="7921"/>
        <v>45.550856417919846</v>
      </c>
      <c r="DH641" s="81">
        <f t="shared" ca="1" si="7921"/>
        <v>47.07473520836848</v>
      </c>
      <c r="DI641" s="81">
        <f t="shared" ca="1" si="7921"/>
        <v>48.644410847538389</v>
      </c>
    </row>
    <row r="642" spans="1:113" ht="12" outlineLevel="1">
      <c r="AY642" s="200"/>
      <c r="CZ642" s="200"/>
      <c r="DB642" s="15"/>
      <c r="DC642" s="15"/>
      <c r="DD642" s="15"/>
      <c r="DE642" s="15"/>
      <c r="DF642" s="15"/>
      <c r="DG642" s="15"/>
      <c r="DH642" s="15"/>
      <c r="DI642" s="15"/>
    </row>
    <row r="643" spans="1:113" ht="12" outlineLevel="1">
      <c r="A643" s="1" t="s">
        <v>751</v>
      </c>
      <c r="B643" s="15" t="s">
        <v>662</v>
      </c>
      <c r="AY643" s="200"/>
      <c r="BS643" s="41">
        <f ca="1">IF(BS$1=Summary!$G$3,0,NPV(Summary!$G$8,OFFSET(BS631,0,1,1,MATCH(Summary!$G$3,BT$1:$KA$1,0))))</f>
        <v>12478.584532885361</v>
      </c>
      <c r="BT643" s="41">
        <f ca="1">IF(BT$1=Summary!$G$3,0,NPV(Summary!$G$8,OFFSET(BT631,0,1,1,MATCH(Summary!$G$3,BU$1:$KA$1,0))))</f>
        <v>13552.214309910816</v>
      </c>
      <c r="BU643" s="41">
        <f ca="1">IF(BU$1=Summary!$G$3,0,NPV(Summary!$G$8,OFFSET(BU631,0,1,1,MATCH(Summary!$G$3,BV$1:$KA$1,0))))</f>
        <v>14531.018026422611</v>
      </c>
      <c r="BV643" s="41">
        <f ca="1">IF(BV$1=Summary!$G$3,0,NPV(Summary!$G$8,OFFSET(BV631,0,1,1,MATCH(Summary!$G$3,BW$1:$KA$1,0))))</f>
        <v>15529.871684853493</v>
      </c>
      <c r="BW643" s="41">
        <f ca="1">IF(BW$1=Summary!$G$3,0,NPV(Summary!$G$8,OFFSET(BW631,0,1,1,MATCH(Summary!$G$3,BX$1:$KA$1,0))))</f>
        <v>16527.619879860016</v>
      </c>
      <c r="BX643" s="41">
        <f ca="1">IF(BX$1=Summary!$G$3,0,NPV(Summary!$G$8,OFFSET(BX631,0,1,1,MATCH(Summary!$G$3,BY$1:$KA$1,0))))</f>
        <v>17573.160908807135</v>
      </c>
      <c r="BY643" s="41">
        <f ca="1">IF(BY$1=Summary!$G$3,0,NPV(Summary!$G$8,OFFSET(BY631,0,1,1,MATCH(Summary!$G$3,BZ$1:$KA$1,0))))</f>
        <v>18688.891712417393</v>
      </c>
      <c r="BZ643" s="41">
        <f ca="1">IF(BZ$1=Summary!$G$3,0,NPV(Summary!$G$8,OFFSET(BZ631,0,1,1,MATCH(Summary!$G$3,CA$1:$KA$1,0))))</f>
        <v>19783.269749959793</v>
      </c>
      <c r="CA643" s="41">
        <f ca="1">IF(CA$1=Summary!$G$3,0,NPV(Summary!$G$8,OFFSET(CA631,0,1,1,MATCH(Summary!$G$3,CB$1:$KA$1,0))))</f>
        <v>19920.330566956094</v>
      </c>
      <c r="CB643" s="41">
        <f ca="1">IF(CB$1=Summary!$G$3,0,NPV(Summary!$G$8,OFFSET(CB631,0,1,1,MATCH(Summary!$G$3,CC$1:$KA$1,0))))</f>
        <v>20396.000979116056</v>
      </c>
      <c r="CC643" s="41">
        <f ca="1">IF(CC$1=Summary!$G$3,0,NPV(Summary!$G$8,OFFSET(CC631,0,1,1,MATCH(Summary!$G$3,CD$1:$KA$1,0))))</f>
        <v>21226.433069194729</v>
      </c>
      <c r="CD643" s="41">
        <f ca="1">IF(CD$1=Summary!$G$3,0,NPV(Summary!$G$8,OFFSET(CD631,0,1,1,MATCH(Summary!$G$3,CE$1:$KA$1,0))))</f>
        <v>21997.264911560665</v>
      </c>
      <c r="CE643" s="41">
        <f ca="1">IF(CE$1=Summary!$G$3,0,NPV(Summary!$G$8,OFFSET(CE631,0,1,1,MATCH(Summary!$G$3,CF$1:$KA$1,0))))</f>
        <v>26049.013283424236</v>
      </c>
      <c r="CF643" s="41">
        <f ca="1">IF(CF$1=Summary!$G$3,0,NPV(Summary!$G$8,OFFSET(CF631,0,1,1,MATCH(Summary!$G$3,CG$1:$KA$1,0))))</f>
        <v>26584.522505499273</v>
      </c>
      <c r="CG643" s="41">
        <f ca="1">IF(CG$1=Summary!$G$3,0,NPV(Summary!$G$8,OFFSET(CG631,0,1,1,MATCH(Summary!$G$3,CH$1:$KA$1,0))))</f>
        <v>26990.298576005207</v>
      </c>
      <c r="CH643" s="41">
        <f ca="1">IF(CH$1=Summary!$G$3,0,NPV(Summary!$G$8,OFFSET(CH631,0,1,1,MATCH(Summary!$G$3,CI$1:$KA$1,0))))</f>
        <v>27671.406044997697</v>
      </c>
      <c r="CI643" s="41">
        <f ca="1">IF(CI$1=Summary!$G$3,0,NPV(Summary!$G$8,OFFSET(CI631,0,1,1,MATCH(Summary!$G$3,CJ$1:$KA$1,0))))</f>
        <v>31224.175401137476</v>
      </c>
      <c r="CJ643" s="41">
        <f ca="1">IF(CJ$1=Summary!$G$3,0,NPV(Summary!$G$8,OFFSET(CJ631,0,1,1,MATCH(Summary!$G$3,CK$1:$KA$1,0))))</f>
        <v>38314.799538042127</v>
      </c>
      <c r="CK643" s="41">
        <f ca="1">IF(CK$1=Summary!$G$3,0,NPV(Summary!$G$8,OFFSET(CK631,0,1,1,MATCH(Summary!$G$3,CL$1:$KA$1,0))))</f>
        <v>39415.761095542017</v>
      </c>
      <c r="CL643" s="41">
        <f ca="1">IF(CL$1=Summary!$G$3,0,NPV(Summary!$G$8,OFFSET(CL631,0,1,1,MATCH(Summary!$G$3,CM$1:$KA$1,0))))</f>
        <v>40904.011116331872</v>
      </c>
      <c r="CM643" s="41">
        <f ca="1">IF(CM$1=Summary!$G$3,0,NPV(Summary!$G$8,OFFSET(CM631,0,1,1,MATCH(Summary!$G$3,CN$1:$KA$1,0))))</f>
        <v>42553.180139034419</v>
      </c>
      <c r="CN643" s="41">
        <f ca="1">IF(CN$1=Summary!$G$3,0,NPV(Summary!$G$8,OFFSET(CN631,0,1,1,MATCH(Summary!$G$3,CO$1:$KA$1,0))))</f>
        <v>45158.072711825611</v>
      </c>
      <c r="CO643" s="41">
        <f ca="1">IF(CO$1=Summary!$G$3,0,NPV(Summary!$G$8,OFFSET(CO631,0,1,1,MATCH(Summary!$G$3,CP$1:$KA$1,0))))</f>
        <v>45008.615401313546</v>
      </c>
      <c r="CP643" s="41">
        <f ca="1">IF(CP$1=Summary!$G$3,0,NPV(Summary!$G$8,OFFSET(CP631,0,1,1,MATCH(Summary!$G$3,CQ$1:$KA$1,0))))</f>
        <v>45371.408018234397</v>
      </c>
      <c r="CQ643" s="41">
        <f ca="1">IF(CQ$1=Summary!$G$3,0,NPV(Summary!$G$8,OFFSET(CQ631,0,1,1,MATCH(Summary!$G$3,CR$1:$KA$1,0))))</f>
        <v>44942.577555911957</v>
      </c>
      <c r="CR643" s="41">
        <f ca="1">IF(CR$1=Summary!$G$3,0,NPV(Summary!$G$8,OFFSET(CR631,0,1,1,MATCH(Summary!$G$3,CS$1:$KA$1,0))))</f>
        <v>44791.29469105586</v>
      </c>
      <c r="CS643" s="41">
        <f ca="1">IF(CS$1=Summary!$G$3,0,NPV(Summary!$G$8,OFFSET(CS631,0,1,1,MATCH(Summary!$G$3,CT$1:$KA$1,0))))</f>
        <v>42358.093802633019</v>
      </c>
      <c r="CT643" s="41">
        <f ca="1">IF(CT$1=Summary!$G$3,0,NPV(Summary!$G$8,OFFSET(CT631,0,1,1,MATCH(Summary!$G$3,CU$1:$KA$1,0))))</f>
        <v>40654.038432475267</v>
      </c>
      <c r="CU643" s="41">
        <f ca="1">IF(CU$1=Summary!$G$3,0,NPV(Summary!$G$8,OFFSET(CU631,0,1,1,MATCH(Summary!$G$3,CV$1:$KA$1,0))))</f>
        <v>41512.209968262992</v>
      </c>
      <c r="CV643" s="41">
        <f ca="1">IF(CV$1=Summary!$G$3,0,NPV(Summary!$G$8,OFFSET(CV631,0,1,1,MATCH(Summary!$G$3,CW$1:$KA$1,0))))</f>
        <v>41856.333285343178</v>
      </c>
      <c r="CW643" s="41">
        <f ca="1">IF(CW$1=Summary!$G$3,0,NPV(Summary!$G$8,OFFSET(CW631,0,1,1,MATCH(Summary!$G$3,CX$1:$KA$1,0))))</f>
        <v>41056.115947594757</v>
      </c>
      <c r="CX643" s="41">
        <f ca="1">IF(CX$1=Summary!$G$3,0,NPV(Summary!$G$8,OFFSET(CX631,0,1,1,MATCH(Summary!$G$3,CY$1:$KA$1,0))))</f>
        <v>40532.278614773481</v>
      </c>
      <c r="CY643" s="41">
        <f ca="1">IF(CY$1=Summary!$G$3,0,NPV(Summary!$G$8,OFFSET(CY631,0,1,1,MATCH(Summary!$G$3,CZ$1:$KA$1,0))))</f>
        <v>38390.248247332645</v>
      </c>
      <c r="CZ643" s="211">
        <f ca="1">IF(CZ$1=Summary!$G$3,0,NPV(Summary!$G$8,OFFSET(CZ631,0,1,1,MATCH(Summary!$G$3,DA$1:$KA$1,0))))</f>
        <v>37048.151086087251</v>
      </c>
      <c r="DA643" s="41">
        <f ca="1">IF(DA$1=Summary!$G$3,0,NPV(Summary!$G$8,OFFSET(DA631,0,1,1,MATCH(Summary!$G$3,DB$1:$KA$1,0))))</f>
        <v>36913.906328278215</v>
      </c>
      <c r="DB643" s="41">
        <f ca="1">IF(DB$1=Summary!$G$3,0,NPV(Summary!$G$8,OFFSET(DB631,0,1,1,MATCH(Summary!$G$3,DC$1:$KA$1,0))))</f>
        <v>33830.664656638022</v>
      </c>
      <c r="DC643" s="41">
        <f ca="1">IF(DC$1=Summary!$G$3,0,NPV(Summary!$G$8,OFFSET(DC631,0,1,1,MATCH(Summary!$G$3,DD$1:$KA$1,0))))</f>
        <v>29383.61734352116</v>
      </c>
      <c r="DD643" s="41">
        <f ca="1">IF(DD$1=Summary!$G$3,0,NPV(Summary!$G$8,OFFSET(DD631,0,1,1,MATCH(Summary!$G$3,DE$1:$KA$1,0))))</f>
        <v>24380.032687643001</v>
      </c>
      <c r="DE643" s="41">
        <f ca="1">IF(DE$1=Summary!$G$3,0,NPV(Summary!$G$8,OFFSET(DE631,0,1,1,MATCH(Summary!$G$3,DF$1:$KA$1,0))))</f>
        <v>20747.105276994163</v>
      </c>
      <c r="DF643" s="41">
        <f ca="1">IF(DF$1=Summary!$G$3,0,NPV(Summary!$G$8,OFFSET(DF631,0,1,1,MATCH(Summary!$G$3,DG$1:$KA$1,0))))</f>
        <v>16547.240013163166</v>
      </c>
      <c r="DG643" s="41">
        <f ca="1">IF(DG$1=Summary!$G$3,0,NPV(Summary!$G$8,OFFSET(DG631,0,1,1,MATCH(Summary!$G$3,DH$1:$KA$1,0))))</f>
        <v>11728.278613657259</v>
      </c>
      <c r="DH643" s="41">
        <f ca="1">IF(DH$1=Summary!$G$3,0,NPV(Summary!$G$8,OFFSET(DH631,0,1,1,MATCH(Summary!$G$3,DI$1:$KA$1,0))))</f>
        <v>6233.2642339943459</v>
      </c>
      <c r="DI643" s="41">
        <f ca="1">IF(DI$1=Summary!$G$3,0,NPV(Summary!$G$8,OFFSET(DI631,0,1,1,MATCH(Summary!$G$3,DJ$1:$KA$1,0))))</f>
        <v>0</v>
      </c>
    </row>
    <row r="644" spans="1:113" ht="12" outlineLevel="1">
      <c r="A644" s="1" t="s">
        <v>6</v>
      </c>
      <c r="B644" s="15" t="s">
        <v>663</v>
      </c>
      <c r="AY644" s="200"/>
      <c r="BS644" s="41">
        <f ca="1">IF(BS$1=Summary!$G$3,((BS515-BS595*BS318*(1-BS129))*(1+Summary!$G$4)-(BS613*BS151-(BS556+BS577))*Summary!$G$4)/(Summary!$G$8-Summary!$G$4)+BS595,(((OFFSET(BS515,0,MATCH(Summary!$G$3,BT$1:$KA$1,0),1,1)-OFFSET(BS595,0,MATCH(Summary!$G$3,BT$1:$KA$1,0),1,1)*OFFSET(BS318,0,MATCH(Summary!$G$3,BT$1:$KA$1,0),1,1)*(1-OFFSET(BS129,0,MATCH(Summary!$G$3,BT$1:$KA$1,0),1,1)))*(1+Summary!$G$4)-((OFFSET(BS613,0,MATCH(Summary!$G$3,BT$1:$KA$1,0),1,1)*OFFSET(BS151,0,MATCH(Summary!$G$3,BT$1:$KA$1,0),1,1)-(OFFSET(BS556,0,MATCH(Summary!$G$3,BT$1:$KA$1,0),1,1)+OFFSET(BS577,0,MATCH(Summary!$G$3,BT$1:$KA$1,0),1,1)))*Summary!$G$4))/(Summary!$G$8-Summary!$G$4)+OFFSET(BS595,0,MATCH(Summary!$G$3,BT$1:$KA$1,0),1,1))/(1+Summary!$G$8)^COUNTA(OFFSET(BS$1,0,0,1,MATCH(Summary!$G$3,BT$1:$KA$1,0))))</f>
        <v>3045.7268424320505</v>
      </c>
      <c r="BT644" s="41">
        <f ca="1">IF(BT$1=Summary!$G$3,((BT515-BT595*BT318*(1-BT129))*(1+Summary!$G$4)-(BT613*BT151-(BT556+BT577))*Summary!$G$4)/(Summary!$G$8-Summary!$G$4)+BT595,(((OFFSET(BT515,0,MATCH(Summary!$G$3,BU$1:$KA$1,0),1,1)-OFFSET(BT595,0,MATCH(Summary!$G$3,BU$1:$KA$1,0),1,1)*OFFSET(BT318,0,MATCH(Summary!$G$3,BU$1:$KA$1,0),1,1)*(1-OFFSET(BT129,0,MATCH(Summary!$G$3,BU$1:$KA$1,0),1,1)))*(1+Summary!$G$4)-((OFFSET(BT613,0,MATCH(Summary!$G$3,BU$1:$KA$1,0),1,1)*OFFSET(BT151,0,MATCH(Summary!$G$3,BU$1:$KA$1,0),1,1)-(OFFSET(BT556,0,MATCH(Summary!$G$3,BU$1:$KA$1,0),1,1)+OFFSET(BT577,0,MATCH(Summary!$G$3,BU$1:$KA$1,0),1,1)))*Summary!$G$4))/(Summary!$G$8-Summary!$G$4)+OFFSET(BT595,0,MATCH(Summary!$G$3,BU$1:$KA$1,0),1,1))/(1+Summary!$G$8)^COUNTA(OFFSET(BT$1,0,0,1,MATCH(Summary!$G$3,BU$1:$KA$1,0))))</f>
        <v>3325.9337119357992</v>
      </c>
      <c r="BU644" s="41">
        <f ca="1">IF(BU$1=Summary!$G$3,((BU515-BU595*BU318*(1-BU129))*(1+Summary!$G$4)-(BU613*BU151-(BU556+BU577))*Summary!$G$4)/(Summary!$G$8-Summary!$G$4)+BU595,(((OFFSET(BU515,0,MATCH(Summary!$G$3,BV$1:$KA$1,0),1,1)-OFFSET(BU595,0,MATCH(Summary!$G$3,BV$1:$KA$1,0),1,1)*OFFSET(BU318,0,MATCH(Summary!$G$3,BV$1:$KA$1,0),1,1)*(1-OFFSET(BU129,0,MATCH(Summary!$G$3,BV$1:$KA$1,0),1,1)))*(1+Summary!$G$4)-((OFFSET(BU613,0,MATCH(Summary!$G$3,BV$1:$KA$1,0),1,1)*OFFSET(BU151,0,MATCH(Summary!$G$3,BV$1:$KA$1,0),1,1)-(OFFSET(BU556,0,MATCH(Summary!$G$3,BV$1:$KA$1,0),1,1)+OFFSET(BU577,0,MATCH(Summary!$G$3,BV$1:$KA$1,0),1,1)))*Summary!$G$4))/(Summary!$G$8-Summary!$G$4)+OFFSET(BU595,0,MATCH(Summary!$G$3,BV$1:$KA$1,0),1,1))/(1+Summary!$G$8)^COUNTA(OFFSET(BU$1,0,0,1,MATCH(Summary!$G$3,BV$1:$KA$1,0))))</f>
        <v>3631.9196134338936</v>
      </c>
      <c r="BV644" s="41">
        <f ca="1">IF(BV$1=Summary!$G$3,((BV515-BV595*BV318*(1-BV129))*(1+Summary!$G$4)-(BV613*BV151-(BV556+BV577))*Summary!$G$4)/(Summary!$G$8-Summary!$G$4)+BV595,(((OFFSET(BV515,0,MATCH(Summary!$G$3,BW$1:$KA$1,0),1,1)-OFFSET(BV595,0,MATCH(Summary!$G$3,BW$1:$KA$1,0),1,1)*OFFSET(BV318,0,MATCH(Summary!$G$3,BW$1:$KA$1,0),1,1)*(1-OFFSET(BV129,0,MATCH(Summary!$G$3,BW$1:$KA$1,0),1,1)))*(1+Summary!$G$4)-((OFFSET(BV613,0,MATCH(Summary!$G$3,BW$1:$KA$1,0),1,1)*OFFSET(BV151,0,MATCH(Summary!$G$3,BW$1:$KA$1,0),1,1)-(OFFSET(BV556,0,MATCH(Summary!$G$3,BW$1:$KA$1,0),1,1)+OFFSET(BV577,0,MATCH(Summary!$G$3,BW$1:$KA$1,0),1,1)))*Summary!$G$4))/(Summary!$G$8-Summary!$G$4)+OFFSET(BV595,0,MATCH(Summary!$G$3,BW$1:$KA$1,0),1,1))/(1+Summary!$G$8)^COUNTA(OFFSET(BV$1,0,0,1,MATCH(Summary!$G$3,BW$1:$KA$1,0))))</f>
        <v>3966.0562178698119</v>
      </c>
      <c r="BW644" s="41">
        <f ca="1">IF(BW$1=Summary!$G$3,((BW515-BW595*BW318*(1-BW129))*(1+Summary!$G$4)-(BW613*BW151-(BW556+BW577))*Summary!$G$4)/(Summary!$G$8-Summary!$G$4)+BW595,(((OFFSET(BW515,0,MATCH(Summary!$G$3,BX$1:$KA$1,0),1,1)-OFFSET(BW595,0,MATCH(Summary!$G$3,BX$1:$KA$1,0),1,1)*OFFSET(BW318,0,MATCH(Summary!$G$3,BX$1:$KA$1,0),1,1)*(1-OFFSET(BW129,0,MATCH(Summary!$G$3,BX$1:$KA$1,0),1,1)))*(1+Summary!$G$4)-((OFFSET(BW613,0,MATCH(Summary!$G$3,BX$1:$KA$1,0),1,1)*OFFSET(BW151,0,MATCH(Summary!$G$3,BX$1:$KA$1,0),1,1)-(OFFSET(BW556,0,MATCH(Summary!$G$3,BX$1:$KA$1,0),1,1)+OFFSET(BW577,0,MATCH(Summary!$G$3,BX$1:$KA$1,0),1,1)))*Summary!$G$4))/(Summary!$G$8-Summary!$G$4)+OFFSET(BW595,0,MATCH(Summary!$G$3,BX$1:$KA$1,0),1,1))/(1+Summary!$G$8)^COUNTA(OFFSET(BW$1,0,0,1,MATCH(Summary!$G$3,BX$1:$KA$1,0))))</f>
        <v>4330.9333899138355</v>
      </c>
      <c r="BX644" s="41">
        <f ca="1">IF(BX$1=Summary!$G$3,((BX515-BX595*BX318*(1-BX129))*(1+Summary!$G$4)-(BX613*BX151-(BX556+BX577))*Summary!$G$4)/(Summary!$G$8-Summary!$G$4)+BX595,(((OFFSET(BX515,0,MATCH(Summary!$G$3,BY$1:$KA$1,0),1,1)-OFFSET(BX595,0,MATCH(Summary!$G$3,BY$1:$KA$1,0),1,1)*OFFSET(BX318,0,MATCH(Summary!$G$3,BY$1:$KA$1,0),1,1)*(1-OFFSET(BX129,0,MATCH(Summary!$G$3,BY$1:$KA$1,0),1,1)))*(1+Summary!$G$4)-((OFFSET(BX613,0,MATCH(Summary!$G$3,BY$1:$KA$1,0),1,1)*OFFSET(BX151,0,MATCH(Summary!$G$3,BY$1:$KA$1,0),1,1)-(OFFSET(BX556,0,MATCH(Summary!$G$3,BY$1:$KA$1,0),1,1)+OFFSET(BX577,0,MATCH(Summary!$G$3,BY$1:$KA$1,0),1,1)))*Summary!$G$4))/(Summary!$G$8-Summary!$G$4)+OFFSET(BX595,0,MATCH(Summary!$G$3,BY$1:$KA$1,0),1,1))/(1+Summary!$G$8)^COUNTA(OFFSET(BX$1,0,0,1,MATCH(Summary!$G$3,BY$1:$KA$1,0))))</f>
        <v>4729.3792617859081</v>
      </c>
      <c r="BY644" s="41">
        <f ca="1">IF(BY$1=Summary!$G$3,((BY515-BY595*BY318*(1-BY129))*(1+Summary!$G$4)-(BY613*BY151-(BY556+BY577))*Summary!$G$4)/(Summary!$G$8-Summary!$G$4)+BY595,(((OFFSET(BY515,0,MATCH(Summary!$G$3,BZ$1:$KA$1,0),1,1)-OFFSET(BY595,0,MATCH(Summary!$G$3,BZ$1:$KA$1,0),1,1)*OFFSET(BY318,0,MATCH(Summary!$G$3,BZ$1:$KA$1,0),1,1)*(1-OFFSET(BY129,0,MATCH(Summary!$G$3,BZ$1:$KA$1,0),1,1)))*(1+Summary!$G$4)-((OFFSET(BY613,0,MATCH(Summary!$G$3,BZ$1:$KA$1,0),1,1)*OFFSET(BY151,0,MATCH(Summary!$G$3,BZ$1:$KA$1,0),1,1)-(OFFSET(BY556,0,MATCH(Summary!$G$3,BZ$1:$KA$1,0),1,1)+OFFSET(BY577,0,MATCH(Summary!$G$3,BZ$1:$KA$1,0),1,1)))*Summary!$G$4))/(Summary!$G$8-Summary!$G$4)+OFFSET(BY595,0,MATCH(Summary!$G$3,BZ$1:$KA$1,0),1,1))/(1+Summary!$G$8)^COUNTA(OFFSET(BY$1,0,0,1,MATCH(Summary!$G$3,BZ$1:$KA$1,0))))</f>
        <v>5164.4821538702126</v>
      </c>
      <c r="BZ644" s="41">
        <f ca="1">IF(BZ$1=Summary!$G$3,((BZ515-BZ595*BZ318*(1-BZ129))*(1+Summary!$G$4)-(BZ613*BZ151-(BZ556+BZ577))*Summary!$G$4)/(Summary!$G$8-Summary!$G$4)+BZ595,(((OFFSET(BZ515,0,MATCH(Summary!$G$3,CA$1:$KA$1,0),1,1)-OFFSET(BZ595,0,MATCH(Summary!$G$3,CA$1:$KA$1,0),1,1)*OFFSET(BZ318,0,MATCH(Summary!$G$3,CA$1:$KA$1,0),1,1)*(1-OFFSET(BZ129,0,MATCH(Summary!$G$3,CA$1:$KA$1,0),1,1)))*(1+Summary!$G$4)-((OFFSET(BZ613,0,MATCH(Summary!$G$3,CA$1:$KA$1,0),1,1)*OFFSET(BZ151,0,MATCH(Summary!$G$3,CA$1:$KA$1,0),1,1)-(OFFSET(BZ556,0,MATCH(Summary!$G$3,CA$1:$KA$1,0),1,1)+OFFSET(BZ577,0,MATCH(Summary!$G$3,CA$1:$KA$1,0),1,1)))*Summary!$G$4))/(Summary!$G$8-Summary!$G$4)+OFFSET(BZ595,0,MATCH(Summary!$G$3,CA$1:$KA$1,0),1,1))/(1+Summary!$G$8)^COUNTA(OFFSET(BZ$1,0,0,1,MATCH(Summary!$G$3,CA$1:$KA$1,0))))</f>
        <v>5639.6145120262718</v>
      </c>
      <c r="CA644" s="41">
        <f ca="1">IF(CA$1=Summary!$G$3,((CA515-CA595*CA318*(1-CA129))*(1+Summary!$G$4)-(CA613*CA151-(CA556+CA577))*Summary!$G$4)/(Summary!$G$8-Summary!$G$4)+CA595,(((OFFSET(CA515,0,MATCH(Summary!$G$3,CB$1:$KA$1,0),1,1)-OFFSET(CA595,0,MATCH(Summary!$G$3,CB$1:$KA$1,0),1,1)*OFFSET(CA318,0,MATCH(Summary!$G$3,CB$1:$KA$1,0),1,1)*(1-OFFSET(CA129,0,MATCH(Summary!$G$3,CB$1:$KA$1,0),1,1)))*(1+Summary!$G$4)-((OFFSET(CA613,0,MATCH(Summary!$G$3,CB$1:$KA$1,0),1,1)*OFFSET(CA151,0,MATCH(Summary!$G$3,CB$1:$KA$1,0),1,1)-(OFFSET(CA556,0,MATCH(Summary!$G$3,CB$1:$KA$1,0),1,1)+OFFSET(CA577,0,MATCH(Summary!$G$3,CB$1:$KA$1,0),1,1)))*Summary!$G$4))/(Summary!$G$8-Summary!$G$4)+OFFSET(CA595,0,MATCH(Summary!$G$3,CB$1:$KA$1,0),1,1))/(1+Summary!$G$8)^COUNTA(OFFSET(CA$1,0,0,1,MATCH(Summary!$G$3,CB$1:$KA$1,0))))</f>
        <v>6158.4590471326901</v>
      </c>
      <c r="CB644" s="41">
        <f ca="1">IF(CB$1=Summary!$G$3,((CB515-CB595*CB318*(1-CB129))*(1+Summary!$G$4)-(CB613*CB151-(CB556+CB577))*Summary!$G$4)/(Summary!$G$8-Summary!$G$4)+CB595,(((OFFSET(CB515,0,MATCH(Summary!$G$3,CC$1:$KA$1,0),1,1)-OFFSET(CB595,0,MATCH(Summary!$G$3,CC$1:$KA$1,0),1,1)*OFFSET(CB318,0,MATCH(Summary!$G$3,CC$1:$KA$1,0),1,1)*(1-OFFSET(CB129,0,MATCH(Summary!$G$3,CC$1:$KA$1,0),1,1)))*(1+Summary!$G$4)-((OFFSET(CB613,0,MATCH(Summary!$G$3,CC$1:$KA$1,0),1,1)*OFFSET(CB151,0,MATCH(Summary!$G$3,CC$1:$KA$1,0),1,1)-(OFFSET(CB556,0,MATCH(Summary!$G$3,CC$1:$KA$1,0),1,1)+OFFSET(CB577,0,MATCH(Summary!$G$3,CC$1:$KA$1,0),1,1)))*Summary!$G$4))/(Summary!$G$8-Summary!$G$4)+OFFSET(CB595,0,MATCH(Summary!$G$3,CC$1:$KA$1,0),1,1))/(1+Summary!$G$8)^COUNTA(OFFSET(CB$1,0,0,1,MATCH(Summary!$G$3,CC$1:$KA$1,0))))</f>
        <v>6725.0372794688974</v>
      </c>
      <c r="CC644" s="41">
        <f ca="1">IF(CC$1=Summary!$G$3,((CC515-CC595*CC318*(1-CC129))*(1+Summary!$G$4)-(CC613*CC151-(CC556+CC577))*Summary!$G$4)/(Summary!$G$8-Summary!$G$4)+CC595,(((OFFSET(CC515,0,MATCH(Summary!$G$3,CD$1:$KA$1,0),1,1)-OFFSET(CC595,0,MATCH(Summary!$G$3,CD$1:$KA$1,0),1,1)*OFFSET(CC318,0,MATCH(Summary!$G$3,CD$1:$KA$1,0),1,1)*(1-OFFSET(CC129,0,MATCH(Summary!$G$3,CD$1:$KA$1,0),1,1)))*(1+Summary!$G$4)-((OFFSET(CC613,0,MATCH(Summary!$G$3,CD$1:$KA$1,0),1,1)*OFFSET(CC151,0,MATCH(Summary!$G$3,CD$1:$KA$1,0),1,1)-(OFFSET(CC556,0,MATCH(Summary!$G$3,CD$1:$KA$1,0),1,1)+OFFSET(CC577,0,MATCH(Summary!$G$3,CD$1:$KA$1,0),1,1)))*Summary!$G$4))/(Summary!$G$8-Summary!$G$4)+OFFSET(CC595,0,MATCH(Summary!$G$3,CD$1:$KA$1,0),1,1))/(1+Summary!$G$8)^COUNTA(OFFSET(CC$1,0,0,1,MATCH(Summary!$G$3,CD$1:$KA$1,0))))</f>
        <v>7343.7407091800369</v>
      </c>
      <c r="CD644" s="41">
        <f ca="1">IF(CD$1=Summary!$G$3,((CD515-CD595*CD318*(1-CD129))*(1+Summary!$G$4)-(CD613*CD151-(CD556+CD577))*Summary!$G$4)/(Summary!$G$8-Summary!$G$4)+CD595,(((OFFSET(CD515,0,MATCH(Summary!$G$3,CE$1:$KA$1,0),1,1)-OFFSET(CD595,0,MATCH(Summary!$G$3,CE$1:$KA$1,0),1,1)*OFFSET(CD318,0,MATCH(Summary!$G$3,CE$1:$KA$1,0),1,1)*(1-OFFSET(CD129,0,MATCH(Summary!$G$3,CE$1:$KA$1,0),1,1)))*(1+Summary!$G$4)-((OFFSET(CD613,0,MATCH(Summary!$G$3,CE$1:$KA$1,0),1,1)*OFFSET(CD151,0,MATCH(Summary!$G$3,CE$1:$KA$1,0),1,1)-(OFFSET(CD556,0,MATCH(Summary!$G$3,CE$1:$KA$1,0),1,1)+OFFSET(CD577,0,MATCH(Summary!$G$3,CE$1:$KA$1,0),1,1)))*Summary!$G$4))/(Summary!$G$8-Summary!$G$4)+OFFSET(CD595,0,MATCH(Summary!$G$3,CE$1:$KA$1,0),1,1))/(1+Summary!$G$8)^COUNTA(OFFSET(CD$1,0,0,1,MATCH(Summary!$G$3,CE$1:$KA$1,0))))</f>
        <v>8019.3648544246016</v>
      </c>
      <c r="CE644" s="41">
        <f ca="1">IF(CE$1=Summary!$G$3,((CE515-CE595*CE318*(1-CE129))*(1+Summary!$G$4)-(CE613*CE151-(CE556+CE577))*Summary!$G$4)/(Summary!$G$8-Summary!$G$4)+CE595,(((OFFSET(CE515,0,MATCH(Summary!$G$3,CF$1:$KA$1,0),1,1)-OFFSET(CE595,0,MATCH(Summary!$G$3,CF$1:$KA$1,0),1,1)*OFFSET(CE318,0,MATCH(Summary!$G$3,CF$1:$KA$1,0),1,1)*(1-OFFSET(CE129,0,MATCH(Summary!$G$3,CF$1:$KA$1,0),1,1)))*(1+Summary!$G$4)-((OFFSET(CE613,0,MATCH(Summary!$G$3,CF$1:$KA$1,0),1,1)*OFFSET(CE151,0,MATCH(Summary!$G$3,CF$1:$KA$1,0),1,1)-(OFFSET(CE556,0,MATCH(Summary!$G$3,CF$1:$KA$1,0),1,1)+OFFSET(CE577,0,MATCH(Summary!$G$3,CF$1:$KA$1,0),1,1)))*Summary!$G$4))/(Summary!$G$8-Summary!$G$4)+OFFSET(CE595,0,MATCH(Summary!$G$3,CF$1:$KA$1,0),1,1))/(1+Summary!$G$8)^COUNTA(OFFSET(CE$1,0,0,1,MATCH(Summary!$G$3,CF$1:$KA$1,0))))</f>
        <v>8757.1464210316663</v>
      </c>
      <c r="CF644" s="41">
        <f ca="1">IF(CF$1=Summary!$G$3,((CF515-CF595*CF318*(1-CF129))*(1+Summary!$G$4)-(CF613*CF151-(CF556+CF577))*Summary!$G$4)/(Summary!$G$8-Summary!$G$4)+CF595,(((OFFSET(CF515,0,MATCH(Summary!$G$3,CG$1:$KA$1,0),1,1)-OFFSET(CF595,0,MATCH(Summary!$G$3,CG$1:$KA$1,0),1,1)*OFFSET(CF318,0,MATCH(Summary!$G$3,CG$1:$KA$1,0),1,1)*(1-OFFSET(CF129,0,MATCH(Summary!$G$3,CG$1:$KA$1,0),1,1)))*(1+Summary!$G$4)-((OFFSET(CF613,0,MATCH(Summary!$G$3,CG$1:$KA$1,0),1,1)*OFFSET(CF151,0,MATCH(Summary!$G$3,CG$1:$KA$1,0),1,1)-(OFFSET(CF556,0,MATCH(Summary!$G$3,CG$1:$KA$1,0),1,1)+OFFSET(CF577,0,MATCH(Summary!$G$3,CG$1:$KA$1,0),1,1)))*Summary!$G$4))/(Summary!$G$8-Summary!$G$4)+OFFSET(CF595,0,MATCH(Summary!$G$3,CG$1:$KA$1,0),1,1))/(1+Summary!$G$8)^COUNTA(OFFSET(CF$1,0,0,1,MATCH(Summary!$G$3,CG$1:$KA$1,0))))</f>
        <v>9562.8038917665799</v>
      </c>
      <c r="CG644" s="41">
        <f ca="1">IF(CG$1=Summary!$G$3,((CG515-CG595*CG318*(1-CG129))*(1+Summary!$G$4)-(CG613*CG151-(CG556+CG577))*Summary!$G$4)/(Summary!$G$8-Summary!$G$4)+CG595,(((OFFSET(CG515,0,MATCH(Summary!$G$3,CH$1:$KA$1,0),1,1)-OFFSET(CG595,0,MATCH(Summary!$G$3,CH$1:$KA$1,0),1,1)*OFFSET(CG318,0,MATCH(Summary!$G$3,CH$1:$KA$1,0),1,1)*(1-OFFSET(CG129,0,MATCH(Summary!$G$3,CH$1:$KA$1,0),1,1)))*(1+Summary!$G$4)-((OFFSET(CG613,0,MATCH(Summary!$G$3,CH$1:$KA$1,0),1,1)*OFFSET(CG151,0,MATCH(Summary!$G$3,CH$1:$KA$1,0),1,1)-(OFFSET(CG556,0,MATCH(Summary!$G$3,CH$1:$KA$1,0),1,1)+OFFSET(CG577,0,MATCH(Summary!$G$3,CH$1:$KA$1,0),1,1)))*Summary!$G$4))/(Summary!$G$8-Summary!$G$4)+OFFSET(CG595,0,MATCH(Summary!$G$3,CH$1:$KA$1,0),1,1))/(1+Summary!$G$8)^COUNTA(OFFSET(CG$1,0,0,1,MATCH(Summary!$G$3,CH$1:$KA$1,0))))</f>
        <v>10442.581849809107</v>
      </c>
      <c r="CH644" s="41">
        <f ca="1">IF(CH$1=Summary!$G$3,((CH515-CH595*CH318*(1-CH129))*(1+Summary!$G$4)-(CH613*CH151-(CH556+CH577))*Summary!$G$4)/(Summary!$G$8-Summary!$G$4)+CH595,(((OFFSET(CH515,0,MATCH(Summary!$G$3,CI$1:$KA$1,0),1,1)-OFFSET(CH595,0,MATCH(Summary!$G$3,CI$1:$KA$1,0),1,1)*OFFSET(CH318,0,MATCH(Summary!$G$3,CI$1:$KA$1,0),1,1)*(1-OFFSET(CH129,0,MATCH(Summary!$G$3,CI$1:$KA$1,0),1,1)))*(1+Summary!$G$4)-((OFFSET(CH613,0,MATCH(Summary!$G$3,CI$1:$KA$1,0),1,1)*OFFSET(CH151,0,MATCH(Summary!$G$3,CI$1:$KA$1,0),1,1)-(OFFSET(CH556,0,MATCH(Summary!$G$3,CI$1:$KA$1,0),1,1)+OFFSET(CH577,0,MATCH(Summary!$G$3,CI$1:$KA$1,0),1,1)))*Summary!$G$4))/(Summary!$G$8-Summary!$G$4)+OFFSET(CH595,0,MATCH(Summary!$G$3,CI$1:$KA$1,0),1,1))/(1+Summary!$G$8)^COUNTA(OFFSET(CH$1,0,0,1,MATCH(Summary!$G$3,CI$1:$KA$1,0))))</f>
        <v>11403.299379991544</v>
      </c>
      <c r="CI644" s="41">
        <f ca="1">IF(CI$1=Summary!$G$3,((CI515-CI595*CI318*(1-CI129))*(1+Summary!$G$4)-(CI613*CI151-(CI556+CI577))*Summary!$G$4)/(Summary!$G$8-Summary!$G$4)+CI595,(((OFFSET(CI515,0,MATCH(Summary!$G$3,CJ$1:$KA$1,0),1,1)-OFFSET(CI595,0,MATCH(Summary!$G$3,CJ$1:$KA$1,0),1,1)*OFFSET(CI318,0,MATCH(Summary!$G$3,CJ$1:$KA$1,0),1,1)*(1-OFFSET(CI129,0,MATCH(Summary!$G$3,CJ$1:$KA$1,0),1,1)))*(1+Summary!$G$4)-((OFFSET(CI613,0,MATCH(Summary!$G$3,CJ$1:$KA$1,0),1,1)*OFFSET(CI151,0,MATCH(Summary!$G$3,CJ$1:$KA$1,0),1,1)-(OFFSET(CI556,0,MATCH(Summary!$G$3,CJ$1:$KA$1,0),1,1)+OFFSET(CI577,0,MATCH(Summary!$G$3,CJ$1:$KA$1,0),1,1)))*Summary!$G$4))/(Summary!$G$8-Summary!$G$4)+OFFSET(CI595,0,MATCH(Summary!$G$3,CJ$1:$KA$1,0),1,1))/(1+Summary!$G$8)^COUNTA(OFFSET(CI$1,0,0,1,MATCH(Summary!$G$3,CJ$1:$KA$1,0))))</f>
        <v>12452.402922950769</v>
      </c>
      <c r="CJ644" s="41">
        <f ca="1">IF(CJ$1=Summary!$G$3,((CJ515-CJ595*CJ318*(1-CJ129))*(1+Summary!$G$4)-(CJ613*CJ151-(CJ556+CJ577))*Summary!$G$4)/(Summary!$G$8-Summary!$G$4)+CJ595,(((OFFSET(CJ515,0,MATCH(Summary!$G$3,CK$1:$KA$1,0),1,1)-OFFSET(CJ595,0,MATCH(Summary!$G$3,CK$1:$KA$1,0),1,1)*OFFSET(CJ318,0,MATCH(Summary!$G$3,CK$1:$KA$1,0),1,1)*(1-OFFSET(CJ129,0,MATCH(Summary!$G$3,CK$1:$KA$1,0),1,1)))*(1+Summary!$G$4)-((OFFSET(CJ613,0,MATCH(Summary!$G$3,CK$1:$KA$1,0),1,1)*OFFSET(CJ151,0,MATCH(Summary!$G$3,CK$1:$KA$1,0),1,1)-(OFFSET(CJ556,0,MATCH(Summary!$G$3,CK$1:$KA$1,0),1,1)+OFFSET(CJ577,0,MATCH(Summary!$G$3,CK$1:$KA$1,0),1,1)))*Summary!$G$4))/(Summary!$G$8-Summary!$G$4)+OFFSET(CJ595,0,MATCH(Summary!$G$3,CK$1:$KA$1,0),1,1))/(1+Summary!$G$8)^COUNTA(OFFSET(CJ$1,0,0,1,MATCH(Summary!$G$3,CK$1:$KA$1,0))))</f>
        <v>13598.023991862239</v>
      </c>
      <c r="CK644" s="41">
        <f ca="1">IF(CK$1=Summary!$G$3,((CK515-CK595*CK318*(1-CK129))*(1+Summary!$G$4)-(CK613*CK151-(CK556+CK577))*Summary!$G$4)/(Summary!$G$8-Summary!$G$4)+CK595,(((OFFSET(CK515,0,MATCH(Summary!$G$3,CL$1:$KA$1,0),1,1)-OFFSET(CK595,0,MATCH(Summary!$G$3,CL$1:$KA$1,0),1,1)*OFFSET(CK318,0,MATCH(Summary!$G$3,CL$1:$KA$1,0),1,1)*(1-OFFSET(CK129,0,MATCH(Summary!$G$3,CL$1:$KA$1,0),1,1)))*(1+Summary!$G$4)-((OFFSET(CK613,0,MATCH(Summary!$G$3,CL$1:$KA$1,0),1,1)*OFFSET(CK151,0,MATCH(Summary!$G$3,CL$1:$KA$1,0),1,1)-(OFFSET(CK556,0,MATCH(Summary!$G$3,CL$1:$KA$1,0),1,1)+OFFSET(CK577,0,MATCH(Summary!$G$3,CL$1:$KA$1,0),1,1)))*Summary!$G$4))/(Summary!$G$8-Summary!$G$4)+OFFSET(CK595,0,MATCH(Summary!$G$3,CL$1:$KA$1,0),1,1))/(1+Summary!$G$8)^COUNTA(OFFSET(CK$1,0,0,1,MATCH(Summary!$G$3,CL$1:$KA$1,0))))</f>
        <v>14849.042199113568</v>
      </c>
      <c r="CL644" s="41">
        <f ca="1">IF(CL$1=Summary!$G$3,((CL515-CL595*CL318*(1-CL129))*(1+Summary!$G$4)-(CL613*CL151-(CL556+CL577))*Summary!$G$4)/(Summary!$G$8-Summary!$G$4)+CL595,(((OFFSET(CL515,0,MATCH(Summary!$G$3,CM$1:$KA$1,0),1,1)-OFFSET(CL595,0,MATCH(Summary!$G$3,CM$1:$KA$1,0),1,1)*OFFSET(CL318,0,MATCH(Summary!$G$3,CM$1:$KA$1,0),1,1)*(1-OFFSET(CL129,0,MATCH(Summary!$G$3,CM$1:$KA$1,0),1,1)))*(1+Summary!$G$4)-((OFFSET(CL613,0,MATCH(Summary!$G$3,CM$1:$KA$1,0),1,1)*OFFSET(CL151,0,MATCH(Summary!$G$3,CM$1:$KA$1,0),1,1)-(OFFSET(CL556,0,MATCH(Summary!$G$3,CM$1:$KA$1,0),1,1)+OFFSET(CL577,0,MATCH(Summary!$G$3,CM$1:$KA$1,0),1,1)))*Summary!$G$4))/(Summary!$G$8-Summary!$G$4)+OFFSET(CL595,0,MATCH(Summary!$G$3,CM$1:$KA$1,0),1,1))/(1+Summary!$G$8)^COUNTA(OFFSET(CL$1,0,0,1,MATCH(Summary!$G$3,CM$1:$KA$1,0))))</f>
        <v>16215.154081432014</v>
      </c>
      <c r="CM644" s="41">
        <f ca="1">IF(CM$1=Summary!$G$3,((CM515-CM595*CM318*(1-CM129))*(1+Summary!$G$4)-(CM613*CM151-(CM556+CM577))*Summary!$G$4)/(Summary!$G$8-Summary!$G$4)+CM595,(((OFFSET(CM515,0,MATCH(Summary!$G$3,CN$1:$KA$1,0),1,1)-OFFSET(CM595,0,MATCH(Summary!$G$3,CN$1:$KA$1,0),1,1)*OFFSET(CM318,0,MATCH(Summary!$G$3,CN$1:$KA$1,0),1,1)*(1-OFFSET(CM129,0,MATCH(Summary!$G$3,CN$1:$KA$1,0),1,1)))*(1+Summary!$G$4)-((OFFSET(CM613,0,MATCH(Summary!$G$3,CN$1:$KA$1,0),1,1)*OFFSET(CM151,0,MATCH(Summary!$G$3,CN$1:$KA$1,0),1,1)-(OFFSET(CM556,0,MATCH(Summary!$G$3,CN$1:$KA$1,0),1,1)+OFFSET(CM577,0,MATCH(Summary!$G$3,CN$1:$KA$1,0),1,1)))*Summary!$G$4))/(Summary!$G$8-Summary!$G$4)+OFFSET(CM595,0,MATCH(Summary!$G$3,CN$1:$KA$1,0),1,1))/(1+Summary!$G$8)^COUNTA(OFFSET(CM$1,0,0,1,MATCH(Summary!$G$3,CN$1:$KA$1,0))))</f>
        <v>17706.948256923763</v>
      </c>
      <c r="CN644" s="41">
        <f ca="1">IF(CN$1=Summary!$G$3,((CN515-CN595*CN318*(1-CN129))*(1+Summary!$G$4)-(CN613*CN151-(CN556+CN577))*Summary!$G$4)/(Summary!$G$8-Summary!$G$4)+CN595,(((OFFSET(CN515,0,MATCH(Summary!$G$3,CO$1:$KA$1,0),1,1)-OFFSET(CN595,0,MATCH(Summary!$G$3,CO$1:$KA$1,0),1,1)*OFFSET(CN318,0,MATCH(Summary!$G$3,CO$1:$KA$1,0),1,1)*(1-OFFSET(CN129,0,MATCH(Summary!$G$3,CO$1:$KA$1,0),1,1)))*(1+Summary!$G$4)-((OFFSET(CN613,0,MATCH(Summary!$G$3,CO$1:$KA$1,0),1,1)*OFFSET(CN151,0,MATCH(Summary!$G$3,CO$1:$KA$1,0),1,1)-(OFFSET(CN556,0,MATCH(Summary!$G$3,CO$1:$KA$1,0),1,1)+OFFSET(CN577,0,MATCH(Summary!$G$3,CO$1:$KA$1,0),1,1)))*Summary!$G$4))/(Summary!$G$8-Summary!$G$4)+OFFSET(CN595,0,MATCH(Summary!$G$3,CO$1:$KA$1,0),1,1))/(1+Summary!$G$8)^COUNTA(OFFSET(CN$1,0,0,1,MATCH(Summary!$G$3,CO$1:$KA$1,0))))</f>
        <v>19335.987496560749</v>
      </c>
      <c r="CO644" s="41">
        <f ca="1">IF(CO$1=Summary!$G$3,((CO515-CO595*CO318*(1-CO129))*(1+Summary!$G$4)-(CO613*CO151-(CO556+CO577))*Summary!$G$4)/(Summary!$G$8-Summary!$G$4)+CO595,(((OFFSET(CO515,0,MATCH(Summary!$G$3,CP$1:$KA$1,0),1,1)-OFFSET(CO595,0,MATCH(Summary!$G$3,CP$1:$KA$1,0),1,1)*OFFSET(CO318,0,MATCH(Summary!$G$3,CP$1:$KA$1,0),1,1)*(1-OFFSET(CO129,0,MATCH(Summary!$G$3,CP$1:$KA$1,0),1,1)))*(1+Summary!$G$4)-((OFFSET(CO613,0,MATCH(Summary!$G$3,CP$1:$KA$1,0),1,1)*OFFSET(CO151,0,MATCH(Summary!$G$3,CP$1:$KA$1,0),1,1)-(OFFSET(CO556,0,MATCH(Summary!$G$3,CP$1:$KA$1,0),1,1)+OFFSET(CO577,0,MATCH(Summary!$G$3,CP$1:$KA$1,0),1,1)))*Summary!$G$4))/(Summary!$G$8-Summary!$G$4)+OFFSET(CO595,0,MATCH(Summary!$G$3,CP$1:$KA$1,0),1,1))/(1+Summary!$G$8)^COUNTA(OFFSET(CO$1,0,0,1,MATCH(Summary!$G$3,CP$1:$KA$1,0))))</f>
        <v>21114.898346244339</v>
      </c>
      <c r="CP644" s="41">
        <f ca="1">IF(CP$1=Summary!$G$3,((CP515-CP595*CP318*(1-CP129))*(1+Summary!$G$4)-(CP613*CP151-(CP556+CP577))*Summary!$G$4)/(Summary!$G$8-Summary!$G$4)+CP595,(((OFFSET(CP515,0,MATCH(Summary!$G$3,CQ$1:$KA$1,0),1,1)-OFFSET(CP595,0,MATCH(Summary!$G$3,CQ$1:$KA$1,0),1,1)*OFFSET(CP318,0,MATCH(Summary!$G$3,CQ$1:$KA$1,0),1,1)*(1-OFFSET(CP129,0,MATCH(Summary!$G$3,CQ$1:$KA$1,0),1,1)))*(1+Summary!$G$4)-((OFFSET(CP613,0,MATCH(Summary!$G$3,CQ$1:$KA$1,0),1,1)*OFFSET(CP151,0,MATCH(Summary!$G$3,CQ$1:$KA$1,0),1,1)-(OFFSET(CP556,0,MATCH(Summary!$G$3,CQ$1:$KA$1,0),1,1)+OFFSET(CP577,0,MATCH(Summary!$G$3,CQ$1:$KA$1,0),1,1)))*Summary!$G$4))/(Summary!$G$8-Summary!$G$4)+OFFSET(CP595,0,MATCH(Summary!$G$3,CQ$1:$KA$1,0),1,1))/(1+Summary!$G$8)^COUNTA(OFFSET(CP$1,0,0,1,MATCH(Summary!$G$3,CQ$1:$KA$1,0))))</f>
        <v>23057.468994098821</v>
      </c>
      <c r="CQ644" s="41">
        <f ca="1">IF(CQ$1=Summary!$G$3,((CQ515-CQ595*CQ318*(1-CQ129))*(1+Summary!$G$4)-(CQ613*CQ151-(CQ556+CQ577))*Summary!$G$4)/(Summary!$G$8-Summary!$G$4)+CQ595,(((OFFSET(CQ515,0,MATCH(Summary!$G$3,CR$1:$KA$1,0),1,1)-OFFSET(CQ595,0,MATCH(Summary!$G$3,CR$1:$KA$1,0),1,1)*OFFSET(CQ318,0,MATCH(Summary!$G$3,CR$1:$KA$1,0),1,1)*(1-OFFSET(CQ129,0,MATCH(Summary!$G$3,CR$1:$KA$1,0),1,1)))*(1+Summary!$G$4)-((OFFSET(CQ613,0,MATCH(Summary!$G$3,CR$1:$KA$1,0),1,1)*OFFSET(CQ151,0,MATCH(Summary!$G$3,CR$1:$KA$1,0),1,1)-(OFFSET(CQ556,0,MATCH(Summary!$G$3,CR$1:$KA$1,0),1,1)+OFFSET(CQ577,0,MATCH(Summary!$G$3,CR$1:$KA$1,0),1,1)))*Summary!$G$4))/(Summary!$G$8-Summary!$G$4)+OFFSET(CQ595,0,MATCH(Summary!$G$3,CR$1:$KA$1,0),1,1))/(1+Summary!$G$8)^COUNTA(OFFSET(CQ$1,0,0,1,MATCH(Summary!$G$3,CR$1:$KA$1,0))))</f>
        <v>25178.756141555918</v>
      </c>
      <c r="CR644" s="41">
        <f ca="1">IF(CR$1=Summary!$G$3,((CR515-CR595*CR318*(1-CR129))*(1+Summary!$G$4)-(CR613*CR151-(CR556+CR577))*Summary!$G$4)/(Summary!$G$8-Summary!$G$4)+CR595,(((OFFSET(CR515,0,MATCH(Summary!$G$3,CS$1:$KA$1,0),1,1)-OFFSET(CR595,0,MATCH(Summary!$G$3,CS$1:$KA$1,0),1,1)*OFFSET(CR318,0,MATCH(Summary!$G$3,CS$1:$KA$1,0),1,1)*(1-OFFSET(CR129,0,MATCH(Summary!$G$3,CS$1:$KA$1,0),1,1)))*(1+Summary!$G$4)-((OFFSET(CR613,0,MATCH(Summary!$G$3,CS$1:$KA$1,0),1,1)*OFFSET(CR151,0,MATCH(Summary!$G$3,CS$1:$KA$1,0),1,1)-(OFFSET(CR556,0,MATCH(Summary!$G$3,CS$1:$KA$1,0),1,1)+OFFSET(CR577,0,MATCH(Summary!$G$3,CS$1:$KA$1,0),1,1)))*Summary!$G$4))/(Summary!$G$8-Summary!$G$4)+OFFSET(CR595,0,MATCH(Summary!$G$3,CS$1:$KA$1,0),1,1))/(1+Summary!$G$8)^COUNTA(OFFSET(CR$1,0,0,1,MATCH(Summary!$G$3,CS$1:$KA$1,0))))</f>
        <v>27495.201706579064</v>
      </c>
      <c r="CS644" s="41">
        <f ca="1">IF(CS$1=Summary!$G$3,((CS515-CS595*CS318*(1-CS129))*(1+Summary!$G$4)-(CS613*CS151-(CS556+CS577))*Summary!$G$4)/(Summary!$G$8-Summary!$G$4)+CS595,(((OFFSET(CS515,0,MATCH(Summary!$G$3,CT$1:$KA$1,0),1,1)-OFFSET(CS595,0,MATCH(Summary!$G$3,CT$1:$KA$1,0),1,1)*OFFSET(CS318,0,MATCH(Summary!$G$3,CT$1:$KA$1,0),1,1)*(1-OFFSET(CS129,0,MATCH(Summary!$G$3,CT$1:$KA$1,0),1,1)))*(1+Summary!$G$4)-((OFFSET(CS613,0,MATCH(Summary!$G$3,CT$1:$KA$1,0),1,1)*OFFSET(CS151,0,MATCH(Summary!$G$3,CT$1:$KA$1,0),1,1)-(OFFSET(CS556,0,MATCH(Summary!$G$3,CT$1:$KA$1,0),1,1)+OFFSET(CS577,0,MATCH(Summary!$G$3,CT$1:$KA$1,0),1,1)))*Summary!$G$4))/(Summary!$G$8-Summary!$G$4)+OFFSET(CS595,0,MATCH(Summary!$G$3,CT$1:$KA$1,0),1,1))/(1+Summary!$G$8)^COUNTA(OFFSET(CS$1,0,0,1,MATCH(Summary!$G$3,CT$1:$KA$1,0))))</f>
        <v>30024.76026358434</v>
      </c>
      <c r="CT644" s="41">
        <f ca="1">IF(CT$1=Summary!$G$3,((CT515-CT595*CT318*(1-CT129))*(1+Summary!$G$4)-(CT613*CT151-(CT556+CT577))*Summary!$G$4)/(Summary!$G$8-Summary!$G$4)+CT595,(((OFFSET(CT515,0,MATCH(Summary!$G$3,CU$1:$KA$1,0),1,1)-OFFSET(CT595,0,MATCH(Summary!$G$3,CU$1:$KA$1,0),1,1)*OFFSET(CT318,0,MATCH(Summary!$G$3,CU$1:$KA$1,0),1,1)*(1-OFFSET(CT129,0,MATCH(Summary!$G$3,CU$1:$KA$1,0),1,1)))*(1+Summary!$G$4)-((OFFSET(CT613,0,MATCH(Summary!$G$3,CU$1:$KA$1,0),1,1)*OFFSET(CT151,0,MATCH(Summary!$G$3,CU$1:$KA$1,0),1,1)-(OFFSET(CT556,0,MATCH(Summary!$G$3,CU$1:$KA$1,0),1,1)+OFFSET(CT577,0,MATCH(Summary!$G$3,CU$1:$KA$1,0),1,1)))*Summary!$G$4))/(Summary!$G$8-Summary!$G$4)+OFFSET(CT595,0,MATCH(Summary!$G$3,CU$1:$KA$1,0),1,1))/(1+Summary!$G$8)^COUNTA(OFFSET(CT$1,0,0,1,MATCH(Summary!$G$3,CU$1:$KA$1,0))))</f>
        <v>32787.038207834099</v>
      </c>
      <c r="CU644" s="41">
        <f ca="1">IF(CU$1=Summary!$G$3,((CU515-CU595*CU318*(1-CU129))*(1+Summary!$G$4)-(CU613*CU151-(CU556+CU577))*Summary!$G$4)/(Summary!$G$8-Summary!$G$4)+CU595,(((OFFSET(CU515,0,MATCH(Summary!$G$3,CV$1:$KA$1,0),1,1)-OFFSET(CU595,0,MATCH(Summary!$G$3,CV$1:$KA$1,0),1,1)*OFFSET(CU318,0,MATCH(Summary!$G$3,CV$1:$KA$1,0),1,1)*(1-OFFSET(CU129,0,MATCH(Summary!$G$3,CV$1:$KA$1,0),1,1)))*(1+Summary!$G$4)-((OFFSET(CU613,0,MATCH(Summary!$G$3,CV$1:$KA$1,0),1,1)*OFFSET(CU151,0,MATCH(Summary!$G$3,CV$1:$KA$1,0),1,1)-(OFFSET(CU556,0,MATCH(Summary!$G$3,CV$1:$KA$1,0),1,1)+OFFSET(CU577,0,MATCH(Summary!$G$3,CV$1:$KA$1,0),1,1)))*Summary!$G$4))/(Summary!$G$8-Summary!$G$4)+OFFSET(CU595,0,MATCH(Summary!$G$3,CV$1:$KA$1,0),1,1))/(1+Summary!$G$8)^COUNTA(OFFSET(CU$1,0,0,1,MATCH(Summary!$G$3,CV$1:$KA$1,0))))</f>
        <v>35803.445722954842</v>
      </c>
      <c r="CV644" s="41">
        <f ca="1">IF(CV$1=Summary!$G$3,((CV515-CV595*CV318*(1-CV129))*(1+Summary!$G$4)-(CV613*CV151-(CV556+CV577))*Summary!$G$4)/(Summary!$G$8-Summary!$G$4)+CV595,(((OFFSET(CV515,0,MATCH(Summary!$G$3,CW$1:$KA$1,0),1,1)-OFFSET(CV595,0,MATCH(Summary!$G$3,CW$1:$KA$1,0),1,1)*OFFSET(CV318,0,MATCH(Summary!$G$3,CW$1:$KA$1,0),1,1)*(1-OFFSET(CV129,0,MATCH(Summary!$G$3,CW$1:$KA$1,0),1,1)))*(1+Summary!$G$4)-((OFFSET(CV613,0,MATCH(Summary!$G$3,CW$1:$KA$1,0),1,1)*OFFSET(CV151,0,MATCH(Summary!$G$3,CW$1:$KA$1,0),1,1)-(OFFSET(CV556,0,MATCH(Summary!$G$3,CW$1:$KA$1,0),1,1)+OFFSET(CV577,0,MATCH(Summary!$G$3,CW$1:$KA$1,0),1,1)))*Summary!$G$4))/(Summary!$G$8-Summary!$G$4)+OFFSET(CV595,0,MATCH(Summary!$G$3,CW$1:$KA$1,0),1,1))/(1+Summary!$G$8)^COUNTA(OFFSET(CV$1,0,0,1,MATCH(Summary!$G$3,CW$1:$KA$1,0))))</f>
        <v>39097.362729466695</v>
      </c>
      <c r="CW644" s="41">
        <f ca="1">IF(CW$1=Summary!$G$3,((CW515-CW595*CW318*(1-CW129))*(1+Summary!$G$4)-(CW613*CW151-(CW556+CW577))*Summary!$G$4)/(Summary!$G$8-Summary!$G$4)+CW595,(((OFFSET(CW515,0,MATCH(Summary!$G$3,CX$1:$KA$1,0),1,1)-OFFSET(CW595,0,MATCH(Summary!$G$3,CX$1:$KA$1,0),1,1)*OFFSET(CW318,0,MATCH(Summary!$G$3,CX$1:$KA$1,0),1,1)*(1-OFFSET(CW129,0,MATCH(Summary!$G$3,CX$1:$KA$1,0),1,1)))*(1+Summary!$G$4)-((OFFSET(CW613,0,MATCH(Summary!$G$3,CX$1:$KA$1,0),1,1)*OFFSET(CW151,0,MATCH(Summary!$G$3,CX$1:$KA$1,0),1,1)-(OFFSET(CW556,0,MATCH(Summary!$G$3,CX$1:$KA$1,0),1,1)+OFFSET(CW577,0,MATCH(Summary!$G$3,CX$1:$KA$1,0),1,1)))*Summary!$G$4))/(Summary!$G$8-Summary!$G$4)+OFFSET(CW595,0,MATCH(Summary!$G$3,CX$1:$KA$1,0),1,1))/(1+Summary!$G$8)^COUNTA(OFFSET(CW$1,0,0,1,MATCH(Summary!$G$3,CX$1:$KA$1,0))))</f>
        <v>42694.320100577635</v>
      </c>
      <c r="CX644" s="41">
        <f ca="1">IF(CX$1=Summary!$G$3,((CX515-CX595*CX318*(1-CX129))*(1+Summary!$G$4)-(CX613*CX151-(CX556+CX577))*Summary!$G$4)/(Summary!$G$8-Summary!$G$4)+CX595,(((OFFSET(CX515,0,MATCH(Summary!$G$3,CY$1:$KA$1,0),1,1)-OFFSET(CX595,0,MATCH(Summary!$G$3,CY$1:$KA$1,0),1,1)*OFFSET(CX318,0,MATCH(Summary!$G$3,CY$1:$KA$1,0),1,1)*(1-OFFSET(CX129,0,MATCH(Summary!$G$3,CY$1:$KA$1,0),1,1)))*(1+Summary!$G$4)-((OFFSET(CX613,0,MATCH(Summary!$G$3,CY$1:$KA$1,0),1,1)*OFFSET(CX151,0,MATCH(Summary!$G$3,CY$1:$KA$1,0),1,1)-(OFFSET(CX556,0,MATCH(Summary!$G$3,CY$1:$KA$1,0),1,1)+OFFSET(CX577,0,MATCH(Summary!$G$3,CY$1:$KA$1,0),1,1)))*Summary!$G$4))/(Summary!$G$8-Summary!$G$4)+OFFSET(CX595,0,MATCH(Summary!$G$3,CY$1:$KA$1,0),1,1))/(1+Summary!$G$8)^COUNTA(OFFSET(CX$1,0,0,1,MATCH(Summary!$G$3,CY$1:$KA$1,0))))</f>
        <v>46622.197549830773</v>
      </c>
      <c r="CY644" s="41">
        <f ca="1">IF(CY$1=Summary!$G$3,((CY515-CY595*CY318*(1-CY129))*(1+Summary!$G$4)-(CY613*CY151-(CY556+CY577))*Summary!$G$4)/(Summary!$G$8-Summary!$G$4)+CY595,(((OFFSET(CY515,0,MATCH(Summary!$G$3,CZ$1:$KA$1,0),1,1)-OFFSET(CY595,0,MATCH(Summary!$G$3,CZ$1:$KA$1,0),1,1)*OFFSET(CY318,0,MATCH(Summary!$G$3,CZ$1:$KA$1,0),1,1)*(1-OFFSET(CY129,0,MATCH(Summary!$G$3,CZ$1:$KA$1,0),1,1)))*(1+Summary!$G$4)-((OFFSET(CY613,0,MATCH(Summary!$G$3,CZ$1:$KA$1,0),1,1)*OFFSET(CY151,0,MATCH(Summary!$G$3,CZ$1:$KA$1,0),1,1)-(OFFSET(CY556,0,MATCH(Summary!$G$3,CZ$1:$KA$1,0),1,1)+OFFSET(CY577,0,MATCH(Summary!$G$3,CZ$1:$KA$1,0),1,1)))*Summary!$G$4))/(Summary!$G$8-Summary!$G$4)+OFFSET(CY595,0,MATCH(Summary!$G$3,CZ$1:$KA$1,0),1,1))/(1+Summary!$G$8)^COUNTA(OFFSET(CY$1,0,0,1,MATCH(Summary!$G$3,CZ$1:$KA$1,0))))</f>
        <v>50911.439724415213</v>
      </c>
      <c r="CZ644" s="211">
        <f ca="1">IF(CZ$1=Summary!$G$3,((CZ515-CZ595*CZ318*(1-CZ129))*(1+Summary!$G$4)-(CZ613*CZ151-(CZ556+CZ577))*Summary!$G$4)/(Summary!$G$8-Summary!$G$4)+CZ595,(((OFFSET(CZ515,0,MATCH(Summary!$G$3,DA$1:$KA$1,0),1,1)-OFFSET(CZ595,0,MATCH(Summary!$G$3,DA$1:$KA$1,0),1,1)*OFFSET(CZ318,0,MATCH(Summary!$G$3,DA$1:$KA$1,0),1,1)*(1-OFFSET(CZ129,0,MATCH(Summary!$G$3,DA$1:$KA$1,0),1,1)))*(1+Summary!$G$4)-((OFFSET(CZ613,0,MATCH(Summary!$G$3,DA$1:$KA$1,0),1,1)*OFFSET(CZ151,0,MATCH(Summary!$G$3,DA$1:$KA$1,0),1,1)-(OFFSET(CZ556,0,MATCH(Summary!$G$3,DA$1:$KA$1,0),1,1)+OFFSET(CZ577,0,MATCH(Summary!$G$3,DA$1:$KA$1,0),1,1)))*Summary!$G$4))/(Summary!$G$8-Summary!$G$4)+OFFSET(CZ595,0,MATCH(Summary!$G$3,DA$1:$KA$1,0),1,1))/(1+Summary!$G$8)^COUNTA(OFFSET(CZ$1,0,0,1,MATCH(Summary!$G$3,DA$1:$KA$1,0))))</f>
        <v>55595.292179061413</v>
      </c>
      <c r="DA644" s="41">
        <f ca="1">IF(DA$1=Summary!$G$3,((DA515-DA595*DA318*(1-DA129))*(1+Summary!$G$4)-(DA613*DA151-(DA556+DA577))*Summary!$G$4)/(Summary!$G$8-Summary!$G$4)+DA595,(((OFFSET(DA515,0,MATCH(Summary!$G$3,DB$1:$KA$1,0),1,1)-OFFSET(DA595,0,MATCH(Summary!$G$3,DB$1:$KA$1,0),1,1)*OFFSET(DA318,0,MATCH(Summary!$G$3,DB$1:$KA$1,0),1,1)*(1-OFFSET(DA129,0,MATCH(Summary!$G$3,DB$1:$KA$1,0),1,1)))*(1+Summary!$G$4)-((OFFSET(DA613,0,MATCH(Summary!$G$3,DB$1:$KA$1,0),1,1)*OFFSET(DA151,0,MATCH(Summary!$G$3,DB$1:$KA$1,0),1,1)-(OFFSET(DA556,0,MATCH(Summary!$G$3,DB$1:$KA$1,0),1,1)+OFFSET(DA577,0,MATCH(Summary!$G$3,DB$1:$KA$1,0),1,1)))*Summary!$G$4))/(Summary!$G$8-Summary!$G$4)+OFFSET(DA595,0,MATCH(Summary!$G$3,DB$1:$KA$1,0),1,1))/(1+Summary!$G$8)^COUNTA(OFFSET(DA$1,0,0,1,MATCH(Summary!$G$3,DB$1:$KA$1,0))))</f>
        <v>60710.059059535073</v>
      </c>
      <c r="DB644" s="41">
        <f ca="1">IF(DB$1=Summary!$G$3,((DB515-DB595*DB318*(1-DB129))*(1+Summary!$G$4)-(DB613*DB151-(DB556+DB577))*Summary!$G$4)/(Summary!$G$8-Summary!$G$4)+DB595,(((OFFSET(DB515,0,MATCH(Summary!$G$3,DC$1:$KA$1,0),1,1)-OFFSET(DB595,0,MATCH(Summary!$G$3,DC$1:$KA$1,0),1,1)*OFFSET(DB318,0,MATCH(Summary!$G$3,DC$1:$KA$1,0),1,1)*(1-OFFSET(DB129,0,MATCH(Summary!$G$3,DC$1:$KA$1,0),1,1)))*(1+Summary!$G$4)-((OFFSET(DB613,0,MATCH(Summary!$G$3,DC$1:$KA$1,0),1,1)*OFFSET(DB151,0,MATCH(Summary!$G$3,DC$1:$KA$1,0),1,1)-(OFFSET(DB556,0,MATCH(Summary!$G$3,DC$1:$KA$1,0),1,1)+OFFSET(DB577,0,MATCH(Summary!$G$3,DC$1:$KA$1,0),1,1)))*Summary!$G$4))/(Summary!$G$8-Summary!$G$4)+OFFSET(DB595,0,MATCH(Summary!$G$3,DC$1:$KA$1,0),1,1))/(1+Summary!$G$8)^COUNTA(OFFSET(DB$1,0,0,1,MATCH(Summary!$G$3,DC$1:$KA$1,0))))</f>
        <v>66295.384493012301</v>
      </c>
      <c r="DC644" s="41">
        <f ca="1">IF(DC$1=Summary!$G$3,((DC515-DC595*DC318*(1-DC129))*(1+Summary!$G$4)-(DC613*DC151-(DC556+DC577))*Summary!$G$4)/(Summary!$G$8-Summary!$G$4)+DC595,(((OFFSET(DC515,0,MATCH(Summary!$G$3,DD$1:$KA$1,0),1,1)-OFFSET(DC595,0,MATCH(Summary!$G$3,DD$1:$KA$1,0),1,1)*OFFSET(DC318,0,MATCH(Summary!$G$3,DD$1:$KA$1,0),1,1)*(1-OFFSET(DC129,0,MATCH(Summary!$G$3,DD$1:$KA$1,0),1,1)))*(1+Summary!$G$4)-((OFFSET(DC613,0,MATCH(Summary!$G$3,DD$1:$KA$1,0),1,1)*OFFSET(DC151,0,MATCH(Summary!$G$3,DD$1:$KA$1,0),1,1)-(OFFSET(DC556,0,MATCH(Summary!$G$3,DD$1:$KA$1,0),1,1)+OFFSET(DC577,0,MATCH(Summary!$G$3,DD$1:$KA$1,0),1,1)))*Summary!$G$4))/(Summary!$G$8-Summary!$G$4)+OFFSET(DC595,0,MATCH(Summary!$G$3,DD$1:$KA$1,0),1,1))/(1+Summary!$G$8)^COUNTA(OFFSET(DC$1,0,0,1,MATCH(Summary!$G$3,DD$1:$KA$1,0))))</f>
        <v>72394.55986636944</v>
      </c>
      <c r="DD644" s="41">
        <f ca="1">IF(DD$1=Summary!$G$3,((DD515-DD595*DD318*(1-DD129))*(1+Summary!$G$4)-(DD613*DD151-(DD556+DD577))*Summary!$G$4)/(Summary!$G$8-Summary!$G$4)+DD595,(((OFFSET(DD515,0,MATCH(Summary!$G$3,DE$1:$KA$1,0),1,1)-OFFSET(DD595,0,MATCH(Summary!$G$3,DE$1:$KA$1,0),1,1)*OFFSET(DD318,0,MATCH(Summary!$G$3,DE$1:$KA$1,0),1,1)*(1-OFFSET(DD129,0,MATCH(Summary!$G$3,DE$1:$KA$1,0),1,1)))*(1+Summary!$G$4)-((OFFSET(DD613,0,MATCH(Summary!$G$3,DE$1:$KA$1,0),1,1)*OFFSET(DD151,0,MATCH(Summary!$G$3,DE$1:$KA$1,0),1,1)-(OFFSET(DD556,0,MATCH(Summary!$G$3,DE$1:$KA$1,0),1,1)+OFFSET(DD577,0,MATCH(Summary!$G$3,DE$1:$KA$1,0),1,1)))*Summary!$G$4))/(Summary!$G$8-Summary!$G$4)+OFFSET(DD595,0,MATCH(Summary!$G$3,DE$1:$KA$1,0),1,1))/(1+Summary!$G$8)^COUNTA(OFFSET(DD$1,0,0,1,MATCH(Summary!$G$3,DE$1:$KA$1,0))))</f>
        <v>79054.859374075444</v>
      </c>
      <c r="DE644" s="41">
        <f ca="1">IF(DE$1=Summary!$G$3,((DE515-DE595*DE318*(1-DE129))*(1+Summary!$G$4)-(DE613*DE151-(DE556+DE577))*Summary!$G$4)/(Summary!$G$8-Summary!$G$4)+DE595,(((OFFSET(DE515,0,MATCH(Summary!$G$3,DF$1:$KA$1,0),1,1)-OFFSET(DE595,0,MATCH(Summary!$G$3,DF$1:$KA$1,0),1,1)*OFFSET(DE318,0,MATCH(Summary!$G$3,DF$1:$KA$1,0),1,1)*(1-OFFSET(DE129,0,MATCH(Summary!$G$3,DF$1:$KA$1,0),1,1)))*(1+Summary!$G$4)-((OFFSET(DE613,0,MATCH(Summary!$G$3,DF$1:$KA$1,0),1,1)*OFFSET(DE151,0,MATCH(Summary!$G$3,DF$1:$KA$1,0),1,1)-(OFFSET(DE556,0,MATCH(Summary!$G$3,DF$1:$KA$1,0),1,1)+OFFSET(DE577,0,MATCH(Summary!$G$3,DF$1:$KA$1,0),1,1)))*Summary!$G$4))/(Summary!$G$8-Summary!$G$4)+OFFSET(DE595,0,MATCH(Summary!$G$3,DF$1:$KA$1,0),1,1))/(1+Summary!$G$8)^COUNTA(OFFSET(DE$1,0,0,1,MATCH(Summary!$G$3,DF$1:$KA$1,0))))</f>
        <v>86327.90643649039</v>
      </c>
      <c r="DF644" s="41">
        <f ca="1">IF(DF$1=Summary!$G$3,((DF515-DF595*DF318*(1-DF129))*(1+Summary!$G$4)-(DF613*DF151-(DF556+DF577))*Summary!$G$4)/(Summary!$G$8-Summary!$G$4)+DF595,(((OFFSET(DF515,0,MATCH(Summary!$G$3,DG$1:$KA$1,0),1,1)-OFFSET(DF595,0,MATCH(Summary!$G$3,DG$1:$KA$1,0),1,1)*OFFSET(DF318,0,MATCH(Summary!$G$3,DG$1:$KA$1,0),1,1)*(1-OFFSET(DF129,0,MATCH(Summary!$G$3,DG$1:$KA$1,0),1,1)))*(1+Summary!$G$4)-((OFFSET(DF613,0,MATCH(Summary!$G$3,DG$1:$KA$1,0),1,1)*OFFSET(DF151,0,MATCH(Summary!$G$3,DG$1:$KA$1,0),1,1)-(OFFSET(DF556,0,MATCH(Summary!$G$3,DG$1:$KA$1,0),1,1)+OFFSET(DF577,0,MATCH(Summary!$G$3,DG$1:$KA$1,0),1,1)))*Summary!$G$4))/(Summary!$G$8-Summary!$G$4)+OFFSET(DF595,0,MATCH(Summary!$G$3,DG$1:$KA$1,0),1,1))/(1+Summary!$G$8)^COUNTA(OFFSET(DF$1,0,0,1,MATCH(Summary!$G$3,DG$1:$KA$1,0))))</f>
        <v>94270.07382864751</v>
      </c>
      <c r="DG644" s="41">
        <f ca="1">IF(DG$1=Summary!$G$3,((DG515-DG595*DG318*(1-DG129))*(1+Summary!$G$4)-(DG613*DG151-(DG556+DG577))*Summary!$G$4)/(Summary!$G$8-Summary!$G$4)+DG595,(((OFFSET(DG515,0,MATCH(Summary!$G$3,DH$1:$KA$1,0),1,1)-OFFSET(DG595,0,MATCH(Summary!$G$3,DH$1:$KA$1,0),1,1)*OFFSET(DG318,0,MATCH(Summary!$G$3,DH$1:$KA$1,0),1,1)*(1-OFFSET(DG129,0,MATCH(Summary!$G$3,DH$1:$KA$1,0),1,1)))*(1+Summary!$G$4)-((OFFSET(DG613,0,MATCH(Summary!$G$3,DH$1:$KA$1,0),1,1)*OFFSET(DG151,0,MATCH(Summary!$G$3,DH$1:$KA$1,0),1,1)-(OFFSET(DG556,0,MATCH(Summary!$G$3,DH$1:$KA$1,0),1,1)+OFFSET(DG577,0,MATCH(Summary!$G$3,DH$1:$KA$1,0),1,1)))*Summary!$G$4))/(Summary!$G$8-Summary!$G$4)+OFFSET(DG595,0,MATCH(Summary!$G$3,DH$1:$KA$1,0),1,1))/(1+Summary!$G$8)^COUNTA(OFFSET(DG$1,0,0,1,MATCH(Summary!$G$3,DH$1:$KA$1,0))))</f>
        <v>102942.92062088309</v>
      </c>
      <c r="DH644" s="41">
        <f ca="1">IF(DH$1=Summary!$G$3,((DH515-DH595*DH318*(1-DH129))*(1+Summary!$G$4)-(DH613*DH151-(DH556+DH577))*Summary!$G$4)/(Summary!$G$8-Summary!$G$4)+DH595,(((OFFSET(DH515,0,MATCH(Summary!$G$3,DI$1:$KA$1,0),1,1)-OFFSET(DH595,0,MATCH(Summary!$G$3,DI$1:$KA$1,0),1,1)*OFFSET(DH318,0,MATCH(Summary!$G$3,DI$1:$KA$1,0),1,1)*(1-OFFSET(DH129,0,MATCH(Summary!$G$3,DI$1:$KA$1,0),1,1)))*(1+Summary!$G$4)-((OFFSET(DH613,0,MATCH(Summary!$G$3,DI$1:$KA$1,0),1,1)*OFFSET(DH151,0,MATCH(Summary!$G$3,DI$1:$KA$1,0),1,1)-(OFFSET(DH556,0,MATCH(Summary!$G$3,DI$1:$KA$1,0),1,1)+OFFSET(DH577,0,MATCH(Summary!$G$3,DI$1:$KA$1,0),1,1)))*Summary!$G$4))/(Summary!$G$8-Summary!$G$4)+OFFSET(DH595,0,MATCH(Summary!$G$3,DI$1:$KA$1,0),1,1))/(1+Summary!$G$8)^COUNTA(OFFSET(DH$1,0,0,1,MATCH(Summary!$G$3,DI$1:$KA$1,0))))</f>
        <v>112413.66931800435</v>
      </c>
      <c r="DI644" s="41">
        <f ca="1">IF(DI$1=Summary!$G$3,((DI515-DI595*DI318*(1-DI129))*(1+Summary!$G$4)-(DI613*DI151-(DI556+DI577))*Summary!$G$4)/(Summary!$G$8-Summary!$G$4)+DI595,(((OFFSET(DI515,0,MATCH(Summary!$G$3,DJ$1:$KA$1,0),1,1)-OFFSET(DI595,0,MATCH(Summary!$G$3,DJ$1:$KA$1,0),1,1)*OFFSET(DI318,0,MATCH(Summary!$G$3,DJ$1:$KA$1,0),1,1)*(1-OFFSET(DI129,0,MATCH(Summary!$G$3,DJ$1:$KA$1,0),1,1)))*(1+Summary!$G$4)-((OFFSET(DI613,0,MATCH(Summary!$G$3,DJ$1:$KA$1,0),1,1)*OFFSET(DI151,0,MATCH(Summary!$G$3,DJ$1:$KA$1,0),1,1)-(OFFSET(DI556,0,MATCH(Summary!$G$3,DJ$1:$KA$1,0),1,1)+OFFSET(DI577,0,MATCH(Summary!$G$3,DJ$1:$KA$1,0),1,1)))*Summary!$G$4))/(Summary!$G$8-Summary!$G$4)+OFFSET(DI595,0,MATCH(Summary!$G$3,DJ$1:$KA$1,0),1,1))/(1+Summary!$G$8)^COUNTA(OFFSET(DI$1,0,0,1,MATCH(Summary!$G$3,DJ$1:$KA$1,0))))</f>
        <v>122755.72689526076</v>
      </c>
    </row>
    <row r="645" spans="1:113" s="17" customFormat="1" ht="12" outlineLevel="1">
      <c r="A645" s="1" t="s">
        <v>752</v>
      </c>
      <c r="B645" s="17" t="s">
        <v>168</v>
      </c>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0"/>
      <c r="AH645" s="10"/>
      <c r="AI645" s="10"/>
      <c r="AJ645" s="10"/>
      <c r="AK645" s="10"/>
      <c r="AL645" s="10"/>
      <c r="AM645" s="10"/>
      <c r="AN645" s="10"/>
      <c r="AO645" s="10"/>
      <c r="AP645" s="10"/>
      <c r="AQ645" s="10"/>
      <c r="AR645" s="10"/>
      <c r="AS645" s="10"/>
      <c r="AT645" s="10"/>
      <c r="AU645" s="10"/>
      <c r="AV645" s="10"/>
      <c r="AW645" s="10"/>
      <c r="AX645" s="10"/>
      <c r="AY645" s="201"/>
      <c r="AZ645" s="10"/>
      <c r="BA645" s="10"/>
      <c r="BB645" s="10"/>
      <c r="BC645" s="10"/>
      <c r="BD645" s="10"/>
      <c r="BE645" s="10"/>
      <c r="BF645" s="10"/>
      <c r="BG645" s="10"/>
      <c r="BH645" s="10"/>
      <c r="BI645" s="10"/>
      <c r="BJ645" s="10"/>
      <c r="BK645" s="10"/>
      <c r="BL645" s="10"/>
      <c r="BM645" s="10"/>
      <c r="BN645" s="10"/>
      <c r="BO645" s="10"/>
      <c r="BP645" s="10"/>
      <c r="BQ645" s="10"/>
      <c r="BR645" s="10"/>
      <c r="BS645" s="62">
        <f t="shared" ref="BS645:CZ645" ca="1" si="7922">SUM(BS643:BS644)</f>
        <v>15524.311375317411</v>
      </c>
      <c r="BT645" s="62">
        <f t="shared" ca="1" si="7922"/>
        <v>16878.148021846617</v>
      </c>
      <c r="BU645" s="62">
        <f t="shared" ca="1" si="7922"/>
        <v>18162.937639856504</v>
      </c>
      <c r="BV645" s="62">
        <f t="shared" ca="1" si="7922"/>
        <v>19495.927902723306</v>
      </c>
      <c r="BW645" s="62">
        <f t="shared" ca="1" si="7922"/>
        <v>20858.553269773853</v>
      </c>
      <c r="BX645" s="62">
        <f t="shared" ca="1" si="7922"/>
        <v>22302.540170593042</v>
      </c>
      <c r="BY645" s="62">
        <f t="shared" ca="1" si="7922"/>
        <v>23853.373866287606</v>
      </c>
      <c r="BZ645" s="62">
        <f t="shared" ca="1" si="7922"/>
        <v>25422.884261986066</v>
      </c>
      <c r="CA645" s="62">
        <f t="shared" ca="1" si="7922"/>
        <v>26078.789614088782</v>
      </c>
      <c r="CB645" s="62">
        <f t="shared" ca="1" si="7922"/>
        <v>27121.038258584951</v>
      </c>
      <c r="CC645" s="62">
        <f t="shared" ca="1" si="7922"/>
        <v>28570.173778374767</v>
      </c>
      <c r="CD645" s="62">
        <f t="shared" ca="1" si="7922"/>
        <v>30016.629765985268</v>
      </c>
      <c r="CE645" s="62">
        <f t="shared" ca="1" si="7922"/>
        <v>34806.159704455902</v>
      </c>
      <c r="CF645" s="62">
        <f t="shared" ca="1" si="7922"/>
        <v>36147.326397265853</v>
      </c>
      <c r="CG645" s="62">
        <f t="shared" ca="1" si="7922"/>
        <v>37432.880425814314</v>
      </c>
      <c r="CH645" s="62">
        <f t="shared" ca="1" si="7922"/>
        <v>39074.705424989239</v>
      </c>
      <c r="CI645" s="62">
        <f t="shared" ca="1" si="7922"/>
        <v>43676.578324088245</v>
      </c>
      <c r="CJ645" s="62">
        <f t="shared" ca="1" si="7922"/>
        <v>51912.823529904366</v>
      </c>
      <c r="CK645" s="62">
        <f t="shared" ca="1" si="7922"/>
        <v>54264.803294655583</v>
      </c>
      <c r="CL645" s="62">
        <f t="shared" ca="1" si="7922"/>
        <v>57119.165197763883</v>
      </c>
      <c r="CM645" s="62">
        <f t="shared" ca="1" si="7922"/>
        <v>60260.128395958178</v>
      </c>
      <c r="CN645" s="62">
        <f t="shared" ca="1" si="7922"/>
        <v>64494.060208386363</v>
      </c>
      <c r="CO645" s="62">
        <f t="shared" ca="1" si="7922"/>
        <v>66123.513747557881</v>
      </c>
      <c r="CP645" s="62">
        <f t="shared" ca="1" si="7922"/>
        <v>68428.877012333222</v>
      </c>
      <c r="CQ645" s="62">
        <f t="shared" ca="1" si="7922"/>
        <v>70121.333697467868</v>
      </c>
      <c r="CR645" s="62">
        <f t="shared" ca="1" si="7922"/>
        <v>72286.496397634925</v>
      </c>
      <c r="CS645" s="62">
        <f t="shared" ca="1" si="7922"/>
        <v>72382.854066217362</v>
      </c>
      <c r="CT645" s="62">
        <f t="shared" ca="1" si="7922"/>
        <v>73441.076640309358</v>
      </c>
      <c r="CU645" s="62">
        <f t="shared" ca="1" si="7922"/>
        <v>77315.655691217835</v>
      </c>
      <c r="CV645" s="62">
        <f t="shared" ca="1" si="7922"/>
        <v>80953.696014809873</v>
      </c>
      <c r="CW645" s="62">
        <f t="shared" ca="1" si="7922"/>
        <v>83750.436048172385</v>
      </c>
      <c r="CX645" s="62">
        <f t="shared" ca="1" si="7922"/>
        <v>87154.476164604246</v>
      </c>
      <c r="CY645" s="62">
        <f t="shared" ca="1" si="7922"/>
        <v>89301.687971747859</v>
      </c>
      <c r="CZ645" s="220">
        <f t="shared" ca="1" si="7922"/>
        <v>92643.443265148671</v>
      </c>
      <c r="DA645" s="62">
        <f t="shared" ref="DA645:DB645" ca="1" si="7923">SUM(DA643:DA644)</f>
        <v>97623.965387813281</v>
      </c>
      <c r="DB645" s="62">
        <f t="shared" ca="1" si="7923"/>
        <v>100126.04914965032</v>
      </c>
      <c r="DC645" s="62">
        <f t="shared" ref="DC645:DH645" ca="1" si="7924">SUM(DC643:DC644)</f>
        <v>101778.17720989059</v>
      </c>
      <c r="DD645" s="62">
        <f t="shared" ca="1" si="7924"/>
        <v>103434.89206171845</v>
      </c>
      <c r="DE645" s="62">
        <f t="shared" ca="1" si="7924"/>
        <v>107075.01171348455</v>
      </c>
      <c r="DF645" s="62">
        <f t="shared" ca="1" si="7924"/>
        <v>110817.31384181068</v>
      </c>
      <c r="DG645" s="62">
        <f t="shared" ca="1" si="7924"/>
        <v>114671.19923454034</v>
      </c>
      <c r="DH645" s="62">
        <f t="shared" ca="1" si="7924"/>
        <v>118646.93355199869</v>
      </c>
      <c r="DI645" s="62">
        <f ca="1">SUM(DI643:DI644)</f>
        <v>122755.72689526076</v>
      </c>
    </row>
    <row r="646" spans="1:113" ht="12" outlineLevel="1">
      <c r="AY646" s="200"/>
      <c r="BS646" s="41"/>
      <c r="BT646" s="41"/>
      <c r="BU646" s="41"/>
      <c r="BV646" s="41"/>
      <c r="BW646" s="41"/>
      <c r="BX646" s="41"/>
      <c r="BY646" s="41"/>
      <c r="BZ646" s="41"/>
      <c r="CA646" s="41"/>
      <c r="CB646" s="41"/>
      <c r="CC646" s="41"/>
      <c r="CD646" s="41"/>
      <c r="CE646" s="41"/>
      <c r="CF646" s="41"/>
      <c r="CG646" s="41"/>
      <c r="CH646" s="41"/>
      <c r="CI646" s="41"/>
      <c r="CJ646" s="41"/>
      <c r="CK646" s="41"/>
      <c r="CL646" s="41"/>
      <c r="CM646" s="41"/>
      <c r="CN646" s="41"/>
      <c r="CO646" s="41"/>
      <c r="CP646" s="41"/>
      <c r="CQ646" s="41"/>
      <c r="CR646" s="41"/>
      <c r="CS646" s="41"/>
      <c r="CT646" s="41"/>
      <c r="CU646" s="41"/>
      <c r="CV646" s="41"/>
      <c r="CW646" s="41"/>
      <c r="CX646" s="41"/>
      <c r="CY646" s="41"/>
      <c r="CZ646" s="211"/>
      <c r="DA646" s="41"/>
      <c r="DB646" s="15"/>
      <c r="DC646" s="15"/>
      <c r="DD646" s="15"/>
      <c r="DE646" s="15"/>
      <c r="DF646" s="15"/>
      <c r="DG646" s="15"/>
      <c r="DH646" s="15"/>
      <c r="DI646" s="15"/>
    </row>
    <row r="647" spans="1:113" ht="12" outlineLevel="1">
      <c r="A647" s="1" t="s">
        <v>753</v>
      </c>
      <c r="B647" s="15" t="s">
        <v>664</v>
      </c>
      <c r="AY647" s="200"/>
      <c r="BS647" s="41">
        <f ca="1">IF(BS$1=Summary!$G$3,0,NPV(Summary!$G$8,OFFSET(BS636,0,1,1,MATCH(Summary!$G$3,BT$1:$KC$1,0))))</f>
        <v>4400.7773212458314</v>
      </c>
      <c r="BT647" s="41">
        <f ca="1">IF(BT$1=Summary!$G$3,0,NPV(Summary!$G$8,OFFSET(BT636,0,1,1,MATCH(Summary!$G$3,BU$1:$KC$1,0))))</f>
        <v>4805.6488348004468</v>
      </c>
      <c r="BU647" s="41">
        <f ca="1">IF(BU$1=Summary!$G$3,0,NPV(Summary!$G$8,OFFSET(BU636,0,1,1,MATCH(Summary!$G$3,BV$1:$KC$1,0))))</f>
        <v>5247.7685276020893</v>
      </c>
      <c r="BV647" s="41">
        <f ca="1">IF(BV$1=Summary!$G$3,0,NPV(Summary!$G$8,OFFSET(BV636,0,1,1,MATCH(Summary!$G$3,BW$1:$KC$1,0))))</f>
        <v>5704.2499187086469</v>
      </c>
      <c r="BW647" s="41">
        <f ca="1">IF(BW$1=Summary!$G$3,0,NPV(Summary!$G$8,OFFSET(BW636,0,1,1,MATCH(Summary!$G$3,BX$1:$KC$1,0))))</f>
        <v>6047.3804112298421</v>
      </c>
      <c r="BX647" s="41">
        <f ca="1">IF(BX$1=Summary!$G$3,0,NPV(Summary!$G$8,OFFSET(BX636,0,1,1,MATCH(Summary!$G$3,BY$1:$KC$1,0))))</f>
        <v>6330.0831590629878</v>
      </c>
      <c r="BY647" s="41">
        <f ca="1">IF(BY$1=Summary!$G$3,0,NPV(Summary!$G$8,OFFSET(BY636,0,1,1,MATCH(Summary!$G$3,BZ$1:$KC$1,0))))</f>
        <v>6727.0944023714856</v>
      </c>
      <c r="BZ647" s="41">
        <f ca="1">IF(BZ$1=Summary!$G$3,0,NPV(Summary!$G$8,OFFSET(BZ636,0,1,1,MATCH(Summary!$G$3,CA$1:$KC$1,0))))</f>
        <v>7084.4932936838322</v>
      </c>
      <c r="CA647" s="41">
        <f ca="1">IF(CA$1=Summary!$G$3,0,NPV(Summary!$G$8,OFFSET(CA636,0,1,1,MATCH(Summary!$G$3,CB$1:$KC$1,0))))</f>
        <v>7365.7479267027447</v>
      </c>
      <c r="CB647" s="41">
        <f ca="1">IF(CB$1=Summary!$G$3,0,NPV(Summary!$G$8,OFFSET(CB636,0,1,1,MATCH(Summary!$G$3,CC$1:$KC$1,0))))</f>
        <v>7660.4330995957607</v>
      </c>
      <c r="CC647" s="41">
        <f ca="1">IF(CC$1=Summary!$G$3,0,NPV(Summary!$G$8,OFFSET(CC636,0,1,1,MATCH(Summary!$G$3,CD$1:$KC$1,0))))</f>
        <v>7989.5929447585731</v>
      </c>
      <c r="CD647" s="41">
        <f ca="1">IF(CD$1=Summary!$G$3,0,NPV(Summary!$G$8,OFFSET(CD636,0,1,1,MATCH(Summary!$G$3,CE$1:$KC$1,0))))</f>
        <v>8299.2354956763611</v>
      </c>
      <c r="CE647" s="41">
        <f ca="1">IF(CE$1=Summary!$G$3,0,NPV(Summary!$G$8,OFFSET(CE636,0,1,1,MATCH(Summary!$G$3,CF$1:$KC$1,0))))</f>
        <v>8521.5651612785896</v>
      </c>
      <c r="CF647" s="41">
        <f ca="1">IF(CF$1=Summary!$G$3,0,NPV(Summary!$G$8,OFFSET(CF636,0,1,1,MATCH(Summary!$G$3,CG$1:$KC$1,0))))</f>
        <v>8714.2491561162205</v>
      </c>
      <c r="CG647" s="41">
        <f ca="1">IF(CG$1=Summary!$G$3,0,NPV(Summary!$G$8,OFFSET(CG636,0,1,1,MATCH(Summary!$G$3,CH$1:$KC$1,0))))</f>
        <v>8892.1743641931953</v>
      </c>
      <c r="CH647" s="41">
        <f ca="1">IF(CH$1=Summary!$G$3,0,NPV(Summary!$G$8,OFFSET(CH636,0,1,1,MATCH(Summary!$G$3,CI$1:$KC$1,0))))</f>
        <v>9073.3115485561175</v>
      </c>
      <c r="CI647" s="41">
        <f ca="1">IF(CI$1=Summary!$G$3,0,NPV(Summary!$G$8,OFFSET(CI636,0,1,1,MATCH(Summary!$G$3,CJ$1:$KC$1,0))))</f>
        <v>9230.2276395947065</v>
      </c>
      <c r="CJ647" s="41">
        <f ca="1">IF(CJ$1=Summary!$G$3,0,NPV(Summary!$G$8,OFFSET(CJ636,0,1,1,MATCH(Summary!$G$3,CK$1:$KC$1,0))))</f>
        <v>9476.6657252945624</v>
      </c>
      <c r="CK647" s="41">
        <f ca="1">IF(CK$1=Summary!$G$3,0,NPV(Summary!$G$8,OFFSET(CK636,0,1,1,MATCH(Summary!$G$3,CL$1:$KC$1,0))))</f>
        <v>9536.2046863073811</v>
      </c>
      <c r="CL647" s="41">
        <f ca="1">IF(CL$1=Summary!$G$3,0,NPV(Summary!$G$8,OFFSET(CL636,0,1,1,MATCH(Summary!$G$3,CM$1:$KC$1,0))))</f>
        <v>9489.1069460190884</v>
      </c>
      <c r="CM647" s="41">
        <f ca="1">IF(CM$1=Summary!$G$3,0,NPV(Summary!$G$8,OFFSET(CM636,0,1,1,MATCH(Summary!$G$3,CN$1:$KC$1,0))))</f>
        <v>9374.4190707671314</v>
      </c>
      <c r="CN647" s="41">
        <f ca="1">IF(CN$1=Summary!$G$3,0,NPV(Summary!$G$8,OFFSET(CN636,0,1,1,MATCH(Summary!$G$3,CO$1:$KC$1,0))))</f>
        <v>9739.8084824205689</v>
      </c>
      <c r="CO647" s="41">
        <f ca="1">IF(CO$1=Summary!$G$3,0,NPV(Summary!$G$8,OFFSET(CO636,0,1,1,MATCH(Summary!$G$3,CP$1:$KC$1,0))))</f>
        <v>9428.8422913746836</v>
      </c>
      <c r="CP647" s="41">
        <f ca="1">IF(CP$1=Summary!$G$3,0,NPV(Summary!$G$8,OFFSET(CP636,0,1,1,MATCH(Summary!$G$3,CQ$1:$KC$1,0))))</f>
        <v>9034.7529250383013</v>
      </c>
      <c r="CQ647" s="41">
        <f ca="1">IF(CQ$1=Summary!$G$3,0,NPV(Summary!$G$8,OFFSET(CQ636,0,1,1,MATCH(Summary!$G$3,CR$1:$KC$1,0))))</f>
        <v>8579.9787655703985</v>
      </c>
      <c r="CR647" s="41">
        <f ca="1">IF(CR$1=Summary!$G$3,0,NPV(Summary!$G$8,OFFSET(CR636,0,1,1,MATCH(Summary!$G$3,CS$1:$KC$1,0))))</f>
        <v>8184.1653834314466</v>
      </c>
      <c r="CS647" s="41">
        <f ca="1">IF(CS$1=Summary!$G$3,0,NPV(Summary!$G$8,OFFSET(CS636,0,1,1,MATCH(Summary!$G$3,CT$1:$KC$1,0))))</f>
        <v>7758.1085987071419</v>
      </c>
      <c r="CT647" s="41">
        <f ca="1">IF(CT$1=Summary!$G$3,0,NPV(Summary!$G$8,OFFSET(CT636,0,1,1,MATCH(Summary!$G$3,CU$1:$KC$1,0))))</f>
        <v>7491.3945897881986</v>
      </c>
      <c r="CU647" s="41">
        <f ca="1">IF(CU$1=Summary!$G$3,0,NPV(Summary!$G$8,OFFSET(CU636,0,1,1,MATCH(Summary!$G$3,CV$1:$KC$1,0))))</f>
        <v>7429.2314634772856</v>
      </c>
      <c r="CV647" s="41">
        <f ca="1">IF(CV$1=Summary!$G$3,0,NPV(Summary!$G$8,OFFSET(CV636,0,1,1,MATCH(Summary!$G$3,CW$1:$KC$1,0))))</f>
        <v>7359.8064724029091</v>
      </c>
      <c r="CW647" s="41">
        <f ca="1">IF(CW$1=Summary!$G$3,0,NPV(Summary!$G$8,OFFSET(CW636,0,1,1,MATCH(Summary!$G$3,CX$1:$KC$1,0))))</f>
        <v>7016.822953578263</v>
      </c>
      <c r="CX647" s="41">
        <f ca="1">IF(CX$1=Summary!$G$3,0,NPV(Summary!$G$8,OFFSET(CX636,0,1,1,MATCH(Summary!$G$3,CY$1:$KC$1,0))))</f>
        <v>6754.7038415992602</v>
      </c>
      <c r="CY647" s="41">
        <f ca="1">IF(CY$1=Summary!$G$3,0,NPV(Summary!$G$8,OFFSET(CY636,0,1,1,MATCH(Summary!$G$3,CZ$1:$KC$1,0))))</f>
        <v>6466.5708807406772</v>
      </c>
      <c r="CZ647" s="211">
        <f ca="1">IF(CZ$1=Summary!$G$3,0,NPV(Summary!$G$8,OFFSET(CZ636,0,1,1,MATCH(Summary!$G$3,DA$1:$KC$1,0))))</f>
        <v>6238.3554017688193</v>
      </c>
      <c r="DA647" s="41">
        <f ca="1">IF(DA$1=Summary!$G$3,0,NPV(Summary!$G$8,OFFSET(DA636,0,1,1,MATCH(Summary!$G$3,DB$1:$KC$1,0))))</f>
        <v>5901.310615315504</v>
      </c>
      <c r="DB647" s="41">
        <f ca="1">IF(DB$1=Summary!$G$3,0,NPV(Summary!$G$8,OFFSET(DB636,0,1,1,MATCH(Summary!$G$3,DC$1:$KC$1,0))))</f>
        <v>5457.9534022330072</v>
      </c>
      <c r="DC647" s="41">
        <f ca="1">IF(DC$1=Summary!$G$3,0,NPV(Summary!$G$8,OFFSET(DC636,0,1,1,MATCH(Summary!$G$3,DD$1:$KC$1,0))))</f>
        <v>4959.3807921634825</v>
      </c>
      <c r="DD647" s="41">
        <f ca="1">IF(DD$1=Summary!$G$3,0,NPV(Summary!$G$8,OFFSET(DD636,0,1,1,MATCH(Summary!$G$3,DE$1:$KC$1,0))))</f>
        <v>4388.4058837757448</v>
      </c>
      <c r="DE647" s="41">
        <f ca="1">IF(DE$1=Summary!$G$3,0,NPV(Summary!$G$8,OFFSET(DE636,0,1,1,MATCH(Summary!$G$3,DF$1:$KC$1,0))))</f>
        <v>3734.4789498589521</v>
      </c>
      <c r="DF647" s="41">
        <f ca="1">IF(DF$1=Summary!$G$3,0,NPV(Summary!$G$8,OFFSET(DF636,0,1,1,MATCH(Summary!$G$3,DG$1:$KC$1,0))))</f>
        <v>2978.5032023693716</v>
      </c>
      <c r="DG647" s="41">
        <f ca="1">IF(DG$1=Summary!$G$3,0,NPV(Summary!$G$8,OFFSET(DG636,0,1,1,MATCH(Summary!$G$3,DH$1:$KC$1,0))))</f>
        <v>2111.0901504583076</v>
      </c>
      <c r="DH647" s="41">
        <f ca="1">IF(DH$1=Summary!$G$3,0,NPV(Summary!$G$8,OFFSET(DH636,0,1,1,MATCH(Summary!$G$3,DI$1:$KC$1,0))))</f>
        <v>1121.9875621189838</v>
      </c>
      <c r="DI647" s="41">
        <f ca="1">IF(DI$1=Summary!$G$3,0,NPV(Summary!$G$8,OFFSET(DI636,0,1,1,MATCH(Summary!$G$3,DJ$1:$KC$1,0))))</f>
        <v>0</v>
      </c>
    </row>
    <row r="648" spans="1:113" ht="12" outlineLevel="1">
      <c r="A648" s="1" t="s">
        <v>754</v>
      </c>
      <c r="B648" s="15" t="s">
        <v>549</v>
      </c>
      <c r="AY648" s="200"/>
      <c r="BS648" s="41">
        <f ca="1">IF(BS$1=Summary!$G$3,BS636*(1+Summary!$G$4)/(Summary!$G$8-Summary!$G$4),OFFSET(BS636,0,MATCH(Summary!$G$3,BT$1:$KC$1,0),1,1)*(1+Summary!$G$4)/(Summary!$G$8-Summary!$G$4)/(1+Summary!$G$8)^COUNTA(OFFSET(BS$1,0,0,1,MATCH(Summary!$G$3,BT$1:$KC$1,0))))</f>
        <v>465.05994093485612</v>
      </c>
      <c r="BT648" s="41">
        <f ca="1">IF(BT$1=Summary!$G$3,BT636*(1+Summary!$G$4)/(Summary!$G$8-Summary!$G$4),OFFSET(BT636,0,MATCH(Summary!$G$3,BU$1:$KC$1,0),1,1)*(1+Summary!$G$4)/(Summary!$G$8-Summary!$G$4)/(1+Summary!$G$8)^COUNTA(OFFSET(BT$1,0,0,1,MATCH(Summary!$G$3,BU$1:$KC$1,0))))</f>
        <v>507.8454555008629</v>
      </c>
      <c r="BU648" s="41">
        <f ca="1">IF(BU$1=Summary!$G$3,BU636*(1+Summary!$G$4)/(Summary!$G$8-Summary!$G$4),OFFSET(BU636,0,MATCH(Summary!$G$3,BV$1:$KC$1,0),1,1)*(1+Summary!$G$4)/(Summary!$G$8-Summary!$G$4)/(1+Summary!$G$8)^COUNTA(OFFSET(BU$1,0,0,1,MATCH(Summary!$G$3,BV$1:$KC$1,0))))</f>
        <v>554.56723740694235</v>
      </c>
      <c r="BV648" s="41">
        <f ca="1">IF(BV$1=Summary!$G$3,BV636*(1+Summary!$G$4)/(Summary!$G$8-Summary!$G$4),OFFSET(BV636,0,MATCH(Summary!$G$3,BW$1:$KC$1,0),1,1)*(1+Summary!$G$4)/(Summary!$G$8-Summary!$G$4)/(1+Summary!$G$8)^COUNTA(OFFSET(BV$1,0,0,1,MATCH(Summary!$G$3,BW$1:$KC$1,0))))</f>
        <v>605.58742324838113</v>
      </c>
      <c r="BW648" s="41">
        <f ca="1">IF(BW$1=Summary!$G$3,BW636*(1+Summary!$G$4)/(Summary!$G$8-Summary!$G$4),OFFSET(BW636,0,MATCH(Summary!$G$3,BX$1:$KC$1,0),1,1)*(1+Summary!$G$4)/(Summary!$G$8-Summary!$G$4)/(1+Summary!$G$8)^COUNTA(OFFSET(BW$1,0,0,1,MATCH(Summary!$G$3,BX$1:$KC$1,0))))</f>
        <v>661.30146618723222</v>
      </c>
      <c r="BX648" s="41">
        <f ca="1">IF(BX$1=Summary!$G$3,BX636*(1+Summary!$G$4)/(Summary!$G$8-Summary!$G$4),OFFSET(BX636,0,MATCH(Summary!$G$3,BY$1:$KC$1,0),1,1)*(1+Summary!$G$4)/(Summary!$G$8-Summary!$G$4)/(1+Summary!$G$8)^COUNTA(OFFSET(BX$1,0,0,1,MATCH(Summary!$G$3,BY$1:$KC$1,0))))</f>
        <v>722.14120107645761</v>
      </c>
      <c r="BY648" s="41">
        <f ca="1">IF(BY$1=Summary!$G$3,BY636*(1+Summary!$G$4)/(Summary!$G$8-Summary!$G$4),OFFSET(BY636,0,MATCH(Summary!$G$3,BZ$1:$KC$1,0),1,1)*(1+Summary!$G$4)/(Summary!$G$8-Summary!$G$4)/(1+Summary!$G$8)^COUNTA(OFFSET(BY$1,0,0,1,MATCH(Summary!$G$3,BZ$1:$KC$1,0))))</f>
        <v>788.57819157549181</v>
      </c>
      <c r="BZ648" s="41">
        <f ca="1">IF(BZ$1=Summary!$G$3,BZ636*(1+Summary!$G$4)/(Summary!$G$8-Summary!$G$4),OFFSET(BZ636,0,MATCH(Summary!$G$3,CA$1:$KC$1,0),1,1)*(1+Summary!$G$4)/(Summary!$G$8-Summary!$G$4)/(1+Summary!$G$8)^COUNTA(OFFSET(BZ$1,0,0,1,MATCH(Summary!$G$3,CA$1:$KC$1,0))))</f>
        <v>861.12738520043706</v>
      </c>
      <c r="CA648" s="41">
        <f ca="1">IF(CA$1=Summary!$G$3,CA636*(1+Summary!$G$4)/(Summary!$G$8-Summary!$G$4),OFFSET(CA636,0,MATCH(Summary!$G$3,CB$1:$KC$1,0),1,1)*(1+Summary!$G$4)/(Summary!$G$8-Summary!$G$4)/(1+Summary!$G$8)^COUNTA(OFFSET(CA$1,0,0,1,MATCH(Summary!$G$3,CB$1:$KC$1,0))))</f>
        <v>940.35110463887747</v>
      </c>
      <c r="CB648" s="41">
        <f ca="1">IF(CB$1=Summary!$G$3,CB636*(1+Summary!$G$4)/(Summary!$G$8-Summary!$G$4),OFFSET(CB636,0,MATCH(Summary!$G$3,CC$1:$KC$1,0),1,1)*(1+Summary!$G$4)/(Summary!$G$8-Summary!$G$4)/(1+Summary!$G$8)^COUNTA(OFFSET(CB$1,0,0,1,MATCH(Summary!$G$3,CC$1:$KC$1,0))))</f>
        <v>1026.8634062656542</v>
      </c>
      <c r="CC648" s="41">
        <f ca="1">IF(CC$1=Summary!$G$3,CC636*(1+Summary!$G$4)/(Summary!$G$8-Summary!$G$4),OFFSET(CC636,0,MATCH(Summary!$G$3,CD$1:$KC$1,0),1,1)*(1+Summary!$G$4)/(Summary!$G$8-Summary!$G$4)/(1+Summary!$G$8)^COUNTA(OFFSET(CC$1,0,0,1,MATCH(Summary!$G$3,CD$1:$KC$1,0))))</f>
        <v>1121.3348396420945</v>
      </c>
      <c r="CD648" s="41">
        <f ca="1">IF(CD$1=Summary!$G$3,CD636*(1+Summary!$G$4)/(Summary!$G$8-Summary!$G$4),OFFSET(CD636,0,MATCH(Summary!$G$3,CE$1:$KC$1,0),1,1)*(1+Summary!$G$4)/(Summary!$G$8-Summary!$G$4)/(1+Summary!$G$8)^COUNTA(OFFSET(CD$1,0,0,1,MATCH(Summary!$G$3,CE$1:$KC$1,0))))</f>
        <v>1224.4976448891673</v>
      </c>
      <c r="CE648" s="41">
        <f ca="1">IF(CE$1=Summary!$G$3,CE636*(1+Summary!$G$4)/(Summary!$G$8-Summary!$G$4),OFFSET(CE636,0,MATCH(Summary!$G$3,CF$1:$KC$1,0),1,1)*(1+Summary!$G$4)/(Summary!$G$8-Summary!$G$4)/(1+Summary!$G$8)^COUNTA(OFFSET(CE$1,0,0,1,MATCH(Summary!$G$3,CF$1:$KC$1,0))))</f>
        <v>1337.151428218971</v>
      </c>
      <c r="CF648" s="41">
        <f ca="1">IF(CF$1=Summary!$G$3,CF636*(1+Summary!$G$4)/(Summary!$G$8-Summary!$G$4),OFFSET(CF636,0,MATCH(Summary!$G$3,CG$1:$KC$1,0),1,1)*(1+Summary!$G$4)/(Summary!$G$8-Summary!$G$4)/(1+Summary!$G$8)^COUNTA(OFFSET(CF$1,0,0,1,MATCH(Summary!$G$3,CG$1:$KC$1,0))))</f>
        <v>1460.1693596151165</v>
      </c>
      <c r="CG648" s="41">
        <f ca="1">IF(CG$1=Summary!$G$3,CG636*(1+Summary!$G$4)/(Summary!$G$8-Summary!$G$4),OFFSET(CG636,0,MATCH(Summary!$G$3,CH$1:$KC$1,0),1,1)*(1+Summary!$G$4)/(Summary!$G$8-Summary!$G$4)/(1+Summary!$G$8)^COUNTA(OFFSET(CG$1,0,0,1,MATCH(Summary!$G$3,CH$1:$KC$1,0))))</f>
        <v>1594.5049406997073</v>
      </c>
      <c r="CH648" s="41">
        <f ca="1">IF(CH$1=Summary!$G$3,CH636*(1+Summary!$G$4)/(Summary!$G$8-Summary!$G$4),OFFSET(CH636,0,MATCH(Summary!$G$3,CI$1:$KC$1,0),1,1)*(1+Summary!$G$4)/(Summary!$G$8-Summary!$G$4)/(1+Summary!$G$8)^COUNTA(OFFSET(CH$1,0,0,1,MATCH(Summary!$G$3,CI$1:$KC$1,0))))</f>
        <v>1741.1993952440803</v>
      </c>
      <c r="CI648" s="41">
        <f ca="1">IF(CI$1=Summary!$G$3,CI636*(1+Summary!$G$4)/(Summary!$G$8-Summary!$G$4),OFFSET(CI636,0,MATCH(Summary!$G$3,CJ$1:$KC$1,0),1,1)*(1+Summary!$G$4)/(Summary!$G$8-Summary!$G$4)/(1+Summary!$G$8)^COUNTA(OFFSET(CI$1,0,0,1,MATCH(Summary!$G$3,CJ$1:$KC$1,0))))</f>
        <v>1901.3897396065361</v>
      </c>
      <c r="CJ648" s="41">
        <f ca="1">IF(CJ$1=Summary!$G$3,CJ636*(1+Summary!$G$4)/(Summary!$G$8-Summary!$G$4),OFFSET(CJ636,0,MATCH(Summary!$G$3,CK$1:$KC$1,0),1,1)*(1+Summary!$G$4)/(Summary!$G$8-Summary!$G$4)/(1+Summary!$G$8)^COUNTA(OFFSET(CJ$1,0,0,1,MATCH(Summary!$G$3,CK$1:$KC$1,0))))</f>
        <v>2076.3175956503374</v>
      </c>
      <c r="CK648" s="41">
        <f ca="1">IF(CK$1=Summary!$G$3,CK636*(1+Summary!$G$4)/(Summary!$G$8-Summary!$G$4),OFFSET(CK636,0,MATCH(Summary!$G$3,CL$1:$KC$1,0),1,1)*(1+Summary!$G$4)/(Summary!$G$8-Summary!$G$4)/(1+Summary!$G$8)^COUNTA(OFFSET(CK$1,0,0,1,MATCH(Summary!$G$3,CL$1:$KC$1,0))))</f>
        <v>2267.3388144501687</v>
      </c>
      <c r="CL648" s="41">
        <f ca="1">IF(CL$1=Summary!$G$3,CL636*(1+Summary!$G$4)/(Summary!$G$8-Summary!$G$4),OFFSET(CL636,0,MATCH(Summary!$G$3,CM$1:$KC$1,0),1,1)*(1+Summary!$G$4)/(Summary!$G$8-Summary!$G$4)/(1+Summary!$G$8)^COUNTA(OFFSET(CL$1,0,0,1,MATCH(Summary!$G$3,CM$1:$KC$1,0))))</f>
        <v>2475.9339853795841</v>
      </c>
      <c r="CM648" s="41">
        <f ca="1">IF(CM$1=Summary!$G$3,CM636*(1+Summary!$G$4)/(Summary!$G$8-Summary!$G$4),OFFSET(CM636,0,MATCH(Summary!$G$3,CN$1:$KC$1,0),1,1)*(1+Summary!$G$4)/(Summary!$G$8-Summary!$G$4)/(1+Summary!$G$8)^COUNTA(OFFSET(CM$1,0,0,1,MATCH(Summary!$G$3,CN$1:$KC$1,0))))</f>
        <v>2703.7199120345063</v>
      </c>
      <c r="CN648" s="41">
        <f ca="1">IF(CN$1=Summary!$G$3,CN636*(1+Summary!$G$4)/(Summary!$G$8-Summary!$G$4),OFFSET(CN636,0,MATCH(Summary!$G$3,CO$1:$KC$1,0),1,1)*(1+Summary!$G$4)/(Summary!$G$8-Summary!$G$4)/(1+Summary!$G$8)^COUNTA(OFFSET(CN$1,0,0,1,MATCH(Summary!$G$3,CO$1:$KC$1,0))))</f>
        <v>2952.462143941681</v>
      </c>
      <c r="CO648" s="41">
        <f ca="1">IF(CO$1=Summary!$G$3,CO636*(1+Summary!$G$4)/(Summary!$G$8-Summary!$G$4),OFFSET(CO636,0,MATCH(Summary!$G$3,CP$1:$KC$1,0),1,1)*(1+Summary!$G$4)/(Summary!$G$8-Summary!$G$4)/(1+Summary!$G$8)^COUNTA(OFFSET(CO$1,0,0,1,MATCH(Summary!$G$3,CP$1:$KC$1,0))))</f>
        <v>3224.0886611843157</v>
      </c>
      <c r="CP648" s="41">
        <f ca="1">IF(CP$1=Summary!$G$3,CP636*(1+Summary!$G$4)/(Summary!$G$8-Summary!$G$4),OFFSET(CP636,0,MATCH(Summary!$G$3,CQ$1:$KC$1,0),1,1)*(1+Summary!$G$4)/(Summary!$G$8-Summary!$G$4)/(1+Summary!$G$8)^COUNTA(OFFSET(CP$1,0,0,1,MATCH(Summary!$G$3,CQ$1:$KC$1,0))))</f>
        <v>3520.7048180132733</v>
      </c>
      <c r="CQ648" s="41">
        <f ca="1">IF(CQ$1=Summary!$G$3,CQ636*(1+Summary!$G$4)/(Summary!$G$8-Summary!$G$4),OFFSET(CQ636,0,MATCH(Summary!$G$3,CR$1:$KC$1,0),1,1)*(1+Summary!$G$4)/(Summary!$G$8-Summary!$G$4)/(1+Summary!$G$8)^COUNTA(OFFSET(CQ$1,0,0,1,MATCH(Summary!$G$3,CR$1:$KC$1,0))))</f>
        <v>3844.6096612704951</v>
      </c>
      <c r="CR648" s="41">
        <f ca="1">IF(CR$1=Summary!$G$3,CR636*(1+Summary!$G$4)/(Summary!$G$8-Summary!$G$4),OFFSET(CR636,0,MATCH(Summary!$G$3,CS$1:$KC$1,0),1,1)*(1+Summary!$G$4)/(Summary!$G$8-Summary!$G$4)/(1+Summary!$G$8)^COUNTA(OFFSET(CR$1,0,0,1,MATCH(Summary!$G$3,CS$1:$KC$1,0))))</f>
        <v>4198.3137501073816</v>
      </c>
      <c r="CS648" s="41">
        <f ca="1">IF(CS$1=Summary!$G$3,CS636*(1+Summary!$G$4)/(Summary!$G$8-Summary!$G$4),OFFSET(CS636,0,MATCH(Summary!$G$3,CT$1:$KC$1,0),1,1)*(1+Summary!$G$4)/(Summary!$G$8-Summary!$G$4)/(1+Summary!$G$8)^COUNTA(OFFSET(CS$1,0,0,1,MATCH(Summary!$G$3,CT$1:$KC$1,0))))</f>
        <v>4584.5586151172602</v>
      </c>
      <c r="CT648" s="41">
        <f ca="1">IF(CT$1=Summary!$G$3,CT636*(1+Summary!$G$4)/(Summary!$G$8-Summary!$G$4),OFFSET(CT636,0,MATCH(Summary!$G$3,CU$1:$KC$1,0),1,1)*(1+Summary!$G$4)/(Summary!$G$8-Summary!$G$4)/(1+Summary!$G$8)^COUNTA(OFFSET(CT$1,0,0,1,MATCH(Summary!$G$3,CU$1:$KC$1,0))))</f>
        <v>5006.3380077080483</v>
      </c>
      <c r="CU648" s="41">
        <f ca="1">IF(CU$1=Summary!$G$3,CU636*(1+Summary!$G$4)/(Summary!$G$8-Summary!$G$4),OFFSET(CU636,0,MATCH(Summary!$G$3,CV$1:$KC$1,0),1,1)*(1+Summary!$G$4)/(Summary!$G$8-Summary!$G$4)/(1+Summary!$G$8)^COUNTA(OFFSET(CU$1,0,0,1,MATCH(Summary!$G$3,CV$1:$KC$1,0))))</f>
        <v>5466.9211044171898</v>
      </c>
      <c r="CV648" s="41">
        <f ca="1">IF(CV$1=Summary!$G$3,CV636*(1+Summary!$G$4)/(Summary!$G$8-Summary!$G$4),OFFSET(CV636,0,MATCH(Summary!$G$3,CW$1:$KC$1,0),1,1)*(1+Summary!$G$4)/(Summary!$G$8-Summary!$G$4)/(1+Summary!$G$8)^COUNTA(OFFSET(CV$1,0,0,1,MATCH(Summary!$G$3,CW$1:$KC$1,0))))</f>
        <v>5969.8778460235717</v>
      </c>
      <c r="CW648" s="41">
        <f ca="1">IF(CW$1=Summary!$G$3,CW636*(1+Summary!$G$4)/(Summary!$G$8-Summary!$G$4),OFFSET(CW636,0,MATCH(Summary!$G$3,CX$1:$KC$1,0),1,1)*(1+Summary!$G$4)/(Summary!$G$8-Summary!$G$4)/(1+Summary!$G$8)^COUNTA(OFFSET(CW$1,0,0,1,MATCH(Summary!$G$3,CX$1:$KC$1,0))))</f>
        <v>6519.1066078577414</v>
      </c>
      <c r="CX648" s="41">
        <f ca="1">IF(CX$1=Summary!$G$3,CX636*(1+Summary!$G$4)/(Summary!$G$8-Summary!$G$4),OFFSET(CX636,0,MATCH(Summary!$G$3,CY$1:$KC$1,0),1,1)*(1+Summary!$G$4)/(Summary!$G$8-Summary!$G$4)/(1+Summary!$G$8)^COUNTA(OFFSET(CX$1,0,0,1,MATCH(Summary!$G$3,CY$1:$KC$1,0))))</f>
        <v>7118.864415780653</v>
      </c>
      <c r="CY648" s="41">
        <f ca="1">IF(CY$1=Summary!$G$3,CY636*(1+Summary!$G$4)/(Summary!$G$8-Summary!$G$4),OFFSET(CY636,0,MATCH(Summary!$G$3,CZ$1:$KC$1,0),1,1)*(1+Summary!$G$4)/(Summary!$G$8-Summary!$G$4)/(1+Summary!$G$8)^COUNTA(OFFSET(CY$1,0,0,1,MATCH(Summary!$G$3,CZ$1:$KC$1,0))))</f>
        <v>7773.7999420324741</v>
      </c>
      <c r="CZ648" s="211">
        <f ca="1">IF(CZ$1=Summary!$G$3,CZ636*(1+Summary!$G$4)/(Summary!$G$8-Summary!$G$4),OFFSET(CZ636,0,MATCH(Summary!$G$3,DA$1:$KC$1,0),1,1)*(1+Summary!$G$4)/(Summary!$G$8-Summary!$G$4)/(1+Summary!$G$8)^COUNTA(OFFSET(CZ$1,0,0,1,MATCH(Summary!$G$3,DA$1:$KC$1,0))))</f>
        <v>8488.9895366994624</v>
      </c>
      <c r="DA648" s="41">
        <f ca="1">IF(DA$1=Summary!$G$3,DA636*(1+Summary!$G$4)/(Summary!$G$8-Summary!$G$4),OFFSET(DA636,0,MATCH(Summary!$G$3,DB$1:$KC$1,0),1,1)*(1+Summary!$G$4)/(Summary!$G$8-Summary!$G$4)/(1+Summary!$G$8)^COUNTA(OFFSET(DA$1,0,0,1,MATCH(Summary!$G$3,DB$1:$KC$1,0))))</f>
        <v>9269.9765740758139</v>
      </c>
      <c r="DB648" s="41">
        <f ca="1">IF(DB$1=Summary!$G$3,DB636*(1+Summary!$G$4)/(Summary!$G$8-Summary!$G$4),OFFSET(DB636,0,MATCH(Summary!$G$3,DC$1:$KC$1,0),1,1)*(1+Summary!$G$4)/(Summary!$G$8-Summary!$G$4)/(1+Summary!$G$8)^COUNTA(OFFSET(DB$1,0,0,1,MATCH(Summary!$G$3,DC$1:$KC$1,0))))</f>
        <v>10122.81441889079</v>
      </c>
      <c r="DC648" s="41">
        <f ca="1">IF(DC$1=Summary!$G$3,DC636*(1+Summary!$G$4)/(Summary!$G$8-Summary!$G$4),OFFSET(DC636,0,MATCH(Summary!$G$3,DD$1:$KC$1,0),1,1)*(1+Summary!$G$4)/(Summary!$G$8-Summary!$G$4)/(1+Summary!$G$8)^COUNTA(OFFSET(DC$1,0,0,1,MATCH(Summary!$G$3,DD$1:$KC$1,0))))</f>
        <v>11054.113345428745</v>
      </c>
      <c r="DD648" s="41">
        <f ca="1">IF(DD$1=Summary!$G$3,DD636*(1+Summary!$G$4)/(Summary!$G$8-Summary!$G$4),OFFSET(DD636,0,MATCH(Summary!$G$3,DE$1:$KC$1,0),1,1)*(1+Summary!$G$4)/(Summary!$G$8-Summary!$G$4)/(1+Summary!$G$8)^COUNTA(OFFSET(DD$1,0,0,1,MATCH(Summary!$G$3,DE$1:$KC$1,0))))</f>
        <v>12071.091773208189</v>
      </c>
      <c r="DE648" s="41">
        <f ca="1">IF(DE$1=Summary!$G$3,DE636*(1+Summary!$G$4)/(Summary!$G$8-Summary!$G$4),OFFSET(DE636,0,MATCH(Summary!$G$3,DF$1:$KC$1,0),1,1)*(1+Summary!$G$4)/(Summary!$G$8-Summary!$G$4)/(1+Summary!$G$8)^COUNTA(OFFSET(DE$1,0,0,1,MATCH(Summary!$G$3,DF$1:$KC$1,0))))</f>
        <v>13181.632216343343</v>
      </c>
      <c r="DF648" s="41">
        <f ca="1">IF(DF$1=Summary!$G$3,DF636*(1+Summary!$G$4)/(Summary!$G$8-Summary!$G$4),OFFSET(DF636,0,MATCH(Summary!$G$3,DG$1:$KC$1,0),1,1)*(1+Summary!$G$4)/(Summary!$G$8-Summary!$G$4)/(1+Summary!$G$8)^COUNTA(OFFSET(DF$1,0,0,1,MATCH(Summary!$G$3,DG$1:$KC$1,0))))</f>
        <v>14394.342380246931</v>
      </c>
      <c r="DG648" s="41">
        <f ca="1">IF(DG$1=Summary!$G$3,DG636*(1+Summary!$G$4)/(Summary!$G$8-Summary!$G$4),OFFSET(DG636,0,MATCH(Summary!$G$3,DH$1:$KC$1,0),1,1)*(1+Summary!$G$4)/(Summary!$G$8-Summary!$G$4)/(1+Summary!$G$8)^COUNTA(OFFSET(DG$1,0,0,1,MATCH(Summary!$G$3,DH$1:$KC$1,0))))</f>
        <v>15718.621879229651</v>
      </c>
      <c r="DH648" s="41">
        <f ca="1">IF(DH$1=Summary!$G$3,DH636*(1+Summary!$G$4)/(Summary!$G$8-Summary!$G$4),OFFSET(DH636,0,MATCH(Summary!$G$3,DI$1:$KC$1,0),1,1)*(1+Summary!$G$4)/(Summary!$G$8-Summary!$G$4)/(1+Summary!$G$8)^COUNTA(OFFSET(DH$1,0,0,1,MATCH(Summary!$G$3,DI$1:$KC$1,0))))</f>
        <v>17164.735092118783</v>
      </c>
      <c r="DI648" s="41">
        <f ca="1">IF(DI$1=Summary!$G$3,DI636*(1+Summary!$G$4)/(Summary!$G$8-Summary!$G$4),OFFSET(DI636,0,MATCH(Summary!$G$3,DJ$1:$KC$1,0),1,1)*(1+Summary!$G$4)/(Summary!$G$8-Summary!$G$4)/(1+Summary!$G$8)^COUNTA(OFFSET(DI$1,0,0,1,MATCH(Summary!$G$3,DJ$1:$KC$1,0))))</f>
        <v>18743.89072059371</v>
      </c>
    </row>
    <row r="649" spans="1:113" s="17" customFormat="1" ht="12" outlineLevel="1">
      <c r="A649" s="1" t="s">
        <v>755</v>
      </c>
      <c r="B649" s="17" t="s">
        <v>168</v>
      </c>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10"/>
      <c r="AH649" s="10"/>
      <c r="AI649" s="10"/>
      <c r="AJ649" s="10"/>
      <c r="AK649" s="10"/>
      <c r="AL649" s="10"/>
      <c r="AM649" s="10"/>
      <c r="AN649" s="10"/>
      <c r="AO649" s="10"/>
      <c r="AP649" s="10"/>
      <c r="AQ649" s="10"/>
      <c r="AR649" s="10"/>
      <c r="AS649" s="10"/>
      <c r="AT649" s="10"/>
      <c r="AU649" s="10"/>
      <c r="AV649" s="10"/>
      <c r="AW649" s="10"/>
      <c r="AX649" s="10"/>
      <c r="AY649" s="201"/>
      <c r="AZ649" s="10"/>
      <c r="BA649" s="10"/>
      <c r="BB649" s="10"/>
      <c r="BC649" s="10"/>
      <c r="BD649" s="10"/>
      <c r="BE649" s="10"/>
      <c r="BF649" s="10"/>
      <c r="BG649" s="10"/>
      <c r="BH649" s="10"/>
      <c r="BI649" s="10"/>
      <c r="BJ649" s="10"/>
      <c r="BK649" s="10"/>
      <c r="BL649" s="10"/>
      <c r="BM649" s="10"/>
      <c r="BN649" s="10"/>
      <c r="BO649" s="10"/>
      <c r="BP649" s="10"/>
      <c r="BQ649" s="10"/>
      <c r="BR649" s="10"/>
      <c r="BS649" s="62">
        <f t="shared" ref="BS649:CZ649" ca="1" si="7925">SUM(BS647:BS648)</f>
        <v>4865.8372621806875</v>
      </c>
      <c r="BT649" s="62">
        <f t="shared" ca="1" si="7925"/>
        <v>5313.4942903013098</v>
      </c>
      <c r="BU649" s="62">
        <f t="shared" ca="1" si="7925"/>
        <v>5802.335765009032</v>
      </c>
      <c r="BV649" s="62">
        <f t="shared" ca="1" si="7925"/>
        <v>6309.837341957028</v>
      </c>
      <c r="BW649" s="62">
        <f t="shared" ca="1" si="7925"/>
        <v>6708.6818774170742</v>
      </c>
      <c r="BX649" s="62">
        <f t="shared" ca="1" si="7925"/>
        <v>7052.2243601394457</v>
      </c>
      <c r="BY649" s="62">
        <f t="shared" ca="1" si="7925"/>
        <v>7515.672593946977</v>
      </c>
      <c r="BZ649" s="62">
        <f t="shared" ca="1" si="7925"/>
        <v>7945.6206788842692</v>
      </c>
      <c r="CA649" s="62">
        <f t="shared" ca="1" si="7925"/>
        <v>8306.0990313416223</v>
      </c>
      <c r="CB649" s="62">
        <f t="shared" ca="1" si="7925"/>
        <v>8687.2965058614154</v>
      </c>
      <c r="CC649" s="62">
        <f t="shared" ca="1" si="7925"/>
        <v>9110.9277844006683</v>
      </c>
      <c r="CD649" s="62">
        <f t="shared" ca="1" si="7925"/>
        <v>9523.7331405655277</v>
      </c>
      <c r="CE649" s="62">
        <f t="shared" ca="1" si="7925"/>
        <v>9858.7165894975606</v>
      </c>
      <c r="CF649" s="62">
        <f t="shared" ca="1" si="7925"/>
        <v>10174.418515731337</v>
      </c>
      <c r="CG649" s="62">
        <f t="shared" ca="1" si="7925"/>
        <v>10486.679304892903</v>
      </c>
      <c r="CH649" s="62">
        <f t="shared" ca="1" si="7925"/>
        <v>10814.510943800198</v>
      </c>
      <c r="CI649" s="62">
        <f t="shared" ca="1" si="7925"/>
        <v>11131.617379201243</v>
      </c>
      <c r="CJ649" s="62">
        <f t="shared" ca="1" si="7925"/>
        <v>11552.983320944899</v>
      </c>
      <c r="CK649" s="62">
        <f t="shared" ca="1" si="7925"/>
        <v>11803.543500757551</v>
      </c>
      <c r="CL649" s="62">
        <f t="shared" ca="1" si="7925"/>
        <v>11965.040931398673</v>
      </c>
      <c r="CM649" s="62">
        <f t="shared" ca="1" si="7925"/>
        <v>12078.138982801638</v>
      </c>
      <c r="CN649" s="62">
        <f t="shared" ca="1" si="7925"/>
        <v>12692.270626362249</v>
      </c>
      <c r="CO649" s="62">
        <f t="shared" ca="1" si="7925"/>
        <v>12652.930952559</v>
      </c>
      <c r="CP649" s="62">
        <f t="shared" ca="1" si="7925"/>
        <v>12555.457743051575</v>
      </c>
      <c r="CQ649" s="62">
        <f t="shared" ca="1" si="7925"/>
        <v>12424.588426840894</v>
      </c>
      <c r="CR649" s="62">
        <f t="shared" ca="1" si="7925"/>
        <v>12382.479133538829</v>
      </c>
      <c r="CS649" s="62">
        <f t="shared" ca="1" si="7925"/>
        <v>12342.667213824403</v>
      </c>
      <c r="CT649" s="62">
        <f t="shared" ca="1" si="7925"/>
        <v>12497.732597496248</v>
      </c>
      <c r="CU649" s="62">
        <f t="shared" ca="1" si="7925"/>
        <v>12896.152567894474</v>
      </c>
      <c r="CV649" s="62">
        <f t="shared" ca="1" si="7925"/>
        <v>13329.68431842648</v>
      </c>
      <c r="CW649" s="62">
        <f t="shared" ca="1" si="7925"/>
        <v>13535.929561436005</v>
      </c>
      <c r="CX649" s="62">
        <f t="shared" ca="1" si="7925"/>
        <v>13873.568257379913</v>
      </c>
      <c r="CY649" s="62">
        <f t="shared" ca="1" si="7925"/>
        <v>14240.370822773151</v>
      </c>
      <c r="CZ649" s="220">
        <f t="shared" ca="1" si="7925"/>
        <v>14727.344938468283</v>
      </c>
      <c r="DA649" s="62">
        <f t="shared" ref="DA649:DB649" ca="1" si="7926">SUM(DA647:DA648)</f>
        <v>15171.287189391318</v>
      </c>
      <c r="DB649" s="62">
        <f t="shared" ca="1" si="7926"/>
        <v>15580.767821123798</v>
      </c>
      <c r="DC649" s="62">
        <f t="shared" ref="DC649:DH649" ca="1" si="7927">SUM(DC647:DC648)</f>
        <v>16013.494137592228</v>
      </c>
      <c r="DD649" s="62">
        <f t="shared" ca="1" si="7927"/>
        <v>16459.497656983935</v>
      </c>
      <c r="DE649" s="62">
        <f t="shared" ca="1" si="7927"/>
        <v>16916.111166202296</v>
      </c>
      <c r="DF649" s="62">
        <f t="shared" ca="1" si="7927"/>
        <v>17372.845582616304</v>
      </c>
      <c r="DG649" s="62">
        <f t="shared" ca="1" si="7927"/>
        <v>17829.712029687958</v>
      </c>
      <c r="DH649" s="62">
        <f t="shared" ca="1" si="7927"/>
        <v>18286.722654237765</v>
      </c>
      <c r="DI649" s="62">
        <f ca="1">SUM(DI647:DI648)</f>
        <v>18743.89072059371</v>
      </c>
    </row>
    <row r="650" spans="1:113" ht="12" outlineLevel="1">
      <c r="AY650" s="200"/>
      <c r="BS650" s="41"/>
      <c r="BT650" s="41"/>
      <c r="BU650" s="41"/>
      <c r="BV650" s="41"/>
      <c r="BW650" s="41"/>
      <c r="BX650" s="41"/>
      <c r="BY650" s="41"/>
      <c r="BZ650" s="41"/>
      <c r="CA650" s="41"/>
      <c r="CB650" s="41"/>
      <c r="CC650" s="41"/>
      <c r="CD650" s="41"/>
      <c r="CE650" s="41"/>
      <c r="CF650" s="41"/>
      <c r="CG650" s="41"/>
      <c r="CH650" s="41"/>
      <c r="CI650" s="41"/>
      <c r="CJ650" s="41"/>
      <c r="CK650" s="41"/>
      <c r="CL650" s="41"/>
      <c r="CM650" s="41"/>
      <c r="CN650" s="41"/>
      <c r="CO650" s="41"/>
      <c r="CP650" s="41"/>
      <c r="CQ650" s="41"/>
      <c r="CR650" s="41"/>
      <c r="CS650" s="41"/>
      <c r="CT650" s="41"/>
      <c r="CU650" s="41"/>
      <c r="CV650" s="41"/>
      <c r="CW650" s="41"/>
      <c r="CX650" s="41"/>
      <c r="CY650" s="41"/>
      <c r="CZ650" s="211"/>
      <c r="DA650" s="41"/>
      <c r="DB650" s="15"/>
      <c r="DC650" s="15"/>
      <c r="DD650" s="15"/>
      <c r="DE650" s="15"/>
      <c r="DF650" s="15"/>
      <c r="DG650" s="15"/>
      <c r="DH650" s="15"/>
      <c r="DI650" s="15"/>
    </row>
    <row r="651" spans="1:113" s="17" customFormat="1" ht="12" outlineLevel="1">
      <c r="A651" s="1" t="s">
        <v>756</v>
      </c>
      <c r="B651" s="17" t="s">
        <v>550</v>
      </c>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0"/>
      <c r="AH651" s="10"/>
      <c r="AI651" s="10"/>
      <c r="AJ651" s="10"/>
      <c r="AK651" s="10"/>
      <c r="AL651" s="10"/>
      <c r="AM651" s="10"/>
      <c r="AN651" s="10"/>
      <c r="AO651" s="10"/>
      <c r="AP651" s="10"/>
      <c r="AQ651" s="10"/>
      <c r="AR651" s="10"/>
      <c r="AS651" s="10"/>
      <c r="AT651" s="10"/>
      <c r="AU651" s="10"/>
      <c r="AV651" s="10"/>
      <c r="AW651" s="10"/>
      <c r="AX651" s="10"/>
      <c r="AY651" s="201"/>
      <c r="AZ651" s="10"/>
      <c r="BA651" s="10"/>
      <c r="BB651" s="10"/>
      <c r="BC651" s="10"/>
      <c r="BD651" s="10"/>
      <c r="BE651" s="10"/>
      <c r="BF651" s="10"/>
      <c r="BG651" s="10"/>
      <c r="BH651" s="10"/>
      <c r="BI651" s="10"/>
      <c r="BJ651" s="10"/>
      <c r="BK651" s="10"/>
      <c r="BL651" s="10"/>
      <c r="BM651" s="10"/>
      <c r="BN651" s="10"/>
      <c r="BO651" s="10"/>
      <c r="BP651" s="10"/>
      <c r="BQ651" s="10"/>
      <c r="BR651" s="10"/>
      <c r="BS651" s="62">
        <f t="shared" ref="BS651:CZ651" ca="1" si="7928">BS645+BS649</f>
        <v>20390.1486374981</v>
      </c>
      <c r="BT651" s="62">
        <f t="shared" ca="1" si="7928"/>
        <v>22191.642312147927</v>
      </c>
      <c r="BU651" s="62">
        <f t="shared" ca="1" si="7928"/>
        <v>23965.273404865537</v>
      </c>
      <c r="BV651" s="62">
        <f t="shared" ca="1" si="7928"/>
        <v>25805.765244680333</v>
      </c>
      <c r="BW651" s="62">
        <f t="shared" ca="1" si="7928"/>
        <v>27567.235147190928</v>
      </c>
      <c r="BX651" s="62">
        <f t="shared" ca="1" si="7928"/>
        <v>29354.764530732486</v>
      </c>
      <c r="BY651" s="62">
        <f t="shared" ca="1" si="7928"/>
        <v>31369.046460234582</v>
      </c>
      <c r="BZ651" s="62">
        <f t="shared" ca="1" si="7928"/>
        <v>33368.504940870334</v>
      </c>
      <c r="CA651" s="62">
        <f t="shared" ca="1" si="7928"/>
        <v>34384.888645430401</v>
      </c>
      <c r="CB651" s="62">
        <f t="shared" ca="1" si="7928"/>
        <v>35808.334764446365</v>
      </c>
      <c r="CC651" s="62">
        <f t="shared" ca="1" si="7928"/>
        <v>37681.101562775439</v>
      </c>
      <c r="CD651" s="62">
        <f t="shared" ca="1" si="7928"/>
        <v>39540.362906550799</v>
      </c>
      <c r="CE651" s="62">
        <f t="shared" ca="1" si="7928"/>
        <v>44664.876293953464</v>
      </c>
      <c r="CF651" s="62">
        <f t="shared" ca="1" si="7928"/>
        <v>46321.744912997194</v>
      </c>
      <c r="CG651" s="62">
        <f t="shared" ca="1" si="7928"/>
        <v>47919.559730707217</v>
      </c>
      <c r="CH651" s="62">
        <f t="shared" ca="1" si="7928"/>
        <v>49889.216368789435</v>
      </c>
      <c r="CI651" s="62">
        <f t="shared" ca="1" si="7928"/>
        <v>54808.195703289486</v>
      </c>
      <c r="CJ651" s="62">
        <f t="shared" ca="1" si="7928"/>
        <v>63465.806850849265</v>
      </c>
      <c r="CK651" s="62">
        <f t="shared" ca="1" si="7928"/>
        <v>66068.346795413134</v>
      </c>
      <c r="CL651" s="62">
        <f t="shared" ca="1" si="7928"/>
        <v>69084.206129162558</v>
      </c>
      <c r="CM651" s="62">
        <f t="shared" ca="1" si="7928"/>
        <v>72338.267378759818</v>
      </c>
      <c r="CN651" s="62">
        <f t="shared" ca="1" si="7928"/>
        <v>77186.330834748616</v>
      </c>
      <c r="CO651" s="62">
        <f t="shared" ca="1" si="7928"/>
        <v>78776.444700116874</v>
      </c>
      <c r="CP651" s="62">
        <f t="shared" ca="1" si="7928"/>
        <v>80984.3347553848</v>
      </c>
      <c r="CQ651" s="62">
        <f t="shared" ca="1" si="7928"/>
        <v>82545.922124308767</v>
      </c>
      <c r="CR651" s="62">
        <f t="shared" ca="1" si="7928"/>
        <v>84668.975531173754</v>
      </c>
      <c r="CS651" s="62">
        <f t="shared" ca="1" si="7928"/>
        <v>84725.521280041765</v>
      </c>
      <c r="CT651" s="62">
        <f t="shared" ca="1" si="7928"/>
        <v>85938.809237805603</v>
      </c>
      <c r="CU651" s="62">
        <f t="shared" ca="1" si="7928"/>
        <v>90211.808259112309</v>
      </c>
      <c r="CV651" s="62">
        <f t="shared" ca="1" si="7928"/>
        <v>94283.38033323636</v>
      </c>
      <c r="CW651" s="62">
        <f t="shared" ca="1" si="7928"/>
        <v>97286.365609608387</v>
      </c>
      <c r="CX651" s="62">
        <f t="shared" ca="1" si="7928"/>
        <v>101028.04442198416</v>
      </c>
      <c r="CY651" s="62">
        <f t="shared" ca="1" si="7928"/>
        <v>103542.05879452101</v>
      </c>
      <c r="CZ651" s="220">
        <f t="shared" ca="1" si="7928"/>
        <v>107370.78820361695</v>
      </c>
      <c r="DA651" s="62">
        <f t="shared" ref="DA651:DB651" ca="1" si="7929">DA645+DA649</f>
        <v>112795.25257720461</v>
      </c>
      <c r="DB651" s="62">
        <f t="shared" ca="1" si="7929"/>
        <v>115706.81697077412</v>
      </c>
      <c r="DC651" s="62">
        <f t="shared" ref="DC651:DH651" ca="1" si="7930">DC645+DC649</f>
        <v>117791.67134748283</v>
      </c>
      <c r="DD651" s="62">
        <f t="shared" ca="1" si="7930"/>
        <v>119894.38971870238</v>
      </c>
      <c r="DE651" s="62">
        <f t="shared" ca="1" si="7930"/>
        <v>123991.12287968685</v>
      </c>
      <c r="DF651" s="62">
        <f t="shared" ca="1" si="7930"/>
        <v>128190.15942442699</v>
      </c>
      <c r="DG651" s="62">
        <f t="shared" ca="1" si="7930"/>
        <v>132500.91126422829</v>
      </c>
      <c r="DH651" s="62">
        <f t="shared" ca="1" si="7930"/>
        <v>136933.65620623645</v>
      </c>
      <c r="DI651" s="62">
        <f ca="1">DI645+DI649</f>
        <v>141499.61761585445</v>
      </c>
    </row>
    <row r="652" spans="1:113" ht="12" outlineLevel="1">
      <c r="A652" s="1" t="s">
        <v>757</v>
      </c>
      <c r="B652" s="15" t="str">
        <f>B543</f>
        <v>Shares on issue - EOP</v>
      </c>
      <c r="AY652" s="200"/>
      <c r="BS652" s="41">
        <f t="shared" ref="BS652:CZ652" si="7931">BS543</f>
        <v>1062.911884655161</v>
      </c>
      <c r="BT652" s="41">
        <f t="shared" si="7931"/>
        <v>1318.6356827936288</v>
      </c>
      <c r="BU652" s="41">
        <f t="shared" si="7931"/>
        <v>1364.3783774793717</v>
      </c>
      <c r="BV652" s="41">
        <f t="shared" si="7931"/>
        <v>1457.5831903685769</v>
      </c>
      <c r="BW652" s="41">
        <f t="shared" si="7931"/>
        <v>1489.8805557179519</v>
      </c>
      <c r="BX652" s="41">
        <f t="shared" si="7931"/>
        <v>1520.5847618049243</v>
      </c>
      <c r="BY652" s="41">
        <f t="shared" si="7931"/>
        <v>1551.7209969700209</v>
      </c>
      <c r="BZ652" s="41">
        <f t="shared" si="7931"/>
        <v>1577.9160969915913</v>
      </c>
      <c r="CA652" s="41">
        <f t="shared" si="7931"/>
        <v>1518.2151547345695</v>
      </c>
      <c r="CB652" s="41">
        <f t="shared" si="7931"/>
        <v>1500.1723640894036</v>
      </c>
      <c r="CC652" s="41">
        <f t="shared" si="7931"/>
        <v>1515.8968073332353</v>
      </c>
      <c r="CD652" s="41">
        <f t="shared" si="7931"/>
        <v>1533.8388002652996</v>
      </c>
      <c r="CE652" s="41">
        <f t="shared" si="7931"/>
        <v>1832.9056150374061</v>
      </c>
      <c r="CF652" s="41">
        <f t="shared" si="7931"/>
        <v>1840.9694320855249</v>
      </c>
      <c r="CG652" s="41">
        <f t="shared" si="7931"/>
        <v>1851.2507988218763</v>
      </c>
      <c r="CH652" s="41">
        <f t="shared" si="7931"/>
        <v>1879.5749562033936</v>
      </c>
      <c r="CI652" s="41">
        <f t="shared" si="7931"/>
        <v>2056.9789312620078</v>
      </c>
      <c r="CJ652" s="41">
        <f t="shared" si="7931"/>
        <v>2524.4787246266956</v>
      </c>
      <c r="CK652" s="41">
        <f t="shared" si="7931"/>
        <v>2580.1190622587151</v>
      </c>
      <c r="CL652" s="41">
        <f t="shared" si="7931"/>
        <v>2649.9718774380449</v>
      </c>
      <c r="CM652" s="41">
        <f t="shared" si="7931"/>
        <v>2739.0770558197578</v>
      </c>
      <c r="CN652" s="41">
        <f t="shared" si="7931"/>
        <v>2765.5868543654478</v>
      </c>
      <c r="CO652" s="41">
        <f t="shared" si="7931"/>
        <v>2778.5897593555396</v>
      </c>
      <c r="CP652" s="41">
        <f t="shared" si="7931"/>
        <v>2925.8552181968093</v>
      </c>
      <c r="CQ652" s="41">
        <f t="shared" si="7931"/>
        <v>2950.8530510459777</v>
      </c>
      <c r="CR652" s="41">
        <f t="shared" si="7931"/>
        <v>2960.8474739085123</v>
      </c>
      <c r="CS652" s="41">
        <f t="shared" si="7931"/>
        <v>2896.5413462139368</v>
      </c>
      <c r="CT652" s="41">
        <f t="shared" si="7931"/>
        <v>2857.1967783034938</v>
      </c>
      <c r="CU652" s="41">
        <f t="shared" si="7931"/>
        <v>2863.0282304155085</v>
      </c>
      <c r="CV652" s="41">
        <f t="shared" si="7931"/>
        <v>2846.0875891807764</v>
      </c>
      <c r="CW652" s="41">
        <f t="shared" si="7931"/>
        <v>2989.9237509999998</v>
      </c>
      <c r="CX652" s="41">
        <f t="shared" si="7931"/>
        <v>3005.2868859999999</v>
      </c>
      <c r="CY652" s="41">
        <f t="shared" si="7931"/>
        <v>2979.41626</v>
      </c>
      <c r="CZ652" s="211">
        <f t="shared" si="7931"/>
        <v>2983.52018</v>
      </c>
      <c r="DA652" s="41">
        <f t="shared" ref="DA652:DB652" si="7932">DA543</f>
        <v>3027.2492010175706</v>
      </c>
      <c r="DB652" s="41">
        <f t="shared" si="7932"/>
        <v>3001.4422682441705</v>
      </c>
      <c r="DC652" s="41">
        <f t="shared" ref="DC652:DH652" si="7933">DC543</f>
        <v>2953.1136337895286</v>
      </c>
      <c r="DD652" s="41">
        <f t="shared" si="7933"/>
        <v>2908.8566425306994</v>
      </c>
      <c r="DE652" s="41">
        <f t="shared" si="7933"/>
        <v>2908.8566425306994</v>
      </c>
      <c r="DF652" s="41">
        <f t="shared" si="7933"/>
        <v>2908.8566425306994</v>
      </c>
      <c r="DG652" s="41">
        <f t="shared" si="7933"/>
        <v>2908.8566425306994</v>
      </c>
      <c r="DH652" s="41">
        <f t="shared" si="7933"/>
        <v>2908.8566425306994</v>
      </c>
      <c r="DI652" s="41">
        <f>DI543</f>
        <v>2908.8566425306994</v>
      </c>
    </row>
    <row r="653" spans="1:113" s="17" customFormat="1" ht="12" outlineLevel="1">
      <c r="A653" s="1" t="s">
        <v>758</v>
      </c>
      <c r="B653" s="17" t="s">
        <v>551</v>
      </c>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0"/>
      <c r="AH653" s="10"/>
      <c r="AI653" s="10"/>
      <c r="AJ653" s="10"/>
      <c r="AK653" s="10"/>
      <c r="AL653" s="10"/>
      <c r="AM653" s="10"/>
      <c r="AN653" s="10"/>
      <c r="AO653" s="10"/>
      <c r="AP653" s="10"/>
      <c r="AQ653" s="10"/>
      <c r="AR653" s="10"/>
      <c r="AS653" s="10"/>
      <c r="AT653" s="10"/>
      <c r="AU653" s="10"/>
      <c r="AV653" s="10"/>
      <c r="AW653" s="10"/>
      <c r="AX653" s="10"/>
      <c r="AY653" s="201"/>
      <c r="AZ653" s="10"/>
      <c r="BA653" s="10"/>
      <c r="BB653" s="10"/>
      <c r="BC653" s="10"/>
      <c r="BD653" s="10"/>
      <c r="BE653" s="10"/>
      <c r="BF653" s="10"/>
      <c r="BG653" s="10"/>
      <c r="BH653" s="10"/>
      <c r="BI653" s="10"/>
      <c r="BJ653" s="10"/>
      <c r="BK653" s="10"/>
      <c r="BL653" s="10"/>
      <c r="BM653" s="10"/>
      <c r="BN653" s="10"/>
      <c r="BO653" s="10"/>
      <c r="BP653" s="10"/>
      <c r="BQ653" s="10"/>
      <c r="BR653" s="10"/>
      <c r="BS653" s="82">
        <f t="shared" ref="BS653:CZ653" ca="1" si="7934">BS651/BS652</f>
        <v>19.183291608516775</v>
      </c>
      <c r="BT653" s="82">
        <f t="shared" ca="1" si="7934"/>
        <v>16.82924449999204</v>
      </c>
      <c r="BU653" s="82">
        <f t="shared" ca="1" si="7934"/>
        <v>17.564975963002517</v>
      </c>
      <c r="BV653" s="82">
        <f t="shared" ca="1" si="7934"/>
        <v>17.704488783350243</v>
      </c>
      <c r="BW653" s="82">
        <f t="shared" ca="1" si="7934"/>
        <v>18.502983370976793</v>
      </c>
      <c r="BX653" s="82">
        <f t="shared" ca="1" si="7934"/>
        <v>19.304918257821136</v>
      </c>
      <c r="BY653" s="82">
        <f t="shared" ca="1" si="7934"/>
        <v>20.215648638825908</v>
      </c>
      <c r="BZ653" s="82">
        <f t="shared" ca="1" si="7934"/>
        <v>21.147198513590013</v>
      </c>
      <c r="CA653" s="82">
        <f t="shared" ca="1" si="7934"/>
        <v>22.648231733296019</v>
      </c>
      <c r="CB653" s="82">
        <f t="shared" ca="1" si="7934"/>
        <v>23.869480348801005</v>
      </c>
      <c r="CC653" s="82">
        <f t="shared" ca="1" si="7934"/>
        <v>24.857299903589091</v>
      </c>
      <c r="CD653" s="82">
        <f t="shared" ca="1" si="7934"/>
        <v>25.7786951925533</v>
      </c>
      <c r="CE653" s="82">
        <f t="shared" ca="1" si="7934"/>
        <v>24.368344953235326</v>
      </c>
      <c r="CF653" s="82">
        <f t="shared" ca="1" si="7934"/>
        <v>25.161604590317417</v>
      </c>
      <c r="CG653" s="82">
        <f t="shared" ca="1" si="7934"/>
        <v>25.884963701948383</v>
      </c>
      <c r="CH653" s="82">
        <f t="shared" ca="1" si="7934"/>
        <v>26.54281820692167</v>
      </c>
      <c r="CI653" s="82">
        <f t="shared" ca="1" si="7934"/>
        <v>26.644996149602413</v>
      </c>
      <c r="CJ653" s="82">
        <f t="shared" ca="1" si="7934"/>
        <v>25.140163088613154</v>
      </c>
      <c r="CK653" s="82">
        <f t="shared" ca="1" si="7934"/>
        <v>25.60670465244921</v>
      </c>
      <c r="CL653" s="82">
        <f t="shared" ca="1" si="7934"/>
        <v>26.069788406944223</v>
      </c>
      <c r="CM653" s="82">
        <f t="shared" ca="1" si="7934"/>
        <v>26.409723386591708</v>
      </c>
      <c r="CN653" s="82">
        <f t="shared" ca="1" si="7934"/>
        <v>27.909566721041813</v>
      </c>
      <c r="CO653" s="82">
        <f t="shared" ca="1" si="7934"/>
        <v>28.351232647740023</v>
      </c>
      <c r="CP653" s="82">
        <f t="shared" ca="1" si="7934"/>
        <v>27.678859244886034</v>
      </c>
      <c r="CQ653" s="82">
        <f t="shared" ca="1" si="7934"/>
        <v>27.973579401064729</v>
      </c>
      <c r="CR653" s="82">
        <f t="shared" ca="1" si="7934"/>
        <v>28.596196284101445</v>
      </c>
      <c r="CS653" s="82">
        <f t="shared" ca="1" si="7934"/>
        <v>29.250582385363259</v>
      </c>
      <c r="CT653" s="82">
        <f t="shared" ca="1" si="7934"/>
        <v>30.078015588703394</v>
      </c>
      <c r="CU653" s="82">
        <f t="shared" ca="1" si="7934"/>
        <v>31.509227642516105</v>
      </c>
      <c r="CV653" s="82">
        <f t="shared" ca="1" si="7934"/>
        <v>33.127364277771605</v>
      </c>
      <c r="CW653" s="82">
        <f t="shared" ca="1" si="7934"/>
        <v>32.538075787742187</v>
      </c>
      <c r="CX653" s="82">
        <f t="shared" ca="1" si="7934"/>
        <v>33.616772126687465</v>
      </c>
      <c r="CY653" s="82">
        <f t="shared" ca="1" si="7934"/>
        <v>34.752464831658337</v>
      </c>
      <c r="CZ653" s="223">
        <f t="shared" ca="1" si="7934"/>
        <v>35.987954404792042</v>
      </c>
      <c r="DA653" s="82">
        <f t="shared" ref="DA653:DB653" ca="1" si="7935">DA651/DA652</f>
        <v>37.259982607077717</v>
      </c>
      <c r="DB653" s="82">
        <f t="shared" ca="1" si="7935"/>
        <v>38.550405648302558</v>
      </c>
      <c r="DC653" s="82">
        <f t="shared" ref="DC653:DH653" ca="1" si="7936">DC651/DC652</f>
        <v>39.887280326672979</v>
      </c>
      <c r="DD653" s="82">
        <f t="shared" ca="1" si="7936"/>
        <v>41.217015636217297</v>
      </c>
      <c r="DE653" s="82">
        <f t="shared" ca="1" si="7936"/>
        <v>42.625381074749292</v>
      </c>
      <c r="DF653" s="82">
        <f t="shared" ca="1" si="7936"/>
        <v>44.068916133626239</v>
      </c>
      <c r="DG653" s="82">
        <f t="shared" ca="1" si="7936"/>
        <v>45.550856417919846</v>
      </c>
      <c r="DH653" s="82">
        <f t="shared" ca="1" si="7936"/>
        <v>47.07473520836848</v>
      </c>
      <c r="DI653" s="82">
        <f ca="1">DI651/DI652</f>
        <v>48.644410847538389</v>
      </c>
    </row>
    <row r="654" spans="1:113" ht="12" outlineLevel="1">
      <c r="AY654" s="200"/>
      <c r="CZ654" s="200"/>
      <c r="DB654" s="15"/>
      <c r="DC654" s="15"/>
      <c r="DD654" s="15"/>
      <c r="DE654" s="15"/>
      <c r="DF654" s="15"/>
      <c r="DG654" s="15"/>
      <c r="DH654" s="15"/>
      <c r="DI654" s="15"/>
    </row>
    <row r="655" spans="1:113" s="4" customFormat="1" ht="12.95" customHeight="1" outlineLevel="1">
      <c r="A655" s="1"/>
      <c r="B655" s="5" t="s">
        <v>443</v>
      </c>
      <c r="C655" s="389"/>
      <c r="D655" s="389"/>
      <c r="E655" s="389"/>
      <c r="F655" s="389"/>
      <c r="G655" s="389"/>
      <c r="H655" s="389"/>
      <c r="I655" s="389"/>
      <c r="J655" s="389"/>
      <c r="K655" s="389"/>
      <c r="L655" s="389"/>
      <c r="M655" s="75"/>
      <c r="N655" s="75"/>
      <c r="O655" s="75"/>
      <c r="P655" s="75"/>
      <c r="Q655" s="75"/>
      <c r="R655" s="75"/>
      <c r="S655" s="75"/>
      <c r="T655" s="78"/>
      <c r="U655" s="75"/>
      <c r="V655" s="75"/>
      <c r="W655" s="75"/>
      <c r="X655" s="75"/>
      <c r="Y655" s="78"/>
      <c r="Z655" s="78"/>
      <c r="AA655" s="78"/>
      <c r="AB655" s="78"/>
      <c r="AC655" s="78"/>
      <c r="AD655" s="78"/>
      <c r="AE655" s="78"/>
      <c r="AF655" s="78"/>
      <c r="AG655" s="78"/>
      <c r="AH655" s="78"/>
      <c r="AI655" s="78"/>
      <c r="AJ655" s="78"/>
      <c r="AK655" s="78"/>
      <c r="AL655" s="78"/>
      <c r="AM655" s="78"/>
      <c r="AN655" s="78"/>
      <c r="AO655" s="78"/>
      <c r="AP655" s="78"/>
      <c r="AQ655" s="78"/>
      <c r="AR655" s="78"/>
      <c r="AS655" s="78"/>
      <c r="AT655" s="78"/>
      <c r="AU655" s="78"/>
      <c r="AV655" s="78"/>
      <c r="AW655" s="78"/>
      <c r="AX655" s="78"/>
      <c r="AY655" s="76"/>
      <c r="AZ655" s="75"/>
      <c r="BA655" s="75"/>
      <c r="BB655" s="75"/>
      <c r="BC655" s="75"/>
      <c r="BD655" s="75"/>
      <c r="BE655" s="75"/>
      <c r="BF655" s="75"/>
      <c r="BG655" s="75"/>
      <c r="BH655" s="75"/>
      <c r="BI655" s="75"/>
      <c r="BJ655" s="75"/>
      <c r="BK655" s="75"/>
      <c r="BL655" s="75"/>
      <c r="BM655" s="75"/>
      <c r="BN655" s="75"/>
      <c r="BO655" s="75"/>
      <c r="BP655" s="75"/>
      <c r="BQ655" s="75"/>
      <c r="BR655" s="77"/>
      <c r="BS655" s="389"/>
      <c r="BT655" s="389" t="str">
        <f ca="1">IF(ISNA(BT651),"Ok",IF(ROUND((BT651+BT637)/BS651-1,5)&lt;&gt;Summary!$G$8,"Error","Ok"))</f>
        <v>Ok</v>
      </c>
      <c r="BU655" s="389" t="str">
        <f ca="1">IF(ISNA(BU651),"Ok",IF(ROUND((BU651+BU637)/BT651-1,5)&lt;&gt;Summary!$G$8,"Error","Ok"))</f>
        <v>Ok</v>
      </c>
      <c r="BV655" s="389" t="str">
        <f ca="1">IF(ISNA(BV651),"Ok",IF(ROUND((BV651+BV637)/BU651-1,5)&lt;&gt;Summary!$G$8,"Error","Ok"))</f>
        <v>Ok</v>
      </c>
      <c r="BW655" s="389" t="str">
        <f ca="1">IF(ISNA(BW651),"Ok",IF(ROUND((BW651+BW637)/BV651-1,5)&lt;&gt;Summary!$G$8,"Error","Ok"))</f>
        <v>Ok</v>
      </c>
      <c r="BX655" s="389" t="str">
        <f ca="1">IF(ISNA(BX651),"Ok",IF(ROUND((BX651+BX637)/BW651-1,5)&lt;&gt;Summary!$G$8,"Error","Ok"))</f>
        <v>Ok</v>
      </c>
      <c r="BY655" s="389" t="str">
        <f ca="1">IF(ISNA(BY651),"Ok",IF(ROUND((BY651+BY637)/BX651-1,5)&lt;&gt;Summary!$G$8,"Error","Ok"))</f>
        <v>Ok</v>
      </c>
      <c r="BZ655" s="389" t="str">
        <f ca="1">IF(ISNA(BZ651),"Ok",IF(ROUND((BZ651+BZ637)/BY651-1,5)&lt;&gt;Summary!$G$8,"Error","Ok"))</f>
        <v>Ok</v>
      </c>
      <c r="CA655" s="389" t="str">
        <f ca="1">IF(ISNA(CA651),"Ok",IF(ROUND((CA651+CA637)/BZ651-1,5)&lt;&gt;Summary!$G$8,"Error","Ok"))</f>
        <v>Ok</v>
      </c>
      <c r="CB655" s="389" t="str">
        <f ca="1">IF(ISNA(CB651),"Ok",IF(ROUND((CB651+CB637)/CA651-1,5)&lt;&gt;Summary!$G$8,"Error","Ok"))</f>
        <v>Ok</v>
      </c>
      <c r="CC655" s="75" t="str">
        <f ca="1">IF(ISNA(CC651),"Ok",IF(ROUND((CC651+CC637)/CB651-1,5)&lt;&gt;Summary!$G$8,"Error","Ok"))</f>
        <v>Ok</v>
      </c>
      <c r="CD655" s="75" t="str">
        <f ca="1">IF(ISNA(CD651),"Ok",IF(ROUND((CD651+CD637)/CC651-1,5)&lt;&gt;Summary!$G$8,"Error","Ok"))</f>
        <v>Ok</v>
      </c>
      <c r="CE655" s="75" t="str">
        <f ca="1">IF(ISNA(CE651),"Ok",IF(ROUND((CE651+CE637)/CD651-1,5)&lt;&gt;Summary!$G$8,"Error","Ok"))</f>
        <v>Ok</v>
      </c>
      <c r="CF655" s="75" t="str">
        <f ca="1">IF(ISNA(CF651),"Ok",IF(ROUND((CF651+CF637)/CE651-1,5)&lt;&gt;Summary!$G$8,"Error","Ok"))</f>
        <v>Ok</v>
      </c>
      <c r="CG655" s="75" t="str">
        <f ca="1">IF(ISNA(CG651),"Ok",IF(ROUND((CG651+CG637)/CF651-1,5)&lt;&gt;Summary!$G$8,"Error","Ok"))</f>
        <v>Ok</v>
      </c>
      <c r="CH655" s="75" t="str">
        <f ca="1">IF(ISNA(CH651),"Ok",IF(ROUND((CH651+CH637)/CG651-1,5)&lt;&gt;Summary!$G$8,"Error","Ok"))</f>
        <v>Ok</v>
      </c>
      <c r="CI655" s="75" t="str">
        <f ca="1">IF(ISNA(CI651),"Ok",IF(ROUND((CI651+CI637)/CH651-1,5)&lt;&gt;Summary!$G$8,"Error","Ok"))</f>
        <v>Ok</v>
      </c>
      <c r="CJ655" s="75" t="str">
        <f ca="1">IF(ISNA(CJ651),"Ok",IF(ROUND((CJ651+CJ637)/CI651-1,5)&lt;&gt;Summary!$G$8,"Error","Ok"))</f>
        <v>Ok</v>
      </c>
      <c r="CK655" s="75" t="str">
        <f ca="1">IF(ISNA(CK651),"Ok",IF(ROUND((CK651+CK637)/CJ651-1,5)&lt;&gt;Summary!$G$8,"Error","Ok"))</f>
        <v>Ok</v>
      </c>
      <c r="CL655" s="75" t="str">
        <f ca="1">IF(ISNA(CL651),"Ok",IF(ROUND((CL651+CL637)/CK651-1,5)&lt;&gt;Summary!$G$8,"Error","Ok"))</f>
        <v>Ok</v>
      </c>
      <c r="CM655" s="78" t="str">
        <f ca="1">IF(ISNA(CM651),"Ok",IF(ROUND((CM651+CM637)/CL651-1,5)&lt;&gt;Summary!$G$8,"Error","Ok"))</f>
        <v>Ok</v>
      </c>
      <c r="CN655" s="78" t="str">
        <f ca="1">IF(ISNA(CN651),"Ok",IF(ROUND((CN651+CN637)/CM651-1,5)&lt;&gt;Summary!$G$8,"Error","Ok"))</f>
        <v>Ok</v>
      </c>
      <c r="CO655" s="78" t="str">
        <f ca="1">IF(ISNA(CO651),"Ok",IF(ROUND((CO651+CO637)/CN651-1,5)&lt;&gt;Summary!$G$8,"Error","Ok"))</f>
        <v>Ok</v>
      </c>
      <c r="CP655" s="78" t="str">
        <f ca="1">IF(ISNA(CP651),"Ok",IF(ROUND((CP651+CP637)/CO651-1,5)&lt;&gt;Summary!$G$8,"Error","Ok"))</f>
        <v>Ok</v>
      </c>
      <c r="CQ655" s="78" t="str">
        <f ca="1">IF(ISNA(CQ651),"Ok",IF(ROUND((CQ651+CQ637)/CP651-1,5)&lt;&gt;Summary!$G$8,"Error","Ok"))</f>
        <v>Ok</v>
      </c>
      <c r="CR655" s="78" t="str">
        <f ca="1">IF(ISNA(CR651),"Ok",IF(ROUND((CR651+CR637)/CQ651-1,5)&lt;&gt;Summary!$G$8,"Error","Ok"))</f>
        <v>Ok</v>
      </c>
      <c r="CS655" s="78" t="str">
        <f ca="1">IF(ISNA(CS651),"Ok",IF(ROUND((CS651+CS637)/CR651-1,5)&lt;&gt;Summary!$G$8,"Error","Ok"))</f>
        <v>Ok</v>
      </c>
      <c r="CT655" s="78" t="str">
        <f ca="1">IF(ISNA(CT651),"Ok",IF(ROUND((CT651+CT637)/CS651-1,5)&lt;&gt;Summary!$G$8,"Error","Ok"))</f>
        <v>Ok</v>
      </c>
      <c r="CU655" s="78" t="str">
        <f ca="1">IF(ISNA(CU651),"Ok",IF(ROUND((CU651+CU637)/CT651-1,5)&lt;&gt;Summary!$G$8,"Error","Ok"))</f>
        <v>Ok</v>
      </c>
      <c r="CV655" s="78" t="str">
        <f ca="1">IF(ISNA(CV651),"Ok",IF(ROUND((CV651+CV637)/CU651-1,5)&lt;&gt;Summary!$G$8,"Error","Ok"))</f>
        <v>Ok</v>
      </c>
      <c r="CW655" s="78" t="str">
        <f ca="1">IF(ISNA(CW651),"Ok",IF(ROUND((CW651+CW637)/CV651-1,5)&lt;&gt;Summary!$G$8,"Error","Ok"))</f>
        <v>Ok</v>
      </c>
      <c r="CX655" s="78" t="str">
        <f ca="1">IF(ISNA(CX651),"Ok",IF(ROUND((CX651+CX637)/CW651-1,5)&lt;&gt;Summary!$G$8,"Error","Ok"))</f>
        <v>Ok</v>
      </c>
      <c r="CY655" s="78" t="str">
        <f ca="1">IF(ISNA(CY651),"Ok",IF(ROUND((CY651+CY637)/CX651-1,5)&lt;&gt;Summary!$G$8,"Error","Ok"))</f>
        <v>Ok</v>
      </c>
      <c r="CZ655" s="76" t="str">
        <f ca="1">IF(ISNA(CZ651),"Ok",IF(ROUND((CZ651+CZ637)/CY651-1,5)&lt;&gt;Summary!$G$8,"Error","Ok"))</f>
        <v>Ok</v>
      </c>
      <c r="DA655" s="75" t="str">
        <f ca="1">IF(ISNA(DA651),"Ok",IF(ROUND((DA651+DA637)/CZ651-1,5)&lt;&gt;Summary!$G$8,"Error","Ok"))</f>
        <v>Ok</v>
      </c>
      <c r="DB655" s="75" t="str">
        <f ca="1">IF(ISNA(DB651),"Ok",IF(ROUND((DB651+DB637)/DA651-1,5)&lt;&gt;Summary!$G$8,"Error","Ok"))</f>
        <v>Ok</v>
      </c>
      <c r="DC655" s="75" t="str">
        <f ca="1">IF(ISNA(DC651),"Ok",IF(ROUND((DC651+DC637)/DB651-1,5)&lt;&gt;Summary!$G$8,"Error","Ok"))</f>
        <v>Ok</v>
      </c>
      <c r="DD655" s="75" t="str">
        <f ca="1">IF(ISNA(DD651),"Ok",IF(ROUND((DD651+DD637)/DC651-1,5)&lt;&gt;Summary!$G$8,"Error","Ok"))</f>
        <v>Ok</v>
      </c>
      <c r="DE655" s="75" t="str">
        <f ca="1">IF(ISNA(DE651),"Ok",IF(ROUND((DE651+DE637)/DD651-1,5)&lt;&gt;Summary!$G$8,"Error","Ok"))</f>
        <v>Ok</v>
      </c>
      <c r="DF655" s="75" t="str">
        <f ca="1">IF(ISNA(DF651),"Ok",IF(ROUND((DF651+DF637)/DE651-1,5)&lt;&gt;Summary!$G$8,"Error","Ok"))</f>
        <v>Ok</v>
      </c>
      <c r="DG655" s="75" t="str">
        <f ca="1">IF(ISNA(DG651),"Ok",IF(ROUND((DG651+DG637)/DF651-1,5)&lt;&gt;Summary!$G$8,"Error","Ok"))</f>
        <v>Ok</v>
      </c>
      <c r="DH655" s="75" t="str">
        <f ca="1">IF(ISNA(DH651),"Ok",IF(ROUND((DH651+DH637)/DG651-1,5)&lt;&gt;Summary!$G$8,"Error","Ok"))</f>
        <v>Ok</v>
      </c>
      <c r="DI655" s="75" t="str">
        <f ca="1">IF(ISNA(DI651),"Ok",IF(ROUND((DI651+DI637)/DH651-1,5)&lt;&gt;Summary!$G$8,"Error","Ok"))</f>
        <v>Ok</v>
      </c>
    </row>
    <row r="656" spans="1:113" ht="12">
      <c r="AY656" s="200"/>
      <c r="CZ656" s="200"/>
      <c r="DB656" s="15"/>
      <c r="DC656" s="15"/>
      <c r="DD656" s="15"/>
      <c r="DE656" s="15"/>
      <c r="DF656" s="15"/>
      <c r="DG656" s="15"/>
      <c r="DH656" s="15"/>
      <c r="DI656" s="15"/>
    </row>
    <row r="657" spans="1:113" s="26" customFormat="1" ht="12" collapsed="1">
      <c r="A657" s="1" t="s">
        <v>759</v>
      </c>
      <c r="B657" s="2" t="s">
        <v>448</v>
      </c>
      <c r="C657" s="60"/>
      <c r="D657" s="60"/>
      <c r="E657" s="60"/>
      <c r="F657" s="60"/>
      <c r="G657" s="60"/>
      <c r="H657" s="60"/>
      <c r="I657" s="60"/>
      <c r="J657" s="60"/>
      <c r="K657" s="60"/>
      <c r="L657" s="60"/>
      <c r="M657" s="60"/>
      <c r="N657" s="60"/>
      <c r="O657" s="60"/>
      <c r="P657" s="60"/>
      <c r="Q657" s="60"/>
      <c r="R657" s="60"/>
      <c r="S657" s="60"/>
      <c r="T657" s="60"/>
      <c r="U657" s="60"/>
      <c r="V657" s="60"/>
      <c r="W657" s="60"/>
      <c r="X657" s="60"/>
      <c r="Y657" s="60"/>
      <c r="Z657" s="60"/>
      <c r="AA657" s="60"/>
      <c r="AB657" s="60"/>
      <c r="AC657" s="60"/>
      <c r="AD657" s="60"/>
      <c r="AE657" s="60"/>
      <c r="AF657" s="60"/>
      <c r="AG657" s="60"/>
      <c r="AH657" s="60"/>
      <c r="AI657" s="60"/>
      <c r="AJ657" s="60"/>
      <c r="AK657" s="60"/>
      <c r="AL657" s="60"/>
      <c r="AM657" s="60"/>
      <c r="AN657" s="60"/>
      <c r="AO657" s="60"/>
      <c r="AP657" s="60"/>
      <c r="AQ657" s="60"/>
      <c r="AR657" s="60"/>
      <c r="AS657" s="60"/>
      <c r="AT657" s="60"/>
      <c r="AU657" s="60"/>
      <c r="AV657" s="60"/>
      <c r="AW657" s="60"/>
      <c r="AX657" s="60"/>
      <c r="AY657" s="219"/>
      <c r="AZ657" s="60"/>
      <c r="BA657" s="60"/>
      <c r="BB657" s="60"/>
      <c r="BC657" s="60"/>
      <c r="BD657" s="60"/>
      <c r="BE657" s="60"/>
      <c r="BF657" s="60"/>
      <c r="BG657" s="60"/>
      <c r="BH657" s="60"/>
      <c r="BI657" s="60"/>
      <c r="BJ657" s="60"/>
      <c r="BK657" s="60"/>
      <c r="BL657" s="60"/>
      <c r="BM657" s="60"/>
      <c r="BN657" s="60"/>
      <c r="BO657" s="60"/>
      <c r="BP657" s="60"/>
      <c r="BQ657" s="60"/>
      <c r="BR657" s="60"/>
      <c r="BS657" s="60"/>
      <c r="BT657" s="60"/>
      <c r="BU657" s="60"/>
      <c r="BV657" s="60"/>
      <c r="BW657" s="60"/>
      <c r="BX657" s="60"/>
      <c r="BY657" s="60"/>
      <c r="BZ657" s="60"/>
      <c r="CA657" s="60"/>
      <c r="CB657" s="60"/>
      <c r="CC657" s="60"/>
      <c r="CD657" s="60"/>
      <c r="CE657" s="60"/>
      <c r="CF657" s="60"/>
      <c r="CG657" s="60"/>
      <c r="CH657" s="60"/>
      <c r="CI657" s="60"/>
      <c r="CJ657" s="60"/>
      <c r="CK657" s="60"/>
      <c r="CL657" s="60"/>
      <c r="CM657" s="60"/>
      <c r="CN657" s="60"/>
      <c r="CO657" s="60"/>
      <c r="CP657" s="60"/>
      <c r="CQ657" s="60"/>
      <c r="CR657" s="60"/>
      <c r="CS657" s="60"/>
      <c r="CT657" s="60"/>
      <c r="CU657" s="60"/>
      <c r="CV657" s="60"/>
      <c r="CW657" s="60"/>
      <c r="CX657" s="60"/>
      <c r="CY657" s="60"/>
      <c r="CZ657" s="219"/>
      <c r="DA657" s="60"/>
      <c r="DB657" s="60"/>
      <c r="DC657" s="60"/>
      <c r="DD657" s="60"/>
      <c r="DE657" s="60"/>
      <c r="DF657" s="60"/>
      <c r="DG657" s="60"/>
      <c r="DH657" s="60"/>
      <c r="DI657" s="60"/>
    </row>
    <row r="658" spans="1:113" ht="12" outlineLevel="1">
      <c r="U658" s="83"/>
      <c r="Y658" s="41"/>
      <c r="AY658" s="200"/>
      <c r="CZ658" s="200"/>
      <c r="DB658" s="16"/>
      <c r="DC658" s="16"/>
      <c r="DD658" s="16"/>
      <c r="DE658" s="16"/>
      <c r="DF658" s="16"/>
      <c r="DG658" s="16"/>
      <c r="DH658" s="16"/>
      <c r="DI658" s="16"/>
    </row>
    <row r="659" spans="1:113" s="17" customFormat="1" ht="12" outlineLevel="1">
      <c r="A659" s="1"/>
      <c r="B659" s="17" t="s">
        <v>449</v>
      </c>
      <c r="C659" s="10"/>
      <c r="D659" s="10"/>
      <c r="E659" s="10"/>
      <c r="F659" s="10"/>
      <c r="G659" s="10"/>
      <c r="H659" s="10"/>
      <c r="I659" s="10"/>
      <c r="J659" s="10"/>
      <c r="K659" s="10"/>
      <c r="L659" s="10"/>
      <c r="M659" s="10"/>
      <c r="N659" s="10"/>
      <c r="O659" s="10"/>
      <c r="P659" s="10"/>
      <c r="Q659" s="10"/>
      <c r="R659" s="10"/>
      <c r="S659" s="10"/>
      <c r="T659" s="10"/>
      <c r="U659" s="83"/>
      <c r="V659" s="10"/>
      <c r="W659" s="10"/>
      <c r="X659" s="62"/>
      <c r="Y659" s="62"/>
      <c r="Z659" s="10"/>
      <c r="AA659" s="10"/>
      <c r="AB659" s="10"/>
      <c r="AC659" s="411"/>
      <c r="AD659" s="10"/>
      <c r="AE659" s="10"/>
      <c r="AF659" s="10"/>
      <c r="AG659" s="10"/>
      <c r="AH659" s="10"/>
      <c r="AI659" s="10"/>
      <c r="AJ659" s="10"/>
      <c r="AK659" s="10"/>
      <c r="AL659" s="10"/>
      <c r="AM659" s="10"/>
      <c r="AN659" s="10"/>
      <c r="AO659" s="10"/>
      <c r="AP659" s="10"/>
      <c r="AQ659" s="10"/>
      <c r="AR659" s="10"/>
      <c r="AS659" s="10"/>
      <c r="AT659" s="10"/>
      <c r="AU659" s="10"/>
      <c r="AV659" s="10"/>
      <c r="AW659" s="10"/>
      <c r="AX659" s="10"/>
      <c r="AY659" s="201"/>
      <c r="AZ659" s="10"/>
      <c r="BA659" s="10"/>
      <c r="BB659" s="10"/>
      <c r="BC659" s="10"/>
      <c r="BD659" s="10"/>
      <c r="BE659" s="10"/>
      <c r="BF659" s="10"/>
      <c r="BG659" s="10"/>
      <c r="BH659" s="10"/>
      <c r="BI659" s="10"/>
      <c r="BJ659" s="10"/>
      <c r="BK659" s="10"/>
      <c r="BL659" s="10"/>
      <c r="BM659" s="10"/>
      <c r="BN659" s="10"/>
      <c r="BO659" s="10"/>
      <c r="BP659" s="10"/>
      <c r="BQ659" s="10"/>
      <c r="BR659" s="10"/>
      <c r="BS659" s="10"/>
      <c r="BT659" s="10"/>
      <c r="BU659" s="10"/>
      <c r="BV659" s="10"/>
      <c r="BW659" s="10"/>
      <c r="BX659" s="10"/>
      <c r="BY659" s="10"/>
      <c r="BZ659" s="10"/>
      <c r="CA659" s="10"/>
      <c r="CB659" s="10"/>
      <c r="CC659" s="10"/>
      <c r="CD659" s="10"/>
      <c r="CE659" s="10"/>
      <c r="CF659" s="10"/>
      <c r="CG659" s="10"/>
      <c r="CH659" s="10"/>
      <c r="CI659" s="10"/>
      <c r="CJ659" s="10"/>
      <c r="CK659" s="10"/>
      <c r="CL659" s="10"/>
      <c r="CM659" s="10"/>
      <c r="CN659" s="10"/>
      <c r="CO659" s="10"/>
      <c r="CP659" s="10"/>
      <c r="CQ659" s="10"/>
      <c r="CR659" s="10"/>
      <c r="CS659" s="10"/>
      <c r="CT659" s="10"/>
      <c r="CU659" s="10"/>
      <c r="CV659" s="10"/>
      <c r="CW659" s="10"/>
      <c r="CX659" s="10"/>
      <c r="CY659" s="10"/>
      <c r="CZ659" s="201"/>
      <c r="DA659" s="10"/>
      <c r="DB659" s="10"/>
      <c r="DC659" s="10"/>
      <c r="DD659" s="10"/>
      <c r="DE659" s="10"/>
      <c r="DF659" s="10"/>
      <c r="DG659" s="10"/>
      <c r="DH659" s="10"/>
      <c r="DI659" s="10"/>
    </row>
    <row r="660" spans="1:113" ht="12" outlineLevel="1">
      <c r="A660" s="1" t="s">
        <v>760</v>
      </c>
      <c r="B660" s="15" t="s">
        <v>496</v>
      </c>
      <c r="C660" s="40">
        <v>185493</v>
      </c>
      <c r="D660" s="40">
        <v>176589</v>
      </c>
      <c r="E660" s="40">
        <v>183105</v>
      </c>
      <c r="F660" s="40">
        <v>190518</v>
      </c>
      <c r="G660" s="40">
        <v>195591</v>
      </c>
      <c r="H660" s="40">
        <v>247288</v>
      </c>
      <c r="I660" s="40">
        <v>259345</v>
      </c>
      <c r="J660" s="40">
        <v>282784</v>
      </c>
      <c r="K660" s="40">
        <v>298104</v>
      </c>
      <c r="L660" s="40">
        <v>322181</v>
      </c>
      <c r="M660" s="40">
        <v>334640</v>
      </c>
      <c r="N660" s="40">
        <v>351849</v>
      </c>
      <c r="O660" s="40">
        <v>392773</v>
      </c>
      <c r="P660" s="40">
        <v>437759</v>
      </c>
      <c r="Q660" s="40">
        <v>470293</v>
      </c>
      <c r="R660" s="40">
        <v>502798</v>
      </c>
      <c r="S660" s="40">
        <v>476987</v>
      </c>
      <c r="T660" s="40">
        <v>506708</v>
      </c>
      <c r="U660" s="40">
        <v>531703</v>
      </c>
      <c r="V660" s="40">
        <v>537447</v>
      </c>
      <c r="W660" s="40">
        <v>604213</v>
      </c>
      <c r="X660" s="40">
        <v>612212</v>
      </c>
      <c r="Y660" s="40">
        <v>642127</v>
      </c>
      <c r="Z660" s="141">
        <v>672630</v>
      </c>
      <c r="AA660" s="141">
        <v>702995</v>
      </c>
      <c r="AB660" s="141">
        <v>737815</v>
      </c>
      <c r="AC660" s="141">
        <v>772092</v>
      </c>
      <c r="AD660" s="141">
        <v>860087</v>
      </c>
      <c r="AE660" s="141">
        <v>889900</v>
      </c>
      <c r="AF660" s="141">
        <v>895278</v>
      </c>
      <c r="AG660" s="141">
        <v>914869</v>
      </c>
      <c r="AH660" s="141">
        <v>896511</v>
      </c>
      <c r="AI660" s="141">
        <v>897326</v>
      </c>
      <c r="AJ660" s="141">
        <v>935670</v>
      </c>
      <c r="AK660" s="141">
        <v>943156</v>
      </c>
      <c r="AL660" s="141">
        <v>980270</v>
      </c>
      <c r="AM660" s="141">
        <v>981137</v>
      </c>
      <c r="AN660" s="141">
        <v>1149955</v>
      </c>
      <c r="AO660" s="141">
        <v>1042286</v>
      </c>
      <c r="AP660" s="141">
        <v>1018339</v>
      </c>
      <c r="AQ660" s="141">
        <v>978857</v>
      </c>
      <c r="AR660" s="141">
        <v>1017361</v>
      </c>
      <c r="AS660" s="141">
        <v>1085729</v>
      </c>
      <c r="AT660" s="141">
        <v>1111237</v>
      </c>
      <c r="AU660" s="141">
        <v>1105643</v>
      </c>
      <c r="AV660" s="141">
        <v>1089699</v>
      </c>
      <c r="AW660" s="141">
        <v>1229115</v>
      </c>
      <c r="AX660" s="141">
        <v>1302609</v>
      </c>
      <c r="AY660" s="226">
        <v>1297108</v>
      </c>
      <c r="AZ660" s="41">
        <f t="shared" ref="AZ660" si="7937">AY660*AZ181/AY181</f>
        <v>1324142.3592298424</v>
      </c>
      <c r="BA660" s="41">
        <f t="shared" ref="BA660" si="7938">AZ660*BA181/AZ181</f>
        <v>1343130.7166743665</v>
      </c>
      <c r="BB660" s="41">
        <f t="shared" ref="BB660" si="7939">BA660*BB181/BA181</f>
        <v>1362965.4179303069</v>
      </c>
      <c r="BC660" s="41">
        <f t="shared" ref="BC660" si="7940">BB660*BC181/BB181</f>
        <v>1388385.5506818355</v>
      </c>
      <c r="BD660" s="41">
        <f t="shared" ref="BD660" si="7941">BC660*BD181/BC181</f>
        <v>1413283.600421919</v>
      </c>
      <c r="BE660" s="41">
        <f t="shared" ref="BE660" si="7942">BD660*BE181/BD181</f>
        <v>1438952.5483422258</v>
      </c>
      <c r="BF660" s="41">
        <f t="shared" ref="BF660" si="7943">BE660*BF181/BE181</f>
        <v>1463107.1026642134</v>
      </c>
      <c r="BG660" s="41">
        <f t="shared" ref="BG660:BK660" si="7944">BF660*BG181/BF181</f>
        <v>1486734.2153902354</v>
      </c>
      <c r="BH660" s="41">
        <f t="shared" si="7944"/>
        <v>1515067.6840348432</v>
      </c>
      <c r="BI660" s="41">
        <f t="shared" si="7944"/>
        <v>1542173.0033213652</v>
      </c>
      <c r="BJ660" s="41">
        <f t="shared" si="7944"/>
        <v>1571952.1638961802</v>
      </c>
      <c r="BK660" s="41">
        <f t="shared" si="7944"/>
        <v>1601384.9501228919</v>
      </c>
      <c r="BL660" s="41">
        <f t="shared" ref="BL660" si="7945">BK660*BL181/BK181</f>
        <v>1631412.7072196519</v>
      </c>
      <c r="BM660" s="41">
        <f t="shared" ref="BM660" si="7946">BL660*BM181/BL181</f>
        <v>1662047.312802271</v>
      </c>
      <c r="BN660" s="41">
        <f t="shared" ref="BN660" si="7947">BM660*BN181/BM181</f>
        <v>1694955.2155095674</v>
      </c>
      <c r="BO660" s="41">
        <f t="shared" ref="BO660" si="7948">BN660*BO181/BN181</f>
        <v>1728519.2596309471</v>
      </c>
      <c r="BP660" s="41">
        <f t="shared" ref="BP660" si="7949">BO660*BP181/BO181</f>
        <v>1764129.5263356126</v>
      </c>
      <c r="BQ660" s="41">
        <f t="shared" ref="BQ660" si="7950">BP660*BQ181/BP181</f>
        <v>1800505.1106950596</v>
      </c>
      <c r="BR660" s="41"/>
      <c r="BS660" s="40">
        <v>101138</v>
      </c>
      <c r="BT660" s="40">
        <v>103045</v>
      </c>
      <c r="BU660" s="40">
        <v>103874</v>
      </c>
      <c r="BV660" s="40">
        <v>112587</v>
      </c>
      <c r="BW660" s="40">
        <v>127604</v>
      </c>
      <c r="BX660" s="40">
        <v>138241</v>
      </c>
      <c r="BY660" s="40">
        <v>153215</v>
      </c>
      <c r="BZ660" s="40">
        <v>152801</v>
      </c>
      <c r="CA660" s="40">
        <v>172467</v>
      </c>
      <c r="CB660" s="40">
        <v>185493</v>
      </c>
      <c r="CC660" s="41">
        <f>E660</f>
        <v>183105</v>
      </c>
      <c r="CD660" s="41">
        <f>G660</f>
        <v>195591</v>
      </c>
      <c r="CE660" s="41">
        <f>I660</f>
        <v>259345</v>
      </c>
      <c r="CF660" s="41">
        <f>K660</f>
        <v>298104</v>
      </c>
      <c r="CG660" s="41">
        <f>M660</f>
        <v>334640</v>
      </c>
      <c r="CH660" s="41">
        <f>O660</f>
        <v>392773</v>
      </c>
      <c r="CI660" s="41">
        <f>Q660</f>
        <v>470293</v>
      </c>
      <c r="CJ660" s="41">
        <f>S660</f>
        <v>476987</v>
      </c>
      <c r="CK660" s="41">
        <f>U660</f>
        <v>531703</v>
      </c>
      <c r="CL660" s="41">
        <f>W660</f>
        <v>604213</v>
      </c>
      <c r="CM660" s="41">
        <f>Y660</f>
        <v>642127</v>
      </c>
      <c r="CN660" s="41">
        <f>AA660</f>
        <v>702995</v>
      </c>
      <c r="CO660" s="41">
        <f>AC660</f>
        <v>772092</v>
      </c>
      <c r="CP660" s="41">
        <f>AE660</f>
        <v>889900</v>
      </c>
      <c r="CQ660" s="41">
        <f>AG660</f>
        <v>914869</v>
      </c>
      <c r="CR660" s="41">
        <f>AI660</f>
        <v>897326</v>
      </c>
      <c r="CS660" s="41">
        <f>AK660</f>
        <v>943156</v>
      </c>
      <c r="CT660" s="41">
        <f>AM660</f>
        <v>981137</v>
      </c>
      <c r="CU660" s="41">
        <f>AO660</f>
        <v>1042286</v>
      </c>
      <c r="CV660" s="41">
        <f>AQ660</f>
        <v>978857</v>
      </c>
      <c r="CW660" s="41">
        <f>AS660</f>
        <v>1085729</v>
      </c>
      <c r="CX660" s="41">
        <f>AU660</f>
        <v>1105643</v>
      </c>
      <c r="CY660" s="41">
        <f t="shared" ref="CY660:CY682" si="7951">AW660</f>
        <v>1229115</v>
      </c>
      <c r="CZ660" s="211">
        <f>AY660</f>
        <v>1297108</v>
      </c>
      <c r="DA660" s="41">
        <f>BA660</f>
        <v>1343130.7166743665</v>
      </c>
      <c r="DB660" s="41">
        <f t="shared" ref="DB660:DB682" si="7952">BC660</f>
        <v>1388385.5506818355</v>
      </c>
      <c r="DC660" s="41">
        <f t="shared" ref="DC660:DC682" si="7953">BE660</f>
        <v>1438952.5483422258</v>
      </c>
      <c r="DD660" s="41">
        <f t="shared" ref="DD660:DD682" si="7954">BG660</f>
        <v>1486734.2153902354</v>
      </c>
      <c r="DE660" s="41">
        <f t="shared" ref="DE660:DE682" si="7955">BI660</f>
        <v>1542173.0033213652</v>
      </c>
      <c r="DF660" s="41">
        <f t="shared" ref="DF660:DF682" si="7956">BK660</f>
        <v>1601384.9501228919</v>
      </c>
      <c r="DG660" s="41">
        <f t="shared" ref="DG660:DG682" si="7957">BM660</f>
        <v>1662047.312802271</v>
      </c>
      <c r="DH660" s="41">
        <f t="shared" ref="DH660:DH682" si="7958">BO660</f>
        <v>1728519.2596309471</v>
      </c>
      <c r="DI660" s="41">
        <f t="shared" ref="DI660:DI682" si="7959">BQ660</f>
        <v>1800505.1106950596</v>
      </c>
    </row>
    <row r="661" spans="1:113" ht="12" outlineLevel="1">
      <c r="A661" s="1" t="s">
        <v>761</v>
      </c>
      <c r="B661" s="15" t="s">
        <v>497</v>
      </c>
      <c r="C661" s="40">
        <f>C538-8875</f>
        <v>137</v>
      </c>
      <c r="D661" s="40">
        <v>188</v>
      </c>
      <c r="E661" s="40">
        <v>180</v>
      </c>
      <c r="F661" s="40">
        <v>171</v>
      </c>
      <c r="G661" s="40">
        <v>160</v>
      </c>
      <c r="H661" s="40">
        <f>3202</f>
        <v>3202</v>
      </c>
      <c r="I661" s="40">
        <f>3269</f>
        <v>3269</v>
      </c>
      <c r="J661" s="40">
        <f>3608-J106</f>
        <v>3207</v>
      </c>
      <c r="K661" s="40">
        <f>3454-K106</f>
        <v>3068</v>
      </c>
      <c r="L661" s="40">
        <f>3272-L106</f>
        <v>2882</v>
      </c>
      <c r="M661" s="40">
        <f>3337-M106</f>
        <v>2940</v>
      </c>
      <c r="N661" s="40">
        <f>3394-N106</f>
        <v>2969</v>
      </c>
      <c r="O661" s="40">
        <f>3677-O106</f>
        <v>3215</v>
      </c>
      <c r="P661" s="40">
        <f>3716-P106</f>
        <v>3207</v>
      </c>
      <c r="Q661" s="40">
        <f>3741-Q106</f>
        <v>3116</v>
      </c>
      <c r="R661" s="40">
        <f>3816-R106</f>
        <v>3093</v>
      </c>
      <c r="S661" s="40">
        <f>3896-S106</f>
        <v>3047</v>
      </c>
      <c r="T661" s="40">
        <f>6329-T106</f>
        <v>5295</v>
      </c>
      <c r="U661" s="40">
        <f>U538-26590-U106</f>
        <v>5413</v>
      </c>
      <c r="V661" s="40">
        <f>V538-27557-V106</f>
        <v>5283</v>
      </c>
      <c r="W661" s="40">
        <f>6964-W106</f>
        <v>5392</v>
      </c>
      <c r="X661" s="40">
        <f>7070-X106</f>
        <v>5327</v>
      </c>
      <c r="Y661" s="40">
        <f>7082-Y106</f>
        <v>5320</v>
      </c>
      <c r="Z661" s="141">
        <f>7142-Z106</f>
        <v>5285</v>
      </c>
      <c r="AA661" s="141">
        <f>7690-AA106</f>
        <v>5520</v>
      </c>
      <c r="AB661" s="141">
        <f>7969-AB106</f>
        <v>5637</v>
      </c>
      <c r="AC661" s="141">
        <f>7950-AC106</f>
        <v>5417</v>
      </c>
      <c r="AD661" s="141">
        <f>8384-AD106</f>
        <v>5695</v>
      </c>
      <c r="AE661" s="141">
        <f>8312-AE106</f>
        <v>5419</v>
      </c>
      <c r="AF661" s="141">
        <f>7585-AF106</f>
        <v>5336</v>
      </c>
      <c r="AG661" s="141">
        <f>7672-AG106</f>
        <v>5470</v>
      </c>
      <c r="AH661" s="141">
        <f>7053-AH106</f>
        <v>5136</v>
      </c>
      <c r="AI661" s="141">
        <f>6970-AI106</f>
        <v>5114</v>
      </c>
      <c r="AJ661" s="141">
        <f>5338-AJ106</f>
        <v>3563</v>
      </c>
      <c r="AK661" s="141">
        <f>4930-AK106</f>
        <v>3509</v>
      </c>
      <c r="AL661" s="141">
        <f>5017-AL106</f>
        <v>3649</v>
      </c>
      <c r="AM661" s="141">
        <f>4861-AM106</f>
        <v>3538</v>
      </c>
      <c r="AN661" s="141">
        <f>4957-AN106</f>
        <v>3694</v>
      </c>
      <c r="AO661" s="141">
        <f>4379-AO106</f>
        <v>3340</v>
      </c>
      <c r="AP661" s="141">
        <f>4024-AP106</f>
        <v>3063</v>
      </c>
      <c r="AQ661" s="141">
        <f>4124-AQ106</f>
        <v>3164</v>
      </c>
      <c r="AR661" s="141">
        <f>4068-AR106</f>
        <v>3144</v>
      </c>
      <c r="AS661" s="141">
        <f>3877-AS106</f>
        <v>2981</v>
      </c>
      <c r="AT661" s="141">
        <f>4037-AT106</f>
        <v>3160</v>
      </c>
      <c r="AU661" s="141">
        <f>4058-AU106</f>
        <v>3139</v>
      </c>
      <c r="AV661" s="141">
        <f>3998-AV106</f>
        <v>3093</v>
      </c>
      <c r="AW661" s="141">
        <f>5511-AW106</f>
        <v>4491</v>
      </c>
      <c r="AX661" s="141">
        <f>5865-AX106</f>
        <v>4864</v>
      </c>
      <c r="AY661" s="226">
        <f>5765-AY106</f>
        <v>4767</v>
      </c>
      <c r="AZ661" s="41">
        <f t="shared" ref="AZ661" si="7960">AY661-(AZ571-AY571)</f>
        <v>4767</v>
      </c>
      <c r="BA661" s="41">
        <f t="shared" ref="BA661" si="7961">AZ661-(BA571-AZ571)</f>
        <v>4767</v>
      </c>
      <c r="BB661" s="41">
        <f t="shared" ref="BB661" si="7962">BA661-(BB571-BA571)</f>
        <v>4767</v>
      </c>
      <c r="BC661" s="41">
        <f t="shared" ref="BC661" si="7963">BB661-(BC571-BB571)</f>
        <v>4767</v>
      </c>
      <c r="BD661" s="41">
        <f t="shared" ref="BD661" si="7964">BC661-(BD571-BC571)</f>
        <v>4767</v>
      </c>
      <c r="BE661" s="41">
        <f t="shared" ref="BE661" si="7965">BD661-(BE571-BD571)</f>
        <v>4767</v>
      </c>
      <c r="BF661" s="41">
        <f t="shared" ref="BF661" si="7966">BE661-(BF571-BE571)</f>
        <v>4767</v>
      </c>
      <c r="BG661" s="41">
        <f t="shared" ref="BG661:BK661" si="7967">BF661-(BG571-BF571)</f>
        <v>4767</v>
      </c>
      <c r="BH661" s="41">
        <f t="shared" si="7967"/>
        <v>4767</v>
      </c>
      <c r="BI661" s="41">
        <f t="shared" si="7967"/>
        <v>4767</v>
      </c>
      <c r="BJ661" s="41">
        <f t="shared" si="7967"/>
        <v>4767</v>
      </c>
      <c r="BK661" s="41">
        <f t="shared" si="7967"/>
        <v>4767</v>
      </c>
      <c r="BL661" s="41">
        <f t="shared" ref="BL661" si="7968">BK661-(BL571-BK571)</f>
        <v>4767</v>
      </c>
      <c r="BM661" s="41">
        <f t="shared" ref="BM661" si="7969">BL661-(BM571-BL571)</f>
        <v>4767</v>
      </c>
      <c r="BN661" s="41">
        <f t="shared" ref="BN661" si="7970">BM661-(BN571-BM571)</f>
        <v>4767</v>
      </c>
      <c r="BO661" s="41">
        <f t="shared" ref="BO661" si="7971">BN661-(BO571-BN571)</f>
        <v>4767</v>
      </c>
      <c r="BP661" s="41">
        <f t="shared" ref="BP661" si="7972">BO661-(BP571-BO571)</f>
        <v>4767</v>
      </c>
      <c r="BQ661" s="41">
        <f t="shared" ref="BQ661" si="7973">BP661-(BQ571-BP571)</f>
        <v>4767</v>
      </c>
      <c r="BR661" s="41"/>
      <c r="BS661" s="225">
        <f>BS538-3.4*BS543</f>
        <v>328.39959217245223</v>
      </c>
      <c r="BT661" s="225">
        <f>BT538-3.43*BT543</f>
        <v>-33.920391982145702</v>
      </c>
      <c r="BU661" s="225">
        <f>BU538-3.58*BU543</f>
        <v>-28.474591376150784</v>
      </c>
      <c r="BV661" s="225">
        <f>BV538-3.94*BV543</f>
        <v>-42.877770052193227</v>
      </c>
      <c r="BW661" s="225">
        <f>BW538-4.24*BW543</f>
        <v>-27.093556244116371</v>
      </c>
      <c r="BX661" s="225">
        <f>BX538-4.59*BX543</f>
        <v>-36.484056684602365</v>
      </c>
      <c r="BY661" s="225">
        <f>BY538-4.98*BY543</f>
        <v>-37.570564910704888</v>
      </c>
      <c r="BZ661" s="225">
        <f>BZ538-8149</f>
        <v>109</v>
      </c>
      <c r="CA661" s="40">
        <f>CA538-8276</f>
        <v>145</v>
      </c>
      <c r="CB661" s="40">
        <f>M661</f>
        <v>2940</v>
      </c>
      <c r="CC661" s="41">
        <f>E661</f>
        <v>180</v>
      </c>
      <c r="CD661" s="41">
        <f>G661</f>
        <v>160</v>
      </c>
      <c r="CE661" s="41">
        <f>I661</f>
        <v>3269</v>
      </c>
      <c r="CF661" s="41">
        <f>K661</f>
        <v>3068</v>
      </c>
      <c r="CG661" s="41">
        <f>M661</f>
        <v>2940</v>
      </c>
      <c r="CH661" s="41">
        <f>O661</f>
        <v>3215</v>
      </c>
      <c r="CI661" s="41">
        <f>Q661</f>
        <v>3116</v>
      </c>
      <c r="CJ661" s="41">
        <f>S661</f>
        <v>3047</v>
      </c>
      <c r="CK661" s="41">
        <f>U661</f>
        <v>5413</v>
      </c>
      <c r="CL661" s="41">
        <f>W661</f>
        <v>5392</v>
      </c>
      <c r="CM661" s="41">
        <f>Y661</f>
        <v>5320</v>
      </c>
      <c r="CN661" s="41">
        <f>AA661</f>
        <v>5520</v>
      </c>
      <c r="CO661" s="41">
        <f>AC661</f>
        <v>5417</v>
      </c>
      <c r="CP661" s="41">
        <f t="shared" ref="CP661:CP682" si="7974">AE661</f>
        <v>5419</v>
      </c>
      <c r="CQ661" s="41">
        <f t="shared" ref="CQ661:CQ682" si="7975">AG661</f>
        <v>5470</v>
      </c>
      <c r="CR661" s="41">
        <f t="shared" ref="CR661:CR682" si="7976">AI661</f>
        <v>5114</v>
      </c>
      <c r="CS661" s="41">
        <f t="shared" ref="CS661:CS682" si="7977">AK661</f>
        <v>3509</v>
      </c>
      <c r="CT661" s="41">
        <f t="shared" ref="CT661:CT682" si="7978">AM661</f>
        <v>3538</v>
      </c>
      <c r="CU661" s="41">
        <f t="shared" ref="CU661:CU682" si="7979">AO661</f>
        <v>3340</v>
      </c>
      <c r="CV661" s="41">
        <f t="shared" ref="CV661:CV682" si="7980">AQ661</f>
        <v>3164</v>
      </c>
      <c r="CW661" s="41">
        <f t="shared" ref="CW661:CW682" si="7981">AS661</f>
        <v>2981</v>
      </c>
      <c r="CX661" s="41">
        <f t="shared" ref="CX661:CX680" si="7982">AU661</f>
        <v>3139</v>
      </c>
      <c r="CY661" s="41">
        <f t="shared" si="7951"/>
        <v>4491</v>
      </c>
      <c r="CZ661" s="211">
        <f t="shared" ref="CZ661:CZ682" si="7983">AY661</f>
        <v>4767</v>
      </c>
      <c r="DA661" s="41">
        <f t="shared" ref="DA661:DA682" si="7984">BA661</f>
        <v>4767</v>
      </c>
      <c r="DB661" s="41">
        <f t="shared" si="7952"/>
        <v>4767</v>
      </c>
      <c r="DC661" s="41">
        <f t="shared" si="7953"/>
        <v>4767</v>
      </c>
      <c r="DD661" s="41">
        <f t="shared" si="7954"/>
        <v>4767</v>
      </c>
      <c r="DE661" s="41">
        <f t="shared" si="7955"/>
        <v>4767</v>
      </c>
      <c r="DF661" s="41">
        <f t="shared" si="7956"/>
        <v>4767</v>
      </c>
      <c r="DG661" s="41">
        <f t="shared" si="7957"/>
        <v>4767</v>
      </c>
      <c r="DH661" s="41">
        <f t="shared" si="7958"/>
        <v>4767</v>
      </c>
      <c r="DI661" s="41">
        <f t="shared" si="7959"/>
        <v>4767</v>
      </c>
    </row>
    <row r="662" spans="1:113" ht="12" outlineLevel="1">
      <c r="A662" s="1" t="s">
        <v>762</v>
      </c>
      <c r="B662" s="15" t="s">
        <v>912</v>
      </c>
      <c r="C662" s="40">
        <v>4829</v>
      </c>
      <c r="D662" s="40">
        <v>3468</v>
      </c>
      <c r="E662" s="40">
        <v>3815</v>
      </c>
      <c r="F662" s="40">
        <v>3123</v>
      </c>
      <c r="G662" s="40">
        <v>2427</v>
      </c>
      <c r="H662" s="40">
        <v>7093</v>
      </c>
      <c r="I662" s="40">
        <v>4781</v>
      </c>
      <c r="J662" s="40">
        <v>6428</v>
      </c>
      <c r="K662" s="40">
        <v>6348</v>
      </c>
      <c r="L662" s="40">
        <v>8336</v>
      </c>
      <c r="M662" s="40">
        <v>9665</v>
      </c>
      <c r="N662" s="40">
        <v>6439</v>
      </c>
      <c r="O662" s="40">
        <v>8040</v>
      </c>
      <c r="P662" s="40">
        <v>11850</v>
      </c>
      <c r="Q662" s="40">
        <v>9862</v>
      </c>
      <c r="R662" s="40">
        <v>5354</v>
      </c>
      <c r="S662" s="40">
        <v>4985</v>
      </c>
      <c r="T662" s="40">
        <v>6894</v>
      </c>
      <c r="U662" s="40">
        <v>5481</v>
      </c>
      <c r="V662" s="40">
        <v>7479</v>
      </c>
      <c r="W662" s="40">
        <v>13298</v>
      </c>
      <c r="X662" s="40">
        <v>16287</v>
      </c>
      <c r="Y662" s="40">
        <v>17103</v>
      </c>
      <c r="Z662" s="141">
        <v>15804</v>
      </c>
      <c r="AA662" s="141">
        <v>19225</v>
      </c>
      <c r="AB662" s="141">
        <v>16209</v>
      </c>
      <c r="AC662" s="141">
        <v>20241</v>
      </c>
      <c r="AD662" s="141">
        <v>22570</v>
      </c>
      <c r="AE662" s="141">
        <v>18596</v>
      </c>
      <c r="AF662" s="141">
        <v>26048</v>
      </c>
      <c r="AG662" s="141">
        <v>21951</v>
      </c>
      <c r="AH662" s="141">
        <v>21696</v>
      </c>
      <c r="AI662" s="141">
        <v>5504</v>
      </c>
      <c r="AJ662" s="141">
        <v>5037</v>
      </c>
      <c r="AK662" s="141">
        <v>2319</v>
      </c>
      <c r="AL662" s="141">
        <v>4041</v>
      </c>
      <c r="AM662" s="141">
        <v>3739</v>
      </c>
      <c r="AN662" s="141">
        <v>6961</v>
      </c>
      <c r="AO662" s="141">
        <v>7541</v>
      </c>
      <c r="AP662" s="141">
        <v>9778</v>
      </c>
      <c r="AQ662" s="141">
        <v>7530</v>
      </c>
      <c r="AR662" s="141">
        <v>7141</v>
      </c>
      <c r="AS662" s="141">
        <v>4762</v>
      </c>
      <c r="AT662" s="141">
        <v>7020</v>
      </c>
      <c r="AU662" s="141">
        <v>9349</v>
      </c>
      <c r="AV662" s="141">
        <v>3809</v>
      </c>
      <c r="AW662" s="141">
        <v>5484</v>
      </c>
      <c r="AX662" s="141">
        <v>6225</v>
      </c>
      <c r="AY662" s="226">
        <v>23394</v>
      </c>
      <c r="AZ662" s="41">
        <f t="shared" ref="AZ662:AZ666" si="7985">AY662*AZ$660/AY$660</f>
        <v>23881.578366506823</v>
      </c>
      <c r="BA662" s="41">
        <f t="shared" ref="BA662:BA666" si="7986">AZ662*BA$660/AZ$660</f>
        <v>24224.043014059065</v>
      </c>
      <c r="BB662" s="41">
        <f t="shared" ref="BB662:BB666" si="7987">BA662*BB$660/BA$660</f>
        <v>24581.771901076543</v>
      </c>
      <c r="BC662" s="41">
        <f t="shared" ref="BC662:BC666" si="7988">BB662*BC$660/BB$660</f>
        <v>25040.236875149065</v>
      </c>
      <c r="BD662" s="41">
        <f t="shared" ref="BD662:BD666" si="7989">BC662*BD$660/BC$660</f>
        <v>25489.285817580625</v>
      </c>
      <c r="BE662" s="41">
        <f t="shared" ref="BE662:BE666" si="7990">BD662*BE$660/BD$660</f>
        <v>25952.238299291985</v>
      </c>
      <c r="BF662" s="41">
        <f t="shared" ref="BF662:BF666" si="7991">BE662*BF$660/BE$660</f>
        <v>26387.87792514317</v>
      </c>
      <c r="BG662" s="41">
        <f t="shared" ref="BG662:BK666" si="7992">BF662*BG$660/BF$660</f>
        <v>26814.004874566472</v>
      </c>
      <c r="BH662" s="41">
        <f t="shared" si="7992"/>
        <v>27325.013337602668</v>
      </c>
      <c r="BI662" s="41">
        <f t="shared" si="7992"/>
        <v>27813.871504685823</v>
      </c>
      <c r="BJ662" s="41">
        <f t="shared" si="7992"/>
        <v>28350.953754187962</v>
      </c>
      <c r="BK662" s="41">
        <f t="shared" si="7992"/>
        <v>28881.788966820754</v>
      </c>
      <c r="BL662" s="41">
        <f t="shared" ref="BL662:BL666" si="7993">BK662*BL$660/BK$660</f>
        <v>29423.35478055531</v>
      </c>
      <c r="BM662" s="41">
        <f t="shared" ref="BM662:BM666" si="7994">BL662*BM$660/BL$660</f>
        <v>29975.865414210941</v>
      </c>
      <c r="BN662" s="41">
        <f t="shared" ref="BN662:BN666" si="7995">BM662*BN$660/BM$660</f>
        <v>30569.376113346625</v>
      </c>
      <c r="BO662" s="41">
        <f t="shared" ref="BO662:BO666" si="7996">BN662*BO$660/BN$660</f>
        <v>31174.720655339705</v>
      </c>
      <c r="BP662" s="41">
        <f t="shared" ref="BP662:BP666" si="7997">BO662*BP$660/BO$660</f>
        <v>31816.969858404478</v>
      </c>
      <c r="BQ662" s="41">
        <f t="shared" ref="BQ662:BQ666" si="7998">BP662*BQ$660/BP$660</f>
        <v>32473.021953145166</v>
      </c>
      <c r="BR662" s="41"/>
      <c r="BS662" s="40">
        <v>11142</v>
      </c>
      <c r="BT662" s="40">
        <v>10213.1</v>
      </c>
      <c r="BU662" s="40">
        <v>10655</v>
      </c>
      <c r="BV662" s="40">
        <v>11161</v>
      </c>
      <c r="BW662" s="40">
        <v>12682</v>
      </c>
      <c r="BX662" s="40">
        <v>10912</v>
      </c>
      <c r="BY662" s="40">
        <v>4158</v>
      </c>
      <c r="BZ662" s="40">
        <v>3472</v>
      </c>
      <c r="CA662" s="40">
        <v>5822</v>
      </c>
      <c r="CB662" s="40">
        <v>4829</v>
      </c>
      <c r="CC662" s="41">
        <f t="shared" ref="CC662:CC667" si="7999">E662</f>
        <v>3815</v>
      </c>
      <c r="CD662" s="41">
        <f t="shared" ref="CD662:CD667" si="8000">G662</f>
        <v>2427</v>
      </c>
      <c r="CE662" s="41">
        <f t="shared" ref="CE662:CE667" si="8001">I662</f>
        <v>4781</v>
      </c>
      <c r="CF662" s="41">
        <f t="shared" ref="CF662:CF667" si="8002">K662</f>
        <v>6348</v>
      </c>
      <c r="CG662" s="41">
        <f t="shared" ref="CG662:CG667" si="8003">M662</f>
        <v>9665</v>
      </c>
      <c r="CH662" s="41">
        <f t="shared" ref="CH662:CH667" si="8004">O662</f>
        <v>8040</v>
      </c>
      <c r="CI662" s="41">
        <f t="shared" ref="CI662:CI667" si="8005">Q662</f>
        <v>9862</v>
      </c>
      <c r="CJ662" s="41">
        <f t="shared" ref="CJ662:CJ667" si="8006">S662</f>
        <v>4985</v>
      </c>
      <c r="CK662" s="41">
        <f t="shared" ref="CK662:CK682" si="8007">U662</f>
        <v>5481</v>
      </c>
      <c r="CL662" s="41">
        <f t="shared" ref="CL662:CL682" si="8008">W662</f>
        <v>13298</v>
      </c>
      <c r="CM662" s="41">
        <f t="shared" ref="CM662:CM682" si="8009">Y662</f>
        <v>17103</v>
      </c>
      <c r="CN662" s="41">
        <f t="shared" ref="CN662:CN682" si="8010">AA662</f>
        <v>19225</v>
      </c>
      <c r="CO662" s="41">
        <f t="shared" ref="CO662:CO682" si="8011">AC662</f>
        <v>20241</v>
      </c>
      <c r="CP662" s="41">
        <f t="shared" si="7974"/>
        <v>18596</v>
      </c>
      <c r="CQ662" s="41">
        <f t="shared" si="7975"/>
        <v>21951</v>
      </c>
      <c r="CR662" s="41">
        <f t="shared" si="7976"/>
        <v>5504</v>
      </c>
      <c r="CS662" s="41">
        <f t="shared" si="7977"/>
        <v>2319</v>
      </c>
      <c r="CT662" s="41">
        <f t="shared" si="7978"/>
        <v>3739</v>
      </c>
      <c r="CU662" s="41">
        <f t="shared" si="7979"/>
        <v>7541</v>
      </c>
      <c r="CV662" s="41">
        <f t="shared" si="7980"/>
        <v>7530</v>
      </c>
      <c r="CW662" s="41">
        <f t="shared" si="7981"/>
        <v>4762</v>
      </c>
      <c r="CX662" s="41">
        <f t="shared" si="7982"/>
        <v>9349</v>
      </c>
      <c r="CY662" s="41">
        <f t="shared" si="7951"/>
        <v>5484</v>
      </c>
      <c r="CZ662" s="211">
        <f t="shared" si="7983"/>
        <v>23394</v>
      </c>
      <c r="DA662" s="41">
        <f t="shared" si="7984"/>
        <v>24224.043014059065</v>
      </c>
      <c r="DB662" s="41">
        <f t="shared" si="7952"/>
        <v>25040.236875149065</v>
      </c>
      <c r="DC662" s="41">
        <f t="shared" si="7953"/>
        <v>25952.238299291985</v>
      </c>
      <c r="DD662" s="41">
        <f t="shared" si="7954"/>
        <v>26814.004874566472</v>
      </c>
      <c r="DE662" s="41">
        <f t="shared" si="7955"/>
        <v>27813.871504685823</v>
      </c>
      <c r="DF662" s="41">
        <f t="shared" si="7956"/>
        <v>28881.788966820754</v>
      </c>
      <c r="DG662" s="41">
        <f t="shared" si="7957"/>
        <v>29975.865414210941</v>
      </c>
      <c r="DH662" s="41">
        <f t="shared" si="7958"/>
        <v>31174.720655339705</v>
      </c>
      <c r="DI662" s="41">
        <f t="shared" si="7959"/>
        <v>32473.021953145166</v>
      </c>
    </row>
    <row r="663" spans="1:113" ht="12" outlineLevel="1">
      <c r="A663" s="1" t="s">
        <v>763</v>
      </c>
      <c r="B663" s="15" t="s">
        <v>1113</v>
      </c>
      <c r="C663" s="40">
        <f>4827+3487</f>
        <v>8314</v>
      </c>
      <c r="D663" s="40">
        <f>5189+2716</f>
        <v>7905</v>
      </c>
      <c r="E663" s="40">
        <f>5873+3609</f>
        <v>9482</v>
      </c>
      <c r="F663" s="40">
        <f>5219+4301</f>
        <v>9520</v>
      </c>
      <c r="G663" s="40">
        <f>4213+4767</f>
        <v>8980</v>
      </c>
      <c r="H663" s="40">
        <f>6393+6669</f>
        <v>13062</v>
      </c>
      <c r="I663" s="40">
        <f>5478+7746</f>
        <v>13224</v>
      </c>
      <c r="J663" s="40">
        <f>6108+9586</f>
        <v>15694</v>
      </c>
      <c r="K663" s="40">
        <f>6285+10042</f>
        <v>16327</v>
      </c>
      <c r="L663" s="40">
        <f>8721+13287</f>
        <v>22008</v>
      </c>
      <c r="M663" s="40">
        <f>9179+10653</f>
        <v>19832</v>
      </c>
      <c r="N663" s="40">
        <f>14265+9835</f>
        <v>24100</v>
      </c>
      <c r="O663" s="40">
        <f>15167+14006</f>
        <v>29173</v>
      </c>
      <c r="P663" s="40">
        <f>14870+16333</f>
        <v>31203</v>
      </c>
      <c r="Q663" s="40">
        <f>15177+17480</f>
        <v>32657</v>
      </c>
      <c r="R663" s="40">
        <f>21312+16182</f>
        <v>37494</v>
      </c>
      <c r="S663" s="40">
        <f>30991+16575</f>
        <v>47566</v>
      </c>
      <c r="T663" s="40">
        <f>33274+17777</f>
        <v>51051</v>
      </c>
      <c r="U663" s="40">
        <f>33515+20742</f>
        <v>54257</v>
      </c>
      <c r="V663" s="40">
        <f>28966+18323</f>
        <v>47289</v>
      </c>
      <c r="W663" s="40">
        <f>36074+22264</f>
        <v>58338</v>
      </c>
      <c r="X663" s="40">
        <f>32859+23125</f>
        <v>55984</v>
      </c>
      <c r="Y663" s="40">
        <f>40602+20562</f>
        <v>61164</v>
      </c>
      <c r="Z663" s="141">
        <f>39569+23410</f>
        <v>62979</v>
      </c>
      <c r="AA663" s="141">
        <f>41288+28277</f>
        <v>69565</v>
      </c>
      <c r="AB663" s="141">
        <f>46170+27330</f>
        <v>73500</v>
      </c>
      <c r="AC663" s="141">
        <f>49692+30917</f>
        <v>80609</v>
      </c>
      <c r="AD663" s="141">
        <f>51386+38336</f>
        <v>89722</v>
      </c>
      <c r="AE663" s="141">
        <f>49000+43667</f>
        <v>92667</v>
      </c>
      <c r="AF663" s="141">
        <f>50073+50377</f>
        <v>100450</v>
      </c>
      <c r="AG663" s="141">
        <f>47188+63113</f>
        <v>110301</v>
      </c>
      <c r="AH663" s="141">
        <f>44085+64685</f>
        <v>108770</v>
      </c>
      <c r="AI663" s="141">
        <f>43605+69384</f>
        <v>112989</v>
      </c>
      <c r="AJ663" s="141">
        <f>45058+70239</f>
        <v>115297</v>
      </c>
      <c r="AK663" s="141">
        <f>37722+74284</f>
        <v>112006</v>
      </c>
      <c r="AL663" s="141">
        <f>42857+78882</f>
        <v>121739</v>
      </c>
      <c r="AM663" s="141">
        <f>43169+83709</f>
        <v>126878</v>
      </c>
      <c r="AN663" s="141">
        <f>49068+85923</f>
        <v>134991</v>
      </c>
      <c r="AO663" s="141">
        <f>50913+93391</f>
        <v>144304</v>
      </c>
      <c r="AP663" s="141">
        <f>46331+91990</f>
        <v>138321</v>
      </c>
      <c r="AQ663" s="141">
        <f>44688+83126</f>
        <v>127814</v>
      </c>
      <c r="AR663" s="141">
        <f>39433+79757</f>
        <v>119190</v>
      </c>
      <c r="AS663" s="141">
        <f>35237+86153</f>
        <v>121390</v>
      </c>
      <c r="AT663" s="141">
        <f>39611+93972</f>
        <v>133583</v>
      </c>
      <c r="AU663" s="141">
        <f>37004+97429</f>
        <v>134433</v>
      </c>
      <c r="AV663" s="141">
        <f>42442+118055</f>
        <v>160497</v>
      </c>
      <c r="AW663" s="141">
        <f>45755+140549</f>
        <v>186304</v>
      </c>
      <c r="AX663" s="141">
        <f>45745+155377</f>
        <v>201122</v>
      </c>
      <c r="AY663" s="226">
        <f>48248+165693</f>
        <v>213941</v>
      </c>
      <c r="AZ663" s="41">
        <f t="shared" si="7985"/>
        <v>218399.96397832077</v>
      </c>
      <c r="BA663" s="41">
        <f t="shared" si="7986"/>
        <v>221531.84519410151</v>
      </c>
      <c r="BB663" s="41">
        <f t="shared" si="7987"/>
        <v>224803.31975242443</v>
      </c>
      <c r="BC663" s="41">
        <f t="shared" si="7988"/>
        <v>228996.03818527257</v>
      </c>
      <c r="BD663" s="41">
        <f t="shared" si="7989"/>
        <v>233102.64585359566</v>
      </c>
      <c r="BE663" s="41">
        <f t="shared" si="7990"/>
        <v>237336.40309433301</v>
      </c>
      <c r="BF663" s="41">
        <f t="shared" si="7991"/>
        <v>241320.38091745978</v>
      </c>
      <c r="BG663" s="41">
        <f t="shared" si="7992"/>
        <v>245217.36414762866</v>
      </c>
      <c r="BH663" s="41">
        <f t="shared" si="7992"/>
        <v>249890.59923313893</v>
      </c>
      <c r="BI663" s="41">
        <f t="shared" si="7992"/>
        <v>254361.2671447375</v>
      </c>
      <c r="BJ663" s="41">
        <f t="shared" si="7992"/>
        <v>259272.95020623779</v>
      </c>
      <c r="BK663" s="41">
        <f t="shared" si="7992"/>
        <v>264127.50334917492</v>
      </c>
      <c r="BL663" s="41">
        <f t="shared" si="7993"/>
        <v>269080.1891556289</v>
      </c>
      <c r="BM663" s="41">
        <f t="shared" si="7994"/>
        <v>274132.96668298292</v>
      </c>
      <c r="BN663" s="41">
        <f t="shared" si="7995"/>
        <v>279560.69483908225</v>
      </c>
      <c r="BO663" s="41">
        <f t="shared" si="7996"/>
        <v>285096.64493990043</v>
      </c>
      <c r="BP663" s="41">
        <f t="shared" si="7997"/>
        <v>290970.09269372112</v>
      </c>
      <c r="BQ663" s="41">
        <f t="shared" si="7998"/>
        <v>296969.76958527096</v>
      </c>
      <c r="BR663" s="41"/>
      <c r="BS663" s="40">
        <f>2433.3+7007.8</f>
        <v>9441.1</v>
      </c>
      <c r="BT663" s="40">
        <f>4708.2+4917.3</f>
        <v>9625.5</v>
      </c>
      <c r="BU663" s="40">
        <f>3712+5230</f>
        <v>8942</v>
      </c>
      <c r="BV663" s="40">
        <f>5785+2833</f>
        <v>8618</v>
      </c>
      <c r="BW663" s="40">
        <f>7334+2570</f>
        <v>9904</v>
      </c>
      <c r="BX663" s="40">
        <f>5973+3979</f>
        <v>9952</v>
      </c>
      <c r="BY663" s="40">
        <f>5973+3979</f>
        <v>9952</v>
      </c>
      <c r="BZ663" s="40">
        <f>4259+4695</f>
        <v>8954</v>
      </c>
      <c r="CA663" s="40">
        <f>4126+3006</f>
        <v>7132</v>
      </c>
      <c r="CB663" s="40">
        <f>4827+3487</f>
        <v>8314</v>
      </c>
      <c r="CC663" s="41">
        <f t="shared" si="7999"/>
        <v>9482</v>
      </c>
      <c r="CD663" s="41">
        <f t="shared" si="8000"/>
        <v>8980</v>
      </c>
      <c r="CE663" s="41">
        <f t="shared" si="8001"/>
        <v>13224</v>
      </c>
      <c r="CF663" s="41">
        <f t="shared" si="8002"/>
        <v>16327</v>
      </c>
      <c r="CG663" s="41">
        <f t="shared" si="8003"/>
        <v>19832</v>
      </c>
      <c r="CH663" s="41">
        <f t="shared" si="8004"/>
        <v>29173</v>
      </c>
      <c r="CI663" s="41">
        <f t="shared" si="8005"/>
        <v>32657</v>
      </c>
      <c r="CJ663" s="41">
        <f t="shared" si="8006"/>
        <v>47566</v>
      </c>
      <c r="CK663" s="41">
        <f t="shared" si="8007"/>
        <v>54257</v>
      </c>
      <c r="CL663" s="41">
        <f t="shared" si="8008"/>
        <v>58338</v>
      </c>
      <c r="CM663" s="41">
        <f t="shared" si="8009"/>
        <v>61164</v>
      </c>
      <c r="CN663" s="41">
        <f t="shared" si="8010"/>
        <v>69565</v>
      </c>
      <c r="CO663" s="41">
        <f t="shared" si="8011"/>
        <v>80609</v>
      </c>
      <c r="CP663" s="41">
        <f t="shared" si="7974"/>
        <v>92667</v>
      </c>
      <c r="CQ663" s="41">
        <f t="shared" si="7975"/>
        <v>110301</v>
      </c>
      <c r="CR663" s="41">
        <f t="shared" si="7976"/>
        <v>112989</v>
      </c>
      <c r="CS663" s="41">
        <f t="shared" si="7977"/>
        <v>112006</v>
      </c>
      <c r="CT663" s="41">
        <f t="shared" si="7978"/>
        <v>126878</v>
      </c>
      <c r="CU663" s="41">
        <f t="shared" si="7979"/>
        <v>144304</v>
      </c>
      <c r="CV663" s="41">
        <f t="shared" si="7980"/>
        <v>127814</v>
      </c>
      <c r="CW663" s="41">
        <f t="shared" si="7981"/>
        <v>121390</v>
      </c>
      <c r="CX663" s="41">
        <f t="shared" si="7982"/>
        <v>134433</v>
      </c>
      <c r="CY663" s="41">
        <f t="shared" si="7951"/>
        <v>186304</v>
      </c>
      <c r="CZ663" s="211">
        <f t="shared" si="7983"/>
        <v>213941</v>
      </c>
      <c r="DA663" s="41">
        <f t="shared" si="7984"/>
        <v>221531.84519410151</v>
      </c>
      <c r="DB663" s="41">
        <f t="shared" si="7952"/>
        <v>228996.03818527257</v>
      </c>
      <c r="DC663" s="41">
        <f t="shared" si="7953"/>
        <v>237336.40309433301</v>
      </c>
      <c r="DD663" s="41">
        <f t="shared" si="7954"/>
        <v>245217.36414762866</v>
      </c>
      <c r="DE663" s="41">
        <f t="shared" si="7955"/>
        <v>254361.2671447375</v>
      </c>
      <c r="DF663" s="41">
        <f t="shared" si="7956"/>
        <v>264127.50334917492</v>
      </c>
      <c r="DG663" s="41">
        <f t="shared" si="7957"/>
        <v>274132.96668298292</v>
      </c>
      <c r="DH663" s="41">
        <f t="shared" si="7958"/>
        <v>285096.64493990043</v>
      </c>
      <c r="DI663" s="41">
        <f t="shared" si="7959"/>
        <v>296969.76958527096</v>
      </c>
    </row>
    <row r="664" spans="1:113" ht="12" outlineLevel="1">
      <c r="A664" s="1" t="s">
        <v>1071</v>
      </c>
      <c r="B664" s="15" t="s">
        <v>1072</v>
      </c>
      <c r="C664" s="40">
        <v>0</v>
      </c>
      <c r="D664" s="40">
        <v>0</v>
      </c>
      <c r="E664" s="40">
        <v>0</v>
      </c>
      <c r="F664" s="40">
        <v>0</v>
      </c>
      <c r="G664" s="40">
        <v>0</v>
      </c>
      <c r="H664" s="40">
        <v>0</v>
      </c>
      <c r="I664" s="40">
        <v>0</v>
      </c>
      <c r="J664" s="40">
        <v>4002</v>
      </c>
      <c r="K664" s="40">
        <v>3730</v>
      </c>
      <c r="L664" s="40">
        <v>11456</v>
      </c>
      <c r="M664" s="40">
        <v>9164</v>
      </c>
      <c r="N664" s="40">
        <v>12303</v>
      </c>
      <c r="O664" s="40">
        <v>22204</v>
      </c>
      <c r="P664" s="40">
        <v>29217</v>
      </c>
      <c r="Q664" s="40">
        <v>36941</v>
      </c>
      <c r="R664" s="40">
        <v>57445</v>
      </c>
      <c r="S664" s="40">
        <v>37404</v>
      </c>
      <c r="T664" s="40">
        <v>27630</v>
      </c>
      <c r="U664" s="40">
        <v>37821</v>
      </c>
      <c r="V664" s="40">
        <v>29646</v>
      </c>
      <c r="W664" s="40">
        <v>54118</v>
      </c>
      <c r="X664" s="40">
        <v>39597</v>
      </c>
      <c r="Y664" s="40">
        <v>48929</v>
      </c>
      <c r="Z664" s="141">
        <v>41700</v>
      </c>
      <c r="AA664" s="141">
        <v>45878</v>
      </c>
      <c r="AB664" s="141">
        <v>43829</v>
      </c>
      <c r="AC664" s="141">
        <v>56369</v>
      </c>
      <c r="AD664" s="141">
        <v>73580</v>
      </c>
      <c r="AE664" s="141">
        <v>85625</v>
      </c>
      <c r="AF664" s="141">
        <v>88747</v>
      </c>
      <c r="AG664" s="141">
        <v>87496</v>
      </c>
      <c r="AH664" s="141">
        <v>63882</v>
      </c>
      <c r="AI664" s="141">
        <v>62518</v>
      </c>
      <c r="AJ664" s="141">
        <v>70915</v>
      </c>
      <c r="AK664" s="141">
        <v>68423</v>
      </c>
      <c r="AL664" s="141">
        <v>79375</v>
      </c>
      <c r="AM664" s="141">
        <v>120667</v>
      </c>
      <c r="AN664" s="141">
        <v>173677</v>
      </c>
      <c r="AO664" s="141">
        <v>135331</v>
      </c>
      <c r="AP664" s="141">
        <v>104666</v>
      </c>
      <c r="AQ664" s="141">
        <v>38736</v>
      </c>
      <c r="AR664" s="141">
        <v>45238</v>
      </c>
      <c r="AS664" s="141">
        <v>90174</v>
      </c>
      <c r="AT664" s="141">
        <v>45614</v>
      </c>
      <c r="AU664" s="141">
        <v>60406</v>
      </c>
      <c r="AV664" s="141">
        <v>47481</v>
      </c>
      <c r="AW664" s="141">
        <v>54370</v>
      </c>
      <c r="AX664" s="141">
        <v>49552</v>
      </c>
      <c r="AY664" s="226">
        <v>47480</v>
      </c>
      <c r="AZ664" s="41">
        <f t="shared" si="7985"/>
        <v>48469.579415309221</v>
      </c>
      <c r="BA664" s="41">
        <f t="shared" si="7986"/>
        <v>49164.638894909993</v>
      </c>
      <c r="BB664" s="41">
        <f t="shared" si="7987"/>
        <v>49890.678373220238</v>
      </c>
      <c r="BC664" s="41">
        <f t="shared" si="7988"/>
        <v>50821.169822692893</v>
      </c>
      <c r="BD664" s="41">
        <f t="shared" si="7989"/>
        <v>51732.550680461994</v>
      </c>
      <c r="BE664" s="41">
        <f t="shared" si="7990"/>
        <v>52672.149886739469</v>
      </c>
      <c r="BF664" s="41">
        <f t="shared" si="7991"/>
        <v>53556.315460622274</v>
      </c>
      <c r="BG664" s="41">
        <f t="shared" si="7992"/>
        <v>54421.174294452248</v>
      </c>
      <c r="BH664" s="41">
        <f t="shared" si="7992"/>
        <v>55458.306970564008</v>
      </c>
      <c r="BI664" s="41">
        <f t="shared" si="7992"/>
        <v>56450.483843826732</v>
      </c>
      <c r="BJ664" s="41">
        <f t="shared" si="7992"/>
        <v>57540.53536158178</v>
      </c>
      <c r="BK664" s="41">
        <f t="shared" si="7992"/>
        <v>58617.908016784175</v>
      </c>
      <c r="BL664" s="41">
        <f t="shared" si="7993"/>
        <v>59717.059287884316</v>
      </c>
      <c r="BM664" s="41">
        <f t="shared" si="7994"/>
        <v>60838.423949163676</v>
      </c>
      <c r="BN664" s="41">
        <f t="shared" si="7995"/>
        <v>62043.001532944239</v>
      </c>
      <c r="BO664" s="41">
        <f t="shared" si="7996"/>
        <v>63271.596850283364</v>
      </c>
      <c r="BP664" s="41">
        <f t="shared" si="7997"/>
        <v>64575.093138285229</v>
      </c>
      <c r="BQ664" s="41">
        <f t="shared" si="7998"/>
        <v>65906.60350240799</v>
      </c>
      <c r="BR664" s="41"/>
      <c r="BS664" s="40">
        <v>0</v>
      </c>
      <c r="BT664" s="40">
        <v>0</v>
      </c>
      <c r="BU664" s="40">
        <v>0</v>
      </c>
      <c r="BV664" s="40">
        <v>0</v>
      </c>
      <c r="BW664" s="40">
        <v>0</v>
      </c>
      <c r="BX664" s="40">
        <v>0</v>
      </c>
      <c r="BY664" s="40">
        <v>0</v>
      </c>
      <c r="BZ664" s="40">
        <v>0</v>
      </c>
      <c r="CA664" s="40">
        <v>0</v>
      </c>
      <c r="CB664" s="40">
        <v>0</v>
      </c>
      <c r="CC664" s="41">
        <f>E664</f>
        <v>0</v>
      </c>
      <c r="CD664" s="41">
        <f>G664</f>
        <v>0</v>
      </c>
      <c r="CE664" s="41">
        <f>I664</f>
        <v>0</v>
      </c>
      <c r="CF664" s="41">
        <f>K664</f>
        <v>3730</v>
      </c>
      <c r="CG664" s="41">
        <f>M664</f>
        <v>9164</v>
      </c>
      <c r="CH664" s="41">
        <f>O664</f>
        <v>22204</v>
      </c>
      <c r="CI664" s="41">
        <f>Q664</f>
        <v>36941</v>
      </c>
      <c r="CJ664" s="41">
        <f>S664</f>
        <v>37404</v>
      </c>
      <c r="CK664" s="41">
        <f>U664</f>
        <v>37821</v>
      </c>
      <c r="CL664" s="41">
        <f>W664</f>
        <v>54118</v>
      </c>
      <c r="CM664" s="41">
        <f>Y664</f>
        <v>48929</v>
      </c>
      <c r="CN664" s="41">
        <f>AA664</f>
        <v>45878</v>
      </c>
      <c r="CO664" s="41">
        <f>AC664</f>
        <v>56369</v>
      </c>
      <c r="CP664" s="41">
        <f>AE664</f>
        <v>85625</v>
      </c>
      <c r="CQ664" s="41">
        <f>AG664</f>
        <v>87496</v>
      </c>
      <c r="CR664" s="41">
        <f>AI664</f>
        <v>62518</v>
      </c>
      <c r="CS664" s="41">
        <f t="shared" si="7977"/>
        <v>68423</v>
      </c>
      <c r="CT664" s="41">
        <f t="shared" si="7978"/>
        <v>120667</v>
      </c>
      <c r="CU664" s="41">
        <f t="shared" si="7979"/>
        <v>135331</v>
      </c>
      <c r="CV664" s="41">
        <f t="shared" si="7980"/>
        <v>38736</v>
      </c>
      <c r="CW664" s="41">
        <f t="shared" si="7981"/>
        <v>90174</v>
      </c>
      <c r="CX664" s="41">
        <f t="shared" si="7982"/>
        <v>60406</v>
      </c>
      <c r="CY664" s="41">
        <f t="shared" si="7951"/>
        <v>54370</v>
      </c>
      <c r="CZ664" s="211">
        <f t="shared" si="7983"/>
        <v>47480</v>
      </c>
      <c r="DA664" s="41">
        <f t="shared" si="7984"/>
        <v>49164.638894909993</v>
      </c>
      <c r="DB664" s="41">
        <f t="shared" si="7952"/>
        <v>50821.169822692893</v>
      </c>
      <c r="DC664" s="41">
        <f t="shared" si="7953"/>
        <v>52672.149886739469</v>
      </c>
      <c r="DD664" s="41">
        <f t="shared" si="7954"/>
        <v>54421.174294452248</v>
      </c>
      <c r="DE664" s="41">
        <f t="shared" si="7955"/>
        <v>56450.483843826732</v>
      </c>
      <c r="DF664" s="41">
        <f t="shared" si="7956"/>
        <v>58617.908016784175</v>
      </c>
      <c r="DG664" s="41">
        <f t="shared" si="7957"/>
        <v>60838.423949163676</v>
      </c>
      <c r="DH664" s="41">
        <f t="shared" si="7958"/>
        <v>63271.596850283364</v>
      </c>
      <c r="DI664" s="41">
        <f t="shared" si="7959"/>
        <v>65906.60350240799</v>
      </c>
    </row>
    <row r="665" spans="1:113" ht="12" outlineLevel="1">
      <c r="A665" s="1" t="s">
        <v>898</v>
      </c>
      <c r="B665" s="15" t="s">
        <v>913</v>
      </c>
      <c r="C665" s="40">
        <v>-1147</v>
      </c>
      <c r="D665" s="40">
        <v>-1105</v>
      </c>
      <c r="E665" s="40">
        <v>-1208</v>
      </c>
      <c r="F665" s="40">
        <v>-1272</v>
      </c>
      <c r="G665" s="40">
        <v>-1304</v>
      </c>
      <c r="H665" s="40">
        <f>-1365</f>
        <v>-1365</v>
      </c>
      <c r="I665" s="40">
        <f>-1476</f>
        <v>-1476</v>
      </c>
      <c r="J665" s="40">
        <f>-1497</f>
        <v>-1497</v>
      </c>
      <c r="K665" s="40">
        <f>-1574</f>
        <v>-1574</v>
      </c>
      <c r="L665" s="40">
        <f>-1978+507</f>
        <v>-1471</v>
      </c>
      <c r="M665" s="40">
        <f>-2122+539</f>
        <v>-1583</v>
      </c>
      <c r="N665" s="40">
        <f>-2214+548</f>
        <v>-1666</v>
      </c>
      <c r="O665" s="40">
        <f>-2277+570</f>
        <v>-1707</v>
      </c>
      <c r="P665" s="40">
        <f>-2494+591</f>
        <v>-1903</v>
      </c>
      <c r="Q665" s="40">
        <f>-2600+600</f>
        <v>-2000</v>
      </c>
      <c r="R665" s="40">
        <f>-2530+601</f>
        <v>-1929</v>
      </c>
      <c r="S665" s="40">
        <f>-2372+560</f>
        <v>-1812</v>
      </c>
      <c r="T665" s="40">
        <f>-2368+555</f>
        <v>-1813</v>
      </c>
      <c r="U665" s="40">
        <f>-2262+600</f>
        <v>-1662</v>
      </c>
      <c r="V665" s="40">
        <f>-2179+615</f>
        <v>-1564</v>
      </c>
      <c r="W665" s="40">
        <f>-2216+629</f>
        <v>-1587</v>
      </c>
      <c r="X665" s="40">
        <f>-2283+697</f>
        <v>-1586</v>
      </c>
      <c r="Y665" s="40">
        <f>-1241+797</f>
        <v>-444</v>
      </c>
      <c r="Z665" s="141">
        <f>-1087+869</f>
        <v>-218</v>
      </c>
      <c r="AA665" s="141">
        <f>-954+942</f>
        <v>-12</v>
      </c>
      <c r="AB665" s="141">
        <f>-1052+1000</f>
        <v>-52</v>
      </c>
      <c r="AC665" s="141">
        <f>-892+1043</f>
        <v>151</v>
      </c>
      <c r="AD665" s="141">
        <f>-803+1127</f>
        <v>324</v>
      </c>
      <c r="AE665" s="141">
        <f>-739+1253</f>
        <v>514</v>
      </c>
      <c r="AF665" s="141">
        <f>-596+1013</f>
        <v>417</v>
      </c>
      <c r="AG665" s="141">
        <f>-544+1064</f>
        <v>520</v>
      </c>
      <c r="AH665" s="141">
        <f>-458+1040</f>
        <v>582</v>
      </c>
      <c r="AI665" s="141">
        <f>-411+1058</f>
        <v>647</v>
      </c>
      <c r="AJ665" s="141">
        <f>-441+1044</f>
        <v>603</v>
      </c>
      <c r="AK665" s="141">
        <f>-430+997</f>
        <v>567</v>
      </c>
      <c r="AL665" s="141">
        <f>-446+947</f>
        <v>501</v>
      </c>
      <c r="AM665" s="141">
        <f>-398+870</f>
        <v>472</v>
      </c>
      <c r="AN665" s="141">
        <f>-368+865</f>
        <v>497</v>
      </c>
      <c r="AO665" s="141">
        <f>-66+868</f>
        <v>802</v>
      </c>
      <c r="AP665" s="141">
        <f>-437+1378</f>
        <v>941</v>
      </c>
      <c r="AQ665" s="141">
        <f>-434+1434</f>
        <v>1000</v>
      </c>
      <c r="AR665" s="141">
        <f>-460+1482</f>
        <v>1022</v>
      </c>
      <c r="AS665" s="141">
        <f>-518+2882</f>
        <v>2364</v>
      </c>
      <c r="AT665" s="141">
        <f>-526+3165</f>
        <v>2639</v>
      </c>
      <c r="AU665" s="141">
        <f>-515+3475</f>
        <v>2960</v>
      </c>
      <c r="AV665" s="141">
        <f>-494+3642</f>
        <v>3148</v>
      </c>
      <c r="AW665" s="141">
        <f>-515+4237</f>
        <v>3722</v>
      </c>
      <c r="AX665" s="141">
        <f>-584+4335</f>
        <v>3751</v>
      </c>
      <c r="AY665" s="226">
        <f>-641+4500</f>
        <v>3859</v>
      </c>
      <c r="AZ665" s="41">
        <f t="shared" si="7985"/>
        <v>3939.4293800269224</v>
      </c>
      <c r="BA665" s="41">
        <f t="shared" si="7986"/>
        <v>3995.9212614881567</v>
      </c>
      <c r="BB665" s="41">
        <f t="shared" si="7987"/>
        <v>4054.9310834510725</v>
      </c>
      <c r="BC665" s="41">
        <f t="shared" si="7988"/>
        <v>4130.5580106523148</v>
      </c>
      <c r="BD665" s="41">
        <f t="shared" si="7989"/>
        <v>4204.6316991554941</v>
      </c>
      <c r="BE665" s="41">
        <f t="shared" si="7990"/>
        <v>4280.9988713758985</v>
      </c>
      <c r="BF665" s="41">
        <f t="shared" si="7991"/>
        <v>4352.8606015699534</v>
      </c>
      <c r="BG665" s="41">
        <f t="shared" si="7992"/>
        <v>4423.1531508485941</v>
      </c>
      <c r="BH665" s="41">
        <f t="shared" si="7992"/>
        <v>4507.4474852444509</v>
      </c>
      <c r="BI665" s="41">
        <f t="shared" si="7992"/>
        <v>4588.0879771130449</v>
      </c>
      <c r="BJ665" s="41">
        <f t="shared" si="7992"/>
        <v>4676.6833605801203</v>
      </c>
      <c r="BK665" s="41">
        <f t="shared" si="7992"/>
        <v>4764.2482526699696</v>
      </c>
      <c r="BL665" s="41">
        <f t="shared" si="7993"/>
        <v>4853.5832306643979</v>
      </c>
      <c r="BM665" s="41">
        <f t="shared" si="7994"/>
        <v>4944.7236314200227</v>
      </c>
      <c r="BN665" s="41">
        <f t="shared" si="7995"/>
        <v>5042.6272728650347</v>
      </c>
      <c r="BO665" s="41">
        <f t="shared" si="7996"/>
        <v>5142.4829874735369</v>
      </c>
      <c r="BP665" s="41">
        <f t="shared" si="7997"/>
        <v>5248.4263778568384</v>
      </c>
      <c r="BQ665" s="41">
        <f t="shared" si="7998"/>
        <v>5356.6466494480292</v>
      </c>
      <c r="BR665" s="41"/>
      <c r="BS665" s="40">
        <v>-2417</v>
      </c>
      <c r="BT665" s="40">
        <v>-2075</v>
      </c>
      <c r="BU665" s="40">
        <v>-1477</v>
      </c>
      <c r="BV665" s="40">
        <v>-1698</v>
      </c>
      <c r="BW665" s="40">
        <v>-1800</v>
      </c>
      <c r="BX665" s="40">
        <v>-1400</v>
      </c>
      <c r="BY665" s="40">
        <v>-1234</v>
      </c>
      <c r="BZ665" s="40">
        <v>-1186</v>
      </c>
      <c r="CA665" s="40">
        <v>-1235</v>
      </c>
      <c r="CB665" s="40">
        <v>-1147</v>
      </c>
      <c r="CC665" s="41">
        <f t="shared" si="7999"/>
        <v>-1208</v>
      </c>
      <c r="CD665" s="41">
        <f t="shared" si="8000"/>
        <v>-1304</v>
      </c>
      <c r="CE665" s="41">
        <f t="shared" si="8001"/>
        <v>-1476</v>
      </c>
      <c r="CF665" s="41">
        <f t="shared" si="8002"/>
        <v>-1574</v>
      </c>
      <c r="CG665" s="41">
        <f t="shared" si="8003"/>
        <v>-1583</v>
      </c>
      <c r="CH665" s="41">
        <f t="shared" si="8004"/>
        <v>-1707</v>
      </c>
      <c r="CI665" s="41">
        <f t="shared" si="8005"/>
        <v>-2000</v>
      </c>
      <c r="CJ665" s="41">
        <f t="shared" si="8006"/>
        <v>-1812</v>
      </c>
      <c r="CK665" s="41">
        <f t="shared" si="8007"/>
        <v>-1662</v>
      </c>
      <c r="CL665" s="41">
        <f t="shared" si="8008"/>
        <v>-1587</v>
      </c>
      <c r="CM665" s="41">
        <f t="shared" si="8009"/>
        <v>-444</v>
      </c>
      <c r="CN665" s="41">
        <f t="shared" si="8010"/>
        <v>-12</v>
      </c>
      <c r="CO665" s="41">
        <f t="shared" si="8011"/>
        <v>151</v>
      </c>
      <c r="CP665" s="41">
        <f t="shared" si="7974"/>
        <v>514</v>
      </c>
      <c r="CQ665" s="41">
        <f t="shared" si="7975"/>
        <v>520</v>
      </c>
      <c r="CR665" s="41">
        <f t="shared" si="7976"/>
        <v>647</v>
      </c>
      <c r="CS665" s="41">
        <f t="shared" si="7977"/>
        <v>567</v>
      </c>
      <c r="CT665" s="41">
        <f t="shared" si="7978"/>
        <v>472</v>
      </c>
      <c r="CU665" s="41">
        <f t="shared" si="7979"/>
        <v>802</v>
      </c>
      <c r="CV665" s="41">
        <f t="shared" si="7980"/>
        <v>1000</v>
      </c>
      <c r="CW665" s="41">
        <f t="shared" si="7981"/>
        <v>2364</v>
      </c>
      <c r="CX665" s="41">
        <f t="shared" si="7982"/>
        <v>2960</v>
      </c>
      <c r="CY665" s="41">
        <f t="shared" si="7951"/>
        <v>3722</v>
      </c>
      <c r="CZ665" s="211">
        <f t="shared" si="7983"/>
        <v>3859</v>
      </c>
      <c r="DA665" s="41">
        <f t="shared" si="7984"/>
        <v>3995.9212614881567</v>
      </c>
      <c r="DB665" s="41">
        <f t="shared" si="7952"/>
        <v>4130.5580106523148</v>
      </c>
      <c r="DC665" s="41">
        <f t="shared" si="7953"/>
        <v>4280.9988713758985</v>
      </c>
      <c r="DD665" s="41">
        <f t="shared" si="7954"/>
        <v>4423.1531508485941</v>
      </c>
      <c r="DE665" s="41">
        <f t="shared" si="7955"/>
        <v>4588.0879771130449</v>
      </c>
      <c r="DF665" s="41">
        <f t="shared" si="7956"/>
        <v>4764.2482526699696</v>
      </c>
      <c r="DG665" s="41">
        <f t="shared" si="7957"/>
        <v>4944.7236314200227</v>
      </c>
      <c r="DH665" s="41">
        <f t="shared" si="7958"/>
        <v>5142.4829874735369</v>
      </c>
      <c r="DI665" s="41">
        <f t="shared" si="7959"/>
        <v>5356.6466494480292</v>
      </c>
    </row>
    <row r="666" spans="1:113" ht="12" outlineLevel="1">
      <c r="A666" s="1" t="s">
        <v>899</v>
      </c>
      <c r="B666" s="15" t="s">
        <v>914</v>
      </c>
      <c r="C666" s="40">
        <v>1361</v>
      </c>
      <c r="D666" s="40">
        <v>1431</v>
      </c>
      <c r="E666" s="40">
        <v>1464</v>
      </c>
      <c r="F666" s="40">
        <v>1542</v>
      </c>
      <c r="G666" s="40">
        <v>1485</v>
      </c>
      <c r="H666" s="40">
        <v>1535</v>
      </c>
      <c r="I666" s="40">
        <v>1532</v>
      </c>
      <c r="J666" s="40">
        <v>1075</v>
      </c>
      <c r="K666" s="40">
        <v>1054</v>
      </c>
      <c r="L666" s="40">
        <v>1061</v>
      </c>
      <c r="M666" s="40">
        <v>1109</v>
      </c>
      <c r="N666" s="40">
        <v>1409</v>
      </c>
      <c r="O666" s="40">
        <v>1493</v>
      </c>
      <c r="P666" s="40">
        <v>1427</v>
      </c>
      <c r="Q666" s="40">
        <v>1592</v>
      </c>
      <c r="R666" s="40">
        <v>1855</v>
      </c>
      <c r="S666" s="40">
        <v>2062</v>
      </c>
      <c r="T666" s="40">
        <v>2154</v>
      </c>
      <c r="U666" s="40">
        <v>2158</v>
      </c>
      <c r="V666" s="40">
        <v>2159</v>
      </c>
      <c r="W666" s="40">
        <v>2125</v>
      </c>
      <c r="X666" s="40">
        <v>2095</v>
      </c>
      <c r="Y666" s="40">
        <v>2114</v>
      </c>
      <c r="Z666" s="141">
        <v>2079</v>
      </c>
      <c r="AA666" s="141">
        <v>2164</v>
      </c>
      <c r="AB666" s="141">
        <v>2150</v>
      </c>
      <c r="AC666" s="141">
        <v>2181</v>
      </c>
      <c r="AD666" s="141">
        <v>2203</v>
      </c>
      <c r="AE666" s="141">
        <v>2221</v>
      </c>
      <c r="AF666" s="141">
        <v>2188</v>
      </c>
      <c r="AG666" s="141">
        <v>2205</v>
      </c>
      <c r="AH666" s="141">
        <v>1979</v>
      </c>
      <c r="AI666" s="141">
        <v>1965</v>
      </c>
      <c r="AJ666" s="141">
        <v>1892</v>
      </c>
      <c r="AK666" s="141">
        <v>1833</v>
      </c>
      <c r="AL666" s="141">
        <v>1863</v>
      </c>
      <c r="AM666" s="141">
        <v>1924</v>
      </c>
      <c r="AN666" s="141">
        <v>3211</v>
      </c>
      <c r="AO666" s="141">
        <v>3013</v>
      </c>
      <c r="AP666" s="141">
        <v>2792</v>
      </c>
      <c r="AQ666" s="141">
        <v>2734</v>
      </c>
      <c r="AR666" s="141">
        <v>2702</v>
      </c>
      <c r="AS666" s="141">
        <v>2431</v>
      </c>
      <c r="AT666" s="141">
        <v>2289</v>
      </c>
      <c r="AU666" s="141">
        <v>2053</v>
      </c>
      <c r="AV666" s="141">
        <v>2005</v>
      </c>
      <c r="AW666" s="141">
        <v>2222</v>
      </c>
      <c r="AX666" s="141">
        <v>2172</v>
      </c>
      <c r="AY666" s="226">
        <v>2144</v>
      </c>
      <c r="AZ666" s="41">
        <f t="shared" si="7985"/>
        <v>2188.6853046845613</v>
      </c>
      <c r="BA666" s="41">
        <f t="shared" si="7986"/>
        <v>2220.0713098291285</v>
      </c>
      <c r="BB666" s="41">
        <f t="shared" si="7987"/>
        <v>2252.8562433063225</v>
      </c>
      <c r="BC666" s="41">
        <f t="shared" si="7988"/>
        <v>2294.8733803675982</v>
      </c>
      <c r="BD666" s="41">
        <f t="shared" si="7989"/>
        <v>2336.0275623190928</v>
      </c>
      <c r="BE666" s="41">
        <f t="shared" si="7990"/>
        <v>2378.4559679269046</v>
      </c>
      <c r="BF666" s="41">
        <f t="shared" si="7991"/>
        <v>2418.3812204628084</v>
      </c>
      <c r="BG666" s="41">
        <f t="shared" si="7992"/>
        <v>2457.4346606424938</v>
      </c>
      <c r="BH666" s="41">
        <f t="shared" si="7992"/>
        <v>2504.267273481239</v>
      </c>
      <c r="BI666" s="41">
        <f t="shared" si="7992"/>
        <v>2549.0698686007686</v>
      </c>
      <c r="BJ666" s="41">
        <f t="shared" si="7992"/>
        <v>2598.2920769846528</v>
      </c>
      <c r="BK666" s="41">
        <f t="shared" si="7992"/>
        <v>2646.941760488316</v>
      </c>
      <c r="BL666" s="41">
        <f t="shared" si="7993"/>
        <v>2696.5748760156689</v>
      </c>
      <c r="BM666" s="41">
        <f t="shared" si="7994"/>
        <v>2747.2110561711652</v>
      </c>
      <c r="BN666" s="41">
        <f t="shared" si="7995"/>
        <v>2801.6047869973131</v>
      </c>
      <c r="BO666" s="41">
        <f t="shared" si="7996"/>
        <v>2857.0830591197873</v>
      </c>
      <c r="BP666" s="41">
        <f t="shared" si="7997"/>
        <v>2915.9435486201237</v>
      </c>
      <c r="BQ666" s="41">
        <f t="shared" si="7998"/>
        <v>2976.0690376824491</v>
      </c>
      <c r="BR666" s="41"/>
      <c r="BS666" s="40">
        <v>2303.5</v>
      </c>
      <c r="BT666" s="40">
        <v>2010.7</v>
      </c>
      <c r="BU666" s="40">
        <v>1928</v>
      </c>
      <c r="BV666" s="40">
        <v>1991</v>
      </c>
      <c r="BW666" s="40">
        <v>2020</v>
      </c>
      <c r="BX666" s="40">
        <v>1644</v>
      </c>
      <c r="BY666" s="40">
        <v>1573</v>
      </c>
      <c r="BZ666" s="40">
        <v>1424</v>
      </c>
      <c r="CA666" s="40">
        <v>1259</v>
      </c>
      <c r="CB666" s="40">
        <v>1361</v>
      </c>
      <c r="CC666" s="41">
        <f t="shared" si="7999"/>
        <v>1464</v>
      </c>
      <c r="CD666" s="41">
        <f t="shared" si="8000"/>
        <v>1485</v>
      </c>
      <c r="CE666" s="41">
        <f t="shared" si="8001"/>
        <v>1532</v>
      </c>
      <c r="CF666" s="41">
        <f t="shared" si="8002"/>
        <v>1054</v>
      </c>
      <c r="CG666" s="41">
        <f t="shared" si="8003"/>
        <v>1109</v>
      </c>
      <c r="CH666" s="41">
        <f t="shared" si="8004"/>
        <v>1493</v>
      </c>
      <c r="CI666" s="41">
        <f t="shared" si="8005"/>
        <v>1592</v>
      </c>
      <c r="CJ666" s="41">
        <f t="shared" si="8006"/>
        <v>2062</v>
      </c>
      <c r="CK666" s="41">
        <f t="shared" si="8007"/>
        <v>2158</v>
      </c>
      <c r="CL666" s="41">
        <f t="shared" si="8008"/>
        <v>2125</v>
      </c>
      <c r="CM666" s="41">
        <f t="shared" si="8009"/>
        <v>2114</v>
      </c>
      <c r="CN666" s="41">
        <f t="shared" si="8010"/>
        <v>2164</v>
      </c>
      <c r="CO666" s="41">
        <f t="shared" si="8011"/>
        <v>2181</v>
      </c>
      <c r="CP666" s="41">
        <f t="shared" si="7974"/>
        <v>2221</v>
      </c>
      <c r="CQ666" s="41">
        <f t="shared" si="7975"/>
        <v>2205</v>
      </c>
      <c r="CR666" s="41">
        <f t="shared" si="7976"/>
        <v>1965</v>
      </c>
      <c r="CS666" s="41">
        <f t="shared" si="7977"/>
        <v>1833</v>
      </c>
      <c r="CT666" s="41">
        <f t="shared" si="7978"/>
        <v>1924</v>
      </c>
      <c r="CU666" s="41">
        <f t="shared" si="7979"/>
        <v>3013</v>
      </c>
      <c r="CV666" s="41">
        <f t="shared" si="7980"/>
        <v>2734</v>
      </c>
      <c r="CW666" s="41">
        <f t="shared" si="7981"/>
        <v>2431</v>
      </c>
      <c r="CX666" s="41">
        <f t="shared" si="7982"/>
        <v>2053</v>
      </c>
      <c r="CY666" s="41">
        <f t="shared" si="7951"/>
        <v>2222</v>
      </c>
      <c r="CZ666" s="211">
        <f t="shared" si="7983"/>
        <v>2144</v>
      </c>
      <c r="DA666" s="41">
        <f t="shared" si="7984"/>
        <v>2220.0713098291285</v>
      </c>
      <c r="DB666" s="41">
        <f t="shared" si="7952"/>
        <v>2294.8733803675982</v>
      </c>
      <c r="DC666" s="41">
        <f t="shared" si="7953"/>
        <v>2378.4559679269046</v>
      </c>
      <c r="DD666" s="41">
        <f t="shared" si="7954"/>
        <v>2457.4346606424938</v>
      </c>
      <c r="DE666" s="41">
        <f t="shared" si="7955"/>
        <v>2549.0698686007686</v>
      </c>
      <c r="DF666" s="41">
        <f t="shared" si="7956"/>
        <v>2646.941760488316</v>
      </c>
      <c r="DG666" s="41">
        <f t="shared" si="7957"/>
        <v>2747.2110561711652</v>
      </c>
      <c r="DH666" s="41">
        <f t="shared" si="7958"/>
        <v>2857.0830591197873</v>
      </c>
      <c r="DI666" s="41">
        <f t="shared" si="7959"/>
        <v>2976.0690376824491</v>
      </c>
    </row>
    <row r="667" spans="1:113" ht="12" outlineLevel="1">
      <c r="A667" s="1" t="s">
        <v>903</v>
      </c>
      <c r="B667" s="15" t="s">
        <v>934</v>
      </c>
      <c r="C667" s="41">
        <f t="shared" ref="C667:AE667" si="8012">C660-SUM(C661:C666,C668:C669,C178,-SUM(C120:C121))</f>
        <v>39337</v>
      </c>
      <c r="D667" s="41">
        <f t="shared" si="8012"/>
        <v>31502</v>
      </c>
      <c r="E667" s="41">
        <f t="shared" si="8012"/>
        <v>27002</v>
      </c>
      <c r="F667" s="41">
        <f t="shared" si="8012"/>
        <v>24679</v>
      </c>
      <c r="G667" s="41">
        <f t="shared" si="8012"/>
        <v>24668</v>
      </c>
      <c r="H667" s="41">
        <f t="shared" si="8012"/>
        <v>25901</v>
      </c>
      <c r="I667" s="41">
        <f t="shared" si="8012"/>
        <v>23254</v>
      </c>
      <c r="J667" s="41">
        <f t="shared" si="8012"/>
        <v>21332</v>
      </c>
      <c r="K667" s="41">
        <f t="shared" si="8012"/>
        <v>21560</v>
      </c>
      <c r="L667" s="41">
        <f t="shared" si="8012"/>
        <v>18603</v>
      </c>
      <c r="M667" s="41">
        <f t="shared" si="8012"/>
        <v>18789</v>
      </c>
      <c r="N667" s="41">
        <f t="shared" si="8012"/>
        <v>19141</v>
      </c>
      <c r="O667" s="41">
        <f t="shared" si="8012"/>
        <v>19352</v>
      </c>
      <c r="P667" s="41">
        <f t="shared" si="8012"/>
        <v>21769</v>
      </c>
      <c r="Q667" s="41">
        <f t="shared" si="8012"/>
        <v>22166</v>
      </c>
      <c r="R667" s="41">
        <f t="shared" si="8012"/>
        <v>24319</v>
      </c>
      <c r="S667" s="41">
        <f t="shared" si="8012"/>
        <v>20034</v>
      </c>
      <c r="T667" s="41">
        <f t="shared" si="8012"/>
        <v>52852</v>
      </c>
      <c r="U667" s="41">
        <f t="shared" si="8012"/>
        <v>52766</v>
      </c>
      <c r="V667" s="41">
        <f t="shared" si="8012"/>
        <v>44242</v>
      </c>
      <c r="W667" s="41">
        <f t="shared" si="8012"/>
        <v>46193</v>
      </c>
      <c r="X667" s="41">
        <f t="shared" si="8012"/>
        <v>41775</v>
      </c>
      <c r="Y667" s="41">
        <f t="shared" si="8012"/>
        <v>40815</v>
      </c>
      <c r="Z667" s="41">
        <f t="shared" si="8012"/>
        <v>41539</v>
      </c>
      <c r="AA667" s="41">
        <f t="shared" si="8012"/>
        <v>42269</v>
      </c>
      <c r="AB667" s="41">
        <f t="shared" si="8012"/>
        <v>44362</v>
      </c>
      <c r="AC667" s="41">
        <f t="shared" si="8012"/>
        <v>44074</v>
      </c>
      <c r="AD667" s="41">
        <f t="shared" si="8012"/>
        <v>47510</v>
      </c>
      <c r="AE667" s="41">
        <f t="shared" si="8012"/>
        <v>47195</v>
      </c>
      <c r="AF667" s="41">
        <f t="shared" ref="AF667:AG667" si="8013">AF660-SUM(AF661:AF666,AF668:AF669,AF178,-SUM(AF120:AF121))</f>
        <v>45361</v>
      </c>
      <c r="AG667" s="41">
        <f t="shared" si="8013"/>
        <v>46495</v>
      </c>
      <c r="AH667" s="41">
        <f t="shared" ref="AH667:AI667" si="8014">AH660-SUM(AH661:AH666,AH668:AH669,AH178,-SUM(AH120:AH121))</f>
        <v>49425</v>
      </c>
      <c r="AI667" s="41">
        <f t="shared" si="8014"/>
        <v>49660</v>
      </c>
      <c r="AJ667" s="41">
        <f t="shared" ref="AJ667:AK667" si="8015">AJ660-SUM(AJ661:AJ666,AJ668:AJ669,AJ178,-SUM(AJ120:AJ121))</f>
        <v>51604</v>
      </c>
      <c r="AK667" s="41">
        <f t="shared" si="8015"/>
        <v>51897</v>
      </c>
      <c r="AL667" s="41">
        <f t="shared" ref="AL667:AM667" si="8016">AL660-SUM(AL661:AL666,AL668:AL669,AL178,-SUM(AL120:AL121))</f>
        <v>51509</v>
      </c>
      <c r="AM667" s="41">
        <f t="shared" si="8016"/>
        <v>10230</v>
      </c>
      <c r="AN667" s="41">
        <f t="shared" ref="AN667:AO667" si="8017">AN660-SUM(AN661:AN666,AN668:AN669,AN178,-SUM(AN120:AN121))</f>
        <v>9569</v>
      </c>
      <c r="AO667" s="41">
        <f t="shared" si="8017"/>
        <v>8187</v>
      </c>
      <c r="AP667" s="41">
        <f t="shared" ref="AP667:AQ667" si="8018">AP660-SUM(AP661:AP666,AP668:AP669,AP178,-SUM(AP120:AP121))</f>
        <v>7831</v>
      </c>
      <c r="AQ667" s="41">
        <f t="shared" si="8018"/>
        <v>7599</v>
      </c>
      <c r="AR667" s="41">
        <f t="shared" ref="AR667:AS667" si="8019">AR660-SUM(AR661:AR666,AR668:AR669,AR178,-SUM(AR120:AR121))</f>
        <v>8508</v>
      </c>
      <c r="AS667" s="41">
        <f t="shared" si="8019"/>
        <v>9384</v>
      </c>
      <c r="AT667" s="41">
        <f t="shared" ref="AT667:AU667" si="8020">AT660-SUM(AT661:AT666,AT668:AT669,AT178,-SUM(AT120:AT121))</f>
        <v>9989</v>
      </c>
      <c r="AU667" s="41">
        <f t="shared" si="8020"/>
        <v>11020</v>
      </c>
      <c r="AV667" s="41">
        <f t="shared" ref="AV667:AW667" si="8021">AV660-SUM(AV661:AV666,AV668:AV669,AV178,-SUM(AV120:AV121))</f>
        <v>11166</v>
      </c>
      <c r="AW667" s="41">
        <f t="shared" si="8021"/>
        <v>11241</v>
      </c>
      <c r="AX667" s="41">
        <f t="shared" ref="AX667:AY667" si="8022">AX660-SUM(AX661:AX666,AX668:AX669,AX178,-SUM(AX120:AX121))</f>
        <v>11604</v>
      </c>
      <c r="AY667" s="211">
        <f t="shared" si="8022"/>
        <v>10646</v>
      </c>
      <c r="AZ667" s="41">
        <f t="shared" ref="AZ667:BA667" si="8023">AZ660-SUM(AZ661:AZ666,AZ668:AZ669,AZ178,-SUM(AZ120:AZ121))</f>
        <v>11019.488448314369</v>
      </c>
      <c r="BA667" s="41">
        <f t="shared" si="8023"/>
        <v>11317.104580187704</v>
      </c>
      <c r="BB667" s="41">
        <f t="shared" ref="BB667:BC667" si="8024">BB660-SUM(BB661:BB666,BB668:BB669,BB178,-SUM(BB120:BB121))</f>
        <v>11614.528012645897</v>
      </c>
      <c r="BC667" s="41">
        <f t="shared" si="8024"/>
        <v>11981.435722671449</v>
      </c>
      <c r="BD667" s="41">
        <f t="shared" ref="BD667:BE667" si="8025">BD660-SUM(BD661:BD666,BD668:BD669,BD178,-SUM(BD120:BD121))</f>
        <v>12373.925952406367</v>
      </c>
      <c r="BE667" s="41">
        <f t="shared" si="8025"/>
        <v>12785.8538252695</v>
      </c>
      <c r="BF667" s="41">
        <f t="shared" ref="BF667:BG667" si="8026">BF660-SUM(BF661:BF666,BF668:BF669,BF178,-SUM(BF120:BF121))</f>
        <v>13210.090844159946</v>
      </c>
      <c r="BG667" s="41">
        <f t="shared" si="8026"/>
        <v>13658.822268722812</v>
      </c>
      <c r="BH667" s="41">
        <f t="shared" ref="BH667:BI667" si="8027">BH660-SUM(BH661:BH666,BH668:BH669,BH178,-SUM(BH120:BH121))</f>
        <v>14179.317913787207</v>
      </c>
      <c r="BI667" s="41">
        <f t="shared" si="8027"/>
        <v>14690.580277915113</v>
      </c>
      <c r="BJ667" s="41">
        <f t="shared" ref="BJ667:BK667" si="8028">BJ660-SUM(BJ661:BJ666,BJ668:BJ669,BJ178,-SUM(BJ120:BJ121))</f>
        <v>15029.741487770341</v>
      </c>
      <c r="BK667" s="41">
        <f t="shared" si="8028"/>
        <v>15352.934872184414</v>
      </c>
      <c r="BL667" s="41">
        <f t="shared" ref="BL667:BM667" si="8029">BL660-SUM(BL661:BL666,BL668:BL669,BL178,-SUM(BL120:BL121))</f>
        <v>15682.208398807561</v>
      </c>
      <c r="BM667" s="41">
        <f t="shared" si="8029"/>
        <v>16017.669928472489</v>
      </c>
      <c r="BN667" s="41">
        <f t="shared" ref="BN667:BO667" si="8030">BN660-SUM(BN661:BN666,BN668:BN669,BN178,-SUM(BN120:BN121))</f>
        <v>16387.517506590812</v>
      </c>
      <c r="BO667" s="41">
        <f t="shared" si="8030"/>
        <v>16763.981201137183</v>
      </c>
      <c r="BP667" s="41">
        <f t="shared" ref="BP667:BQ667" si="8031">BP660-SUM(BP661:BP666,BP668:BP669,BP178,-SUM(BP120:BP121))</f>
        <v>17170.380024757236</v>
      </c>
      <c r="BQ667" s="41">
        <f t="shared" si="8031"/>
        <v>17584.842474165838</v>
      </c>
      <c r="BR667" s="41"/>
      <c r="BS667" s="41">
        <f t="shared" ref="BS667:CB667" si="8032">BS660-SUM(BS661:BS666,BS668:BS669,BS178,-SUM(BS120:BS121))</f>
        <v>20385.600407827558</v>
      </c>
      <c r="BT667" s="41">
        <f t="shared" si="8032"/>
        <v>21220.520391982151</v>
      </c>
      <c r="BU667" s="41">
        <f t="shared" si="8032"/>
        <v>16270.474591376144</v>
      </c>
      <c r="BV667" s="41">
        <f t="shared" si="8032"/>
        <v>17579.87777005219</v>
      </c>
      <c r="BW667" s="41">
        <f t="shared" si="8032"/>
        <v>20213.093556244115</v>
      </c>
      <c r="BX667" s="41">
        <f t="shared" si="8032"/>
        <v>25047.484056684596</v>
      </c>
      <c r="BY667" s="41">
        <f t="shared" si="8032"/>
        <v>35574.570564910711</v>
      </c>
      <c r="BZ667" s="41">
        <f t="shared" si="8032"/>
        <v>29464</v>
      </c>
      <c r="CA667" s="41">
        <f t="shared" si="8032"/>
        <v>36117</v>
      </c>
      <c r="CB667" s="41">
        <f t="shared" si="8032"/>
        <v>36534</v>
      </c>
      <c r="CC667" s="41">
        <f t="shared" si="7999"/>
        <v>27002</v>
      </c>
      <c r="CD667" s="41">
        <f t="shared" si="8000"/>
        <v>24668</v>
      </c>
      <c r="CE667" s="41">
        <f t="shared" si="8001"/>
        <v>23254</v>
      </c>
      <c r="CF667" s="41">
        <f t="shared" si="8002"/>
        <v>21560</v>
      </c>
      <c r="CG667" s="41">
        <f t="shared" si="8003"/>
        <v>18789</v>
      </c>
      <c r="CH667" s="41">
        <f t="shared" si="8004"/>
        <v>19352</v>
      </c>
      <c r="CI667" s="41">
        <f t="shared" si="8005"/>
        <v>22166</v>
      </c>
      <c r="CJ667" s="41">
        <f t="shared" si="8006"/>
        <v>20034</v>
      </c>
      <c r="CK667" s="41">
        <f t="shared" si="8007"/>
        <v>52766</v>
      </c>
      <c r="CL667" s="41">
        <f t="shared" si="8008"/>
        <v>46193</v>
      </c>
      <c r="CM667" s="41">
        <f t="shared" si="8009"/>
        <v>40815</v>
      </c>
      <c r="CN667" s="41">
        <f t="shared" si="8010"/>
        <v>42269</v>
      </c>
      <c r="CO667" s="41">
        <f t="shared" si="8011"/>
        <v>44074</v>
      </c>
      <c r="CP667" s="41">
        <f t="shared" si="7974"/>
        <v>47195</v>
      </c>
      <c r="CQ667" s="41">
        <f t="shared" si="7975"/>
        <v>46495</v>
      </c>
      <c r="CR667" s="41">
        <f t="shared" si="7976"/>
        <v>49660</v>
      </c>
      <c r="CS667" s="41">
        <f t="shared" si="7977"/>
        <v>51897</v>
      </c>
      <c r="CT667" s="41">
        <f t="shared" si="7978"/>
        <v>10230</v>
      </c>
      <c r="CU667" s="41">
        <f t="shared" si="7979"/>
        <v>8187</v>
      </c>
      <c r="CV667" s="41">
        <f t="shared" si="7980"/>
        <v>7599</v>
      </c>
      <c r="CW667" s="41">
        <f t="shared" si="7981"/>
        <v>9384</v>
      </c>
      <c r="CX667" s="41">
        <f t="shared" si="7982"/>
        <v>11020</v>
      </c>
      <c r="CY667" s="41">
        <f t="shared" si="7951"/>
        <v>11241</v>
      </c>
      <c r="CZ667" s="211">
        <f t="shared" si="7983"/>
        <v>10646</v>
      </c>
      <c r="DA667" s="41">
        <f t="shared" si="7984"/>
        <v>11317.104580187704</v>
      </c>
      <c r="DB667" s="41">
        <f t="shared" si="7952"/>
        <v>11981.435722671449</v>
      </c>
      <c r="DC667" s="41">
        <f t="shared" si="7953"/>
        <v>12785.8538252695</v>
      </c>
      <c r="DD667" s="41">
        <f t="shared" si="7954"/>
        <v>13658.822268722812</v>
      </c>
      <c r="DE667" s="41">
        <f t="shared" si="7955"/>
        <v>14690.580277915113</v>
      </c>
      <c r="DF667" s="41">
        <f t="shared" si="7956"/>
        <v>15352.934872184414</v>
      </c>
      <c r="DG667" s="41">
        <f t="shared" si="7957"/>
        <v>16017.669928472489</v>
      </c>
      <c r="DH667" s="41">
        <f t="shared" si="7958"/>
        <v>16763.981201137183</v>
      </c>
      <c r="DI667" s="41">
        <f t="shared" si="7959"/>
        <v>17584.842474165838</v>
      </c>
    </row>
    <row r="668" spans="1:113" ht="12" outlineLevel="1">
      <c r="A668" s="1" t="s">
        <v>904</v>
      </c>
      <c r="B668" s="15" t="s">
        <v>805</v>
      </c>
      <c r="C668" s="40">
        <v>7794</v>
      </c>
      <c r="D668" s="40">
        <v>6752</v>
      </c>
      <c r="E668" s="40">
        <v>7410</v>
      </c>
      <c r="F668" s="40">
        <v>7759</v>
      </c>
      <c r="G668" s="40">
        <v>6592</v>
      </c>
      <c r="H668" s="40">
        <v>5732</v>
      </c>
      <c r="I668" s="40">
        <v>6363</v>
      </c>
      <c r="J668" s="40">
        <v>8856</v>
      </c>
      <c r="K668" s="40">
        <v>11601</v>
      </c>
      <c r="L668" s="40">
        <v>13870</v>
      </c>
      <c r="M668" s="40">
        <v>15019</v>
      </c>
      <c r="N668" s="40">
        <v>15433</v>
      </c>
      <c r="O668" s="40">
        <v>16987</v>
      </c>
      <c r="P668" s="40">
        <v>17803</v>
      </c>
      <c r="Q668" s="40">
        <v>25030</v>
      </c>
      <c r="R668" s="40">
        <v>26743</v>
      </c>
      <c r="S668" s="40">
        <v>25317</v>
      </c>
      <c r="T668" s="40">
        <v>22626</v>
      </c>
      <c r="U668" s="40">
        <v>18945</v>
      </c>
      <c r="V668" s="40">
        <v>19298</v>
      </c>
      <c r="W668" s="40">
        <v>24899</v>
      </c>
      <c r="X668" s="40">
        <v>35771</v>
      </c>
      <c r="Y668" s="40">
        <v>36578</v>
      </c>
      <c r="Z668" s="141">
        <f>39779+6699</f>
        <v>46478</v>
      </c>
      <c r="AA668" s="141">
        <f>25270+6530</f>
        <v>31800</v>
      </c>
      <c r="AB668" s="141">
        <f>33651+6219</f>
        <v>39870</v>
      </c>
      <c r="AC668" s="141">
        <f>32559+5459</f>
        <v>38018</v>
      </c>
      <c r="AD668" s="141">
        <f>46004+10707</f>
        <v>56711</v>
      </c>
      <c r="AE668" s="141">
        <f>53903+9967</f>
        <v>63870</v>
      </c>
      <c r="AF668" s="141">
        <f>49144+12783</f>
        <v>61927</v>
      </c>
      <c r="AG668" s="141">
        <f>48675+12723</f>
        <v>61398</v>
      </c>
      <c r="AH668" s="141">
        <f>56419+11179</f>
        <v>67598</v>
      </c>
      <c r="AI668" s="141">
        <f>68048+8987</f>
        <v>77035</v>
      </c>
      <c r="AJ668" s="141">
        <f>82071+10863</f>
        <v>92934</v>
      </c>
      <c r="AK668" s="141">
        <f>84636+11043</f>
        <v>95679</v>
      </c>
      <c r="AL668" s="141">
        <f>93996+11860</f>
        <v>105856</v>
      </c>
      <c r="AM668" s="141">
        <f>81621+15006</f>
        <v>96627</v>
      </c>
      <c r="AN668" s="141">
        <f>143093+16762</f>
        <v>159855</v>
      </c>
      <c r="AO668" s="141">
        <f>107923+14308</f>
        <v>122231</v>
      </c>
      <c r="AP668" s="141">
        <f>124460+12059</f>
        <v>136519</v>
      </c>
      <c r="AQ668" s="141">
        <f>151260+9166</f>
        <v>160426</v>
      </c>
      <c r="AR668" s="141">
        <f>168054+10764</f>
        <v>178818</v>
      </c>
      <c r="AS668" s="141">
        <f>168132+12700</f>
        <v>180832</v>
      </c>
      <c r="AT668" s="141">
        <f>208800+9245</f>
        <v>218045</v>
      </c>
      <c r="AU668" s="141">
        <f>168154+8558</f>
        <v>176712</v>
      </c>
      <c r="AV668" s="141">
        <f>137699+8241</f>
        <v>145940</v>
      </c>
      <c r="AW668" s="141">
        <f>150967+10090</f>
        <v>161057</v>
      </c>
      <c r="AX668" s="141">
        <f>195791+10464</f>
        <v>206255</v>
      </c>
      <c r="AY668" s="226">
        <f>155211+9831</f>
        <v>165042</v>
      </c>
      <c r="AZ668" s="41">
        <f t="shared" ref="AZ668:AZ669" si="8033">AY668*AZ$660/AY$660</f>
        <v>168481.80972749507</v>
      </c>
      <c r="BA668" s="41">
        <f t="shared" ref="BA668:BA669" si="8034">AZ668*BA$660/AZ$660</f>
        <v>170897.85872985967</v>
      </c>
      <c r="BB668" s="41">
        <f t="shared" ref="BB668:BB669" si="8035">BA668*BB$660/BA$660</f>
        <v>173421.59519951596</v>
      </c>
      <c r="BC668" s="41">
        <f t="shared" ref="BC668:BC669" si="8036">BB668*BC$660/BB$660</f>
        <v>176656.01326615174</v>
      </c>
      <c r="BD668" s="41">
        <f t="shared" ref="BD668:BD669" si="8037">BC668*BD$660/BC$660</f>
        <v>179824.00230422942</v>
      </c>
      <c r="BE668" s="41">
        <f t="shared" ref="BE668:BE669" si="8038">BD668*BE$660/BD$660</f>
        <v>183090.07922508975</v>
      </c>
      <c r="BF668" s="41">
        <f t="shared" ref="BF668:BF669" si="8039">BE668*BF$660/BE$660</f>
        <v>186163.46706512271</v>
      </c>
      <c r="BG668" s="41">
        <f t="shared" ref="BG668:BK669" si="8040">BF668*BG$660/BF$660</f>
        <v>189169.7440586561</v>
      </c>
      <c r="BH668" s="41">
        <f t="shared" si="8040"/>
        <v>192774.85044304613</v>
      </c>
      <c r="BI668" s="41">
        <f t="shared" si="8040"/>
        <v>196223.68901754121</v>
      </c>
      <c r="BJ668" s="41">
        <f t="shared" si="8040"/>
        <v>200012.74298959953</v>
      </c>
      <c r="BK668" s="41">
        <f t="shared" si="8040"/>
        <v>203757.72482953034</v>
      </c>
      <c r="BL668" s="41">
        <f t="shared" ref="BL668:BL669" si="8041">BK668*BL$660/BK$660</f>
        <v>207578.40983553097</v>
      </c>
      <c r="BM668" s="41">
        <f t="shared" ref="BM668:BM669" si="8042">BL668*BM$660/BL$660</f>
        <v>211476.30929692247</v>
      </c>
      <c r="BN668" s="41">
        <f t="shared" ref="BN668:BN669" si="8043">BM668*BN$660/BM$660</f>
        <v>215663.45954086329</v>
      </c>
      <c r="BO668" s="41">
        <f t="shared" ref="BO668:BO669" si="8044">BN668*BO$660/BN$660</f>
        <v>219934.0961955449</v>
      </c>
      <c r="BP668" s="41">
        <f t="shared" ref="BP668:BP669" si="8045">BO668*BP$660/BO$660</f>
        <v>224465.09102209087</v>
      </c>
      <c r="BQ668" s="41">
        <f t="shared" ref="BQ668:BQ669" si="8046">BP668*BQ$660/BP$660</f>
        <v>229093.46367406115</v>
      </c>
      <c r="BR668" s="41"/>
      <c r="BS668" s="40">
        <v>1750.7</v>
      </c>
      <c r="BT668" s="40">
        <v>3708.6</v>
      </c>
      <c r="BU668" s="40">
        <v>6068</v>
      </c>
      <c r="BV668" s="40">
        <v>5054</v>
      </c>
      <c r="BW668" s="40">
        <v>6901</v>
      </c>
      <c r="BX668" s="40">
        <v>6974</v>
      </c>
      <c r="BY668" s="40">
        <v>7527</v>
      </c>
      <c r="BZ668" s="40">
        <v>5283</v>
      </c>
      <c r="CA668" s="40">
        <v>5648</v>
      </c>
      <c r="CB668" s="40">
        <v>7794</v>
      </c>
      <c r="CC668" s="41">
        <f>E668</f>
        <v>7410</v>
      </c>
      <c r="CD668" s="41">
        <f>G668</f>
        <v>6592</v>
      </c>
      <c r="CE668" s="41">
        <f>I668</f>
        <v>6363</v>
      </c>
      <c r="CF668" s="41">
        <f>K668</f>
        <v>11601</v>
      </c>
      <c r="CG668" s="41">
        <f>M668</f>
        <v>15019</v>
      </c>
      <c r="CH668" s="41">
        <f>O668</f>
        <v>16987</v>
      </c>
      <c r="CI668" s="41">
        <f>Q668</f>
        <v>25030</v>
      </c>
      <c r="CJ668" s="41">
        <f>S668</f>
        <v>25317</v>
      </c>
      <c r="CK668" s="41">
        <f t="shared" si="8007"/>
        <v>18945</v>
      </c>
      <c r="CL668" s="41">
        <f t="shared" si="8008"/>
        <v>24899</v>
      </c>
      <c r="CM668" s="41">
        <f t="shared" si="8009"/>
        <v>36578</v>
      </c>
      <c r="CN668" s="41">
        <f t="shared" si="8010"/>
        <v>31800</v>
      </c>
      <c r="CO668" s="41">
        <f t="shared" si="8011"/>
        <v>38018</v>
      </c>
      <c r="CP668" s="41">
        <f t="shared" si="7974"/>
        <v>63870</v>
      </c>
      <c r="CQ668" s="41">
        <f t="shared" si="7975"/>
        <v>61398</v>
      </c>
      <c r="CR668" s="41">
        <f t="shared" si="7976"/>
        <v>77035</v>
      </c>
      <c r="CS668" s="41">
        <f t="shared" si="7977"/>
        <v>95679</v>
      </c>
      <c r="CT668" s="41">
        <f t="shared" si="7978"/>
        <v>96627</v>
      </c>
      <c r="CU668" s="41">
        <f t="shared" si="7979"/>
        <v>122231</v>
      </c>
      <c r="CV668" s="41">
        <f t="shared" si="7980"/>
        <v>160426</v>
      </c>
      <c r="CW668" s="41">
        <f t="shared" si="7981"/>
        <v>180832</v>
      </c>
      <c r="CX668" s="41">
        <f t="shared" si="7982"/>
        <v>176712</v>
      </c>
      <c r="CY668" s="41">
        <f t="shared" si="7951"/>
        <v>161057</v>
      </c>
      <c r="CZ668" s="211">
        <f t="shared" si="7983"/>
        <v>165042</v>
      </c>
      <c r="DA668" s="41">
        <f t="shared" si="7984"/>
        <v>170897.85872985967</v>
      </c>
      <c r="DB668" s="41">
        <f t="shared" si="7952"/>
        <v>176656.01326615174</v>
      </c>
      <c r="DC668" s="41">
        <f t="shared" si="7953"/>
        <v>183090.07922508975</v>
      </c>
      <c r="DD668" s="41">
        <f t="shared" si="7954"/>
        <v>189169.7440586561</v>
      </c>
      <c r="DE668" s="41">
        <f t="shared" si="7955"/>
        <v>196223.68901754121</v>
      </c>
      <c r="DF668" s="41">
        <f t="shared" si="7956"/>
        <v>203757.72482953034</v>
      </c>
      <c r="DG668" s="41">
        <f t="shared" si="7957"/>
        <v>211476.30929692247</v>
      </c>
      <c r="DH668" s="41">
        <f t="shared" si="7958"/>
        <v>219934.0961955449</v>
      </c>
      <c r="DI668" s="41">
        <f t="shared" si="7959"/>
        <v>229093.46367406115</v>
      </c>
    </row>
    <row r="669" spans="1:113" ht="12" outlineLevel="1">
      <c r="A669" s="1" t="s">
        <v>905</v>
      </c>
      <c r="B669" s="15" t="s">
        <v>806</v>
      </c>
      <c r="C669" s="40">
        <v>64</v>
      </c>
      <c r="D669" s="40">
        <v>76</v>
      </c>
      <c r="E669" s="40">
        <v>1692</v>
      </c>
      <c r="F669" s="40">
        <v>1759</v>
      </c>
      <c r="G669" s="40">
        <v>1814</v>
      </c>
      <c r="H669" s="40">
        <v>1905</v>
      </c>
      <c r="I669" s="40">
        <v>1960</v>
      </c>
      <c r="J669" s="40">
        <v>1796</v>
      </c>
      <c r="K669" s="40">
        <v>1926</v>
      </c>
      <c r="L669" s="40">
        <v>1912</v>
      </c>
      <c r="M669" s="40">
        <v>2200</v>
      </c>
      <c r="N669" s="40">
        <v>2281</v>
      </c>
      <c r="O669" s="40">
        <v>3430</v>
      </c>
      <c r="P669" s="40">
        <v>3869</v>
      </c>
      <c r="Q669" s="40">
        <v>4375</v>
      </c>
      <c r="R669" s="40">
        <v>4712</v>
      </c>
      <c r="S669" s="40">
        <v>4565</v>
      </c>
      <c r="T669" s="40">
        <v>2854</v>
      </c>
      <c r="U669" s="40">
        <v>2965</v>
      </c>
      <c r="V669" s="40">
        <v>3239</v>
      </c>
      <c r="W669" s="40">
        <v>3513</v>
      </c>
      <c r="X669" s="40">
        <v>3424</v>
      </c>
      <c r="Y669" s="40">
        <v>3520</v>
      </c>
      <c r="Z669" s="141">
        <v>3719</v>
      </c>
      <c r="AA669" s="141">
        <v>4123</v>
      </c>
      <c r="AB669" s="141">
        <v>4323</v>
      </c>
      <c r="AC669" s="141">
        <v>4582</v>
      </c>
      <c r="AD669" s="141">
        <v>5315</v>
      </c>
      <c r="AE669" s="141">
        <v>5440</v>
      </c>
      <c r="AF669" s="141">
        <v>4213</v>
      </c>
      <c r="AG669" s="141">
        <v>4272</v>
      </c>
      <c r="AH669" s="141">
        <v>2286</v>
      </c>
      <c r="AI669" s="141">
        <v>2248</v>
      </c>
      <c r="AJ669" s="141">
        <v>2481</v>
      </c>
      <c r="AK669" s="141">
        <v>2553</v>
      </c>
      <c r="AL669" s="141">
        <v>2737</v>
      </c>
      <c r="AM669" s="141">
        <v>2957</v>
      </c>
      <c r="AN669" s="141">
        <v>2313</v>
      </c>
      <c r="AO669" s="141">
        <v>2164</v>
      </c>
      <c r="AP669" s="141">
        <v>1854</v>
      </c>
      <c r="AQ669" s="141">
        <v>1972</v>
      </c>
      <c r="AR669" s="141">
        <v>2018</v>
      </c>
      <c r="AS669" s="141">
        <v>2181</v>
      </c>
      <c r="AT669" s="141">
        <v>2253</v>
      </c>
      <c r="AU669" s="141">
        <v>2349</v>
      </c>
      <c r="AV669" s="141">
        <v>1419</v>
      </c>
      <c r="AW669" s="141">
        <v>1444</v>
      </c>
      <c r="AX669" s="141">
        <v>1496</v>
      </c>
      <c r="AY669" s="226">
        <v>1142</v>
      </c>
      <c r="AZ669" s="41">
        <f t="shared" si="8033"/>
        <v>1165.8015941929893</v>
      </c>
      <c r="BA669" s="41">
        <f t="shared" si="8034"/>
        <v>1182.5193264108514</v>
      </c>
      <c r="BB669" s="41">
        <f t="shared" si="8035"/>
        <v>1199.9821967611103</v>
      </c>
      <c r="BC669" s="41">
        <f t="shared" si="8036"/>
        <v>1222.3625934607264</v>
      </c>
      <c r="BD669" s="41">
        <f t="shared" si="8037"/>
        <v>1244.2833377651139</v>
      </c>
      <c r="BE669" s="41">
        <f t="shared" si="8038"/>
        <v>1266.8827963491256</v>
      </c>
      <c r="BF669" s="41">
        <f t="shared" si="8039"/>
        <v>1288.1489523174102</v>
      </c>
      <c r="BG669" s="41">
        <f t="shared" si="8040"/>
        <v>1308.9507380847613</v>
      </c>
      <c r="BH669" s="41">
        <f t="shared" si="8040"/>
        <v>1333.8960943636077</v>
      </c>
      <c r="BI669" s="41">
        <f t="shared" si="8040"/>
        <v>1357.7601632192529</v>
      </c>
      <c r="BJ669" s="41">
        <f t="shared" si="8040"/>
        <v>1383.9783357819376</v>
      </c>
      <c r="BK669" s="41">
        <f t="shared" si="8040"/>
        <v>1409.89155339443</v>
      </c>
      <c r="BL669" s="41">
        <f t="shared" si="8041"/>
        <v>1436.3285953404359</v>
      </c>
      <c r="BM669" s="41">
        <f t="shared" si="8042"/>
        <v>1463.2999189120667</v>
      </c>
      <c r="BN669" s="41">
        <f t="shared" si="8043"/>
        <v>1492.2726990442779</v>
      </c>
      <c r="BO669" s="41">
        <f t="shared" si="8044"/>
        <v>1521.8231592886179</v>
      </c>
      <c r="BP669" s="41">
        <f t="shared" si="8045"/>
        <v>1553.1751550952338</v>
      </c>
      <c r="BQ669" s="41">
        <f t="shared" si="8046"/>
        <v>1585.2009519745131</v>
      </c>
      <c r="BR669" s="41"/>
      <c r="BS669" s="40">
        <v>19.3</v>
      </c>
      <c r="BT669" s="40">
        <v>16.3</v>
      </c>
      <c r="BU669" s="40">
        <v>8</v>
      </c>
      <c r="BV669" s="40">
        <v>10</v>
      </c>
      <c r="BW669" s="40">
        <v>10</v>
      </c>
      <c r="BX669" s="40">
        <v>7</v>
      </c>
      <c r="BY669" s="40">
        <v>11</v>
      </c>
      <c r="BZ669" s="40">
        <v>32</v>
      </c>
      <c r="CA669" s="40">
        <v>29</v>
      </c>
      <c r="CB669" s="40">
        <v>64</v>
      </c>
      <c r="CC669" s="41">
        <f t="shared" ref="CC669:CC682" si="8047">E669</f>
        <v>1692</v>
      </c>
      <c r="CD669" s="41">
        <f t="shared" ref="CD669:CD682" si="8048">G669</f>
        <v>1814</v>
      </c>
      <c r="CE669" s="41">
        <f t="shared" ref="CE669:CE682" si="8049">I669</f>
        <v>1960</v>
      </c>
      <c r="CF669" s="41">
        <f t="shared" ref="CF669:CF682" si="8050">K669</f>
        <v>1926</v>
      </c>
      <c r="CG669" s="41">
        <f t="shared" ref="CG669:CG682" si="8051">M669</f>
        <v>2200</v>
      </c>
      <c r="CH669" s="41">
        <f t="shared" ref="CH669:CH682" si="8052">O669</f>
        <v>3430</v>
      </c>
      <c r="CI669" s="41">
        <f t="shared" ref="CI669:CI682" si="8053">Q669</f>
        <v>4375</v>
      </c>
      <c r="CJ669" s="41">
        <f t="shared" ref="CJ669:CJ682" si="8054">S669</f>
        <v>4565</v>
      </c>
      <c r="CK669" s="41">
        <f t="shared" si="8007"/>
        <v>2965</v>
      </c>
      <c r="CL669" s="41">
        <f t="shared" si="8008"/>
        <v>3513</v>
      </c>
      <c r="CM669" s="41">
        <f t="shared" si="8009"/>
        <v>3520</v>
      </c>
      <c r="CN669" s="41">
        <f t="shared" si="8010"/>
        <v>4123</v>
      </c>
      <c r="CO669" s="41">
        <f t="shared" si="8011"/>
        <v>4582</v>
      </c>
      <c r="CP669" s="41">
        <f t="shared" si="7974"/>
        <v>5440</v>
      </c>
      <c r="CQ669" s="41">
        <f t="shared" si="7975"/>
        <v>4272</v>
      </c>
      <c r="CR669" s="41">
        <f t="shared" si="7976"/>
        <v>2248</v>
      </c>
      <c r="CS669" s="41">
        <f t="shared" si="7977"/>
        <v>2553</v>
      </c>
      <c r="CT669" s="41">
        <f t="shared" si="7978"/>
        <v>2957</v>
      </c>
      <c r="CU669" s="41">
        <f t="shared" si="7979"/>
        <v>2164</v>
      </c>
      <c r="CV669" s="41">
        <f t="shared" si="7980"/>
        <v>1972</v>
      </c>
      <c r="CW669" s="41">
        <f t="shared" si="7981"/>
        <v>2181</v>
      </c>
      <c r="CX669" s="41">
        <f t="shared" si="7982"/>
        <v>2349</v>
      </c>
      <c r="CY669" s="41">
        <f t="shared" si="7951"/>
        <v>1444</v>
      </c>
      <c r="CZ669" s="211">
        <f t="shared" si="7983"/>
        <v>1142</v>
      </c>
      <c r="DA669" s="41">
        <f t="shared" si="7984"/>
        <v>1182.5193264108514</v>
      </c>
      <c r="DB669" s="41">
        <f t="shared" si="7952"/>
        <v>1222.3625934607264</v>
      </c>
      <c r="DC669" s="41">
        <f t="shared" si="7953"/>
        <v>1266.8827963491256</v>
      </c>
      <c r="DD669" s="41">
        <f t="shared" si="7954"/>
        <v>1308.9507380847613</v>
      </c>
      <c r="DE669" s="41">
        <f t="shared" si="7955"/>
        <v>1357.7601632192529</v>
      </c>
      <c r="DF669" s="41">
        <f t="shared" si="7956"/>
        <v>1409.89155339443</v>
      </c>
      <c r="DG669" s="41">
        <f t="shared" si="7957"/>
        <v>1463.2999189120667</v>
      </c>
      <c r="DH669" s="41">
        <f t="shared" si="7958"/>
        <v>1521.8231592886179</v>
      </c>
      <c r="DI669" s="41">
        <f t="shared" si="7959"/>
        <v>1585.2009519745131</v>
      </c>
    </row>
    <row r="670" spans="1:113" ht="12" outlineLevel="1">
      <c r="A670" s="1" t="s">
        <v>1073</v>
      </c>
      <c r="B670" s="15" t="s">
        <v>1074</v>
      </c>
      <c r="C670" s="40">
        <f>104874-C204</f>
        <v>17079</v>
      </c>
      <c r="D670" s="40">
        <f>105616-D204</f>
        <v>12516.5</v>
      </c>
      <c r="E670" s="40">
        <f>113259-E204</f>
        <v>14855</v>
      </c>
      <c r="F670" s="40">
        <f>122122-F204</f>
        <v>21757.5</v>
      </c>
      <c r="G670" s="40">
        <f>124494-G204</f>
        <v>22169</v>
      </c>
      <c r="H670" s="40">
        <f>163208-H204</f>
        <v>42106</v>
      </c>
      <c r="I670" s="40">
        <f>168557-I204</f>
        <v>28678</v>
      </c>
      <c r="J670" s="40">
        <f>185177-J204</f>
        <v>37907</v>
      </c>
      <c r="K670" s="40">
        <f>196850-K204</f>
        <v>42189</v>
      </c>
      <c r="L670" s="40">
        <f>196850-L204</f>
        <v>37633</v>
      </c>
      <c r="M670" s="40">
        <f>204794-M204</f>
        <v>32400</v>
      </c>
      <c r="N670" s="40">
        <f>209351-N204</f>
        <v>27018</v>
      </c>
      <c r="O670" s="40">
        <f>233743-O204</f>
        <v>28009</v>
      </c>
      <c r="P670" s="40">
        <f>264996-P204</f>
        <v>30699</v>
      </c>
      <c r="Q670" s="40">
        <f>283966-Q204</f>
        <v>34462</v>
      </c>
      <c r="R670" s="40">
        <f>293598-R204</f>
        <v>26249</v>
      </c>
      <c r="S670" s="40">
        <f>294370-S204</f>
        <v>19819</v>
      </c>
      <c r="T670" s="40">
        <f>301757-T204</f>
        <v>20782</v>
      </c>
      <c r="U670" s="40">
        <f>310383-U204</f>
        <v>13397</v>
      </c>
      <c r="V670" s="40">
        <f>331789-V204</f>
        <v>12438</v>
      </c>
      <c r="W670" s="40">
        <f>368729-W204</f>
        <v>15829</v>
      </c>
      <c r="X670" s="40">
        <f>383141-X204</f>
        <v>16464</v>
      </c>
      <c r="Y670" s="40">
        <f>397123-Y204</f>
        <v>13437</v>
      </c>
      <c r="Z670" s="141">
        <f>451105-Z204</f>
        <v>46360</v>
      </c>
      <c r="AA670" s="141">
        <f>466915-AA204</f>
        <v>40844</v>
      </c>
      <c r="AB670" s="141">
        <f>498318-AB204</f>
        <v>53575</v>
      </c>
      <c r="AC670" s="141">
        <f>510079-AC204</f>
        <v>54745</v>
      </c>
      <c r="AD670" s="141">
        <f>567215-AD204</f>
        <v>71848</v>
      </c>
      <c r="AE670" s="141">
        <f>570794-AE204</f>
        <v>63549</v>
      </c>
      <c r="AF670" s="141">
        <f>578071-AF204</f>
        <v>66629</v>
      </c>
      <c r="AG670" s="141">
        <f>588195-AG204</f>
        <v>78145</v>
      </c>
      <c r="AH670" s="141">
        <f>581407-AH204</f>
        <v>53307</v>
      </c>
      <c r="AI670" s="141">
        <f>595611-AI204</f>
        <v>73713</v>
      </c>
      <c r="AJ670" s="141">
        <f>616230-AJ204</f>
        <v>94072</v>
      </c>
      <c r="AK670" s="141">
        <f>618150-AK204</f>
        <v>88984</v>
      </c>
      <c r="AL670" s="141">
        <f>634989-AL204</f>
        <v>98796</v>
      </c>
      <c r="AM670" s="141">
        <f>637677-AM204</f>
        <v>89338</v>
      </c>
      <c r="AN670" s="141">
        <f>726909-AN204</f>
        <v>122535</v>
      </c>
      <c r="AO670" s="141">
        <f>682333-AO204</f>
        <v>97479</v>
      </c>
      <c r="AP670" s="141">
        <f>706623-AP204</f>
        <v>105098</v>
      </c>
      <c r="AQ670" s="141">
        <f>743056-AQ204</f>
        <v>111766</v>
      </c>
      <c r="AR670" s="141">
        <f>780288-AR204</f>
        <v>132289</v>
      </c>
      <c r="AS670" s="141">
        <f>797281-AS204</f>
        <v>142802</v>
      </c>
      <c r="AT670" s="141">
        <f>842564-AT204</f>
        <v>149392</v>
      </c>
      <c r="AU670" s="141">
        <f>814711-AU204</f>
        <v>125673</v>
      </c>
      <c r="AV670" s="141">
        <f>806737-AV204</f>
        <v>126552</v>
      </c>
      <c r="AW670" s="141">
        <f>903554-AW204</f>
        <v>146137</v>
      </c>
      <c r="AX670" s="141">
        <f>972219-AX204</f>
        <v>176073</v>
      </c>
      <c r="AY670" s="226">
        <f>955064-AY204</f>
        <v>161246</v>
      </c>
      <c r="AZ670" s="41">
        <f t="shared" ref="AZ670" si="8055">AY670*AZ$204/AY$204</f>
        <v>169050.57631537711</v>
      </c>
      <c r="BA670" s="41">
        <f t="shared" ref="BA670" si="8056">AZ670*BA$204/AZ$204</f>
        <v>176255.80330155729</v>
      </c>
      <c r="BB670" s="41">
        <f t="shared" ref="BB670" si="8057">BA670*BB$204/BA$204</f>
        <v>181373.28971130858</v>
      </c>
      <c r="BC670" s="41">
        <f t="shared" ref="BC670" si="8058">BB670*BC$204/BB$204</f>
        <v>186640.04602112004</v>
      </c>
      <c r="BD670" s="41">
        <f t="shared" ref="BD670" si="8059">BC670*BD$204/BC$204</f>
        <v>192060.44396068761</v>
      </c>
      <c r="BE670" s="41">
        <f t="shared" ref="BE670" si="8060">BD670*BE$204/BD$204</f>
        <v>197638.98375241554</v>
      </c>
      <c r="BF670" s="41">
        <f t="shared" ref="BF670" si="8061">BE670*BF$204/BE$204</f>
        <v>203380.29789971802</v>
      </c>
      <c r="BG670" s="41">
        <f t="shared" ref="BG670:BK670" si="8062">BF670*BG$204/BF$204</f>
        <v>209289.15508730782</v>
      </c>
      <c r="BH670" s="41">
        <f t="shared" si="8062"/>
        <v>215205.64103219649</v>
      </c>
      <c r="BI670" s="41">
        <f t="shared" si="8062"/>
        <v>220084.63530933979</v>
      </c>
      <c r="BJ670" s="41">
        <f t="shared" si="8062"/>
        <v>225912.51411426513</v>
      </c>
      <c r="BK670" s="41">
        <f t="shared" si="8062"/>
        <v>230848.86666035658</v>
      </c>
      <c r="BL670" s="41">
        <f t="shared" ref="BL670" si="8063">BK670*BL$204/BK$204</f>
        <v>234397.51129479517</v>
      </c>
      <c r="BM670" s="41">
        <f t="shared" ref="BM670" si="8064">BL670*BM$204/BL$204</f>
        <v>238022.24146684873</v>
      </c>
      <c r="BN670" s="41">
        <f t="shared" ref="BN670" si="8065">BM670*BN$204/BM$204</f>
        <v>242740.66759879026</v>
      </c>
      <c r="BO670" s="41">
        <f t="shared" ref="BO670" si="8066">BN670*BO$204/BN$204</f>
        <v>247553.47528065473</v>
      </c>
      <c r="BP670" s="41">
        <f t="shared" ref="BP670" si="8067">BO670*BP$204/BO$204</f>
        <v>253308.28862850394</v>
      </c>
      <c r="BQ670" s="41">
        <f t="shared" ref="BQ670" si="8068">BP670*BQ$204/BP$204</f>
        <v>259212.07526504947</v>
      </c>
      <c r="BR670" s="41"/>
      <c r="BS670" s="40">
        <f>62732.9-BS204</f>
        <v>10615.400000000001</v>
      </c>
      <c r="BT670" s="40">
        <f>61585.3-BT204</f>
        <v>8397.3000000000029</v>
      </c>
      <c r="BU670" s="40">
        <f>63784-BU204</f>
        <v>9183</v>
      </c>
      <c r="BV670" s="40">
        <f>70238-BV204</f>
        <v>9902</v>
      </c>
      <c r="BW670" s="40">
        <f>79709-BW204</f>
        <v>12213</v>
      </c>
      <c r="BX670" s="40">
        <f>89152-BX204</f>
        <v>12351</v>
      </c>
      <c r="BY670" s="40">
        <f>94559-BY204</f>
        <v>12025</v>
      </c>
      <c r="BZ670" s="40">
        <f>96559-BZ204</f>
        <v>16507</v>
      </c>
      <c r="CA670" s="40">
        <f>100602-CA204</f>
        <v>18729</v>
      </c>
      <c r="CB670" s="40">
        <f>104874-CB204</f>
        <v>17079</v>
      </c>
      <c r="CC670" s="41">
        <f>E670</f>
        <v>14855</v>
      </c>
      <c r="CD670" s="41">
        <f>G670</f>
        <v>22169</v>
      </c>
      <c r="CE670" s="41">
        <f>I670</f>
        <v>28678</v>
      </c>
      <c r="CF670" s="41">
        <f>K670</f>
        <v>42189</v>
      </c>
      <c r="CG670" s="41">
        <f>M670</f>
        <v>32400</v>
      </c>
      <c r="CH670" s="41">
        <f>O670</f>
        <v>28009</v>
      </c>
      <c r="CI670" s="41">
        <f>Q670</f>
        <v>34462</v>
      </c>
      <c r="CJ670" s="41">
        <f>S670</f>
        <v>19819</v>
      </c>
      <c r="CK670" s="41">
        <f>U670</f>
        <v>13397</v>
      </c>
      <c r="CL670" s="41">
        <f>W670</f>
        <v>15829</v>
      </c>
      <c r="CM670" s="41">
        <f>Y670</f>
        <v>13437</v>
      </c>
      <c r="CN670" s="41">
        <f>AA670</f>
        <v>40844</v>
      </c>
      <c r="CO670" s="41">
        <f>AC670</f>
        <v>54745</v>
      </c>
      <c r="CP670" s="41">
        <f>AE670</f>
        <v>63549</v>
      </c>
      <c r="CQ670" s="41">
        <f>AG670</f>
        <v>78145</v>
      </c>
      <c r="CR670" s="41">
        <f>AI670</f>
        <v>73713</v>
      </c>
      <c r="CS670" s="41">
        <f t="shared" si="7977"/>
        <v>88984</v>
      </c>
      <c r="CT670" s="41">
        <f t="shared" si="7978"/>
        <v>89338</v>
      </c>
      <c r="CU670" s="41">
        <f t="shared" si="7979"/>
        <v>97479</v>
      </c>
      <c r="CV670" s="41">
        <f t="shared" si="7980"/>
        <v>111766</v>
      </c>
      <c r="CW670" s="41">
        <f t="shared" si="7981"/>
        <v>142802</v>
      </c>
      <c r="CX670" s="41">
        <f t="shared" si="7982"/>
        <v>125673</v>
      </c>
      <c r="CY670" s="41">
        <f t="shared" si="7951"/>
        <v>146137</v>
      </c>
      <c r="CZ670" s="211">
        <f t="shared" si="7983"/>
        <v>161246</v>
      </c>
      <c r="DA670" s="41">
        <f t="shared" si="7984"/>
        <v>176255.80330155729</v>
      </c>
      <c r="DB670" s="41">
        <f t="shared" si="7952"/>
        <v>186640.04602112004</v>
      </c>
      <c r="DC670" s="41">
        <f t="shared" si="7953"/>
        <v>197638.98375241554</v>
      </c>
      <c r="DD670" s="41">
        <f t="shared" si="7954"/>
        <v>209289.15508730782</v>
      </c>
      <c r="DE670" s="41">
        <f t="shared" si="7955"/>
        <v>220084.63530933979</v>
      </c>
      <c r="DF670" s="41">
        <f t="shared" si="7956"/>
        <v>230848.86666035658</v>
      </c>
      <c r="DG670" s="41">
        <f t="shared" si="7957"/>
        <v>238022.24146684873</v>
      </c>
      <c r="DH670" s="41">
        <f t="shared" si="7958"/>
        <v>247553.47528065473</v>
      </c>
      <c r="DI670" s="41">
        <f t="shared" si="7959"/>
        <v>259212.07526504947</v>
      </c>
    </row>
    <row r="671" spans="1:113" ht="12" outlineLevel="1">
      <c r="A671" s="1" t="s">
        <v>906</v>
      </c>
      <c r="B671" s="15" t="s">
        <v>667</v>
      </c>
      <c r="C671" s="40">
        <v>12690</v>
      </c>
      <c r="D671" s="40">
        <v>8215</v>
      </c>
      <c r="E671" s="40">
        <v>10860</v>
      </c>
      <c r="F671" s="40">
        <v>8824</v>
      </c>
      <c r="G671" s="40">
        <v>6467</v>
      </c>
      <c r="H671" s="40">
        <v>7143</v>
      </c>
      <c r="I671" s="40">
        <v>7349</v>
      </c>
      <c r="J671" s="40">
        <v>10056</v>
      </c>
      <c r="K671" s="40">
        <v>12027</v>
      </c>
      <c r="L671" s="40">
        <v>13345</v>
      </c>
      <c r="M671" s="40">
        <v>14118</v>
      </c>
      <c r="N671" s="40">
        <v>16106</v>
      </c>
      <c r="O671" s="40">
        <v>19116</v>
      </c>
      <c r="P671" s="40">
        <v>19134</v>
      </c>
      <c r="Q671" s="40">
        <v>20092</v>
      </c>
      <c r="R671" s="40">
        <v>18314</v>
      </c>
      <c r="S671" s="40">
        <v>19924</v>
      </c>
      <c r="T671" s="40">
        <v>16068</v>
      </c>
      <c r="U671" s="40">
        <v>21610</v>
      </c>
      <c r="V671" s="40">
        <v>22014</v>
      </c>
      <c r="W671" s="40">
        <v>27535</v>
      </c>
      <c r="X671" s="40">
        <v>29688</v>
      </c>
      <c r="Y671" s="40">
        <v>30538</v>
      </c>
      <c r="Z671" s="141">
        <f>13373+2877</f>
        <v>16250</v>
      </c>
      <c r="AA671" s="141">
        <f>8695+3921</f>
        <v>12616</v>
      </c>
      <c r="AB671" s="141">
        <f>8133+3880</f>
        <v>12013</v>
      </c>
      <c r="AC671" s="141">
        <f>10114+5599</f>
        <v>15713</v>
      </c>
      <c r="AD671" s="141">
        <f>7759+4844</f>
        <v>12603</v>
      </c>
      <c r="AE671" s="141">
        <f>11250+7829</f>
        <v>19079</v>
      </c>
      <c r="AF671" s="141">
        <f>13626+6615</f>
        <v>20241</v>
      </c>
      <c r="AG671" s="141">
        <f>10625+6386</f>
        <v>17011</v>
      </c>
      <c r="AH671" s="141">
        <f>9736+5189</f>
        <v>14925</v>
      </c>
      <c r="AI671" s="141">
        <f>9914+5919</f>
        <v>15833</v>
      </c>
      <c r="AJ671" s="141">
        <f>10577+9395</f>
        <v>19972</v>
      </c>
      <c r="AK671" s="141">
        <f>11810+6542</f>
        <v>18352</v>
      </c>
      <c r="AL671" s="141">
        <f>12371+5726</f>
        <v>18097</v>
      </c>
      <c r="AM671" s="141">
        <f>10867+7929</f>
        <v>18796</v>
      </c>
      <c r="AN671" s="141">
        <f>22314+17463</f>
        <v>39777</v>
      </c>
      <c r="AO671" s="141">
        <f>22241+9304</f>
        <v>31545</v>
      </c>
      <c r="AP671" s="141">
        <f>19188+7552</f>
        <v>26740</v>
      </c>
      <c r="AQ671" s="141">
        <f>17427+5657</f>
        <v>23084</v>
      </c>
      <c r="AR671" s="141">
        <f>19752+6716</f>
        <v>26468</v>
      </c>
      <c r="AS671" s="141">
        <f>13766+16230</f>
        <v>29996</v>
      </c>
      <c r="AT671" s="141">
        <f>23010+8002</f>
        <v>31012</v>
      </c>
      <c r="AU671" s="141">
        <f>19267+10382</f>
        <v>29649</v>
      </c>
      <c r="AV671" s="141">
        <f>15026+7409</f>
        <v>22435</v>
      </c>
      <c r="AW671" s="141">
        <f>16188+6583</f>
        <v>22771</v>
      </c>
      <c r="AX671" s="141">
        <f>16085+10129</f>
        <v>26214</v>
      </c>
      <c r="AY671" s="226">
        <f>31144+7428</f>
        <v>38572</v>
      </c>
      <c r="AZ671" s="41">
        <f t="shared" ref="AZ671" si="8069">AY671*(AZ$660-AZ$541)/(AY$660-AY$541)</f>
        <v>39340.907247765484</v>
      </c>
      <c r="BA671" s="41">
        <f t="shared" ref="BA671" si="8070">AZ671*(BA$660-BA$541)/(AZ$660-AZ$541)</f>
        <v>39880.423005861288</v>
      </c>
      <c r="BB671" s="41">
        <f t="shared" ref="BB671" si="8071">BA671*(BB$660-BB$541)/(BA$660-BA$541)</f>
        <v>40472.327214245051</v>
      </c>
      <c r="BC671" s="41">
        <f t="shared" ref="BC671" si="8072">BB671*(BC$660-BC$541)/(BB$660-BB$541)</f>
        <v>41281.895393060215</v>
      </c>
      <c r="BD671" s="41">
        <f t="shared" ref="BD671" si="8073">BC671*(BD$660-BD$541)/(BC$660-BC$541)</f>
        <v>42062.66380138418</v>
      </c>
      <c r="BE671" s="41">
        <f t="shared" ref="BE671" si="8074">BD671*(BE$660-BE$541)/(BD$660-BD$541)</f>
        <v>42879.282310453149</v>
      </c>
      <c r="BF671" s="41">
        <f t="shared" ref="BF671" si="8075">BE671*(BF$660-BF$541)/(BE$660-BE$541)</f>
        <v>43636.187915026225</v>
      </c>
      <c r="BG671" s="41">
        <f t="shared" ref="BG671:BK671" si="8076">BF671*(BG$660-BG$541)/(BF$660-BF$541)</f>
        <v>44384.860556458261</v>
      </c>
      <c r="BH671" s="41">
        <f t="shared" si="8076"/>
        <v>45239.974644524395</v>
      </c>
      <c r="BI671" s="41">
        <f t="shared" si="8076"/>
        <v>46066.676343000268</v>
      </c>
      <c r="BJ671" s="41">
        <f t="shared" si="8076"/>
        <v>46962.856866520939</v>
      </c>
      <c r="BK671" s="41">
        <f t="shared" si="8076"/>
        <v>47849.712542416557</v>
      </c>
      <c r="BL671" s="41">
        <f t="shared" ref="BL671" si="8077">BK671*(BL$660-BL$541)/(BK$660-BK$541)</f>
        <v>48750.286847106545</v>
      </c>
      <c r="BM671" s="41">
        <f t="shared" ref="BM671" si="8078">BL671*(BM$660-BM$541)/(BL$660-BL$541)</f>
        <v>49677.418130552964</v>
      </c>
      <c r="BN671" s="41">
        <f t="shared" ref="BN671" si="8079">BM671*(BN$660-BN$541)/(BM$660-BM$541)</f>
        <v>50671.614041223278</v>
      </c>
      <c r="BO671" s="41">
        <f t="shared" ref="BO671" si="8080">BN671*(BO$660-BO$541)/(BN$660-BN$541)</f>
        <v>51692.641117085346</v>
      </c>
      <c r="BP671" s="41">
        <f t="shared" ref="BP671" si="8081">BO671*(BP$660-BP$541)/(BO$660-BO$541)</f>
        <v>52773.123364055435</v>
      </c>
      <c r="BQ671" s="41">
        <f t="shared" ref="BQ671" si="8082">BP671*(BQ$660-BQ$541)/(BP$660-BP$541)</f>
        <v>53882.612697019715</v>
      </c>
      <c r="BR671" s="41"/>
      <c r="BS671" s="40">
        <v>9063.2000000000007</v>
      </c>
      <c r="BT671" s="40">
        <v>11147.8</v>
      </c>
      <c r="BU671" s="40">
        <v>10655</v>
      </c>
      <c r="BV671" s="40">
        <v>11161</v>
      </c>
      <c r="BW671" s="40">
        <v>12682</v>
      </c>
      <c r="BX671" s="40">
        <v>10874</v>
      </c>
      <c r="BY671" s="40">
        <v>10758</v>
      </c>
      <c r="BZ671" s="40">
        <v>9001</v>
      </c>
      <c r="CA671" s="40">
        <v>12247</v>
      </c>
      <c r="CB671" s="40">
        <v>12690</v>
      </c>
      <c r="CC671" s="41">
        <f t="shared" si="8047"/>
        <v>10860</v>
      </c>
      <c r="CD671" s="41">
        <f t="shared" si="8048"/>
        <v>6467</v>
      </c>
      <c r="CE671" s="41">
        <f t="shared" si="8049"/>
        <v>7349</v>
      </c>
      <c r="CF671" s="41">
        <f t="shared" si="8050"/>
        <v>12027</v>
      </c>
      <c r="CG671" s="41">
        <f t="shared" si="8051"/>
        <v>14118</v>
      </c>
      <c r="CH671" s="41">
        <f t="shared" si="8052"/>
        <v>19116</v>
      </c>
      <c r="CI671" s="41">
        <f t="shared" si="8053"/>
        <v>20092</v>
      </c>
      <c r="CJ671" s="41">
        <f t="shared" si="8054"/>
        <v>19924</v>
      </c>
      <c r="CK671" s="41">
        <f t="shared" si="8007"/>
        <v>21610</v>
      </c>
      <c r="CL671" s="41">
        <f t="shared" si="8008"/>
        <v>27535</v>
      </c>
      <c r="CM671" s="41">
        <f t="shared" si="8009"/>
        <v>30538</v>
      </c>
      <c r="CN671" s="41">
        <f t="shared" si="8010"/>
        <v>12616</v>
      </c>
      <c r="CO671" s="41">
        <f t="shared" si="8011"/>
        <v>15713</v>
      </c>
      <c r="CP671" s="41">
        <f t="shared" si="7974"/>
        <v>19079</v>
      </c>
      <c r="CQ671" s="41">
        <f t="shared" si="7975"/>
        <v>17011</v>
      </c>
      <c r="CR671" s="41">
        <f t="shared" si="7976"/>
        <v>15833</v>
      </c>
      <c r="CS671" s="41">
        <f t="shared" si="7977"/>
        <v>18352</v>
      </c>
      <c r="CT671" s="41">
        <f t="shared" si="7978"/>
        <v>18796</v>
      </c>
      <c r="CU671" s="41">
        <f t="shared" si="7979"/>
        <v>31545</v>
      </c>
      <c r="CV671" s="41">
        <f t="shared" si="7980"/>
        <v>23084</v>
      </c>
      <c r="CW671" s="41">
        <f t="shared" si="7981"/>
        <v>29996</v>
      </c>
      <c r="CX671" s="41">
        <f t="shared" si="7982"/>
        <v>29649</v>
      </c>
      <c r="CY671" s="41">
        <f t="shared" si="7951"/>
        <v>22771</v>
      </c>
      <c r="CZ671" s="211">
        <f t="shared" si="7983"/>
        <v>38572</v>
      </c>
      <c r="DA671" s="41">
        <f t="shared" si="7984"/>
        <v>39880.423005861288</v>
      </c>
      <c r="DB671" s="41">
        <f t="shared" si="7952"/>
        <v>41281.895393060215</v>
      </c>
      <c r="DC671" s="41">
        <f t="shared" si="7953"/>
        <v>42879.282310453149</v>
      </c>
      <c r="DD671" s="41">
        <f t="shared" si="7954"/>
        <v>44384.860556458261</v>
      </c>
      <c r="DE671" s="41">
        <f t="shared" si="7955"/>
        <v>46066.676343000268</v>
      </c>
      <c r="DF671" s="41">
        <f t="shared" si="7956"/>
        <v>47849.712542416557</v>
      </c>
      <c r="DG671" s="41">
        <f t="shared" si="7957"/>
        <v>49677.418130552964</v>
      </c>
      <c r="DH671" s="41">
        <f t="shared" si="7958"/>
        <v>51692.641117085346</v>
      </c>
      <c r="DI671" s="41">
        <f t="shared" si="7959"/>
        <v>53882.612697019715</v>
      </c>
    </row>
    <row r="672" spans="1:113" ht="12" outlineLevel="1">
      <c r="A672" s="1" t="s">
        <v>1049</v>
      </c>
      <c r="B672" s="15" t="s">
        <v>668</v>
      </c>
      <c r="C672" s="40">
        <v>15340</v>
      </c>
      <c r="D672" s="40">
        <v>14437</v>
      </c>
      <c r="E672" s="40">
        <v>14708</v>
      </c>
      <c r="F672" s="40">
        <v>14917</v>
      </c>
      <c r="G672" s="40">
        <v>16572</v>
      </c>
      <c r="H672" s="40">
        <v>21245</v>
      </c>
      <c r="I672" s="40">
        <v>27602</v>
      </c>
      <c r="J672" s="40">
        <v>32321</v>
      </c>
      <c r="K672" s="40">
        <v>39073</v>
      </c>
      <c r="L672" s="40">
        <v>46923</v>
      </c>
      <c r="M672" s="40">
        <v>50050</v>
      </c>
      <c r="N672" s="40">
        <v>54188</v>
      </c>
      <c r="O672" s="40">
        <v>54075</v>
      </c>
      <c r="P672" s="40">
        <v>63549</v>
      </c>
      <c r="Q672" s="40">
        <v>67323</v>
      </c>
      <c r="R672" s="40">
        <v>73138</v>
      </c>
      <c r="S672" s="40">
        <v>57260</v>
      </c>
      <c r="T672" s="40">
        <v>58390</v>
      </c>
      <c r="U672" s="40">
        <v>59714</v>
      </c>
      <c r="V672" s="40">
        <v>58526</v>
      </c>
      <c r="W672" s="40">
        <v>56551</v>
      </c>
      <c r="X672" s="40">
        <v>61107</v>
      </c>
      <c r="Y672" s="40">
        <v>63098</v>
      </c>
      <c r="Z672" s="141">
        <v>60226</v>
      </c>
      <c r="AA672" s="141">
        <v>70376</v>
      </c>
      <c r="AB672" s="141">
        <v>73552</v>
      </c>
      <c r="AC672" s="141">
        <v>80096</v>
      </c>
      <c r="AD672" s="141">
        <v>85664</v>
      </c>
      <c r="AE672" s="141">
        <v>93747</v>
      </c>
      <c r="AF672" s="141">
        <v>81947</v>
      </c>
      <c r="AG672" s="141">
        <v>91080</v>
      </c>
      <c r="AH672" s="141">
        <v>88778</v>
      </c>
      <c r="AI672" s="141">
        <v>90263</v>
      </c>
      <c r="AJ672" s="141">
        <v>97576</v>
      </c>
      <c r="AK672" s="141">
        <v>105300</v>
      </c>
      <c r="AL672" s="141">
        <v>113400</v>
      </c>
      <c r="AM672" s="141">
        <v>113100</v>
      </c>
      <c r="AN672" s="141">
        <v>119100</v>
      </c>
      <c r="AO672" s="141">
        <f>110.6*1000</f>
        <v>110600</v>
      </c>
      <c r="AP672" s="141">
        <f>96*1000</f>
        <v>96000</v>
      </c>
      <c r="AQ672" s="141">
        <v>97100</v>
      </c>
      <c r="AR672" s="141">
        <f>86.4*1000</f>
        <v>86400</v>
      </c>
      <c r="AS672" s="141">
        <f>89*1000</f>
        <v>89000</v>
      </c>
      <c r="AT672" s="141">
        <f>97.1*1000</f>
        <v>97100</v>
      </c>
      <c r="AU672" s="141">
        <f>94*1000</f>
        <v>94000</v>
      </c>
      <c r="AV672" s="141">
        <f>102.3*1000</f>
        <v>102300</v>
      </c>
      <c r="AW672" s="141">
        <f>119.2*1000</f>
        <v>119200</v>
      </c>
      <c r="AX672" s="141">
        <f>(126.7+2)*1000</f>
        <v>128699.99999999999</v>
      </c>
      <c r="AY672" s="226">
        <f>(125.2+1)*1000</f>
        <v>126200</v>
      </c>
      <c r="AZ672" s="41">
        <f t="shared" ref="AZ672:BA672" si="8083">(AZ660-AZ541)-SUM(AZ670:AZ671,AZ673:AZ674,AZ204)</f>
        <v>101527.58467466477</v>
      </c>
      <c r="BA672" s="41">
        <f t="shared" si="8083"/>
        <v>73974.746388643049</v>
      </c>
      <c r="BB672" s="41">
        <f t="shared" ref="BB672:BC672" si="8084">(BB660-BB541)-SUM(BB670:BB671,BB673:BB674,BB204)</f>
        <v>60256.218216414796</v>
      </c>
      <c r="BC672" s="41">
        <f t="shared" si="8084"/>
        <v>51755.194483344676</v>
      </c>
      <c r="BD672" s="41">
        <f t="shared" ref="BD672:BE672" si="8085">(BD660-BD541)-SUM(BD670:BD671,BD673:BD674,BD204)</f>
        <v>41536.822228610981</v>
      </c>
      <c r="BE672" s="41">
        <f t="shared" si="8085"/>
        <v>31386.734671021113</v>
      </c>
      <c r="BF672" s="41">
        <f t="shared" ref="BF672:BG672" si="8086">(BF660-BF541)-SUM(BF670:BF671,BF673:BF674,BF204)</f>
        <v>18598.637284537777</v>
      </c>
      <c r="BG672" s="41">
        <f t="shared" si="8086"/>
        <v>4587.3890283892397</v>
      </c>
      <c r="BH672" s="41">
        <f t="shared" ref="BH672:BI672" si="8087">(BH660-BH541)-SUM(BH670:BH671,BH673:BH674,BH204)</f>
        <v>-6485.2401168679353</v>
      </c>
      <c r="BI672" s="41">
        <f t="shared" si="8087"/>
        <v>-12209.246943945996</v>
      </c>
      <c r="BJ672" s="41">
        <f t="shared" ref="BJ672:BK672" si="8088">(BJ660-BJ541)-SUM(BJ670:BJ671,BJ673:BJ674,BJ204)</f>
        <v>-21605.864932634635</v>
      </c>
      <c r="BK672" s="41">
        <f t="shared" si="8088"/>
        <v>-25983.348534659948</v>
      </c>
      <c r="BL672" s="41">
        <f t="shared" ref="BL672:BM672" si="8089">(BL660-BL541)-SUM(BL670:BL671,BL673:BL674,BL204)</f>
        <v>-21756.838776983321</v>
      </c>
      <c r="BM672" s="41">
        <f t="shared" si="8089"/>
        <v>-17236.530860420316</v>
      </c>
      <c r="BN672" s="41">
        <f t="shared" ref="BN672:BO672" si="8090">(BN660-BN541)-SUM(BN670:BN671,BN673:BN674,BN204)</f>
        <v>-17314.231408593711</v>
      </c>
      <c r="BO672" s="41">
        <f t="shared" si="8090"/>
        <v>-17198.815434553195</v>
      </c>
      <c r="BP672" s="41">
        <f t="shared" ref="BP672:BQ672" si="8091">(BP660-BP541)-SUM(BP670:BP671,BP673:BP674,BP204)</f>
        <v>-20996.253581846599</v>
      </c>
      <c r="BQ672" s="41">
        <f t="shared" si="8091"/>
        <v>-24862.927225740394</v>
      </c>
      <c r="BR672" s="41"/>
      <c r="BS672" s="40">
        <v>2215.1999999999998</v>
      </c>
      <c r="BT672" s="40">
        <v>1747.2</v>
      </c>
      <c r="BU672" s="40">
        <v>1514</v>
      </c>
      <c r="BV672" s="40">
        <v>1579</v>
      </c>
      <c r="BW672" s="40">
        <v>2264</v>
      </c>
      <c r="BX672" s="40">
        <v>1990</v>
      </c>
      <c r="BY672" s="40">
        <v>666</v>
      </c>
      <c r="BZ672" s="40">
        <v>4456</v>
      </c>
      <c r="CA672" s="40">
        <v>9519</v>
      </c>
      <c r="CB672" s="40">
        <v>15340</v>
      </c>
      <c r="CC672" s="41">
        <f t="shared" si="8047"/>
        <v>14708</v>
      </c>
      <c r="CD672" s="41">
        <f t="shared" si="8048"/>
        <v>16572</v>
      </c>
      <c r="CE672" s="41">
        <f t="shared" si="8049"/>
        <v>27602</v>
      </c>
      <c r="CF672" s="41">
        <f t="shared" si="8050"/>
        <v>39073</v>
      </c>
      <c r="CG672" s="41">
        <f t="shared" si="8051"/>
        <v>50050</v>
      </c>
      <c r="CH672" s="41">
        <f t="shared" si="8052"/>
        <v>54075</v>
      </c>
      <c r="CI672" s="41">
        <f t="shared" si="8053"/>
        <v>67323</v>
      </c>
      <c r="CJ672" s="41">
        <f t="shared" si="8054"/>
        <v>57260</v>
      </c>
      <c r="CK672" s="41">
        <f t="shared" si="8007"/>
        <v>59714</v>
      </c>
      <c r="CL672" s="41">
        <f t="shared" si="8008"/>
        <v>56551</v>
      </c>
      <c r="CM672" s="41">
        <f t="shared" si="8009"/>
        <v>63098</v>
      </c>
      <c r="CN672" s="41">
        <f t="shared" si="8010"/>
        <v>70376</v>
      </c>
      <c r="CO672" s="41">
        <f t="shared" si="8011"/>
        <v>80096</v>
      </c>
      <c r="CP672" s="41">
        <f t="shared" si="7974"/>
        <v>93747</v>
      </c>
      <c r="CQ672" s="41">
        <f t="shared" si="7975"/>
        <v>91080</v>
      </c>
      <c r="CR672" s="41">
        <f t="shared" si="7976"/>
        <v>90263</v>
      </c>
      <c r="CS672" s="41">
        <f t="shared" si="7977"/>
        <v>105300</v>
      </c>
      <c r="CT672" s="41">
        <f t="shared" si="7978"/>
        <v>113100</v>
      </c>
      <c r="CU672" s="41">
        <f t="shared" si="7979"/>
        <v>110600</v>
      </c>
      <c r="CV672" s="41">
        <f t="shared" si="7980"/>
        <v>97100</v>
      </c>
      <c r="CW672" s="41">
        <f t="shared" si="7981"/>
        <v>89000</v>
      </c>
      <c r="CX672" s="41">
        <f t="shared" si="7982"/>
        <v>94000</v>
      </c>
      <c r="CY672" s="41">
        <f t="shared" si="7951"/>
        <v>119200</v>
      </c>
      <c r="CZ672" s="211">
        <f t="shared" si="7983"/>
        <v>126200</v>
      </c>
      <c r="DA672" s="41">
        <f t="shared" si="7984"/>
        <v>73974.746388643049</v>
      </c>
      <c r="DB672" s="41">
        <f t="shared" si="7952"/>
        <v>51755.194483344676</v>
      </c>
      <c r="DC672" s="41">
        <f t="shared" si="7953"/>
        <v>31386.734671021113</v>
      </c>
      <c r="DD672" s="41">
        <f t="shared" si="7954"/>
        <v>4587.3890283892397</v>
      </c>
      <c r="DE672" s="41">
        <f t="shared" si="7955"/>
        <v>-12209.246943945996</v>
      </c>
      <c r="DF672" s="41">
        <f t="shared" si="7956"/>
        <v>-25983.348534659948</v>
      </c>
      <c r="DG672" s="41">
        <f t="shared" si="7957"/>
        <v>-17236.530860420316</v>
      </c>
      <c r="DH672" s="41">
        <f t="shared" si="7958"/>
        <v>-17198.815434553195</v>
      </c>
      <c r="DI672" s="41">
        <f t="shared" si="7959"/>
        <v>-24862.927225740394</v>
      </c>
    </row>
    <row r="673" spans="1:113" ht="12" outlineLevel="1">
      <c r="A673" s="1" t="s">
        <v>940</v>
      </c>
      <c r="B673" s="15" t="s">
        <v>665</v>
      </c>
      <c r="C673" s="40">
        <v>2142</v>
      </c>
      <c r="D673" s="40">
        <v>1611</v>
      </c>
      <c r="E673" s="40">
        <v>1602</v>
      </c>
      <c r="F673" s="40">
        <v>770</v>
      </c>
      <c r="G673" s="40">
        <v>769</v>
      </c>
      <c r="H673" s="40">
        <v>857</v>
      </c>
      <c r="I673" s="40">
        <v>845</v>
      </c>
      <c r="J673" s="40">
        <v>865</v>
      </c>
      <c r="K673" s="40">
        <v>914</v>
      </c>
      <c r="L673" s="40">
        <v>908</v>
      </c>
      <c r="M673" s="40">
        <v>957</v>
      </c>
      <c r="N673" s="40">
        <v>919</v>
      </c>
      <c r="O673" s="40">
        <v>1021</v>
      </c>
      <c r="P673" s="40">
        <v>957</v>
      </c>
      <c r="Q673" s="40">
        <v>1217</v>
      </c>
      <c r="R673" s="40">
        <v>1259</v>
      </c>
      <c r="S673" s="40">
        <v>1312</v>
      </c>
      <c r="T673" s="40">
        <v>1167</v>
      </c>
      <c r="U673" s="40">
        <v>1297</v>
      </c>
      <c r="V673" s="40">
        <v>1285</v>
      </c>
      <c r="W673" s="40">
        <v>1248</v>
      </c>
      <c r="X673" s="40">
        <v>1234</v>
      </c>
      <c r="Y673" s="40">
        <v>1201</v>
      </c>
      <c r="Z673" s="141">
        <v>1172</v>
      </c>
      <c r="AA673" s="141">
        <v>1228</v>
      </c>
      <c r="AB673" s="141">
        <v>1115</v>
      </c>
      <c r="AC673" s="141">
        <v>1100</v>
      </c>
      <c r="AD673" s="141">
        <v>1128</v>
      </c>
      <c r="AE673" s="141">
        <v>1074</v>
      </c>
      <c r="AF673" s="141">
        <v>1202</v>
      </c>
      <c r="AG673" s="141">
        <v>1209</v>
      </c>
      <c r="AH673" s="141">
        <v>1179</v>
      </c>
      <c r="AI673" s="141">
        <v>1158</v>
      </c>
      <c r="AJ673" s="141">
        <v>1532</v>
      </c>
      <c r="AK673" s="141">
        <v>1972</v>
      </c>
      <c r="AL673" s="141">
        <v>2247</v>
      </c>
      <c r="AM673" s="141">
        <v>2812</v>
      </c>
      <c r="AN673" s="141">
        <v>2773</v>
      </c>
      <c r="AO673" s="141">
        <v>2579</v>
      </c>
      <c r="AP673" s="141">
        <v>2417</v>
      </c>
      <c r="AQ673" s="141">
        <v>2214</v>
      </c>
      <c r="AR673" s="141">
        <v>2262</v>
      </c>
      <c r="AS673" s="141">
        <v>1872</v>
      </c>
      <c r="AT673" s="141">
        <v>1694</v>
      </c>
      <c r="AU673" s="141">
        <v>1717</v>
      </c>
      <c r="AV673" s="141">
        <v>1663</v>
      </c>
      <c r="AW673" s="141">
        <v>1585</v>
      </c>
      <c r="AX673" s="141">
        <v>1709</v>
      </c>
      <c r="AY673" s="226">
        <v>2481</v>
      </c>
      <c r="AZ673" s="41">
        <f t="shared" ref="AZ673:AZ674" si="8092">AY673*(AZ$660-AZ$541)/(AY$660-AY$541)</f>
        <v>2530.457090161417</v>
      </c>
      <c r="BA673" s="41">
        <f t="shared" ref="BA673:BA674" si="8093">AZ673*(BA$660-BA$541)/(AZ$660-AZ$541)</f>
        <v>2565.1594285373289</v>
      </c>
      <c r="BB673" s="41">
        <f t="shared" ref="BB673:BB674" si="8094">BA673*(BB$660-BB$541)/(BA$660-BA$541)</f>
        <v>2603.2314585331837</v>
      </c>
      <c r="BC673" s="41">
        <f t="shared" ref="BC673:BC674" si="8095">BB673*(BC$660-BC$541)/(BB$660-BB$541)</f>
        <v>2655.3039113912268</v>
      </c>
      <c r="BD673" s="41">
        <f t="shared" ref="BD673:BD674" si="8096">BC673*(BD$660-BD$541)/(BC$660-BC$541)</f>
        <v>2705.5239264553088</v>
      </c>
      <c r="BE673" s="41">
        <f t="shared" ref="BE673:BE674" si="8097">BD673*(BE$660-BE$541)/(BD$660-BD$541)</f>
        <v>2758.0498655043625</v>
      </c>
      <c r="BF673" s="41">
        <f t="shared" ref="BF673:BF674" si="8098">BE673*(BF$660-BF$541)/(BE$660-BE$541)</f>
        <v>2806.7349947417833</v>
      </c>
      <c r="BG673" s="41">
        <f t="shared" ref="BG673:BK674" si="8099">BF673*(BG$660-BG$541)/(BF$660-BF$541)</f>
        <v>2854.8905693397523</v>
      </c>
      <c r="BH673" s="41">
        <f t="shared" si="8099"/>
        <v>2909.892592892902</v>
      </c>
      <c r="BI673" s="41">
        <f t="shared" si="8099"/>
        <v>2963.0670954833472</v>
      </c>
      <c r="BJ673" s="41">
        <f t="shared" si="8099"/>
        <v>3020.7105642911556</v>
      </c>
      <c r="BK673" s="41">
        <f t="shared" si="8099"/>
        <v>3077.7542470635567</v>
      </c>
      <c r="BL673" s="41">
        <f t="shared" ref="BL673:BL674" si="8100">BK673*(BL$660-BL$541)/(BK$660-BK$541)</f>
        <v>3135.680329453266</v>
      </c>
      <c r="BM673" s="41">
        <f t="shared" ref="BM673:BM674" si="8101">BL673*(BM$660-BM$541)/(BL$660-BL$541)</f>
        <v>3195.3145904257476</v>
      </c>
      <c r="BN673" s="41">
        <f t="shared" ref="BN673:BN674" si="8102">BM673*(BN$660-BN$541)/(BM$660-BM$541)</f>
        <v>3259.2625333473757</v>
      </c>
      <c r="BO673" s="41">
        <f t="shared" ref="BO673:BO674" si="8103">BN673*(BO$660-BO$541)/(BN$660-BN$541)</f>
        <v>3324.9362908713251</v>
      </c>
      <c r="BP673" s="41">
        <f t="shared" ref="BP673:BP674" si="8104">BO673*(BP$660-BP$541)/(BO$660-BO$541)</f>
        <v>3394.4342804682556</v>
      </c>
      <c r="BQ673" s="41">
        <f t="shared" ref="BQ673:BQ674" si="8105">BP673*(BQ$660-BQ$541)/(BP$660-BP$541)</f>
        <v>3465.7980426554477</v>
      </c>
      <c r="BR673" s="41"/>
      <c r="BS673" s="40">
        <v>524.1</v>
      </c>
      <c r="BT673" s="40">
        <v>641.70000000000005</v>
      </c>
      <c r="BU673" s="40">
        <v>767</v>
      </c>
      <c r="BV673" s="40">
        <v>862</v>
      </c>
      <c r="BW673" s="40">
        <v>954</v>
      </c>
      <c r="BX673" s="40">
        <v>1218</v>
      </c>
      <c r="BY673" s="40">
        <v>987</v>
      </c>
      <c r="BZ673" s="40">
        <v>1010</v>
      </c>
      <c r="CA673" s="40">
        <v>2089</v>
      </c>
      <c r="CB673" s="40">
        <v>2142</v>
      </c>
      <c r="CC673" s="41">
        <f t="shared" si="8047"/>
        <v>1602</v>
      </c>
      <c r="CD673" s="41">
        <f t="shared" si="8048"/>
        <v>769</v>
      </c>
      <c r="CE673" s="41">
        <f t="shared" si="8049"/>
        <v>845</v>
      </c>
      <c r="CF673" s="41">
        <f t="shared" si="8050"/>
        <v>914</v>
      </c>
      <c r="CG673" s="41">
        <f t="shared" si="8051"/>
        <v>957</v>
      </c>
      <c r="CH673" s="41">
        <f t="shared" si="8052"/>
        <v>1021</v>
      </c>
      <c r="CI673" s="41">
        <f t="shared" si="8053"/>
        <v>1217</v>
      </c>
      <c r="CJ673" s="41">
        <f t="shared" si="8054"/>
        <v>1312</v>
      </c>
      <c r="CK673" s="41">
        <f t="shared" si="8007"/>
        <v>1297</v>
      </c>
      <c r="CL673" s="41">
        <f t="shared" si="8008"/>
        <v>1248</v>
      </c>
      <c r="CM673" s="41">
        <f t="shared" si="8009"/>
        <v>1201</v>
      </c>
      <c r="CN673" s="41">
        <f t="shared" si="8010"/>
        <v>1228</v>
      </c>
      <c r="CO673" s="41">
        <f t="shared" si="8011"/>
        <v>1100</v>
      </c>
      <c r="CP673" s="41">
        <f t="shared" si="7974"/>
        <v>1074</v>
      </c>
      <c r="CQ673" s="41">
        <f t="shared" si="7975"/>
        <v>1209</v>
      </c>
      <c r="CR673" s="41">
        <f t="shared" si="7976"/>
        <v>1158</v>
      </c>
      <c r="CS673" s="41">
        <f t="shared" si="7977"/>
        <v>1972</v>
      </c>
      <c r="CT673" s="41">
        <f t="shared" si="7978"/>
        <v>2812</v>
      </c>
      <c r="CU673" s="41">
        <f t="shared" si="7979"/>
        <v>2579</v>
      </c>
      <c r="CV673" s="41">
        <f t="shared" si="7980"/>
        <v>2214</v>
      </c>
      <c r="CW673" s="41">
        <f t="shared" si="7981"/>
        <v>1872</v>
      </c>
      <c r="CX673" s="41">
        <f t="shared" si="7982"/>
        <v>1717</v>
      </c>
      <c r="CY673" s="41">
        <f t="shared" si="7951"/>
        <v>1585</v>
      </c>
      <c r="CZ673" s="211">
        <f t="shared" si="7983"/>
        <v>2481</v>
      </c>
      <c r="DA673" s="41">
        <f t="shared" si="7984"/>
        <v>2565.1594285373289</v>
      </c>
      <c r="DB673" s="41">
        <f t="shared" si="7952"/>
        <v>2655.3039113912268</v>
      </c>
      <c r="DC673" s="41">
        <f t="shared" si="7953"/>
        <v>2758.0498655043625</v>
      </c>
      <c r="DD673" s="41">
        <f t="shared" si="7954"/>
        <v>2854.8905693397523</v>
      </c>
      <c r="DE673" s="41">
        <f t="shared" si="7955"/>
        <v>2963.0670954833472</v>
      </c>
      <c r="DF673" s="41">
        <f t="shared" si="7956"/>
        <v>3077.7542470635567</v>
      </c>
      <c r="DG673" s="41">
        <f t="shared" si="7957"/>
        <v>3195.3145904257476</v>
      </c>
      <c r="DH673" s="41">
        <f t="shared" si="7958"/>
        <v>3324.9362908713251</v>
      </c>
      <c r="DI673" s="41">
        <f t="shared" si="7959"/>
        <v>3465.7980426554477</v>
      </c>
    </row>
    <row r="674" spans="1:113" ht="12" outlineLevel="1">
      <c r="A674" s="1" t="s">
        <v>941</v>
      </c>
      <c r="B674" s="15" t="s">
        <v>666</v>
      </c>
      <c r="C674" s="41">
        <f t="shared" ref="C674:AE674" si="8106">(C660-C541)-SUM(C670:C673,C204)</f>
        <v>39896</v>
      </c>
      <c r="D674" s="41">
        <f t="shared" si="8106"/>
        <v>35907</v>
      </c>
      <c r="E674" s="41">
        <f t="shared" si="8106"/>
        <v>31211</v>
      </c>
      <c r="F674" s="41">
        <f t="shared" si="8106"/>
        <v>31400</v>
      </c>
      <c r="G674" s="41">
        <f t="shared" si="8106"/>
        <v>33502</v>
      </c>
      <c r="H674" s="41">
        <f t="shared" si="8106"/>
        <v>38087</v>
      </c>
      <c r="I674" s="41">
        <f t="shared" si="8106"/>
        <v>37067</v>
      </c>
      <c r="J674" s="41">
        <f t="shared" si="8106"/>
        <v>35438</v>
      </c>
      <c r="K674" s="41">
        <f t="shared" si="8106"/>
        <v>29702</v>
      </c>
      <c r="L674" s="41">
        <f t="shared" si="8106"/>
        <v>45359</v>
      </c>
      <c r="M674" s="41">
        <f t="shared" si="8106"/>
        <v>44815</v>
      </c>
      <c r="N674" s="41">
        <f t="shared" si="8106"/>
        <v>50375</v>
      </c>
      <c r="O674" s="41">
        <f t="shared" si="8106"/>
        <v>62770</v>
      </c>
      <c r="P674" s="41">
        <f t="shared" si="8106"/>
        <v>65159</v>
      </c>
      <c r="Q674" s="41">
        <f t="shared" si="8106"/>
        <v>71143</v>
      </c>
      <c r="R674" s="41">
        <f t="shared" si="8106"/>
        <v>88122</v>
      </c>
      <c r="S674" s="41">
        <f t="shared" si="8106"/>
        <v>71692</v>
      </c>
      <c r="T674" s="41">
        <f t="shared" si="8106"/>
        <v>96743</v>
      </c>
      <c r="U674" s="41">
        <f t="shared" si="8106"/>
        <v>104544</v>
      </c>
      <c r="V674" s="41">
        <f t="shared" si="8106"/>
        <v>88704</v>
      </c>
      <c r="W674" s="41">
        <f t="shared" si="8106"/>
        <v>112196</v>
      </c>
      <c r="X674" s="41">
        <f t="shared" si="8106"/>
        <v>97599</v>
      </c>
      <c r="Y674" s="41">
        <f t="shared" si="8106"/>
        <v>108947</v>
      </c>
      <c r="Z674" s="41">
        <f t="shared" si="8106"/>
        <v>101374</v>
      </c>
      <c r="AA674" s="41">
        <f t="shared" si="8106"/>
        <v>106257</v>
      </c>
      <c r="AB674" s="41">
        <f t="shared" si="8106"/>
        <v>105779</v>
      </c>
      <c r="AC674" s="41">
        <f t="shared" si="8106"/>
        <v>115820</v>
      </c>
      <c r="AD674" s="41">
        <f t="shared" si="8106"/>
        <v>141426</v>
      </c>
      <c r="AE674" s="41">
        <f t="shared" si="8106"/>
        <v>147853</v>
      </c>
      <c r="AF674" s="41">
        <f t="shared" ref="AF674:AG674" si="8107">(AF660-AF541)-SUM(AF670:AF673,AF204)</f>
        <v>157353</v>
      </c>
      <c r="AG674" s="41">
        <f t="shared" si="8107"/>
        <v>159447</v>
      </c>
      <c r="AH674" s="41">
        <f t="shared" ref="AH674:AI674" si="8108">(AH660-AH541)-SUM(AH670:AH673,AH204)</f>
        <v>152314</v>
      </c>
      <c r="AI674" s="41">
        <f t="shared" si="8108"/>
        <v>135386</v>
      </c>
      <c r="AJ674" s="41">
        <f t="shared" ref="AJ674:AK674" si="8109">(AJ660-AJ541)-SUM(AJ670:AJ673,AJ204)</f>
        <v>140860</v>
      </c>
      <c r="AK674" s="41">
        <f t="shared" si="8109"/>
        <v>139977</v>
      </c>
      <c r="AL674" s="41">
        <f t="shared" ref="AL674:AM674" si="8110">(AL660-AL541)-SUM(AL670:AL673,AL204)</f>
        <v>151566</v>
      </c>
      <c r="AM674" s="41">
        <f t="shared" si="8110"/>
        <v>147958</v>
      </c>
      <c r="AN674" s="41">
        <f t="shared" ref="AN674:AO674" si="8111">(AN660-AN541)-SUM(AN670:AN673,AN204)</f>
        <v>200021</v>
      </c>
      <c r="AO674" s="41">
        <f t="shared" si="8111"/>
        <v>153932</v>
      </c>
      <c r="AP674" s="41">
        <f t="shared" ref="AP674:AQ674" si="8112">(AP660-AP541)-SUM(AP670:AP673,AP204)</f>
        <v>123983</v>
      </c>
      <c r="AQ674" s="41">
        <f t="shared" si="8112"/>
        <v>49727</v>
      </c>
      <c r="AR674" s="41">
        <f t="shared" ref="AR674:AS674" si="8113">(AR660-AR541)-SUM(AR670:AR673,AR204)</f>
        <v>60187</v>
      </c>
      <c r="AS674" s="41">
        <f t="shared" si="8113"/>
        <v>101179</v>
      </c>
      <c r="AT674" s="41">
        <f t="shared" ref="AT674:AU674" si="8114">(AT660-AT541)-SUM(AT670:AT673,AT204)</f>
        <v>69287</v>
      </c>
      <c r="AU674" s="41">
        <f t="shared" si="8114"/>
        <v>95549</v>
      </c>
      <c r="AV674" s="41">
        <f t="shared" ref="AV674:AW674" si="8115">(AV660-AV541)-SUM(AV670:AV673,AV204)</f>
        <v>86258</v>
      </c>
      <c r="AW674" s="41">
        <f t="shared" si="8115"/>
        <v>112148</v>
      </c>
      <c r="AX674" s="41">
        <f t="shared" ref="AX674:AY674" si="8116">(AX660-AX541)-SUM(AX670:AX673,AX204)</f>
        <v>102200</v>
      </c>
      <c r="AY674" s="211">
        <f t="shared" si="8116"/>
        <v>103663</v>
      </c>
      <c r="AZ674" s="41">
        <f t="shared" si="8092"/>
        <v>105729.45317912252</v>
      </c>
      <c r="BA674" s="41">
        <f t="shared" si="8093"/>
        <v>107179.41226943376</v>
      </c>
      <c r="BB674" s="41">
        <f t="shared" si="8094"/>
        <v>108770.16633854312</v>
      </c>
      <c r="BC674" s="41">
        <f t="shared" si="8095"/>
        <v>110945.89656047913</v>
      </c>
      <c r="BD674" s="41">
        <f t="shared" si="8096"/>
        <v>113044.22683923281</v>
      </c>
      <c r="BE674" s="41">
        <f t="shared" si="8097"/>
        <v>115238.90496081366</v>
      </c>
      <c r="BF674" s="41">
        <f t="shared" si="8098"/>
        <v>117273.10349049474</v>
      </c>
      <c r="BG674" s="41">
        <f t="shared" si="8099"/>
        <v>119285.17577165125</v>
      </c>
      <c r="BH674" s="41">
        <f t="shared" si="8099"/>
        <v>121583.31151030104</v>
      </c>
      <c r="BI674" s="41">
        <f t="shared" si="8099"/>
        <v>123805.08839947205</v>
      </c>
      <c r="BJ674" s="41">
        <f t="shared" si="8099"/>
        <v>126213.59098190811</v>
      </c>
      <c r="BK674" s="41">
        <f t="shared" si="8099"/>
        <v>128597.03285503805</v>
      </c>
      <c r="BL674" s="41">
        <f t="shared" si="8100"/>
        <v>131017.34380980002</v>
      </c>
      <c r="BM674" s="41">
        <f t="shared" si="8101"/>
        <v>133509.02716134794</v>
      </c>
      <c r="BN674" s="41">
        <f t="shared" si="8102"/>
        <v>136180.94800257517</v>
      </c>
      <c r="BO674" s="41">
        <f t="shared" si="8103"/>
        <v>138924.97812196461</v>
      </c>
      <c r="BP674" s="41">
        <f t="shared" si="8104"/>
        <v>141828.79516976254</v>
      </c>
      <c r="BQ674" s="41">
        <f t="shared" si="8105"/>
        <v>144810.56932518812</v>
      </c>
      <c r="BR674" s="41"/>
      <c r="BS674" s="41">
        <f t="shared" ref="BS674:CB674" si="8117">(BS660-BS541)-SUM(BS670:BS673,BS204)</f>
        <v>22011.600000000006</v>
      </c>
      <c r="BT674" s="41">
        <f t="shared" si="8117"/>
        <v>22790</v>
      </c>
      <c r="BU674" s="41">
        <f t="shared" si="8117"/>
        <v>21650</v>
      </c>
      <c r="BV674" s="41">
        <f t="shared" si="8117"/>
        <v>23000</v>
      </c>
      <c r="BW674" s="41">
        <f t="shared" si="8117"/>
        <v>25659</v>
      </c>
      <c r="BX674" s="41">
        <f t="shared" si="8117"/>
        <v>28014</v>
      </c>
      <c r="BY674" s="41">
        <f t="shared" si="8117"/>
        <v>37854</v>
      </c>
      <c r="BZ674" s="41">
        <f t="shared" si="8117"/>
        <v>32346</v>
      </c>
      <c r="CA674" s="41">
        <f t="shared" si="8117"/>
        <v>38203</v>
      </c>
      <c r="CB674" s="41">
        <f t="shared" si="8117"/>
        <v>39896</v>
      </c>
      <c r="CC674" s="41">
        <f t="shared" si="8047"/>
        <v>31211</v>
      </c>
      <c r="CD674" s="41">
        <f t="shared" si="8048"/>
        <v>33502</v>
      </c>
      <c r="CE674" s="41">
        <f t="shared" si="8049"/>
        <v>37067</v>
      </c>
      <c r="CF674" s="41">
        <f t="shared" si="8050"/>
        <v>29702</v>
      </c>
      <c r="CG674" s="41">
        <f t="shared" si="8051"/>
        <v>44815</v>
      </c>
      <c r="CH674" s="41">
        <f t="shared" si="8052"/>
        <v>62770</v>
      </c>
      <c r="CI674" s="41">
        <f t="shared" si="8053"/>
        <v>71143</v>
      </c>
      <c r="CJ674" s="41">
        <f t="shared" si="8054"/>
        <v>71692</v>
      </c>
      <c r="CK674" s="41">
        <f t="shared" si="8007"/>
        <v>104544</v>
      </c>
      <c r="CL674" s="41">
        <f t="shared" si="8008"/>
        <v>112196</v>
      </c>
      <c r="CM674" s="41">
        <f t="shared" si="8009"/>
        <v>108947</v>
      </c>
      <c r="CN674" s="41">
        <f t="shared" si="8010"/>
        <v>106257</v>
      </c>
      <c r="CO674" s="41">
        <f t="shared" si="8011"/>
        <v>115820</v>
      </c>
      <c r="CP674" s="41">
        <f t="shared" si="7974"/>
        <v>147853</v>
      </c>
      <c r="CQ674" s="41">
        <f t="shared" si="7975"/>
        <v>159447</v>
      </c>
      <c r="CR674" s="41">
        <f t="shared" si="7976"/>
        <v>135386</v>
      </c>
      <c r="CS674" s="41">
        <f t="shared" si="7977"/>
        <v>139977</v>
      </c>
      <c r="CT674" s="41">
        <f t="shared" si="7978"/>
        <v>147958</v>
      </c>
      <c r="CU674" s="41">
        <f t="shared" si="7979"/>
        <v>153932</v>
      </c>
      <c r="CV674" s="41">
        <f t="shared" si="7980"/>
        <v>49727</v>
      </c>
      <c r="CW674" s="41">
        <f t="shared" si="7981"/>
        <v>101179</v>
      </c>
      <c r="CX674" s="41">
        <f t="shared" si="7982"/>
        <v>95549</v>
      </c>
      <c r="CY674" s="41">
        <f t="shared" si="7951"/>
        <v>112148</v>
      </c>
      <c r="CZ674" s="211">
        <f t="shared" si="7983"/>
        <v>103663</v>
      </c>
      <c r="DA674" s="41">
        <f t="shared" si="7984"/>
        <v>107179.41226943376</v>
      </c>
      <c r="DB674" s="41">
        <f t="shared" si="7952"/>
        <v>110945.89656047913</v>
      </c>
      <c r="DC674" s="41">
        <f t="shared" si="7953"/>
        <v>115238.90496081366</v>
      </c>
      <c r="DD674" s="41">
        <f t="shared" si="7954"/>
        <v>119285.17577165125</v>
      </c>
      <c r="DE674" s="41">
        <f t="shared" si="7955"/>
        <v>123805.08839947205</v>
      </c>
      <c r="DF674" s="41">
        <f t="shared" si="7956"/>
        <v>128597.03285503805</v>
      </c>
      <c r="DG674" s="41">
        <f t="shared" si="7957"/>
        <v>133509.02716134794</v>
      </c>
      <c r="DH674" s="41">
        <f t="shared" si="7958"/>
        <v>138924.97812196461</v>
      </c>
      <c r="DI674" s="41">
        <f t="shared" si="7959"/>
        <v>144810.56932518812</v>
      </c>
    </row>
    <row r="675" spans="1:113" ht="12" outlineLevel="1">
      <c r="A675" s="1" t="s">
        <v>942</v>
      </c>
      <c r="B675" s="15" t="s">
        <v>555</v>
      </c>
      <c r="C675" s="40">
        <v>717</v>
      </c>
      <c r="D675" s="40">
        <v>523</v>
      </c>
      <c r="E675" s="40">
        <v>534</v>
      </c>
      <c r="F675" s="40">
        <v>485</v>
      </c>
      <c r="G675" s="40">
        <v>180</v>
      </c>
      <c r="H675" s="40">
        <v>106</v>
      </c>
      <c r="I675" s="40">
        <v>579</v>
      </c>
      <c r="J675" s="40">
        <v>102</v>
      </c>
      <c r="K675" s="40">
        <v>-46</v>
      </c>
      <c r="L675" s="40">
        <v>-156</v>
      </c>
      <c r="M675" s="40">
        <f>-354</f>
        <v>-354</v>
      </c>
      <c r="N675" s="40">
        <v>-524</v>
      </c>
      <c r="O675" s="40">
        <v>-889</v>
      </c>
      <c r="P675" s="40">
        <v>-1012</v>
      </c>
      <c r="Q675" s="40">
        <v>-742</v>
      </c>
      <c r="R675" s="40">
        <v>-334</v>
      </c>
      <c r="S675" s="40">
        <v>-1787</v>
      </c>
      <c r="T675" s="40">
        <v>-2277</v>
      </c>
      <c r="U675" s="40">
        <v>-2587</v>
      </c>
      <c r="V675" s="40">
        <f>-3171</f>
        <v>-3171</v>
      </c>
      <c r="W675" s="40">
        <f>-2095</f>
        <v>-2095</v>
      </c>
      <c r="X675" s="40">
        <f>-2430</f>
        <v>-2430</v>
      </c>
      <c r="Y675" s="40">
        <v>-2498</v>
      </c>
      <c r="Z675" s="141">
        <v>-2528</v>
      </c>
      <c r="AA675" s="141">
        <v>-907</v>
      </c>
      <c r="AB675" s="141">
        <v>-334</v>
      </c>
      <c r="AC675" s="141">
        <v>-239</v>
      </c>
      <c r="AD675" s="141">
        <v>2188</v>
      </c>
      <c r="AE675" s="141">
        <v>1571</v>
      </c>
      <c r="AF675" s="141">
        <v>377</v>
      </c>
      <c r="AG675" s="141">
        <v>1078</v>
      </c>
      <c r="AH675" s="141">
        <v>115</v>
      </c>
      <c r="AI675" s="141">
        <v>37</v>
      </c>
      <c r="AJ675" s="141">
        <v>541</v>
      </c>
      <c r="AK675" s="141">
        <v>323</v>
      </c>
      <c r="AL675" s="141">
        <v>1709</v>
      </c>
      <c r="AM675" s="141">
        <v>1629</v>
      </c>
      <c r="AN675" s="141">
        <v>2851</v>
      </c>
      <c r="AO675" s="141">
        <v>1501</v>
      </c>
      <c r="AP675" s="141">
        <v>741</v>
      </c>
      <c r="AQ675" s="141">
        <v>1228</v>
      </c>
      <c r="AR675" s="141">
        <v>-1422</v>
      </c>
      <c r="AS675" s="141">
        <v>-2606</v>
      </c>
      <c r="AT675" s="141">
        <v>-1019</v>
      </c>
      <c r="AU675" s="141">
        <v>-1735</v>
      </c>
      <c r="AV675" s="141">
        <v>-1466</v>
      </c>
      <c r="AW675" s="141">
        <v>-1774</v>
      </c>
      <c r="AX675" s="141">
        <v>-990</v>
      </c>
      <c r="AY675" s="226">
        <v>-1555</v>
      </c>
      <c r="AZ675" s="41">
        <f t="shared" ref="AZ675" si="8118">AY675+SUM(AZ526:AZ528)</f>
        <v>-1048.3926854501262</v>
      </c>
      <c r="BA675" s="41">
        <f t="shared" ref="BA675" si="8119">AZ675+SUM(BA526:BA528)</f>
        <v>-1186.6082042841692</v>
      </c>
      <c r="BB675" s="41">
        <f t="shared" ref="BB675" si="8120">BA675+SUM(BB526:BB528)</f>
        <v>-1402.0631566701327</v>
      </c>
      <c r="BC675" s="41">
        <f t="shared" ref="BC675" si="8121">BB675+SUM(BC526:BC528)</f>
        <v>-1580.1377861383066</v>
      </c>
      <c r="BD675" s="41">
        <f t="shared" ref="BD675" si="8122">BC675+SUM(BD526:BD528)</f>
        <v>-1792.8560665811438</v>
      </c>
      <c r="BE675" s="41">
        <f t="shared" ref="BE675" si="8123">BD675+SUM(BE526:BE528)</f>
        <v>-2039.2238142285178</v>
      </c>
      <c r="BF675" s="41">
        <f t="shared" ref="BF675" si="8124">BE675+SUM(BF526:BF528)</f>
        <v>-2280.9925474590614</v>
      </c>
      <c r="BG675" s="41">
        <f t="shared" ref="BG675:BK675" si="8125">BF675+SUM(BG526:BG528)</f>
        <v>-2513.7068886533989</v>
      </c>
      <c r="BH675" s="41">
        <f t="shared" si="8125"/>
        <v>-2725.886067193057</v>
      </c>
      <c r="BI675" s="41">
        <f t="shared" si="8125"/>
        <v>-2930.2435573769376</v>
      </c>
      <c r="BJ675" s="41">
        <f t="shared" si="8125"/>
        <v>-3029.9930666107321</v>
      </c>
      <c r="BK675" s="41">
        <f t="shared" si="8125"/>
        <v>-3029.9930666107321</v>
      </c>
      <c r="BL675" s="41">
        <f t="shared" ref="BL675" si="8126">BK675+SUM(BL526:BL528)</f>
        <v>-3029.9930666107321</v>
      </c>
      <c r="BM675" s="41">
        <f t="shared" ref="BM675" si="8127">BL675+SUM(BM526:BM528)</f>
        <v>-3029.9930666107321</v>
      </c>
      <c r="BN675" s="41">
        <f t="shared" ref="BN675" si="8128">BM675+SUM(BN526:BN528)</f>
        <v>-3029.9930666107321</v>
      </c>
      <c r="BO675" s="41">
        <f t="shared" ref="BO675" si="8129">BN675+SUM(BO526:BO528)</f>
        <v>-3029.9930666107321</v>
      </c>
      <c r="BP675" s="41">
        <f t="shared" ref="BP675" si="8130">BO675+SUM(BP526:BP528)</f>
        <v>-3029.9930666107321</v>
      </c>
      <c r="BQ675" s="41">
        <f t="shared" ref="BQ675" si="8131">BP675+SUM(BQ526:BQ528)</f>
        <v>-3029.9930666107321</v>
      </c>
      <c r="BR675" s="41"/>
      <c r="BS675" s="40">
        <v>658</v>
      </c>
      <c r="BT675" s="40">
        <v>478.8</v>
      </c>
      <c r="BU675" s="40">
        <v>488</v>
      </c>
      <c r="BV675" s="40">
        <v>652</v>
      </c>
      <c r="BW675" s="40">
        <v>575</v>
      </c>
      <c r="BX675" s="40">
        <v>778</v>
      </c>
      <c r="BY675" s="40">
        <v>697</v>
      </c>
      <c r="BZ675" s="40">
        <v>536</v>
      </c>
      <c r="CA675" s="40">
        <v>786</v>
      </c>
      <c r="CB675" s="40">
        <v>717</v>
      </c>
      <c r="CC675" s="41">
        <f t="shared" si="8047"/>
        <v>534</v>
      </c>
      <c r="CD675" s="41">
        <f t="shared" si="8048"/>
        <v>180</v>
      </c>
      <c r="CE675" s="41">
        <f t="shared" si="8049"/>
        <v>579</v>
      </c>
      <c r="CF675" s="41">
        <f t="shared" si="8050"/>
        <v>-46</v>
      </c>
      <c r="CG675" s="41">
        <f t="shared" si="8051"/>
        <v>-354</v>
      </c>
      <c r="CH675" s="41">
        <f t="shared" si="8052"/>
        <v>-889</v>
      </c>
      <c r="CI675" s="41">
        <f t="shared" si="8053"/>
        <v>-742</v>
      </c>
      <c r="CJ675" s="41">
        <f t="shared" si="8054"/>
        <v>-1787</v>
      </c>
      <c r="CK675" s="41">
        <f t="shared" si="8007"/>
        <v>-2587</v>
      </c>
      <c r="CL675" s="41">
        <f t="shared" si="8008"/>
        <v>-2095</v>
      </c>
      <c r="CM675" s="41">
        <f t="shared" si="8009"/>
        <v>-2498</v>
      </c>
      <c r="CN675" s="41">
        <f t="shared" si="8010"/>
        <v>-907</v>
      </c>
      <c r="CO675" s="41">
        <f t="shared" si="8011"/>
        <v>-239</v>
      </c>
      <c r="CP675" s="41">
        <f t="shared" si="7974"/>
        <v>1571</v>
      </c>
      <c r="CQ675" s="41">
        <f t="shared" si="7975"/>
        <v>1078</v>
      </c>
      <c r="CR675" s="41">
        <f t="shared" si="7976"/>
        <v>37</v>
      </c>
      <c r="CS675" s="41">
        <f t="shared" si="7977"/>
        <v>323</v>
      </c>
      <c r="CT675" s="41">
        <f t="shared" si="7978"/>
        <v>1629</v>
      </c>
      <c r="CU675" s="41">
        <f t="shared" si="7979"/>
        <v>1501</v>
      </c>
      <c r="CV675" s="41">
        <f t="shared" si="7980"/>
        <v>1228</v>
      </c>
      <c r="CW675" s="41">
        <f t="shared" si="7981"/>
        <v>-2606</v>
      </c>
      <c r="CX675" s="41">
        <f t="shared" si="7982"/>
        <v>-1735</v>
      </c>
      <c r="CY675" s="41">
        <f t="shared" si="7951"/>
        <v>-1774</v>
      </c>
      <c r="CZ675" s="211">
        <f t="shared" si="7983"/>
        <v>-1555</v>
      </c>
      <c r="DA675" s="41">
        <f t="shared" si="7984"/>
        <v>-1186.6082042841692</v>
      </c>
      <c r="DB675" s="41">
        <f t="shared" si="7952"/>
        <v>-1580.1377861383066</v>
      </c>
      <c r="DC675" s="41">
        <f t="shared" si="7953"/>
        <v>-2039.2238142285178</v>
      </c>
      <c r="DD675" s="41">
        <f t="shared" si="7954"/>
        <v>-2513.7068886533989</v>
      </c>
      <c r="DE675" s="41">
        <f t="shared" si="7955"/>
        <v>-2930.2435573769376</v>
      </c>
      <c r="DF675" s="41">
        <f t="shared" si="7956"/>
        <v>-3029.9930666107321</v>
      </c>
      <c r="DG675" s="41">
        <f t="shared" si="7957"/>
        <v>-3029.9930666107321</v>
      </c>
      <c r="DH675" s="41">
        <f t="shared" si="7958"/>
        <v>-3029.9930666107321</v>
      </c>
      <c r="DI675" s="41">
        <f t="shared" si="7959"/>
        <v>-3029.9930666107321</v>
      </c>
    </row>
    <row r="676" spans="1:113" ht="12" outlineLevel="1">
      <c r="A676" s="1" t="s">
        <v>943</v>
      </c>
      <c r="B676" s="15" t="s">
        <v>556</v>
      </c>
      <c r="C676" s="40">
        <v>4562</v>
      </c>
      <c r="D676" s="40">
        <v>5032</v>
      </c>
      <c r="E676" s="40">
        <v>5600</v>
      </c>
      <c r="F676" s="40">
        <v>6700</v>
      </c>
      <c r="G676" s="40">
        <v>7203</v>
      </c>
      <c r="H676" s="40">
        <v>7773</v>
      </c>
      <c r="I676" s="40">
        <v>8336</v>
      </c>
      <c r="J676" s="40">
        <v>8967</v>
      </c>
      <c r="K676" s="40">
        <v>9646</v>
      </c>
      <c r="L676" s="40">
        <v>9979</v>
      </c>
      <c r="M676" s="40">
        <v>11084</v>
      </c>
      <c r="N676" s="40">
        <v>12117</v>
      </c>
      <c r="O676" s="40">
        <v>13082</v>
      </c>
      <c r="P676" s="40">
        <v>13673</v>
      </c>
      <c r="Q676" s="40">
        <v>13772</v>
      </c>
      <c r="R676" s="40">
        <v>13620</v>
      </c>
      <c r="S676" s="40">
        <v>14129</v>
      </c>
      <c r="T676" s="40">
        <v>14629</v>
      </c>
      <c r="U676" s="40">
        <v>15921</v>
      </c>
      <c r="V676" s="40">
        <v>16766</v>
      </c>
      <c r="W676" s="40">
        <v>17787</v>
      </c>
      <c r="X676" s="40">
        <v>18758</v>
      </c>
      <c r="Y676" s="40">
        <v>19728</v>
      </c>
      <c r="Z676" s="141">
        <v>20518</v>
      </c>
      <c r="AA676" s="141">
        <v>21936</v>
      </c>
      <c r="AB676" s="141">
        <v>22905</v>
      </c>
      <c r="AC676" s="141">
        <v>24544</v>
      </c>
      <c r="AD676" s="141">
        <v>25616</v>
      </c>
      <c r="AE676" s="141">
        <v>27309</v>
      </c>
      <c r="AF676" s="141">
        <v>27361</v>
      </c>
      <c r="AG676" s="141">
        <v>27975</v>
      </c>
      <c r="AH676" s="141">
        <v>28640</v>
      </c>
      <c r="AI676" s="141">
        <v>29834</v>
      </c>
      <c r="AJ676" s="141">
        <v>30922</v>
      </c>
      <c r="AK676" s="141">
        <v>31737</v>
      </c>
      <c r="AL676" s="141">
        <v>32064</v>
      </c>
      <c r="AM676" s="141">
        <v>32664</v>
      </c>
      <c r="AN676" s="141">
        <v>32073</v>
      </c>
      <c r="AO676" s="141">
        <v>33255</v>
      </c>
      <c r="AP676" s="141">
        <v>35210</v>
      </c>
      <c r="AQ676" s="141">
        <v>36453</v>
      </c>
      <c r="AR676" s="141">
        <v>38078</v>
      </c>
      <c r="AS676" s="141">
        <v>39716</v>
      </c>
      <c r="AT676" s="141">
        <v>41020</v>
      </c>
      <c r="AU676" s="141">
        <v>42148</v>
      </c>
      <c r="AV676" s="141">
        <v>42739</v>
      </c>
      <c r="AW676" s="141">
        <v>43449</v>
      </c>
      <c r="AX676" s="141">
        <v>44697</v>
      </c>
      <c r="AY676" s="226">
        <v>44492</v>
      </c>
      <c r="AZ676" s="41">
        <f t="shared" ref="AZ676" si="8132">AY676+AZ525+AZ535+AZ536</f>
        <v>45837.756883381116</v>
      </c>
      <c r="BA676" s="41">
        <f t="shared" ref="BA676" si="8133">AZ676+BA525+BA535+BA536</f>
        <v>47040.862745591498</v>
      </c>
      <c r="BB676" s="41">
        <f t="shared" ref="BB676" si="8134">BA676+BB525+BB535+BB536</f>
        <v>48277.819705905618</v>
      </c>
      <c r="BC676" s="41">
        <f t="shared" ref="BC676" si="8135">BB676+BC525+BC535+BC536</f>
        <v>49144.55358633674</v>
      </c>
      <c r="BD676" s="41">
        <f t="shared" ref="BD676" si="8136">BC676+BD525+BD535+BD536</f>
        <v>50439.225650287874</v>
      </c>
      <c r="BE676" s="41">
        <f t="shared" ref="BE676" si="8137">BD676+BE525+BE535+BE536</f>
        <v>51398.978740507751</v>
      </c>
      <c r="BF676" s="41">
        <f t="shared" ref="BF676" si="8138">BE676+BF525+BF535+BF536</f>
        <v>52737.665865660041</v>
      </c>
      <c r="BG676" s="41">
        <f t="shared" ref="BG676:BK676" si="8139">BF676+BG525+BG535+BG536</f>
        <v>53801.535115214829</v>
      </c>
      <c r="BH676" s="41">
        <f t="shared" si="8139"/>
        <v>55168.069340744238</v>
      </c>
      <c r="BI676" s="41">
        <f t="shared" si="8139"/>
        <v>56201.697473422166</v>
      </c>
      <c r="BJ676" s="41">
        <f t="shared" si="8139"/>
        <v>57596.230334981097</v>
      </c>
      <c r="BK676" s="41">
        <f t="shared" si="8139"/>
        <v>58841.022121826616</v>
      </c>
      <c r="BL676" s="41">
        <f t="shared" ref="BL676" si="8140">BK676+BL525+BL535+BL536</f>
        <v>60244.749195154116</v>
      </c>
      <c r="BM676" s="41">
        <f t="shared" ref="BM676" si="8141">BL676+BM525+BM535+BM536</f>
        <v>61411.232541963829</v>
      </c>
      <c r="BN676" s="41">
        <f t="shared" ref="BN676" si="8142">BM676+BN525+BN535+BN536</f>
        <v>62719.417771203851</v>
      </c>
      <c r="BO676" s="41">
        <f t="shared" ref="BO676" si="8143">BN676+BO525+BO535+BO536</f>
        <v>63830.937406807017</v>
      </c>
      <c r="BP676" s="41">
        <f t="shared" ref="BP676" si="8144">BO676+BP525+BP535+BP536</f>
        <v>65098.944826488543</v>
      </c>
      <c r="BQ676" s="41">
        <f t="shared" ref="BQ676" si="8145">BP676+BQ525+BQ535+BQ536</f>
        <v>66210.303000424145</v>
      </c>
      <c r="BR676" s="41"/>
      <c r="BS676" s="40">
        <v>173.2</v>
      </c>
      <c r="BT676" s="40">
        <v>197.7</v>
      </c>
      <c r="BU676" s="40">
        <v>585</v>
      </c>
      <c r="BV676" s="40">
        <v>1106</v>
      </c>
      <c r="BW676" s="40">
        <v>1583</v>
      </c>
      <c r="BX676" s="40">
        <v>1830</v>
      </c>
      <c r="BY676" s="40">
        <v>2412</v>
      </c>
      <c r="BZ676" s="40">
        <v>2952</v>
      </c>
      <c r="CA676" s="40">
        <v>3607</v>
      </c>
      <c r="CB676" s="40">
        <v>4562</v>
      </c>
      <c r="CC676" s="41">
        <f t="shared" si="8047"/>
        <v>5600</v>
      </c>
      <c r="CD676" s="41">
        <f t="shared" si="8048"/>
        <v>7203</v>
      </c>
      <c r="CE676" s="41">
        <f t="shared" si="8049"/>
        <v>8336</v>
      </c>
      <c r="CF676" s="41">
        <f t="shared" si="8050"/>
        <v>9646</v>
      </c>
      <c r="CG676" s="41">
        <f t="shared" si="8051"/>
        <v>11084</v>
      </c>
      <c r="CH676" s="41">
        <f t="shared" si="8052"/>
        <v>13082</v>
      </c>
      <c r="CI676" s="41">
        <f t="shared" si="8053"/>
        <v>13772</v>
      </c>
      <c r="CJ676" s="41">
        <f t="shared" si="8054"/>
        <v>14129</v>
      </c>
      <c r="CK676" s="41">
        <f t="shared" si="8007"/>
        <v>15921</v>
      </c>
      <c r="CL676" s="41">
        <f t="shared" si="8008"/>
        <v>17787</v>
      </c>
      <c r="CM676" s="41">
        <f t="shared" si="8009"/>
        <v>19728</v>
      </c>
      <c r="CN676" s="41">
        <f t="shared" si="8010"/>
        <v>21936</v>
      </c>
      <c r="CO676" s="41">
        <f t="shared" si="8011"/>
        <v>24544</v>
      </c>
      <c r="CP676" s="41">
        <f t="shared" si="7974"/>
        <v>27309</v>
      </c>
      <c r="CQ676" s="41">
        <f t="shared" si="7975"/>
        <v>27975</v>
      </c>
      <c r="CR676" s="41">
        <f t="shared" si="7976"/>
        <v>29834</v>
      </c>
      <c r="CS676" s="41">
        <f t="shared" si="7977"/>
        <v>31737</v>
      </c>
      <c r="CT676" s="41">
        <f t="shared" si="7978"/>
        <v>32664</v>
      </c>
      <c r="CU676" s="41">
        <f t="shared" si="7979"/>
        <v>33255</v>
      </c>
      <c r="CV676" s="41">
        <f t="shared" si="7980"/>
        <v>36453</v>
      </c>
      <c r="CW676" s="41">
        <f t="shared" si="7981"/>
        <v>39716</v>
      </c>
      <c r="CX676" s="41">
        <f t="shared" si="7982"/>
        <v>42148</v>
      </c>
      <c r="CY676" s="41">
        <f t="shared" si="7951"/>
        <v>43449</v>
      </c>
      <c r="CZ676" s="211">
        <f t="shared" si="7983"/>
        <v>44492</v>
      </c>
      <c r="DA676" s="41">
        <f t="shared" si="7984"/>
        <v>47040.862745591498</v>
      </c>
      <c r="DB676" s="41">
        <f t="shared" si="7952"/>
        <v>49144.55358633674</v>
      </c>
      <c r="DC676" s="41">
        <f t="shared" si="7953"/>
        <v>51398.978740507751</v>
      </c>
      <c r="DD676" s="41">
        <f t="shared" si="7954"/>
        <v>53801.535115214829</v>
      </c>
      <c r="DE676" s="41">
        <f t="shared" si="7955"/>
        <v>56201.697473422166</v>
      </c>
      <c r="DF676" s="41">
        <f t="shared" si="7956"/>
        <v>58841.022121826616</v>
      </c>
      <c r="DG676" s="41">
        <f t="shared" si="7957"/>
        <v>61411.232541963829</v>
      </c>
      <c r="DH676" s="41">
        <f t="shared" si="7958"/>
        <v>63830.937406807017</v>
      </c>
      <c r="DI676" s="41">
        <f t="shared" si="7959"/>
        <v>66210.303000424145</v>
      </c>
    </row>
    <row r="677" spans="1:113" ht="12" outlineLevel="1">
      <c r="A677" s="1" t="s">
        <v>2213</v>
      </c>
      <c r="B677" s="15" t="s">
        <v>1630</v>
      </c>
      <c r="C677" s="141">
        <v>1105</v>
      </c>
      <c r="D677" s="141">
        <v>1105</v>
      </c>
      <c r="E677" s="141">
        <v>1208</v>
      </c>
      <c r="F677" s="141">
        <v>1272</v>
      </c>
      <c r="G677" s="141">
        <v>1304</v>
      </c>
      <c r="H677" s="141">
        <v>1365</v>
      </c>
      <c r="I677" s="141">
        <v>1476</v>
      </c>
      <c r="J677" s="141">
        <v>1497</v>
      </c>
      <c r="K677" s="141">
        <v>1574</v>
      </c>
      <c r="L677" s="141">
        <v>1978</v>
      </c>
      <c r="M677" s="141">
        <v>2002</v>
      </c>
      <c r="N677" s="141">
        <v>2110</v>
      </c>
      <c r="O677" s="141">
        <v>1707</v>
      </c>
      <c r="P677" s="141">
        <v>1903</v>
      </c>
      <c r="Q677" s="141">
        <v>2000</v>
      </c>
      <c r="R677" s="141">
        <v>1929</v>
      </c>
      <c r="S677" s="141">
        <v>1812</v>
      </c>
      <c r="T677" s="141">
        <v>1813</v>
      </c>
      <c r="U677" s="141">
        <v>1662</v>
      </c>
      <c r="V677" s="141">
        <v>1564</v>
      </c>
      <c r="W677" s="141">
        <v>1587</v>
      </c>
      <c r="X677" s="141">
        <f t="shared" ref="X677:AC677" si="8146">-X665</f>
        <v>1586</v>
      </c>
      <c r="Y677" s="141">
        <f t="shared" si="8146"/>
        <v>444</v>
      </c>
      <c r="Z677" s="141">
        <f t="shared" si="8146"/>
        <v>218</v>
      </c>
      <c r="AA677" s="41">
        <f t="shared" si="8146"/>
        <v>12</v>
      </c>
      <c r="AB677" s="41">
        <f t="shared" si="8146"/>
        <v>52</v>
      </c>
      <c r="AC677" s="41">
        <f t="shared" si="8146"/>
        <v>-151</v>
      </c>
      <c r="AD677" s="41">
        <f t="shared" ref="AD677" si="8147">-AD665</f>
        <v>-324</v>
      </c>
      <c r="AE677" s="41">
        <f t="shared" ref="AE677:AF677" si="8148">-AE665</f>
        <v>-514</v>
      </c>
      <c r="AF677" s="41">
        <f t="shared" si="8148"/>
        <v>-417</v>
      </c>
      <c r="AG677" s="41">
        <f t="shared" ref="AG677:AH677" si="8149">-AG665</f>
        <v>-520</v>
      </c>
      <c r="AH677" s="41">
        <f t="shared" si="8149"/>
        <v>-582</v>
      </c>
      <c r="AI677" s="41">
        <f t="shared" ref="AI677:AJ677" si="8150">-AI665</f>
        <v>-647</v>
      </c>
      <c r="AJ677" s="41">
        <f t="shared" si="8150"/>
        <v>-603</v>
      </c>
      <c r="AK677" s="41">
        <f t="shared" ref="AK677:AL677" si="8151">-AK665</f>
        <v>-567</v>
      </c>
      <c r="AL677" s="41">
        <f t="shared" si="8151"/>
        <v>-501</v>
      </c>
      <c r="AM677" s="41">
        <f t="shared" ref="AM677:AN677" si="8152">-AM665</f>
        <v>-472</v>
      </c>
      <c r="AN677" s="41">
        <f t="shared" si="8152"/>
        <v>-497</v>
      </c>
      <c r="AO677" s="41">
        <f t="shared" ref="AO677" si="8153">-AO665</f>
        <v>-802</v>
      </c>
      <c r="AP677" s="41">
        <f t="shared" ref="AP677:AQ677" si="8154">-AP665</f>
        <v>-941</v>
      </c>
      <c r="AQ677" s="41">
        <f t="shared" si="8154"/>
        <v>-1000</v>
      </c>
      <c r="AR677" s="41">
        <f t="shared" ref="AR677:AS677" si="8155">-AR665</f>
        <v>-1022</v>
      </c>
      <c r="AS677" s="41">
        <f t="shared" si="8155"/>
        <v>-2364</v>
      </c>
      <c r="AT677" s="41">
        <f t="shared" ref="AT677:AU677" si="8156">-AT665</f>
        <v>-2639</v>
      </c>
      <c r="AU677" s="41">
        <f t="shared" si="8156"/>
        <v>-2960</v>
      </c>
      <c r="AV677" s="41">
        <f t="shared" ref="AV677:AW677" si="8157">-AV665</f>
        <v>-3148</v>
      </c>
      <c r="AW677" s="41">
        <f t="shared" si="8157"/>
        <v>-3722</v>
      </c>
      <c r="AX677" s="41">
        <f t="shared" ref="AX677:AY677" si="8158">-AX665</f>
        <v>-3751</v>
      </c>
      <c r="AY677" s="211">
        <f t="shared" si="8158"/>
        <v>-3859</v>
      </c>
      <c r="AZ677" s="41">
        <f t="shared" ref="AZ677:AZ678" si="8159">AY677</f>
        <v>-3859</v>
      </c>
      <c r="BA677" s="41">
        <f t="shared" ref="BA677:BA678" si="8160">AZ677</f>
        <v>-3859</v>
      </c>
      <c r="BB677" s="41">
        <f t="shared" ref="BB677:BB678" si="8161">BA677</f>
        <v>-3859</v>
      </c>
      <c r="BC677" s="41">
        <f t="shared" ref="BC677:BC678" si="8162">BB677</f>
        <v>-3859</v>
      </c>
      <c r="BD677" s="41">
        <f t="shared" ref="BD677:BD678" si="8163">BC677</f>
        <v>-3859</v>
      </c>
      <c r="BE677" s="41">
        <f t="shared" ref="BE677:BE678" si="8164">BD677</f>
        <v>-3859</v>
      </c>
      <c r="BF677" s="41">
        <f t="shared" ref="BF677:BF678" si="8165">BE677</f>
        <v>-3859</v>
      </c>
      <c r="BG677" s="41">
        <f t="shared" ref="BG677:BK678" si="8166">BF677</f>
        <v>-3859</v>
      </c>
      <c r="BH677" s="41">
        <f t="shared" si="8166"/>
        <v>-3859</v>
      </c>
      <c r="BI677" s="41">
        <f t="shared" si="8166"/>
        <v>-3859</v>
      </c>
      <c r="BJ677" s="41">
        <f t="shared" si="8166"/>
        <v>-3859</v>
      </c>
      <c r="BK677" s="41">
        <f t="shared" si="8166"/>
        <v>-3859</v>
      </c>
      <c r="BL677" s="41">
        <f t="shared" ref="BL677:BL678" si="8167">BK677</f>
        <v>-3859</v>
      </c>
      <c r="BM677" s="41">
        <f t="shared" ref="BM677:BM678" si="8168">BL677</f>
        <v>-3859</v>
      </c>
      <c r="BN677" s="41">
        <f t="shared" ref="BN677:BN678" si="8169">BM677</f>
        <v>-3859</v>
      </c>
      <c r="BO677" s="41">
        <f t="shared" ref="BO677:BO678" si="8170">BN677</f>
        <v>-3859</v>
      </c>
      <c r="BP677" s="41">
        <f t="shared" ref="BP677:BP678" si="8171">BO677</f>
        <v>-3859</v>
      </c>
      <c r="BQ677" s="41">
        <f t="shared" ref="BQ677:BQ678" si="8172">BP677</f>
        <v>-3859</v>
      </c>
      <c r="BR677" s="41"/>
      <c r="BS677" s="41"/>
      <c r="BT677" s="41"/>
      <c r="BU677" s="41"/>
      <c r="BV677" s="41"/>
      <c r="BW677" s="41"/>
      <c r="BX677" s="41"/>
      <c r="BY677" s="41"/>
      <c r="BZ677" s="41"/>
      <c r="CA677" s="41"/>
      <c r="CB677" s="41"/>
      <c r="CC677" s="41">
        <f t="shared" si="8047"/>
        <v>1208</v>
      </c>
      <c r="CD677" s="41">
        <f t="shared" si="8048"/>
        <v>1304</v>
      </c>
      <c r="CE677" s="41">
        <f t="shared" si="8049"/>
        <v>1476</v>
      </c>
      <c r="CF677" s="41">
        <f t="shared" si="8050"/>
        <v>1574</v>
      </c>
      <c r="CG677" s="41">
        <f t="shared" si="8051"/>
        <v>2002</v>
      </c>
      <c r="CH677" s="41">
        <f t="shared" si="8052"/>
        <v>1707</v>
      </c>
      <c r="CI677" s="41">
        <f t="shared" si="8053"/>
        <v>2000</v>
      </c>
      <c r="CJ677" s="41">
        <f t="shared" si="8054"/>
        <v>1812</v>
      </c>
      <c r="CK677" s="41">
        <f t="shared" si="8007"/>
        <v>1662</v>
      </c>
      <c r="CL677" s="41">
        <f t="shared" si="8008"/>
        <v>1587</v>
      </c>
      <c r="CM677" s="41">
        <f t="shared" si="8009"/>
        <v>444</v>
      </c>
      <c r="CN677" s="41">
        <f t="shared" si="8010"/>
        <v>12</v>
      </c>
      <c r="CO677" s="41">
        <f t="shared" si="8011"/>
        <v>-151</v>
      </c>
      <c r="CP677" s="41">
        <f t="shared" si="7974"/>
        <v>-514</v>
      </c>
      <c r="CQ677" s="41">
        <f t="shared" si="7975"/>
        <v>-520</v>
      </c>
      <c r="CR677" s="41">
        <f t="shared" si="7976"/>
        <v>-647</v>
      </c>
      <c r="CS677" s="41">
        <f t="shared" si="7977"/>
        <v>-567</v>
      </c>
      <c r="CT677" s="41">
        <f t="shared" si="7978"/>
        <v>-472</v>
      </c>
      <c r="CU677" s="41">
        <f t="shared" si="7979"/>
        <v>-802</v>
      </c>
      <c r="CV677" s="41">
        <f t="shared" si="7980"/>
        <v>-1000</v>
      </c>
      <c r="CW677" s="41">
        <f t="shared" si="7981"/>
        <v>-2364</v>
      </c>
      <c r="CX677" s="41">
        <f t="shared" si="7982"/>
        <v>-2960</v>
      </c>
      <c r="CY677" s="41">
        <f t="shared" si="7951"/>
        <v>-3722</v>
      </c>
      <c r="CZ677" s="211">
        <f t="shared" si="7983"/>
        <v>-3859</v>
      </c>
      <c r="DA677" s="41">
        <f t="shared" si="7984"/>
        <v>-3859</v>
      </c>
      <c r="DB677" s="41">
        <f t="shared" si="7952"/>
        <v>-3859</v>
      </c>
      <c r="DC677" s="41">
        <f t="shared" si="7953"/>
        <v>-3859</v>
      </c>
      <c r="DD677" s="41">
        <f t="shared" si="7954"/>
        <v>-3859</v>
      </c>
      <c r="DE677" s="41">
        <f t="shared" si="7955"/>
        <v>-3859</v>
      </c>
      <c r="DF677" s="41">
        <f t="shared" si="7956"/>
        <v>-3859</v>
      </c>
      <c r="DG677" s="41">
        <f t="shared" si="7957"/>
        <v>-3859</v>
      </c>
      <c r="DH677" s="41">
        <f t="shared" si="7958"/>
        <v>-3859</v>
      </c>
      <c r="DI677" s="41">
        <f t="shared" si="7959"/>
        <v>-3859</v>
      </c>
    </row>
    <row r="678" spans="1:113" ht="12" outlineLevel="1">
      <c r="A678" s="1" t="s">
        <v>2214</v>
      </c>
      <c r="B678" s="15" t="s">
        <v>2215</v>
      </c>
      <c r="C678" s="141">
        <v>14512</v>
      </c>
      <c r="D678" s="141">
        <v>14512</v>
      </c>
      <c r="E678" s="141">
        <v>13796</v>
      </c>
      <c r="F678" s="141">
        <v>13270</v>
      </c>
      <c r="G678" s="141">
        <v>13178</v>
      </c>
      <c r="H678" s="141">
        <v>13358</v>
      </c>
      <c r="I678" s="141">
        <v>12466</v>
      </c>
      <c r="J678" s="141">
        <v>12922</v>
      </c>
      <c r="K678" s="141">
        <v>13449</v>
      </c>
      <c r="L678" s="141">
        <v>13692</v>
      </c>
      <c r="M678" s="141">
        <v>13435</v>
      </c>
      <c r="N678" s="141">
        <v>14013</v>
      </c>
      <c r="O678" s="141">
        <v>14536</v>
      </c>
      <c r="P678" s="141">
        <v>15756</v>
      </c>
      <c r="Q678" s="141">
        <v>15297</v>
      </c>
      <c r="R678" s="141">
        <v>15017</v>
      </c>
      <c r="S678" s="141">
        <v>13762</v>
      </c>
      <c r="T678" s="141">
        <v>12510</v>
      </c>
      <c r="U678" s="141">
        <v>11495</v>
      </c>
      <c r="V678" s="141">
        <v>577</v>
      </c>
      <c r="W678" s="141">
        <v>970</v>
      </c>
      <c r="X678" s="141">
        <f>X179</f>
        <v>676</v>
      </c>
      <c r="Y678" s="141">
        <f>Y179</f>
        <v>1239</v>
      </c>
      <c r="Z678" s="141">
        <f>Z179</f>
        <v>1269</v>
      </c>
      <c r="AA678" s="41">
        <f t="shared" ref="AA678:AC678" si="8173">AA179</f>
        <v>812</v>
      </c>
      <c r="AB678" s="41">
        <f t="shared" si="8173"/>
        <v>1185</v>
      </c>
      <c r="AC678" s="41">
        <f t="shared" si="8173"/>
        <v>1151</v>
      </c>
      <c r="AD678" s="41">
        <f t="shared" ref="AD678" si="8174">AD179</f>
        <v>1422</v>
      </c>
      <c r="AE678" s="41">
        <f t="shared" ref="AE678:AF678" si="8175">AE179</f>
        <v>1371</v>
      </c>
      <c r="AF678" s="41">
        <f t="shared" si="8175"/>
        <v>760</v>
      </c>
      <c r="AG678" s="41">
        <f t="shared" ref="AG678:AH678" si="8176">AG179</f>
        <v>571</v>
      </c>
      <c r="AH678" s="41">
        <f t="shared" si="8176"/>
        <v>565</v>
      </c>
      <c r="AI678" s="41">
        <f t="shared" ref="AI678:AJ678" si="8177">AI179</f>
        <v>0</v>
      </c>
      <c r="AJ678" s="41">
        <f t="shared" si="8177"/>
        <v>0</v>
      </c>
      <c r="AK678" s="41">
        <f t="shared" ref="AK678:AL678" si="8178">AK179</f>
        <v>0</v>
      </c>
      <c r="AL678" s="41">
        <f t="shared" si="8178"/>
        <v>0</v>
      </c>
      <c r="AM678" s="41">
        <f t="shared" ref="AM678:AN678" si="8179">AM179</f>
        <v>0</v>
      </c>
      <c r="AN678" s="41">
        <f t="shared" si="8179"/>
        <v>0</v>
      </c>
      <c r="AO678" s="41">
        <f t="shared" ref="AO678" si="8180">AO179</f>
        <v>0</v>
      </c>
      <c r="AP678" s="41">
        <f t="shared" ref="AP678:AQ678" si="8181">AP179</f>
        <v>0</v>
      </c>
      <c r="AQ678" s="41">
        <f t="shared" si="8181"/>
        <v>0</v>
      </c>
      <c r="AR678" s="41">
        <f t="shared" ref="AR678:AS678" si="8182">AR179</f>
        <v>0</v>
      </c>
      <c r="AS678" s="41">
        <f t="shared" si="8182"/>
        <v>0</v>
      </c>
      <c r="AT678" s="41">
        <f t="shared" ref="AT678:AU678" si="8183">AT179</f>
        <v>0</v>
      </c>
      <c r="AU678" s="41">
        <f t="shared" si="8183"/>
        <v>0</v>
      </c>
      <c r="AV678" s="41">
        <f t="shared" ref="AV678:AW678" si="8184">AV179</f>
        <v>0</v>
      </c>
      <c r="AW678" s="41">
        <f t="shared" si="8184"/>
        <v>0</v>
      </c>
      <c r="AX678" s="41">
        <f t="shared" ref="AX678:AY678" si="8185">AX179</f>
        <v>0</v>
      </c>
      <c r="AY678" s="211">
        <f t="shared" si="8185"/>
        <v>0</v>
      </c>
      <c r="AZ678" s="41">
        <f t="shared" si="8159"/>
        <v>0</v>
      </c>
      <c r="BA678" s="41">
        <f t="shared" si="8160"/>
        <v>0</v>
      </c>
      <c r="BB678" s="41">
        <f t="shared" si="8161"/>
        <v>0</v>
      </c>
      <c r="BC678" s="41">
        <f t="shared" si="8162"/>
        <v>0</v>
      </c>
      <c r="BD678" s="41">
        <f t="shared" si="8163"/>
        <v>0</v>
      </c>
      <c r="BE678" s="41">
        <f t="shared" si="8164"/>
        <v>0</v>
      </c>
      <c r="BF678" s="41">
        <f t="shared" si="8165"/>
        <v>0</v>
      </c>
      <c r="BG678" s="41">
        <f t="shared" si="8166"/>
        <v>0</v>
      </c>
      <c r="BH678" s="41">
        <f t="shared" si="8166"/>
        <v>0</v>
      </c>
      <c r="BI678" s="41">
        <f t="shared" si="8166"/>
        <v>0</v>
      </c>
      <c r="BJ678" s="41">
        <f t="shared" si="8166"/>
        <v>0</v>
      </c>
      <c r="BK678" s="41">
        <f t="shared" si="8166"/>
        <v>0</v>
      </c>
      <c r="BL678" s="41">
        <f t="shared" si="8167"/>
        <v>0</v>
      </c>
      <c r="BM678" s="41">
        <f t="shared" si="8168"/>
        <v>0</v>
      </c>
      <c r="BN678" s="41">
        <f t="shared" si="8169"/>
        <v>0</v>
      </c>
      <c r="BO678" s="41">
        <f t="shared" si="8170"/>
        <v>0</v>
      </c>
      <c r="BP678" s="41">
        <f t="shared" si="8171"/>
        <v>0</v>
      </c>
      <c r="BQ678" s="41">
        <f t="shared" si="8172"/>
        <v>0</v>
      </c>
      <c r="BR678" s="41"/>
      <c r="BS678" s="41"/>
      <c r="BT678" s="41"/>
      <c r="BU678" s="41"/>
      <c r="BV678" s="41"/>
      <c r="BW678" s="41"/>
      <c r="BX678" s="41"/>
      <c r="BY678" s="41"/>
      <c r="BZ678" s="41"/>
      <c r="CA678" s="41"/>
      <c r="CB678" s="41"/>
      <c r="CC678" s="41">
        <f t="shared" si="8047"/>
        <v>13796</v>
      </c>
      <c r="CD678" s="41">
        <f t="shared" si="8048"/>
        <v>13178</v>
      </c>
      <c r="CE678" s="41">
        <f t="shared" si="8049"/>
        <v>12466</v>
      </c>
      <c r="CF678" s="41">
        <f t="shared" si="8050"/>
        <v>13449</v>
      </c>
      <c r="CG678" s="41">
        <f t="shared" si="8051"/>
        <v>13435</v>
      </c>
      <c r="CH678" s="41">
        <f t="shared" si="8052"/>
        <v>14536</v>
      </c>
      <c r="CI678" s="41">
        <f t="shared" si="8053"/>
        <v>15297</v>
      </c>
      <c r="CJ678" s="41">
        <f t="shared" si="8054"/>
        <v>13762</v>
      </c>
      <c r="CK678" s="41">
        <f t="shared" si="8007"/>
        <v>11495</v>
      </c>
      <c r="CL678" s="41">
        <f t="shared" si="8008"/>
        <v>970</v>
      </c>
      <c r="CM678" s="41">
        <f t="shared" si="8009"/>
        <v>1239</v>
      </c>
      <c r="CN678" s="41">
        <f t="shared" si="8010"/>
        <v>812</v>
      </c>
      <c r="CO678" s="41">
        <f t="shared" si="8011"/>
        <v>1151</v>
      </c>
      <c r="CP678" s="41">
        <f t="shared" si="7974"/>
        <v>1371</v>
      </c>
      <c r="CQ678" s="41">
        <f t="shared" si="7975"/>
        <v>571</v>
      </c>
      <c r="CR678" s="41">
        <f t="shared" si="7976"/>
        <v>0</v>
      </c>
      <c r="CS678" s="41">
        <f t="shared" si="7977"/>
        <v>0</v>
      </c>
      <c r="CT678" s="41">
        <f t="shared" si="7978"/>
        <v>0</v>
      </c>
      <c r="CU678" s="41">
        <f t="shared" si="7979"/>
        <v>0</v>
      </c>
      <c r="CV678" s="41">
        <f t="shared" si="7980"/>
        <v>0</v>
      </c>
      <c r="CW678" s="41">
        <f t="shared" si="7981"/>
        <v>0</v>
      </c>
      <c r="CX678" s="41">
        <f t="shared" si="7982"/>
        <v>0</v>
      </c>
      <c r="CY678" s="41">
        <f t="shared" si="7951"/>
        <v>0</v>
      </c>
      <c r="CZ678" s="211">
        <f t="shared" si="7983"/>
        <v>0</v>
      </c>
      <c r="DA678" s="41">
        <f t="shared" si="7984"/>
        <v>0</v>
      </c>
      <c r="DB678" s="41">
        <f t="shared" si="7952"/>
        <v>0</v>
      </c>
      <c r="DC678" s="41">
        <f t="shared" si="7953"/>
        <v>0</v>
      </c>
      <c r="DD678" s="41">
        <f t="shared" si="7954"/>
        <v>0</v>
      </c>
      <c r="DE678" s="41">
        <f t="shared" si="7955"/>
        <v>0</v>
      </c>
      <c r="DF678" s="41">
        <f t="shared" si="7956"/>
        <v>0</v>
      </c>
      <c r="DG678" s="41">
        <f t="shared" si="7957"/>
        <v>0</v>
      </c>
      <c r="DH678" s="41">
        <f t="shared" si="7958"/>
        <v>0</v>
      </c>
      <c r="DI678" s="41">
        <f t="shared" si="7959"/>
        <v>0</v>
      </c>
    </row>
    <row r="679" spans="1:113" ht="12" outlineLevel="1">
      <c r="A679" s="1" t="s">
        <v>2216</v>
      </c>
      <c r="B679" s="15" t="s">
        <v>2217</v>
      </c>
      <c r="C679" s="141">
        <v>1357</v>
      </c>
      <c r="D679" s="141">
        <v>1357</v>
      </c>
      <c r="E679" s="141">
        <v>1203</v>
      </c>
      <c r="F679" s="141">
        <v>1153</v>
      </c>
      <c r="G679" s="141">
        <v>1007</v>
      </c>
      <c r="H679" s="141">
        <v>931</v>
      </c>
      <c r="I679" s="141">
        <v>829</v>
      </c>
      <c r="J679" s="141">
        <v>640</v>
      </c>
      <c r="K679" s="141">
        <v>642</v>
      </c>
      <c r="L679" s="141">
        <v>726</v>
      </c>
      <c r="M679" s="141">
        <v>661</v>
      </c>
      <c r="N679" s="141">
        <v>640</v>
      </c>
      <c r="O679" s="141">
        <v>666</v>
      </c>
      <c r="P679" s="141">
        <v>1048</v>
      </c>
      <c r="Q679" s="141">
        <v>1750</v>
      </c>
      <c r="R679" s="141">
        <v>3691</v>
      </c>
      <c r="S679" s="141">
        <v>4519</v>
      </c>
      <c r="T679" s="141">
        <v>5397</v>
      </c>
      <c r="U679" s="141">
        <v>6075</v>
      </c>
      <c r="V679" s="141">
        <v>5203</v>
      </c>
      <c r="W679" s="141">
        <v>4650</v>
      </c>
      <c r="X679" s="141">
        <v>4664</v>
      </c>
      <c r="Y679" s="141">
        <v>4364</v>
      </c>
      <c r="Z679" s="141">
        <v>3978</v>
      </c>
      <c r="AA679" s="141">
        <v>3751</v>
      </c>
      <c r="AB679" s="141">
        <v>3314</v>
      </c>
      <c r="AC679" s="141">
        <v>2682</v>
      </c>
      <c r="AD679" s="141">
        <v>2466</v>
      </c>
      <c r="AE679" s="141">
        <v>2441</v>
      </c>
      <c r="AF679" s="141">
        <v>2564</v>
      </c>
      <c r="AG679" s="141">
        <v>2646</v>
      </c>
      <c r="AH679" s="141">
        <v>2478</v>
      </c>
      <c r="AI679" s="141">
        <v>2118</v>
      </c>
      <c r="AJ679" s="141">
        <v>1863</v>
      </c>
      <c r="AK679" s="141">
        <v>1676</v>
      </c>
      <c r="AL679" s="141">
        <v>1803</v>
      </c>
      <c r="AM679" s="141">
        <v>1711</v>
      </c>
      <c r="AN679" s="141">
        <v>2209</v>
      </c>
      <c r="AO679" s="141">
        <v>2001</v>
      </c>
      <c r="AP679" s="141">
        <v>1941</v>
      </c>
      <c r="AQ679" s="141">
        <v>1549</v>
      </c>
      <c r="AR679" s="141">
        <v>1286</v>
      </c>
      <c r="AS679" s="141">
        <v>1043</v>
      </c>
      <c r="AT679" s="141">
        <v>804</v>
      </c>
      <c r="AU679" s="141">
        <v>1037</v>
      </c>
      <c r="AV679" s="141">
        <v>880</v>
      </c>
      <c r="AW679" s="141">
        <v>881</v>
      </c>
      <c r="AX679" s="141">
        <v>1020</v>
      </c>
      <c r="AY679" s="226">
        <v>1058</v>
      </c>
      <c r="AZ679" s="41">
        <f t="shared" ref="AZ679" si="8186">AY679*(AZ124/AY124)</f>
        <v>1160.3776126749585</v>
      </c>
      <c r="BA679" s="41">
        <f t="shared" ref="BA679" si="8187">AZ679*(BA124/AZ124)</f>
        <v>1259.032827642729</v>
      </c>
      <c r="BB679" s="41">
        <f t="shared" ref="BB679" si="8188">BA679*(BB124/BA124)</f>
        <v>1359.6407376839115</v>
      </c>
      <c r="BC679" s="41">
        <f t="shared" ref="BC679" si="8189">BB679*(BC124/BB124)</f>
        <v>1468.5688659566115</v>
      </c>
      <c r="BD679" s="41">
        <f t="shared" ref="BD679" si="8190">BC679*(BD124/BC124)</f>
        <v>1506.2270741655559</v>
      </c>
      <c r="BE679" s="41">
        <f t="shared" ref="BE679" si="8191">BD679*(BE124/BD124)</f>
        <v>1545.1023114255602</v>
      </c>
      <c r="BF679" s="41">
        <f t="shared" ref="BF679" si="8192">BE679*(BF124/BE124)</f>
        <v>1482.9360470876238</v>
      </c>
      <c r="BG679" s="41">
        <f t="shared" ref="BG679:BK679" si="8193">BF679*(BG124/BF124)</f>
        <v>1417.3658547981306</v>
      </c>
      <c r="BH679" s="41">
        <f t="shared" si="8193"/>
        <v>1413.9575010299307</v>
      </c>
      <c r="BI679" s="41">
        <f t="shared" si="8193"/>
        <v>1408.2942573980044</v>
      </c>
      <c r="BJ679" s="41">
        <f t="shared" si="8193"/>
        <v>1405.1694103385348</v>
      </c>
      <c r="BK679" s="41">
        <f t="shared" si="8193"/>
        <v>1397.1705229789861</v>
      </c>
      <c r="BL679" s="41">
        <f t="shared" ref="BL679" si="8194">BK679*(BL124/BK124)</f>
        <v>1388.6293982732195</v>
      </c>
      <c r="BM679" s="41">
        <f t="shared" ref="BM679" si="8195">BL679*(BM124/BL124)</f>
        <v>1379.5243244115684</v>
      </c>
      <c r="BN679" s="41">
        <f t="shared" ref="BN679" si="8196">BM679*(BN124/BM124)</f>
        <v>1373.5613618224686</v>
      </c>
      <c r="BO679" s="41">
        <f t="shared" ref="BO679" si="8197">BN679*(BO124/BN124)</f>
        <v>1366.867349409021</v>
      </c>
      <c r="BP679" s="41">
        <f t="shared" ref="BP679" si="8198">BO679*(BP124/BO124)</f>
        <v>1362.3722426646277</v>
      </c>
      <c r="BQ679" s="41">
        <f t="shared" ref="BQ679" si="8199">BP679*(BQ124/BP124)</f>
        <v>1357.1186025214693</v>
      </c>
      <c r="BR679" s="41"/>
      <c r="BS679" s="41"/>
      <c r="BT679" s="41"/>
      <c r="BU679" s="41"/>
      <c r="BV679" s="41"/>
      <c r="BW679" s="41"/>
      <c r="BX679" s="41"/>
      <c r="BY679" s="41"/>
      <c r="BZ679" s="41"/>
      <c r="CA679" s="41"/>
      <c r="CB679" s="41"/>
      <c r="CC679" s="41">
        <f t="shared" si="8047"/>
        <v>1203</v>
      </c>
      <c r="CD679" s="41">
        <f t="shared" si="8048"/>
        <v>1007</v>
      </c>
      <c r="CE679" s="41">
        <f t="shared" si="8049"/>
        <v>829</v>
      </c>
      <c r="CF679" s="41">
        <f t="shared" si="8050"/>
        <v>642</v>
      </c>
      <c r="CG679" s="41">
        <f t="shared" si="8051"/>
        <v>661</v>
      </c>
      <c r="CH679" s="41">
        <f t="shared" si="8052"/>
        <v>666</v>
      </c>
      <c r="CI679" s="41">
        <f t="shared" si="8053"/>
        <v>1750</v>
      </c>
      <c r="CJ679" s="41">
        <f t="shared" si="8054"/>
        <v>4519</v>
      </c>
      <c r="CK679" s="41">
        <f t="shared" si="8007"/>
        <v>6075</v>
      </c>
      <c r="CL679" s="41">
        <f t="shared" si="8008"/>
        <v>4650</v>
      </c>
      <c r="CM679" s="41">
        <f t="shared" si="8009"/>
        <v>4364</v>
      </c>
      <c r="CN679" s="41">
        <f t="shared" si="8010"/>
        <v>3751</v>
      </c>
      <c r="CO679" s="41">
        <f t="shared" si="8011"/>
        <v>2682</v>
      </c>
      <c r="CP679" s="41">
        <f t="shared" si="7974"/>
        <v>2441</v>
      </c>
      <c r="CQ679" s="41">
        <f t="shared" si="7975"/>
        <v>2646</v>
      </c>
      <c r="CR679" s="41">
        <f t="shared" si="7976"/>
        <v>2118</v>
      </c>
      <c r="CS679" s="41">
        <f t="shared" si="7977"/>
        <v>1676</v>
      </c>
      <c r="CT679" s="41">
        <f t="shared" si="7978"/>
        <v>1711</v>
      </c>
      <c r="CU679" s="41">
        <f t="shared" si="7979"/>
        <v>2001</v>
      </c>
      <c r="CV679" s="41">
        <f t="shared" si="7980"/>
        <v>1549</v>
      </c>
      <c r="CW679" s="41">
        <f t="shared" si="7981"/>
        <v>1043</v>
      </c>
      <c r="CX679" s="41">
        <f t="shared" si="7982"/>
        <v>1037</v>
      </c>
      <c r="CY679" s="41">
        <f t="shared" si="7951"/>
        <v>881</v>
      </c>
      <c r="CZ679" s="211">
        <f t="shared" si="7983"/>
        <v>1058</v>
      </c>
      <c r="DA679" s="41">
        <f t="shared" si="7984"/>
        <v>1259.032827642729</v>
      </c>
      <c r="DB679" s="41">
        <f t="shared" si="7952"/>
        <v>1468.5688659566115</v>
      </c>
      <c r="DC679" s="41">
        <f t="shared" si="7953"/>
        <v>1545.1023114255602</v>
      </c>
      <c r="DD679" s="41">
        <f t="shared" si="7954"/>
        <v>1417.3658547981306</v>
      </c>
      <c r="DE679" s="41">
        <f t="shared" si="7955"/>
        <v>1408.2942573980044</v>
      </c>
      <c r="DF679" s="41">
        <f t="shared" si="7956"/>
        <v>1397.1705229789861</v>
      </c>
      <c r="DG679" s="41">
        <f t="shared" si="7957"/>
        <v>1379.5243244115684</v>
      </c>
      <c r="DH679" s="41">
        <f t="shared" si="7958"/>
        <v>1366.867349409021</v>
      </c>
      <c r="DI679" s="41">
        <f t="shared" si="7959"/>
        <v>1357.1186025214693</v>
      </c>
    </row>
    <row r="680" spans="1:113" ht="12" outlineLevel="1">
      <c r="A680" s="1" t="s">
        <v>2218</v>
      </c>
      <c r="B680" s="15" t="s">
        <v>1489</v>
      </c>
      <c r="C680" s="141">
        <v>1565.0839387308533</v>
      </c>
      <c r="D680" s="141">
        <v>1565.0839387308533</v>
      </c>
      <c r="E680" s="141">
        <v>1570.946084192977</v>
      </c>
      <c r="F680" s="141">
        <v>1598.8257773262478</v>
      </c>
      <c r="G680" s="141">
        <v>1604.1983656350942</v>
      </c>
      <c r="H680" s="141">
        <v>1826.911998320204</v>
      </c>
      <c r="I680" s="141">
        <v>1837.0656983202041</v>
      </c>
      <c r="J680" s="141">
        <v>1841.4025533202041</v>
      </c>
      <c r="K680" s="141">
        <v>1845.1133713202041</v>
      </c>
      <c r="L680" s="141">
        <v>1847.3380243202041</v>
      </c>
      <c r="M680" s="141">
        <v>1855.2360063202041</v>
      </c>
      <c r="N680" s="141">
        <v>1863.3618913202042</v>
      </c>
      <c r="O680" s="141">
        <v>1883.3638913202042</v>
      </c>
      <c r="P680" s="141">
        <v>1939.3488913202041</v>
      </c>
      <c r="Q680" s="141">
        <v>2059.6415553202041</v>
      </c>
      <c r="R680" s="141">
        <v>2176.765879320204</v>
      </c>
      <c r="S680" s="141">
        <v>2523.1638913202041</v>
      </c>
      <c r="T680" s="141">
        <v>2552.1361323202041</v>
      </c>
      <c r="U680" s="141">
        <v>2578.3263163202041</v>
      </c>
      <c r="V680" s="141">
        <v>2615.089371320204</v>
      </c>
      <c r="W680" s="141">
        <v>2647.697928320204</v>
      </c>
      <c r="X680" s="141">
        <v>2698.1821553202039</v>
      </c>
      <c r="Y680" s="141">
        <v>2736.0208523202041</v>
      </c>
      <c r="Z680" s="141">
        <f>2743.7+5.3</f>
        <v>2749</v>
      </c>
      <c r="AA680" s="141">
        <f>2743.7+4.8</f>
        <v>2748.5</v>
      </c>
      <c r="AB680" s="141">
        <f>2744.1+5</f>
        <v>2749.1</v>
      </c>
      <c r="AC680" s="141">
        <f>2756.6+5.5</f>
        <v>2762.1</v>
      </c>
      <c r="AD680" s="141">
        <f>2766+6.2</f>
        <v>2772.2</v>
      </c>
      <c r="AE680" s="141">
        <f>2902.7+6.3</f>
        <v>2909</v>
      </c>
      <c r="AF680" s="141">
        <f>2917.6+6.9</f>
        <v>2924.5</v>
      </c>
      <c r="AG680" s="141">
        <f>2927.5+6.7</f>
        <v>2934.2</v>
      </c>
      <c r="AH680" s="141">
        <f>2936+10</f>
        <v>2946</v>
      </c>
      <c r="AI680" s="141">
        <f>2937.415+1.378</f>
        <v>2938.7930000000001</v>
      </c>
      <c r="AJ680" s="141">
        <f>2898.758-38.656349</f>
        <v>2860.1016509999999</v>
      </c>
      <c r="AK680" s="141">
        <f>2873.618-25.14086</f>
        <v>2848.47714</v>
      </c>
      <c r="AL680" s="141">
        <f>2833.175579-40.422539</f>
        <v>2792.7530400000001</v>
      </c>
      <c r="AM680" s="141">
        <f>2834.584923+1.409344</f>
        <v>2835.994267</v>
      </c>
      <c r="AN680" s="141">
        <f>2836.177422+1.592499</f>
        <v>2837.7699210000001</v>
      </c>
      <c r="AO680" s="141">
        <f>2840.370225+4.192803</f>
        <v>2844.563028</v>
      </c>
      <c r="AP680" s="141">
        <f>2845.5418+5.171575</f>
        <v>2850.7133749999998</v>
      </c>
      <c r="AQ680" s="141">
        <f>2823.563652-21.978148</f>
        <v>2801.5855039999997</v>
      </c>
      <c r="AR680" s="141">
        <f>2794.104174-29.456478</f>
        <v>2764.647696</v>
      </c>
      <c r="AS680" s="141">
        <f>2989.923751+195.819577</f>
        <v>3185.743328</v>
      </c>
      <c r="AT680" s="141">
        <f>3003.366782+13.443031</f>
        <v>3016.8098129999998</v>
      </c>
      <c r="AU680" s="141">
        <f>3005.286886+(8.406978+3.577726+3.378631-13.443031)</f>
        <v>3007.2071900000001</v>
      </c>
      <c r="AV680" s="141">
        <f>3007.510678+(0)</f>
        <v>3007.5106780000001</v>
      </c>
      <c r="AW680" s="141">
        <f>2979.41626+(0)</f>
        <v>2979.41626</v>
      </c>
      <c r="AX680" s="141">
        <f>2971.365622+(0)</f>
        <v>2971.3656219999998</v>
      </c>
      <c r="AY680" s="226">
        <f>2983.52018+(0)</f>
        <v>2983.52018</v>
      </c>
      <c r="AZ680" s="41">
        <f t="shared" ref="AZ680" si="8200">(AY680-AY543)+AZ543</f>
        <v>3005.3977294835063</v>
      </c>
      <c r="BA680" s="41">
        <f t="shared" ref="BA680" si="8201">(AZ680-AZ543)+BA543</f>
        <v>3027.2492010175706</v>
      </c>
      <c r="BB680" s="41">
        <f t="shared" ref="BB680" si="8202">(BA680-BA543)+BB543</f>
        <v>3027.2492010175706</v>
      </c>
      <c r="BC680" s="41">
        <f t="shared" ref="BC680" si="8203">(BB680-BB543)+BC543</f>
        <v>3001.4422682441705</v>
      </c>
      <c r="BD680" s="41">
        <f t="shared" ref="BD680" si="8204">(BC680-BC543)+BD543</f>
        <v>2976.7463561094924</v>
      </c>
      <c r="BE680" s="41">
        <f t="shared" ref="BE680" si="8205">(BD680-BD543)+BE543</f>
        <v>2953.1136337895286</v>
      </c>
      <c r="BF680" s="41">
        <f t="shared" ref="BF680" si="8206">(BE680-BE543)+BF543</f>
        <v>2930.4983296368932</v>
      </c>
      <c r="BG680" s="41">
        <f t="shared" ref="BG680:BK680" si="8207">(BF680-BF543)+BG543</f>
        <v>2908.8566425306994</v>
      </c>
      <c r="BH680" s="41">
        <f t="shared" si="8207"/>
        <v>2908.8566425306994</v>
      </c>
      <c r="BI680" s="41">
        <f t="shared" si="8207"/>
        <v>2908.8566425306994</v>
      </c>
      <c r="BJ680" s="41">
        <f t="shared" si="8207"/>
        <v>2908.8566425306994</v>
      </c>
      <c r="BK680" s="41">
        <f t="shared" si="8207"/>
        <v>2908.8566425306994</v>
      </c>
      <c r="BL680" s="41">
        <f t="shared" ref="BL680" si="8208">(BK680-BK543)+BL543</f>
        <v>2908.8566425306994</v>
      </c>
      <c r="BM680" s="41">
        <f t="shared" ref="BM680" si="8209">(BL680-BL543)+BM543</f>
        <v>2908.8566425306994</v>
      </c>
      <c r="BN680" s="41">
        <f t="shared" ref="BN680" si="8210">(BM680-BM543)+BN543</f>
        <v>2908.8566425306994</v>
      </c>
      <c r="BO680" s="41">
        <f t="shared" ref="BO680" si="8211">(BN680-BN543)+BO543</f>
        <v>2908.8566425306994</v>
      </c>
      <c r="BP680" s="41">
        <f t="shared" ref="BP680" si="8212">(BO680-BO543)+BP543</f>
        <v>2908.8566425306994</v>
      </c>
      <c r="BQ680" s="41">
        <f t="shared" ref="BQ680" si="8213">(BP680-BP543)+BQ543</f>
        <v>2908.8566425306994</v>
      </c>
      <c r="BR680" s="41"/>
      <c r="BS680" s="41"/>
      <c r="BT680" s="41"/>
      <c r="BU680" s="41"/>
      <c r="BV680" s="41"/>
      <c r="BW680" s="41"/>
      <c r="BX680" s="41"/>
      <c r="BY680" s="41"/>
      <c r="BZ680" s="41"/>
      <c r="CA680" s="41"/>
      <c r="CB680" s="41"/>
      <c r="CC680" s="41">
        <f t="shared" si="8047"/>
        <v>1570.946084192977</v>
      </c>
      <c r="CD680" s="41">
        <f t="shared" si="8048"/>
        <v>1604.1983656350942</v>
      </c>
      <c r="CE680" s="41">
        <f t="shared" si="8049"/>
        <v>1837.0656983202041</v>
      </c>
      <c r="CF680" s="41">
        <f t="shared" si="8050"/>
        <v>1845.1133713202041</v>
      </c>
      <c r="CG680" s="41">
        <f t="shared" si="8051"/>
        <v>1855.2360063202041</v>
      </c>
      <c r="CH680" s="41">
        <f t="shared" si="8052"/>
        <v>1883.3638913202042</v>
      </c>
      <c r="CI680" s="41">
        <f t="shared" si="8053"/>
        <v>2059.6415553202041</v>
      </c>
      <c r="CJ680" s="41">
        <f t="shared" si="8054"/>
        <v>2523.1638913202041</v>
      </c>
      <c r="CK680" s="41">
        <f t="shared" si="8007"/>
        <v>2578.3263163202041</v>
      </c>
      <c r="CL680" s="41">
        <f t="shared" si="8008"/>
        <v>2647.697928320204</v>
      </c>
      <c r="CM680" s="41">
        <f t="shared" si="8009"/>
        <v>2736.0208523202041</v>
      </c>
      <c r="CN680" s="41">
        <f t="shared" si="8010"/>
        <v>2748.5</v>
      </c>
      <c r="CO680" s="41">
        <f t="shared" si="8011"/>
        <v>2762.1</v>
      </c>
      <c r="CP680" s="41">
        <f t="shared" si="7974"/>
        <v>2909</v>
      </c>
      <c r="CQ680" s="41">
        <f t="shared" si="7975"/>
        <v>2934.2</v>
      </c>
      <c r="CR680" s="41">
        <f t="shared" si="7976"/>
        <v>2938.7930000000001</v>
      </c>
      <c r="CS680" s="41">
        <f t="shared" si="7977"/>
        <v>2848.47714</v>
      </c>
      <c r="CT680" s="41">
        <f t="shared" si="7978"/>
        <v>2835.994267</v>
      </c>
      <c r="CU680" s="41">
        <f t="shared" si="7979"/>
        <v>2844.563028</v>
      </c>
      <c r="CV680" s="41">
        <f t="shared" si="7980"/>
        <v>2801.5855039999997</v>
      </c>
      <c r="CW680" s="41">
        <f t="shared" si="7981"/>
        <v>3185.743328</v>
      </c>
      <c r="CX680" s="41">
        <f t="shared" si="7982"/>
        <v>3007.2071900000001</v>
      </c>
      <c r="CY680" s="41">
        <f t="shared" si="7951"/>
        <v>2979.41626</v>
      </c>
      <c r="CZ680" s="211">
        <f t="shared" si="7983"/>
        <v>2983.52018</v>
      </c>
      <c r="DA680" s="41">
        <f t="shared" si="7984"/>
        <v>3027.2492010175706</v>
      </c>
      <c r="DB680" s="41">
        <f t="shared" si="7952"/>
        <v>3001.4422682441705</v>
      </c>
      <c r="DC680" s="41">
        <f t="shared" si="7953"/>
        <v>2953.1136337895286</v>
      </c>
      <c r="DD680" s="41">
        <f t="shared" si="7954"/>
        <v>2908.8566425306994</v>
      </c>
      <c r="DE680" s="41">
        <f t="shared" si="7955"/>
        <v>2908.8566425306994</v>
      </c>
      <c r="DF680" s="41">
        <f t="shared" si="7956"/>
        <v>2908.8566425306994</v>
      </c>
      <c r="DG680" s="41">
        <f t="shared" si="7957"/>
        <v>2908.8566425306994</v>
      </c>
      <c r="DH680" s="41">
        <f t="shared" si="7958"/>
        <v>2908.8566425306994</v>
      </c>
      <c r="DI680" s="41">
        <f t="shared" si="7959"/>
        <v>2908.8566425306994</v>
      </c>
    </row>
    <row r="681" spans="1:113" ht="12" outlineLevel="1">
      <c r="A681" s="1" t="s">
        <v>2219</v>
      </c>
      <c r="B681" s="15" t="s">
        <v>2220</v>
      </c>
      <c r="C681" s="141">
        <v>0</v>
      </c>
      <c r="D681" s="141">
        <v>0</v>
      </c>
      <c r="E681" s="141">
        <v>0</v>
      </c>
      <c r="F681" s="141">
        <v>0</v>
      </c>
      <c r="G681" s="141">
        <v>0</v>
      </c>
      <c r="H681" s="141">
        <v>52.2</v>
      </c>
      <c r="I681" s="141">
        <v>76.099999999999994</v>
      </c>
      <c r="J681" s="141">
        <v>118.8</v>
      </c>
      <c r="K681" s="141">
        <v>102.80000000000001</v>
      </c>
      <c r="L681" s="141">
        <v>96.7</v>
      </c>
      <c r="M681" s="141">
        <v>93</v>
      </c>
      <c r="N681" s="141">
        <v>80.400000000000006</v>
      </c>
      <c r="O681" s="141">
        <v>98</v>
      </c>
      <c r="P681" s="141">
        <v>144.6</v>
      </c>
      <c r="Q681" s="141">
        <v>185.8</v>
      </c>
      <c r="R681" s="141">
        <v>210.8</v>
      </c>
      <c r="S681" s="141">
        <v>121.4</v>
      </c>
      <c r="T681" s="141">
        <v>135.9</v>
      </c>
      <c r="U681" s="141">
        <v>196.4</v>
      </c>
      <c r="V681" s="141">
        <v>193.2</v>
      </c>
      <c r="W681" s="141">
        <v>239.2</v>
      </c>
      <c r="X681" s="141">
        <v>255.3</v>
      </c>
      <c r="Y681" s="141">
        <v>224.3</v>
      </c>
      <c r="Z681" s="141">
        <f>156+26.5</f>
        <v>182.5</v>
      </c>
      <c r="AA681" s="141">
        <f>27.5+144.6+11</f>
        <v>183.1</v>
      </c>
      <c r="AB681" s="141">
        <f>16.8+134.5+34.5</f>
        <v>185.8</v>
      </c>
      <c r="AC681" s="141">
        <f>113.8+89.2</f>
        <v>203</v>
      </c>
      <c r="AD681" s="141">
        <f>91.2+79.3</f>
        <v>170.5</v>
      </c>
      <c r="AE681" s="141">
        <f>123.4+138</f>
        <v>261.39999999999998</v>
      </c>
      <c r="AF681" s="141">
        <v>321.2</v>
      </c>
      <c r="AG681" s="141">
        <v>274.3</v>
      </c>
      <c r="AH681" s="141">
        <v>247.1</v>
      </c>
      <c r="AI681" s="141">
        <v>243</v>
      </c>
      <c r="AJ681" s="141">
        <v>269.7</v>
      </c>
      <c r="AK681" s="141">
        <v>240.6</v>
      </c>
      <c r="AL681" s="141">
        <v>260.5</v>
      </c>
      <c r="AM681" s="141">
        <v>237.9</v>
      </c>
      <c r="AN681" s="141">
        <v>401.4</v>
      </c>
      <c r="AO681" s="141">
        <v>362.2</v>
      </c>
      <c r="AP681" s="141">
        <v>238.7</v>
      </c>
      <c r="AQ681" s="141">
        <v>255.8</v>
      </c>
      <c r="AR681" s="141">
        <v>264</v>
      </c>
      <c r="AS681" s="141">
        <v>275.7</v>
      </c>
      <c r="AT681" s="141">
        <v>277.3</v>
      </c>
      <c r="AU681" s="141">
        <v>273.89999999999998</v>
      </c>
      <c r="AV681" s="141">
        <v>239.6</v>
      </c>
      <c r="AW681" s="141">
        <v>234.7</v>
      </c>
      <c r="AX681" s="141">
        <v>245.8</v>
      </c>
      <c r="AY681" s="226">
        <v>8.4</v>
      </c>
      <c r="AZ681" s="41">
        <f t="shared" ref="AZ681:AZ682" si="8214">AY681</f>
        <v>8.4</v>
      </c>
      <c r="BA681" s="41">
        <f t="shared" ref="BA681:BA682" si="8215">AZ681</f>
        <v>8.4</v>
      </c>
      <c r="BB681" s="41">
        <f t="shared" ref="BB681:BB682" si="8216">BA681</f>
        <v>8.4</v>
      </c>
      <c r="BC681" s="41">
        <f t="shared" ref="BC681:BC682" si="8217">BB681</f>
        <v>8.4</v>
      </c>
      <c r="BD681" s="41">
        <f t="shared" ref="BD681:BD682" si="8218">BC681</f>
        <v>8.4</v>
      </c>
      <c r="BE681" s="41">
        <f t="shared" ref="BE681:BE682" si="8219">BD681</f>
        <v>8.4</v>
      </c>
      <c r="BF681" s="41">
        <f t="shared" ref="BF681:BF682" si="8220">BE681</f>
        <v>8.4</v>
      </c>
      <c r="BG681" s="41">
        <f t="shared" ref="BG681:BK682" si="8221">BF681</f>
        <v>8.4</v>
      </c>
      <c r="BH681" s="41">
        <f t="shared" si="8221"/>
        <v>8.4</v>
      </c>
      <c r="BI681" s="41">
        <f t="shared" si="8221"/>
        <v>8.4</v>
      </c>
      <c r="BJ681" s="41">
        <f t="shared" si="8221"/>
        <v>8.4</v>
      </c>
      <c r="BK681" s="41">
        <f t="shared" si="8221"/>
        <v>8.4</v>
      </c>
      <c r="BL681" s="41">
        <f t="shared" ref="BL681:BL682" si="8222">BK681</f>
        <v>8.4</v>
      </c>
      <c r="BM681" s="41">
        <f t="shared" ref="BM681:BM682" si="8223">BL681</f>
        <v>8.4</v>
      </c>
      <c r="BN681" s="41">
        <f t="shared" ref="BN681:BN682" si="8224">BM681</f>
        <v>8.4</v>
      </c>
      <c r="BO681" s="41">
        <f t="shared" ref="BO681:BO682" si="8225">BN681</f>
        <v>8.4</v>
      </c>
      <c r="BP681" s="41">
        <f t="shared" ref="BP681:BP682" si="8226">BO681</f>
        <v>8.4</v>
      </c>
      <c r="BQ681" s="41">
        <f t="shared" ref="BQ681:BQ682" si="8227">BP681</f>
        <v>8.4</v>
      </c>
      <c r="BR681" s="41"/>
      <c r="BS681" s="41"/>
      <c r="BT681" s="41"/>
      <c r="BU681" s="41"/>
      <c r="BV681" s="41"/>
      <c r="BW681" s="41"/>
      <c r="BX681" s="41"/>
      <c r="BY681" s="41"/>
      <c r="BZ681" s="41"/>
      <c r="CA681" s="41"/>
      <c r="CB681" s="41"/>
      <c r="CC681" s="41">
        <f t="shared" si="8047"/>
        <v>0</v>
      </c>
      <c r="CD681" s="41">
        <f t="shared" si="8048"/>
        <v>0</v>
      </c>
      <c r="CE681" s="41">
        <f t="shared" si="8049"/>
        <v>76.099999999999994</v>
      </c>
      <c r="CF681" s="41">
        <f t="shared" si="8050"/>
        <v>102.80000000000001</v>
      </c>
      <c r="CG681" s="41">
        <f t="shared" si="8051"/>
        <v>93</v>
      </c>
      <c r="CH681" s="41">
        <f t="shared" si="8052"/>
        <v>98</v>
      </c>
      <c r="CI681" s="41">
        <f t="shared" si="8053"/>
        <v>185.8</v>
      </c>
      <c r="CJ681" s="41">
        <f t="shared" si="8054"/>
        <v>121.4</v>
      </c>
      <c r="CK681" s="41">
        <f t="shared" si="8007"/>
        <v>196.4</v>
      </c>
      <c r="CL681" s="41">
        <f t="shared" si="8008"/>
        <v>239.2</v>
      </c>
      <c r="CM681" s="41">
        <f t="shared" si="8009"/>
        <v>224.3</v>
      </c>
      <c r="CN681" s="41">
        <f t="shared" si="8010"/>
        <v>183.1</v>
      </c>
      <c r="CO681" s="41">
        <f t="shared" si="8011"/>
        <v>203</v>
      </c>
      <c r="CP681" s="41">
        <f t="shared" si="7974"/>
        <v>261.39999999999998</v>
      </c>
      <c r="CQ681" s="41">
        <f t="shared" si="7975"/>
        <v>274.3</v>
      </c>
      <c r="CR681" s="41">
        <f t="shared" si="7976"/>
        <v>243</v>
      </c>
      <c r="CS681" s="41">
        <f t="shared" si="7977"/>
        <v>240.6</v>
      </c>
      <c r="CT681" s="41">
        <f t="shared" si="7978"/>
        <v>237.9</v>
      </c>
      <c r="CU681" s="41">
        <f t="shared" si="7979"/>
        <v>362.2</v>
      </c>
      <c r="CV681" s="41">
        <f t="shared" si="7980"/>
        <v>255.8</v>
      </c>
      <c r="CW681" s="41">
        <f t="shared" si="7981"/>
        <v>275.7</v>
      </c>
      <c r="CX681" s="41">
        <f>AV681</f>
        <v>239.6</v>
      </c>
      <c r="CY681" s="41">
        <f t="shared" si="7951"/>
        <v>234.7</v>
      </c>
      <c r="CZ681" s="211">
        <f t="shared" si="7983"/>
        <v>8.4</v>
      </c>
      <c r="DA681" s="41">
        <f t="shared" si="7984"/>
        <v>8.4</v>
      </c>
      <c r="DB681" s="41">
        <f t="shared" si="7952"/>
        <v>8.4</v>
      </c>
      <c r="DC681" s="41">
        <f t="shared" si="7953"/>
        <v>8.4</v>
      </c>
      <c r="DD681" s="41">
        <f t="shared" si="7954"/>
        <v>8.4</v>
      </c>
      <c r="DE681" s="41">
        <f t="shared" si="7955"/>
        <v>8.4</v>
      </c>
      <c r="DF681" s="41">
        <f t="shared" si="7956"/>
        <v>8.4</v>
      </c>
      <c r="DG681" s="41">
        <f t="shared" si="7957"/>
        <v>8.4</v>
      </c>
      <c r="DH681" s="41">
        <f t="shared" si="7958"/>
        <v>8.4</v>
      </c>
      <c r="DI681" s="41">
        <f t="shared" si="7959"/>
        <v>8.4</v>
      </c>
    </row>
    <row r="682" spans="1:113" ht="12" outlineLevel="1">
      <c r="A682" s="1" t="s">
        <v>2221</v>
      </c>
      <c r="B682" s="15" t="s">
        <v>2222</v>
      </c>
      <c r="C682" s="141">
        <v>3.959570699176826</v>
      </c>
      <c r="D682" s="141">
        <v>3.959570699176826</v>
      </c>
      <c r="E682" s="141">
        <v>3.959570699176826</v>
      </c>
      <c r="F682" s="141">
        <v>6</v>
      </c>
      <c r="G682" s="141">
        <v>5.9</v>
      </c>
      <c r="H682" s="141">
        <v>6.6</v>
      </c>
      <c r="I682" s="141">
        <v>5.4</v>
      </c>
      <c r="J682" s="141">
        <v>7.7</v>
      </c>
      <c r="K682" s="141">
        <v>9.3000000000000007</v>
      </c>
      <c r="L682" s="141">
        <v>11.9</v>
      </c>
      <c r="M682" s="141">
        <v>13</v>
      </c>
      <c r="N682" s="141">
        <v>14.4</v>
      </c>
      <c r="O682" s="141">
        <v>11.5</v>
      </c>
      <c r="P682" s="141">
        <v>10.8</v>
      </c>
      <c r="Q682" s="141">
        <v>5.2</v>
      </c>
      <c r="R682" s="141">
        <v>3.9</v>
      </c>
      <c r="S682" s="141">
        <v>4</v>
      </c>
      <c r="T682" s="141">
        <v>4.8</v>
      </c>
      <c r="U682" s="141">
        <v>4.8</v>
      </c>
      <c r="V682" s="141">
        <v>5</v>
      </c>
      <c r="W682" s="141">
        <v>4.0999999999999996</v>
      </c>
      <c r="X682" s="141">
        <v>4.5999999999999996</v>
      </c>
      <c r="Y682" s="141">
        <v>4.4000000000000004</v>
      </c>
      <c r="Z682" s="141">
        <v>5.3</v>
      </c>
      <c r="AA682" s="141">
        <v>4.8</v>
      </c>
      <c r="AB682" s="141">
        <v>5</v>
      </c>
      <c r="AC682" s="141">
        <v>5.5</v>
      </c>
      <c r="AD682" s="141">
        <v>6.2</v>
      </c>
      <c r="AE682" s="141">
        <v>6.3</v>
      </c>
      <c r="AF682" s="141">
        <v>6.9</v>
      </c>
      <c r="AG682" s="141">
        <v>6.7</v>
      </c>
      <c r="AH682" s="141">
        <v>10</v>
      </c>
      <c r="AI682" s="141">
        <v>11.5</v>
      </c>
      <c r="AJ682" s="141">
        <v>10</v>
      </c>
      <c r="AK682" s="141">
        <v>9.5</v>
      </c>
      <c r="AL682" s="141">
        <v>8.4</v>
      </c>
      <c r="AM682" s="141">
        <v>8.3000000000000007</v>
      </c>
      <c r="AN682" s="141">
        <v>6.6</v>
      </c>
      <c r="AO682" s="141">
        <v>7.3</v>
      </c>
      <c r="AP682" s="141">
        <v>7</v>
      </c>
      <c r="AQ682" s="141">
        <v>11.3</v>
      </c>
      <c r="AR682" s="141">
        <v>6.9</v>
      </c>
      <c r="AS682" s="141">
        <v>7.3</v>
      </c>
      <c r="AT682" s="141">
        <v>6.9</v>
      </c>
      <c r="AU682" s="141">
        <v>7.5</v>
      </c>
      <c r="AV682" s="141">
        <v>8.5</v>
      </c>
      <c r="AW682" s="141"/>
      <c r="AX682" s="141"/>
      <c r="AY682" s="226">
        <f t="shared" ref="AY682" si="8228">AX682</f>
        <v>0</v>
      </c>
      <c r="AZ682" s="41">
        <f t="shared" si="8214"/>
        <v>0</v>
      </c>
      <c r="BA682" s="41">
        <f t="shared" si="8215"/>
        <v>0</v>
      </c>
      <c r="BB682" s="41">
        <f t="shared" si="8216"/>
        <v>0</v>
      </c>
      <c r="BC682" s="41">
        <f t="shared" si="8217"/>
        <v>0</v>
      </c>
      <c r="BD682" s="41">
        <f t="shared" si="8218"/>
        <v>0</v>
      </c>
      <c r="BE682" s="41">
        <f t="shared" si="8219"/>
        <v>0</v>
      </c>
      <c r="BF682" s="41">
        <f t="shared" si="8220"/>
        <v>0</v>
      </c>
      <c r="BG682" s="41">
        <f t="shared" si="8221"/>
        <v>0</v>
      </c>
      <c r="BH682" s="41">
        <f t="shared" si="8221"/>
        <v>0</v>
      </c>
      <c r="BI682" s="41">
        <f t="shared" si="8221"/>
        <v>0</v>
      </c>
      <c r="BJ682" s="41">
        <f t="shared" si="8221"/>
        <v>0</v>
      </c>
      <c r="BK682" s="41">
        <f t="shared" si="8221"/>
        <v>0</v>
      </c>
      <c r="BL682" s="41">
        <f t="shared" si="8222"/>
        <v>0</v>
      </c>
      <c r="BM682" s="41">
        <f t="shared" si="8223"/>
        <v>0</v>
      </c>
      <c r="BN682" s="41">
        <f t="shared" si="8224"/>
        <v>0</v>
      </c>
      <c r="BO682" s="41">
        <f t="shared" si="8225"/>
        <v>0</v>
      </c>
      <c r="BP682" s="41">
        <f t="shared" si="8226"/>
        <v>0</v>
      </c>
      <c r="BQ682" s="41">
        <f t="shared" si="8227"/>
        <v>0</v>
      </c>
      <c r="BR682" s="41"/>
      <c r="BS682" s="41"/>
      <c r="BT682" s="41"/>
      <c r="BU682" s="41"/>
      <c r="BV682" s="41"/>
      <c r="BW682" s="41"/>
      <c r="BX682" s="41"/>
      <c r="BY682" s="41"/>
      <c r="BZ682" s="41"/>
      <c r="CA682" s="41"/>
      <c r="CB682" s="41"/>
      <c r="CC682" s="41">
        <f t="shared" si="8047"/>
        <v>3.959570699176826</v>
      </c>
      <c r="CD682" s="41">
        <f t="shared" si="8048"/>
        <v>5.9</v>
      </c>
      <c r="CE682" s="41">
        <f t="shared" si="8049"/>
        <v>5.4</v>
      </c>
      <c r="CF682" s="41">
        <f t="shared" si="8050"/>
        <v>9.3000000000000007</v>
      </c>
      <c r="CG682" s="41">
        <f t="shared" si="8051"/>
        <v>13</v>
      </c>
      <c r="CH682" s="41">
        <f t="shared" si="8052"/>
        <v>11.5</v>
      </c>
      <c r="CI682" s="41">
        <f t="shared" si="8053"/>
        <v>5.2</v>
      </c>
      <c r="CJ682" s="41">
        <f t="shared" si="8054"/>
        <v>4</v>
      </c>
      <c r="CK682" s="41">
        <f t="shared" si="8007"/>
        <v>4.8</v>
      </c>
      <c r="CL682" s="41">
        <f t="shared" si="8008"/>
        <v>4.0999999999999996</v>
      </c>
      <c r="CM682" s="41">
        <f t="shared" si="8009"/>
        <v>4.4000000000000004</v>
      </c>
      <c r="CN682" s="41">
        <f t="shared" si="8010"/>
        <v>4.8</v>
      </c>
      <c r="CO682" s="41">
        <f t="shared" si="8011"/>
        <v>5.5</v>
      </c>
      <c r="CP682" s="41">
        <f t="shared" si="7974"/>
        <v>6.3</v>
      </c>
      <c r="CQ682" s="41">
        <f t="shared" si="7975"/>
        <v>6.7</v>
      </c>
      <c r="CR682" s="41">
        <f t="shared" si="7976"/>
        <v>11.5</v>
      </c>
      <c r="CS682" s="41">
        <f t="shared" si="7977"/>
        <v>9.5</v>
      </c>
      <c r="CT682" s="41">
        <f t="shared" si="7978"/>
        <v>8.3000000000000007</v>
      </c>
      <c r="CU682" s="41">
        <f t="shared" si="7979"/>
        <v>7.3</v>
      </c>
      <c r="CV682" s="41">
        <f t="shared" si="7980"/>
        <v>11.3</v>
      </c>
      <c r="CW682" s="41">
        <f t="shared" si="7981"/>
        <v>7.3</v>
      </c>
      <c r="CX682" s="41">
        <f>AV682</f>
        <v>8.5</v>
      </c>
      <c r="CY682" s="41">
        <f t="shared" si="7951"/>
        <v>0</v>
      </c>
      <c r="CZ682" s="211">
        <f t="shared" si="7983"/>
        <v>0</v>
      </c>
      <c r="DA682" s="41">
        <f t="shared" si="7984"/>
        <v>0</v>
      </c>
      <c r="DB682" s="41">
        <f t="shared" si="7952"/>
        <v>0</v>
      </c>
      <c r="DC682" s="41">
        <f t="shared" si="7953"/>
        <v>0</v>
      </c>
      <c r="DD682" s="41">
        <f t="shared" si="7954"/>
        <v>0</v>
      </c>
      <c r="DE682" s="41">
        <f t="shared" si="7955"/>
        <v>0</v>
      </c>
      <c r="DF682" s="41">
        <f t="shared" si="7956"/>
        <v>0</v>
      </c>
      <c r="DG682" s="41">
        <f t="shared" si="7957"/>
        <v>0</v>
      </c>
      <c r="DH682" s="41">
        <f t="shared" si="7958"/>
        <v>0</v>
      </c>
      <c r="DI682" s="41">
        <f t="shared" si="7959"/>
        <v>0</v>
      </c>
    </row>
    <row r="683" spans="1:113" ht="12" hidden="1" outlineLevel="2">
      <c r="A683" s="1" t="s">
        <v>2223</v>
      </c>
      <c r="B683" s="15" t="s">
        <v>2224</v>
      </c>
      <c r="C683" s="41"/>
      <c r="D683" s="41"/>
      <c r="E683" s="41"/>
      <c r="F683" s="41"/>
      <c r="G683" s="41"/>
      <c r="H683" s="41"/>
      <c r="I683" s="41"/>
      <c r="J683" s="41"/>
      <c r="K683" s="41"/>
      <c r="L683" s="41"/>
      <c r="M683" s="41"/>
      <c r="N683" s="41"/>
      <c r="O683" s="41"/>
      <c r="P683" s="41"/>
      <c r="Q683" s="41"/>
      <c r="R683" s="41"/>
      <c r="S683" s="41"/>
      <c r="T683" s="41"/>
      <c r="U683" s="41"/>
      <c r="V683" s="41"/>
      <c r="W683" s="41"/>
      <c r="X683" s="41"/>
      <c r="Y683" s="41"/>
      <c r="Z683" s="41"/>
      <c r="AA683" s="41"/>
      <c r="AB683" s="41"/>
      <c r="AC683" s="41"/>
      <c r="AD683" s="41"/>
      <c r="AE683" s="41"/>
      <c r="AF683" s="41"/>
      <c r="AG683" s="41"/>
      <c r="AH683" s="41"/>
      <c r="AI683" s="41"/>
      <c r="AJ683" s="41"/>
      <c r="AK683" s="41"/>
      <c r="AL683" s="41"/>
      <c r="AM683" s="41"/>
      <c r="AN683" s="41"/>
      <c r="AO683" s="41"/>
      <c r="AP683" s="41"/>
      <c r="AQ683" s="41"/>
      <c r="AR683" s="41"/>
      <c r="AS683" s="41"/>
      <c r="AT683" s="41"/>
      <c r="AU683" s="41"/>
      <c r="AV683" s="41"/>
      <c r="AW683" s="41"/>
      <c r="AX683" s="41"/>
      <c r="AY683" s="211"/>
      <c r="AZ683" s="41"/>
      <c r="BA683" s="41"/>
      <c r="BB683" s="41"/>
      <c r="BC683" s="41"/>
      <c r="BD683" s="41"/>
      <c r="BE683" s="41"/>
      <c r="BF683" s="41"/>
      <c r="BG683" s="41"/>
      <c r="BH683" s="41"/>
      <c r="BI683" s="41"/>
      <c r="BJ683" s="41"/>
      <c r="BK683" s="41"/>
      <c r="BL683" s="41"/>
      <c r="BM683" s="41"/>
      <c r="BN683" s="41"/>
      <c r="BO683" s="41"/>
      <c r="BP683" s="41"/>
      <c r="BQ683" s="41"/>
      <c r="BR683" s="41"/>
      <c r="BS683" s="41"/>
      <c r="BT683" s="41"/>
      <c r="BU683" s="41"/>
      <c r="BV683" s="41"/>
      <c r="BW683" s="41"/>
      <c r="BX683" s="41"/>
      <c r="BY683" s="41"/>
      <c r="BZ683" s="41"/>
      <c r="CA683" s="41"/>
      <c r="CB683" s="41"/>
      <c r="CC683" s="41"/>
      <c r="CD683" s="41"/>
      <c r="CE683" s="41"/>
      <c r="CF683" s="41"/>
      <c r="CG683" s="41"/>
      <c r="CH683" s="41"/>
      <c r="CI683" s="41"/>
      <c r="CJ683" s="41"/>
      <c r="CK683" s="41"/>
      <c r="CL683" s="41"/>
      <c r="CM683" s="41"/>
      <c r="CN683" s="41"/>
      <c r="CO683" s="41"/>
      <c r="CP683" s="41"/>
      <c r="CQ683" s="41"/>
      <c r="CR683" s="41"/>
      <c r="CS683" s="41"/>
      <c r="CT683" s="41"/>
      <c r="CU683" s="41"/>
      <c r="CV683" s="41"/>
      <c r="CW683" s="41"/>
      <c r="CX683" s="41"/>
      <c r="CY683" s="41"/>
      <c r="CZ683" s="211"/>
      <c r="DA683" s="41"/>
      <c r="DB683" s="15"/>
      <c r="DC683" s="15"/>
      <c r="DD683" s="15"/>
      <c r="DE683" s="15"/>
      <c r="DF683" s="15"/>
      <c r="DG683" s="15"/>
      <c r="DH683" s="15"/>
      <c r="DI683" s="15"/>
    </row>
    <row r="684" spans="1:113" ht="12" hidden="1" outlineLevel="2">
      <c r="A684" s="1" t="s">
        <v>1053</v>
      </c>
      <c r="B684" s="15" t="s">
        <v>804</v>
      </c>
      <c r="C684" s="41"/>
      <c r="D684" s="41"/>
      <c r="E684" s="41"/>
      <c r="F684" s="41"/>
      <c r="G684" s="41"/>
      <c r="H684" s="41"/>
      <c r="I684" s="41"/>
      <c r="J684" s="41"/>
      <c r="K684" s="41"/>
      <c r="L684" s="41"/>
      <c r="M684" s="41"/>
      <c r="N684" s="41"/>
      <c r="O684" s="41"/>
      <c r="P684" s="41"/>
      <c r="Q684" s="41"/>
      <c r="R684" s="41"/>
      <c r="S684" s="41"/>
      <c r="T684" s="41"/>
      <c r="U684" s="41"/>
      <c r="V684" s="41"/>
      <c r="W684" s="41"/>
      <c r="X684" s="41"/>
      <c r="Y684" s="41"/>
      <c r="Z684" s="41"/>
      <c r="AA684" s="41"/>
      <c r="AB684" s="41"/>
      <c r="AC684" s="41"/>
      <c r="AD684" s="41"/>
      <c r="AE684" s="41"/>
      <c r="AF684" s="41"/>
      <c r="AG684" s="41"/>
      <c r="AH684" s="41"/>
      <c r="AI684" s="41"/>
      <c r="AJ684" s="41"/>
      <c r="AK684" s="41"/>
      <c r="AL684" s="41"/>
      <c r="AM684" s="41"/>
      <c r="AN684" s="41"/>
      <c r="AO684" s="41"/>
      <c r="AP684" s="41"/>
      <c r="AQ684" s="41"/>
      <c r="AR684" s="41"/>
      <c r="AS684" s="41"/>
      <c r="AT684" s="41"/>
      <c r="AU684" s="41"/>
      <c r="AV684" s="41"/>
      <c r="AW684" s="41"/>
      <c r="AX684" s="41"/>
      <c r="AY684" s="211"/>
      <c r="AZ684" s="41"/>
      <c r="BA684" s="41"/>
      <c r="BB684" s="41"/>
      <c r="BC684" s="41"/>
      <c r="BD684" s="41"/>
      <c r="BE684" s="41"/>
      <c r="BF684" s="41"/>
      <c r="BG684" s="41"/>
      <c r="BH684" s="41"/>
      <c r="BI684" s="41"/>
      <c r="BJ684" s="41"/>
      <c r="BK684" s="41"/>
      <c r="BL684" s="41"/>
      <c r="BM684" s="41"/>
      <c r="BN684" s="41"/>
      <c r="BO684" s="41"/>
      <c r="BP684" s="41"/>
      <c r="BQ684" s="41"/>
      <c r="BR684" s="41"/>
      <c r="BS684" s="41"/>
      <c r="BT684" s="41"/>
      <c r="BU684" s="41"/>
      <c r="BV684" s="41"/>
      <c r="BW684" s="41"/>
      <c r="BX684" s="41"/>
      <c r="BY684" s="41"/>
      <c r="BZ684" s="41"/>
      <c r="CA684" s="41"/>
      <c r="CB684" s="41"/>
      <c r="CC684" s="41"/>
      <c r="CD684" s="41"/>
      <c r="CE684" s="41"/>
      <c r="CF684" s="41"/>
      <c r="CG684" s="41"/>
      <c r="CH684" s="41"/>
      <c r="CI684" s="41"/>
      <c r="CJ684" s="41"/>
      <c r="CK684" s="41"/>
      <c r="CL684" s="41"/>
      <c r="CM684" s="41"/>
      <c r="CN684" s="41"/>
      <c r="CO684" s="41"/>
      <c r="CP684" s="41"/>
      <c r="CQ684" s="41"/>
      <c r="CR684" s="41"/>
      <c r="CS684" s="41"/>
      <c r="CT684" s="41"/>
      <c r="CU684" s="41"/>
      <c r="CV684" s="41"/>
      <c r="CW684" s="41"/>
      <c r="CX684" s="41"/>
      <c r="CY684" s="41"/>
      <c r="CZ684" s="211"/>
      <c r="DA684" s="41"/>
      <c r="DB684" s="15"/>
      <c r="DC684" s="15"/>
      <c r="DD684" s="15"/>
      <c r="DE684" s="15"/>
      <c r="DF684" s="15"/>
      <c r="DG684" s="15"/>
      <c r="DH684" s="15"/>
      <c r="DI684" s="15"/>
    </row>
    <row r="685" spans="1:113" ht="12" hidden="1" outlineLevel="2">
      <c r="A685" s="1" t="s">
        <v>2284</v>
      </c>
      <c r="B685" s="15" t="s">
        <v>804</v>
      </c>
      <c r="C685" s="41"/>
      <c r="D685" s="41"/>
      <c r="E685" s="41"/>
      <c r="F685" s="41"/>
      <c r="G685" s="41"/>
      <c r="H685" s="41"/>
      <c r="I685" s="41"/>
      <c r="J685" s="41"/>
      <c r="K685" s="41"/>
      <c r="L685" s="41"/>
      <c r="M685" s="41"/>
      <c r="N685" s="41"/>
      <c r="O685" s="41"/>
      <c r="P685" s="41"/>
      <c r="Q685" s="41"/>
      <c r="R685" s="41"/>
      <c r="S685" s="41"/>
      <c r="T685" s="41"/>
      <c r="U685" s="41"/>
      <c r="V685" s="41"/>
      <c r="W685" s="41"/>
      <c r="X685" s="41"/>
      <c r="Y685" s="41"/>
      <c r="Z685" s="41"/>
      <c r="AA685" s="41"/>
      <c r="AB685" s="41"/>
      <c r="AC685" s="41"/>
      <c r="AD685" s="41"/>
      <c r="AE685" s="41"/>
      <c r="AF685" s="41"/>
      <c r="AG685" s="41"/>
      <c r="AH685" s="41"/>
      <c r="AI685" s="41"/>
      <c r="AJ685" s="41"/>
      <c r="AK685" s="41"/>
      <c r="AL685" s="41"/>
      <c r="AM685" s="41"/>
      <c r="AN685" s="41"/>
      <c r="AO685" s="41"/>
      <c r="AP685" s="41"/>
      <c r="AQ685" s="41"/>
      <c r="AR685" s="41"/>
      <c r="AS685" s="41"/>
      <c r="AT685" s="41"/>
      <c r="AU685" s="41"/>
      <c r="AV685" s="41"/>
      <c r="AW685" s="41"/>
      <c r="AX685" s="41"/>
      <c r="AY685" s="211"/>
      <c r="AZ685" s="41"/>
      <c r="BA685" s="41"/>
      <c r="BB685" s="41"/>
      <c r="BC685" s="41"/>
      <c r="BD685" s="41"/>
      <c r="BE685" s="41"/>
      <c r="BF685" s="41"/>
      <c r="BG685" s="41"/>
      <c r="BH685" s="41"/>
      <c r="BI685" s="41"/>
      <c r="BJ685" s="41"/>
      <c r="BK685" s="41"/>
      <c r="BL685" s="41"/>
      <c r="BM685" s="41"/>
      <c r="BN685" s="41"/>
      <c r="BO685" s="41"/>
      <c r="BP685" s="41"/>
      <c r="BQ685" s="41"/>
      <c r="BR685" s="41"/>
      <c r="BS685" s="41"/>
      <c r="BT685" s="41"/>
      <c r="BU685" s="41"/>
      <c r="BV685" s="41"/>
      <c r="BW685" s="41"/>
      <c r="BX685" s="41"/>
      <c r="BY685" s="41"/>
      <c r="BZ685" s="41"/>
      <c r="CA685" s="41"/>
      <c r="CB685" s="41"/>
      <c r="CC685" s="41"/>
      <c r="CD685" s="41"/>
      <c r="CE685" s="41"/>
      <c r="CF685" s="41"/>
      <c r="CG685" s="41"/>
      <c r="CH685" s="41"/>
      <c r="CI685" s="41"/>
      <c r="CJ685" s="41"/>
      <c r="CK685" s="41"/>
      <c r="CL685" s="41"/>
      <c r="CM685" s="41"/>
      <c r="CN685" s="41"/>
      <c r="CO685" s="41"/>
      <c r="CP685" s="41"/>
      <c r="CQ685" s="41"/>
      <c r="CR685" s="41"/>
      <c r="CS685" s="41"/>
      <c r="CT685" s="41"/>
      <c r="CU685" s="41"/>
      <c r="CV685" s="41"/>
      <c r="CW685" s="41"/>
      <c r="CX685" s="41"/>
      <c r="CY685" s="41"/>
      <c r="CZ685" s="211"/>
      <c r="DA685" s="41"/>
      <c r="DB685" s="15"/>
      <c r="DC685" s="15"/>
      <c r="DD685" s="15"/>
      <c r="DE685" s="15"/>
      <c r="DF685" s="15"/>
      <c r="DG685" s="15"/>
      <c r="DH685" s="15"/>
      <c r="DI685" s="15"/>
    </row>
    <row r="686" spans="1:113" ht="12" hidden="1" outlineLevel="2">
      <c r="A686" s="1" t="s">
        <v>2285</v>
      </c>
      <c r="B686" s="15" t="s">
        <v>804</v>
      </c>
      <c r="C686" s="41"/>
      <c r="D686" s="41"/>
      <c r="E686" s="41"/>
      <c r="F686" s="41"/>
      <c r="G686" s="41"/>
      <c r="H686" s="41"/>
      <c r="I686" s="41"/>
      <c r="J686" s="41"/>
      <c r="K686" s="41"/>
      <c r="L686" s="41"/>
      <c r="M686" s="41"/>
      <c r="N686" s="41"/>
      <c r="O686" s="41"/>
      <c r="P686" s="41"/>
      <c r="Q686" s="41"/>
      <c r="R686" s="41"/>
      <c r="S686" s="41"/>
      <c r="T686" s="41"/>
      <c r="U686" s="41"/>
      <c r="V686" s="41"/>
      <c r="W686" s="41"/>
      <c r="X686" s="41"/>
      <c r="Y686" s="41"/>
      <c r="Z686" s="41"/>
      <c r="AA686" s="41"/>
      <c r="AB686" s="41"/>
      <c r="AC686" s="41"/>
      <c r="AD686" s="41"/>
      <c r="AE686" s="41"/>
      <c r="AF686" s="41"/>
      <c r="AG686" s="41"/>
      <c r="AH686" s="41"/>
      <c r="AI686" s="41"/>
      <c r="AJ686" s="41"/>
      <c r="AK686" s="41"/>
      <c r="AL686" s="41"/>
      <c r="AM686" s="41"/>
      <c r="AN686" s="41"/>
      <c r="AO686" s="41"/>
      <c r="AP686" s="41"/>
      <c r="AQ686" s="41"/>
      <c r="AR686" s="41"/>
      <c r="AS686" s="41"/>
      <c r="AT686" s="41"/>
      <c r="AU686" s="41"/>
      <c r="AV686" s="41"/>
      <c r="AW686" s="41"/>
      <c r="AX686" s="41"/>
      <c r="AY686" s="211"/>
      <c r="AZ686" s="41"/>
      <c r="BA686" s="41"/>
      <c r="BB686" s="41"/>
      <c r="BC686" s="41"/>
      <c r="BD686" s="41"/>
      <c r="BE686" s="41"/>
      <c r="BF686" s="41"/>
      <c r="BG686" s="41"/>
      <c r="BH686" s="41"/>
      <c r="BI686" s="41"/>
      <c r="BJ686" s="41"/>
      <c r="BK686" s="41"/>
      <c r="BL686" s="41"/>
      <c r="BM686" s="41"/>
      <c r="BN686" s="41"/>
      <c r="BO686" s="41"/>
      <c r="BP686" s="41"/>
      <c r="BQ686" s="41"/>
      <c r="BR686" s="41"/>
      <c r="BS686" s="41"/>
      <c r="BT686" s="41"/>
      <c r="BU686" s="41"/>
      <c r="BV686" s="41"/>
      <c r="BW686" s="41"/>
      <c r="BX686" s="41"/>
      <c r="BY686" s="41"/>
      <c r="BZ686" s="41"/>
      <c r="CA686" s="41"/>
      <c r="CB686" s="41"/>
      <c r="CC686" s="41"/>
      <c r="CD686" s="41"/>
      <c r="CE686" s="41"/>
      <c r="CF686" s="41"/>
      <c r="CG686" s="41"/>
      <c r="CH686" s="41"/>
      <c r="CI686" s="41"/>
      <c r="CJ686" s="41"/>
      <c r="CK686" s="41"/>
      <c r="CL686" s="41"/>
      <c r="CM686" s="41"/>
      <c r="CN686" s="41"/>
      <c r="CO686" s="41"/>
      <c r="CP686" s="41"/>
      <c r="CQ686" s="41"/>
      <c r="CR686" s="41"/>
      <c r="CS686" s="41"/>
      <c r="CT686" s="41"/>
      <c r="CU686" s="41"/>
      <c r="CV686" s="41"/>
      <c r="CW686" s="41"/>
      <c r="CX686" s="41"/>
      <c r="CY686" s="41"/>
      <c r="CZ686" s="211"/>
      <c r="DA686" s="41"/>
      <c r="DB686" s="15"/>
      <c r="DC686" s="15"/>
      <c r="DD686" s="15"/>
      <c r="DE686" s="15"/>
      <c r="DF686" s="15"/>
      <c r="DG686" s="15"/>
      <c r="DH686" s="15"/>
      <c r="DI686" s="15"/>
    </row>
    <row r="687" spans="1:113" ht="12" hidden="1" outlineLevel="2">
      <c r="A687" s="1" t="s">
        <v>2286</v>
      </c>
      <c r="B687" s="15" t="s">
        <v>804</v>
      </c>
      <c r="C687" s="41"/>
      <c r="D687" s="41"/>
      <c r="E687" s="41"/>
      <c r="F687" s="41"/>
      <c r="G687" s="41"/>
      <c r="H687" s="41"/>
      <c r="I687" s="41"/>
      <c r="J687" s="41"/>
      <c r="K687" s="41"/>
      <c r="L687" s="41"/>
      <c r="M687" s="41"/>
      <c r="N687" s="41"/>
      <c r="O687" s="41"/>
      <c r="P687" s="41"/>
      <c r="Q687" s="41"/>
      <c r="R687" s="41"/>
      <c r="S687" s="41"/>
      <c r="T687" s="41"/>
      <c r="U687" s="41"/>
      <c r="V687" s="41"/>
      <c r="W687" s="41"/>
      <c r="X687" s="41"/>
      <c r="Y687" s="41"/>
      <c r="Z687" s="41"/>
      <c r="AA687" s="41"/>
      <c r="AB687" s="41"/>
      <c r="AC687" s="41"/>
      <c r="AD687" s="41"/>
      <c r="AE687" s="41"/>
      <c r="AF687" s="41"/>
      <c r="AG687" s="41"/>
      <c r="AH687" s="41"/>
      <c r="AI687" s="41"/>
      <c r="AJ687" s="41"/>
      <c r="AK687" s="41"/>
      <c r="AL687" s="41"/>
      <c r="AM687" s="41"/>
      <c r="AN687" s="41"/>
      <c r="AO687" s="41"/>
      <c r="AP687" s="41"/>
      <c r="AQ687" s="41"/>
      <c r="AR687" s="41"/>
      <c r="AS687" s="41"/>
      <c r="AT687" s="41"/>
      <c r="AU687" s="41"/>
      <c r="AV687" s="41"/>
      <c r="AW687" s="41"/>
      <c r="AX687" s="41"/>
      <c r="AY687" s="211"/>
      <c r="AZ687" s="41"/>
      <c r="BA687" s="41"/>
      <c r="BB687" s="41"/>
      <c r="BC687" s="41"/>
      <c r="BD687" s="41"/>
      <c r="BE687" s="41"/>
      <c r="BF687" s="41"/>
      <c r="BG687" s="41"/>
      <c r="BH687" s="41"/>
      <c r="BI687" s="41"/>
      <c r="BJ687" s="41"/>
      <c r="BK687" s="41"/>
      <c r="BL687" s="41"/>
      <c r="BM687" s="41"/>
      <c r="BN687" s="41"/>
      <c r="BO687" s="41"/>
      <c r="BP687" s="41"/>
      <c r="BQ687" s="41"/>
      <c r="BR687" s="41"/>
      <c r="BS687" s="41"/>
      <c r="BT687" s="41"/>
      <c r="BU687" s="41"/>
      <c r="BV687" s="41"/>
      <c r="BW687" s="41"/>
      <c r="BX687" s="41"/>
      <c r="BY687" s="41"/>
      <c r="BZ687" s="41"/>
      <c r="CA687" s="41"/>
      <c r="CB687" s="41"/>
      <c r="CC687" s="41"/>
      <c r="CD687" s="41"/>
      <c r="CE687" s="41"/>
      <c r="CF687" s="41"/>
      <c r="CG687" s="41"/>
      <c r="CH687" s="41"/>
      <c r="CI687" s="41"/>
      <c r="CJ687" s="41"/>
      <c r="CK687" s="41"/>
      <c r="CL687" s="41"/>
      <c r="CM687" s="41"/>
      <c r="CN687" s="41"/>
      <c r="CO687" s="41"/>
      <c r="CP687" s="41"/>
      <c r="CQ687" s="41"/>
      <c r="CR687" s="41"/>
      <c r="CS687" s="41"/>
      <c r="CT687" s="41"/>
      <c r="CU687" s="41"/>
      <c r="CV687" s="41"/>
      <c r="CW687" s="41"/>
      <c r="CX687" s="41"/>
      <c r="CY687" s="41"/>
      <c r="CZ687" s="211"/>
      <c r="DA687" s="41"/>
      <c r="DB687" s="15"/>
      <c r="DC687" s="15"/>
      <c r="DD687" s="15"/>
      <c r="DE687" s="15"/>
      <c r="DF687" s="15"/>
      <c r="DG687" s="15"/>
      <c r="DH687" s="15"/>
      <c r="DI687" s="15"/>
    </row>
    <row r="688" spans="1:113" ht="12" hidden="1" outlineLevel="2">
      <c r="A688" s="1" t="s">
        <v>2287</v>
      </c>
      <c r="B688" s="15" t="s">
        <v>804</v>
      </c>
      <c r="C688" s="41"/>
      <c r="D688" s="41"/>
      <c r="E688" s="41"/>
      <c r="F688" s="41"/>
      <c r="G688" s="41"/>
      <c r="H688" s="41"/>
      <c r="I688" s="41"/>
      <c r="J688" s="41"/>
      <c r="K688" s="41"/>
      <c r="L688" s="41"/>
      <c r="M688" s="41"/>
      <c r="N688" s="41"/>
      <c r="O688" s="41"/>
      <c r="P688" s="41"/>
      <c r="Q688" s="41"/>
      <c r="R688" s="41"/>
      <c r="S688" s="41"/>
      <c r="T688" s="41"/>
      <c r="U688" s="41"/>
      <c r="V688" s="41"/>
      <c r="W688" s="41"/>
      <c r="X688" s="41"/>
      <c r="Y688" s="41"/>
      <c r="Z688" s="41"/>
      <c r="AA688" s="41"/>
      <c r="AB688" s="41"/>
      <c r="AC688" s="41"/>
      <c r="AD688" s="41"/>
      <c r="AE688" s="41"/>
      <c r="AF688" s="41"/>
      <c r="AG688" s="41"/>
      <c r="AH688" s="41"/>
      <c r="AI688" s="41"/>
      <c r="AJ688" s="41"/>
      <c r="AK688" s="41"/>
      <c r="AL688" s="41"/>
      <c r="AM688" s="41"/>
      <c r="AN688" s="41"/>
      <c r="AO688" s="41"/>
      <c r="AP688" s="41"/>
      <c r="AQ688" s="41"/>
      <c r="AR688" s="41"/>
      <c r="AS688" s="41"/>
      <c r="AT688" s="41"/>
      <c r="AU688" s="41"/>
      <c r="AV688" s="41"/>
      <c r="AW688" s="41"/>
      <c r="AX688" s="41"/>
      <c r="AY688" s="211"/>
      <c r="AZ688" s="41"/>
      <c r="BA688" s="41"/>
      <c r="BB688" s="41"/>
      <c r="BC688" s="41"/>
      <c r="BD688" s="41"/>
      <c r="BE688" s="41"/>
      <c r="BF688" s="41"/>
      <c r="BG688" s="41"/>
      <c r="BH688" s="41"/>
      <c r="BI688" s="41"/>
      <c r="BJ688" s="41"/>
      <c r="BK688" s="41"/>
      <c r="BL688" s="41"/>
      <c r="BM688" s="41"/>
      <c r="BN688" s="41"/>
      <c r="BO688" s="41"/>
      <c r="BP688" s="41"/>
      <c r="BQ688" s="41"/>
      <c r="BR688" s="41"/>
      <c r="BS688" s="41"/>
      <c r="BT688" s="41"/>
      <c r="BU688" s="41"/>
      <c r="BV688" s="41"/>
      <c r="BW688" s="41"/>
      <c r="BX688" s="41"/>
      <c r="BY688" s="41"/>
      <c r="BZ688" s="41"/>
      <c r="CA688" s="41"/>
      <c r="CB688" s="41"/>
      <c r="CC688" s="41"/>
      <c r="CD688" s="41"/>
      <c r="CE688" s="41"/>
      <c r="CF688" s="41"/>
      <c r="CG688" s="41"/>
      <c r="CH688" s="41"/>
      <c r="CI688" s="41"/>
      <c r="CJ688" s="41"/>
      <c r="CK688" s="41"/>
      <c r="CL688" s="41"/>
      <c r="CM688" s="41"/>
      <c r="CN688" s="41"/>
      <c r="CO688" s="41"/>
      <c r="CP688" s="41"/>
      <c r="CQ688" s="41"/>
      <c r="CR688" s="41"/>
      <c r="CS688" s="41"/>
      <c r="CT688" s="41"/>
      <c r="CU688" s="41"/>
      <c r="CV688" s="41"/>
      <c r="CW688" s="41"/>
      <c r="CX688" s="41"/>
      <c r="CY688" s="41"/>
      <c r="CZ688" s="211"/>
      <c r="DA688" s="41"/>
      <c r="DB688" s="15"/>
      <c r="DC688" s="15"/>
      <c r="DD688" s="15"/>
      <c r="DE688" s="15"/>
      <c r="DF688" s="15"/>
      <c r="DG688" s="15"/>
      <c r="DH688" s="15"/>
      <c r="DI688" s="15"/>
    </row>
    <row r="689" spans="1:113" ht="12" hidden="1" outlineLevel="2">
      <c r="A689" s="1" t="s">
        <v>2288</v>
      </c>
      <c r="B689" s="15" t="s">
        <v>804</v>
      </c>
      <c r="C689" s="41"/>
      <c r="D689" s="41"/>
      <c r="E689" s="41"/>
      <c r="F689" s="41"/>
      <c r="G689" s="41"/>
      <c r="H689" s="41"/>
      <c r="I689" s="41"/>
      <c r="J689" s="41"/>
      <c r="K689" s="41"/>
      <c r="L689" s="41"/>
      <c r="M689" s="41"/>
      <c r="N689" s="41"/>
      <c r="O689" s="41"/>
      <c r="P689" s="41"/>
      <c r="Q689" s="41"/>
      <c r="R689" s="41"/>
      <c r="S689" s="41"/>
      <c r="T689" s="41"/>
      <c r="U689" s="41"/>
      <c r="V689" s="41"/>
      <c r="W689" s="41"/>
      <c r="X689" s="41"/>
      <c r="Y689" s="41"/>
      <c r="Z689" s="41"/>
      <c r="AA689" s="41"/>
      <c r="AB689" s="41"/>
      <c r="AC689" s="41"/>
      <c r="AD689" s="41"/>
      <c r="AE689" s="41"/>
      <c r="AF689" s="41"/>
      <c r="AG689" s="41"/>
      <c r="AH689" s="41"/>
      <c r="AI689" s="41"/>
      <c r="AJ689" s="41"/>
      <c r="AK689" s="41"/>
      <c r="AL689" s="41"/>
      <c r="AM689" s="41"/>
      <c r="AN689" s="41"/>
      <c r="AO689" s="41"/>
      <c r="AP689" s="41"/>
      <c r="AQ689" s="41"/>
      <c r="AR689" s="41"/>
      <c r="AS689" s="41"/>
      <c r="AT689" s="41"/>
      <c r="AU689" s="41"/>
      <c r="AV689" s="41"/>
      <c r="AW689" s="41"/>
      <c r="AX689" s="41"/>
      <c r="AY689" s="211"/>
      <c r="AZ689" s="41"/>
      <c r="BA689" s="41"/>
      <c r="BB689" s="41"/>
      <c r="BC689" s="41"/>
      <c r="BD689" s="41"/>
      <c r="BE689" s="41"/>
      <c r="BF689" s="41"/>
      <c r="BG689" s="41"/>
      <c r="BH689" s="41"/>
      <c r="BI689" s="41"/>
      <c r="BJ689" s="41"/>
      <c r="BK689" s="41"/>
      <c r="BL689" s="41"/>
      <c r="BM689" s="41"/>
      <c r="BN689" s="41"/>
      <c r="BO689" s="41"/>
      <c r="BP689" s="41"/>
      <c r="BQ689" s="41"/>
      <c r="BR689" s="41"/>
      <c r="BS689" s="41"/>
      <c r="BT689" s="41"/>
      <c r="BU689" s="41"/>
      <c r="BV689" s="41"/>
      <c r="BW689" s="41"/>
      <c r="BX689" s="41"/>
      <c r="BY689" s="41"/>
      <c r="BZ689" s="41"/>
      <c r="CA689" s="41"/>
      <c r="CB689" s="41"/>
      <c r="CC689" s="41"/>
      <c r="CD689" s="41"/>
      <c r="CE689" s="41"/>
      <c r="CF689" s="41"/>
      <c r="CG689" s="41"/>
      <c r="CH689" s="41"/>
      <c r="CI689" s="41"/>
      <c r="CJ689" s="41"/>
      <c r="CK689" s="41"/>
      <c r="CL689" s="41"/>
      <c r="CM689" s="41"/>
      <c r="CN689" s="41"/>
      <c r="CO689" s="41"/>
      <c r="CP689" s="41"/>
      <c r="CQ689" s="41"/>
      <c r="CR689" s="41"/>
      <c r="CS689" s="41"/>
      <c r="CT689" s="41"/>
      <c r="CU689" s="41"/>
      <c r="CV689" s="41"/>
      <c r="CW689" s="41"/>
      <c r="CX689" s="41"/>
      <c r="CY689" s="41"/>
      <c r="CZ689" s="211"/>
      <c r="DA689" s="41"/>
      <c r="DB689" s="15"/>
      <c r="DC689" s="15"/>
      <c r="DD689" s="15"/>
      <c r="DE689" s="15"/>
      <c r="DF689" s="15"/>
      <c r="DG689" s="15"/>
      <c r="DH689" s="15"/>
      <c r="DI689" s="15"/>
    </row>
    <row r="690" spans="1:113" ht="12" hidden="1" outlineLevel="2">
      <c r="A690" s="1" t="s">
        <v>2289</v>
      </c>
      <c r="B690" s="15" t="s">
        <v>804</v>
      </c>
      <c r="C690" s="41"/>
      <c r="D690" s="41"/>
      <c r="E690" s="41"/>
      <c r="F690" s="41"/>
      <c r="G690" s="41"/>
      <c r="H690" s="41"/>
      <c r="I690" s="41"/>
      <c r="J690" s="41"/>
      <c r="K690" s="41"/>
      <c r="L690" s="41"/>
      <c r="M690" s="41"/>
      <c r="N690" s="41"/>
      <c r="O690" s="41"/>
      <c r="P690" s="41"/>
      <c r="Q690" s="41"/>
      <c r="R690" s="41"/>
      <c r="S690" s="41"/>
      <c r="T690" s="41"/>
      <c r="U690" s="41"/>
      <c r="V690" s="41"/>
      <c r="W690" s="41"/>
      <c r="X690" s="41"/>
      <c r="Y690" s="41"/>
      <c r="Z690" s="41"/>
      <c r="AA690" s="41"/>
      <c r="AB690" s="41"/>
      <c r="AC690" s="41"/>
      <c r="AD690" s="41"/>
      <c r="AE690" s="41"/>
      <c r="AF690" s="41"/>
      <c r="AG690" s="41"/>
      <c r="AH690" s="41"/>
      <c r="AI690" s="41"/>
      <c r="AJ690" s="41"/>
      <c r="AK690" s="41"/>
      <c r="AL690" s="41"/>
      <c r="AM690" s="41"/>
      <c r="AN690" s="41"/>
      <c r="AO690" s="41"/>
      <c r="AP690" s="41"/>
      <c r="AQ690" s="41"/>
      <c r="AR690" s="41"/>
      <c r="AS690" s="41"/>
      <c r="AT690" s="41"/>
      <c r="AU690" s="41"/>
      <c r="AV690" s="41"/>
      <c r="AW690" s="41"/>
      <c r="AX690" s="41"/>
      <c r="AY690" s="211"/>
      <c r="AZ690" s="41"/>
      <c r="BA690" s="41"/>
      <c r="BB690" s="41"/>
      <c r="BC690" s="41"/>
      <c r="BD690" s="41"/>
      <c r="BE690" s="41"/>
      <c r="BF690" s="41"/>
      <c r="BG690" s="41"/>
      <c r="BH690" s="41"/>
      <c r="BI690" s="41"/>
      <c r="BJ690" s="41"/>
      <c r="BK690" s="41"/>
      <c r="BL690" s="41"/>
      <c r="BM690" s="41"/>
      <c r="BN690" s="41"/>
      <c r="BO690" s="41"/>
      <c r="BP690" s="41"/>
      <c r="BQ690" s="41"/>
      <c r="BR690" s="41"/>
      <c r="BS690" s="41"/>
      <c r="BT690" s="41"/>
      <c r="BU690" s="41"/>
      <c r="BV690" s="41"/>
      <c r="BW690" s="41"/>
      <c r="BX690" s="41"/>
      <c r="BY690" s="41"/>
      <c r="BZ690" s="41"/>
      <c r="CA690" s="41"/>
      <c r="CB690" s="41"/>
      <c r="CC690" s="41"/>
      <c r="CD690" s="41"/>
      <c r="CE690" s="41"/>
      <c r="CF690" s="41"/>
      <c r="CG690" s="41"/>
      <c r="CH690" s="41"/>
      <c r="CI690" s="41"/>
      <c r="CJ690" s="41"/>
      <c r="CK690" s="41"/>
      <c r="CL690" s="41"/>
      <c r="CM690" s="41"/>
      <c r="CN690" s="41"/>
      <c r="CO690" s="41"/>
      <c r="CP690" s="41"/>
      <c r="CQ690" s="41"/>
      <c r="CR690" s="41"/>
      <c r="CS690" s="41"/>
      <c r="CT690" s="41"/>
      <c r="CU690" s="41"/>
      <c r="CV690" s="41"/>
      <c r="CW690" s="41"/>
      <c r="CX690" s="41"/>
      <c r="CY690" s="41"/>
      <c r="CZ690" s="211"/>
      <c r="DA690" s="41"/>
      <c r="DB690" s="15"/>
      <c r="DC690" s="15"/>
      <c r="DD690" s="15"/>
      <c r="DE690" s="15"/>
      <c r="DF690" s="15"/>
      <c r="DG690" s="15"/>
      <c r="DH690" s="15"/>
      <c r="DI690" s="15"/>
    </row>
    <row r="691" spans="1:113" ht="12" hidden="1" outlineLevel="2">
      <c r="A691" s="1" t="s">
        <v>49</v>
      </c>
      <c r="B691" s="15" t="s">
        <v>804</v>
      </c>
      <c r="C691" s="41"/>
      <c r="D691" s="41"/>
      <c r="E691" s="41"/>
      <c r="F691" s="41"/>
      <c r="G691" s="41"/>
      <c r="H691" s="41"/>
      <c r="I691" s="41"/>
      <c r="J691" s="41"/>
      <c r="K691" s="41"/>
      <c r="L691" s="41"/>
      <c r="M691" s="41"/>
      <c r="N691" s="41"/>
      <c r="O691" s="41"/>
      <c r="P691" s="41"/>
      <c r="Q691" s="41"/>
      <c r="R691" s="41"/>
      <c r="S691" s="41"/>
      <c r="T691" s="41"/>
      <c r="U691" s="41"/>
      <c r="V691" s="41"/>
      <c r="W691" s="41"/>
      <c r="X691" s="41"/>
      <c r="Y691" s="41"/>
      <c r="Z691" s="41"/>
      <c r="AA691" s="41"/>
      <c r="AB691" s="41"/>
      <c r="AC691" s="41"/>
      <c r="AD691" s="41"/>
      <c r="AE691" s="41"/>
      <c r="AF691" s="41"/>
      <c r="AG691" s="41"/>
      <c r="AH691" s="41"/>
      <c r="AI691" s="41"/>
      <c r="AJ691" s="41"/>
      <c r="AK691" s="41"/>
      <c r="AL691" s="41"/>
      <c r="AM691" s="41"/>
      <c r="AN691" s="41"/>
      <c r="AO691" s="41"/>
      <c r="AP691" s="41"/>
      <c r="AQ691" s="41"/>
      <c r="AR691" s="41"/>
      <c r="AS691" s="41"/>
      <c r="AT691" s="41"/>
      <c r="AU691" s="41"/>
      <c r="AV691" s="41"/>
      <c r="AW691" s="41"/>
      <c r="AX691" s="41"/>
      <c r="AY691" s="211"/>
      <c r="AZ691" s="41"/>
      <c r="BA691" s="41"/>
      <c r="BB691" s="41"/>
      <c r="BC691" s="41"/>
      <c r="BD691" s="41"/>
      <c r="BE691" s="41"/>
      <c r="BF691" s="41"/>
      <c r="BG691" s="41"/>
      <c r="BH691" s="41"/>
      <c r="BI691" s="41"/>
      <c r="BJ691" s="41"/>
      <c r="BK691" s="41"/>
      <c r="BL691" s="41"/>
      <c r="BM691" s="41"/>
      <c r="BN691" s="41"/>
      <c r="BO691" s="41"/>
      <c r="BP691" s="41"/>
      <c r="BQ691" s="41"/>
      <c r="BR691" s="41"/>
      <c r="BS691" s="41"/>
      <c r="BT691" s="41"/>
      <c r="BU691" s="41"/>
      <c r="BV691" s="41"/>
      <c r="BW691" s="41"/>
      <c r="BX691" s="41"/>
      <c r="BY691" s="41"/>
      <c r="BZ691" s="41"/>
      <c r="CA691" s="41"/>
      <c r="CB691" s="41"/>
      <c r="CC691" s="41"/>
      <c r="CD691" s="41"/>
      <c r="CE691" s="41"/>
      <c r="CF691" s="41"/>
      <c r="CG691" s="41"/>
      <c r="CH691" s="41"/>
      <c r="CI691" s="41"/>
      <c r="CJ691" s="41"/>
      <c r="CK691" s="41"/>
      <c r="CL691" s="41"/>
      <c r="CM691" s="41"/>
      <c r="CN691" s="41"/>
      <c r="CO691" s="41"/>
      <c r="CP691" s="41"/>
      <c r="CQ691" s="41"/>
      <c r="CR691" s="41"/>
      <c r="CS691" s="41"/>
      <c r="CT691" s="41"/>
      <c r="CU691" s="41"/>
      <c r="CV691" s="41"/>
      <c r="CW691" s="41"/>
      <c r="CX691" s="41"/>
      <c r="CY691" s="41"/>
      <c r="CZ691" s="211"/>
      <c r="DA691" s="41"/>
      <c r="DB691" s="15"/>
      <c r="DC691" s="15"/>
      <c r="DD691" s="15"/>
      <c r="DE691" s="15"/>
      <c r="DF691" s="15"/>
      <c r="DG691" s="15"/>
      <c r="DH691" s="15"/>
      <c r="DI691" s="15"/>
    </row>
    <row r="692" spans="1:113" ht="12" hidden="1" outlineLevel="2">
      <c r="A692" s="1" t="s">
        <v>50</v>
      </c>
      <c r="B692" s="15" t="s">
        <v>804</v>
      </c>
      <c r="C692" s="41"/>
      <c r="D692" s="41"/>
      <c r="E692" s="41"/>
      <c r="F692" s="41"/>
      <c r="G692" s="41"/>
      <c r="H692" s="41"/>
      <c r="I692" s="41"/>
      <c r="J692" s="41"/>
      <c r="K692" s="41"/>
      <c r="L692" s="41"/>
      <c r="M692" s="41"/>
      <c r="N692" s="41"/>
      <c r="O692" s="41"/>
      <c r="P692" s="41"/>
      <c r="Q692" s="41"/>
      <c r="R692" s="41"/>
      <c r="S692" s="41"/>
      <c r="T692" s="41"/>
      <c r="U692" s="41"/>
      <c r="V692" s="41"/>
      <c r="W692" s="41"/>
      <c r="X692" s="41"/>
      <c r="Y692" s="41"/>
      <c r="Z692" s="41"/>
      <c r="AA692" s="41"/>
      <c r="AB692" s="41"/>
      <c r="AC692" s="41"/>
      <c r="AD692" s="41"/>
      <c r="AE692" s="41"/>
      <c r="AF692" s="41"/>
      <c r="AG692" s="41"/>
      <c r="AH692" s="41"/>
      <c r="AI692" s="41"/>
      <c r="AJ692" s="41"/>
      <c r="AK692" s="41"/>
      <c r="AL692" s="41"/>
      <c r="AM692" s="41"/>
      <c r="AN692" s="41"/>
      <c r="AO692" s="41"/>
      <c r="AP692" s="41"/>
      <c r="AQ692" s="41"/>
      <c r="AR692" s="41"/>
      <c r="AS692" s="41"/>
      <c r="AT692" s="41"/>
      <c r="AU692" s="41"/>
      <c r="AV692" s="41"/>
      <c r="AW692" s="41"/>
      <c r="AX692" s="41"/>
      <c r="AY692" s="211"/>
      <c r="AZ692" s="41"/>
      <c r="BA692" s="41"/>
      <c r="BB692" s="41"/>
      <c r="BC692" s="41"/>
      <c r="BD692" s="41"/>
      <c r="BE692" s="41"/>
      <c r="BF692" s="41"/>
      <c r="BG692" s="41"/>
      <c r="BH692" s="41"/>
      <c r="BI692" s="41"/>
      <c r="BJ692" s="41"/>
      <c r="BK692" s="41"/>
      <c r="BL692" s="41"/>
      <c r="BM692" s="41"/>
      <c r="BN692" s="41"/>
      <c r="BO692" s="41"/>
      <c r="BP692" s="41"/>
      <c r="BQ692" s="41"/>
      <c r="BR692" s="41"/>
      <c r="BS692" s="41"/>
      <c r="BT692" s="41"/>
      <c r="BU692" s="41"/>
      <c r="BV692" s="41"/>
      <c r="BW692" s="41"/>
      <c r="BX692" s="41"/>
      <c r="BY692" s="41"/>
      <c r="BZ692" s="41"/>
      <c r="CA692" s="41"/>
      <c r="CB692" s="41"/>
      <c r="CC692" s="41"/>
      <c r="CD692" s="41"/>
      <c r="CE692" s="41"/>
      <c r="CF692" s="41"/>
      <c r="CG692" s="41"/>
      <c r="CH692" s="41"/>
      <c r="CI692" s="41"/>
      <c r="CJ692" s="41"/>
      <c r="CK692" s="41"/>
      <c r="CL692" s="41"/>
      <c r="CM692" s="41"/>
      <c r="CN692" s="41"/>
      <c r="CO692" s="41"/>
      <c r="CP692" s="41"/>
      <c r="CQ692" s="41"/>
      <c r="CR692" s="41"/>
      <c r="CS692" s="41"/>
      <c r="CT692" s="41"/>
      <c r="CU692" s="41"/>
      <c r="CV692" s="41"/>
      <c r="CW692" s="41"/>
      <c r="CX692" s="41"/>
      <c r="CY692" s="41"/>
      <c r="CZ692" s="211"/>
      <c r="DA692" s="41"/>
      <c r="DB692" s="15"/>
      <c r="DC692" s="15"/>
      <c r="DD692" s="15"/>
      <c r="DE692" s="15"/>
      <c r="DF692" s="15"/>
      <c r="DG692" s="15"/>
      <c r="DH692" s="15"/>
      <c r="DI692" s="15"/>
    </row>
    <row r="693" spans="1:113" ht="12" hidden="1" outlineLevel="2">
      <c r="A693" s="1" t="s">
        <v>1053</v>
      </c>
      <c r="B693" s="15" t="s">
        <v>804</v>
      </c>
      <c r="C693" s="41"/>
      <c r="D693" s="41"/>
      <c r="E693" s="41"/>
      <c r="F693" s="41"/>
      <c r="G693" s="41"/>
      <c r="H693" s="41"/>
      <c r="I693" s="41"/>
      <c r="J693" s="41"/>
      <c r="K693" s="41"/>
      <c r="L693" s="41"/>
      <c r="M693" s="41"/>
      <c r="N693" s="41"/>
      <c r="O693" s="41"/>
      <c r="P693" s="41"/>
      <c r="Q693" s="41"/>
      <c r="R693" s="41"/>
      <c r="S693" s="41"/>
      <c r="T693" s="41"/>
      <c r="U693" s="41"/>
      <c r="V693" s="41"/>
      <c r="W693" s="41"/>
      <c r="X693" s="41"/>
      <c r="Y693" s="41"/>
      <c r="Z693" s="41"/>
      <c r="AA693" s="41"/>
      <c r="AB693" s="41"/>
      <c r="AC693" s="41"/>
      <c r="AD693" s="41"/>
      <c r="AE693" s="41"/>
      <c r="AF693" s="41"/>
      <c r="AG693" s="41"/>
      <c r="AH693" s="41"/>
      <c r="AI693" s="41"/>
      <c r="AJ693" s="41"/>
      <c r="AK693" s="41"/>
      <c r="AL693" s="41"/>
      <c r="AM693" s="41"/>
      <c r="AN693" s="41"/>
      <c r="AO693" s="41"/>
      <c r="AP693" s="41"/>
      <c r="AQ693" s="41"/>
      <c r="AR693" s="41"/>
      <c r="AS693" s="41"/>
      <c r="AT693" s="41"/>
      <c r="AU693" s="41"/>
      <c r="AV693" s="41"/>
      <c r="AW693" s="41"/>
      <c r="AX693" s="41"/>
      <c r="AY693" s="211"/>
      <c r="AZ693" s="41"/>
      <c r="BA693" s="41"/>
      <c r="BB693" s="41"/>
      <c r="BC693" s="41"/>
      <c r="BD693" s="41"/>
      <c r="BE693" s="41"/>
      <c r="BF693" s="41"/>
      <c r="BG693" s="41"/>
      <c r="BH693" s="41"/>
      <c r="BI693" s="41"/>
      <c r="BJ693" s="41"/>
      <c r="BK693" s="41"/>
      <c r="BL693" s="41"/>
      <c r="BM693" s="41"/>
      <c r="BN693" s="41"/>
      <c r="BO693" s="41"/>
      <c r="BP693" s="41"/>
      <c r="BQ693" s="41"/>
      <c r="BR693" s="41"/>
      <c r="BS693" s="41"/>
      <c r="BT693" s="41"/>
      <c r="BU693" s="41"/>
      <c r="BV693" s="41"/>
      <c r="BW693" s="41"/>
      <c r="BX693" s="41"/>
      <c r="BY693" s="41"/>
      <c r="BZ693" s="41"/>
      <c r="CA693" s="41"/>
      <c r="CB693" s="41"/>
      <c r="CC693" s="41"/>
      <c r="CD693" s="41"/>
      <c r="CE693" s="41"/>
      <c r="CF693" s="41"/>
      <c r="CG693" s="41"/>
      <c r="CH693" s="41"/>
      <c r="CI693" s="41"/>
      <c r="CJ693" s="41"/>
      <c r="CK693" s="41"/>
      <c r="CL693" s="41"/>
      <c r="CM693" s="41"/>
      <c r="CN693" s="41"/>
      <c r="CO693" s="41"/>
      <c r="CP693" s="41"/>
      <c r="CQ693" s="41"/>
      <c r="CR693" s="41"/>
      <c r="CS693" s="41"/>
      <c r="CT693" s="41"/>
      <c r="CU693" s="41"/>
      <c r="CV693" s="41"/>
      <c r="CW693" s="41"/>
      <c r="CX693" s="41"/>
      <c r="CY693" s="41"/>
      <c r="CZ693" s="211"/>
      <c r="DA693" s="41"/>
      <c r="DB693" s="15"/>
      <c r="DC693" s="15"/>
      <c r="DD693" s="15"/>
      <c r="DE693" s="15"/>
      <c r="DF693" s="15"/>
      <c r="DG693" s="15"/>
      <c r="DH693" s="15"/>
      <c r="DI693" s="15"/>
    </row>
    <row r="694" spans="1:113" ht="12" outlineLevel="1" collapsed="1">
      <c r="C694" s="41"/>
      <c r="D694" s="41"/>
      <c r="E694" s="41"/>
      <c r="F694" s="41"/>
      <c r="G694" s="41"/>
      <c r="H694" s="41"/>
      <c r="I694" s="41"/>
      <c r="J694" s="41"/>
      <c r="K694" s="41"/>
      <c r="L694" s="41"/>
      <c r="M694" s="41"/>
      <c r="N694" s="41"/>
      <c r="O694" s="41"/>
      <c r="P694" s="41"/>
      <c r="Q694" s="41"/>
      <c r="R694" s="41"/>
      <c r="S694" s="41"/>
      <c r="T694" s="41"/>
      <c r="U694" s="41"/>
      <c r="V694" s="41"/>
      <c r="W694" s="41"/>
      <c r="X694" s="41"/>
      <c r="Y694" s="41"/>
      <c r="Z694" s="41"/>
      <c r="AA694" s="41"/>
      <c r="AB694" s="41"/>
      <c r="AC694" s="41"/>
      <c r="AD694" s="41"/>
      <c r="AE694" s="41"/>
      <c r="AF694" s="41"/>
      <c r="AG694" s="41"/>
      <c r="AH694" s="41"/>
      <c r="AI694" s="41"/>
      <c r="AJ694" s="41"/>
      <c r="AK694" s="41"/>
      <c r="AL694" s="41"/>
      <c r="AM694" s="41"/>
      <c r="AN694" s="41"/>
      <c r="AO694" s="41"/>
      <c r="AP694" s="41"/>
      <c r="AQ694" s="41"/>
      <c r="AR694" s="41"/>
      <c r="AS694" s="41"/>
      <c r="AT694" s="41"/>
      <c r="AU694" s="41"/>
      <c r="AV694" s="41"/>
      <c r="AW694" s="41"/>
      <c r="AX694" s="41"/>
      <c r="AY694" s="211"/>
      <c r="AZ694" s="41"/>
      <c r="BA694" s="41"/>
      <c r="BB694" s="41"/>
      <c r="BC694" s="41"/>
      <c r="BD694" s="41"/>
      <c r="BE694" s="41"/>
      <c r="BF694" s="41"/>
      <c r="BG694" s="41"/>
      <c r="BH694" s="41"/>
      <c r="BI694" s="41"/>
      <c r="BJ694" s="41"/>
      <c r="BK694" s="41"/>
      <c r="BL694" s="41"/>
      <c r="BM694" s="41"/>
      <c r="BN694" s="41"/>
      <c r="BO694" s="41"/>
      <c r="BP694" s="41"/>
      <c r="BQ694" s="41"/>
      <c r="BR694" s="41"/>
      <c r="BS694" s="41"/>
      <c r="BT694" s="41"/>
      <c r="BU694" s="41"/>
      <c r="BV694" s="41"/>
      <c r="BW694" s="41"/>
      <c r="BX694" s="41"/>
      <c r="BY694" s="41"/>
      <c r="BZ694" s="41"/>
      <c r="CA694" s="41"/>
      <c r="CB694" s="41"/>
      <c r="CC694" s="41"/>
      <c r="CD694" s="41"/>
      <c r="CE694" s="41"/>
      <c r="CF694" s="41"/>
      <c r="CG694" s="41"/>
      <c r="CH694" s="41"/>
      <c r="CI694" s="41"/>
      <c r="CJ694" s="41"/>
      <c r="CK694" s="41"/>
      <c r="CL694" s="41"/>
      <c r="CM694" s="41"/>
      <c r="CN694" s="41"/>
      <c r="CO694" s="41"/>
      <c r="CP694" s="41"/>
      <c r="CQ694" s="41"/>
      <c r="CR694" s="41"/>
      <c r="CS694" s="41"/>
      <c r="CT694" s="41"/>
      <c r="CU694" s="41"/>
      <c r="CV694" s="41"/>
      <c r="CW694" s="41"/>
      <c r="CX694" s="41"/>
      <c r="CY694" s="41"/>
      <c r="CZ694" s="211"/>
      <c r="DA694" s="41"/>
      <c r="DB694" s="15"/>
      <c r="DC694" s="15"/>
      <c r="DD694" s="15"/>
      <c r="DE694" s="15"/>
      <c r="DF694" s="15"/>
      <c r="DG694" s="15"/>
      <c r="DH694" s="15"/>
      <c r="DI694" s="15"/>
    </row>
    <row r="695" spans="1:113" s="17" customFormat="1" ht="12" outlineLevel="1">
      <c r="A695" s="1"/>
      <c r="B695" s="17" t="s">
        <v>358</v>
      </c>
      <c r="C695" s="62"/>
      <c r="D695" s="62"/>
      <c r="E695" s="62"/>
      <c r="F695" s="62"/>
      <c r="G695" s="62"/>
      <c r="H695" s="62"/>
      <c r="I695" s="62"/>
      <c r="J695" s="62"/>
      <c r="K695" s="62"/>
      <c r="L695" s="62"/>
      <c r="M695" s="62"/>
      <c r="N695" s="62"/>
      <c r="O695" s="62"/>
      <c r="P695" s="62"/>
      <c r="Q695" s="62"/>
      <c r="R695" s="62"/>
      <c r="S695" s="62"/>
      <c r="T695" s="62"/>
      <c r="U695" s="62"/>
      <c r="V695" s="62"/>
      <c r="W695" s="62"/>
      <c r="X695" s="62"/>
      <c r="Y695" s="62"/>
      <c r="Z695" s="62"/>
      <c r="AA695" s="62"/>
      <c r="AB695" s="62"/>
      <c r="AC695" s="62"/>
      <c r="AD695" s="62"/>
      <c r="AE695" s="62"/>
      <c r="AF695" s="62"/>
      <c r="AG695" s="62"/>
      <c r="AH695" s="62"/>
      <c r="AI695" s="62"/>
      <c r="AJ695" s="150"/>
      <c r="AK695" s="62"/>
      <c r="AL695" s="62"/>
      <c r="AM695" s="62"/>
      <c r="AN695" s="62"/>
      <c r="AO695" s="62"/>
      <c r="AP695" s="62"/>
      <c r="AQ695" s="62"/>
      <c r="AR695" s="62"/>
      <c r="AS695" s="62"/>
      <c r="AT695" s="62"/>
      <c r="AU695" s="62"/>
      <c r="AV695" s="62"/>
      <c r="AW695" s="62"/>
      <c r="AX695" s="62"/>
      <c r="AY695" s="220"/>
      <c r="AZ695" s="62"/>
      <c r="BA695" s="62"/>
      <c r="BB695" s="62"/>
      <c r="BC695" s="62"/>
      <c r="BD695" s="62"/>
      <c r="BE695" s="62"/>
      <c r="BF695" s="62"/>
      <c r="BG695" s="62"/>
      <c r="BH695" s="62"/>
      <c r="BI695" s="62"/>
      <c r="BJ695" s="62"/>
      <c r="BK695" s="62"/>
      <c r="BL695" s="62"/>
      <c r="BM695" s="62"/>
      <c r="BN695" s="62"/>
      <c r="BO695" s="62"/>
      <c r="BP695" s="62"/>
      <c r="BQ695" s="62"/>
      <c r="BR695" s="62"/>
      <c r="BS695" s="62"/>
      <c r="BT695" s="62"/>
      <c r="BU695" s="62"/>
      <c r="BV695" s="62"/>
      <c r="BW695" s="62"/>
      <c r="BX695" s="62"/>
      <c r="BY695" s="62"/>
      <c r="BZ695" s="62"/>
      <c r="CA695" s="62"/>
      <c r="CB695" s="62"/>
      <c r="CC695" s="62"/>
      <c r="CD695" s="62"/>
      <c r="CE695" s="62"/>
      <c r="CF695" s="62"/>
      <c r="CG695" s="62"/>
      <c r="CH695" s="62"/>
      <c r="CI695" s="62"/>
      <c r="CJ695" s="62"/>
      <c r="CK695" s="62"/>
      <c r="CL695" s="62"/>
      <c r="CM695" s="62"/>
      <c r="CN695" s="62"/>
      <c r="CO695" s="62"/>
      <c r="CP695" s="62"/>
      <c r="CQ695" s="62"/>
      <c r="CR695" s="62"/>
      <c r="CS695" s="62"/>
      <c r="CT695" s="62"/>
      <c r="CU695" s="62"/>
      <c r="CV695" s="62"/>
      <c r="CW695" s="62"/>
      <c r="CX695" s="62"/>
      <c r="CY695" s="62"/>
      <c r="CZ695" s="220"/>
      <c r="DA695" s="62"/>
    </row>
    <row r="696" spans="1:113" ht="12" outlineLevel="1">
      <c r="A696" s="1" t="s">
        <v>1054</v>
      </c>
      <c r="B696" s="15" t="s">
        <v>359</v>
      </c>
      <c r="C696" s="41">
        <f t="shared" ref="C696:Z696" si="8229">C697-C239</f>
        <v>34450</v>
      </c>
      <c r="D696" s="41">
        <f t="shared" si="8229"/>
        <v>34374</v>
      </c>
      <c r="E696" s="41">
        <f t="shared" si="8229"/>
        <v>30053</v>
      </c>
      <c r="F696" s="41">
        <f t="shared" si="8229"/>
        <v>28211</v>
      </c>
      <c r="G696" s="41">
        <f t="shared" si="8229"/>
        <v>28957</v>
      </c>
      <c r="H696" s="41">
        <f t="shared" si="8229"/>
        <v>30814</v>
      </c>
      <c r="I696" s="41">
        <f t="shared" si="8229"/>
        <v>30840</v>
      </c>
      <c r="J696" s="41">
        <f t="shared" si="8229"/>
        <v>29718</v>
      </c>
      <c r="K696" s="41">
        <f t="shared" si="8229"/>
        <v>32898</v>
      </c>
      <c r="L696" s="41">
        <f t="shared" si="8229"/>
        <v>21080</v>
      </c>
      <c r="M696" s="41">
        <f t="shared" si="8229"/>
        <v>26374</v>
      </c>
      <c r="N696" s="41">
        <f t="shared" si="8229"/>
        <v>25488</v>
      </c>
      <c r="O696" s="41">
        <f t="shared" si="8229"/>
        <v>34431</v>
      </c>
      <c r="P696" s="41">
        <f t="shared" si="8229"/>
        <v>47131</v>
      </c>
      <c r="Q696" s="41">
        <f t="shared" si="8229"/>
        <v>42625</v>
      </c>
      <c r="R696" s="41">
        <f t="shared" si="8229"/>
        <v>90088</v>
      </c>
      <c r="S696" s="41">
        <f t="shared" si="8229"/>
        <v>66374</v>
      </c>
      <c r="T696" s="41">
        <f t="shared" si="8229"/>
        <v>77375</v>
      </c>
      <c r="U696" s="41">
        <f t="shared" si="8229"/>
        <v>94762</v>
      </c>
      <c r="V696" s="41">
        <f t="shared" si="8229"/>
        <v>93406</v>
      </c>
      <c r="W696" s="41">
        <f t="shared" si="8229"/>
        <v>99321</v>
      </c>
      <c r="X696" s="41">
        <f t="shared" si="8229"/>
        <v>103518</v>
      </c>
      <c r="Y696" s="41">
        <f t="shared" si="8229"/>
        <v>104098</v>
      </c>
      <c r="Z696" s="41">
        <f t="shared" si="8229"/>
        <v>98235</v>
      </c>
      <c r="AA696" s="41">
        <f t="shared" ref="AA696:AW696" si="8230">Z696*AA239/Z239</f>
        <v>105251.93708383069</v>
      </c>
      <c r="AB696" s="41">
        <f t="shared" si="8230"/>
        <v>111680.45028979045</v>
      </c>
      <c r="AC696" s="41">
        <f t="shared" si="8230"/>
        <v>116822.09530906187</v>
      </c>
      <c r="AD696" s="41">
        <f t="shared" si="8230"/>
        <v>124007.50669646067</v>
      </c>
      <c r="AE696" s="41">
        <f t="shared" si="8230"/>
        <v>129223.49939057713</v>
      </c>
      <c r="AF696" s="41">
        <f t="shared" si="8230"/>
        <v>129162.74974652323</v>
      </c>
      <c r="AG696" s="41">
        <f t="shared" si="8230"/>
        <v>128964.96020774309</v>
      </c>
      <c r="AH696" s="41">
        <f t="shared" si="8230"/>
        <v>131372.16485337898</v>
      </c>
      <c r="AI696" s="41">
        <f t="shared" si="8230"/>
        <v>132814.43910625172</v>
      </c>
      <c r="AJ696" s="41">
        <f t="shared" si="8230"/>
        <v>135130.16609020179</v>
      </c>
      <c r="AK696" s="41">
        <f t="shared" si="8230"/>
        <v>138541.15264514694</v>
      </c>
      <c r="AL696" s="41">
        <f t="shared" si="8230"/>
        <v>143314.06145283539</v>
      </c>
      <c r="AM696" s="41">
        <f t="shared" si="8230"/>
        <v>143897.54059223682</v>
      </c>
      <c r="AN696" s="41">
        <f t="shared" si="8230"/>
        <v>151282.68409424307</v>
      </c>
      <c r="AO696" s="41">
        <f t="shared" si="8230"/>
        <v>153482.91611536974</v>
      </c>
      <c r="AP696" s="41">
        <f t="shared" si="8230"/>
        <v>151436.85397581011</v>
      </c>
      <c r="AQ696" s="41">
        <f t="shared" si="8230"/>
        <v>153609.18354414459</v>
      </c>
      <c r="AR696" s="41">
        <f t="shared" si="8230"/>
        <v>158881.15774164791</v>
      </c>
      <c r="AS696" s="41">
        <f t="shared" si="8230"/>
        <v>162530.02153653666</v>
      </c>
      <c r="AT696" s="41">
        <f t="shared" si="8230"/>
        <v>171824.71707678374</v>
      </c>
      <c r="AU696" s="41">
        <f t="shared" si="8230"/>
        <v>172566.95764061672</v>
      </c>
      <c r="AV696" s="41">
        <f t="shared" si="8230"/>
        <v>179356.43675485026</v>
      </c>
      <c r="AW696" s="41">
        <f t="shared" si="8230"/>
        <v>182180.23561654185</v>
      </c>
      <c r="AX696" s="141">
        <f>1317969-1142128</f>
        <v>175841</v>
      </c>
      <c r="AY696" s="226">
        <f>1349175-1177153</f>
        <v>172022</v>
      </c>
      <c r="AZ696" s="41">
        <f t="shared" ref="AZ696" si="8231">AY696*AZ239/AY239</f>
        <v>174492.86065087013</v>
      </c>
      <c r="BA696" s="41">
        <f t="shared" ref="BA696" si="8232">AZ696*BA239/AZ239</f>
        <v>177345.11659477869</v>
      </c>
      <c r="BB696" s="41">
        <f t="shared" ref="BB696" si="8233">BA696*BB239/BA239</f>
        <v>179704.12064798133</v>
      </c>
      <c r="BC696" s="41">
        <f t="shared" ref="BC696" si="8234">BB696*BC239/BB239</f>
        <v>182506.06048422793</v>
      </c>
      <c r="BD696" s="41">
        <f t="shared" ref="BD696" si="8235">BC696*BD239/BC239</f>
        <v>185665.41096463645</v>
      </c>
      <c r="BE696" s="41">
        <f t="shared" ref="BE696" si="8236">BD696*BE239/BD239</f>
        <v>188846.04590454148</v>
      </c>
      <c r="BF696" s="41">
        <f t="shared" ref="BF696" si="8237">BE696*BF239/BE239</f>
        <v>191980.15802837658</v>
      </c>
      <c r="BG696" s="41">
        <f t="shared" ref="BG696:BK696" si="8238">BF696*BG239/BF239</f>
        <v>194985.96964414045</v>
      </c>
      <c r="BH696" s="41">
        <f t="shared" si="8238"/>
        <v>198319.15466520935</v>
      </c>
      <c r="BI696" s="41">
        <f t="shared" si="8238"/>
        <v>201934.02239647499</v>
      </c>
      <c r="BJ696" s="41">
        <f t="shared" si="8238"/>
        <v>205662.8440836652</v>
      </c>
      <c r="BK696" s="41">
        <f t="shared" si="8238"/>
        <v>209551.0490488811</v>
      </c>
      <c r="BL696" s="41">
        <f t="shared" ref="BL696" si="8239">BK696*BL239/BK239</f>
        <v>213446.24200939413</v>
      </c>
      <c r="BM696" s="41">
        <f t="shared" ref="BM696" si="8240">BL696*BM239/BL239</f>
        <v>217420.25404423117</v>
      </c>
      <c r="BN696" s="41">
        <f t="shared" ref="BN696" si="8241">BM696*BN239/BM239</f>
        <v>221597.03074040369</v>
      </c>
      <c r="BO696" s="41">
        <f t="shared" ref="BO696" si="8242">BN696*BO239/BN239</f>
        <v>225980.01202605205</v>
      </c>
      <c r="BP696" s="41">
        <f t="shared" ref="BP696" si="8243">BO696*BP239/BO239</f>
        <v>230552.19044469378</v>
      </c>
      <c r="BQ696" s="41">
        <f t="shared" ref="BQ696" si="8244">BP696*BQ239/BP239</f>
        <v>235321.42719697129</v>
      </c>
      <c r="BR696" s="41"/>
      <c r="BS696" s="41">
        <f t="shared" ref="BS696:CB696" si="8245">BS697-BS239</f>
        <v>20603.099999999991</v>
      </c>
      <c r="BT696" s="41">
        <f t="shared" si="8245"/>
        <v>19831.199999999997</v>
      </c>
      <c r="BU696" s="41">
        <f t="shared" si="8245"/>
        <v>20404</v>
      </c>
      <c r="BV696" s="41">
        <f t="shared" si="8245"/>
        <v>20916</v>
      </c>
      <c r="BW696" s="41">
        <f t="shared" si="8245"/>
        <v>21091</v>
      </c>
      <c r="BX696" s="41">
        <f t="shared" si="8245"/>
        <v>24411</v>
      </c>
      <c r="BY696" s="41">
        <f t="shared" si="8245"/>
        <v>33569</v>
      </c>
      <c r="BZ696" s="41">
        <f t="shared" si="8245"/>
        <v>31610</v>
      </c>
      <c r="CA696" s="41">
        <f t="shared" si="8245"/>
        <v>32473</v>
      </c>
      <c r="CB696" s="41">
        <f t="shared" si="8245"/>
        <v>34827</v>
      </c>
      <c r="CC696" s="41">
        <f>SUMPRODUCT(D696:E696,D$5:E$5)/SUM(D$5:E$5)</f>
        <v>32219.419178082193</v>
      </c>
      <c r="CD696" s="41">
        <f>SUMPRODUCT(F696:G696,F$5:G$5)/SUM(F$5:G$5)</f>
        <v>28582.978082191785</v>
      </c>
      <c r="CE696" s="41">
        <f>SUMPRODUCT(H696:I696,H$5:I$5)/SUM(H$5:I$5)</f>
        <v>30827</v>
      </c>
      <c r="CF696" s="41">
        <f>SUMPRODUCT(J696:K696,J$5:K$5)/SUM(J$5:K$5)</f>
        <v>31303.64383561644</v>
      </c>
      <c r="CG696" s="41">
        <f>SUMPRODUCT(L696:M696,L$5:M$5)/SUM(L$5:M$5)</f>
        <v>23719.747945205483</v>
      </c>
      <c r="CH696" s="41">
        <f>SUMPRODUCT(N696:O696,N$5:O$5)/SUM(N$5:O$5)</f>
        <v>29947.249315068493</v>
      </c>
      <c r="CI696" s="41">
        <f>SUMPRODUCT(P696:Q696,P$5:Q$5)/SUM(P$5:Q$5)</f>
        <v>44878</v>
      </c>
      <c r="CJ696" s="41">
        <f>SUMPRODUCT(R696:S696,R$5:S$5)/SUM(R$5:S$5)</f>
        <v>78263.484931506842</v>
      </c>
      <c r="CK696" s="41">
        <f>SUMPRODUCT(T696:U696,T$5:U$5)/SUM(T$5:U$5)</f>
        <v>86044.682191780827</v>
      </c>
      <c r="CL696" s="41">
        <f>SUMPRODUCT(V696:W696,V$5:W$5)/SUM(V$5:W$5)</f>
        <v>96355.397260273981</v>
      </c>
      <c r="CM696" s="41">
        <f>SUMPRODUCT(X696:Y696,X$5:Y$5)/SUM(X$5:Y$5)</f>
        <v>103808</v>
      </c>
      <c r="CN696" s="41">
        <f>SUMPRODUCT(Z696:AA696,Z$5:AA$5)/SUM(Z$5:AA$5)</f>
        <v>101733.85629933476</v>
      </c>
      <c r="CO696" s="41">
        <f>SUMPRODUCT(AB696:AC696,AB$5:AC$5)/SUM(AB$5:AC$5)</f>
        <v>114244.22945008469</v>
      </c>
      <c r="CP696" s="41">
        <f>SUMPRODUCT(AD696:AE696,AD$5:AE$5)/SUM(AD$5:AE$5)</f>
        <v>126608.35784804751</v>
      </c>
      <c r="CQ696" s="41">
        <f>SUMPRODUCT(AF696:AG696,AF$5:AG$5)/SUM(AF$5:AG$5)</f>
        <v>129063.85497713316</v>
      </c>
      <c r="CR696" s="41">
        <f>SUMPRODUCT(AH696:AI696,AG$5:AH$5)/SUM(AG$5:AH$5)</f>
        <v>132094.29119398058</v>
      </c>
      <c r="CS696" s="41">
        <f>SUMPRODUCT(AJ696:AK696,AJ$5:AK$5)/SUM(AJ$5:AK$5)</f>
        <v>136830.98678335251</v>
      </c>
      <c r="CT696" s="41">
        <f>SUMPRODUCT(AL696:AM696,AL$5:AM$5)/SUM(AL$5:AM$5)</f>
        <v>143605.00173604378</v>
      </c>
      <c r="CU696" s="41">
        <f>SUMPRODUCT(AN696:AO696,AN$5:AO$5)/SUM(AN$5:AO$5)</f>
        <v>152382.8001048064</v>
      </c>
      <c r="CV696" s="41">
        <f>SUMPRODUCT(AP696:AQ696,AP$5:AQ$5)/SUM(AP$5:AQ$5)</f>
        <v>152520.04296604812</v>
      </c>
      <c r="CW696" s="41">
        <f>SUMPRODUCT(AR696:AS696,AR$5:AS$5)/SUM(AR$5:AS$5)</f>
        <v>160700.59119553765</v>
      </c>
      <c r="CX696" s="41">
        <f>SUMPRODUCT(AT696:AU696,AT$5:AU$5)/SUM(AT$5:AU$5)</f>
        <v>172194.82059080459</v>
      </c>
      <c r="CY696" s="41">
        <f>SUMPRODUCT(AV696:AW696,AV$5:AW$5)/SUM(AV$5:AW$5)</f>
        <v>180768.33618569607</v>
      </c>
      <c r="CZ696" s="226">
        <f>(1261317+72298)-1159688</f>
        <v>173927</v>
      </c>
      <c r="DA696" s="41">
        <f>SUMPRODUCT(AZ696:BA696,AZ$5:BA$5)/SUM(AZ$5:BA$5)</f>
        <v>175915.08142290128</v>
      </c>
      <c r="DB696" s="41">
        <f>SUMPRODUCT(BB696:BC696,BB$5:BC$5)/SUM(BB$5:BC$5)</f>
        <v>181101.25229235634</v>
      </c>
      <c r="DC696" s="41">
        <f>SUMPRODUCT(BD696:BE696,BD$5:BE$5)/SUM(BD$5:BE$5)</f>
        <v>187255.72843458896</v>
      </c>
      <c r="DD696" s="41">
        <f>SUMPRODUCT(BF696:BG696,BF$5:BG$5)/SUM(BF$5:BG$5)</f>
        <v>193478.94628609993</v>
      </c>
      <c r="DE696" s="41">
        <f>SUMPRODUCT(BH696:BI696,BH$5:BI$5)/SUM(BH$5:BI$5)</f>
        <v>200121.63665723772</v>
      </c>
      <c r="DF696" s="41">
        <f>SUMPRODUCT(BJ696:BK696,BJ$5:BK$5)/SUM(BJ$5:BK$5)</f>
        <v>207601.62025810164</v>
      </c>
      <c r="DG696" s="41">
        <f>SUMPRODUCT(BL696:BM696,BL$5:BM$5)/SUM(BL$5:BM$5)</f>
        <v>215433.24802681265</v>
      </c>
      <c r="DH696" s="41">
        <f>SUMPRODUCT(BN696:BO696,BN$5:BO$5)/SUM(BN$5:BO$5)</f>
        <v>223782.51729927494</v>
      </c>
      <c r="DI696" s="41">
        <f>SUMPRODUCT(BP696:BQ696,BP$5:BQ$5)/SUM(BP$5:BQ$5)</f>
        <v>232930.27561980204</v>
      </c>
    </row>
    <row r="697" spans="1:113" ht="12" outlineLevel="1">
      <c r="A697" s="1" t="s">
        <v>1055</v>
      </c>
      <c r="B697" s="15" t="s">
        <v>496</v>
      </c>
      <c r="C697" s="40">
        <v>175952</v>
      </c>
      <c r="D697" s="40">
        <v>178322</v>
      </c>
      <c r="E697" s="40">
        <v>177933</v>
      </c>
      <c r="F697" s="40">
        <v>187363</v>
      </c>
      <c r="G697" s="40">
        <v>194098</v>
      </c>
      <c r="H697" s="40">
        <v>229900</v>
      </c>
      <c r="I697" s="40">
        <v>256060</v>
      </c>
      <c r="J697" s="40">
        <v>274624</v>
      </c>
      <c r="K697" s="40">
        <v>294312</v>
      </c>
      <c r="L697" s="40">
        <v>315444</v>
      </c>
      <c r="M697" s="40">
        <v>332336</v>
      </c>
      <c r="N697" s="40">
        <v>349155</v>
      </c>
      <c r="O697" s="40">
        <v>377436</v>
      </c>
      <c r="P697" s="40">
        <v>425945</v>
      </c>
      <c r="Q697" s="40">
        <v>445361</v>
      </c>
      <c r="R697" s="40">
        <v>525191</v>
      </c>
      <c r="S697" s="40">
        <v>486241</v>
      </c>
      <c r="T697" s="40">
        <v>506011</v>
      </c>
      <c r="U697" s="40">
        <v>544623</v>
      </c>
      <c r="V697" s="40">
        <v>551435</v>
      </c>
      <c r="W697" s="40">
        <v>576135</v>
      </c>
      <c r="X697" s="40">
        <v>612280</v>
      </c>
      <c r="Y697" s="40">
        <v>642259</v>
      </c>
      <c r="Z697" s="141">
        <v>654499</v>
      </c>
      <c r="AA697" s="141">
        <v>695993</v>
      </c>
      <c r="AB697" s="141">
        <v>734543</v>
      </c>
      <c r="AC697" s="141">
        <v>764048</v>
      </c>
      <c r="AD697" s="141">
        <v>830353</v>
      </c>
      <c r="AE697" s="141">
        <v>871605</v>
      </c>
      <c r="AF697" s="141">
        <v>900748</v>
      </c>
      <c r="AG697" s="141">
        <v>915070</v>
      </c>
      <c r="AH697" s="141">
        <v>917894</v>
      </c>
      <c r="AI697" s="141">
        <v>920269</v>
      </c>
      <c r="AJ697" s="141">
        <v>891732</v>
      </c>
      <c r="AK697" s="141">
        <v>911318</v>
      </c>
      <c r="AL697" s="141">
        <v>931627</v>
      </c>
      <c r="AM697" s="141">
        <v>978818</v>
      </c>
      <c r="AN697" s="141">
        <v>1021973</v>
      </c>
      <c r="AO697" s="141">
        <v>1081954</v>
      </c>
      <c r="AP697" s="141">
        <v>1045568</v>
      </c>
      <c r="AQ697" s="141">
        <v>1026783</v>
      </c>
      <c r="AR697" s="141">
        <v>1009776</v>
      </c>
      <c r="AS697" s="141">
        <v>1062020</v>
      </c>
      <c r="AT697" s="141">
        <v>1112316</v>
      </c>
      <c r="AU697" s="141">
        <v>1115330</v>
      </c>
      <c r="AV697" s="141">
        <v>1162996</v>
      </c>
      <c r="AW697" s="141">
        <v>1181723</v>
      </c>
      <c r="AX697" s="141">
        <v>1317969</v>
      </c>
      <c r="AY697" s="226">
        <v>1349175</v>
      </c>
      <c r="AZ697" s="41">
        <f>AZ696+AZ239</f>
        <v>1368554.0527876532</v>
      </c>
      <c r="BA697" s="41">
        <f t="shared" ref="BA697" si="8246">BA696+BA239</f>
        <v>1390924.4031679698</v>
      </c>
      <c r="BB697" s="41">
        <f t="shared" ref="BB697:BC697" si="8247">BB696+BB239</f>
        <v>1409426.16046343</v>
      </c>
      <c r="BC697" s="41">
        <f t="shared" si="8247"/>
        <v>1431401.8797235712</v>
      </c>
      <c r="BD697" s="41">
        <f t="shared" ref="BD697:BE697" si="8248">BD696+BD239</f>
        <v>1456180.7840753701</v>
      </c>
      <c r="BE697" s="41">
        <f t="shared" si="8248"/>
        <v>1481126.6232415603</v>
      </c>
      <c r="BF697" s="41">
        <f t="shared" ref="BF697:BG697" si="8249">BF696+BF239</f>
        <v>1505707.5822158498</v>
      </c>
      <c r="BG697" s="41">
        <f t="shared" si="8249"/>
        <v>1529282.2754916996</v>
      </c>
      <c r="BH697" s="41">
        <f t="shared" ref="BH697:BI697" si="8250">BH696+BH239</f>
        <v>1555424.5706679018</v>
      </c>
      <c r="BI697" s="41">
        <f t="shared" si="8250"/>
        <v>1583776.1139084776</v>
      </c>
      <c r="BJ697" s="41">
        <f t="shared" ref="BJ697:BK697" si="8251">BJ696+BJ239</f>
        <v>1613021.4023007462</v>
      </c>
      <c r="BK697" s="41">
        <f t="shared" si="8251"/>
        <v>1643516.7397223851</v>
      </c>
      <c r="BL697" s="41">
        <f t="shared" ref="BL697:BM697" si="8252">BL696+BL239</f>
        <v>1674066.884253318</v>
      </c>
      <c r="BM697" s="41">
        <f t="shared" si="8252"/>
        <v>1705235.2097413442</v>
      </c>
      <c r="BN697" s="41">
        <f t="shared" ref="BN697:BO697" si="8253">BN696+BN239</f>
        <v>1737993.8260756419</v>
      </c>
      <c r="BO697" s="41">
        <f t="shared" si="8253"/>
        <v>1772369.7127416765</v>
      </c>
      <c r="BP697" s="41">
        <f t="shared" ref="BP697:BQ697" si="8254">BP696+BP239</f>
        <v>1808229.4796201629</v>
      </c>
      <c r="BQ697" s="41">
        <f t="shared" si="8254"/>
        <v>1845634.7824026791</v>
      </c>
      <c r="BR697" s="41"/>
      <c r="BS697" s="40">
        <v>102214.9</v>
      </c>
      <c r="BT697" s="40">
        <v>102426.2</v>
      </c>
      <c r="BU697" s="40">
        <v>103861</v>
      </c>
      <c r="BV697" s="40">
        <v>111828</v>
      </c>
      <c r="BW697" s="40">
        <v>120822</v>
      </c>
      <c r="BX697" s="40">
        <v>137653</v>
      </c>
      <c r="BY697" s="40">
        <v>153297</v>
      </c>
      <c r="BZ697" s="40">
        <v>151801</v>
      </c>
      <c r="CA697" s="40">
        <v>165631</v>
      </c>
      <c r="CB697" s="40">
        <v>174128</v>
      </c>
      <c r="CC697" s="41">
        <f>SUMPRODUCT(D697:E697,D$5:E$5)/SUM(D$5:E$5)</f>
        <v>178128.03287671236</v>
      </c>
      <c r="CD697" s="41">
        <f>SUMPRODUCT(F697:G697,F$5:G$5)/SUM(F$5:G$5)</f>
        <v>190721.27397260276</v>
      </c>
      <c r="CE697" s="41">
        <f>SUMPRODUCT(H697:I697,H$5:I$5)/SUM(H$5:I$5)</f>
        <v>242980</v>
      </c>
      <c r="CF697" s="41">
        <f>SUMPRODUCT(J697:K697,J$5:K$5)/SUM(J$5:K$5)</f>
        <v>284441.03013698634</v>
      </c>
      <c r="CG697" s="141">
        <v>323913</v>
      </c>
      <c r="CH697" s="141">
        <v>363333</v>
      </c>
      <c r="CI697" s="141">
        <v>435652</v>
      </c>
      <c r="CJ697" s="141">
        <v>505663</v>
      </c>
      <c r="CK697" s="141">
        <v>525334</v>
      </c>
      <c r="CL697" s="141">
        <v>572303</v>
      </c>
      <c r="CM697" s="141">
        <v>627270</v>
      </c>
      <c r="CN697" s="141">
        <v>675266</v>
      </c>
      <c r="CO697" s="141">
        <v>749334</v>
      </c>
      <c r="CP697" s="141">
        <v>851036</v>
      </c>
      <c r="CQ697" s="141">
        <v>907909</v>
      </c>
      <c r="CR697" s="141">
        <v>919084</v>
      </c>
      <c r="CS697" s="141">
        <v>901811</v>
      </c>
      <c r="CT697" s="141">
        <v>955037</v>
      </c>
      <c r="CU697" s="141">
        <v>1051963</v>
      </c>
      <c r="CV697" s="141">
        <v>1036149</v>
      </c>
      <c r="CW697" s="141">
        <v>1035969</v>
      </c>
      <c r="CX697" s="141">
        <v>1113828</v>
      </c>
      <c r="CY697" s="141">
        <v>1172359</v>
      </c>
      <c r="CZ697" s="226">
        <v>1333615</v>
      </c>
      <c r="DA697" s="41">
        <f>SUMPRODUCT(AZ697:BA697,AZ$5:BA$5)/SUM(AZ$5:BA$5)</f>
        <v>1379708.5836622221</v>
      </c>
      <c r="DB697" s="41">
        <f>SUMPRODUCT(BB697:BC697,BB$5:BC$5)/SUM(BB$5:BC$5)</f>
        <v>1420383.9163684868</v>
      </c>
      <c r="DC697" s="41">
        <f>SUMPRODUCT(BD697:BE697,BD$5:BE$5)/SUM(BD$5:BE$5)</f>
        <v>1468653.7036584653</v>
      </c>
      <c r="DD697" s="41">
        <f>SUMPRODUCT(BF697:BG697,BF$5:BG$5)/SUM(BF$5:BG$5)</f>
        <v>1517462.634753397</v>
      </c>
      <c r="DE697" s="41">
        <f>SUMPRODUCT(BH697:BI697,BH$5:BI$5)/SUM(BH$5:BI$5)</f>
        <v>1569561.5045577234</v>
      </c>
      <c r="DF697" s="41">
        <f>SUMPRODUCT(BJ697:BK697,BJ$5:BK$5)/SUM(BJ$5:BK$5)</f>
        <v>1628227.2965767416</v>
      </c>
      <c r="DG697" s="41">
        <f>SUMPRODUCT(BL697:BM697,BL$5:BM$5)/SUM(BL$5:BM$5)</f>
        <v>1689651.0469973311</v>
      </c>
      <c r="DH697" s="41">
        <f>SUMPRODUCT(BN697:BO697,BN$5:BO$5)/SUM(BN$5:BO$5)</f>
        <v>1755134.6791529525</v>
      </c>
      <c r="DI697" s="41">
        <f>SUMPRODUCT(BP697:BQ697,BP$5:BQ$5)/SUM(BP$5:BQ$5)</f>
        <v>1826880.8908706233</v>
      </c>
    </row>
    <row r="698" spans="1:113" ht="12" outlineLevel="1">
      <c r="A698" s="1" t="s">
        <v>944</v>
      </c>
      <c r="B698" s="15" t="s">
        <v>267</v>
      </c>
      <c r="C698" s="41">
        <f t="shared" ref="C698:L698" si="8255">C697-AVERAGE(B661:C661)</f>
        <v>175815</v>
      </c>
      <c r="D698" s="41">
        <f t="shared" si="8255"/>
        <v>178159.5</v>
      </c>
      <c r="E698" s="41">
        <f t="shared" si="8255"/>
        <v>177749</v>
      </c>
      <c r="F698" s="41">
        <f t="shared" si="8255"/>
        <v>187187.5</v>
      </c>
      <c r="G698" s="41">
        <f t="shared" si="8255"/>
        <v>193932.5</v>
      </c>
      <c r="H698" s="41">
        <f t="shared" si="8255"/>
        <v>228219</v>
      </c>
      <c r="I698" s="41">
        <f t="shared" si="8255"/>
        <v>252824.5</v>
      </c>
      <c r="J698" s="41">
        <f t="shared" si="8255"/>
        <v>271386</v>
      </c>
      <c r="K698" s="41">
        <f t="shared" si="8255"/>
        <v>291174.5</v>
      </c>
      <c r="L698" s="41">
        <f t="shared" si="8255"/>
        <v>312469</v>
      </c>
      <c r="M698" s="41">
        <f t="shared" ref="M698:AY698" si="8256">M697-AVERAGE(L661:M661)</f>
        <v>329425</v>
      </c>
      <c r="N698" s="41">
        <f t="shared" si="8256"/>
        <v>346200.5</v>
      </c>
      <c r="O698" s="41">
        <f t="shared" si="8256"/>
        <v>374344</v>
      </c>
      <c r="P698" s="41">
        <f t="shared" si="8256"/>
        <v>422734</v>
      </c>
      <c r="Q698" s="41">
        <f t="shared" si="8256"/>
        <v>442199.5</v>
      </c>
      <c r="R698" s="41">
        <f t="shared" si="8256"/>
        <v>522086.5</v>
      </c>
      <c r="S698" s="41">
        <f t="shared" si="8256"/>
        <v>483171</v>
      </c>
      <c r="T698" s="41">
        <f t="shared" si="8256"/>
        <v>501840</v>
      </c>
      <c r="U698" s="41">
        <f t="shared" si="8256"/>
        <v>539269</v>
      </c>
      <c r="V698" s="41">
        <f t="shared" si="8256"/>
        <v>546087</v>
      </c>
      <c r="W698" s="41">
        <f t="shared" si="8256"/>
        <v>570797.5</v>
      </c>
      <c r="X698" s="41">
        <f t="shared" si="8256"/>
        <v>606920.5</v>
      </c>
      <c r="Y698" s="41">
        <f t="shared" si="8256"/>
        <v>636935.5</v>
      </c>
      <c r="Z698" s="41">
        <f t="shared" si="8256"/>
        <v>649196.5</v>
      </c>
      <c r="AA698" s="41">
        <f t="shared" si="8256"/>
        <v>690590.5</v>
      </c>
      <c r="AB698" s="41">
        <f t="shared" si="8256"/>
        <v>728964.5</v>
      </c>
      <c r="AC698" s="41">
        <f t="shared" si="8256"/>
        <v>758521</v>
      </c>
      <c r="AD698" s="41">
        <f t="shared" si="8256"/>
        <v>824797</v>
      </c>
      <c r="AE698" s="41">
        <f t="shared" si="8256"/>
        <v>866048</v>
      </c>
      <c r="AF698" s="41">
        <f t="shared" si="8256"/>
        <v>895370.5</v>
      </c>
      <c r="AG698" s="41">
        <f t="shared" si="8256"/>
        <v>909667</v>
      </c>
      <c r="AH698" s="41">
        <f t="shared" si="8256"/>
        <v>912591</v>
      </c>
      <c r="AI698" s="41">
        <f t="shared" si="8256"/>
        <v>915144</v>
      </c>
      <c r="AJ698" s="41">
        <f t="shared" si="8256"/>
        <v>887393.5</v>
      </c>
      <c r="AK698" s="41">
        <f t="shared" si="8256"/>
        <v>907782</v>
      </c>
      <c r="AL698" s="41">
        <f t="shared" si="8256"/>
        <v>928048</v>
      </c>
      <c r="AM698" s="41">
        <f t="shared" si="8256"/>
        <v>975224.5</v>
      </c>
      <c r="AN698" s="41">
        <f t="shared" si="8256"/>
        <v>1018357</v>
      </c>
      <c r="AO698" s="41">
        <f t="shared" si="8256"/>
        <v>1078437</v>
      </c>
      <c r="AP698" s="41">
        <f t="shared" si="8256"/>
        <v>1042366.5</v>
      </c>
      <c r="AQ698" s="41">
        <f t="shared" si="8256"/>
        <v>1023669.5</v>
      </c>
      <c r="AR698" s="41">
        <f t="shared" si="8256"/>
        <v>1006622</v>
      </c>
      <c r="AS698" s="41">
        <f t="shared" si="8256"/>
        <v>1058957.5</v>
      </c>
      <c r="AT698" s="41">
        <f t="shared" si="8256"/>
        <v>1109245.5</v>
      </c>
      <c r="AU698" s="41">
        <f t="shared" si="8256"/>
        <v>1112180.5</v>
      </c>
      <c r="AV698" s="41">
        <f t="shared" si="8256"/>
        <v>1159880</v>
      </c>
      <c r="AW698" s="41">
        <f t="shared" si="8256"/>
        <v>1177931</v>
      </c>
      <c r="AX698" s="41">
        <f t="shared" si="8256"/>
        <v>1313291.5</v>
      </c>
      <c r="AY698" s="211">
        <f t="shared" si="8256"/>
        <v>1344359.5</v>
      </c>
      <c r="AZ698" s="41">
        <f t="shared" ref="AZ698" si="8257">AZ697-AVERAGE(AY661:AZ661)</f>
        <v>1363787.0527876532</v>
      </c>
      <c r="BA698" s="41">
        <f t="shared" ref="BA698" si="8258">BA697-AVERAGE(AZ661:BA661)</f>
        <v>1386157.4031679698</v>
      </c>
      <c r="BB698" s="41">
        <f t="shared" ref="BB698" si="8259">BB697-AVERAGE(BA661:BB661)</f>
        <v>1404659.16046343</v>
      </c>
      <c r="BC698" s="41">
        <f t="shared" ref="BC698" si="8260">BC697-AVERAGE(BB661:BC661)</f>
        <v>1426634.8797235712</v>
      </c>
      <c r="BD698" s="41">
        <f t="shared" ref="BD698" si="8261">BD697-AVERAGE(BC661:BD661)</f>
        <v>1451413.7840753701</v>
      </c>
      <c r="BE698" s="41">
        <f t="shared" ref="BE698" si="8262">BE697-AVERAGE(BD661:BE661)</f>
        <v>1476359.6232415603</v>
      </c>
      <c r="BF698" s="41">
        <f t="shared" ref="BF698" si="8263">BF697-AVERAGE(BE661:BF661)</f>
        <v>1500940.5822158498</v>
      </c>
      <c r="BG698" s="41">
        <f t="shared" ref="BG698:BK698" si="8264">BG697-AVERAGE(BF661:BG661)</f>
        <v>1524515.2754916996</v>
      </c>
      <c r="BH698" s="41">
        <f t="shared" si="8264"/>
        <v>1550657.5706679018</v>
      </c>
      <c r="BI698" s="41">
        <f t="shared" si="8264"/>
        <v>1579009.1139084776</v>
      </c>
      <c r="BJ698" s="41">
        <f t="shared" si="8264"/>
        <v>1608254.4023007462</v>
      </c>
      <c r="BK698" s="41">
        <f t="shared" si="8264"/>
        <v>1638749.7397223851</v>
      </c>
      <c r="BL698" s="41">
        <f t="shared" ref="BL698" si="8265">BL697-AVERAGE(BK661:BL661)</f>
        <v>1669299.884253318</v>
      </c>
      <c r="BM698" s="41">
        <f t="shared" ref="BM698" si="8266">BM697-AVERAGE(BL661:BM661)</f>
        <v>1700468.2097413442</v>
      </c>
      <c r="BN698" s="41">
        <f t="shared" ref="BN698" si="8267">BN697-AVERAGE(BM661:BN661)</f>
        <v>1733226.8260756419</v>
      </c>
      <c r="BO698" s="41">
        <f t="shared" ref="BO698" si="8268">BO697-AVERAGE(BN661:BO661)</f>
        <v>1767602.7127416765</v>
      </c>
      <c r="BP698" s="41">
        <f t="shared" ref="BP698" si="8269">BP697-AVERAGE(BO661:BP661)</f>
        <v>1803462.4796201629</v>
      </c>
      <c r="BQ698" s="41">
        <f t="shared" ref="BQ698" si="8270">BQ697-AVERAGE(BP661:BQ661)</f>
        <v>1840867.7824026791</v>
      </c>
      <c r="BR698" s="41"/>
      <c r="BS698" s="41">
        <f t="shared" ref="BS698:CB698" si="8271">BS697-AVERAGE(BR661:BS661)</f>
        <v>101886.50040782754</v>
      </c>
      <c r="BT698" s="41">
        <f t="shared" si="8271"/>
        <v>102278.96039990484</v>
      </c>
      <c r="BU698" s="41">
        <f t="shared" si="8271"/>
        <v>103892.19749167915</v>
      </c>
      <c r="BV698" s="41">
        <f t="shared" si="8271"/>
        <v>111863.67618071417</v>
      </c>
      <c r="BW698" s="41">
        <f t="shared" si="8271"/>
        <v>120856.98566314815</v>
      </c>
      <c r="BX698" s="41">
        <f t="shared" si="8271"/>
        <v>137684.78880646435</v>
      </c>
      <c r="BY698" s="41">
        <f t="shared" si="8271"/>
        <v>153334.02731079765</v>
      </c>
      <c r="BZ698" s="41">
        <f t="shared" si="8271"/>
        <v>151765.28528245536</v>
      </c>
      <c r="CA698" s="41">
        <f t="shared" si="8271"/>
        <v>165504</v>
      </c>
      <c r="CB698" s="41">
        <f t="shared" si="8271"/>
        <v>172585.5</v>
      </c>
      <c r="CC698" s="41">
        <f t="shared" ref="CC698:CS698" si="8272">CC697-AVERAGE(CB661:CC661)</f>
        <v>176568.03287671236</v>
      </c>
      <c r="CD698" s="41">
        <f t="shared" si="8272"/>
        <v>190551.27397260276</v>
      </c>
      <c r="CE698" s="41">
        <f t="shared" si="8272"/>
        <v>241265.5</v>
      </c>
      <c r="CF698" s="41">
        <f t="shared" si="8272"/>
        <v>281272.53013698634</v>
      </c>
      <c r="CG698" s="41">
        <f t="shared" si="8272"/>
        <v>320909</v>
      </c>
      <c r="CH698" s="41">
        <f t="shared" si="8272"/>
        <v>360255.5</v>
      </c>
      <c r="CI698" s="41">
        <f t="shared" si="8272"/>
        <v>432486.5</v>
      </c>
      <c r="CJ698" s="41">
        <f t="shared" si="8272"/>
        <v>502581.5</v>
      </c>
      <c r="CK698" s="41">
        <f t="shared" si="8272"/>
        <v>521104</v>
      </c>
      <c r="CL698" s="41">
        <f t="shared" si="8272"/>
        <v>566900.5</v>
      </c>
      <c r="CM698" s="41">
        <f t="shared" si="8272"/>
        <v>621914</v>
      </c>
      <c r="CN698" s="41">
        <f t="shared" si="8272"/>
        <v>669846</v>
      </c>
      <c r="CO698" s="41">
        <f t="shared" si="8272"/>
        <v>743865.5</v>
      </c>
      <c r="CP698" s="41">
        <f t="shared" si="8272"/>
        <v>845618</v>
      </c>
      <c r="CQ698" s="41">
        <f t="shared" si="8272"/>
        <v>902464.5</v>
      </c>
      <c r="CR698" s="41">
        <f t="shared" si="8272"/>
        <v>913792</v>
      </c>
      <c r="CS698" s="41">
        <f t="shared" si="8272"/>
        <v>897499.5</v>
      </c>
      <c r="CT698" s="41">
        <f t="shared" ref="CT698:CY698" si="8273">CT697-AVERAGE(CT661:CT661)</f>
        <v>951499</v>
      </c>
      <c r="CU698" s="41">
        <f t="shared" si="8273"/>
        <v>1048623</v>
      </c>
      <c r="CV698" s="41">
        <f t="shared" si="8273"/>
        <v>1032985</v>
      </c>
      <c r="CW698" s="41">
        <f t="shared" si="8273"/>
        <v>1032988</v>
      </c>
      <c r="CX698" s="41">
        <f t="shared" si="8273"/>
        <v>1110689</v>
      </c>
      <c r="CY698" s="41">
        <f t="shared" si="8273"/>
        <v>1167868</v>
      </c>
      <c r="CZ698" s="211">
        <f t="shared" ref="CZ698" si="8274">CZ697-AVERAGE(CZ661:CZ661)</f>
        <v>1328848</v>
      </c>
      <c r="DA698" s="41">
        <f t="shared" ref="DA698:DF698" si="8275">DA697-AVERAGE(DA661:DA661)</f>
        <v>1374941.5836622221</v>
      </c>
      <c r="DB698" s="41">
        <f t="shared" si="8275"/>
        <v>1415616.9163684868</v>
      </c>
      <c r="DC698" s="41">
        <f t="shared" si="8275"/>
        <v>1463886.7036584653</v>
      </c>
      <c r="DD698" s="41">
        <f t="shared" si="8275"/>
        <v>1512695.634753397</v>
      </c>
      <c r="DE698" s="41">
        <f t="shared" si="8275"/>
        <v>1564794.5045577234</v>
      </c>
      <c r="DF698" s="41">
        <f t="shared" si="8275"/>
        <v>1623460.2965767416</v>
      </c>
      <c r="DG698" s="41">
        <f t="shared" ref="DG698" si="8276">DG697-AVERAGE(DG661:DG661)</f>
        <v>1684884.0469973311</v>
      </c>
      <c r="DH698" s="41">
        <f>DH697-AVERAGE(DH661:DH661)</f>
        <v>1750367.6791529525</v>
      </c>
      <c r="DI698" s="41">
        <f>DI697-AVERAGE(DI661:DI661)</f>
        <v>1822113.8908706233</v>
      </c>
    </row>
    <row r="699" spans="1:113" ht="12" outlineLevel="1">
      <c r="A699" s="1" t="s">
        <v>945</v>
      </c>
      <c r="B699" s="15" t="s">
        <v>268</v>
      </c>
      <c r="C699" s="41">
        <f t="shared" ref="C699:L699" si="8277">C700-(C259+C260)</f>
        <v>-113631</v>
      </c>
      <c r="D699" s="41">
        <f t="shared" si="8277"/>
        <v>-111716</v>
      </c>
      <c r="E699" s="41">
        <f t="shared" si="8277"/>
        <v>-112594</v>
      </c>
      <c r="F699" s="41">
        <f t="shared" si="8277"/>
        <v>-103984</v>
      </c>
      <c r="G699" s="41">
        <f t="shared" si="8277"/>
        <v>-97623</v>
      </c>
      <c r="H699" s="41">
        <f t="shared" si="8277"/>
        <v>-64897</v>
      </c>
      <c r="I699" s="41">
        <f t="shared" si="8277"/>
        <v>-40322</v>
      </c>
      <c r="J699" s="41">
        <f t="shared" si="8277"/>
        <v>26390</v>
      </c>
      <c r="K699" s="41">
        <f t="shared" si="8277"/>
        <v>29574</v>
      </c>
      <c r="L699" s="41">
        <f t="shared" si="8277"/>
        <v>17949</v>
      </c>
      <c r="M699" s="41">
        <f t="shared" ref="M699:AB699" si="8278">M700-(M259+M260)</f>
        <v>22292</v>
      </c>
      <c r="N699" s="41">
        <f t="shared" si="8278"/>
        <v>22503</v>
      </c>
      <c r="O699" s="41">
        <f t="shared" si="8278"/>
        <v>27407</v>
      </c>
      <c r="P699" s="41">
        <f t="shared" si="8278"/>
        <v>37495</v>
      </c>
      <c r="Q699" s="41">
        <f t="shared" si="8278"/>
        <v>34711</v>
      </c>
      <c r="R699" s="41">
        <f t="shared" si="8278"/>
        <v>86453</v>
      </c>
      <c r="S699" s="41">
        <f t="shared" si="8278"/>
        <v>55937</v>
      </c>
      <c r="T699" s="41">
        <f t="shared" si="8278"/>
        <v>64521</v>
      </c>
      <c r="U699" s="41">
        <f t="shared" si="8278"/>
        <v>80133</v>
      </c>
      <c r="V699" s="41">
        <f t="shared" si="8278"/>
        <v>77159</v>
      </c>
      <c r="W699" s="41">
        <f t="shared" si="8278"/>
        <v>81103</v>
      </c>
      <c r="X699" s="41">
        <f t="shared" si="8278"/>
        <v>90968</v>
      </c>
      <c r="Y699" s="41">
        <f t="shared" si="8278"/>
        <v>94549</v>
      </c>
      <c r="Z699" s="41">
        <f t="shared" si="8278"/>
        <v>89052</v>
      </c>
      <c r="AA699" s="41">
        <f t="shared" si="8278"/>
        <v>92429</v>
      </c>
      <c r="AB699" s="41">
        <f t="shared" si="8278"/>
        <v>95518</v>
      </c>
      <c r="AC699" s="41">
        <f t="shared" ref="AC699:AH699" si="8279">AC700-(AC259+AC260)</f>
        <v>96254</v>
      </c>
      <c r="AD699" s="41">
        <f t="shared" si="8279"/>
        <v>117157</v>
      </c>
      <c r="AE699" s="41">
        <f t="shared" si="8279"/>
        <v>136330</v>
      </c>
      <c r="AF699" s="41">
        <f t="shared" si="8279"/>
        <v>139148</v>
      </c>
      <c r="AG699" s="41">
        <f t="shared" si="8279"/>
        <v>149226</v>
      </c>
      <c r="AH699" s="41">
        <f t="shared" si="8279"/>
        <v>137191</v>
      </c>
      <c r="AI699" s="41">
        <f t="shared" ref="AI699:AJ699" si="8280">AI700-(AI259+AI260)</f>
        <v>133349.67587305733</v>
      </c>
      <c r="AJ699" s="41">
        <f t="shared" si="8280"/>
        <v>107934.28387549345</v>
      </c>
      <c r="AK699" s="41">
        <f t="shared" ref="AK699:AL699" si="8281">AK700-(AK259+AK260)</f>
        <v>112154.87718468253</v>
      </c>
      <c r="AL699" s="41">
        <f t="shared" si="8281"/>
        <v>114703.32605196477</v>
      </c>
      <c r="AM699" s="41">
        <f t="shared" ref="AM699:AN699" si="8282">AM700-(AM259+AM260)</f>
        <v>135847.39449356694</v>
      </c>
      <c r="AN699" s="41">
        <f t="shared" si="8282"/>
        <v>152301.1532078262</v>
      </c>
      <c r="AO699" s="41">
        <f t="shared" ref="AO699" si="8283">AO700-(AO259+AO260)</f>
        <v>185862.94161310326</v>
      </c>
      <c r="AP699" s="41">
        <f t="shared" ref="AP699:AQ699" si="8284">AP700-(AP259+AP260)</f>
        <v>173222.90380327799</v>
      </c>
      <c r="AQ699" s="41">
        <f t="shared" si="8284"/>
        <v>146251.57128019398</v>
      </c>
      <c r="AR699" s="41">
        <f t="shared" ref="AR699:AS699" si="8285">AR700-(AR259+AR260)</f>
        <v>115136.77124865411</v>
      </c>
      <c r="AS699" s="41">
        <f t="shared" si="8285"/>
        <v>136793.36438926775</v>
      </c>
      <c r="AT699" s="41">
        <f t="shared" ref="AT699:AU699" si="8286">AT700-(AT259+AT260)</f>
        <v>137120.12686112651</v>
      </c>
      <c r="AU699" s="41">
        <f t="shared" si="8286"/>
        <v>130749.75072596176</v>
      </c>
      <c r="AV699" s="41">
        <f t="shared" ref="AV699:AW699" si="8287">AV700-(AV259+AV260)</f>
        <v>126310.1081003187</v>
      </c>
      <c r="AW699" s="41">
        <f t="shared" si="8287"/>
        <v>135023.02798351226</v>
      </c>
      <c r="AX699" s="41">
        <f t="shared" ref="AX699:AY699" si="8288">AX700-(AX259+AX260)</f>
        <v>157671.84506835463</v>
      </c>
      <c r="AY699" s="211">
        <f t="shared" si="8288"/>
        <v>214471</v>
      </c>
      <c r="AZ699" s="41">
        <f>AZ700-(AZ259+AZ260)</f>
        <v>217598.63610002887</v>
      </c>
      <c r="BA699" s="41">
        <f t="shared" ref="BA699" si="8289">BA700-(BA259+BA260)</f>
        <v>220059.5569234062</v>
      </c>
      <c r="BB699" s="41">
        <f t="shared" ref="BB699:BC699" si="8290">BB700-(BB259+BB260)</f>
        <v>221804.45745161152</v>
      </c>
      <c r="BC699" s="41">
        <f t="shared" si="8290"/>
        <v>224264.88754786574</v>
      </c>
      <c r="BD699" s="41">
        <f t="shared" ref="BD699:BE699" si="8291">BD700-(BD259+BD260)</f>
        <v>227184.25777690066</v>
      </c>
      <c r="BE699" s="41">
        <f t="shared" si="8291"/>
        <v>230464.93782448955</v>
      </c>
      <c r="BF699" s="41">
        <f t="shared" ref="BF699:BG699" si="8292">BF700-(BF259+BF260)</f>
        <v>233363.38759106002</v>
      </c>
      <c r="BG699" s="41">
        <f t="shared" si="8292"/>
        <v>236451.44280733354</v>
      </c>
      <c r="BH699" s="41">
        <f t="shared" ref="BH699:BI699" si="8293">BH700-(BH259+BH260)</f>
        <v>240072.8269205601</v>
      </c>
      <c r="BI699" s="41">
        <f t="shared" si="8293"/>
        <v>243743.44840728515</v>
      </c>
      <c r="BJ699" s="41">
        <f t="shared" ref="BJ699:BK699" si="8294">BJ700-(BJ259+BJ260)</f>
        <v>247232.2472251812</v>
      </c>
      <c r="BK699" s="41">
        <f t="shared" si="8294"/>
        <v>251116.60317126848</v>
      </c>
      <c r="BL699" s="41">
        <f t="shared" ref="BL699:BM699" si="8295">BL700-(BL259+BL260)</f>
        <v>254814.89604653325</v>
      </c>
      <c r="BM699" s="41">
        <f t="shared" si="8295"/>
        <v>258777.73847445659</v>
      </c>
      <c r="BN699" s="41">
        <f t="shared" ref="BN699:BO699" si="8296">BN700-(BN259+BN260)</f>
        <v>262767.94557636767</v>
      </c>
      <c r="BO699" s="41">
        <f t="shared" si="8296"/>
        <v>267121.51534061227</v>
      </c>
      <c r="BP699" s="41">
        <f t="shared" ref="BP699:BQ699" si="8297">BP700-(BP259+BP260)</f>
        <v>271499.570950486</v>
      </c>
      <c r="BQ699" s="41">
        <f t="shared" si="8297"/>
        <v>276218.8813814898</v>
      </c>
      <c r="BR699" s="41"/>
      <c r="BS699" s="41">
        <f t="shared" ref="BS699:CB699" si="8298">BS700-(BS259+BS260)</f>
        <v>19968.199999999997</v>
      </c>
      <c r="BT699" s="41">
        <f t="shared" si="8298"/>
        <v>20627.600000000006</v>
      </c>
      <c r="BU699" s="41">
        <f t="shared" si="8298"/>
        <v>19086</v>
      </c>
      <c r="BV699" s="41">
        <f t="shared" si="8298"/>
        <v>20199</v>
      </c>
      <c r="BW699" s="41">
        <f t="shared" si="8298"/>
        <v>21226</v>
      </c>
      <c r="BX699" s="41">
        <f t="shared" si="8298"/>
        <v>23492</v>
      </c>
      <c r="BY699" s="41">
        <f t="shared" si="8298"/>
        <v>34059</v>
      </c>
      <c r="BZ699" s="41">
        <f t="shared" si="8298"/>
        <v>31369</v>
      </c>
      <c r="CA699" s="41">
        <f t="shared" si="8298"/>
        <v>32551</v>
      </c>
      <c r="CB699" s="41">
        <f t="shared" si="8298"/>
        <v>37587</v>
      </c>
      <c r="CC699" s="41">
        <f t="shared" ref="CC699:CQ699" si="8299">CC700-(CC259+CC260)</f>
        <v>-112153.79726027398</v>
      </c>
      <c r="CD699" s="41">
        <f t="shared" si="8299"/>
        <v>-100812.21369863016</v>
      </c>
      <c r="CE699" s="41">
        <f t="shared" si="8299"/>
        <v>-52609.5</v>
      </c>
      <c r="CF699" s="41">
        <f t="shared" si="8299"/>
        <v>27977.638356164389</v>
      </c>
      <c r="CG699" s="41">
        <f t="shared" si="8299"/>
        <v>20127</v>
      </c>
      <c r="CH699" s="41">
        <f t="shared" si="8299"/>
        <v>24962</v>
      </c>
      <c r="CI699" s="41">
        <f t="shared" si="8299"/>
        <v>36102</v>
      </c>
      <c r="CJ699" s="41">
        <f t="shared" si="8299"/>
        <v>71154</v>
      </c>
      <c r="CK699" s="41">
        <f t="shared" si="8299"/>
        <v>72312</v>
      </c>
      <c r="CL699" s="41">
        <f t="shared" si="8299"/>
        <v>84790</v>
      </c>
      <c r="CM699" s="41">
        <f t="shared" si="8299"/>
        <v>92759</v>
      </c>
      <c r="CN699" s="41">
        <f t="shared" si="8299"/>
        <v>90965</v>
      </c>
      <c r="CO699" s="41">
        <f t="shared" si="8299"/>
        <v>95887</v>
      </c>
      <c r="CP699" s="41">
        <f t="shared" si="8299"/>
        <v>126768</v>
      </c>
      <c r="CQ699" s="41">
        <f t="shared" si="8299"/>
        <v>144185.5</v>
      </c>
      <c r="CR699" s="41">
        <f t="shared" ref="CR699" si="8300">CR700-(CR259+CR260)</f>
        <v>135264.09228703973</v>
      </c>
      <c r="CS699" s="41">
        <f t="shared" ref="CS699:CX699" si="8301">CS700-(CS259+CS260)</f>
        <v>109917.94298667589</v>
      </c>
      <c r="CT699" s="41">
        <f t="shared" si="8301"/>
        <v>125249.41516104201</v>
      </c>
      <c r="CU699" s="41">
        <f t="shared" si="8301"/>
        <v>198183.27385069651</v>
      </c>
      <c r="CV699" s="41">
        <f t="shared" si="8301"/>
        <v>159699.77270266321</v>
      </c>
      <c r="CW699" s="41">
        <f t="shared" si="8301"/>
        <v>125994.95630271512</v>
      </c>
      <c r="CX699" s="41">
        <f t="shared" si="8301"/>
        <v>133928.06978513976</v>
      </c>
      <c r="CY699" s="41">
        <f t="shared" ref="CY699:DD699" si="8302">CY700-(CY259+CY260)</f>
        <v>130666.56804191542</v>
      </c>
      <c r="CZ699" s="211">
        <f t="shared" si="8302"/>
        <v>186149.35562312463</v>
      </c>
      <c r="DA699" s="41">
        <f t="shared" si="8302"/>
        <v>218777.42692781799</v>
      </c>
      <c r="DB699" s="41">
        <f t="shared" si="8302"/>
        <v>222978.83583761449</v>
      </c>
      <c r="DC699" s="41">
        <f t="shared" si="8302"/>
        <v>228824.59780069534</v>
      </c>
      <c r="DD699" s="41">
        <f t="shared" si="8302"/>
        <v>234846.95589485718</v>
      </c>
      <c r="DE699" s="41">
        <f t="shared" ref="DE699" si="8303">DE700-(DE259+DE260)</f>
        <v>241838.28459391883</v>
      </c>
      <c r="DF699" s="41">
        <f t="shared" ref="DF699" si="8304">DF700-(DF259+DF260)</f>
        <v>249099.77461884147</v>
      </c>
      <c r="DG699" s="41">
        <f>DG700-(DG259+DG260)</f>
        <v>256796.31726049492</v>
      </c>
      <c r="DH699" s="41">
        <f>DH700-(DH259+DH260)</f>
        <v>264859.9221462945</v>
      </c>
      <c r="DI699" s="41">
        <f>DI700-(DI259+DI260)</f>
        <v>273766.56227617874</v>
      </c>
    </row>
    <row r="700" spans="1:113" ht="12" outlineLevel="1">
      <c r="A700" s="1" t="s">
        <v>946</v>
      </c>
      <c r="B700" s="15" t="s">
        <v>374</v>
      </c>
      <c r="C700" s="40">
        <v>165730</v>
      </c>
      <c r="D700" s="40">
        <v>167645</v>
      </c>
      <c r="E700" s="40">
        <v>166767</v>
      </c>
      <c r="F700" s="40">
        <v>175377</v>
      </c>
      <c r="G700" s="40">
        <v>181738</v>
      </c>
      <c r="H700" s="40">
        <v>214464</v>
      </c>
      <c r="I700" s="40">
        <v>239039</v>
      </c>
      <c r="J700" s="40">
        <v>256438</v>
      </c>
      <c r="K700" s="40">
        <v>275236</v>
      </c>
      <c r="L700" s="40">
        <v>297310</v>
      </c>
      <c r="M700" s="40">
        <v>313240</v>
      </c>
      <c r="N700" s="40">
        <v>328647</v>
      </c>
      <c r="O700" s="40">
        <v>356487</v>
      </c>
      <c r="P700" s="40">
        <v>403145</v>
      </c>
      <c r="Q700" s="40">
        <v>421126</v>
      </c>
      <c r="R700" s="40">
        <v>497369</v>
      </c>
      <c r="S700" s="40">
        <f>455945</f>
        <v>455945</v>
      </c>
      <c r="T700" s="40">
        <v>473557</v>
      </c>
      <c r="U700" s="40">
        <v>510569</v>
      </c>
      <c r="V700" s="40">
        <v>516743</v>
      </c>
      <c r="W700" s="40">
        <v>539100</v>
      </c>
      <c r="X700" s="40">
        <v>573959</v>
      </c>
      <c r="Y700" s="40">
        <v>601453</v>
      </c>
      <c r="Z700" s="141">
        <v>612750</v>
      </c>
      <c r="AA700" s="141">
        <v>651571</v>
      </c>
      <c r="AB700" s="141">
        <v>688364</v>
      </c>
      <c r="AC700" s="141">
        <v>716513</v>
      </c>
      <c r="AD700" s="141">
        <v>779856</v>
      </c>
      <c r="AE700" s="141">
        <v>818640</v>
      </c>
      <c r="AF700" s="141">
        <v>843283</v>
      </c>
      <c r="AG700" s="141">
        <v>858256</v>
      </c>
      <c r="AH700" s="141">
        <v>860095</v>
      </c>
      <c r="AI700" s="141">
        <v>861543</v>
      </c>
      <c r="AJ700" s="141">
        <v>831423</v>
      </c>
      <c r="AK700" s="141">
        <v>850709</v>
      </c>
      <c r="AL700" s="141">
        <v>869584</v>
      </c>
      <c r="AM700" s="141">
        <v>912588</v>
      </c>
      <c r="AN700" s="141">
        <v>961550</v>
      </c>
      <c r="AO700" s="141">
        <v>1020807</v>
      </c>
      <c r="AP700" s="141">
        <v>983669</v>
      </c>
      <c r="AQ700" s="141">
        <v>963972</v>
      </c>
      <c r="AR700" s="141">
        <v>947232</v>
      </c>
      <c r="AS700" s="141">
        <v>998900</v>
      </c>
      <c r="AT700" s="141">
        <v>1044705</v>
      </c>
      <c r="AU700" s="141">
        <v>1046634</v>
      </c>
      <c r="AV700" s="141">
        <v>1092113</v>
      </c>
      <c r="AW700" s="141">
        <v>1112017</v>
      </c>
      <c r="AX700" s="141">
        <v>1246723</v>
      </c>
      <c r="AY700" s="226">
        <v>1275831</v>
      </c>
      <c r="AZ700" s="41">
        <f t="shared" ref="AZ700" si="8305">AZ697-AZ701-AVERAGE(AY539:AZ539)</f>
        <v>1294840.0787026037</v>
      </c>
      <c r="BA700" s="41">
        <f t="shared" ref="BA700" si="8306">BA697-BA701-AVERAGE(AZ539:BA539)</f>
        <v>1314929.9372376695</v>
      </c>
      <c r="BB700" s="41">
        <f t="shared" ref="BB700" si="8307">BB697-BB701-AVERAGE(BA539:BB539)</f>
        <v>1331960.3354964359</v>
      </c>
      <c r="BC700" s="41">
        <f t="shared" ref="BC700" si="8308">BC697-BC701-AVERAGE(BB539:BC539)</f>
        <v>1353570.9322199882</v>
      </c>
      <c r="BD700" s="41">
        <f t="shared" ref="BD700" si="8309">BD697-BD701-AVERAGE(BC539:BD539)</f>
        <v>1378467.773659548</v>
      </c>
      <c r="BE700" s="41">
        <f t="shared" ref="BE700" si="8310">BE697-BE701-AVERAGE(BD539:BE539)</f>
        <v>1403518.8372328575</v>
      </c>
      <c r="BF700" s="41">
        <f t="shared" ref="BF700" si="8311">BF697-BF701-AVERAGE(BE539:BF539)</f>
        <v>1428197.3267057145</v>
      </c>
      <c r="BG700" s="41">
        <f t="shared" ref="BG700:BK700" si="8312">BG697-BG701-AVERAGE(BF539:BG539)</f>
        <v>1451809.0003979425</v>
      </c>
      <c r="BH700" s="41">
        <f t="shared" si="8312"/>
        <v>1477444.6051707666</v>
      </c>
      <c r="BI700" s="41">
        <f t="shared" si="8312"/>
        <v>1504776.2864654541</v>
      </c>
      <c r="BJ700" s="41">
        <f t="shared" si="8312"/>
        <v>1532929.5130580533</v>
      </c>
      <c r="BK700" s="41">
        <f t="shared" si="8312"/>
        <v>1562119.15250608</v>
      </c>
      <c r="BL700" s="41">
        <f t="shared" ref="BL700" si="8313">BL697-BL701-AVERAGE(BK539:BL539)</f>
        <v>1591307.58670387</v>
      </c>
      <c r="BM700" s="41">
        <f t="shared" ref="BM700" si="8314">BM697-BM701-AVERAGE(BL539:BM539)</f>
        <v>1621154.463385138</v>
      </c>
      <c r="BN700" s="41">
        <f t="shared" ref="BN700" si="8315">BN697-BN701-AVERAGE(BM539:BN539)</f>
        <v>1652640.7528269284</v>
      </c>
      <c r="BO700" s="41">
        <f t="shared" ref="BO700" si="8316">BO697-BO701-AVERAGE(BN539:BO539)</f>
        <v>1685772.5716605</v>
      </c>
      <c r="BP700" s="41">
        <f t="shared" ref="BP700" si="8317">BP697-BP701-AVERAGE(BO539:BP539)</f>
        <v>1720408.927738369</v>
      </c>
      <c r="BQ700" s="41">
        <f t="shared" ref="BQ700" si="8318">BQ697-BQ701-AVERAGE(BP539:BQ539)</f>
        <v>1756590.9027342214</v>
      </c>
      <c r="BR700" s="41"/>
      <c r="BS700" s="40">
        <v>97097.2</v>
      </c>
      <c r="BT700" s="40">
        <v>97518.6</v>
      </c>
      <c r="BU700" s="40">
        <v>98533</v>
      </c>
      <c r="BV700" s="40">
        <v>105897</v>
      </c>
      <c r="BW700" s="40">
        <v>114670</v>
      </c>
      <c r="BX700" s="40">
        <v>130690</v>
      </c>
      <c r="BY700" s="40">
        <v>145665</v>
      </c>
      <c r="BZ700" s="40">
        <v>142474</v>
      </c>
      <c r="CA700" s="40">
        <v>155954</v>
      </c>
      <c r="CB700" s="40">
        <v>164024</v>
      </c>
      <c r="CC700" s="41">
        <f>SUMPRODUCT(D700:E700,D$5:E$5)/SUM(D$5:E$5)</f>
        <v>167207.20273972602</v>
      </c>
      <c r="CD700" s="41">
        <f>SUMPRODUCT(F700:G700,F$5:G$5)/SUM(F$5:G$5)</f>
        <v>178548.7863013699</v>
      </c>
      <c r="CE700" s="41">
        <f>SUMPRODUCT(H700:I700,H$5:I$5)/SUM(H$5:I$5)</f>
        <v>226751.5</v>
      </c>
      <c r="CF700" s="41">
        <f>SUMPRODUCT(J700:K700,J$5:K$5)/SUM(J$5:K$5)</f>
        <v>265811.24931506853</v>
      </c>
      <c r="CG700" s="141">
        <v>305297</v>
      </c>
      <c r="CH700" s="141">
        <v>342604</v>
      </c>
      <c r="CI700" s="141">
        <v>412129</v>
      </c>
      <c r="CJ700" s="141">
        <v>476599</v>
      </c>
      <c r="CK700" s="141">
        <v>492078</v>
      </c>
      <c r="CL700" s="141">
        <v>536436</v>
      </c>
      <c r="CM700" s="141">
        <v>587706</v>
      </c>
      <c r="CN700" s="141">
        <v>632162</v>
      </c>
      <c r="CO700" s="141">
        <v>702478</v>
      </c>
      <c r="CP700" s="141">
        <v>799301</v>
      </c>
      <c r="CQ700" s="141">
        <v>850768</v>
      </c>
      <c r="CR700" s="141">
        <v>860820</v>
      </c>
      <c r="CS700" s="141">
        <v>840960</v>
      </c>
      <c r="CT700" s="141">
        <v>891090</v>
      </c>
      <c r="CU700" s="141">
        <v>991178</v>
      </c>
      <c r="CV700" s="141">
        <v>973793</v>
      </c>
      <c r="CW700" s="141">
        <v>973137</v>
      </c>
      <c r="CX700" s="141">
        <v>1045674</v>
      </c>
      <c r="CY700" s="141">
        <v>1102065</v>
      </c>
      <c r="CZ700" s="226">
        <v>1261317</v>
      </c>
      <c r="DA700" s="41">
        <f>SUMPRODUCT(AZ700:BA700,AZ$5:BA$5)/SUM(AZ$5:BA$5)</f>
        <v>1304857.487615979</v>
      </c>
      <c r="DB700" s="41">
        <f>SUMPRODUCT(BB700:BC700,BB$5:BC$5)/SUM(BB$5:BC$5)</f>
        <v>1342736.0303010566</v>
      </c>
      <c r="DC700" s="41">
        <f>SUMPRODUCT(BD700:BE700,BD$5:BE$5)/SUM(BD$5:BE$5)</f>
        <v>1390993.3054462029</v>
      </c>
      <c r="DD700" s="41">
        <f>SUMPRODUCT(BF700:BG700,BF$5:BG$5)/SUM(BF$5:BG$5)</f>
        <v>1439970.8187933462</v>
      </c>
      <c r="DE700" s="41">
        <f>SUMPRODUCT(BH700:BI700,BH$5:BI$5)/SUM(BH$5:BI$5)</f>
        <v>1491073.0051588025</v>
      </c>
      <c r="DF700" s="41">
        <f>SUMPRODUCT(BJ700:BK700,BJ$5:BK$5)/SUM(BJ$5:BK$5)</f>
        <v>1547484.3469746038</v>
      </c>
      <c r="DG700" s="41">
        <f>SUMPRODUCT(BL700:BM700,BL$5:BM$5)/SUM(BL$5:BM$5)</f>
        <v>1606231.0250445041</v>
      </c>
      <c r="DH700" s="41">
        <f>SUMPRODUCT(BN700:BO700,BN$5:BO$5)/SUM(BN$5:BO$5)</f>
        <v>1669161.2761905177</v>
      </c>
      <c r="DI700" s="41">
        <f>SUMPRODUCT(BP700:BQ700,BP$5:BQ$5)/SUM(BP$5:BQ$5)</f>
        <v>1738450.3508869859</v>
      </c>
    </row>
    <row r="701" spans="1:113" ht="12" outlineLevel="1">
      <c r="A701" s="1" t="s">
        <v>947</v>
      </c>
      <c r="B701" s="15" t="s">
        <v>375</v>
      </c>
      <c r="C701" s="40">
        <f>C697-C700-1470-AVERAGE(B540:C540)</f>
        <v>8739</v>
      </c>
      <c r="D701" s="40">
        <f>D697-D700-1472-AVERAGE(C540:D540)</f>
        <v>9191.5</v>
      </c>
      <c r="E701" s="40">
        <f>E697-E700-1359-AVERAGE(D540:E540)</f>
        <v>9791.5</v>
      </c>
      <c r="F701" s="40">
        <f>F697-F700-1225-AVERAGE(E540:F540)</f>
        <v>10744</v>
      </c>
      <c r="G701" s="40">
        <f>G697-G700-1264-AVERAGE(F540:G540)</f>
        <v>11079</v>
      </c>
      <c r="H701" s="40">
        <f>H697-H700-1470-AVERAGE(G540:H540)</f>
        <v>13949</v>
      </c>
      <c r="I701" s="40">
        <f>I697-I700-987-AVERAGE(H540:I540)</f>
        <v>16016.5</v>
      </c>
      <c r="J701" s="40">
        <f>J697-J700-1509-AVERAGE(I540:J540)</f>
        <v>16659</v>
      </c>
      <c r="K701" s="40">
        <f>K697-K700-1858-AVERAGE(J540:K540)</f>
        <v>17195.5</v>
      </c>
      <c r="L701" s="40">
        <f t="shared" ref="L701" si="8319">L697-L700-871-AVERAGE(K540:L540)</f>
        <v>17232.5</v>
      </c>
      <c r="M701" s="40">
        <f t="shared" ref="M701:R701" si="8320">M697-M700-871-AVERAGE(L540:M540)</f>
        <v>18191</v>
      </c>
      <c r="N701" s="40">
        <f t="shared" si="8320"/>
        <v>19604</v>
      </c>
      <c r="O701" s="40">
        <f t="shared" si="8320"/>
        <v>20043</v>
      </c>
      <c r="P701" s="40">
        <f t="shared" si="8320"/>
        <v>21884.5</v>
      </c>
      <c r="Q701" s="40">
        <f t="shared" si="8320"/>
        <v>23307.5</v>
      </c>
      <c r="R701" s="40">
        <f t="shared" si="8320"/>
        <v>26884</v>
      </c>
      <c r="S701" s="40">
        <f t="shared" ref="S701:X701" si="8321">S697-S700-871-AVERAGE(R540:S540)</f>
        <v>29356.5</v>
      </c>
      <c r="T701" s="40">
        <f t="shared" si="8321"/>
        <v>31517.5</v>
      </c>
      <c r="U701" s="40">
        <f t="shared" si="8321"/>
        <v>33118</v>
      </c>
      <c r="V701" s="40">
        <f t="shared" si="8321"/>
        <v>33754.5</v>
      </c>
      <c r="W701" s="40">
        <f t="shared" si="8321"/>
        <v>36105.5</v>
      </c>
      <c r="X701" s="40">
        <f t="shared" si="8321"/>
        <v>37401.5</v>
      </c>
      <c r="Y701" s="40">
        <f>Y697-Y700-871-AVERAGE(X540:Y540)</f>
        <v>39886</v>
      </c>
      <c r="Z701" s="141">
        <f>Z697-Z700-871-AVERAGE(Y540:Z540)</f>
        <v>40827</v>
      </c>
      <c r="AA701" s="141">
        <f>AA697-AA700-871-AVERAGE(Z540:AA540)</f>
        <v>43493.5</v>
      </c>
      <c r="AB701" s="141">
        <f>AB697-AB700-871-AVERAGE(AA540:AB540)</f>
        <v>45243.5</v>
      </c>
      <c r="AC701" s="141">
        <f>AC697-AC700-871-AVERAGE(AB540:AC540)</f>
        <v>46592</v>
      </c>
      <c r="AD701" s="41">
        <f t="shared" ref="AD701:AK701" si="8322">AD697-AD700-AVERAGE(AC540:AD540)</f>
        <v>50411</v>
      </c>
      <c r="AE701" s="41">
        <f t="shared" si="8322"/>
        <v>52864.5</v>
      </c>
      <c r="AF701" s="41">
        <f t="shared" si="8322"/>
        <v>57361.5</v>
      </c>
      <c r="AG701" s="41">
        <f t="shared" si="8322"/>
        <v>56709</v>
      </c>
      <c r="AH701" s="41">
        <f t="shared" si="8322"/>
        <v>57686</v>
      </c>
      <c r="AI701" s="41">
        <f t="shared" si="8322"/>
        <v>58609.5</v>
      </c>
      <c r="AJ701" s="41">
        <f t="shared" si="8322"/>
        <v>60188</v>
      </c>
      <c r="AK701" s="41">
        <f t="shared" si="8322"/>
        <v>60476</v>
      </c>
      <c r="AL701" s="141">
        <f t="shared" ref="AL701" si="8323">AL697-AL700-0-AVERAGE(AK540:AL540)</f>
        <v>61898</v>
      </c>
      <c r="AM701" s="141">
        <f t="shared" ref="AM701:AP701" si="8324">AM697-AM700-0-AVERAGE(AL540:AM540)</f>
        <v>66149.5</v>
      </c>
      <c r="AN701" s="141">
        <f t="shared" si="8324"/>
        <v>60412</v>
      </c>
      <c r="AO701" s="141">
        <f t="shared" si="8324"/>
        <v>61136.5</v>
      </c>
      <c r="AP701" s="141">
        <f t="shared" si="8324"/>
        <v>61889</v>
      </c>
      <c r="AQ701" s="141">
        <f t="shared" ref="AQ701:AX701" si="8325">AQ697-AQ700-0-AVERAGE(AP540:AQ540)</f>
        <v>62800.5</v>
      </c>
      <c r="AR701" s="141">
        <f t="shared" si="8325"/>
        <v>62534</v>
      </c>
      <c r="AS701" s="141">
        <f t="shared" si="8325"/>
        <v>62868.5</v>
      </c>
      <c r="AT701" s="141">
        <f t="shared" si="8325"/>
        <v>67101.5</v>
      </c>
      <c r="AU701" s="141">
        <f t="shared" si="8325"/>
        <v>68172.5</v>
      </c>
      <c r="AV701" s="141">
        <f t="shared" si="8325"/>
        <v>70238</v>
      </c>
      <c r="AW701" s="141">
        <f t="shared" si="8325"/>
        <v>68936.5</v>
      </c>
      <c r="AX701" s="141">
        <f t="shared" si="8325"/>
        <v>70478.5</v>
      </c>
      <c r="AY701" s="226">
        <f>AY697-AY700-0-AVERAGE(AX540:AY540)</f>
        <v>72592.5</v>
      </c>
      <c r="AZ701" s="41">
        <f t="shared" ref="AZ701" si="8326">AY701*AVERAGE(AY538:AZ538)/AVERAGE(AX538:AY538)</f>
        <v>73713.974085049442</v>
      </c>
      <c r="BA701" s="41">
        <f t="shared" ref="BA701" si="8327">AZ701*AVERAGE(AZ538:BA538)/AVERAGE(AY538:AZ538)</f>
        <v>75994.465930300255</v>
      </c>
      <c r="BB701" s="41">
        <f t="shared" ref="BB701" si="8328">BA701*AVERAGE(BA538:BB538)/AVERAGE(AZ538:BA538)</f>
        <v>77465.824966994071</v>
      </c>
      <c r="BC701" s="41">
        <f t="shared" ref="BC701" si="8329">BB701*AVERAGE(BB538:BC538)/AVERAGE(BA538:BB538)</f>
        <v>77830.947503582938</v>
      </c>
      <c r="BD701" s="41">
        <f t="shared" ref="BD701" si="8330">BC701*AVERAGE(BC538:BD538)/AVERAGE(BB538:BC538)</f>
        <v>77713.010415821976</v>
      </c>
      <c r="BE701" s="41">
        <f t="shared" ref="BE701" si="8331">BD701*AVERAGE(BD538:BE538)/AVERAGE(BC538:BD538)</f>
        <v>77607.786008702722</v>
      </c>
      <c r="BF701" s="41">
        <f t="shared" ref="BF701" si="8332">BE701*AVERAGE(BE538:BF538)/AVERAGE(BD538:BE538)</f>
        <v>77510.255510135321</v>
      </c>
      <c r="BG701" s="41">
        <f t="shared" ref="BG701:BK701" si="8333">BF701*AVERAGE(BF538:BG538)/AVERAGE(BE538:BF538)</f>
        <v>77473.275093757169</v>
      </c>
      <c r="BH701" s="41">
        <f t="shared" si="8333"/>
        <v>77979.965497135272</v>
      </c>
      <c r="BI701" s="41">
        <f t="shared" si="8333"/>
        <v>78999.827443023518</v>
      </c>
      <c r="BJ701" s="41">
        <f t="shared" si="8333"/>
        <v>80091.889242692851</v>
      </c>
      <c r="BK701" s="41">
        <f t="shared" si="8333"/>
        <v>81397.587216305008</v>
      </c>
      <c r="BL701" s="41">
        <f t="shared" ref="BL701" si="8334">BK701*AVERAGE(BK538:BL538)/AVERAGE(BJ538:BK538)</f>
        <v>82759.297549447889</v>
      </c>
      <c r="BM701" s="41">
        <f t="shared" ref="BM701" si="8335">BL701*AVERAGE(BL538:BM538)/AVERAGE(BK538:BL538)</f>
        <v>84080.746356206146</v>
      </c>
      <c r="BN701" s="41">
        <f t="shared" ref="BN701" si="8336">BM701*AVERAGE(BM538:BN538)/AVERAGE(BL538:BM538)</f>
        <v>85353.073248713437</v>
      </c>
      <c r="BO701" s="41">
        <f t="shared" ref="BO701" si="8337">BN701*AVERAGE(BN538:BO538)/AVERAGE(BM538:BN538)</f>
        <v>86597.141081176553</v>
      </c>
      <c r="BP701" s="41">
        <f t="shared" ref="BP701" si="8338">BO701*AVERAGE(BO538:BP538)/AVERAGE(BN538:BO538)</f>
        <v>87820.551881793828</v>
      </c>
      <c r="BQ701" s="41">
        <f t="shared" ref="BQ701" si="8339">BP701*AVERAGE(BP538:BQ538)/AVERAGE(BO538:BP538)</f>
        <v>89043.879668457739</v>
      </c>
      <c r="BR701" s="41"/>
      <c r="BS701" s="40">
        <f t="shared" ref="BS701:BX701" si="8340">BS697-BS700-0</f>
        <v>5117.6999999999971</v>
      </c>
      <c r="BT701" s="40">
        <f t="shared" si="8340"/>
        <v>4907.5999999999913</v>
      </c>
      <c r="BU701" s="40">
        <f t="shared" si="8340"/>
        <v>5328</v>
      </c>
      <c r="BV701" s="40">
        <f t="shared" si="8340"/>
        <v>5931</v>
      </c>
      <c r="BW701" s="40">
        <f t="shared" si="8340"/>
        <v>6152</v>
      </c>
      <c r="BX701" s="40">
        <f t="shared" si="8340"/>
        <v>6963</v>
      </c>
      <c r="BY701" s="40">
        <f>BY697-BY700-12</f>
        <v>7620</v>
      </c>
      <c r="BZ701" s="40">
        <f>BZ697-BZ700-1090</f>
        <v>8237</v>
      </c>
      <c r="CA701" s="40">
        <f>CA697-CA700-1226</f>
        <v>8451</v>
      </c>
      <c r="CB701" s="40">
        <f>CB697-CB700-1438</f>
        <v>8666</v>
      </c>
      <c r="CC701" s="41">
        <f>SUMPRODUCT(D701:E701,D$5:E$5)/SUM(D$5:E$5)</f>
        <v>9490.6780821917819</v>
      </c>
      <c r="CD701" s="41">
        <f>SUMPRODUCT(F701:G701,F$5:G$5)/SUM(F$5:G$5)</f>
        <v>10911.04109589041</v>
      </c>
      <c r="CE701" s="41">
        <f>SUMPRODUCT(H701:I701,H$5:I$5)/SUM(H$5:I$5)</f>
        <v>14982.75</v>
      </c>
      <c r="CF701" s="41">
        <f>SUMPRODUCT(J701:K701,J$5:K$5)/SUM(J$5:K$5)</f>
        <v>16926.51506849315</v>
      </c>
      <c r="CG701" s="40">
        <f t="shared" ref="CG701:CO701" si="8341">CG697-CG700-871-AVERAGE(CF540:CG540)</f>
        <v>17714.5</v>
      </c>
      <c r="CH701" s="40">
        <f t="shared" si="8341"/>
        <v>19822</v>
      </c>
      <c r="CI701" s="40">
        <f t="shared" si="8341"/>
        <v>22602</v>
      </c>
      <c r="CJ701" s="40">
        <f t="shared" si="8341"/>
        <v>28129.5</v>
      </c>
      <c r="CK701" s="40">
        <f t="shared" si="8341"/>
        <v>32320.5</v>
      </c>
      <c r="CL701" s="40">
        <f t="shared" si="8341"/>
        <v>34940</v>
      </c>
      <c r="CM701" s="40">
        <f t="shared" si="8341"/>
        <v>38644.5</v>
      </c>
      <c r="CN701" s="141">
        <f t="shared" si="8341"/>
        <v>42177.5</v>
      </c>
      <c r="CO701" s="141">
        <f t="shared" si="8341"/>
        <v>45915.5</v>
      </c>
      <c r="CP701" s="141">
        <f>CP697-CP700-182-AVERAGE(CO540:CP540)</f>
        <v>51461.5</v>
      </c>
      <c r="CQ701" s="141">
        <f>CQ697-CQ700-0-AVERAGE(CP540:CQ540)</f>
        <v>57033.5</v>
      </c>
      <c r="CR701" s="141">
        <f>CR697-CR700-0-AVERAGE(CQ540:CR540)</f>
        <v>58151.5</v>
      </c>
      <c r="CS701" s="141">
        <f t="shared" ref="CS701:CZ701" si="8342">CS697-CS700-0-AVERAGE(CR540:CS540)</f>
        <v>60723</v>
      </c>
      <c r="CT701" s="141">
        <f t="shared" si="8342"/>
        <v>63871.5</v>
      </c>
      <c r="CU701" s="141">
        <f t="shared" si="8342"/>
        <v>60774.5</v>
      </c>
      <c r="CV701" s="141">
        <f t="shared" si="8342"/>
        <v>62345.5</v>
      </c>
      <c r="CW701" s="141">
        <f t="shared" si="8342"/>
        <v>62579.5</v>
      </c>
      <c r="CX701" s="141">
        <f t="shared" si="8342"/>
        <v>67646</v>
      </c>
      <c r="CY701" s="141">
        <f t="shared" si="8342"/>
        <v>69647.5</v>
      </c>
      <c r="CZ701" s="226">
        <f t="shared" si="8342"/>
        <v>71543</v>
      </c>
      <c r="DA701" s="41">
        <f>SUMPRODUCT(AZ701:BA701,AZ$5:BA$5)/SUM(AZ$5:BA$5)</f>
        <v>74851.096046242994</v>
      </c>
      <c r="DB701" s="41">
        <f>SUMPRODUCT(BB701:BC701,BB$5:BC$5)/SUM(BB$5:BC$5)</f>
        <v>77647.886067430169</v>
      </c>
      <c r="DC701" s="41">
        <f>SUMPRODUCT(BD701:BE701,BD$5:BE$5)/SUM(BD$5:BE$5)</f>
        <v>77660.398212262342</v>
      </c>
      <c r="DD701" s="41">
        <f>SUMPRODUCT(BF701:BG701,BF$5:BG$5)/SUM(BF$5:BG$5)</f>
        <v>77491.815960050881</v>
      </c>
      <c r="DE701" s="41">
        <f>SUMPRODUCT(BH701:BI701,BH$5:BI$5)/SUM(BH$5:BI$5)</f>
        <v>78488.499398920641</v>
      </c>
      <c r="DF701" s="41">
        <f>SUMPRODUCT(BJ701:BK701,BJ$5:BK$5)/SUM(BJ$5:BK$5)</f>
        <v>80742.949602137815</v>
      </c>
      <c r="DG701" s="41">
        <f>SUMPRODUCT(BL701:BM701,BL$5:BM$5)/SUM(BL$5:BM$5)</f>
        <v>83420.021952827025</v>
      </c>
      <c r="DH701" s="41">
        <f>SUMPRODUCT(BN701:BO701,BN$5:BO$5)/SUM(BN$5:BO$5)</f>
        <v>85973.40296243479</v>
      </c>
      <c r="DI701" s="41">
        <f>SUMPRODUCT(BP701:BQ701,BP$5:BQ$5)/SUM(BP$5:BQ$5)</f>
        <v>88430.539983637209</v>
      </c>
    </row>
    <row r="702" spans="1:113" ht="12" outlineLevel="1">
      <c r="A702" s="1" t="s">
        <v>948</v>
      </c>
      <c r="B702" s="15" t="s">
        <v>304</v>
      </c>
      <c r="C702" s="41">
        <f t="shared" ref="C702:L702" si="8343">C701-AVERAGE(B661:C661)</f>
        <v>8602</v>
      </c>
      <c r="D702" s="41">
        <f t="shared" si="8343"/>
        <v>9029</v>
      </c>
      <c r="E702" s="41">
        <f t="shared" si="8343"/>
        <v>9607.5</v>
      </c>
      <c r="F702" s="41">
        <f t="shared" si="8343"/>
        <v>10568.5</v>
      </c>
      <c r="G702" s="41">
        <f t="shared" si="8343"/>
        <v>10913.5</v>
      </c>
      <c r="H702" s="41">
        <f t="shared" si="8343"/>
        <v>12268</v>
      </c>
      <c r="I702" s="41">
        <f t="shared" si="8343"/>
        <v>12781</v>
      </c>
      <c r="J702" s="41">
        <f t="shared" si="8343"/>
        <v>13421</v>
      </c>
      <c r="K702" s="41">
        <f t="shared" si="8343"/>
        <v>14058</v>
      </c>
      <c r="L702" s="41">
        <f t="shared" si="8343"/>
        <v>14257.5</v>
      </c>
      <c r="M702" s="41">
        <f t="shared" ref="M702:AY702" si="8344">M701-AVERAGE(L661:M661)</f>
        <v>15280</v>
      </c>
      <c r="N702" s="41">
        <f t="shared" si="8344"/>
        <v>16649.5</v>
      </c>
      <c r="O702" s="41">
        <f t="shared" si="8344"/>
        <v>16951</v>
      </c>
      <c r="P702" s="41">
        <f t="shared" si="8344"/>
        <v>18673.5</v>
      </c>
      <c r="Q702" s="41">
        <f t="shared" si="8344"/>
        <v>20146</v>
      </c>
      <c r="R702" s="41">
        <f t="shared" si="8344"/>
        <v>23779.5</v>
      </c>
      <c r="S702" s="41">
        <f t="shared" si="8344"/>
        <v>26286.5</v>
      </c>
      <c r="T702" s="41">
        <f t="shared" si="8344"/>
        <v>27346.5</v>
      </c>
      <c r="U702" s="41">
        <f t="shared" si="8344"/>
        <v>27764</v>
      </c>
      <c r="V702" s="41">
        <f t="shared" si="8344"/>
        <v>28406.5</v>
      </c>
      <c r="W702" s="41">
        <f t="shared" si="8344"/>
        <v>30768</v>
      </c>
      <c r="X702" s="41">
        <f t="shared" si="8344"/>
        <v>32042</v>
      </c>
      <c r="Y702" s="41">
        <f t="shared" si="8344"/>
        <v>34562.5</v>
      </c>
      <c r="Z702" s="41">
        <f t="shared" si="8344"/>
        <v>35524.5</v>
      </c>
      <c r="AA702" s="41">
        <f t="shared" si="8344"/>
        <v>38091</v>
      </c>
      <c r="AB702" s="41">
        <f t="shared" si="8344"/>
        <v>39665</v>
      </c>
      <c r="AC702" s="41">
        <f t="shared" si="8344"/>
        <v>41065</v>
      </c>
      <c r="AD702" s="41">
        <f t="shared" si="8344"/>
        <v>44855</v>
      </c>
      <c r="AE702" s="41">
        <f t="shared" si="8344"/>
        <v>47307.5</v>
      </c>
      <c r="AF702" s="41">
        <f t="shared" si="8344"/>
        <v>51984</v>
      </c>
      <c r="AG702" s="41">
        <f t="shared" si="8344"/>
        <v>51306</v>
      </c>
      <c r="AH702" s="41">
        <f t="shared" si="8344"/>
        <v>52383</v>
      </c>
      <c r="AI702" s="41">
        <f t="shared" si="8344"/>
        <v>53484.5</v>
      </c>
      <c r="AJ702" s="41">
        <f t="shared" si="8344"/>
        <v>55849.5</v>
      </c>
      <c r="AK702" s="41">
        <f t="shared" si="8344"/>
        <v>56940</v>
      </c>
      <c r="AL702" s="41">
        <f t="shared" si="8344"/>
        <v>58319</v>
      </c>
      <c r="AM702" s="41">
        <f t="shared" si="8344"/>
        <v>62556</v>
      </c>
      <c r="AN702" s="41">
        <f t="shared" si="8344"/>
        <v>56796</v>
      </c>
      <c r="AO702" s="41">
        <f t="shared" si="8344"/>
        <v>57619.5</v>
      </c>
      <c r="AP702" s="41">
        <f t="shared" si="8344"/>
        <v>58687.5</v>
      </c>
      <c r="AQ702" s="41">
        <f t="shared" si="8344"/>
        <v>59687</v>
      </c>
      <c r="AR702" s="41">
        <f t="shared" si="8344"/>
        <v>59380</v>
      </c>
      <c r="AS702" s="41">
        <f t="shared" si="8344"/>
        <v>59806</v>
      </c>
      <c r="AT702" s="41">
        <f t="shared" si="8344"/>
        <v>64031</v>
      </c>
      <c r="AU702" s="41">
        <f t="shared" si="8344"/>
        <v>65023</v>
      </c>
      <c r="AV702" s="41">
        <f t="shared" si="8344"/>
        <v>67122</v>
      </c>
      <c r="AW702" s="41">
        <f t="shared" si="8344"/>
        <v>65144.5</v>
      </c>
      <c r="AX702" s="41">
        <f t="shared" si="8344"/>
        <v>65801</v>
      </c>
      <c r="AY702" s="211">
        <f t="shared" si="8344"/>
        <v>67777</v>
      </c>
      <c r="AZ702" s="41">
        <f t="shared" ref="AZ702" si="8345">AZ701-AVERAGE(AY661:AZ661)</f>
        <v>68946.974085049442</v>
      </c>
      <c r="BA702" s="41">
        <f t="shared" ref="BA702" si="8346">BA701-AVERAGE(AZ661:BA661)</f>
        <v>71227.465930300255</v>
      </c>
      <c r="BB702" s="41">
        <f t="shared" ref="BB702" si="8347">BB701-AVERAGE(BA661:BB661)</f>
        <v>72698.824966994071</v>
      </c>
      <c r="BC702" s="41">
        <f t="shared" ref="BC702" si="8348">BC701-AVERAGE(BB661:BC661)</f>
        <v>73063.947503582938</v>
      </c>
      <c r="BD702" s="41">
        <f t="shared" ref="BD702" si="8349">BD701-AVERAGE(BC661:BD661)</f>
        <v>72946.010415821976</v>
      </c>
      <c r="BE702" s="41">
        <f t="shared" ref="BE702" si="8350">BE701-AVERAGE(BD661:BE661)</f>
        <v>72840.786008702722</v>
      </c>
      <c r="BF702" s="41">
        <f t="shared" ref="BF702" si="8351">BF701-AVERAGE(BE661:BF661)</f>
        <v>72743.255510135321</v>
      </c>
      <c r="BG702" s="41">
        <f t="shared" ref="BG702:BK702" si="8352">BG701-AVERAGE(BF661:BG661)</f>
        <v>72706.275093757169</v>
      </c>
      <c r="BH702" s="41">
        <f t="shared" si="8352"/>
        <v>73212.965497135272</v>
      </c>
      <c r="BI702" s="41">
        <f t="shared" si="8352"/>
        <v>74232.827443023518</v>
      </c>
      <c r="BJ702" s="41">
        <f t="shared" si="8352"/>
        <v>75324.889242692851</v>
      </c>
      <c r="BK702" s="41">
        <f t="shared" si="8352"/>
        <v>76630.587216305008</v>
      </c>
      <c r="BL702" s="41">
        <f t="shared" ref="BL702" si="8353">BL701-AVERAGE(BK661:BL661)</f>
        <v>77992.297549447889</v>
      </c>
      <c r="BM702" s="41">
        <f t="shared" ref="BM702" si="8354">BM701-AVERAGE(BL661:BM661)</f>
        <v>79313.746356206146</v>
      </c>
      <c r="BN702" s="41">
        <f t="shared" ref="BN702" si="8355">BN701-AVERAGE(BM661:BN661)</f>
        <v>80586.073248713437</v>
      </c>
      <c r="BO702" s="41">
        <f t="shared" ref="BO702" si="8356">BO701-AVERAGE(BN661:BO661)</f>
        <v>81830.141081176553</v>
      </c>
      <c r="BP702" s="41">
        <f t="shared" ref="BP702" si="8357">BP701-AVERAGE(BO661:BP661)</f>
        <v>83053.551881793828</v>
      </c>
      <c r="BQ702" s="41">
        <f t="shared" ref="BQ702" si="8358">BQ701-AVERAGE(BP661:BQ661)</f>
        <v>84276.879668457739</v>
      </c>
      <c r="BR702" s="41"/>
      <c r="BS702" s="41">
        <f t="shared" ref="BS702:CB702" si="8359">BS701-AVERAGE(BR661:BS661)</f>
        <v>4789.3004078275444</v>
      </c>
      <c r="BT702" s="41">
        <f t="shared" si="8359"/>
        <v>4760.3603999048382</v>
      </c>
      <c r="BU702" s="41">
        <f t="shared" si="8359"/>
        <v>5359.1974916791478</v>
      </c>
      <c r="BV702" s="41">
        <f t="shared" si="8359"/>
        <v>5966.676180714172</v>
      </c>
      <c r="BW702" s="41">
        <f t="shared" si="8359"/>
        <v>6186.9856631481543</v>
      </c>
      <c r="BX702" s="41">
        <f t="shared" si="8359"/>
        <v>6994.7888064643594</v>
      </c>
      <c r="BY702" s="41">
        <f t="shared" si="8359"/>
        <v>7657.0273107976536</v>
      </c>
      <c r="BZ702" s="41">
        <f t="shared" si="8359"/>
        <v>8201.285282455352</v>
      </c>
      <c r="CA702" s="41">
        <f t="shared" si="8359"/>
        <v>8324</v>
      </c>
      <c r="CB702" s="41">
        <f t="shared" si="8359"/>
        <v>7123.5</v>
      </c>
      <c r="CC702" s="41">
        <f t="shared" ref="CC702:CS702" si="8360">CC701-AVERAGE(CB661:CC661)</f>
        <v>7930.6780821917819</v>
      </c>
      <c r="CD702" s="41">
        <f t="shared" si="8360"/>
        <v>10741.04109589041</v>
      </c>
      <c r="CE702" s="41">
        <f t="shared" si="8360"/>
        <v>13268.25</v>
      </c>
      <c r="CF702" s="41">
        <f t="shared" si="8360"/>
        <v>13758.01506849315</v>
      </c>
      <c r="CG702" s="41">
        <f t="shared" si="8360"/>
        <v>14710.5</v>
      </c>
      <c r="CH702" s="41">
        <f t="shared" si="8360"/>
        <v>16744.5</v>
      </c>
      <c r="CI702" s="41">
        <f t="shared" si="8360"/>
        <v>19436.5</v>
      </c>
      <c r="CJ702" s="41">
        <f t="shared" si="8360"/>
        <v>25048</v>
      </c>
      <c r="CK702" s="41">
        <f t="shared" si="8360"/>
        <v>28090.5</v>
      </c>
      <c r="CL702" s="41">
        <f t="shared" si="8360"/>
        <v>29537.5</v>
      </c>
      <c r="CM702" s="41">
        <f t="shared" si="8360"/>
        <v>33288.5</v>
      </c>
      <c r="CN702" s="41">
        <f t="shared" si="8360"/>
        <v>36757.5</v>
      </c>
      <c r="CO702" s="41">
        <f t="shared" si="8360"/>
        <v>40447</v>
      </c>
      <c r="CP702" s="41">
        <f t="shared" si="8360"/>
        <v>46043.5</v>
      </c>
      <c r="CQ702" s="41">
        <f t="shared" si="8360"/>
        <v>51589</v>
      </c>
      <c r="CR702" s="41">
        <f t="shared" si="8360"/>
        <v>52859.5</v>
      </c>
      <c r="CS702" s="41">
        <f t="shared" si="8360"/>
        <v>56411.5</v>
      </c>
      <c r="CT702" s="41">
        <f t="shared" ref="CT702:CY702" si="8361">CT701-AVERAGE(CT661:CT661)</f>
        <v>60333.5</v>
      </c>
      <c r="CU702" s="41">
        <f t="shared" si="8361"/>
        <v>57434.5</v>
      </c>
      <c r="CV702" s="41">
        <f t="shared" si="8361"/>
        <v>59181.5</v>
      </c>
      <c r="CW702" s="41">
        <f t="shared" si="8361"/>
        <v>59598.5</v>
      </c>
      <c r="CX702" s="41">
        <f t="shared" si="8361"/>
        <v>64507</v>
      </c>
      <c r="CY702" s="41">
        <f t="shared" si="8361"/>
        <v>65156.5</v>
      </c>
      <c r="CZ702" s="211">
        <f t="shared" ref="CZ702" si="8362">CZ701-AVERAGE(CZ661:CZ661)</f>
        <v>66776</v>
      </c>
      <c r="DA702" s="41">
        <f t="shared" ref="DA702:DF702" si="8363">DA701-AVERAGE(DA661:DA661)</f>
        <v>70084.096046242994</v>
      </c>
      <c r="DB702" s="41">
        <f t="shared" si="8363"/>
        <v>72880.886067430169</v>
      </c>
      <c r="DC702" s="41">
        <f t="shared" si="8363"/>
        <v>72893.398212262342</v>
      </c>
      <c r="DD702" s="41">
        <f t="shared" si="8363"/>
        <v>72724.815960050881</v>
      </c>
      <c r="DE702" s="41">
        <f t="shared" si="8363"/>
        <v>73721.499398920641</v>
      </c>
      <c r="DF702" s="41">
        <f t="shared" si="8363"/>
        <v>75975.949602137815</v>
      </c>
      <c r="DG702" s="41">
        <f t="shared" ref="DG702" si="8364">DG701-AVERAGE(DG661:DG661)</f>
        <v>78653.021952827025</v>
      </c>
      <c r="DH702" s="41">
        <f>DH701-AVERAGE(DH661:DH661)</f>
        <v>81206.40296243479</v>
      </c>
      <c r="DI702" s="41">
        <f>DI701-AVERAGE(DI661:DI661)</f>
        <v>83663.539983637209</v>
      </c>
    </row>
    <row r="703" spans="1:113" ht="12" outlineLevel="1">
      <c r="A703" s="1" t="s">
        <v>949</v>
      </c>
      <c r="B703" s="15" t="s">
        <v>723</v>
      </c>
      <c r="C703" s="41">
        <f>AVERAGE(B613:C613)</f>
        <v>139129</v>
      </c>
      <c r="D703" s="41">
        <f>AVERAGE(C613:D613)</f>
        <v>137273.5</v>
      </c>
      <c r="E703" s="41">
        <f>AVERAGE(D613:E613)</f>
        <v>138404</v>
      </c>
      <c r="F703" s="41">
        <f t="shared" ref="F703:L703" si="8365">AVERAGE(E613:F613)</f>
        <v>144996.5</v>
      </c>
      <c r="G703" s="41">
        <f t="shared" si="8365"/>
        <v>150383.5</v>
      </c>
      <c r="H703" s="41">
        <f t="shared" si="8365"/>
        <v>169160.5</v>
      </c>
      <c r="I703" s="41">
        <f t="shared" si="8365"/>
        <v>191410.5</v>
      </c>
      <c r="J703" s="41">
        <f t="shared" si="8365"/>
        <v>203094</v>
      </c>
      <c r="K703" s="41">
        <f t="shared" si="8365"/>
        <v>214548.5</v>
      </c>
      <c r="L703" s="41">
        <f t="shared" si="8365"/>
        <v>225113</v>
      </c>
      <c r="M703" s="41">
        <f t="shared" ref="M703:AY703" si="8366">AVERAGE(L613:M613)</f>
        <v>235436</v>
      </c>
      <c r="N703" s="41">
        <f t="shared" si="8366"/>
        <v>245352</v>
      </c>
      <c r="O703" s="41">
        <f t="shared" si="8366"/>
        <v>262751.5</v>
      </c>
      <c r="P703" s="41">
        <f t="shared" si="8366"/>
        <v>271252</v>
      </c>
      <c r="Q703" s="41">
        <f t="shared" si="8366"/>
        <v>271460</v>
      </c>
      <c r="R703" s="41">
        <f t="shared" si="8366"/>
        <v>278158</v>
      </c>
      <c r="S703" s="41">
        <f t="shared" si="8366"/>
        <v>266475.5</v>
      </c>
      <c r="T703" s="41">
        <f t="shared" si="8366"/>
        <v>250515</v>
      </c>
      <c r="U703" s="41">
        <f t="shared" si="8366"/>
        <v>256601.5</v>
      </c>
      <c r="V703" s="41">
        <f t="shared" si="8366"/>
        <v>264239</v>
      </c>
      <c r="W703" s="41">
        <f t="shared" si="8366"/>
        <v>272100</v>
      </c>
      <c r="X703" s="41">
        <f t="shared" si="8366"/>
        <v>282400</v>
      </c>
      <c r="Y703" s="41">
        <f t="shared" si="8366"/>
        <v>292477.5</v>
      </c>
      <c r="Z703" s="41">
        <f t="shared" si="8366"/>
        <v>311350.5</v>
      </c>
      <c r="AA703" s="41">
        <f t="shared" si="8366"/>
        <v>330923.5</v>
      </c>
      <c r="AB703" s="41">
        <f t="shared" si="8366"/>
        <v>350002.5</v>
      </c>
      <c r="AC703" s="41">
        <f t="shared" si="8366"/>
        <v>361134.5</v>
      </c>
      <c r="AD703" s="41">
        <f t="shared" si="8366"/>
        <v>374196</v>
      </c>
      <c r="AE703" s="41">
        <f t="shared" si="8366"/>
        <v>394400</v>
      </c>
      <c r="AF703" s="41">
        <f t="shared" si="8366"/>
        <v>395136</v>
      </c>
      <c r="AG703" s="41">
        <f t="shared" si="8366"/>
        <v>398458.5</v>
      </c>
      <c r="AH703" s="41">
        <f t="shared" si="8366"/>
        <v>402811</v>
      </c>
      <c r="AI703" s="41">
        <f t="shared" si="8366"/>
        <v>394076.5</v>
      </c>
      <c r="AJ703" s="41">
        <f t="shared" si="8366"/>
        <v>393445</v>
      </c>
      <c r="AK703" s="41">
        <f t="shared" si="8366"/>
        <v>393298.5</v>
      </c>
      <c r="AL703" s="41">
        <f t="shared" si="8366"/>
        <v>393555.5</v>
      </c>
      <c r="AM703" s="41">
        <f t="shared" si="8366"/>
        <v>406626</v>
      </c>
      <c r="AN703" s="41">
        <f t="shared" si="8366"/>
        <v>432986.5</v>
      </c>
      <c r="AO703" s="41">
        <f t="shared" si="8366"/>
        <v>439198</v>
      </c>
      <c r="AP703" s="41">
        <f t="shared" si="8366"/>
        <v>418775</v>
      </c>
      <c r="AQ703" s="41">
        <f t="shared" si="8366"/>
        <v>412126</v>
      </c>
      <c r="AR703" s="41">
        <f t="shared" si="8366"/>
        <v>426998</v>
      </c>
      <c r="AS703" s="41">
        <f t="shared" si="8366"/>
        <v>446314</v>
      </c>
      <c r="AT703" s="41">
        <f t="shared" si="8366"/>
        <v>445116</v>
      </c>
      <c r="AU703" s="41">
        <f t="shared" si="8366"/>
        <v>434420.5</v>
      </c>
      <c r="AV703" s="41">
        <f t="shared" si="8366"/>
        <v>433053</v>
      </c>
      <c r="AW703" s="41">
        <f t="shared" si="8366"/>
        <v>439680.5</v>
      </c>
      <c r="AX703" s="41">
        <f t="shared" si="8366"/>
        <v>457790.5</v>
      </c>
      <c r="AY703" s="211">
        <f t="shared" si="8366"/>
        <v>463773</v>
      </c>
      <c r="AZ703" s="41">
        <f t="shared" ref="AZ703" si="8367">AVERAGE(AY613:AZ613)</f>
        <v>465775.53999183117</v>
      </c>
      <c r="BA703" s="41">
        <f t="shared" ref="BA703" si="8368">AVERAGE(AZ613:BA613)</f>
        <v>475344.03384829848</v>
      </c>
      <c r="BB703" s="41">
        <f t="shared" ref="BB703" si="8369">AVERAGE(BA613:BB613)</f>
        <v>479788.37855184684</v>
      </c>
      <c r="BC703" s="41">
        <f t="shared" ref="BC703" si="8370">AVERAGE(BB613:BC613)</f>
        <v>484244.63138076034</v>
      </c>
      <c r="BD703" s="41">
        <f t="shared" ref="BD703" si="8371">AVERAGE(BC613:BD613)</f>
        <v>488828.07432572101</v>
      </c>
      <c r="BE703" s="41">
        <f t="shared" ref="BE703" si="8372">AVERAGE(BD613:BE613)</f>
        <v>493607.52558570774</v>
      </c>
      <c r="BF703" s="41">
        <f t="shared" ref="BF703" si="8373">AVERAGE(BE613:BF613)</f>
        <v>498429.07396361046</v>
      </c>
      <c r="BG703" s="41">
        <f t="shared" ref="BG703:BK703" si="8374">AVERAGE(BF613:BG613)</f>
        <v>502969.53802968247</v>
      </c>
      <c r="BH703" s="41">
        <f t="shared" si="8374"/>
        <v>508901.25946100918</v>
      </c>
      <c r="BI703" s="41">
        <f t="shared" si="8374"/>
        <v>516187.61237518757</v>
      </c>
      <c r="BJ703" s="41">
        <f t="shared" si="8374"/>
        <v>523896.93175126112</v>
      </c>
      <c r="BK703" s="41">
        <f t="shared" si="8374"/>
        <v>531765.66667491407</v>
      </c>
      <c r="BL703" s="41">
        <f t="shared" ref="BL703" si="8375">AVERAGE(BK613:BL613)</f>
        <v>539406.4796577181</v>
      </c>
      <c r="BM703" s="41">
        <f t="shared" ref="BM703" si="8376">AVERAGE(BL613:BM613)</f>
        <v>547207.14524284448</v>
      </c>
      <c r="BN703" s="41">
        <f t="shared" ref="BN703" si="8377">AVERAGE(BM613:BN613)</f>
        <v>555596.26188748702</v>
      </c>
      <c r="BO703" s="41">
        <f t="shared" ref="BO703" si="8378">AVERAGE(BN613:BO613)</f>
        <v>564583.42327040317</v>
      </c>
      <c r="BP703" s="41">
        <f t="shared" ref="BP703" si="8379">AVERAGE(BO613:BP613)</f>
        <v>574107.08639517287</v>
      </c>
      <c r="BQ703" s="41">
        <f t="shared" ref="BQ703" si="8380">AVERAGE(BP613:BQ613)</f>
        <v>584192.1192886557</v>
      </c>
      <c r="BR703" s="41"/>
      <c r="BS703" s="41">
        <f t="shared" ref="BS703:BZ703" si="8381">AVERAGE(BR613:BS613)</f>
        <v>80720.600000000006</v>
      </c>
      <c r="BT703" s="41">
        <f t="shared" si="8381"/>
        <v>78790.3</v>
      </c>
      <c r="BU703" s="41">
        <f t="shared" si="8381"/>
        <v>76443.5</v>
      </c>
      <c r="BV703" s="41">
        <f t="shared" si="8381"/>
        <v>79551.5</v>
      </c>
      <c r="BW703" s="41">
        <f t="shared" si="8381"/>
        <v>88296.5</v>
      </c>
      <c r="BX703" s="41">
        <f t="shared" si="8381"/>
        <v>99832</v>
      </c>
      <c r="BY703" s="41">
        <f t="shared" si="8381"/>
        <v>111121.5</v>
      </c>
      <c r="BZ703" s="41">
        <f t="shared" si="8381"/>
        <v>117066.5</v>
      </c>
      <c r="CA703" s="41">
        <f>AVERAGE(BZ613:CA613)</f>
        <v>123862.5</v>
      </c>
      <c r="CB703" s="41">
        <f>AVERAGE(CA613:CB613)</f>
        <v>134408.5</v>
      </c>
      <c r="CC703" s="41">
        <f>SUMPRODUCT(D703:E703,D$5:E$5)/SUM(D$5:E$5)</f>
        <v>137837.20136986303</v>
      </c>
      <c r="CD703" s="41">
        <f>SUMPRODUCT(F703:G703,F$5:G$5)/SUM(F$5:G$5)</f>
        <v>147682.6205479452</v>
      </c>
      <c r="CE703" s="41">
        <f>SUMPRODUCT(H703:I703,H$5:I$5)/SUM(H$5:I$5)</f>
        <v>180285.5</v>
      </c>
      <c r="CF703" s="41">
        <f>SUMPRODUCT(J703:K703,J$5:K$5)/SUM(J$5:K$5)</f>
        <v>208805.55890410961</v>
      </c>
      <c r="CG703" s="41">
        <f>SUMPRODUCT(L703:M703,L$5:M$5)/SUM(L$5:M$5)</f>
        <v>230260.3589041096</v>
      </c>
      <c r="CH703" s="41">
        <f>SUMPRODUCT(N703:O703,N$5:O$5)/SUM(N$5:O$5)</f>
        <v>254027.91506849317</v>
      </c>
      <c r="CI703" s="41">
        <f>SUMPRODUCT(P703:Q703,P$5:Q$5)/SUM(P$5:Q$5)</f>
        <v>271356</v>
      </c>
      <c r="CJ703" s="41">
        <f>SUMPRODUCT(R703:S703,R$5:S$5)/SUM(R$5:S$5)</f>
        <v>272332.75342465751</v>
      </c>
      <c r="CK703" s="41">
        <f>SUMPRODUCT(T703:U703,T$5:U$5)/SUM(T$5:U$5)</f>
        <v>253549.91232876715</v>
      </c>
      <c r="CL703" s="41">
        <f>SUMPRODUCT(V703:W703,V$5:W$5)/SUM(V$5:W$5)</f>
        <v>268158.73150684929</v>
      </c>
      <c r="CM703" s="41">
        <f>SUMPRODUCT(X703:Y703,X$5:Y$5)/SUM(X$5:Y$5)</f>
        <v>287438.75</v>
      </c>
      <c r="CN703" s="41">
        <f>SUMPRODUCT(Z703:AA703,Z$5:AA$5)/SUM(Z$5:AA$5)</f>
        <v>321110.18767123291</v>
      </c>
      <c r="CO703" s="41">
        <f>SUMPRODUCT(AB703:AC703,AB$5:AC$5)/SUM(AB$5:AC$5)</f>
        <v>355553.25068493158</v>
      </c>
      <c r="CP703" s="41">
        <f>SUMPRODUCT(AD703:AE703,AD$5:AE$5)/SUM(AD$5:AE$5)</f>
        <v>384270.32328767126</v>
      </c>
      <c r="CQ703" s="41">
        <f>SUMPRODUCT(AF703:AG703,AF$5:AG$5)/SUM(AF$5:AG$5)</f>
        <v>396797.25</v>
      </c>
      <c r="CR703" s="41">
        <f>SUMPRODUCT(AH703:AI703,AG$5:AH$5)/SUM(AG$5:AH$5)</f>
        <v>398437.75925925927</v>
      </c>
      <c r="CS703" s="41">
        <f>SUMPRODUCT(AJ703:AK703,AJ$5:AK$5)/SUM(AJ$5:AK$5)</f>
        <v>393371.95068493154</v>
      </c>
      <c r="CT703" s="41">
        <f>SUMPRODUCT(AL703:AM703,AL$5:AM$5)/SUM(AL$5:AM$5)</f>
        <v>400072.84520547942</v>
      </c>
      <c r="CU703" s="41">
        <f>SUMPRODUCT(AN703:AO703,AN$5:AO$5)/SUM(AN$5:AO$5)</f>
        <v>436092.25</v>
      </c>
      <c r="CV703" s="41">
        <f>SUMPRODUCT(AP703:AQ703,AP$5:AQ$5)/SUM(AP$5:AQ$5)</f>
        <v>415459.6082191781</v>
      </c>
      <c r="CW703" s="41">
        <f>SUMPRODUCT(AR703:AS703,AR$5:AS$5)/SUM(AR$5:AS$5)</f>
        <v>436629.53972602746</v>
      </c>
      <c r="CX703" s="41">
        <f>SUMPRODUCT(AT703:AU703,AT$5:AU$5)/SUM(AT$5:AU$5)</f>
        <v>439782.90136986302</v>
      </c>
      <c r="CY703" s="41">
        <f>SUMPRODUCT(AV703:AW703,AV$5:AW$5)/SUM(AV$5:AW$5)</f>
        <v>436366.75</v>
      </c>
      <c r="CZ703" s="211">
        <f>SUMPRODUCT(AX703:AY703,AX$5:AY$5)/SUM(AX$5:AY$5)</f>
        <v>460773.55479452055</v>
      </c>
      <c r="DA703" s="41">
        <f>SUMPRODUCT(AZ703:BA703,AZ$5:BA$5)/SUM(AZ$5:BA$5)</f>
        <v>470546.67939423415</v>
      </c>
      <c r="DB703" s="41">
        <f>SUMPRODUCT(BB703:BC703,BB$5:BC$5)/SUM(BB$5:BC$5)</f>
        <v>482010.40051037358</v>
      </c>
      <c r="DC703" s="41">
        <f>SUMPRODUCT(BD703:BE703,BD$5:BE$5)/SUM(BD$5:BE$5)</f>
        <v>491217.79995571438</v>
      </c>
      <c r="DD703" s="41">
        <f>SUMPRODUCT(BF703:BG703,BF$5:BG$5)/SUM(BF$5:BG$5)</f>
        <v>500693.08618285734</v>
      </c>
      <c r="DE703" s="41">
        <f>SUMPRODUCT(BH703:BI703,BH$5:BI$5)/SUM(BH$5:BI$5)</f>
        <v>512534.45461273659</v>
      </c>
      <c r="DF703" s="41">
        <f>SUMPRODUCT(BJ703:BK703,BJ$5:BK$5)/SUM(BJ$5:BK$5)</f>
        <v>527820.52012415102</v>
      </c>
      <c r="DG703" s="41">
        <f>SUMPRODUCT(BL703:BM703,BL$5:BM$5)/SUM(BL$5:BM$5)</f>
        <v>543306.81245028134</v>
      </c>
      <c r="DH703" s="41">
        <f>SUMPRODUCT(BN703:BO703,BN$5:BO$5)/SUM(BN$5:BO$5)</f>
        <v>560077.53139896842</v>
      </c>
      <c r="DI703" s="41">
        <f>SUMPRODUCT(BP703:BQ703,BP$5:BQ$5)/SUM(BP$5:BQ$5)</f>
        <v>579135.78772836167</v>
      </c>
    </row>
    <row r="704" spans="1:113" ht="12" outlineLevel="1">
      <c r="A704" s="1" t="s">
        <v>2243</v>
      </c>
      <c r="B704" s="15" t="s">
        <v>2244</v>
      </c>
      <c r="C704" s="141">
        <v>5546</v>
      </c>
      <c r="D704" s="141">
        <v>5546</v>
      </c>
      <c r="E704" s="141">
        <v>5245</v>
      </c>
      <c r="F704" s="141">
        <v>5381</v>
      </c>
      <c r="G704" s="141">
        <v>5615</v>
      </c>
      <c r="H704" s="141">
        <v>6973</v>
      </c>
      <c r="I704" s="141">
        <v>7915</v>
      </c>
      <c r="J704" s="141">
        <v>8300</v>
      </c>
      <c r="K704" s="141">
        <v>9015</v>
      </c>
      <c r="L704" s="141">
        <v>9349</v>
      </c>
      <c r="M704" s="141">
        <v>9086</v>
      </c>
      <c r="N704" s="141">
        <v>9666</v>
      </c>
      <c r="O704" s="141">
        <v>9897</v>
      </c>
      <c r="P704" s="141">
        <v>9863</v>
      </c>
      <c r="Q704" s="141">
        <v>8974</v>
      </c>
      <c r="R704" s="141">
        <v>9734</v>
      </c>
      <c r="S704" s="141">
        <v>9755</v>
      </c>
      <c r="T704" s="141">
        <v>10396</v>
      </c>
      <c r="U704" s="141">
        <v>10336</v>
      </c>
      <c r="V704" s="141">
        <v>10357</v>
      </c>
      <c r="W704" s="141">
        <v>11039</v>
      </c>
      <c r="X704" s="141">
        <v>11381</v>
      </c>
      <c r="Y704" s="141">
        <v>11326</v>
      </c>
      <c r="Z704" s="141">
        <f>5416+2771+4143</f>
        <v>12330</v>
      </c>
      <c r="AA704" s="141">
        <f>5605+3630+4615</f>
        <v>13850</v>
      </c>
      <c r="AB704" s="141">
        <f>6134+3893+5186</f>
        <v>15213</v>
      </c>
      <c r="AC704" s="141">
        <f>6419+3815+5314</f>
        <v>15548</v>
      </c>
      <c r="AD704" s="141">
        <v>17001</v>
      </c>
      <c r="AE704" s="141">
        <v>18193</v>
      </c>
      <c r="AF704" s="141">
        <v>42328</v>
      </c>
      <c r="AG704" s="141">
        <v>43865</v>
      </c>
      <c r="AH704" s="141">
        <v>46703</v>
      </c>
      <c r="AI704" s="377">
        <f>(46703*178745/183894)</f>
        <v>45395.324126942694</v>
      </c>
      <c r="AJ704" s="377">
        <f>(46703*144409/178745)</f>
        <v>37731.592643150856</v>
      </c>
      <c r="AK704" s="377">
        <f>(46703*150335/145695)</f>
        <v>48190.366896599058</v>
      </c>
      <c r="AL704" s="377">
        <f>(46703*153751/150335)</f>
        <v>47764.212944424122</v>
      </c>
      <c r="AM704" s="377">
        <f>(46703*182093/153751)</f>
        <v>55312.091492087857</v>
      </c>
      <c r="AN704" s="377">
        <f>(46703*204148/182093)</f>
        <v>52359.640645164836</v>
      </c>
      <c r="AO704" s="377">
        <f>(46703*249135/204148)</f>
        <v>56994.689661422104</v>
      </c>
      <c r="AP704" s="141">
        <f>(46703*232192/249135)</f>
        <v>43526.854821683024</v>
      </c>
      <c r="AQ704" s="141">
        <f>(46703*196039/232192)</f>
        <v>39431.200975916479</v>
      </c>
      <c r="AR704" s="141">
        <f>(46703*154332/196039)</f>
        <v>36767.007564821288</v>
      </c>
      <c r="AS704" s="141">
        <f>(46703*183361/154332)</f>
        <v>55487.577320322423</v>
      </c>
      <c r="AT704" s="141">
        <f>(46703*183799/183361)</f>
        <v>46814.560877176715</v>
      </c>
      <c r="AU704" s="141">
        <f>(46703*175260/183799)</f>
        <v>44533.255240779326</v>
      </c>
      <c r="AV704" s="141">
        <f>(46703*169309/175260)</f>
        <v>45117.187190459888</v>
      </c>
      <c r="AW704" s="141">
        <f>(46703*180988/169306)</f>
        <v>49925.475553140466</v>
      </c>
      <c r="AX704" s="141">
        <f>(46703*211347/180988)</f>
        <v>54536.980026300087</v>
      </c>
      <c r="AY704" s="226">
        <f>(46703*214471/211347)</f>
        <v>47393.334719679013</v>
      </c>
      <c r="AZ704" s="41">
        <f t="shared" ref="AZ704" si="8382">AY704*(AZ699/AY699)</f>
        <v>48084.472936827347</v>
      </c>
      <c r="BA704" s="41">
        <f t="shared" ref="BA704" si="8383">AZ704*(BA699/AZ699)</f>
        <v>48628.281863446558</v>
      </c>
      <c r="BB704" s="41">
        <f t="shared" ref="BB704" si="8384">BA704*(BB699/BA699)</f>
        <v>49013.866183871141</v>
      </c>
      <c r="BC704" s="41">
        <f t="shared" ref="BC704" si="8385">BB704*(BC699/BB699)</f>
        <v>49557.566670678912</v>
      </c>
      <c r="BD704" s="41">
        <f t="shared" ref="BD704" si="8386">BC704*(BD699/BC699)</f>
        <v>50202.682749008003</v>
      </c>
      <c r="BE704" s="41">
        <f t="shared" ref="BE704" si="8387">BD704*(BE699/BD699)</f>
        <v>50927.640284542191</v>
      </c>
      <c r="BF704" s="41">
        <f t="shared" ref="BF704" si="8388">BE704*(BF699/BE699)</f>
        <v>51568.133404615532</v>
      </c>
      <c r="BG704" s="41">
        <f t="shared" ref="BG704:BK704" si="8389">BF704*(BG699/BF699)</f>
        <v>52250.525124231244</v>
      </c>
      <c r="BH704" s="41">
        <f t="shared" si="8389"/>
        <v>53050.770702545669</v>
      </c>
      <c r="BI704" s="41">
        <f t="shared" si="8389"/>
        <v>53861.896648475915</v>
      </c>
      <c r="BJ704" s="41">
        <f t="shared" si="8389"/>
        <v>54632.843816839792</v>
      </c>
      <c r="BK704" s="41">
        <f t="shared" si="8389"/>
        <v>55491.200338342889</v>
      </c>
      <c r="BL704" s="41">
        <f t="shared" ref="BL704" si="8390">BK704*(BL699/BK699)</f>
        <v>56308.441047477587</v>
      </c>
      <c r="BM704" s="41">
        <f t="shared" ref="BM704" si="8391">BL704*(BM699/BL699)</f>
        <v>57184.141340887501</v>
      </c>
      <c r="BN704" s="41">
        <f t="shared" ref="BN704" si="8392">BM704*(BN699/BM699)</f>
        <v>58065.888620387806</v>
      </c>
      <c r="BO704" s="41">
        <f t="shared" ref="BO704" si="8393">BN704*(BO699/BN699)</f>
        <v>59027.930990042994</v>
      </c>
      <c r="BP704" s="41">
        <f t="shared" ref="BP704" si="8394">BO704*(BP699/BO699)</f>
        <v>59995.384188564545</v>
      </c>
      <c r="BQ704" s="41">
        <f t="shared" ref="BQ704" si="8395">BP704*(BQ699/BP699)</f>
        <v>61038.247134616155</v>
      </c>
      <c r="BR704" s="41"/>
      <c r="BS704" s="41"/>
      <c r="BT704" s="41"/>
      <c r="BU704" s="41"/>
      <c r="BV704" s="41"/>
      <c r="BW704" s="41"/>
      <c r="BX704" s="41"/>
      <c r="BY704" s="41"/>
      <c r="BZ704" s="41"/>
      <c r="CA704" s="41"/>
      <c r="CB704" s="41"/>
      <c r="CC704" s="41">
        <f>SUMPRODUCT(D704:E704,D$5:E$5)/SUM(D$5:E$5)</f>
        <v>5395.9123287671227</v>
      </c>
      <c r="CD704" s="41">
        <f>SUMPRODUCT(F704:G704,F$5:G$5)/SUM(F$5:G$5)</f>
        <v>5497.6794520547946</v>
      </c>
      <c r="CE704" s="41">
        <f>SUMPRODUCT(H704:I704,H$5:I$5)/SUM(H$5:I$5)</f>
        <v>7444</v>
      </c>
      <c r="CF704" s="41">
        <f>SUMPRODUCT(J704:K704,J$5:K$5)/SUM(J$5:K$5)</f>
        <v>8656.5205479452052</v>
      </c>
      <c r="CG704" s="41">
        <f>SUMPRODUCT(L704:M704,L$5:M$5)/SUM(L$5:M$5)</f>
        <v>9217.860273972603</v>
      </c>
      <c r="CH704" s="41">
        <f>SUMPRODUCT(N704:O704,N$5:O$5)/SUM(N$5:O$5)</f>
        <v>9781.1835616438348</v>
      </c>
      <c r="CI704" s="41">
        <f>SUMPRODUCT(P704:Q704,P$5:Q$5)/SUM(P$5:Q$5)</f>
        <v>9418.5</v>
      </c>
      <c r="CJ704" s="41">
        <f>SUMPRODUCT(R704:S704,R$5:S$5)/SUM(R$5:S$5)</f>
        <v>9744.4712328767146</v>
      </c>
      <c r="CK704" s="41">
        <f>SUMPRODUCT(T704:U704,T$5:U$5)/SUM(T$5:U$5)</f>
        <v>10366.082191780823</v>
      </c>
      <c r="CL704" s="41">
        <f>SUMPRODUCT(V704:W704,V$5:W$5)/SUM(V$5:W$5)</f>
        <v>10697.065753424658</v>
      </c>
      <c r="CM704" s="41">
        <f>SUMPRODUCT(X704:Y704,X$5:Y$5)/SUM(X$5:Y$5)</f>
        <v>11353.5</v>
      </c>
      <c r="CN704" s="41">
        <f>SUMPRODUCT(Z704:AA704,Z$5:AA$5)/SUM(Z$5:AA$5)</f>
        <v>13087.917808219179</v>
      </c>
      <c r="CO704" s="41">
        <f>SUMPRODUCT(AB704:AC704,AB$5:AC$5)/SUM(AB$5:AC$5)</f>
        <v>15380.04109589041</v>
      </c>
      <c r="CP704" s="41">
        <f>SUMPRODUCT(AD704:AE704,AD$5:AE$5)/SUM(AD$5:AE$5)</f>
        <v>17595.367123287673</v>
      </c>
      <c r="CQ704" s="41">
        <f>SUMPRODUCT(AF704:AG704,AF$5:AG$5)/SUM(AF$5:AG$5)</f>
        <v>43096.5</v>
      </c>
      <c r="CR704" s="41">
        <f>SUMPRODUCT(AH704:AI704,AG$5:AH$5)/SUM(AG$5:AH$5)</f>
        <v>46048.265166439072</v>
      </c>
      <c r="CS704" s="41">
        <f>SUMPRODUCT(AJ704:AK704,AJ$5:AK$5)/SUM(AJ$5:AK$5)</f>
        <v>42946.65268185654</v>
      </c>
      <c r="CT704" s="41">
        <f>SUMPRODUCT(AL704:AM704,AL$5:AM$5)/SUM(AL$5:AM$5)</f>
        <v>51527.812658601659</v>
      </c>
      <c r="CU704" s="41">
        <f>SUMPRODUCT(AN704:AO704,AN$5:AO$5)/SUM(AN$5:AO$5)</f>
        <v>54677.16515329347</v>
      </c>
      <c r="CV704" s="41">
        <f>SUMPRODUCT(AP704:AQ704,AP$5:AQ$5)/SUM(AP$5:AQ$5)</f>
        <v>41484.638383519989</v>
      </c>
      <c r="CW704" s="41">
        <f>SUMPRODUCT(AR704:AS704,AR$5:AS$5)/SUM(AR$5:AS$5)</f>
        <v>46101.647826468434</v>
      </c>
      <c r="CX704" s="41">
        <f>SUMPRODUCT(AT704:AU704,AT$5:AU$5)/SUM(AT$5:AU$5)</f>
        <v>45677.033135192272</v>
      </c>
      <c r="CY704" s="41">
        <f>SUMPRODUCT(AV704:AW704,AV$5:AW$5)/SUM(AV$5:AW$5)</f>
        <v>47521.331371800174</v>
      </c>
      <c r="CZ704" s="211">
        <f>SUMPRODUCT(AX704:AY704,AX$5:AY$5)/SUM(AX$5:AY$5)</f>
        <v>50974.943188478079</v>
      </c>
      <c r="DA704" s="41">
        <f>SUMPRODUCT(AZ704:BA704,AZ$5:BA$5)/SUM(AZ$5:BA$5)</f>
        <v>48355.632456401865</v>
      </c>
      <c r="DB704" s="41">
        <f>SUMPRODUCT(BB704:BC704,BB$5:BC$5)/SUM(BB$5:BC$5)</f>
        <v>49284.971632087625</v>
      </c>
      <c r="DC704" s="41">
        <f>SUMPRODUCT(BD704:BE704,BD$5:BE$5)/SUM(BD$5:BE$5)</f>
        <v>50565.161516775101</v>
      </c>
      <c r="DD704" s="41">
        <f>SUMPRODUCT(BF704:BG704,BF$5:BG$5)/SUM(BF$5:BG$5)</f>
        <v>51908.394481245836</v>
      </c>
      <c r="DE704" s="41">
        <f>SUMPRODUCT(BH704:BI704,BH$5:BI$5)/SUM(BH$5:BI$5)</f>
        <v>53455.222544078017</v>
      </c>
      <c r="DF704" s="41">
        <f>SUMPRODUCT(BJ704:BK704,BJ$5:BK$5)/SUM(BJ$5:BK$5)</f>
        <v>55060.846246739966</v>
      </c>
      <c r="DG704" s="41">
        <f>SUMPRODUCT(BL704:BM704,BL$5:BM$5)/SUM(BL$5:BM$5)</f>
        <v>56746.291194182544</v>
      </c>
      <c r="DH704" s="41">
        <f>SUMPRODUCT(BN704:BO704,BN$5:BO$5)/SUM(BN$5:BO$5)</f>
        <v>58545.5919389556</v>
      </c>
      <c r="DI704" s="41">
        <f>SUMPRODUCT(BP704:BQ704,BP$5:BQ$5)/SUM(BP$5:BQ$5)</f>
        <v>60515.387082212204</v>
      </c>
    </row>
    <row r="705" spans="1:113" ht="12" outlineLevel="1">
      <c r="A705" s="1" t="s">
        <v>2225</v>
      </c>
      <c r="B705" s="15" t="s">
        <v>2226</v>
      </c>
      <c r="C705" s="141">
        <v>184</v>
      </c>
      <c r="D705" s="141">
        <v>184</v>
      </c>
      <c r="E705" s="141">
        <v>181</v>
      </c>
      <c r="F705" s="141">
        <v>185</v>
      </c>
      <c r="G705" s="141">
        <v>163</v>
      </c>
      <c r="H705" s="141">
        <v>198</v>
      </c>
      <c r="I705" s="141">
        <v>213</v>
      </c>
      <c r="J705" s="141">
        <v>222</v>
      </c>
      <c r="K705" s="141">
        <v>233</v>
      </c>
      <c r="L705" s="141">
        <v>227</v>
      </c>
      <c r="M705" s="141">
        <v>220</v>
      </c>
      <c r="N705" s="141">
        <v>237</v>
      </c>
      <c r="O705" s="141">
        <v>250</v>
      </c>
      <c r="P705" s="141">
        <v>339</v>
      </c>
      <c r="Q705" s="141">
        <v>406</v>
      </c>
      <c r="R705" s="141">
        <v>539</v>
      </c>
      <c r="S705" s="141">
        <v>393</v>
      </c>
      <c r="T705" s="141">
        <v>360</v>
      </c>
      <c r="U705" s="141">
        <v>353</v>
      </c>
      <c r="V705" s="141">
        <v>388</v>
      </c>
      <c r="W705" s="141">
        <v>503</v>
      </c>
      <c r="X705" s="141">
        <v>476</v>
      </c>
      <c r="Y705" s="141">
        <v>530</v>
      </c>
      <c r="Z705" s="141">
        <v>478</v>
      </c>
      <c r="AA705" s="141">
        <v>585</v>
      </c>
      <c r="AB705" s="141">
        <v>619</v>
      </c>
      <c r="AC705" s="141">
        <v>314</v>
      </c>
      <c r="AD705" s="141">
        <v>511</v>
      </c>
      <c r="AE705" s="141">
        <v>494</v>
      </c>
      <c r="AF705" s="141">
        <v>542</v>
      </c>
      <c r="AG705" s="141">
        <v>484</v>
      </c>
      <c r="AH705" s="141">
        <v>553</v>
      </c>
      <c r="AI705" s="141">
        <v>511</v>
      </c>
      <c r="AJ705" s="141">
        <v>770</v>
      </c>
      <c r="AK705" s="141">
        <v>896</v>
      </c>
      <c r="AL705" s="141">
        <v>380</v>
      </c>
      <c r="AM705" s="141">
        <v>898</v>
      </c>
      <c r="AN705" s="141">
        <v>1099</v>
      </c>
      <c r="AO705" s="141">
        <v>710</v>
      </c>
      <c r="AP705" s="141">
        <v>729</v>
      </c>
      <c r="AQ705" s="141">
        <v>642</v>
      </c>
      <c r="AR705" s="141">
        <v>1123</v>
      </c>
      <c r="AS705" s="141">
        <v>870</v>
      </c>
      <c r="AT705" s="141">
        <v>590</v>
      </c>
      <c r="AU705" s="141">
        <f>1536-AT705</f>
        <v>946</v>
      </c>
      <c r="AV705" s="141">
        <v>1112</v>
      </c>
      <c r="AW705" s="141">
        <v>1054</v>
      </c>
      <c r="AX705" s="141">
        <v>1276</v>
      </c>
      <c r="AY705" s="226">
        <v>1070</v>
      </c>
      <c r="AZ705" s="41">
        <f t="shared" ref="AZ705" si="8396">AY705*(AZ397/AY397)</f>
        <v>1160.7655172413793</v>
      </c>
      <c r="BA705" s="41">
        <f t="shared" ref="BA705" si="8397">AZ705*(BA397/AZ397)</f>
        <v>1069.9016091954024</v>
      </c>
      <c r="BB705" s="41">
        <f t="shared" ref="BB705" si="8398">BA705*(BB397/BA397)</f>
        <v>1137.5502068965518</v>
      </c>
      <c r="BC705" s="41">
        <f t="shared" ref="BC705" si="8399">BB705*(BC397/BB397)</f>
        <v>1048.5035770114944</v>
      </c>
      <c r="BD705" s="41">
        <f t="shared" ref="BD705" si="8400">BC705*(BD397/BC397)</f>
        <v>1171.6767131034485</v>
      </c>
      <c r="BE705" s="41">
        <f t="shared" ref="BE705" si="8401">BD705*(BE397/BD397)</f>
        <v>1079.9586843218392</v>
      </c>
      <c r="BF705" s="41">
        <f t="shared" ref="BF705" si="8402">BE705*(BF397/BE397)</f>
        <v>1183.3934802344829</v>
      </c>
      <c r="BG705" s="41">
        <f t="shared" ref="BG705:BK705" si="8403">BF705*(BG397/BF397)</f>
        <v>1090.7582711650575</v>
      </c>
      <c r="BH705" s="41">
        <f t="shared" si="8403"/>
        <v>1195.2274150368276</v>
      </c>
      <c r="BI705" s="41">
        <f t="shared" si="8403"/>
        <v>1101.6658538767078</v>
      </c>
      <c r="BJ705" s="41">
        <f t="shared" si="8403"/>
        <v>1236.9774700674971</v>
      </c>
      <c r="BK705" s="41">
        <f t="shared" si="8403"/>
        <v>1265.6268954965037</v>
      </c>
      <c r="BL705" s="41">
        <f t="shared" ref="BL705" si="8404">BK705*(BL397/BK397)</f>
        <v>1282.2401891642883</v>
      </c>
      <c r="BM705" s="41">
        <f t="shared" ref="BM705" si="8405">BL705*(BM397/BL397)</f>
        <v>1302.7218570318753</v>
      </c>
      <c r="BN705" s="41">
        <f t="shared" ref="BN705" si="8406">BM705*(BN397/BM397)</f>
        <v>1322.0195561403907</v>
      </c>
      <c r="BO705" s="41">
        <f t="shared" ref="BO705" si="8407">BN705*(BO397/BN397)</f>
        <v>1354.7691949754849</v>
      </c>
      <c r="BP705" s="41">
        <f t="shared" ref="BP705" si="8408">BO705*(BP397/BO397)</f>
        <v>1374.8922537130913</v>
      </c>
      <c r="BQ705" s="41">
        <f t="shared" ref="BQ705" si="8409">BP705*(BQ397/BP397)</f>
        <v>1412.4270997593885</v>
      </c>
      <c r="BR705" s="41"/>
      <c r="BS705" s="41"/>
      <c r="BT705" s="41"/>
      <c r="BU705" s="41"/>
      <c r="BV705" s="41"/>
      <c r="BW705" s="41"/>
      <c r="BX705" s="41"/>
      <c r="BY705" s="41"/>
      <c r="BZ705" s="41"/>
      <c r="CA705" s="41"/>
      <c r="CB705" s="41"/>
      <c r="CC705" s="41"/>
      <c r="CD705" s="41"/>
      <c r="CE705" s="41"/>
      <c r="CF705" s="41"/>
      <c r="CG705" s="41">
        <f t="shared" ref="CG705:CG713" si="8410">SUM(L705:M705)</f>
        <v>447</v>
      </c>
      <c r="CH705" s="41">
        <f t="shared" ref="CH705:CH713" si="8411">SUM(N705:O705)</f>
        <v>487</v>
      </c>
      <c r="CI705" s="41">
        <f t="shared" ref="CI705:CI713" si="8412">SUM(P705:Q705)</f>
        <v>745</v>
      </c>
      <c r="CJ705" s="41">
        <f t="shared" ref="CJ705:CJ713" si="8413">SUM(R705:S705)</f>
        <v>932</v>
      </c>
      <c r="CK705" s="41">
        <f t="shared" ref="CK705:CK713" si="8414">SUM(T705:U705)</f>
        <v>713</v>
      </c>
      <c r="CL705" s="41">
        <f t="shared" ref="CL705:CL713" si="8415">SUM(V705:W705)</f>
        <v>891</v>
      </c>
      <c r="CM705" s="41">
        <f t="shared" ref="CM705:CM713" si="8416">SUM(X705:Y705)</f>
        <v>1006</v>
      </c>
      <c r="CN705" s="41">
        <f t="shared" ref="CN705:CN713" si="8417">SUM(Z705:AA705)</f>
        <v>1063</v>
      </c>
      <c r="CO705" s="41">
        <f t="shared" ref="CO705:CO713" si="8418">SUM(AB705:AC705)</f>
        <v>933</v>
      </c>
      <c r="CP705" s="41">
        <f t="shared" ref="CP705:CP713" si="8419">SUM(AD705:AE705)</f>
        <v>1005</v>
      </c>
      <c r="CQ705" s="41">
        <f t="shared" ref="CQ705:CQ713" si="8420">SUM(AF705:AG705)</f>
        <v>1026</v>
      </c>
      <c r="CR705" s="41">
        <f t="shared" ref="CR705:CR713" si="8421">SUM(AH705:AI705)</f>
        <v>1064</v>
      </c>
      <c r="CS705" s="41">
        <f t="shared" ref="CS705:CS713" si="8422">SUM(AJ705:AK705)</f>
        <v>1666</v>
      </c>
      <c r="CT705" s="41">
        <f t="shared" ref="CT705:CT713" si="8423">SUM(AL705:AM705)</f>
        <v>1278</v>
      </c>
      <c r="CU705" s="41">
        <f t="shared" ref="CU705:CU713" si="8424">SUM(AN705:AO705)</f>
        <v>1809</v>
      </c>
      <c r="CV705" s="41">
        <f t="shared" ref="CV705:CV713" si="8425">SUM(AP705:AQ705)</f>
        <v>1371</v>
      </c>
      <c r="CW705" s="41">
        <f t="shared" ref="CW705:CW713" si="8426">SUM(AR705:AS705)</f>
        <v>1993</v>
      </c>
      <c r="CX705" s="41">
        <f t="shared" ref="CX705:CX713" si="8427">SUM(AT705:AU705)</f>
        <v>1536</v>
      </c>
      <c r="CY705" s="41">
        <f t="shared" ref="CY705:CY713" si="8428">SUM(AV705:AW705)</f>
        <v>2166</v>
      </c>
      <c r="CZ705" s="211">
        <f t="shared" ref="CZ705:CZ713" si="8429">SUM(AX705:AY705)</f>
        <v>2346</v>
      </c>
      <c r="DA705" s="41">
        <f t="shared" ref="DA705:DA713" si="8430">SUM(AZ705:BA705)</f>
        <v>2230.6671264367815</v>
      </c>
      <c r="DB705" s="41">
        <f t="shared" ref="DB705:DB713" si="8431">SUM(BB705:BC705)</f>
        <v>2186.0537839080462</v>
      </c>
      <c r="DC705" s="41">
        <f t="shared" ref="DC705:DC713" si="8432">SUM(BD705:BE705)</f>
        <v>2251.6353974252879</v>
      </c>
      <c r="DD705" s="41">
        <f t="shared" ref="DD705:DD713" si="8433">SUM(BF705:BG705)</f>
        <v>2274.1517513995404</v>
      </c>
      <c r="DE705" s="41">
        <f t="shared" ref="DE705:DE713" si="8434">SUM(BH705:BI705)</f>
        <v>2296.8932689135354</v>
      </c>
      <c r="DF705" s="41">
        <f t="shared" ref="DF705:DF713" si="8435">SUM(BJ705:BK705)</f>
        <v>2502.6043655640005</v>
      </c>
      <c r="DG705" s="41">
        <f t="shared" ref="DG705:DG713" si="8436">SUM(BL705:BM705)</f>
        <v>2584.9620461961636</v>
      </c>
      <c r="DH705" s="41">
        <f t="shared" ref="DH705:DH713" si="8437">SUM(BN705:BO705)</f>
        <v>2676.7887511158756</v>
      </c>
      <c r="DI705" s="41">
        <f t="shared" ref="DI705:DI713" si="8438">SUM(BP705:BQ705)</f>
        <v>2787.3193534724796</v>
      </c>
    </row>
    <row r="706" spans="1:113" ht="12" outlineLevel="1">
      <c r="A706" s="1" t="s">
        <v>2227</v>
      </c>
      <c r="B706" s="15" t="s">
        <v>2228</v>
      </c>
      <c r="C706" s="141">
        <v>0</v>
      </c>
      <c r="D706" s="141">
        <v>0</v>
      </c>
      <c r="E706" s="141">
        <v>0</v>
      </c>
      <c r="F706" s="141">
        <v>0</v>
      </c>
      <c r="G706" s="141">
        <v>0</v>
      </c>
      <c r="H706" s="141">
        <v>0</v>
      </c>
      <c r="I706" s="141">
        <v>0</v>
      </c>
      <c r="J706" s="141">
        <v>0</v>
      </c>
      <c r="K706" s="141">
        <v>0</v>
      </c>
      <c r="L706" s="141">
        <v>0</v>
      </c>
      <c r="M706" s="141">
        <v>0</v>
      </c>
      <c r="N706" s="141">
        <v>0</v>
      </c>
      <c r="O706" s="141">
        <v>-45</v>
      </c>
      <c r="P706" s="141">
        <v>-226</v>
      </c>
      <c r="Q706" s="141">
        <v>-305</v>
      </c>
      <c r="R706" s="141">
        <v>-812</v>
      </c>
      <c r="S706" s="141">
        <v>759</v>
      </c>
      <c r="T706" s="141">
        <v>64</v>
      </c>
      <c r="U706" s="141">
        <v>5</v>
      </c>
      <c r="V706" s="141">
        <v>55</v>
      </c>
      <c r="W706" s="141">
        <v>-51</v>
      </c>
      <c r="X706" s="141">
        <v>52</v>
      </c>
      <c r="Y706" s="141">
        <v>21</v>
      </c>
      <c r="Z706" s="141">
        <v>48</v>
      </c>
      <c r="AA706" s="141">
        <v>15</v>
      </c>
      <c r="AB706" s="141">
        <v>9</v>
      </c>
      <c r="AC706" s="141">
        <f>251-AB706</f>
        <v>242</v>
      </c>
      <c r="AD706" s="141">
        <v>4</v>
      </c>
      <c r="AE706" s="141">
        <f>4-AD706</f>
        <v>0</v>
      </c>
      <c r="AF706" s="141">
        <f>6682+37</f>
        <v>6719</v>
      </c>
      <c r="AG706" s="141">
        <f>6682+17-AF706</f>
        <v>-20</v>
      </c>
      <c r="AH706" s="141">
        <v>271</v>
      </c>
      <c r="AI706" s="141">
        <v>-5213</v>
      </c>
      <c r="AJ706" s="141">
        <v>2044</v>
      </c>
      <c r="AK706" s="141">
        <f>2148-AJ706</f>
        <v>104</v>
      </c>
      <c r="AL706" s="141">
        <v>706</v>
      </c>
      <c r="AM706" s="141">
        <f>2121-AL706</f>
        <v>1415</v>
      </c>
      <c r="AN706" s="141">
        <f>2121-AM706</f>
        <v>706</v>
      </c>
      <c r="AO706" s="141">
        <f t="shared" ref="AO706:AY706" si="8439">0-AN706</f>
        <v>-706</v>
      </c>
      <c r="AP706" s="141">
        <f t="shared" si="8439"/>
        <v>706</v>
      </c>
      <c r="AQ706" s="141">
        <f t="shared" si="8439"/>
        <v>-706</v>
      </c>
      <c r="AR706" s="141">
        <f t="shared" si="8439"/>
        <v>706</v>
      </c>
      <c r="AS706" s="141">
        <f t="shared" si="8439"/>
        <v>-706</v>
      </c>
      <c r="AT706" s="141">
        <f t="shared" si="8439"/>
        <v>706</v>
      </c>
      <c r="AU706" s="141">
        <f t="shared" si="8439"/>
        <v>-706</v>
      </c>
      <c r="AV706" s="141">
        <f t="shared" si="8439"/>
        <v>706</v>
      </c>
      <c r="AW706" s="141">
        <f t="shared" si="8439"/>
        <v>-706</v>
      </c>
      <c r="AX706" s="141">
        <f t="shared" si="8439"/>
        <v>706</v>
      </c>
      <c r="AY706" s="226">
        <f t="shared" si="8439"/>
        <v>-706</v>
      </c>
      <c r="AZ706" s="41">
        <f t="shared" ref="AZ706" si="8440">AY706</f>
        <v>-706</v>
      </c>
      <c r="BA706" s="41">
        <f t="shared" ref="BA706" si="8441">AZ706</f>
        <v>-706</v>
      </c>
      <c r="BB706" s="41">
        <f t="shared" ref="BB706" si="8442">BA706</f>
        <v>-706</v>
      </c>
      <c r="BC706" s="41">
        <f t="shared" ref="BC706" si="8443">BB706</f>
        <v>-706</v>
      </c>
      <c r="BD706" s="41">
        <f t="shared" ref="BD706" si="8444">BC706</f>
        <v>-706</v>
      </c>
      <c r="BE706" s="41">
        <f t="shared" ref="BE706" si="8445">BD706</f>
        <v>-706</v>
      </c>
      <c r="BF706" s="41">
        <f t="shared" ref="BF706" si="8446">BE706</f>
        <v>-706</v>
      </c>
      <c r="BG706" s="41">
        <f t="shared" ref="BG706:BK706" si="8447">BF706</f>
        <v>-706</v>
      </c>
      <c r="BH706" s="41">
        <f t="shared" si="8447"/>
        <v>-706</v>
      </c>
      <c r="BI706" s="41">
        <f t="shared" si="8447"/>
        <v>-706</v>
      </c>
      <c r="BJ706" s="41">
        <f t="shared" si="8447"/>
        <v>-706</v>
      </c>
      <c r="BK706" s="41">
        <f t="shared" si="8447"/>
        <v>-706</v>
      </c>
      <c r="BL706" s="41">
        <f t="shared" ref="BL706" si="8448">BK706</f>
        <v>-706</v>
      </c>
      <c r="BM706" s="41">
        <f t="shared" ref="BM706" si="8449">BL706</f>
        <v>-706</v>
      </c>
      <c r="BN706" s="41">
        <f t="shared" ref="BN706" si="8450">BM706</f>
        <v>-706</v>
      </c>
      <c r="BO706" s="41">
        <f t="shared" ref="BO706" si="8451">BN706</f>
        <v>-706</v>
      </c>
      <c r="BP706" s="41">
        <f t="shared" ref="BP706" si="8452">BO706</f>
        <v>-706</v>
      </c>
      <c r="BQ706" s="41">
        <f t="shared" ref="BQ706" si="8453">BP706</f>
        <v>-706</v>
      </c>
      <c r="BR706" s="41"/>
      <c r="BS706" s="41"/>
      <c r="BT706" s="41"/>
      <c r="BU706" s="41"/>
      <c r="BV706" s="41"/>
      <c r="BW706" s="41"/>
      <c r="BX706" s="41"/>
      <c r="BY706" s="41"/>
      <c r="BZ706" s="41"/>
      <c r="CA706" s="41"/>
      <c r="CB706" s="41"/>
      <c r="CC706" s="41"/>
      <c r="CD706" s="41"/>
      <c r="CE706" s="41"/>
      <c r="CF706" s="41"/>
      <c r="CG706" s="41">
        <f t="shared" si="8410"/>
        <v>0</v>
      </c>
      <c r="CH706" s="41">
        <f t="shared" si="8411"/>
        <v>-45</v>
      </c>
      <c r="CI706" s="41">
        <f t="shared" si="8412"/>
        <v>-531</v>
      </c>
      <c r="CJ706" s="41">
        <f t="shared" si="8413"/>
        <v>-53</v>
      </c>
      <c r="CK706" s="41">
        <f t="shared" si="8414"/>
        <v>69</v>
      </c>
      <c r="CL706" s="41">
        <f t="shared" si="8415"/>
        <v>4</v>
      </c>
      <c r="CM706" s="41">
        <f t="shared" si="8416"/>
        <v>73</v>
      </c>
      <c r="CN706" s="41">
        <f t="shared" si="8417"/>
        <v>63</v>
      </c>
      <c r="CO706" s="41">
        <f t="shared" si="8418"/>
        <v>251</v>
      </c>
      <c r="CP706" s="41">
        <f t="shared" si="8419"/>
        <v>4</v>
      </c>
      <c r="CQ706" s="41">
        <f t="shared" si="8420"/>
        <v>6699</v>
      </c>
      <c r="CR706" s="41">
        <f t="shared" si="8421"/>
        <v>-4942</v>
      </c>
      <c r="CS706" s="41">
        <f t="shared" si="8422"/>
        <v>2148</v>
      </c>
      <c r="CT706" s="41">
        <f t="shared" si="8423"/>
        <v>2121</v>
      </c>
      <c r="CU706" s="41">
        <f t="shared" si="8424"/>
        <v>0</v>
      </c>
      <c r="CV706" s="41">
        <f t="shared" si="8425"/>
        <v>0</v>
      </c>
      <c r="CW706" s="41">
        <f t="shared" si="8426"/>
        <v>0</v>
      </c>
      <c r="CX706" s="41">
        <f t="shared" si="8427"/>
        <v>0</v>
      </c>
      <c r="CY706" s="41">
        <f t="shared" si="8428"/>
        <v>0</v>
      </c>
      <c r="CZ706" s="211">
        <f t="shared" si="8429"/>
        <v>0</v>
      </c>
      <c r="DA706" s="41">
        <f t="shared" si="8430"/>
        <v>-1412</v>
      </c>
      <c r="DB706" s="41">
        <f t="shared" si="8431"/>
        <v>-1412</v>
      </c>
      <c r="DC706" s="41">
        <f t="shared" si="8432"/>
        <v>-1412</v>
      </c>
      <c r="DD706" s="41">
        <f t="shared" si="8433"/>
        <v>-1412</v>
      </c>
      <c r="DE706" s="41">
        <f t="shared" si="8434"/>
        <v>-1412</v>
      </c>
      <c r="DF706" s="41">
        <f t="shared" si="8435"/>
        <v>-1412</v>
      </c>
      <c r="DG706" s="41">
        <f t="shared" si="8436"/>
        <v>-1412</v>
      </c>
      <c r="DH706" s="41">
        <f t="shared" si="8437"/>
        <v>-1412</v>
      </c>
      <c r="DI706" s="41">
        <f t="shared" si="8438"/>
        <v>-1412</v>
      </c>
    </row>
    <row r="707" spans="1:113" ht="12" outlineLevel="1">
      <c r="A707" s="1" t="s">
        <v>2229</v>
      </c>
      <c r="B707" s="15" t="s">
        <v>2230</v>
      </c>
      <c r="C707" s="41"/>
      <c r="D707" s="41"/>
      <c r="E707" s="41"/>
      <c r="F707" s="41"/>
      <c r="G707" s="41"/>
      <c r="H707" s="41"/>
      <c r="I707" s="41"/>
      <c r="J707" s="41"/>
      <c r="K707" s="41"/>
      <c r="L707" s="41"/>
      <c r="M707" s="41"/>
      <c r="N707" s="41"/>
      <c r="O707" s="41"/>
      <c r="P707" s="41"/>
      <c r="Q707" s="41"/>
      <c r="R707" s="41"/>
      <c r="S707" s="41"/>
      <c r="T707" s="41"/>
      <c r="U707" s="41"/>
      <c r="V707" s="41"/>
      <c r="W707" s="41"/>
      <c r="X707" s="41"/>
      <c r="Y707" s="41"/>
      <c r="Z707" s="41"/>
      <c r="AA707" s="41"/>
      <c r="AB707" s="41"/>
      <c r="AC707" s="41"/>
      <c r="AD707" s="41"/>
      <c r="AE707" s="41"/>
      <c r="AF707" s="41"/>
      <c r="AG707" s="41"/>
      <c r="AH707" s="41"/>
      <c r="AI707" s="41"/>
      <c r="AJ707" s="41"/>
      <c r="AK707" s="41"/>
      <c r="AL707" s="41"/>
      <c r="AM707" s="41"/>
      <c r="AN707" s="41"/>
      <c r="AO707" s="41"/>
      <c r="AP707" s="41"/>
      <c r="AQ707" s="41"/>
      <c r="AR707" s="41"/>
      <c r="AS707" s="41"/>
      <c r="AT707" s="41"/>
      <c r="AU707" s="41"/>
      <c r="AV707" s="41"/>
      <c r="AW707" s="41"/>
      <c r="AX707" s="41"/>
      <c r="AY707" s="211"/>
      <c r="AZ707" s="41"/>
      <c r="BA707" s="41"/>
      <c r="BB707" s="41"/>
      <c r="BC707" s="41"/>
      <c r="BD707" s="41"/>
      <c r="BE707" s="41"/>
      <c r="BF707" s="41"/>
      <c r="BG707" s="41"/>
      <c r="BH707" s="41"/>
      <c r="BI707" s="41"/>
      <c r="BJ707" s="41"/>
      <c r="BK707" s="41"/>
      <c r="BL707" s="41"/>
      <c r="BM707" s="41"/>
      <c r="BN707" s="41"/>
      <c r="BO707" s="41"/>
      <c r="BP707" s="41"/>
      <c r="BQ707" s="41"/>
      <c r="BR707" s="41"/>
      <c r="BS707" s="41"/>
      <c r="BT707" s="41"/>
      <c r="BU707" s="41"/>
      <c r="BV707" s="41"/>
      <c r="BW707" s="41"/>
      <c r="BX707" s="41"/>
      <c r="BY707" s="41"/>
      <c r="BZ707" s="41"/>
      <c r="CA707" s="41"/>
      <c r="CB707" s="41"/>
      <c r="CC707" s="41"/>
      <c r="CD707" s="41"/>
      <c r="CE707" s="41"/>
      <c r="CF707" s="41"/>
      <c r="CG707" s="41">
        <f t="shared" si="8410"/>
        <v>0</v>
      </c>
      <c r="CH707" s="41">
        <f t="shared" si="8411"/>
        <v>0</v>
      </c>
      <c r="CI707" s="41">
        <f t="shared" si="8412"/>
        <v>0</v>
      </c>
      <c r="CJ707" s="41">
        <f t="shared" si="8413"/>
        <v>0</v>
      </c>
      <c r="CK707" s="41">
        <f t="shared" si="8414"/>
        <v>0</v>
      </c>
      <c r="CL707" s="41">
        <f t="shared" si="8415"/>
        <v>0</v>
      </c>
      <c r="CM707" s="41">
        <f t="shared" si="8416"/>
        <v>0</v>
      </c>
      <c r="CN707" s="41">
        <f t="shared" si="8417"/>
        <v>0</v>
      </c>
      <c r="CO707" s="41">
        <f t="shared" si="8418"/>
        <v>0</v>
      </c>
      <c r="CP707" s="41">
        <f t="shared" si="8419"/>
        <v>0</v>
      </c>
      <c r="CQ707" s="41">
        <f t="shared" si="8420"/>
        <v>0</v>
      </c>
      <c r="CR707" s="41">
        <f t="shared" si="8421"/>
        <v>0</v>
      </c>
      <c r="CS707" s="41">
        <f t="shared" si="8422"/>
        <v>0</v>
      </c>
      <c r="CT707" s="41">
        <f t="shared" si="8423"/>
        <v>0</v>
      </c>
      <c r="CU707" s="41">
        <f t="shared" si="8424"/>
        <v>0</v>
      </c>
      <c r="CV707" s="41">
        <f t="shared" si="8425"/>
        <v>0</v>
      </c>
      <c r="CW707" s="41">
        <f t="shared" si="8426"/>
        <v>0</v>
      </c>
      <c r="CX707" s="41">
        <f t="shared" si="8427"/>
        <v>0</v>
      </c>
      <c r="CY707" s="41">
        <f t="shared" si="8428"/>
        <v>0</v>
      </c>
      <c r="CZ707" s="211">
        <f t="shared" si="8429"/>
        <v>0</v>
      </c>
      <c r="DA707" s="41">
        <f t="shared" si="8430"/>
        <v>0</v>
      </c>
      <c r="DB707" s="41">
        <f t="shared" si="8431"/>
        <v>0</v>
      </c>
      <c r="DC707" s="41">
        <f t="shared" si="8432"/>
        <v>0</v>
      </c>
      <c r="DD707" s="41">
        <f t="shared" si="8433"/>
        <v>0</v>
      </c>
      <c r="DE707" s="41">
        <f t="shared" si="8434"/>
        <v>0</v>
      </c>
      <c r="DF707" s="41">
        <f t="shared" si="8435"/>
        <v>0</v>
      </c>
      <c r="DG707" s="41">
        <f t="shared" si="8436"/>
        <v>0</v>
      </c>
      <c r="DH707" s="41">
        <f t="shared" si="8437"/>
        <v>0</v>
      </c>
      <c r="DI707" s="41">
        <f t="shared" si="8438"/>
        <v>0</v>
      </c>
    </row>
    <row r="708" spans="1:113" ht="12" outlineLevel="1">
      <c r="A708" s="1" t="s">
        <v>2231</v>
      </c>
      <c r="B708" s="15" t="s">
        <v>2232</v>
      </c>
      <c r="C708" s="141">
        <v>-577</v>
      </c>
      <c r="D708" s="141">
        <v>-577</v>
      </c>
      <c r="E708" s="141">
        <v>-557</v>
      </c>
      <c r="F708" s="141">
        <v>-586</v>
      </c>
      <c r="G708" s="141">
        <v>-591</v>
      </c>
      <c r="H708" s="141">
        <v>-684</v>
      </c>
      <c r="I708" s="141">
        <v>-747</v>
      </c>
      <c r="J708" s="141">
        <v>-793</v>
      </c>
      <c r="K708" s="141">
        <v>-832</v>
      </c>
      <c r="L708" s="141">
        <v>-872</v>
      </c>
      <c r="M708" s="141">
        <v>-874</v>
      </c>
      <c r="N708" s="141">
        <v>-942</v>
      </c>
      <c r="O708" s="141">
        <v>-950</v>
      </c>
      <c r="P708" s="141">
        <v>-1032</v>
      </c>
      <c r="Q708" s="141">
        <v>-1035</v>
      </c>
      <c r="R708" s="141">
        <v>-1129</v>
      </c>
      <c r="S708" s="141">
        <v>-1109</v>
      </c>
      <c r="T708" s="141">
        <v>-1242</v>
      </c>
      <c r="U708" s="141">
        <v>-1382</v>
      </c>
      <c r="V708" s="141">
        <v>-1475</v>
      </c>
      <c r="W708" s="141">
        <v>-1485</v>
      </c>
      <c r="X708" s="141">
        <v>-1554</v>
      </c>
      <c r="Y708" s="141">
        <v>-1512</v>
      </c>
      <c r="Z708" s="141">
        <v>-1547</v>
      </c>
      <c r="AA708" s="141">
        <v>-1556</v>
      </c>
      <c r="AB708" s="141">
        <v>-1745</v>
      </c>
      <c r="AC708" s="141">
        <v>-1750</v>
      </c>
      <c r="AD708" s="141">
        <v>-1852</v>
      </c>
      <c r="AE708" s="141">
        <v>-1867</v>
      </c>
      <c r="AF708" s="141">
        <v>-2467</v>
      </c>
      <c r="AG708" s="141">
        <v>-2412</v>
      </c>
      <c r="AH708" s="141">
        <v>-2329</v>
      </c>
      <c r="AI708" s="141">
        <v>-2227</v>
      </c>
      <c r="AJ708" s="141">
        <v>-2133</v>
      </c>
      <c r="AK708" s="141">
        <v>-2092</v>
      </c>
      <c r="AL708" s="141">
        <v>-2127</v>
      </c>
      <c r="AM708" s="141">
        <v>-2122</v>
      </c>
      <c r="AN708" s="141">
        <v>-2177</v>
      </c>
      <c r="AO708" s="141">
        <v>-2133</v>
      </c>
      <c r="AP708" s="141">
        <v>-2196</v>
      </c>
      <c r="AQ708" s="141">
        <v>-2229</v>
      </c>
      <c r="AR708" s="141">
        <v>-2378</v>
      </c>
      <c r="AS708" s="141">
        <v>-2376</v>
      </c>
      <c r="AT708" s="141">
        <v>-2608</v>
      </c>
      <c r="AU708" s="141">
        <f>-5180-AT708</f>
        <v>-2572</v>
      </c>
      <c r="AV708" s="141">
        <v>-2744</v>
      </c>
      <c r="AW708" s="141">
        <v>-2762</v>
      </c>
      <c r="AX708" s="141">
        <v>-2946</v>
      </c>
      <c r="AY708" s="226">
        <v>-3045</v>
      </c>
      <c r="AZ708" s="41">
        <f t="shared" ref="AZ708" si="8454">AY708*(AZ432/AY432)</f>
        <v>-2917.745296253267</v>
      </c>
      <c r="BA708" s="41">
        <f t="shared" ref="BA708" si="8455">AZ708*(BA432/AZ432)</f>
        <v>-2976.4477403467044</v>
      </c>
      <c r="BB708" s="41">
        <f t="shared" ref="BB708" si="8456">BA708*(BB432/BA432)</f>
        <v>-2878.424377507155</v>
      </c>
      <c r="BC708" s="41">
        <f t="shared" ref="BC708" si="8457">BB708*(BC432/BB432)</f>
        <v>-3055.7085229659651</v>
      </c>
      <c r="BD708" s="41">
        <f t="shared" ref="BD708" si="8458">BC708*(BD432/BC432)</f>
        <v>-2932.5934377870853</v>
      </c>
      <c r="BE708" s="41">
        <f t="shared" ref="BE708" si="8459">BD708*(BE432/BD432)</f>
        <v>-3140.1026097885256</v>
      </c>
      <c r="BF708" s="41">
        <f t="shared" ref="BF708" si="8460">BE708*(BF432/BE432)</f>
        <v>-3030.0687308463762</v>
      </c>
      <c r="BG708" s="41">
        <f t="shared" ref="BG708:BK708" si="8461">BF708*(BG432/BF432)</f>
        <v>-3217.3006188212116</v>
      </c>
      <c r="BH708" s="41">
        <f t="shared" si="8461"/>
        <v>-3103.31343800079</v>
      </c>
      <c r="BI708" s="41">
        <f t="shared" si="8461"/>
        <v>-3309.0240440116836</v>
      </c>
      <c r="BJ708" s="41">
        <f t="shared" si="8461"/>
        <v>-3323.269023324277</v>
      </c>
      <c r="BK708" s="41">
        <f t="shared" si="8461"/>
        <v>-3365.3423112757437</v>
      </c>
      <c r="BL708" s="41">
        <f t="shared" ref="BL708" si="8462">BK708*(BL432/BK432)</f>
        <v>-3400.444922285481</v>
      </c>
      <c r="BM708" s="41">
        <f t="shared" ref="BM708" si="8463">BL708*(BM432/BL432)</f>
        <v>-3448.9072676457859</v>
      </c>
      <c r="BN708" s="41">
        <f t="shared" ref="BN708" si="8464">BM708*(BN432/BM432)</f>
        <v>-3488.4152570226543</v>
      </c>
      <c r="BO708" s="41">
        <f t="shared" ref="BO708" si="8465">BN708*(BO432/BN432)</f>
        <v>-3557.4471042563932</v>
      </c>
      <c r="BP708" s="41">
        <f t="shared" ref="BP708" si="8466">BO708*(BP432/BO432)</f>
        <v>-3588.2427515506461</v>
      </c>
      <c r="BQ708" s="41">
        <f t="shared" ref="BQ708" si="8467">BP708*(BQ432/BP432)</f>
        <v>-3659.124118498667</v>
      </c>
      <c r="BR708" s="41"/>
      <c r="BS708" s="41"/>
      <c r="BT708" s="41"/>
      <c r="BU708" s="41"/>
      <c r="BV708" s="41"/>
      <c r="BW708" s="41"/>
      <c r="BX708" s="41"/>
      <c r="BY708" s="41"/>
      <c r="BZ708" s="41"/>
      <c r="CA708" s="41"/>
      <c r="CB708" s="41"/>
      <c r="CC708" s="41"/>
      <c r="CD708" s="41"/>
      <c r="CE708" s="41"/>
      <c r="CF708" s="41"/>
      <c r="CG708" s="41">
        <f t="shared" si="8410"/>
        <v>-1746</v>
      </c>
      <c r="CH708" s="41">
        <f t="shared" si="8411"/>
        <v>-1892</v>
      </c>
      <c r="CI708" s="41">
        <f t="shared" si="8412"/>
        <v>-2067</v>
      </c>
      <c r="CJ708" s="41">
        <f t="shared" si="8413"/>
        <v>-2238</v>
      </c>
      <c r="CK708" s="41">
        <f t="shared" si="8414"/>
        <v>-2624</v>
      </c>
      <c r="CL708" s="41">
        <f t="shared" si="8415"/>
        <v>-2960</v>
      </c>
      <c r="CM708" s="41">
        <f t="shared" si="8416"/>
        <v>-3066</v>
      </c>
      <c r="CN708" s="41">
        <f t="shared" si="8417"/>
        <v>-3103</v>
      </c>
      <c r="CO708" s="41">
        <f t="shared" si="8418"/>
        <v>-3495</v>
      </c>
      <c r="CP708" s="41">
        <f t="shared" si="8419"/>
        <v>-3719</v>
      </c>
      <c r="CQ708" s="41">
        <f t="shared" si="8420"/>
        <v>-4879</v>
      </c>
      <c r="CR708" s="41">
        <f t="shared" si="8421"/>
        <v>-4556</v>
      </c>
      <c r="CS708" s="41">
        <f t="shared" si="8422"/>
        <v>-4225</v>
      </c>
      <c r="CT708" s="41">
        <f t="shared" si="8423"/>
        <v>-4249</v>
      </c>
      <c r="CU708" s="41">
        <f t="shared" si="8424"/>
        <v>-4310</v>
      </c>
      <c r="CV708" s="41">
        <f t="shared" si="8425"/>
        <v>-4425</v>
      </c>
      <c r="CW708" s="41">
        <f t="shared" si="8426"/>
        <v>-4754</v>
      </c>
      <c r="CX708" s="41">
        <f t="shared" si="8427"/>
        <v>-5180</v>
      </c>
      <c r="CY708" s="41">
        <f t="shared" si="8428"/>
        <v>-5506</v>
      </c>
      <c r="CZ708" s="211">
        <f t="shared" si="8429"/>
        <v>-5991</v>
      </c>
      <c r="DA708" s="41">
        <f t="shared" si="8430"/>
        <v>-5894.1930365999715</v>
      </c>
      <c r="DB708" s="41">
        <f t="shared" si="8431"/>
        <v>-5934.1329004731197</v>
      </c>
      <c r="DC708" s="41">
        <f t="shared" si="8432"/>
        <v>-6072.6960475756114</v>
      </c>
      <c r="DD708" s="41">
        <f t="shared" si="8433"/>
        <v>-6247.3693496675878</v>
      </c>
      <c r="DE708" s="41">
        <f t="shared" si="8434"/>
        <v>-6412.3374820124736</v>
      </c>
      <c r="DF708" s="41">
        <f t="shared" si="8435"/>
        <v>-6688.6113346000202</v>
      </c>
      <c r="DG708" s="41">
        <f t="shared" si="8436"/>
        <v>-6849.3521899312673</v>
      </c>
      <c r="DH708" s="41">
        <f t="shared" si="8437"/>
        <v>-7045.862361279047</v>
      </c>
      <c r="DI708" s="41">
        <f t="shared" si="8438"/>
        <v>-7247.3668700493126</v>
      </c>
    </row>
    <row r="709" spans="1:113" ht="12" outlineLevel="1">
      <c r="A709" s="1" t="s">
        <v>2233</v>
      </c>
      <c r="B709" s="15" t="s">
        <v>2234</v>
      </c>
      <c r="C709" s="141">
        <v>0</v>
      </c>
      <c r="D709" s="141">
        <v>0</v>
      </c>
      <c r="E709" s="141">
        <v>0</v>
      </c>
      <c r="F709" s="141">
        <v>0</v>
      </c>
      <c r="G709" s="141">
        <v>0</v>
      </c>
      <c r="H709" s="141">
        <v>0</v>
      </c>
      <c r="I709" s="141">
        <v>0</v>
      </c>
      <c r="J709" s="141">
        <v>-41</v>
      </c>
      <c r="K709" s="141">
        <v>-39</v>
      </c>
      <c r="L709" s="141">
        <v>-38</v>
      </c>
      <c r="M709" s="141">
        <v>-38</v>
      </c>
      <c r="N709" s="141">
        <v>-36</v>
      </c>
      <c r="O709" s="141">
        <v>-26</v>
      </c>
      <c r="P709" s="141">
        <v>-44</v>
      </c>
      <c r="Q709" s="141">
        <v>-40</v>
      </c>
      <c r="R709" s="141">
        <v>-52</v>
      </c>
      <c r="S709" s="141">
        <v>-51</v>
      </c>
      <c r="T709" s="141">
        <v>-65</v>
      </c>
      <c r="U709" s="141">
        <v>-75</v>
      </c>
      <c r="V709" s="141">
        <v>-78</v>
      </c>
      <c r="W709" s="141">
        <v>-88</v>
      </c>
      <c r="X709" s="141">
        <v>-101</v>
      </c>
      <c r="Y709" s="141">
        <v>-88</v>
      </c>
      <c r="Z709" s="141">
        <v>-101</v>
      </c>
      <c r="AA709" s="141">
        <v>-99</v>
      </c>
      <c r="AB709" s="141">
        <v>-110</v>
      </c>
      <c r="AC709" s="141">
        <v>-105</v>
      </c>
      <c r="AD709" s="141">
        <v>-108</v>
      </c>
      <c r="AE709" s="141">
        <v>-108</v>
      </c>
      <c r="AF709" s="141">
        <v>-92</v>
      </c>
      <c r="AG709" s="141">
        <v>-90</v>
      </c>
      <c r="AH709" s="141">
        <f>156/160*AG709</f>
        <v>-87.75</v>
      </c>
      <c r="AI709" s="141">
        <f>144/160*AH709</f>
        <v>-78.975000000000009</v>
      </c>
      <c r="AJ709" s="141">
        <f>120/149*AI709</f>
        <v>-63.604026845637584</v>
      </c>
      <c r="AK709" s="141">
        <f>123/141*AJ709</f>
        <v>-55.484363844066834</v>
      </c>
      <c r="AL709" s="141">
        <f>97/146*AK709</f>
        <v>-36.862899266263582</v>
      </c>
      <c r="AM709" s="141">
        <f t="shared" ref="AM709:AY709" si="8468">126/147*AL709</f>
        <v>-31.596770799654497</v>
      </c>
      <c r="AN709" s="141">
        <f t="shared" si="8468"/>
        <v>-27.082946399703854</v>
      </c>
      <c r="AO709" s="141">
        <f t="shared" si="8468"/>
        <v>-23.213954056889015</v>
      </c>
      <c r="AP709" s="141">
        <f t="shared" si="8468"/>
        <v>-19.897674905904868</v>
      </c>
      <c r="AQ709" s="141">
        <f t="shared" si="8468"/>
        <v>-17.055149919347027</v>
      </c>
      <c r="AR709" s="141">
        <f t="shared" si="8468"/>
        <v>-14.61869993086888</v>
      </c>
      <c r="AS709" s="141">
        <f t="shared" si="8468"/>
        <v>-12.530314226459039</v>
      </c>
      <c r="AT709" s="141">
        <f t="shared" si="8468"/>
        <v>-10.740269336964889</v>
      </c>
      <c r="AU709" s="141">
        <f t="shared" si="8468"/>
        <v>-9.2059451459699044</v>
      </c>
      <c r="AV709" s="141">
        <f t="shared" si="8468"/>
        <v>-7.8908101251170608</v>
      </c>
      <c r="AW709" s="141">
        <f t="shared" si="8468"/>
        <v>-6.7635515358146234</v>
      </c>
      <c r="AX709" s="141">
        <f t="shared" si="8468"/>
        <v>-5.797329887841105</v>
      </c>
      <c r="AY709" s="226">
        <f t="shared" si="8468"/>
        <v>-4.9691399038638044</v>
      </c>
      <c r="AZ709" s="41">
        <f t="shared" ref="AZ709:BK709" si="8469">AY709*(AZ432/AY432)</f>
        <v>-4.7614727687760352</v>
      </c>
      <c r="BA709" s="41">
        <f t="shared" si="8469"/>
        <v>-4.8572693721911531</v>
      </c>
      <c r="BB709" s="41">
        <f t="shared" si="8469"/>
        <v>-4.6973049046059563</v>
      </c>
      <c r="BC709" s="41">
        <f t="shared" si="8469"/>
        <v>-4.986615157979279</v>
      </c>
      <c r="BD709" s="41">
        <f t="shared" si="8469"/>
        <v>-4.7857034724193568</v>
      </c>
      <c r="BE709" s="41">
        <f t="shared" si="8469"/>
        <v>-5.1243379903208659</v>
      </c>
      <c r="BF709" s="41">
        <f t="shared" si="8469"/>
        <v>-4.9447735441374991</v>
      </c>
      <c r="BG709" s="41">
        <f t="shared" si="8469"/>
        <v>-5.2503175329097527</v>
      </c>
      <c r="BH709" s="41">
        <f t="shared" si="8469"/>
        <v>-5.0643016876737281</v>
      </c>
      <c r="BI709" s="41">
        <f t="shared" si="8469"/>
        <v>-5.4000011231340688</v>
      </c>
      <c r="BJ709" s="41">
        <f t="shared" si="8469"/>
        <v>-5.4232475254762438</v>
      </c>
      <c r="BK709" s="41">
        <f t="shared" si="8469"/>
        <v>-5.491906984933185</v>
      </c>
      <c r="BL709" s="41">
        <f t="shared" ref="BL709" si="8470">BK709*(BL432/BK432)</f>
        <v>-5.5491909866075018</v>
      </c>
      <c r="BM709" s="41">
        <f t="shared" ref="BM709" si="8471">BL709*(BM432/BL432)</f>
        <v>-5.628276758090168</v>
      </c>
      <c r="BN709" s="41">
        <f t="shared" ref="BN709" si="8472">BM709*(BN432/BM432)</f>
        <v>-5.6927499030931319</v>
      </c>
      <c r="BO709" s="41">
        <f t="shared" ref="BO709" si="8473">BN709*(BO432/BN432)</f>
        <v>-5.8054030744319176</v>
      </c>
      <c r="BP709" s="41">
        <f t="shared" ref="BP709" si="8474">BO709*(BP432/BO432)</f>
        <v>-5.8556585357899431</v>
      </c>
      <c r="BQ709" s="41">
        <f t="shared" ref="BQ709" si="8475">BP709*(BQ432/BP432)</f>
        <v>-5.9713299410253535</v>
      </c>
      <c r="BR709" s="41"/>
      <c r="BS709" s="41"/>
      <c r="BT709" s="41"/>
      <c r="BU709" s="41"/>
      <c r="BV709" s="41"/>
      <c r="BW709" s="41"/>
      <c r="BX709" s="41"/>
      <c r="BY709" s="41"/>
      <c r="BZ709" s="41"/>
      <c r="CA709" s="41"/>
      <c r="CB709" s="41"/>
      <c r="CC709" s="41"/>
      <c r="CD709" s="41"/>
      <c r="CE709" s="41"/>
      <c r="CF709" s="41"/>
      <c r="CG709" s="41">
        <f t="shared" si="8410"/>
        <v>-76</v>
      </c>
      <c r="CH709" s="41">
        <f t="shared" si="8411"/>
        <v>-62</v>
      </c>
      <c r="CI709" s="41">
        <f t="shared" si="8412"/>
        <v>-84</v>
      </c>
      <c r="CJ709" s="41">
        <f t="shared" si="8413"/>
        <v>-103</v>
      </c>
      <c r="CK709" s="41">
        <f t="shared" si="8414"/>
        <v>-140</v>
      </c>
      <c r="CL709" s="41">
        <f t="shared" si="8415"/>
        <v>-166</v>
      </c>
      <c r="CM709" s="41">
        <f t="shared" si="8416"/>
        <v>-189</v>
      </c>
      <c r="CN709" s="41">
        <f t="shared" si="8417"/>
        <v>-200</v>
      </c>
      <c r="CO709" s="41">
        <f t="shared" si="8418"/>
        <v>-215</v>
      </c>
      <c r="CP709" s="41">
        <f t="shared" si="8419"/>
        <v>-216</v>
      </c>
      <c r="CQ709" s="41">
        <f t="shared" si="8420"/>
        <v>-182</v>
      </c>
      <c r="CR709" s="41">
        <f t="shared" si="8421"/>
        <v>-166.72500000000002</v>
      </c>
      <c r="CS709" s="41">
        <f t="shared" si="8422"/>
        <v>-119.08839068970443</v>
      </c>
      <c r="CT709" s="41">
        <f t="shared" si="8423"/>
        <v>-68.459670065918075</v>
      </c>
      <c r="CU709" s="41">
        <f t="shared" si="8424"/>
        <v>-50.296900456592866</v>
      </c>
      <c r="CV709" s="41">
        <f t="shared" si="8425"/>
        <v>-36.952824825251895</v>
      </c>
      <c r="CW709" s="41">
        <f t="shared" si="8426"/>
        <v>-27.149014157327919</v>
      </c>
      <c r="CX709" s="41">
        <f t="shared" si="8427"/>
        <v>-19.946214482934792</v>
      </c>
      <c r="CY709" s="41">
        <f t="shared" si="8428"/>
        <v>-14.654361660931684</v>
      </c>
      <c r="CZ709" s="211">
        <f t="shared" si="8429"/>
        <v>-10.76646979170491</v>
      </c>
      <c r="DA709" s="41">
        <f t="shared" si="8430"/>
        <v>-9.6187421409671892</v>
      </c>
      <c r="DB709" s="41">
        <f t="shared" si="8431"/>
        <v>-9.6839200625852353</v>
      </c>
      <c r="DC709" s="41">
        <f t="shared" si="8432"/>
        <v>-9.9100414627402227</v>
      </c>
      <c r="DD709" s="41">
        <f t="shared" si="8433"/>
        <v>-10.195091077047252</v>
      </c>
      <c r="DE709" s="41">
        <f t="shared" si="8434"/>
        <v>-10.464302810807798</v>
      </c>
      <c r="DF709" s="41">
        <f t="shared" si="8435"/>
        <v>-10.91515451040943</v>
      </c>
      <c r="DG709" s="41">
        <f t="shared" si="8436"/>
        <v>-11.177467744697669</v>
      </c>
      <c r="DH709" s="41">
        <f t="shared" si="8437"/>
        <v>-11.498152977525049</v>
      </c>
      <c r="DI709" s="41">
        <f t="shared" si="8438"/>
        <v>-11.826988476815297</v>
      </c>
    </row>
    <row r="710" spans="1:113" ht="12" outlineLevel="1">
      <c r="A710" s="1" t="s">
        <v>2235</v>
      </c>
      <c r="B710" s="15" t="s">
        <v>2236</v>
      </c>
      <c r="C710" s="141">
        <v>-149</v>
      </c>
      <c r="D710" s="141">
        <v>-149</v>
      </c>
      <c r="E710" s="141">
        <v>-150</v>
      </c>
      <c r="F710" s="141">
        <v>-139</v>
      </c>
      <c r="G710" s="141">
        <v>-156</v>
      </c>
      <c r="H710" s="141">
        <v>-167</v>
      </c>
      <c r="I710" s="141">
        <v>-186</v>
      </c>
      <c r="J710" s="141">
        <v>-194</v>
      </c>
      <c r="K710" s="141">
        <v>-200</v>
      </c>
      <c r="L710" s="141">
        <v>-205</v>
      </c>
      <c r="M710" s="141">
        <v>-208</v>
      </c>
      <c r="N710" s="141">
        <v>-223</v>
      </c>
      <c r="O710" s="141">
        <v>-239</v>
      </c>
      <c r="P710" s="141">
        <v>-252</v>
      </c>
      <c r="Q710" s="141">
        <v>-260</v>
      </c>
      <c r="R710" s="141">
        <v>-284</v>
      </c>
      <c r="S710" s="141">
        <v>-275</v>
      </c>
      <c r="T710" s="141">
        <v>-300</v>
      </c>
      <c r="U710" s="141">
        <v>-333</v>
      </c>
      <c r="V710" s="141">
        <v>-341</v>
      </c>
      <c r="W710" s="141">
        <v>-340</v>
      </c>
      <c r="X710" s="141">
        <v>-353</v>
      </c>
      <c r="Y710" s="141">
        <v>-363</v>
      </c>
      <c r="Z710" s="141">
        <v>-356</v>
      </c>
      <c r="AA710" s="141">
        <v>-377</v>
      </c>
      <c r="AB710" s="141">
        <v>-442</v>
      </c>
      <c r="AC710" s="141">
        <v>-446</v>
      </c>
      <c r="AD710" s="141">
        <v>-455</v>
      </c>
      <c r="AE710" s="141">
        <v>-467</v>
      </c>
      <c r="AF710" s="141">
        <v>-458</v>
      </c>
      <c r="AG710" s="141">
        <v>-470</v>
      </c>
      <c r="AH710" s="141">
        <v>-457</v>
      </c>
      <c r="AI710" s="141">
        <v>-454</v>
      </c>
      <c r="AJ710" s="141">
        <v>-395</v>
      </c>
      <c r="AK710" s="141">
        <v>-416</v>
      </c>
      <c r="AL710" s="141">
        <v>-406</v>
      </c>
      <c r="AM710" s="141">
        <v>-389</v>
      </c>
      <c r="AN710" s="141">
        <v>-405</v>
      </c>
      <c r="AO710" s="141">
        <v>-384</v>
      </c>
      <c r="AP710" s="141">
        <v>-350</v>
      </c>
      <c r="AQ710" s="141">
        <v>-355</v>
      </c>
      <c r="AR710" s="141">
        <v>-341</v>
      </c>
      <c r="AS710" s="141">
        <v>-380</v>
      </c>
      <c r="AT710" s="141">
        <v>-334</v>
      </c>
      <c r="AU710" s="141">
        <v>-324</v>
      </c>
      <c r="AV710" s="141">
        <v>-321</v>
      </c>
      <c r="AW710" s="141">
        <v>-338</v>
      </c>
      <c r="AX710" s="141">
        <v>-348</v>
      </c>
      <c r="AY710" s="226">
        <v>-362</v>
      </c>
      <c r="AZ710" s="41">
        <f t="shared" ref="AZ710" si="8476">AY710*(AZ440/AY440)</f>
        <v>-294.52113450406819</v>
      </c>
      <c r="BA710" s="41">
        <f t="shared" ref="BA710" si="8477">AZ710*(BA440/AZ440)</f>
        <v>-314.05566514808902</v>
      </c>
      <c r="BB710" s="41">
        <f t="shared" ref="BB710" si="8478">BA710*(BB440/BA440)</f>
        <v>-293.26700044323684</v>
      </c>
      <c r="BC710" s="41">
        <f t="shared" ref="BC710" si="8479">BB710*(BC440/BB440)</f>
        <v>-330.52701269758387</v>
      </c>
      <c r="BD710" s="41">
        <f t="shared" ref="BD710" si="8480">BC710*(BD440/BC440)</f>
        <v>-307.90218750597478</v>
      </c>
      <c r="BE710" s="41">
        <f t="shared" ref="BE710" si="8481">BD710*(BE440/BD440)</f>
        <v>-348.1410205104446</v>
      </c>
      <c r="BF710" s="41">
        <f t="shared" ref="BF710" si="8482">BE710*(BF440/BE440)</f>
        <v>-312.71042830400211</v>
      </c>
      <c r="BG710" s="41">
        <f t="shared" ref="BG710:BK710" si="8483">BF710*(BG440/BF440)</f>
        <v>-351.07809505284234</v>
      </c>
      <c r="BH710" s="41">
        <f t="shared" si="8483"/>
        <v>-314.65889021851814</v>
      </c>
      <c r="BI710" s="41">
        <f t="shared" si="8483"/>
        <v>-356.3212265400656</v>
      </c>
      <c r="BJ710" s="41">
        <f t="shared" si="8483"/>
        <v>-317.51111854375654</v>
      </c>
      <c r="BK710" s="41">
        <f t="shared" si="8483"/>
        <v>-360.05564680272454</v>
      </c>
      <c r="BL710" s="41">
        <f t="shared" ref="BL710" si="8484">BK710*(BL440/BK440)</f>
        <v>-320.62244930908054</v>
      </c>
      <c r="BM710" s="41">
        <f t="shared" ref="BM710" si="8485">BL710*(BM440/BL440)</f>
        <v>-363.94998388393958</v>
      </c>
      <c r="BN710" s="41">
        <f t="shared" ref="BN710" si="8486">BM710*(BN440/BM440)</f>
        <v>-323.83592437349506</v>
      </c>
      <c r="BO710" s="41">
        <f t="shared" ref="BO710" si="8487">BN710*(BO440/BN440)</f>
        <v>-368.92319943954129</v>
      </c>
      <c r="BP710" s="41">
        <f t="shared" ref="BP710" si="8488">BO710*(BP440/BO440)</f>
        <v>-326.8996145113332</v>
      </c>
      <c r="BQ710" s="41">
        <f t="shared" ref="BQ710" si="8489">BP710*(BQ440/BP440)</f>
        <v>-374.14300180497816</v>
      </c>
      <c r="BR710" s="41"/>
      <c r="BS710" s="41"/>
      <c r="BT710" s="41"/>
      <c r="BU710" s="41"/>
      <c r="BV710" s="41"/>
      <c r="BW710" s="41"/>
      <c r="BX710" s="41"/>
      <c r="BY710" s="41"/>
      <c r="BZ710" s="41"/>
      <c r="CA710" s="41"/>
      <c r="CB710" s="41"/>
      <c r="CC710" s="41"/>
      <c r="CD710" s="41"/>
      <c r="CE710" s="41"/>
      <c r="CF710" s="41"/>
      <c r="CG710" s="41">
        <f t="shared" si="8410"/>
        <v>-413</v>
      </c>
      <c r="CH710" s="41">
        <f t="shared" si="8411"/>
        <v>-462</v>
      </c>
      <c r="CI710" s="41">
        <f t="shared" si="8412"/>
        <v>-512</v>
      </c>
      <c r="CJ710" s="41">
        <f t="shared" si="8413"/>
        <v>-559</v>
      </c>
      <c r="CK710" s="41">
        <f t="shared" si="8414"/>
        <v>-633</v>
      </c>
      <c r="CL710" s="41">
        <f t="shared" si="8415"/>
        <v>-681</v>
      </c>
      <c r="CM710" s="41">
        <f t="shared" si="8416"/>
        <v>-716</v>
      </c>
      <c r="CN710" s="41">
        <f t="shared" si="8417"/>
        <v>-733</v>
      </c>
      <c r="CO710" s="41">
        <f t="shared" si="8418"/>
        <v>-888</v>
      </c>
      <c r="CP710" s="41">
        <f t="shared" si="8419"/>
        <v>-922</v>
      </c>
      <c r="CQ710" s="41">
        <f t="shared" si="8420"/>
        <v>-928</v>
      </c>
      <c r="CR710" s="41">
        <f t="shared" si="8421"/>
        <v>-911</v>
      </c>
      <c r="CS710" s="41">
        <f t="shared" si="8422"/>
        <v>-811</v>
      </c>
      <c r="CT710" s="41">
        <f t="shared" si="8423"/>
        <v>-795</v>
      </c>
      <c r="CU710" s="41">
        <f t="shared" si="8424"/>
        <v>-789</v>
      </c>
      <c r="CV710" s="41">
        <f t="shared" si="8425"/>
        <v>-705</v>
      </c>
      <c r="CW710" s="41">
        <f t="shared" si="8426"/>
        <v>-721</v>
      </c>
      <c r="CX710" s="41">
        <f t="shared" si="8427"/>
        <v>-658</v>
      </c>
      <c r="CY710" s="41">
        <f t="shared" si="8428"/>
        <v>-659</v>
      </c>
      <c r="CZ710" s="211">
        <f t="shared" si="8429"/>
        <v>-710</v>
      </c>
      <c r="DA710" s="41">
        <f t="shared" si="8430"/>
        <v>-608.57679965215721</v>
      </c>
      <c r="DB710" s="41">
        <f t="shared" si="8431"/>
        <v>-623.79401314082065</v>
      </c>
      <c r="DC710" s="41">
        <f t="shared" si="8432"/>
        <v>-656.04320801641938</v>
      </c>
      <c r="DD710" s="41">
        <f t="shared" si="8433"/>
        <v>-663.78852335684451</v>
      </c>
      <c r="DE710" s="41">
        <f t="shared" si="8434"/>
        <v>-670.98011675858379</v>
      </c>
      <c r="DF710" s="41">
        <f t="shared" si="8435"/>
        <v>-677.56676534648113</v>
      </c>
      <c r="DG710" s="41">
        <f t="shared" si="8436"/>
        <v>-684.57243319302006</v>
      </c>
      <c r="DH710" s="41">
        <f t="shared" si="8437"/>
        <v>-692.75912381303635</v>
      </c>
      <c r="DI710" s="41">
        <f t="shared" si="8438"/>
        <v>-701.0426163163113</v>
      </c>
    </row>
    <row r="711" spans="1:113" ht="12" outlineLevel="1">
      <c r="A711" s="1" t="s">
        <v>2237</v>
      </c>
      <c r="B711" s="15" t="s">
        <v>2238</v>
      </c>
      <c r="C711" s="41">
        <f t="shared" ref="C711:L711" si="8490">C465-C712</f>
        <v>-382</v>
      </c>
      <c r="D711" s="41">
        <f t="shared" si="8490"/>
        <v>-393</v>
      </c>
      <c r="E711" s="41">
        <f t="shared" si="8490"/>
        <v>-395</v>
      </c>
      <c r="F711" s="41">
        <f t="shared" si="8490"/>
        <v>-285</v>
      </c>
      <c r="G711" s="41">
        <f t="shared" si="8490"/>
        <v>-303</v>
      </c>
      <c r="H711" s="41">
        <f t="shared" si="8490"/>
        <v>-228</v>
      </c>
      <c r="I711" s="41">
        <f t="shared" si="8490"/>
        <v>-297</v>
      </c>
      <c r="J711" s="41">
        <f t="shared" si="8490"/>
        <v>-161</v>
      </c>
      <c r="K711" s="41">
        <f t="shared" si="8490"/>
        <v>-295</v>
      </c>
      <c r="L711" s="41">
        <f t="shared" si="8490"/>
        <v>-188</v>
      </c>
      <c r="M711" s="41">
        <f t="shared" ref="M711:Y711" si="8491">M465-M712</f>
        <v>-150</v>
      </c>
      <c r="N711" s="41">
        <f t="shared" si="8491"/>
        <v>-153</v>
      </c>
      <c r="O711" s="41">
        <f t="shared" si="8491"/>
        <v>-286</v>
      </c>
      <c r="P711" s="41">
        <f t="shared" si="8491"/>
        <v>-378</v>
      </c>
      <c r="Q711" s="41">
        <f t="shared" si="8491"/>
        <v>-908</v>
      </c>
      <c r="R711" s="41">
        <f t="shared" si="8491"/>
        <v>-1561</v>
      </c>
      <c r="S711" s="41">
        <f t="shared" si="8491"/>
        <v>-1291</v>
      </c>
      <c r="T711" s="41">
        <f t="shared" si="8491"/>
        <v>-1063</v>
      </c>
      <c r="U711" s="41">
        <f t="shared" si="8491"/>
        <v>-762</v>
      </c>
      <c r="V711" s="41">
        <f t="shared" si="8491"/>
        <v>-595</v>
      </c>
      <c r="W711" s="41">
        <f t="shared" si="8491"/>
        <v>-618</v>
      </c>
      <c r="X711" s="41">
        <f t="shared" si="8491"/>
        <v>-722</v>
      </c>
      <c r="Y711" s="41">
        <f t="shared" si="8491"/>
        <v>-915</v>
      </c>
      <c r="Z711" s="41">
        <f t="shared" ref="Z711:AE711" si="8492">Z478-Z712</f>
        <v>-595</v>
      </c>
      <c r="AA711" s="41">
        <f t="shared" si="8492"/>
        <v>-572</v>
      </c>
      <c r="AB711" s="41">
        <f t="shared" si="8492"/>
        <v>-602</v>
      </c>
      <c r="AC711" s="41">
        <f t="shared" si="8492"/>
        <v>-542</v>
      </c>
      <c r="AD711" s="41">
        <f t="shared" si="8492"/>
        <v>-455</v>
      </c>
      <c r="AE711" s="41">
        <f t="shared" si="8492"/>
        <v>-655</v>
      </c>
      <c r="AF711" s="41">
        <f t="shared" ref="AF711:AG711" si="8493">AF478-AF712</f>
        <v>-892</v>
      </c>
      <c r="AG711" s="41">
        <f t="shared" si="8493"/>
        <v>-1047</v>
      </c>
      <c r="AH711" s="41">
        <f t="shared" ref="AH711:AI711" si="8494">AH478-AH712</f>
        <v>-787</v>
      </c>
      <c r="AI711" s="41">
        <f t="shared" si="8494"/>
        <v>-554</v>
      </c>
      <c r="AJ711" s="41">
        <f t="shared" ref="AJ711:AK711" si="8495">AJ478-AJ712</f>
        <v>-430</v>
      </c>
      <c r="AK711" s="41">
        <f t="shared" si="8495"/>
        <v>-343</v>
      </c>
      <c r="AL711" s="41">
        <f t="shared" ref="AL711:AM711" si="8496">AL478-AL712</f>
        <v>-380</v>
      </c>
      <c r="AM711" s="41">
        <f t="shared" si="8496"/>
        <v>-399</v>
      </c>
      <c r="AN711" s="41">
        <f t="shared" ref="AN711:AO711" si="8497">AN478-AN712</f>
        <v>-626</v>
      </c>
      <c r="AO711" s="41">
        <f t="shared" si="8497"/>
        <v>-395</v>
      </c>
      <c r="AP711" s="41">
        <f t="shared" ref="AP711:AQ711" si="8498">AP478-AP712</f>
        <v>-187</v>
      </c>
      <c r="AQ711" s="41">
        <f t="shared" si="8498"/>
        <v>-69</v>
      </c>
      <c r="AR711" s="41">
        <f t="shared" ref="AR711" si="8499">AR478-AR712</f>
        <v>-87</v>
      </c>
      <c r="AS711" s="141">
        <v>0</v>
      </c>
      <c r="AT711" s="141">
        <v>0</v>
      </c>
      <c r="AU711" s="141">
        <v>0</v>
      </c>
      <c r="AV711" s="141">
        <v>0</v>
      </c>
      <c r="AW711" s="141">
        <v>0</v>
      </c>
      <c r="AX711" s="141">
        <v>0</v>
      </c>
      <c r="AY711" s="226">
        <v>0</v>
      </c>
      <c r="AZ711" s="41">
        <f t="shared" ref="AZ711:BA711" si="8500">AZ465-AZ712</f>
        <v>-389.5519085456591</v>
      </c>
      <c r="BA711" s="41">
        <f t="shared" si="8500"/>
        <v>-433.57844335048014</v>
      </c>
      <c r="BB711" s="41">
        <f t="shared" ref="BB711:BC711" si="8501">BB465-BB712</f>
        <v>-497.44857716323691</v>
      </c>
      <c r="BC711" s="41">
        <f t="shared" si="8501"/>
        <v>-611.31897732471521</v>
      </c>
      <c r="BD711" s="41">
        <f t="shared" ref="BD711:BE711" si="8502">BD465-BD712</f>
        <v>-591.2335979661035</v>
      </c>
      <c r="BE711" s="41">
        <f t="shared" si="8502"/>
        <v>-576.66585717863234</v>
      </c>
      <c r="BF711" s="41">
        <f t="shared" ref="BF711:BG711" si="8503">BF465-BF712</f>
        <v>-545.09224088436576</v>
      </c>
      <c r="BG711" s="41">
        <f t="shared" si="8503"/>
        <v>-525.90628274963069</v>
      </c>
      <c r="BH711" s="41">
        <f t="shared" ref="BH711:BI711" si="8504">BH465-BH712</f>
        <v>-594.83106443485349</v>
      </c>
      <c r="BI711" s="41">
        <f t="shared" si="8504"/>
        <v>-591.01778286227182</v>
      </c>
      <c r="BJ711" s="41">
        <f t="shared" ref="BJ711:BK711" si="8505">BJ465-BJ712</f>
        <v>-438.27381792740448</v>
      </c>
      <c r="BK711" s="41">
        <f t="shared" si="8505"/>
        <v>-459.46200178726423</v>
      </c>
      <c r="BL711" s="41">
        <f t="shared" ref="BL711:BM711" si="8506">BL465-BL712</f>
        <v>-502.93231066775792</v>
      </c>
      <c r="BM711" s="41">
        <f t="shared" si="8506"/>
        <v>-565.88048349164933</v>
      </c>
      <c r="BN711" s="41">
        <f t="shared" ref="BN711:BO711" si="8507">BN465-BN712</f>
        <v>-653.75288517633157</v>
      </c>
      <c r="BO711" s="41">
        <f t="shared" si="8507"/>
        <v>-722.05482705558427</v>
      </c>
      <c r="BP711" s="41">
        <f t="shared" ref="BP711:BQ711" si="8508">BP465-BP712</f>
        <v>-795.59114644351712</v>
      </c>
      <c r="BQ711" s="41">
        <f t="shared" si="8508"/>
        <v>-814.54641968404712</v>
      </c>
      <c r="BR711" s="41"/>
      <c r="BS711" s="41"/>
      <c r="BT711" s="41"/>
      <c r="BU711" s="41"/>
      <c r="BV711" s="41"/>
      <c r="BW711" s="41"/>
      <c r="BX711" s="41"/>
      <c r="BY711" s="41"/>
      <c r="BZ711" s="41"/>
      <c r="CA711" s="41"/>
      <c r="CB711" s="41"/>
      <c r="CC711" s="41"/>
      <c r="CD711" s="41"/>
      <c r="CE711" s="41"/>
      <c r="CF711" s="41"/>
      <c r="CG711" s="41">
        <f t="shared" si="8410"/>
        <v>-338</v>
      </c>
      <c r="CH711" s="41">
        <f t="shared" si="8411"/>
        <v>-439</v>
      </c>
      <c r="CI711" s="41">
        <f t="shared" si="8412"/>
        <v>-1286</v>
      </c>
      <c r="CJ711" s="41">
        <f t="shared" si="8413"/>
        <v>-2852</v>
      </c>
      <c r="CK711" s="41">
        <f t="shared" si="8414"/>
        <v>-1825</v>
      </c>
      <c r="CL711" s="41">
        <f t="shared" si="8415"/>
        <v>-1213</v>
      </c>
      <c r="CM711" s="41">
        <f t="shared" si="8416"/>
        <v>-1637</v>
      </c>
      <c r="CN711" s="41">
        <f t="shared" si="8417"/>
        <v>-1167</v>
      </c>
      <c r="CO711" s="41">
        <f t="shared" si="8418"/>
        <v>-1144</v>
      </c>
      <c r="CP711" s="41">
        <f t="shared" si="8419"/>
        <v>-1110</v>
      </c>
      <c r="CQ711" s="41">
        <f t="shared" si="8420"/>
        <v>-1939</v>
      </c>
      <c r="CR711" s="41">
        <f t="shared" si="8421"/>
        <v>-1341</v>
      </c>
      <c r="CS711" s="41">
        <f t="shared" si="8422"/>
        <v>-773</v>
      </c>
      <c r="CT711" s="41">
        <f t="shared" si="8423"/>
        <v>-779</v>
      </c>
      <c r="CU711" s="41">
        <f t="shared" si="8424"/>
        <v>-1021</v>
      </c>
      <c r="CV711" s="41">
        <f t="shared" si="8425"/>
        <v>-256</v>
      </c>
      <c r="CW711" s="41">
        <f t="shared" si="8426"/>
        <v>-87</v>
      </c>
      <c r="CX711" s="41">
        <f t="shared" si="8427"/>
        <v>0</v>
      </c>
      <c r="CY711" s="41">
        <f t="shared" si="8428"/>
        <v>0</v>
      </c>
      <c r="CZ711" s="211">
        <f t="shared" si="8429"/>
        <v>0</v>
      </c>
      <c r="DA711" s="41">
        <f t="shared" si="8430"/>
        <v>-823.13035189613925</v>
      </c>
      <c r="DB711" s="41">
        <f t="shared" si="8431"/>
        <v>-1108.7675544879521</v>
      </c>
      <c r="DC711" s="41">
        <f t="shared" si="8432"/>
        <v>-1167.8994551447358</v>
      </c>
      <c r="DD711" s="41">
        <f t="shared" si="8433"/>
        <v>-1070.9985236339965</v>
      </c>
      <c r="DE711" s="41">
        <f t="shared" si="8434"/>
        <v>-1185.8488472971253</v>
      </c>
      <c r="DF711" s="41">
        <f t="shared" si="8435"/>
        <v>-897.73581971466865</v>
      </c>
      <c r="DG711" s="41">
        <f t="shared" si="8436"/>
        <v>-1068.8127941594073</v>
      </c>
      <c r="DH711" s="41">
        <f t="shared" si="8437"/>
        <v>-1375.807712231916</v>
      </c>
      <c r="DI711" s="41">
        <f t="shared" si="8438"/>
        <v>-1610.1375661275642</v>
      </c>
    </row>
    <row r="712" spans="1:113" ht="12" outlineLevel="1">
      <c r="A712" s="1" t="s">
        <v>2239</v>
      </c>
      <c r="B712" s="15" t="s">
        <v>2240</v>
      </c>
      <c r="C712" s="141">
        <v>92</v>
      </c>
      <c r="D712" s="141">
        <v>92</v>
      </c>
      <c r="E712" s="141">
        <v>86</v>
      </c>
      <c r="F712" s="141">
        <v>-18</v>
      </c>
      <c r="G712" s="141">
        <v>-8</v>
      </c>
      <c r="H712" s="141">
        <v>-85</v>
      </c>
      <c r="I712" s="141">
        <v>-22</v>
      </c>
      <c r="J712" s="141">
        <v>-79</v>
      </c>
      <c r="K712" s="141">
        <v>-30</v>
      </c>
      <c r="L712" s="141">
        <v>-36</v>
      </c>
      <c r="M712" s="141">
        <v>-33</v>
      </c>
      <c r="N712" s="141">
        <v>-87</v>
      </c>
      <c r="O712" s="141">
        <v>4</v>
      </c>
      <c r="P712" s="141">
        <v>-348</v>
      </c>
      <c r="Q712" s="141">
        <v>-470</v>
      </c>
      <c r="R712" s="141">
        <v>96</v>
      </c>
      <c r="S712" s="141">
        <v>-331</v>
      </c>
      <c r="T712" s="141">
        <v>-36</v>
      </c>
      <c r="U712" s="141">
        <v>40</v>
      </c>
      <c r="V712" s="141">
        <v>-65</v>
      </c>
      <c r="W712" s="141">
        <v>58</v>
      </c>
      <c r="X712" s="141">
        <v>152</v>
      </c>
      <c r="Y712" s="141">
        <v>227</v>
      </c>
      <c r="Z712" s="141">
        <v>-4</v>
      </c>
      <c r="AA712" s="141">
        <v>-26</v>
      </c>
      <c r="AB712" s="141">
        <v>74</v>
      </c>
      <c r="AC712" s="141">
        <v>81</v>
      </c>
      <c r="AD712" s="141">
        <v>-55</v>
      </c>
      <c r="AE712" s="141">
        <v>-40</v>
      </c>
      <c r="AF712" s="141">
        <v>-26</v>
      </c>
      <c r="AG712" s="141">
        <v>9</v>
      </c>
      <c r="AH712" s="141">
        <v>67</v>
      </c>
      <c r="AI712" s="141">
        <v>75</v>
      </c>
      <c r="AJ712" s="141">
        <v>22</v>
      </c>
      <c r="AK712" s="141">
        <v>63</v>
      </c>
      <c r="AL712" s="141">
        <v>-13</v>
      </c>
      <c r="AM712" s="141">
        <v>-3</v>
      </c>
      <c r="AN712" s="141">
        <v>-1048</v>
      </c>
      <c r="AO712" s="141">
        <v>-669</v>
      </c>
      <c r="AP712" s="141">
        <v>678</v>
      </c>
      <c r="AQ712" s="141">
        <v>145</v>
      </c>
      <c r="AR712" s="141">
        <v>371</v>
      </c>
      <c r="AS712" s="41">
        <f t="shared" ref="AS712:AX712" si="8509">AS478-AS711</f>
        <v>-52</v>
      </c>
      <c r="AT712" s="41">
        <f t="shared" si="8509"/>
        <v>-133</v>
      </c>
      <c r="AU712" s="41">
        <f t="shared" si="8509"/>
        <v>-112</v>
      </c>
      <c r="AV712" s="41">
        <f t="shared" si="8509"/>
        <v>-70</v>
      </c>
      <c r="AW712" s="41">
        <f t="shared" si="8509"/>
        <v>-336</v>
      </c>
      <c r="AX712" s="41">
        <f t="shared" si="8509"/>
        <v>-145</v>
      </c>
      <c r="AY712" s="211">
        <f t="shared" ref="AY712" si="8510">AY478-AY711</f>
        <v>-296</v>
      </c>
      <c r="AZ712" s="41">
        <f t="shared" ref="AZ712" si="8511">AZ121-AY121</f>
        <v>73.684090903188007</v>
      </c>
      <c r="BA712" s="41">
        <f t="shared" ref="BA712" si="8512">BA121-AZ121</f>
        <v>77.500212525709685</v>
      </c>
      <c r="BB712" s="41">
        <f t="shared" ref="BB712" si="8513">BB121-BA121</f>
        <v>69.719945112544337</v>
      </c>
      <c r="BC712" s="41">
        <f t="shared" ref="BC712" si="8514">BC121-BB121</f>
        <v>77.127901785483118</v>
      </c>
      <c r="BD712" s="41">
        <f t="shared" ref="BD712" si="8515">BD121-BC121</f>
        <v>61.238426951070323</v>
      </c>
      <c r="BE712" s="41">
        <f t="shared" ref="BE712" si="8516">BE121-BD121</f>
        <v>66.405916433635866</v>
      </c>
      <c r="BF712" s="41">
        <f t="shared" ref="BF712" si="8517">BF121-BE121</f>
        <v>59.545095086417859</v>
      </c>
      <c r="BG712" s="41">
        <f t="shared" ref="BG712:BK712" si="8518">BG121-BF121</f>
        <v>59.366483930076356</v>
      </c>
      <c r="BH712" s="41">
        <f t="shared" si="8518"/>
        <v>94.312491793771187</v>
      </c>
      <c r="BI712" s="41">
        <f t="shared" si="8518"/>
        <v>93.21808191623677</v>
      </c>
      <c r="BJ712" s="41">
        <f t="shared" si="8518"/>
        <v>98.778535800479403</v>
      </c>
      <c r="BK712" s="41">
        <f t="shared" si="8518"/>
        <v>91.541772333301196</v>
      </c>
      <c r="BL712" s="41">
        <f t="shared" ref="BL712" si="8519">BL121-BK121</f>
        <v>93.399132376759553</v>
      </c>
      <c r="BM712" s="41">
        <f t="shared" ref="BM712" si="8520">BM121-BL121</f>
        <v>95.293211119040279</v>
      </c>
      <c r="BN712" s="41">
        <f t="shared" ref="BN712" si="8521">BN121-BM121</f>
        <v>107.24268173786004</v>
      </c>
      <c r="BO712" s="41">
        <f t="shared" ref="BO712" si="8522">BO121-BN121</f>
        <v>109.36269128057393</v>
      </c>
      <c r="BP712" s="41">
        <f t="shared" ref="BP712" si="8523">BP121-BO121</f>
        <v>119.86305869248281</v>
      </c>
      <c r="BQ712" s="41">
        <f t="shared" ref="BQ712" si="8524">BQ121-BP121</f>
        <v>122.56865936726535</v>
      </c>
      <c r="BR712" s="41"/>
      <c r="BS712" s="41"/>
      <c r="BT712" s="41"/>
      <c r="BU712" s="41"/>
      <c r="BV712" s="41"/>
      <c r="BW712" s="41"/>
      <c r="BX712" s="41"/>
      <c r="BY712" s="41"/>
      <c r="BZ712" s="41"/>
      <c r="CA712" s="41"/>
      <c r="CB712" s="41"/>
      <c r="CC712" s="41"/>
      <c r="CD712" s="41"/>
      <c r="CE712" s="41"/>
      <c r="CF712" s="41"/>
      <c r="CG712" s="41">
        <f t="shared" si="8410"/>
        <v>-69</v>
      </c>
      <c r="CH712" s="41">
        <f t="shared" si="8411"/>
        <v>-83</v>
      </c>
      <c r="CI712" s="41">
        <f t="shared" si="8412"/>
        <v>-818</v>
      </c>
      <c r="CJ712" s="41">
        <f t="shared" si="8413"/>
        <v>-235</v>
      </c>
      <c r="CK712" s="41">
        <f t="shared" si="8414"/>
        <v>4</v>
      </c>
      <c r="CL712" s="41">
        <f t="shared" si="8415"/>
        <v>-7</v>
      </c>
      <c r="CM712" s="41">
        <f t="shared" si="8416"/>
        <v>379</v>
      </c>
      <c r="CN712" s="41">
        <f t="shared" si="8417"/>
        <v>-30</v>
      </c>
      <c r="CO712" s="41">
        <f t="shared" si="8418"/>
        <v>155</v>
      </c>
      <c r="CP712" s="41">
        <f t="shared" si="8419"/>
        <v>-95</v>
      </c>
      <c r="CQ712" s="41">
        <f t="shared" si="8420"/>
        <v>-17</v>
      </c>
      <c r="CR712" s="41">
        <f t="shared" si="8421"/>
        <v>142</v>
      </c>
      <c r="CS712" s="41">
        <f t="shared" si="8422"/>
        <v>85</v>
      </c>
      <c r="CT712" s="41">
        <f t="shared" si="8423"/>
        <v>-16</v>
      </c>
      <c r="CU712" s="41">
        <f t="shared" si="8424"/>
        <v>-1717</v>
      </c>
      <c r="CV712" s="41">
        <f t="shared" si="8425"/>
        <v>823</v>
      </c>
      <c r="CW712" s="41">
        <f t="shared" si="8426"/>
        <v>319</v>
      </c>
      <c r="CX712" s="41">
        <f t="shared" si="8427"/>
        <v>-245</v>
      </c>
      <c r="CY712" s="41">
        <f t="shared" si="8428"/>
        <v>-406</v>
      </c>
      <c r="CZ712" s="211">
        <f t="shared" si="8429"/>
        <v>-441</v>
      </c>
      <c r="DA712" s="41">
        <f t="shared" si="8430"/>
        <v>151.18430342889769</v>
      </c>
      <c r="DB712" s="41">
        <f t="shared" si="8431"/>
        <v>146.84784689802746</v>
      </c>
      <c r="DC712" s="41">
        <f t="shared" si="8432"/>
        <v>127.64434338470619</v>
      </c>
      <c r="DD712" s="41">
        <f t="shared" si="8433"/>
        <v>118.91157901649422</v>
      </c>
      <c r="DE712" s="41">
        <f t="shared" si="8434"/>
        <v>187.53057371000796</v>
      </c>
      <c r="DF712" s="41">
        <f t="shared" si="8435"/>
        <v>190.3203081337806</v>
      </c>
      <c r="DG712" s="41">
        <f t="shared" si="8436"/>
        <v>188.69234349579983</v>
      </c>
      <c r="DH712" s="41">
        <f t="shared" si="8437"/>
        <v>216.60537301843397</v>
      </c>
      <c r="DI712" s="41">
        <f t="shared" si="8438"/>
        <v>242.43171805974816</v>
      </c>
    </row>
    <row r="713" spans="1:113" ht="12" outlineLevel="1">
      <c r="A713" s="1" t="s">
        <v>2241</v>
      </c>
      <c r="B713" s="15" t="s">
        <v>2242</v>
      </c>
      <c r="C713" s="41">
        <f t="shared" ref="C713:L713" si="8525">C470</f>
        <v>-457</v>
      </c>
      <c r="D713" s="41">
        <f t="shared" si="8525"/>
        <v>-293</v>
      </c>
      <c r="E713" s="41">
        <f t="shared" si="8525"/>
        <v>-404</v>
      </c>
      <c r="F713" s="41">
        <f t="shared" si="8525"/>
        <v>-283</v>
      </c>
      <c r="G713" s="41">
        <f t="shared" si="8525"/>
        <v>-357</v>
      </c>
      <c r="H713" s="41">
        <f t="shared" si="8525"/>
        <v>-339</v>
      </c>
      <c r="I713" s="41">
        <f t="shared" si="8525"/>
        <v>-341</v>
      </c>
      <c r="J713" s="41">
        <f t="shared" si="8525"/>
        <v>-261</v>
      </c>
      <c r="K713" s="41">
        <f t="shared" si="8525"/>
        <v>-310</v>
      </c>
      <c r="L713" s="41">
        <f t="shared" si="8525"/>
        <v>-128</v>
      </c>
      <c r="M713" s="41">
        <f t="shared" ref="M713:X713" si="8526">M470</f>
        <v>-166</v>
      </c>
      <c r="N713" s="41">
        <f t="shared" si="8526"/>
        <v>-156</v>
      </c>
      <c r="O713" s="41">
        <f t="shared" si="8526"/>
        <v>-277</v>
      </c>
      <c r="P713" s="41">
        <f t="shared" si="8526"/>
        <v>-277</v>
      </c>
      <c r="Q713" s="41">
        <f t="shared" si="8526"/>
        <v>-322</v>
      </c>
      <c r="R713" s="41">
        <f t="shared" si="8526"/>
        <v>-833</v>
      </c>
      <c r="S713" s="41">
        <f t="shared" si="8526"/>
        <v>-1053</v>
      </c>
      <c r="T713" s="41">
        <f t="shared" si="8526"/>
        <v>-922</v>
      </c>
      <c r="U713" s="41">
        <f t="shared" si="8526"/>
        <v>-662</v>
      </c>
      <c r="V713" s="41">
        <f t="shared" si="8526"/>
        <v>-606</v>
      </c>
      <c r="W713" s="41">
        <f t="shared" si="8526"/>
        <v>-588</v>
      </c>
      <c r="X713" s="41">
        <f t="shared" si="8526"/>
        <v>-545</v>
      </c>
      <c r="Y713" s="41">
        <f t="shared" ref="Y713:AE713" si="8527">Y470</f>
        <v>-744</v>
      </c>
      <c r="Z713" s="41">
        <f t="shared" si="8527"/>
        <v>-753</v>
      </c>
      <c r="AA713" s="41">
        <f t="shared" si="8527"/>
        <v>-657</v>
      </c>
      <c r="AB713" s="41">
        <f t="shared" si="8527"/>
        <v>-580</v>
      </c>
      <c r="AC713" s="41">
        <f t="shared" si="8527"/>
        <v>-795</v>
      </c>
      <c r="AD713" s="41">
        <f t="shared" si="8527"/>
        <v>-502</v>
      </c>
      <c r="AE713" s="41">
        <f t="shared" si="8527"/>
        <v>-683</v>
      </c>
      <c r="AF713" s="41">
        <f t="shared" ref="AF713:AG713" si="8528">AF470</f>
        <v>-557</v>
      </c>
      <c r="AG713" s="41">
        <f t="shared" si="8528"/>
        <v>-943</v>
      </c>
      <c r="AH713" s="41">
        <f t="shared" ref="AH713:AI713" si="8529">AH470</f>
        <v>-788</v>
      </c>
      <c r="AI713" s="41">
        <f t="shared" si="8529"/>
        <v>-677</v>
      </c>
      <c r="AJ713" s="41">
        <f t="shared" ref="AJ713:AK713" si="8530">AJ470</f>
        <v>-544</v>
      </c>
      <c r="AK713" s="41">
        <f t="shared" si="8530"/>
        <v>-434</v>
      </c>
      <c r="AL713" s="41">
        <f t="shared" ref="AL713:AM713" si="8531">AL470</f>
        <v>-405</v>
      </c>
      <c r="AM713" s="41">
        <f t="shared" si="8531"/>
        <v>-459</v>
      </c>
      <c r="AN713" s="41">
        <f t="shared" ref="AN713:AO713" si="8532">AN470</f>
        <v>-365</v>
      </c>
      <c r="AO713" s="41">
        <f t="shared" si="8532"/>
        <v>-525</v>
      </c>
      <c r="AP713" s="41">
        <f t="shared" ref="AP713:AQ713" si="8533">AP470</f>
        <v>-252</v>
      </c>
      <c r="AQ713" s="41">
        <f t="shared" si="8533"/>
        <v>-192</v>
      </c>
      <c r="AR713" s="41">
        <f t="shared" ref="AR713:AS713" si="8534">AR470</f>
        <v>-123</v>
      </c>
      <c r="AS713" s="41">
        <f t="shared" si="8534"/>
        <v>-97</v>
      </c>
      <c r="AT713" s="41">
        <f t="shared" ref="AT713:AU713" si="8535">AT470</f>
        <v>-84</v>
      </c>
      <c r="AU713" s="41">
        <f t="shared" si="8535"/>
        <v>-158</v>
      </c>
      <c r="AV713" s="41">
        <f t="shared" ref="AV713:AW713" si="8536">AV470</f>
        <v>-68</v>
      </c>
      <c r="AW713" s="41">
        <f t="shared" si="8536"/>
        <v>-111</v>
      </c>
      <c r="AX713" s="41">
        <f t="shared" ref="AX713:AY713" si="8537">AX470</f>
        <v>-111</v>
      </c>
      <c r="AY713" s="211">
        <f t="shared" si="8537"/>
        <v>-118</v>
      </c>
      <c r="AZ713" s="41">
        <f t="shared" ref="AZ713" si="8538">AY713*(AZ470/AY470)</f>
        <v>-164.03432050373746</v>
      </c>
      <c r="BA713" s="41">
        <f t="shared" ref="BA713" si="8539">AZ713*(BA470/AZ470)</f>
        <v>-214.14781010447822</v>
      </c>
      <c r="BB713" s="41">
        <f t="shared" ref="BB713" si="8540">BA713*(BB470/BA470)</f>
        <v>-292.93009116452936</v>
      </c>
      <c r="BC713" s="41">
        <f t="shared" ref="BC713" si="8541">BB713*(BC470/BB470)</f>
        <v>-375.70325947169522</v>
      </c>
      <c r="BD713" s="41">
        <f t="shared" ref="BD713" si="8542">BC713*(BD470/BC470)</f>
        <v>-341.64427199594195</v>
      </c>
      <c r="BE713" s="41">
        <f t="shared" ref="BE713" si="8543">BD713*(BE470/BD470)</f>
        <v>-308.79199961621021</v>
      </c>
      <c r="BF713" s="41">
        <f t="shared" ref="BF713" si="8544">BE713*(BF470/BE470)</f>
        <v>-259.35353209392889</v>
      </c>
      <c r="BG713" s="41">
        <f t="shared" ref="BG713:BK713" si="8545">BF713*(BG470/BF470)</f>
        <v>-211.52728111842504</v>
      </c>
      <c r="BH713" s="41">
        <f t="shared" si="8545"/>
        <v>-212.3292883694366</v>
      </c>
      <c r="BI713" s="41">
        <f t="shared" si="8545"/>
        <v>-208.77409012775072</v>
      </c>
      <c r="BJ713" s="41">
        <f t="shared" si="8545"/>
        <v>-244.4936740267303</v>
      </c>
      <c r="BK713" s="41">
        <f t="shared" si="8545"/>
        <v>-286.04652044177197</v>
      </c>
      <c r="BL713" s="41">
        <f t="shared" ref="BL713" si="8546">BK713*(BL470/BK470)</f>
        <v>-326.45749851171462</v>
      </c>
      <c r="BM713" s="41">
        <f t="shared" ref="BM713" si="8547">BL713*(BM470/BL470)</f>
        <v>-386.29914567105902</v>
      </c>
      <c r="BN713" s="41">
        <f t="shared" ref="BN713" si="8548">BM713*(BN470/BM470)</f>
        <v>-446.47481157749797</v>
      </c>
      <c r="BO713" s="41">
        <f t="shared" ref="BO713" si="8549">BN713*(BO470/BN470)</f>
        <v>-511.42033676187822</v>
      </c>
      <c r="BP713" s="41">
        <f t="shared" ref="BP713" si="8550">BO713*(BP470/BO470)</f>
        <v>-561.29815677825422</v>
      </c>
      <c r="BQ713" s="41">
        <f t="shared" ref="BQ713" si="8551">BP713*(BQ470/BP470)</f>
        <v>-575.75904979705842</v>
      </c>
      <c r="BR713" s="41"/>
      <c r="BS713" s="41"/>
      <c r="BT713" s="41"/>
      <c r="BU713" s="41"/>
      <c r="BV713" s="41"/>
      <c r="BW713" s="41"/>
      <c r="BX713" s="41"/>
      <c r="BY713" s="41"/>
      <c r="BZ713" s="41"/>
      <c r="CA713" s="41"/>
      <c r="CB713" s="41"/>
      <c r="CC713" s="41"/>
      <c r="CD713" s="41"/>
      <c r="CE713" s="41"/>
      <c r="CF713" s="41"/>
      <c r="CG713" s="41">
        <f t="shared" si="8410"/>
        <v>-294</v>
      </c>
      <c r="CH713" s="41">
        <f t="shared" si="8411"/>
        <v>-433</v>
      </c>
      <c r="CI713" s="41">
        <f t="shared" si="8412"/>
        <v>-599</v>
      </c>
      <c r="CJ713" s="41">
        <f t="shared" si="8413"/>
        <v>-1886</v>
      </c>
      <c r="CK713" s="41">
        <f t="shared" si="8414"/>
        <v>-1584</v>
      </c>
      <c r="CL713" s="41">
        <f t="shared" si="8415"/>
        <v>-1194</v>
      </c>
      <c r="CM713" s="41">
        <f t="shared" si="8416"/>
        <v>-1289</v>
      </c>
      <c r="CN713" s="41">
        <f t="shared" si="8417"/>
        <v>-1410</v>
      </c>
      <c r="CO713" s="41">
        <f t="shared" si="8418"/>
        <v>-1375</v>
      </c>
      <c r="CP713" s="41">
        <f t="shared" si="8419"/>
        <v>-1185</v>
      </c>
      <c r="CQ713" s="41">
        <f t="shared" si="8420"/>
        <v>-1500</v>
      </c>
      <c r="CR713" s="41">
        <f t="shared" si="8421"/>
        <v>-1465</v>
      </c>
      <c r="CS713" s="41">
        <f t="shared" si="8422"/>
        <v>-978</v>
      </c>
      <c r="CT713" s="41">
        <f t="shared" si="8423"/>
        <v>-864</v>
      </c>
      <c r="CU713" s="41">
        <f t="shared" si="8424"/>
        <v>-890</v>
      </c>
      <c r="CV713" s="41">
        <f t="shared" si="8425"/>
        <v>-444</v>
      </c>
      <c r="CW713" s="41">
        <f t="shared" si="8426"/>
        <v>-220</v>
      </c>
      <c r="CX713" s="41">
        <f t="shared" si="8427"/>
        <v>-242</v>
      </c>
      <c r="CY713" s="41">
        <f t="shared" si="8428"/>
        <v>-179</v>
      </c>
      <c r="CZ713" s="211">
        <f t="shared" si="8429"/>
        <v>-229</v>
      </c>
      <c r="DA713" s="41">
        <f t="shared" si="8430"/>
        <v>-378.18213060821569</v>
      </c>
      <c r="DB713" s="41">
        <f t="shared" si="8431"/>
        <v>-668.63335063622458</v>
      </c>
      <c r="DC713" s="41">
        <f t="shared" si="8432"/>
        <v>-650.43627161215215</v>
      </c>
      <c r="DD713" s="41">
        <f t="shared" si="8433"/>
        <v>-470.88081321235393</v>
      </c>
      <c r="DE713" s="41">
        <f t="shared" si="8434"/>
        <v>-421.10337849718735</v>
      </c>
      <c r="DF713" s="41">
        <f t="shared" si="8435"/>
        <v>-530.54019446850225</v>
      </c>
      <c r="DG713" s="41">
        <f t="shared" si="8436"/>
        <v>-712.7566441827737</v>
      </c>
      <c r="DH713" s="41">
        <f t="shared" si="8437"/>
        <v>-957.89514833937619</v>
      </c>
      <c r="DI713" s="41">
        <f t="shared" si="8438"/>
        <v>-1137.0572065753126</v>
      </c>
    </row>
    <row r="714" spans="1:113" ht="12" hidden="1" outlineLevel="2">
      <c r="A714" s="1" t="s">
        <v>2290</v>
      </c>
      <c r="B714" s="15" t="s">
        <v>804</v>
      </c>
      <c r="C714" s="141"/>
      <c r="D714" s="141"/>
      <c r="E714" s="141"/>
      <c r="F714" s="141"/>
      <c r="G714" s="141"/>
      <c r="H714" s="141"/>
      <c r="I714" s="141"/>
      <c r="J714" s="141"/>
      <c r="K714" s="141"/>
      <c r="L714" s="15"/>
      <c r="M714" s="141"/>
      <c r="N714" s="141"/>
      <c r="O714" s="141"/>
      <c r="P714" s="141"/>
      <c r="Q714" s="141"/>
      <c r="R714" s="141"/>
      <c r="S714" s="141"/>
      <c r="T714" s="141"/>
      <c r="U714" s="141"/>
      <c r="V714" s="141"/>
      <c r="W714" s="141"/>
      <c r="X714" s="141"/>
      <c r="Y714" s="141"/>
      <c r="Z714" s="141"/>
      <c r="AA714" s="41"/>
      <c r="AB714" s="41"/>
      <c r="AC714" s="41"/>
      <c r="AD714" s="41"/>
      <c r="AE714" s="41"/>
      <c r="AF714" s="41"/>
      <c r="AG714" s="41"/>
      <c r="AH714" s="41"/>
      <c r="AI714" s="41"/>
      <c r="AJ714" s="41"/>
      <c r="AK714" s="41"/>
      <c r="AL714" s="41"/>
      <c r="AM714" s="41"/>
      <c r="AN714" s="41"/>
      <c r="AO714" s="41"/>
      <c r="AP714" s="41"/>
      <c r="AQ714" s="41"/>
      <c r="AR714" s="41"/>
      <c r="AS714" s="41"/>
      <c r="AT714" s="41"/>
      <c r="AU714" s="41"/>
      <c r="AV714" s="41"/>
      <c r="AW714" s="41"/>
      <c r="AX714" s="41"/>
      <c r="AY714" s="211"/>
      <c r="AZ714" s="41"/>
      <c r="BA714" s="41"/>
      <c r="BB714" s="41"/>
      <c r="BC714" s="41"/>
      <c r="BD714" s="41"/>
      <c r="BE714" s="41"/>
      <c r="BF714" s="41"/>
      <c r="BG714" s="41"/>
      <c r="BH714" s="41"/>
      <c r="BI714" s="41"/>
      <c r="BJ714" s="41"/>
      <c r="BK714" s="41"/>
      <c r="BL714" s="41"/>
      <c r="BM714" s="41"/>
      <c r="BN714" s="41"/>
      <c r="BO714" s="41"/>
      <c r="BP714" s="41"/>
      <c r="BQ714" s="41"/>
      <c r="BR714" s="41"/>
      <c r="BS714" s="41"/>
      <c r="BT714" s="41"/>
      <c r="BU714" s="41"/>
      <c r="BV714" s="41"/>
      <c r="BW714" s="41"/>
      <c r="BX714" s="41"/>
      <c r="BY714" s="41"/>
      <c r="BZ714" s="41"/>
      <c r="CA714" s="41"/>
      <c r="CB714" s="41"/>
      <c r="CC714" s="41"/>
      <c r="CD714" s="41"/>
      <c r="CE714" s="41"/>
      <c r="CF714" s="41"/>
      <c r="CG714" s="41"/>
      <c r="CH714" s="41"/>
      <c r="CI714" s="41"/>
      <c r="CJ714" s="41"/>
      <c r="CK714" s="41"/>
      <c r="CL714" s="41"/>
      <c r="CM714" s="41"/>
      <c r="CN714" s="41"/>
      <c r="CO714" s="41"/>
      <c r="CP714" s="41"/>
      <c r="CQ714" s="41"/>
      <c r="CR714" s="41"/>
      <c r="CS714" s="41"/>
      <c r="CT714" s="41"/>
      <c r="CU714" s="41"/>
      <c r="CV714" s="41"/>
      <c r="CW714" s="41"/>
      <c r="CX714" s="41"/>
      <c r="CY714" s="41"/>
      <c r="CZ714" s="211"/>
      <c r="DA714" s="41"/>
      <c r="DB714" s="15"/>
      <c r="DC714" s="15"/>
      <c r="DD714" s="15"/>
      <c r="DE714" s="15"/>
      <c r="DF714" s="15"/>
      <c r="DG714" s="15"/>
      <c r="DH714" s="15"/>
      <c r="DI714" s="15"/>
    </row>
    <row r="715" spans="1:113" ht="12" hidden="1" outlineLevel="2">
      <c r="A715" s="1" t="s">
        <v>2291</v>
      </c>
      <c r="B715" s="15" t="s">
        <v>804</v>
      </c>
      <c r="C715" s="141"/>
      <c r="D715" s="141"/>
      <c r="E715" s="141"/>
      <c r="F715" s="141"/>
      <c r="G715" s="141"/>
      <c r="H715" s="141"/>
      <c r="I715" s="141"/>
      <c r="J715" s="141"/>
      <c r="K715" s="141"/>
      <c r="L715" s="141"/>
      <c r="M715" s="141"/>
      <c r="N715" s="141"/>
      <c r="O715" s="141"/>
      <c r="P715" s="141"/>
      <c r="Q715" s="141"/>
      <c r="R715" s="141"/>
      <c r="S715" s="141"/>
      <c r="T715" s="141"/>
      <c r="U715" s="141"/>
      <c r="V715" s="141"/>
      <c r="W715" s="141"/>
      <c r="X715" s="141"/>
      <c r="Y715" s="141"/>
      <c r="Z715" s="141"/>
      <c r="AA715" s="41"/>
      <c r="AB715" s="41"/>
      <c r="AC715" s="41"/>
      <c r="AD715" s="41"/>
      <c r="AE715" s="41"/>
      <c r="AF715" s="41"/>
      <c r="AG715" s="41"/>
      <c r="AH715" s="41"/>
      <c r="AI715" s="41"/>
      <c r="AJ715" s="41"/>
      <c r="AK715" s="41"/>
      <c r="AL715" s="41"/>
      <c r="AM715" s="41"/>
      <c r="AN715" s="41"/>
      <c r="AO715" s="41"/>
      <c r="AP715" s="41"/>
      <c r="AQ715" s="41"/>
      <c r="AR715" s="41"/>
      <c r="AS715" s="41"/>
      <c r="AT715" s="41"/>
      <c r="AU715" s="41"/>
      <c r="AV715" s="41"/>
      <c r="AW715" s="41"/>
      <c r="AX715" s="41"/>
      <c r="AY715" s="211"/>
      <c r="AZ715" s="41"/>
      <c r="BA715" s="41"/>
      <c r="BB715" s="41"/>
      <c r="BC715" s="41"/>
      <c r="BD715" s="41"/>
      <c r="BE715" s="41"/>
      <c r="BF715" s="41"/>
      <c r="BG715" s="41"/>
      <c r="BH715" s="41"/>
      <c r="BI715" s="41"/>
      <c r="BJ715" s="41"/>
      <c r="BK715" s="41"/>
      <c r="BL715" s="41"/>
      <c r="BM715" s="41"/>
      <c r="BN715" s="41"/>
      <c r="BO715" s="41"/>
      <c r="BP715" s="41"/>
      <c r="BQ715" s="41"/>
      <c r="BR715" s="41"/>
      <c r="BS715" s="41"/>
      <c r="BT715" s="41"/>
      <c r="BU715" s="41"/>
      <c r="BV715" s="41"/>
      <c r="BW715" s="41"/>
      <c r="BX715" s="41"/>
      <c r="BY715" s="41"/>
      <c r="BZ715" s="41"/>
      <c r="CA715" s="41"/>
      <c r="CB715" s="41"/>
      <c r="CC715" s="41"/>
      <c r="CD715" s="41"/>
      <c r="CE715" s="41"/>
      <c r="CF715" s="41"/>
      <c r="CG715" s="41"/>
      <c r="CH715" s="41"/>
      <c r="CI715" s="41"/>
      <c r="CJ715" s="41"/>
      <c r="CK715" s="41"/>
      <c r="CL715" s="41"/>
      <c r="CM715" s="41"/>
      <c r="CN715" s="41"/>
      <c r="CO715" s="41"/>
      <c r="CP715" s="41"/>
      <c r="CQ715" s="41"/>
      <c r="CR715" s="41"/>
      <c r="CS715" s="41"/>
      <c r="CT715" s="41"/>
      <c r="CU715" s="41"/>
      <c r="CV715" s="41"/>
      <c r="CW715" s="41"/>
      <c r="CX715" s="41"/>
      <c r="CY715" s="41"/>
      <c r="CZ715" s="211"/>
      <c r="DA715" s="41"/>
      <c r="DB715" s="15"/>
      <c r="DC715" s="15"/>
      <c r="DD715" s="15"/>
      <c r="DE715" s="15"/>
      <c r="DF715" s="15"/>
      <c r="DG715" s="15"/>
      <c r="DH715" s="15"/>
      <c r="DI715" s="15"/>
    </row>
    <row r="716" spans="1:113" ht="12" hidden="1" outlineLevel="2">
      <c r="A716" s="1" t="s">
        <v>2292</v>
      </c>
      <c r="B716" s="15" t="s">
        <v>804</v>
      </c>
      <c r="C716" s="141"/>
      <c r="D716" s="141"/>
      <c r="E716" s="141"/>
      <c r="F716" s="141"/>
      <c r="G716" s="141"/>
      <c r="H716" s="141"/>
      <c r="I716" s="141"/>
      <c r="J716" s="141"/>
      <c r="K716" s="141"/>
      <c r="L716" s="141"/>
      <c r="M716" s="141"/>
      <c r="N716" s="141"/>
      <c r="O716" s="141"/>
      <c r="P716" s="141"/>
      <c r="Q716" s="141"/>
      <c r="R716" s="141"/>
      <c r="S716" s="141"/>
      <c r="T716" s="141"/>
      <c r="U716" s="141"/>
      <c r="V716" s="141"/>
      <c r="W716" s="141"/>
      <c r="X716" s="141"/>
      <c r="Y716" s="141"/>
      <c r="Z716" s="141"/>
      <c r="AA716" s="41"/>
      <c r="AB716" s="41"/>
      <c r="AC716" s="41"/>
      <c r="AD716" s="41"/>
      <c r="AE716" s="41"/>
      <c r="AF716" s="41"/>
      <c r="AG716" s="41"/>
      <c r="AH716" s="41"/>
      <c r="AI716" s="41"/>
      <c r="AJ716" s="41"/>
      <c r="AK716" s="41"/>
      <c r="AL716" s="41"/>
      <c r="AM716" s="41"/>
      <c r="AN716" s="41"/>
      <c r="AO716" s="41"/>
      <c r="AP716" s="41"/>
      <c r="AQ716" s="41"/>
      <c r="AR716" s="41"/>
      <c r="AS716" s="41"/>
      <c r="AT716" s="41"/>
      <c r="AU716" s="41"/>
      <c r="AV716" s="41"/>
      <c r="AW716" s="41"/>
      <c r="AX716" s="41"/>
      <c r="AY716" s="211"/>
      <c r="AZ716" s="41"/>
      <c r="BA716" s="41"/>
      <c r="BB716" s="41"/>
      <c r="BC716" s="41"/>
      <c r="BD716" s="41"/>
      <c r="BE716" s="41"/>
      <c r="BF716" s="41"/>
      <c r="BG716" s="41"/>
      <c r="BH716" s="41"/>
      <c r="BI716" s="41"/>
      <c r="BJ716" s="41"/>
      <c r="BK716" s="41"/>
      <c r="BL716" s="41"/>
      <c r="BM716" s="41"/>
      <c r="BN716" s="41"/>
      <c r="BO716" s="41"/>
      <c r="BP716" s="41"/>
      <c r="BQ716" s="41"/>
      <c r="BR716" s="41"/>
      <c r="BS716" s="41"/>
      <c r="BT716" s="41"/>
      <c r="BU716" s="41"/>
      <c r="BV716" s="41"/>
      <c r="BW716" s="41"/>
      <c r="BX716" s="41"/>
      <c r="BY716" s="41"/>
      <c r="BZ716" s="41"/>
      <c r="CA716" s="41"/>
      <c r="CB716" s="41"/>
      <c r="CC716" s="41"/>
      <c r="CD716" s="41"/>
      <c r="CE716" s="41"/>
      <c r="CF716" s="41"/>
      <c r="CG716" s="41"/>
      <c r="CH716" s="41"/>
      <c r="CI716" s="41"/>
      <c r="CJ716" s="41"/>
      <c r="CK716" s="41"/>
      <c r="CL716" s="41"/>
      <c r="CM716" s="41"/>
      <c r="CN716" s="41"/>
      <c r="CO716" s="41"/>
      <c r="CP716" s="41"/>
      <c r="CQ716" s="41"/>
      <c r="CR716" s="41"/>
      <c r="CS716" s="41"/>
      <c r="CT716" s="41"/>
      <c r="CU716" s="41"/>
      <c r="CV716" s="41"/>
      <c r="CW716" s="41"/>
      <c r="CX716" s="41"/>
      <c r="CY716" s="41"/>
      <c r="CZ716" s="211"/>
      <c r="DA716" s="41"/>
      <c r="DB716" s="15"/>
      <c r="DC716" s="15"/>
      <c r="DD716" s="15"/>
      <c r="DE716" s="15"/>
      <c r="DF716" s="15"/>
      <c r="DG716" s="15"/>
      <c r="DH716" s="15"/>
      <c r="DI716" s="15"/>
    </row>
    <row r="717" spans="1:113" ht="12" hidden="1" outlineLevel="2">
      <c r="A717" s="1" t="s">
        <v>2293</v>
      </c>
      <c r="B717" s="15" t="s">
        <v>804</v>
      </c>
      <c r="C717" s="141"/>
      <c r="D717" s="141"/>
      <c r="E717" s="141"/>
      <c r="F717" s="141"/>
      <c r="G717" s="141"/>
      <c r="H717" s="141"/>
      <c r="I717" s="141"/>
      <c r="J717" s="141"/>
      <c r="K717" s="141"/>
      <c r="L717" s="141"/>
      <c r="M717" s="141"/>
      <c r="N717" s="141"/>
      <c r="O717" s="141"/>
      <c r="P717" s="141"/>
      <c r="Q717" s="141"/>
      <c r="R717" s="141"/>
      <c r="S717" s="141"/>
      <c r="T717" s="141"/>
      <c r="U717" s="141"/>
      <c r="V717" s="141"/>
      <c r="W717" s="141"/>
      <c r="X717" s="141"/>
      <c r="Y717" s="141"/>
      <c r="Z717" s="141"/>
      <c r="AA717" s="41"/>
      <c r="AB717" s="41"/>
      <c r="AC717" s="41"/>
      <c r="AD717" s="41"/>
      <c r="AE717" s="41"/>
      <c r="AF717" s="41"/>
      <c r="AG717" s="41"/>
      <c r="AH717" s="41"/>
      <c r="AI717" s="41"/>
      <c r="AJ717" s="41"/>
      <c r="AK717" s="41"/>
      <c r="AL717" s="41"/>
      <c r="AM717" s="41"/>
      <c r="AN717" s="41"/>
      <c r="AO717" s="41"/>
      <c r="AP717" s="41"/>
      <c r="AQ717" s="41"/>
      <c r="AR717" s="41"/>
      <c r="AS717" s="41"/>
      <c r="AT717" s="41"/>
      <c r="AU717" s="41"/>
      <c r="AV717" s="41"/>
      <c r="AW717" s="41"/>
      <c r="AX717" s="41"/>
      <c r="AY717" s="211"/>
      <c r="AZ717" s="41"/>
      <c r="BA717" s="41"/>
      <c r="BB717" s="41"/>
      <c r="BC717" s="41"/>
      <c r="BD717" s="41"/>
      <c r="BE717" s="41"/>
      <c r="BF717" s="41"/>
      <c r="BG717" s="41"/>
      <c r="BH717" s="41"/>
      <c r="BI717" s="41"/>
      <c r="BJ717" s="41"/>
      <c r="BK717" s="41"/>
      <c r="BL717" s="41"/>
      <c r="BM717" s="41"/>
      <c r="BN717" s="41"/>
      <c r="BO717" s="41"/>
      <c r="BP717" s="41"/>
      <c r="BQ717" s="41"/>
      <c r="BR717" s="41"/>
      <c r="BS717" s="41"/>
      <c r="BT717" s="41"/>
      <c r="BU717" s="41"/>
      <c r="BV717" s="41"/>
      <c r="BW717" s="41"/>
      <c r="BX717" s="41"/>
      <c r="BY717" s="41"/>
      <c r="BZ717" s="41"/>
      <c r="CA717" s="41"/>
      <c r="CB717" s="41"/>
      <c r="CC717" s="41"/>
      <c r="CD717" s="41"/>
      <c r="CE717" s="41"/>
      <c r="CF717" s="41"/>
      <c r="CG717" s="41"/>
      <c r="CH717" s="41"/>
      <c r="CI717" s="41"/>
      <c r="CJ717" s="41"/>
      <c r="CK717" s="41"/>
      <c r="CL717" s="41"/>
      <c r="CM717" s="41"/>
      <c r="CN717" s="41"/>
      <c r="CO717" s="41"/>
      <c r="CP717" s="41"/>
      <c r="CQ717" s="41"/>
      <c r="CR717" s="41"/>
      <c r="CS717" s="41"/>
      <c r="CT717" s="41"/>
      <c r="CU717" s="41"/>
      <c r="CV717" s="41"/>
      <c r="CW717" s="41"/>
      <c r="CX717" s="41"/>
      <c r="CY717" s="41"/>
      <c r="CZ717" s="211"/>
      <c r="DA717" s="41"/>
      <c r="DB717" s="15"/>
      <c r="DC717" s="15"/>
      <c r="DD717" s="15"/>
      <c r="DE717" s="15"/>
      <c r="DF717" s="15"/>
      <c r="DG717" s="15"/>
      <c r="DH717" s="15"/>
      <c r="DI717" s="15"/>
    </row>
    <row r="718" spans="1:113" ht="12" hidden="1" outlineLevel="2">
      <c r="A718" s="1" t="s">
        <v>2294</v>
      </c>
      <c r="B718" s="15" t="s">
        <v>804</v>
      </c>
      <c r="C718" s="141"/>
      <c r="D718" s="141"/>
      <c r="E718" s="141"/>
      <c r="F718" s="141"/>
      <c r="G718" s="141"/>
      <c r="H718" s="141"/>
      <c r="I718" s="141"/>
      <c r="J718" s="141"/>
      <c r="K718" s="141"/>
      <c r="L718" s="141"/>
      <c r="M718" s="141"/>
      <c r="N718" s="141"/>
      <c r="O718" s="141"/>
      <c r="P718" s="141"/>
      <c r="Q718" s="141"/>
      <c r="R718" s="141"/>
      <c r="S718" s="141"/>
      <c r="T718" s="141"/>
      <c r="U718" s="141"/>
      <c r="V718" s="141"/>
      <c r="W718" s="141"/>
      <c r="X718" s="141"/>
      <c r="Y718" s="141"/>
      <c r="Z718" s="141"/>
      <c r="AA718" s="41"/>
      <c r="AB718" s="41"/>
      <c r="AC718" s="41"/>
      <c r="AD718" s="41"/>
      <c r="AE718" s="41"/>
      <c r="AF718" s="41"/>
      <c r="AG718" s="41"/>
      <c r="AH718" s="41"/>
      <c r="AI718" s="41"/>
      <c r="AJ718" s="41"/>
      <c r="AK718" s="41"/>
      <c r="AL718" s="41"/>
      <c r="AM718" s="41"/>
      <c r="AN718" s="41"/>
      <c r="AO718" s="41"/>
      <c r="AP718" s="41"/>
      <c r="AQ718" s="41"/>
      <c r="AR718" s="41"/>
      <c r="AS718" s="41"/>
      <c r="AT718" s="41"/>
      <c r="AU718" s="41"/>
      <c r="AV718" s="41"/>
      <c r="AW718" s="41"/>
      <c r="AX718" s="41"/>
      <c r="AY718" s="211"/>
      <c r="AZ718" s="41"/>
      <c r="BA718" s="41"/>
      <c r="BB718" s="41"/>
      <c r="BC718" s="41"/>
      <c r="BD718" s="41"/>
      <c r="BE718" s="41"/>
      <c r="BF718" s="41"/>
      <c r="BG718" s="41"/>
      <c r="BH718" s="41"/>
      <c r="BI718" s="41"/>
      <c r="BJ718" s="41"/>
      <c r="BK718" s="41"/>
      <c r="BL718" s="41"/>
      <c r="BM718" s="41"/>
      <c r="BN718" s="41"/>
      <c r="BO718" s="41"/>
      <c r="BP718" s="41"/>
      <c r="BQ718" s="41"/>
      <c r="BR718" s="41"/>
      <c r="BS718" s="41"/>
      <c r="BT718" s="41"/>
      <c r="BU718" s="41"/>
      <c r="BV718" s="41"/>
      <c r="BW718" s="41"/>
      <c r="BX718" s="41"/>
      <c r="BY718" s="41"/>
      <c r="BZ718" s="41"/>
      <c r="CA718" s="41"/>
      <c r="CB718" s="41"/>
      <c r="CC718" s="41"/>
      <c r="CD718" s="41"/>
      <c r="CE718" s="41"/>
      <c r="CF718" s="41"/>
      <c r="CG718" s="41"/>
      <c r="CH718" s="41"/>
      <c r="CI718" s="41"/>
      <c r="CJ718" s="41"/>
      <c r="CK718" s="41"/>
      <c r="CL718" s="41"/>
      <c r="CM718" s="41"/>
      <c r="CN718" s="41"/>
      <c r="CO718" s="41"/>
      <c r="CP718" s="41"/>
      <c r="CQ718" s="41"/>
      <c r="CR718" s="41"/>
      <c r="CS718" s="41"/>
      <c r="CT718" s="41"/>
      <c r="CU718" s="41"/>
      <c r="CV718" s="41"/>
      <c r="CW718" s="41"/>
      <c r="CX718" s="41"/>
      <c r="CY718" s="41"/>
      <c r="CZ718" s="211"/>
      <c r="DA718" s="41"/>
      <c r="DB718" s="15"/>
      <c r="DC718" s="15"/>
      <c r="DD718" s="15"/>
      <c r="DE718" s="15"/>
      <c r="DF718" s="15"/>
      <c r="DG718" s="15"/>
      <c r="DH718" s="15"/>
      <c r="DI718" s="15"/>
    </row>
    <row r="719" spans="1:113" ht="12" hidden="1" outlineLevel="2">
      <c r="A719" s="1" t="s">
        <v>2295</v>
      </c>
      <c r="B719" s="15" t="s">
        <v>804</v>
      </c>
      <c r="C719" s="141"/>
      <c r="D719" s="141"/>
      <c r="E719" s="141"/>
      <c r="F719" s="141"/>
      <c r="G719" s="141"/>
      <c r="H719" s="141"/>
      <c r="I719" s="141"/>
      <c r="J719" s="141"/>
      <c r="K719" s="141"/>
      <c r="L719" s="141"/>
      <c r="M719" s="141"/>
      <c r="N719" s="141"/>
      <c r="O719" s="141"/>
      <c r="P719" s="141"/>
      <c r="Q719" s="141"/>
      <c r="R719" s="141"/>
      <c r="S719" s="141"/>
      <c r="T719" s="141"/>
      <c r="U719" s="141"/>
      <c r="V719" s="141"/>
      <c r="W719" s="141"/>
      <c r="X719" s="141"/>
      <c r="Y719" s="141"/>
      <c r="Z719" s="141"/>
      <c r="AA719" s="41"/>
      <c r="AB719" s="41"/>
      <c r="AC719" s="41"/>
      <c r="AD719" s="41"/>
      <c r="AE719" s="41"/>
      <c r="AF719" s="41"/>
      <c r="AG719" s="41"/>
      <c r="AH719" s="41"/>
      <c r="AI719" s="41"/>
      <c r="AJ719" s="41"/>
      <c r="AK719" s="41"/>
      <c r="AL719" s="41"/>
      <c r="AM719" s="41"/>
      <c r="AN719" s="41"/>
      <c r="AO719" s="41"/>
      <c r="AP719" s="41"/>
      <c r="AQ719" s="41"/>
      <c r="AR719" s="41"/>
      <c r="AS719" s="41"/>
      <c r="AT719" s="41"/>
      <c r="AU719" s="41"/>
      <c r="AV719" s="41"/>
      <c r="AW719" s="41"/>
      <c r="AX719" s="41"/>
      <c r="AY719" s="211"/>
      <c r="AZ719" s="41"/>
      <c r="BA719" s="41"/>
      <c r="BB719" s="41"/>
      <c r="BC719" s="41"/>
      <c r="BD719" s="41"/>
      <c r="BE719" s="41"/>
      <c r="BF719" s="41"/>
      <c r="BG719" s="41"/>
      <c r="BH719" s="41"/>
      <c r="BI719" s="41"/>
      <c r="BJ719" s="41"/>
      <c r="BK719" s="41"/>
      <c r="BL719" s="41"/>
      <c r="BM719" s="41"/>
      <c r="BN719" s="41"/>
      <c r="BO719" s="41"/>
      <c r="BP719" s="41"/>
      <c r="BQ719" s="41"/>
      <c r="BR719" s="41"/>
      <c r="BS719" s="41"/>
      <c r="BT719" s="41"/>
      <c r="BU719" s="41"/>
      <c r="BV719" s="41"/>
      <c r="BW719" s="41"/>
      <c r="BX719" s="41"/>
      <c r="BY719" s="41"/>
      <c r="BZ719" s="41"/>
      <c r="CA719" s="41"/>
      <c r="CB719" s="41"/>
      <c r="CC719" s="41"/>
      <c r="CD719" s="41"/>
      <c r="CE719" s="41"/>
      <c r="CF719" s="41"/>
      <c r="CG719" s="41"/>
      <c r="CH719" s="41"/>
      <c r="CI719" s="41"/>
      <c r="CJ719" s="41"/>
      <c r="CK719" s="41"/>
      <c r="CL719" s="41"/>
      <c r="CM719" s="41"/>
      <c r="CN719" s="41"/>
      <c r="CO719" s="41"/>
      <c r="CP719" s="41"/>
      <c r="CQ719" s="41"/>
      <c r="CR719" s="41"/>
      <c r="CS719" s="41"/>
      <c r="CT719" s="41"/>
      <c r="CU719" s="41"/>
      <c r="CV719" s="41"/>
      <c r="CW719" s="41"/>
      <c r="CX719" s="41"/>
      <c r="CY719" s="41"/>
      <c r="CZ719" s="211"/>
      <c r="DA719" s="41"/>
      <c r="DB719" s="15"/>
      <c r="DC719" s="15"/>
      <c r="DD719" s="15"/>
      <c r="DE719" s="15"/>
      <c r="DF719" s="15"/>
      <c r="DG719" s="15"/>
      <c r="DH719" s="15"/>
      <c r="DI719" s="15"/>
    </row>
    <row r="720" spans="1:113" ht="12" hidden="1" outlineLevel="2">
      <c r="A720" s="1" t="s">
        <v>2296</v>
      </c>
      <c r="B720" s="15" t="s">
        <v>804</v>
      </c>
      <c r="C720" s="141"/>
      <c r="D720" s="141"/>
      <c r="E720" s="141"/>
      <c r="F720" s="141"/>
      <c r="G720" s="141"/>
      <c r="H720" s="141"/>
      <c r="I720" s="141"/>
      <c r="J720" s="141"/>
      <c r="K720" s="141"/>
      <c r="L720" s="141"/>
      <c r="M720" s="141"/>
      <c r="N720" s="141"/>
      <c r="O720" s="141"/>
      <c r="P720" s="141"/>
      <c r="Q720" s="141"/>
      <c r="R720" s="141"/>
      <c r="S720" s="141"/>
      <c r="T720" s="141"/>
      <c r="U720" s="141"/>
      <c r="V720" s="141"/>
      <c r="W720" s="141"/>
      <c r="X720" s="141"/>
      <c r="Y720" s="141"/>
      <c r="Z720" s="141"/>
      <c r="AA720" s="41"/>
      <c r="AB720" s="41"/>
      <c r="AC720" s="41"/>
      <c r="AD720" s="41"/>
      <c r="AE720" s="41"/>
      <c r="AF720" s="41"/>
      <c r="AG720" s="41"/>
      <c r="AH720" s="41"/>
      <c r="AI720" s="41"/>
      <c r="AJ720" s="41"/>
      <c r="AK720" s="41"/>
      <c r="AL720" s="41"/>
      <c r="AM720" s="41"/>
      <c r="AN720" s="41"/>
      <c r="AO720" s="41"/>
      <c r="AP720" s="41"/>
      <c r="AQ720" s="41"/>
      <c r="AR720" s="41"/>
      <c r="AS720" s="41"/>
      <c r="AT720" s="41"/>
      <c r="AU720" s="41"/>
      <c r="AV720" s="41"/>
      <c r="AW720" s="41"/>
      <c r="AX720" s="41"/>
      <c r="AY720" s="211"/>
      <c r="AZ720" s="41"/>
      <c r="BA720" s="41"/>
      <c r="BB720" s="41"/>
      <c r="BC720" s="41"/>
      <c r="BD720" s="41"/>
      <c r="BE720" s="41"/>
      <c r="BF720" s="41"/>
      <c r="BG720" s="41"/>
      <c r="BH720" s="41"/>
      <c r="BI720" s="41"/>
      <c r="BJ720" s="41"/>
      <c r="BK720" s="41"/>
      <c r="BL720" s="41"/>
      <c r="BM720" s="41"/>
      <c r="BN720" s="41"/>
      <c r="BO720" s="41"/>
      <c r="BP720" s="41"/>
      <c r="BQ720" s="41"/>
      <c r="BR720" s="41"/>
      <c r="BS720" s="41"/>
      <c r="BT720" s="41"/>
      <c r="BU720" s="41"/>
      <c r="BV720" s="41"/>
      <c r="BW720" s="41"/>
      <c r="BX720" s="41"/>
      <c r="BY720" s="41"/>
      <c r="BZ720" s="41"/>
      <c r="CA720" s="41"/>
      <c r="CB720" s="41"/>
      <c r="CC720" s="41"/>
      <c r="CD720" s="41"/>
      <c r="CE720" s="41"/>
      <c r="CF720" s="41"/>
      <c r="CG720" s="41"/>
      <c r="CH720" s="41"/>
      <c r="CI720" s="41"/>
      <c r="CJ720" s="41"/>
      <c r="CK720" s="41"/>
      <c r="CL720" s="41"/>
      <c r="CM720" s="41"/>
      <c r="CN720" s="41"/>
      <c r="CO720" s="41"/>
      <c r="CP720" s="41"/>
      <c r="CQ720" s="41"/>
      <c r="CR720" s="41"/>
      <c r="CS720" s="41"/>
      <c r="CT720" s="41"/>
      <c r="CU720" s="41"/>
      <c r="CV720" s="41"/>
      <c r="CW720" s="41"/>
      <c r="CX720" s="41"/>
      <c r="CY720" s="41"/>
      <c r="CZ720" s="211"/>
      <c r="DA720" s="41"/>
      <c r="DB720" s="15"/>
      <c r="DC720" s="15"/>
      <c r="DD720" s="15"/>
      <c r="DE720" s="15"/>
      <c r="DF720" s="15"/>
      <c r="DG720" s="15"/>
      <c r="DH720" s="15"/>
      <c r="DI720" s="15"/>
    </row>
    <row r="721" spans="1:113" ht="12" hidden="1" outlineLevel="2">
      <c r="A721" s="1" t="s">
        <v>2297</v>
      </c>
      <c r="B721" s="15" t="s">
        <v>804</v>
      </c>
      <c r="C721" s="41"/>
      <c r="D721" s="41"/>
      <c r="E721" s="41"/>
      <c r="F721" s="41"/>
      <c r="G721" s="41"/>
      <c r="H721" s="41"/>
      <c r="I721" s="41"/>
      <c r="J721" s="41"/>
      <c r="K721" s="41"/>
      <c r="L721" s="41"/>
      <c r="M721" s="41"/>
      <c r="N721" s="41"/>
      <c r="O721" s="41"/>
      <c r="P721" s="41"/>
      <c r="Q721" s="41"/>
      <c r="R721" s="41"/>
      <c r="S721" s="41"/>
      <c r="T721" s="41"/>
      <c r="U721" s="41"/>
      <c r="V721" s="41"/>
      <c r="W721" s="41"/>
      <c r="X721" s="41"/>
      <c r="Y721" s="41"/>
      <c r="Z721" s="41"/>
      <c r="AA721" s="41"/>
      <c r="AB721" s="41"/>
      <c r="AC721" s="41"/>
      <c r="AD721" s="41"/>
      <c r="AE721" s="41"/>
      <c r="AF721" s="41"/>
      <c r="AG721" s="41"/>
      <c r="AH721" s="41"/>
      <c r="AI721" s="41"/>
      <c r="AJ721" s="41"/>
      <c r="AK721" s="41"/>
      <c r="AL721" s="41"/>
      <c r="AM721" s="41"/>
      <c r="AN721" s="41"/>
      <c r="AO721" s="41"/>
      <c r="AP721" s="41"/>
      <c r="AQ721" s="41"/>
      <c r="AR721" s="41"/>
      <c r="AS721" s="41"/>
      <c r="AT721" s="41"/>
      <c r="AU721" s="41"/>
      <c r="AV721" s="41"/>
      <c r="AW721" s="41"/>
      <c r="AX721" s="41"/>
      <c r="AY721" s="211"/>
      <c r="AZ721" s="41"/>
      <c r="BA721" s="41"/>
      <c r="BB721" s="41"/>
      <c r="BC721" s="41"/>
      <c r="BD721" s="41"/>
      <c r="BE721" s="41"/>
      <c r="BF721" s="41"/>
      <c r="BG721" s="41"/>
      <c r="BH721" s="41"/>
      <c r="BI721" s="41"/>
      <c r="BJ721" s="41"/>
      <c r="BK721" s="41"/>
      <c r="BL721" s="41"/>
      <c r="BM721" s="41"/>
      <c r="BN721" s="41"/>
      <c r="BO721" s="41"/>
      <c r="BP721" s="41"/>
      <c r="BQ721" s="41"/>
      <c r="BR721" s="41"/>
      <c r="BS721" s="41"/>
      <c r="BT721" s="41"/>
      <c r="BU721" s="41"/>
      <c r="BV721" s="41"/>
      <c r="BW721" s="41"/>
      <c r="BX721" s="41"/>
      <c r="BY721" s="41"/>
      <c r="BZ721" s="41"/>
      <c r="CA721" s="41"/>
      <c r="CB721" s="41"/>
      <c r="CC721" s="41"/>
      <c r="CD721" s="41"/>
      <c r="CE721" s="41"/>
      <c r="CF721" s="41"/>
      <c r="CG721" s="41"/>
      <c r="CH721" s="41"/>
      <c r="CI721" s="41"/>
      <c r="CJ721" s="41"/>
      <c r="CK721" s="41"/>
      <c r="CL721" s="41"/>
      <c r="CM721" s="41"/>
      <c r="CN721" s="41"/>
      <c r="CO721" s="41"/>
      <c r="CP721" s="41"/>
      <c r="CQ721" s="41"/>
      <c r="CR721" s="41"/>
      <c r="CS721" s="41"/>
      <c r="CT721" s="41"/>
      <c r="CU721" s="41"/>
      <c r="CV721" s="41"/>
      <c r="CW721" s="41"/>
      <c r="CX721" s="41"/>
      <c r="CY721" s="41"/>
      <c r="CZ721" s="211"/>
      <c r="DA721" s="41"/>
      <c r="DB721" s="15"/>
      <c r="DC721" s="15"/>
      <c r="DD721" s="15"/>
      <c r="DE721" s="15"/>
      <c r="DF721" s="15"/>
      <c r="DG721" s="15"/>
      <c r="DH721" s="15"/>
      <c r="DI721" s="15"/>
    </row>
    <row r="722" spans="1:113" ht="12" hidden="1" outlineLevel="2">
      <c r="A722" s="1" t="s">
        <v>2298</v>
      </c>
      <c r="B722" s="15" t="s">
        <v>804</v>
      </c>
      <c r="C722" s="41"/>
      <c r="D722" s="41"/>
      <c r="E722" s="41"/>
      <c r="F722" s="41"/>
      <c r="G722" s="41"/>
      <c r="H722" s="41"/>
      <c r="I722" s="41"/>
      <c r="J722" s="41"/>
      <c r="K722" s="41"/>
      <c r="L722" s="41"/>
      <c r="M722" s="41"/>
      <c r="N722" s="41"/>
      <c r="O722" s="41"/>
      <c r="P722" s="41"/>
      <c r="Q722" s="41"/>
      <c r="R722" s="41"/>
      <c r="S722" s="41"/>
      <c r="T722" s="41"/>
      <c r="U722" s="41"/>
      <c r="V722" s="41"/>
      <c r="W722" s="41"/>
      <c r="X722" s="41"/>
      <c r="Y722" s="41"/>
      <c r="Z722" s="41"/>
      <c r="AA722" s="41"/>
      <c r="AB722" s="41"/>
      <c r="AC722" s="41"/>
      <c r="AD722" s="41"/>
      <c r="AE722" s="41"/>
      <c r="AF722" s="41"/>
      <c r="AG722" s="41"/>
      <c r="AH722" s="41"/>
      <c r="AI722" s="41"/>
      <c r="AJ722" s="41"/>
      <c r="AK722" s="41"/>
      <c r="AL722" s="41"/>
      <c r="AM722" s="41"/>
      <c r="AN722" s="41"/>
      <c r="AO722" s="41"/>
      <c r="AP722" s="41"/>
      <c r="AQ722" s="41"/>
      <c r="AR722" s="41"/>
      <c r="AS722" s="41"/>
      <c r="AT722" s="41"/>
      <c r="AU722" s="41"/>
      <c r="AV722" s="41"/>
      <c r="AW722" s="41"/>
      <c r="AX722" s="41"/>
      <c r="AY722" s="211"/>
      <c r="AZ722" s="41"/>
      <c r="BA722" s="41"/>
      <c r="BB722" s="41"/>
      <c r="BC722" s="41"/>
      <c r="BD722" s="41"/>
      <c r="BE722" s="41"/>
      <c r="BF722" s="41"/>
      <c r="BG722" s="41"/>
      <c r="BH722" s="41"/>
      <c r="BI722" s="41"/>
      <c r="BJ722" s="41"/>
      <c r="BK722" s="41"/>
      <c r="BL722" s="41"/>
      <c r="BM722" s="41"/>
      <c r="BN722" s="41"/>
      <c r="BO722" s="41"/>
      <c r="BP722" s="41"/>
      <c r="BQ722" s="41"/>
      <c r="BR722" s="41"/>
      <c r="BS722" s="41"/>
      <c r="BT722" s="41"/>
      <c r="BU722" s="41"/>
      <c r="BV722" s="41"/>
      <c r="BW722" s="41"/>
      <c r="BX722" s="41"/>
      <c r="BY722" s="41"/>
      <c r="BZ722" s="41"/>
      <c r="CA722" s="41"/>
      <c r="CB722" s="41"/>
      <c r="CC722" s="41"/>
      <c r="CD722" s="41"/>
      <c r="CE722" s="41"/>
      <c r="CF722" s="41"/>
      <c r="CG722" s="41"/>
      <c r="CH722" s="41"/>
      <c r="CI722" s="41"/>
      <c r="CJ722" s="41"/>
      <c r="CK722" s="41"/>
      <c r="CL722" s="41"/>
      <c r="CM722" s="41"/>
      <c r="CN722" s="41"/>
      <c r="CO722" s="41"/>
      <c r="CP722" s="41"/>
      <c r="CQ722" s="41"/>
      <c r="CR722" s="41"/>
      <c r="CS722" s="41"/>
      <c r="CT722" s="41"/>
      <c r="CU722" s="41"/>
      <c r="CV722" s="41"/>
      <c r="CW722" s="41"/>
      <c r="CX722" s="41"/>
      <c r="CY722" s="41"/>
      <c r="CZ722" s="211"/>
      <c r="DA722" s="41"/>
      <c r="DB722" s="15"/>
      <c r="DC722" s="15"/>
      <c r="DD722" s="15"/>
      <c r="DE722" s="15"/>
      <c r="DF722" s="15"/>
      <c r="DG722" s="15"/>
      <c r="DH722" s="15"/>
      <c r="DI722" s="15"/>
    </row>
    <row r="723" spans="1:113" ht="12" hidden="1" outlineLevel="2">
      <c r="A723" s="1" t="s">
        <v>2290</v>
      </c>
      <c r="B723" s="15" t="s">
        <v>804</v>
      </c>
      <c r="C723" s="41"/>
      <c r="D723" s="41"/>
      <c r="E723" s="41"/>
      <c r="F723" s="41"/>
      <c r="G723" s="41"/>
      <c r="H723" s="41"/>
      <c r="I723" s="41"/>
      <c r="J723" s="41"/>
      <c r="K723" s="41"/>
      <c r="L723" s="41"/>
      <c r="M723" s="41"/>
      <c r="N723" s="41"/>
      <c r="O723" s="41"/>
      <c r="P723" s="41"/>
      <c r="Q723" s="41"/>
      <c r="R723" s="41"/>
      <c r="S723" s="41"/>
      <c r="T723" s="41"/>
      <c r="U723" s="41"/>
      <c r="V723" s="41"/>
      <c r="W723" s="41"/>
      <c r="X723" s="41"/>
      <c r="Y723" s="41"/>
      <c r="Z723" s="41"/>
      <c r="AA723" s="41"/>
      <c r="AB723" s="41"/>
      <c r="AC723" s="41"/>
      <c r="AD723" s="41"/>
      <c r="AE723" s="41"/>
      <c r="AF723" s="41"/>
      <c r="AG723" s="41"/>
      <c r="AH723" s="41"/>
      <c r="AI723" s="41"/>
      <c r="AJ723" s="41"/>
      <c r="AK723" s="41"/>
      <c r="AL723" s="41"/>
      <c r="AM723" s="41"/>
      <c r="AN723" s="41"/>
      <c r="AO723" s="41"/>
      <c r="AP723" s="41"/>
      <c r="AQ723" s="41"/>
      <c r="AR723" s="41"/>
      <c r="AS723" s="133"/>
      <c r="AT723" s="133"/>
      <c r="AU723" s="133"/>
      <c r="AV723" s="133"/>
      <c r="AW723" s="133"/>
      <c r="AX723" s="497"/>
      <c r="AY723" s="599"/>
      <c r="AZ723" s="133"/>
      <c r="BA723" s="133"/>
      <c r="BB723" s="133"/>
      <c r="BC723" s="133"/>
      <c r="BD723" s="133"/>
      <c r="BE723" s="41"/>
      <c r="BF723" s="41"/>
      <c r="BG723" s="41"/>
      <c r="BH723" s="41"/>
      <c r="BI723" s="41"/>
      <c r="BJ723" s="41"/>
      <c r="BK723" s="41"/>
      <c r="BL723" s="41"/>
      <c r="BM723" s="41"/>
      <c r="BN723" s="41"/>
      <c r="BO723" s="41"/>
      <c r="BP723" s="41"/>
      <c r="BQ723" s="41"/>
      <c r="BR723" s="41"/>
      <c r="BS723" s="41"/>
      <c r="BT723" s="41"/>
      <c r="BU723" s="41"/>
      <c r="BV723" s="41"/>
      <c r="BW723" s="41"/>
      <c r="BX723" s="41"/>
      <c r="BY723" s="41"/>
      <c r="BZ723" s="41"/>
      <c r="CA723" s="41"/>
      <c r="CB723" s="41"/>
      <c r="CC723" s="41"/>
      <c r="CD723" s="41"/>
      <c r="CE723" s="41"/>
      <c r="CF723" s="41"/>
      <c r="CG723" s="41"/>
      <c r="CH723" s="41"/>
      <c r="CI723" s="41"/>
      <c r="CJ723" s="41"/>
      <c r="CK723" s="41"/>
      <c r="CL723" s="41"/>
      <c r="CM723" s="41"/>
      <c r="CN723" s="41"/>
      <c r="CO723" s="41"/>
      <c r="CP723" s="41"/>
      <c r="CQ723" s="41"/>
      <c r="CR723" s="41"/>
      <c r="CS723" s="41"/>
      <c r="CT723" s="41"/>
      <c r="CU723" s="41"/>
      <c r="CV723" s="41"/>
      <c r="CW723" s="41"/>
      <c r="CX723" s="35"/>
      <c r="CY723" s="35"/>
      <c r="CZ723" s="36"/>
      <c r="DA723" s="35"/>
      <c r="DB723" s="15"/>
      <c r="DC723" s="15"/>
      <c r="DD723" s="15"/>
      <c r="DE723" s="15"/>
      <c r="DF723" s="15"/>
      <c r="DG723" s="15"/>
      <c r="DH723" s="15"/>
      <c r="DI723" s="15"/>
    </row>
    <row r="724" spans="1:113" ht="12" outlineLevel="1" collapsed="1">
      <c r="C724" s="41"/>
      <c r="D724" s="41"/>
      <c r="E724" s="41"/>
      <c r="F724" s="41"/>
      <c r="G724" s="41"/>
      <c r="H724" s="41"/>
      <c r="I724" s="41"/>
      <c r="J724" s="41"/>
      <c r="K724" s="41"/>
      <c r="L724" s="41"/>
      <c r="M724" s="41"/>
      <c r="N724" s="41"/>
      <c r="O724" s="41"/>
      <c r="P724" s="41"/>
      <c r="Q724" s="41"/>
      <c r="R724" s="41"/>
      <c r="S724" s="41"/>
      <c r="T724" s="41"/>
      <c r="U724" s="41"/>
      <c r="V724" s="41"/>
      <c r="W724" s="41"/>
      <c r="X724" s="41"/>
      <c r="Y724" s="41"/>
      <c r="Z724" s="41"/>
      <c r="AA724" s="41"/>
      <c r="AB724" s="41"/>
      <c r="AC724" s="41"/>
      <c r="AD724" s="41"/>
      <c r="AE724" s="41"/>
      <c r="AF724" s="41"/>
      <c r="AG724" s="41"/>
      <c r="AH724" s="41"/>
      <c r="AI724" s="41"/>
      <c r="AJ724" s="41"/>
      <c r="AK724" s="41"/>
      <c r="AL724" s="41"/>
      <c r="AM724" s="41"/>
      <c r="AN724" s="41"/>
      <c r="AO724" s="41"/>
      <c r="AP724" s="41"/>
      <c r="AQ724" s="41"/>
      <c r="AR724" s="41"/>
      <c r="AS724" s="41"/>
      <c r="AT724" s="41"/>
      <c r="AU724" s="41"/>
      <c r="AV724" s="41"/>
      <c r="AW724" s="41"/>
      <c r="AX724" s="41"/>
      <c r="AY724" s="211"/>
      <c r="AZ724" s="600"/>
      <c r="BA724" s="41"/>
      <c r="BB724" s="41"/>
      <c r="BC724" s="41"/>
      <c r="BD724" s="41"/>
      <c r="BE724" s="41"/>
      <c r="BF724" s="41"/>
      <c r="BG724" s="41"/>
      <c r="BH724" s="41"/>
      <c r="BI724" s="41"/>
      <c r="BJ724" s="41"/>
      <c r="BK724" s="41"/>
      <c r="BL724" s="41"/>
      <c r="BM724" s="41"/>
      <c r="BN724" s="41"/>
      <c r="BO724" s="41"/>
      <c r="BP724" s="41"/>
      <c r="BQ724" s="41"/>
      <c r="BR724" s="41"/>
      <c r="BS724" s="41"/>
      <c r="BT724" s="41"/>
      <c r="BU724" s="41"/>
      <c r="BV724" s="41"/>
      <c r="BW724" s="41"/>
      <c r="BX724" s="41"/>
      <c r="BY724" s="41"/>
      <c r="BZ724" s="41"/>
      <c r="CA724" s="41"/>
      <c r="CB724" s="41"/>
      <c r="CC724" s="41"/>
      <c r="CD724" s="41"/>
      <c r="CE724" s="41"/>
      <c r="CF724" s="41"/>
      <c r="CG724" s="41"/>
      <c r="CH724" s="41"/>
      <c r="CI724" s="41"/>
      <c r="CJ724" s="41"/>
      <c r="CK724" s="41"/>
      <c r="CL724" s="41"/>
      <c r="CM724" s="41"/>
      <c r="CN724" s="41"/>
      <c r="CO724" s="41"/>
      <c r="CP724" s="41"/>
      <c r="CQ724" s="41"/>
      <c r="CR724" s="41"/>
      <c r="CS724" s="41"/>
      <c r="CT724" s="41"/>
      <c r="CU724" s="41"/>
      <c r="CV724" s="41"/>
      <c r="CW724" s="41"/>
      <c r="CX724" s="41"/>
      <c r="CY724" s="41"/>
      <c r="CZ724" s="211"/>
      <c r="DA724" s="41"/>
      <c r="DB724" s="15"/>
      <c r="DC724" s="15"/>
      <c r="DD724" s="15"/>
      <c r="DE724" s="15"/>
      <c r="DF724" s="15"/>
      <c r="DG724" s="15"/>
      <c r="DH724" s="15"/>
      <c r="DI724" s="15"/>
    </row>
    <row r="725" spans="1:113" s="4" customFormat="1" ht="12.95" customHeight="1" outlineLevel="1">
      <c r="A725" s="1"/>
      <c r="B725" s="5" t="s">
        <v>378</v>
      </c>
      <c r="C725" s="389" t="e">
        <f t="shared" ref="C725:AX725" si="8552">IF(B$2="A","Ok",IF(ABS((C699/C239)-(B699/B239))&gt;1%,"Error","Ok"))</f>
        <v>#VALUE!</v>
      </c>
      <c r="D725" s="389" t="str">
        <f t="shared" si="8552"/>
        <v>Ok</v>
      </c>
      <c r="E725" s="389" t="str">
        <f t="shared" si="8552"/>
        <v>Ok</v>
      </c>
      <c r="F725" s="389" t="str">
        <f t="shared" si="8552"/>
        <v>Ok</v>
      </c>
      <c r="G725" s="389" t="str">
        <f t="shared" si="8552"/>
        <v>Ok</v>
      </c>
      <c r="H725" s="389" t="str">
        <f t="shared" si="8552"/>
        <v>Ok</v>
      </c>
      <c r="I725" s="389" t="str">
        <f t="shared" si="8552"/>
        <v>Ok</v>
      </c>
      <c r="J725" s="389" t="str">
        <f t="shared" si="8552"/>
        <v>Ok</v>
      </c>
      <c r="K725" s="389" t="str">
        <f t="shared" si="8552"/>
        <v>Ok</v>
      </c>
      <c r="L725" s="389" t="str">
        <f t="shared" si="8552"/>
        <v>Ok</v>
      </c>
      <c r="M725" s="75" t="str">
        <f t="shared" si="8552"/>
        <v>Ok</v>
      </c>
      <c r="N725" s="75" t="str">
        <f t="shared" si="8552"/>
        <v>Ok</v>
      </c>
      <c r="O725" s="75" t="str">
        <f t="shared" si="8552"/>
        <v>Ok</v>
      </c>
      <c r="P725" s="75" t="str">
        <f t="shared" si="8552"/>
        <v>Ok</v>
      </c>
      <c r="Q725" s="75" t="str">
        <f t="shared" si="8552"/>
        <v>Ok</v>
      </c>
      <c r="R725" s="75" t="str">
        <f t="shared" si="8552"/>
        <v>Ok</v>
      </c>
      <c r="S725" s="75" t="str">
        <f t="shared" si="8552"/>
        <v>Ok</v>
      </c>
      <c r="T725" s="78" t="str">
        <f t="shared" si="8552"/>
        <v>Ok</v>
      </c>
      <c r="U725" s="75" t="str">
        <f t="shared" si="8552"/>
        <v>Ok</v>
      </c>
      <c r="V725" s="75" t="str">
        <f t="shared" si="8552"/>
        <v>Ok</v>
      </c>
      <c r="W725" s="75" t="str">
        <f t="shared" si="8552"/>
        <v>Ok</v>
      </c>
      <c r="X725" s="75" t="str">
        <f t="shared" si="8552"/>
        <v>Ok</v>
      </c>
      <c r="Y725" s="78" t="str">
        <f t="shared" si="8552"/>
        <v>Ok</v>
      </c>
      <c r="Z725" s="78" t="str">
        <f t="shared" si="8552"/>
        <v>Ok</v>
      </c>
      <c r="AA725" s="78" t="str">
        <f t="shared" si="8552"/>
        <v>Ok</v>
      </c>
      <c r="AB725" s="78" t="str">
        <f t="shared" si="8552"/>
        <v>Ok</v>
      </c>
      <c r="AC725" s="78" t="str">
        <f t="shared" si="8552"/>
        <v>Ok</v>
      </c>
      <c r="AD725" s="78" t="str">
        <f t="shared" si="8552"/>
        <v>Ok</v>
      </c>
      <c r="AE725" s="78" t="str">
        <f t="shared" si="8552"/>
        <v>Ok</v>
      </c>
      <c r="AF725" s="78" t="str">
        <f t="shared" si="8552"/>
        <v>Ok</v>
      </c>
      <c r="AG725" s="78" t="str">
        <f t="shared" si="8552"/>
        <v>Ok</v>
      </c>
      <c r="AH725" s="78" t="str">
        <f t="shared" si="8552"/>
        <v>Ok</v>
      </c>
      <c r="AI725" s="78" t="str">
        <f t="shared" si="8552"/>
        <v>Ok</v>
      </c>
      <c r="AJ725" s="78" t="str">
        <f t="shared" si="8552"/>
        <v>Ok</v>
      </c>
      <c r="AK725" s="78" t="str">
        <f t="shared" si="8552"/>
        <v>Ok</v>
      </c>
      <c r="AL725" s="78" t="str">
        <f t="shared" si="8552"/>
        <v>Ok</v>
      </c>
      <c r="AM725" s="78" t="str">
        <f t="shared" si="8552"/>
        <v>Ok</v>
      </c>
      <c r="AN725" s="78" t="str">
        <f t="shared" si="8552"/>
        <v>Ok</v>
      </c>
      <c r="AO725" s="78" t="str">
        <f t="shared" si="8552"/>
        <v>Ok</v>
      </c>
      <c r="AP725" s="78" t="str">
        <f t="shared" si="8552"/>
        <v>Ok</v>
      </c>
      <c r="AQ725" s="78" t="str">
        <f t="shared" si="8552"/>
        <v>Ok</v>
      </c>
      <c r="AR725" s="78" t="str">
        <f t="shared" si="8552"/>
        <v>Ok</v>
      </c>
      <c r="AS725" s="78" t="str">
        <f t="shared" si="8552"/>
        <v>Ok</v>
      </c>
      <c r="AT725" s="78" t="str">
        <f t="shared" si="8552"/>
        <v>Ok</v>
      </c>
      <c r="AU725" s="78" t="str">
        <f t="shared" si="8552"/>
        <v>Ok</v>
      </c>
      <c r="AV725" s="78" t="str">
        <f t="shared" si="8552"/>
        <v>Ok</v>
      </c>
      <c r="AW725" s="78" t="str">
        <f t="shared" si="8552"/>
        <v>Ok</v>
      </c>
      <c r="AX725" s="78" t="str">
        <f t="shared" si="8552"/>
        <v>Ok</v>
      </c>
      <c r="AY725" s="76" t="str">
        <f>IF(AX$2="A","Ok",IF(ABS((AY699/AY239)-(AX699/AX239))&gt;1%,"Error","Ok"))</f>
        <v>Ok</v>
      </c>
      <c r="AZ725" s="75" t="str">
        <f>IF(AY$2="A","Ok",IF(ABS((AZ699/AZ239)-(AY699/AY239))&gt;1%,"Error","Ok"))</f>
        <v>Ok</v>
      </c>
      <c r="BA725" s="75" t="str">
        <f t="shared" ref="BA725" si="8553">IF(AZ$2="A","Ok",IF(ABS((BA699/BA239)-(AZ699/AZ239))&gt;1%,"Error","Ok"))</f>
        <v>Ok</v>
      </c>
      <c r="BB725" s="75" t="str">
        <f t="shared" ref="BB725" si="8554">IF(BA$2="A","Ok",IF(ABS((BB699/BB239)-(BA699/BA239))&gt;1%,"Error","Ok"))</f>
        <v>Ok</v>
      </c>
      <c r="BC725" s="75" t="str">
        <f t="shared" ref="BC725" si="8555">IF(BB$2="A","Ok",IF(ABS((BC699/BC239)-(BB699/BB239))&gt;1%,"Error","Ok"))</f>
        <v>Ok</v>
      </c>
      <c r="BD725" s="75" t="str">
        <f t="shared" ref="BD725" si="8556">IF(BC$2="A","Ok",IF(ABS((BD699/BD239)-(BC699/BC239))&gt;1%,"Error","Ok"))</f>
        <v>Ok</v>
      </c>
      <c r="BE725" s="75" t="str">
        <f t="shared" ref="BE725" si="8557">IF(BD$2="A","Ok",IF(ABS((BE699/BE239)-(BD699/BD239))&gt;1%,"Error","Ok"))</f>
        <v>Ok</v>
      </c>
      <c r="BF725" s="75" t="str">
        <f t="shared" ref="BF725" si="8558">IF(BE$2="A","Ok",IF(ABS((BF699/BF239)-(BE699/BE239))&gt;1%,"Error","Ok"))</f>
        <v>Ok</v>
      </c>
      <c r="BG725" s="75" t="str">
        <f t="shared" ref="BG725:BK725" si="8559">IF(BF$2="A","Ok",IF(ABS((BG699/BG239)-(BF699/BF239))&gt;1%,"Error","Ok"))</f>
        <v>Ok</v>
      </c>
      <c r="BH725" s="75" t="str">
        <f t="shared" si="8559"/>
        <v>Ok</v>
      </c>
      <c r="BI725" s="75" t="str">
        <f t="shared" si="8559"/>
        <v>Ok</v>
      </c>
      <c r="BJ725" s="75" t="str">
        <f t="shared" si="8559"/>
        <v>Ok</v>
      </c>
      <c r="BK725" s="75" t="str">
        <f t="shared" si="8559"/>
        <v>Ok</v>
      </c>
      <c r="BL725" s="75" t="str">
        <f t="shared" ref="BL725" si="8560">IF(BK$2="A","Ok",IF(ABS((BL699/BL239)-(BK699/BK239))&gt;1%,"Error","Ok"))</f>
        <v>Ok</v>
      </c>
      <c r="BM725" s="75" t="str">
        <f t="shared" ref="BM725" si="8561">IF(BL$2="A","Ok",IF(ABS((BM699/BM239)-(BL699/BL239))&gt;1%,"Error","Ok"))</f>
        <v>Ok</v>
      </c>
      <c r="BN725" s="75" t="str">
        <f t="shared" ref="BN725" si="8562">IF(BM$2="A","Ok",IF(ABS((BN699/BN239)-(BM699/BM239))&gt;1%,"Error","Ok"))</f>
        <v>Ok</v>
      </c>
      <c r="BO725" s="75" t="str">
        <f t="shared" ref="BO725" si="8563">IF(BN$2="A","Ok",IF(ABS((BO699/BO239)-(BN699/BN239))&gt;1%,"Error","Ok"))</f>
        <v>Ok</v>
      </c>
      <c r="BP725" s="75" t="str">
        <f t="shared" ref="BP725" si="8564">IF(BO$2="A","Ok",IF(ABS((BP699/BP239)-(BO699/BO239))&gt;1%,"Error","Ok"))</f>
        <v>Ok</v>
      </c>
      <c r="BQ725" s="75" t="str">
        <f t="shared" ref="BQ725" si="8565">IF(BP$2="A","Ok",IF(ABS((BQ699/BQ239)-(BP699/BP239))&gt;1%,"Error","Ok"))</f>
        <v>Ok</v>
      </c>
      <c r="BR725" s="77"/>
      <c r="BS725" s="389" t="e">
        <f t="shared" ref="BS725:CC725" si="8566">IF(BR$2="A","Ok",IF(ABS((BS699/BS239)-(BR699/BR239))&gt;1%,"Drror","Ok"))</f>
        <v>#DIV/0!</v>
      </c>
      <c r="BT725" s="389" t="str">
        <f t="shared" si="8566"/>
        <v>Ok</v>
      </c>
      <c r="BU725" s="389" t="str">
        <f t="shared" si="8566"/>
        <v>Ok</v>
      </c>
      <c r="BV725" s="389" t="str">
        <f t="shared" si="8566"/>
        <v>Ok</v>
      </c>
      <c r="BW725" s="389" t="str">
        <f t="shared" si="8566"/>
        <v>Ok</v>
      </c>
      <c r="BX725" s="389" t="str">
        <f t="shared" si="8566"/>
        <v>Ok</v>
      </c>
      <c r="BY725" s="389" t="str">
        <f t="shared" si="8566"/>
        <v>Ok</v>
      </c>
      <c r="BZ725" s="389" t="str">
        <f t="shared" si="8566"/>
        <v>Ok</v>
      </c>
      <c r="CA725" s="389" t="str">
        <f t="shared" si="8566"/>
        <v>Ok</v>
      </c>
      <c r="CB725" s="389" t="str">
        <f t="shared" si="8566"/>
        <v>Ok</v>
      </c>
      <c r="CC725" s="75" t="str">
        <f t="shared" si="8566"/>
        <v>Ok</v>
      </c>
      <c r="CD725" s="75" t="str">
        <f t="shared" ref="CD725:DI725" si="8567">IF(CC$2="A","Ok",IF(ABS((CD699/CD239)-(CC699/CC239))&gt;1%,"Error","Ok"))</f>
        <v>Ok</v>
      </c>
      <c r="CE725" s="75" t="str">
        <f t="shared" si="8567"/>
        <v>Ok</v>
      </c>
      <c r="CF725" s="75" t="str">
        <f t="shared" si="8567"/>
        <v>Ok</v>
      </c>
      <c r="CG725" s="75" t="str">
        <f t="shared" si="8567"/>
        <v>Ok</v>
      </c>
      <c r="CH725" s="75" t="str">
        <f t="shared" si="8567"/>
        <v>Ok</v>
      </c>
      <c r="CI725" s="75" t="str">
        <f t="shared" si="8567"/>
        <v>Ok</v>
      </c>
      <c r="CJ725" s="75" t="str">
        <f t="shared" si="8567"/>
        <v>Ok</v>
      </c>
      <c r="CK725" s="75" t="str">
        <f t="shared" si="8567"/>
        <v>Ok</v>
      </c>
      <c r="CL725" s="75" t="str">
        <f t="shared" si="8567"/>
        <v>Ok</v>
      </c>
      <c r="CM725" s="78" t="str">
        <f t="shared" si="8567"/>
        <v>Ok</v>
      </c>
      <c r="CN725" s="78" t="str">
        <f t="shared" si="8567"/>
        <v>Ok</v>
      </c>
      <c r="CO725" s="78" t="str">
        <f t="shared" si="8567"/>
        <v>Ok</v>
      </c>
      <c r="CP725" s="78" t="str">
        <f t="shared" si="8567"/>
        <v>Ok</v>
      </c>
      <c r="CQ725" s="78" t="str">
        <f t="shared" si="8567"/>
        <v>Ok</v>
      </c>
      <c r="CR725" s="78" t="str">
        <f t="shared" si="8567"/>
        <v>Ok</v>
      </c>
      <c r="CS725" s="78" t="str">
        <f t="shared" si="8567"/>
        <v>Ok</v>
      </c>
      <c r="CT725" s="78" t="str">
        <f t="shared" si="8567"/>
        <v>Ok</v>
      </c>
      <c r="CU725" s="78" t="str">
        <f t="shared" si="8567"/>
        <v>Ok</v>
      </c>
      <c r="CV725" s="78" t="str">
        <f t="shared" si="8567"/>
        <v>Ok</v>
      </c>
      <c r="CW725" s="78" t="str">
        <f t="shared" si="8567"/>
        <v>Ok</v>
      </c>
      <c r="CX725" s="78" t="str">
        <f t="shared" si="8567"/>
        <v>Ok</v>
      </c>
      <c r="CY725" s="78" t="str">
        <f t="shared" si="8567"/>
        <v>Ok</v>
      </c>
      <c r="CZ725" s="76" t="str">
        <f>IF(CY$2="A","Ok",IF(ABS((CZ699/CZ239)-(CY699/CY239))&gt;1%,"Error","Ok"))</f>
        <v>Ok</v>
      </c>
      <c r="DA725" s="75" t="str">
        <f>IF(CZ$2="A","Ok",IF(ABS((DA699/DA239)-(CZ699/CZ239))&gt;2.5%,"Error","Ok"))</f>
        <v>Ok</v>
      </c>
      <c r="DB725" s="75" t="str">
        <f>IF(DA$2="A","Ok",IF(ABS((DB699/DB239)-(DA699/DA239))&gt;1%,"Error","Ok"))</f>
        <v>Ok</v>
      </c>
      <c r="DC725" s="75" t="str">
        <f t="shared" si="8567"/>
        <v>Ok</v>
      </c>
      <c r="DD725" s="75" t="str">
        <f t="shared" si="8567"/>
        <v>Ok</v>
      </c>
      <c r="DE725" s="75" t="str">
        <f t="shared" si="8567"/>
        <v>Ok</v>
      </c>
      <c r="DF725" s="75" t="str">
        <f t="shared" si="8567"/>
        <v>Ok</v>
      </c>
      <c r="DG725" s="75" t="str">
        <f t="shared" si="8567"/>
        <v>Ok</v>
      </c>
      <c r="DH725" s="75" t="str">
        <f t="shared" si="8567"/>
        <v>Ok</v>
      </c>
      <c r="DI725" s="75" t="str">
        <f t="shared" si="8567"/>
        <v>Ok</v>
      </c>
    </row>
    <row r="726" spans="1:113" ht="12" outlineLevel="1">
      <c r="AY726" s="200"/>
      <c r="CZ726" s="200"/>
      <c r="DB726" s="16"/>
      <c r="DC726" s="16"/>
      <c r="DD726" s="16"/>
      <c r="DE726" s="16"/>
      <c r="DF726" s="16"/>
      <c r="DG726" s="16"/>
      <c r="DH726" s="16"/>
      <c r="DI726" s="16"/>
    </row>
    <row r="727" spans="1:113" s="17" customFormat="1" ht="12" outlineLevel="1">
      <c r="A727" s="1"/>
      <c r="B727" s="17" t="s">
        <v>379</v>
      </c>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0"/>
      <c r="AH727" s="10"/>
      <c r="AI727" s="10"/>
      <c r="AJ727" s="10"/>
      <c r="AK727" s="10"/>
      <c r="AL727" s="10"/>
      <c r="AM727" s="10"/>
      <c r="AN727" s="10"/>
      <c r="AO727" s="10"/>
      <c r="AP727" s="10"/>
      <c r="AQ727" s="10"/>
      <c r="AR727" s="10"/>
      <c r="AS727" s="10"/>
      <c r="AT727" s="10"/>
      <c r="AU727" s="10"/>
      <c r="AV727" s="10"/>
      <c r="AW727" s="10"/>
      <c r="AX727" s="10"/>
      <c r="AY727" s="201"/>
      <c r="AZ727" s="10"/>
      <c r="BA727" s="10"/>
      <c r="BB727" s="10"/>
      <c r="BC727" s="10"/>
      <c r="BD727" s="10"/>
      <c r="BE727" s="10"/>
      <c r="BF727" s="10"/>
      <c r="BG727" s="10"/>
      <c r="BH727" s="10"/>
      <c r="BI727" s="10"/>
      <c r="BJ727" s="10"/>
      <c r="BK727" s="10"/>
      <c r="BL727" s="10"/>
      <c r="BM727" s="10"/>
      <c r="BN727" s="10"/>
      <c r="BO727" s="10"/>
      <c r="BP727" s="10"/>
      <c r="BQ727" s="10"/>
      <c r="BR727" s="10"/>
      <c r="BS727" s="10"/>
      <c r="BT727" s="10"/>
      <c r="BU727" s="10"/>
      <c r="BV727" s="10"/>
      <c r="BW727" s="10"/>
      <c r="BX727" s="10"/>
      <c r="BY727" s="10"/>
      <c r="BZ727" s="10"/>
      <c r="CA727" s="10"/>
      <c r="CB727" s="10"/>
      <c r="CC727" s="10"/>
      <c r="CD727" s="10"/>
      <c r="CE727" s="10"/>
      <c r="CF727" s="10"/>
      <c r="CG727" s="10"/>
      <c r="CH727" s="10"/>
      <c r="CI727" s="10"/>
      <c r="CJ727" s="10"/>
      <c r="CK727" s="10"/>
      <c r="CL727" s="10"/>
      <c r="CM727" s="10"/>
      <c r="CN727" s="404"/>
      <c r="CO727" s="10"/>
      <c r="CP727" s="10"/>
      <c r="CQ727" s="10"/>
      <c r="CR727" s="10"/>
      <c r="CS727" s="10"/>
      <c r="CT727" s="10"/>
      <c r="CU727" s="10"/>
      <c r="CV727" s="10"/>
      <c r="CW727" s="10"/>
      <c r="CX727" s="10"/>
      <c r="CY727" s="10"/>
      <c r="CZ727" s="201"/>
      <c r="DA727" s="10"/>
      <c r="DB727" s="10"/>
      <c r="DC727" s="10"/>
      <c r="DD727" s="10"/>
      <c r="DE727" s="10"/>
      <c r="DF727" s="10"/>
      <c r="DG727" s="10"/>
      <c r="DH727" s="10"/>
      <c r="DI727" s="10"/>
    </row>
    <row r="728" spans="1:113" ht="12" outlineLevel="1">
      <c r="A728" s="1" t="s">
        <v>950</v>
      </c>
      <c r="B728" s="15" t="s">
        <v>200</v>
      </c>
      <c r="C728" s="53">
        <f t="shared" ref="C728:L728" si="8568">(C525-C522)/C544</f>
        <v>0.6108328443577149</v>
      </c>
      <c r="D728" s="53">
        <f t="shared" si="8568"/>
        <v>0.65819939686369111</v>
      </c>
      <c r="E728" s="53">
        <f t="shared" si="8568"/>
        <v>0.80278687312687291</v>
      </c>
      <c r="F728" s="53">
        <f t="shared" si="8568"/>
        <v>0.68530597483477396</v>
      </c>
      <c r="G728" s="53">
        <f t="shared" si="8568"/>
        <v>0.72677306997029267</v>
      </c>
      <c r="H728" s="53">
        <f t="shared" si="8568"/>
        <v>0.76195499740529316</v>
      </c>
      <c r="I728" s="53">
        <f t="shared" si="8568"/>
        <v>0.75750543580131247</v>
      </c>
      <c r="J728" s="53">
        <f t="shared" si="8568"/>
        <v>0.8431125330553576</v>
      </c>
      <c r="K728" s="53">
        <f t="shared" si="8568"/>
        <v>0.87426661259385074</v>
      </c>
      <c r="L728" s="53">
        <f t="shared" si="8568"/>
        <v>0.97613362174578844</v>
      </c>
      <c r="M728" s="53">
        <f t="shared" ref="M728:AF728" si="8569">(M525-M522)/M544</f>
        <v>1.0082218818906232</v>
      </c>
      <c r="N728" s="53">
        <f t="shared" si="8569"/>
        <v>1.1232077052562988</v>
      </c>
      <c r="O728" s="53">
        <f t="shared" si="8569"/>
        <v>1.1004759273432869</v>
      </c>
      <c r="P728" s="53">
        <f t="shared" si="8569"/>
        <v>1.0155911772465838</v>
      </c>
      <c r="Q728" s="53">
        <f t="shared" si="8569"/>
        <v>0.67793645255549317</v>
      </c>
      <c r="R728" s="53">
        <f t="shared" si="8569"/>
        <v>0.65786442519160282</v>
      </c>
      <c r="S728" s="53">
        <f t="shared" si="8569"/>
        <v>0.64266566828935001</v>
      </c>
      <c r="T728" s="53">
        <f t="shared" si="8569"/>
        <v>0.75818918120270806</v>
      </c>
      <c r="U728" s="53">
        <f t="shared" si="8569"/>
        <v>1.0060160550603456</v>
      </c>
      <c r="V728" s="53">
        <f t="shared" si="8569"/>
        <v>1.0273754579810652</v>
      </c>
      <c r="W728" s="53">
        <f t="shared" si="8569"/>
        <v>1.0249926543019856</v>
      </c>
      <c r="X728" s="53">
        <f t="shared" si="8569"/>
        <v>1.0926040739760221</v>
      </c>
      <c r="Y728" s="53">
        <f t="shared" si="8569"/>
        <v>1.0127251763477743</v>
      </c>
      <c r="Z728" s="53">
        <f t="shared" si="8569"/>
        <v>1.0714791739674594</v>
      </c>
      <c r="AA728" s="53">
        <f t="shared" si="8569"/>
        <v>1.2097811314390468</v>
      </c>
      <c r="AB728" s="53">
        <f t="shared" si="8569"/>
        <v>1.232470474340176</v>
      </c>
      <c r="AC728" s="53">
        <f t="shared" ref="AC728:AD728" si="8570">(AC525-AC522)/AC544</f>
        <v>1.4050956758139366</v>
      </c>
      <c r="AD728" s="53">
        <f t="shared" si="8570"/>
        <v>1.2644587018181819</v>
      </c>
      <c r="AE728" s="53">
        <f t="shared" ref="AE728" si="8571">(AE525-AE522)/AE544</f>
        <v>1.4163522333225911</v>
      </c>
      <c r="AF728" s="53">
        <f t="shared" si="8569"/>
        <v>0.93621405804094571</v>
      </c>
      <c r="AG728" s="53">
        <f t="shared" ref="AG728:AH728" si="8572">(AG525-AG522)/AG544</f>
        <v>1.0123256992718781</v>
      </c>
      <c r="AH728" s="53">
        <f t="shared" si="8572"/>
        <v>0.98777656599514319</v>
      </c>
      <c r="AI728" s="53">
        <f t="shared" ref="AI728:AJ728" si="8573">(AI525-AI522)/AI544</f>
        <v>1.1837158848832445</v>
      </c>
      <c r="AJ728" s="53">
        <f t="shared" si="8573"/>
        <v>1.1272316822813377</v>
      </c>
      <c r="AK728" s="53">
        <f t="shared" ref="AK728:AL728" si="8574">(AK525-AK522)/AK544</f>
        <v>1.0591383741586289</v>
      </c>
      <c r="AL728" s="53">
        <f t="shared" si="8574"/>
        <v>1.101854764955021</v>
      </c>
      <c r="AM728" s="53">
        <f t="shared" ref="AM728:AN728" si="8575">(AM525-AM522)/AM544</f>
        <v>0.97479909518255381</v>
      </c>
      <c r="AN728" s="53">
        <f t="shared" si="8575"/>
        <v>0.54150104924750941</v>
      </c>
      <c r="AO728" s="53">
        <f t="shared" ref="AO728" si="8576">(AO525-AO522)/AO544</f>
        <v>0.7120368578694547</v>
      </c>
      <c r="AP728" s="53">
        <f t="shared" ref="AP728:AQ728" si="8577">(AP525-AP522)/AP544</f>
        <v>1.0285373931729314</v>
      </c>
      <c r="AQ728" s="53">
        <f t="shared" si="8577"/>
        <v>1.1251144426437429</v>
      </c>
      <c r="AR728" s="53">
        <f t="shared" ref="AR728:AS728" si="8578">(AR525-AR522)/AR544</f>
        <v>1.2362115076423452</v>
      </c>
      <c r="AS728" s="53">
        <f t="shared" si="8578"/>
        <v>1.2537991266375546</v>
      </c>
      <c r="AT728" s="53">
        <f t="shared" ref="AT728:AU728" si="8579">(AT525-AT522)/AT544</f>
        <v>1.187335092348285</v>
      </c>
      <c r="AU728" s="53">
        <f t="shared" si="8579"/>
        <v>1.1835877608159457</v>
      </c>
      <c r="AV728" s="53">
        <f t="shared" ref="AV728:AW728" si="8580">(AV525-AV522)/AV544</f>
        <v>1.1351747576050377</v>
      </c>
      <c r="AW728" s="53">
        <f t="shared" si="8580"/>
        <v>1.044233016190953</v>
      </c>
      <c r="AX728" s="53">
        <f t="shared" ref="AX728" si="8581">(AX525-AX522)/AX544</f>
        <v>1.2254786500218715</v>
      </c>
      <c r="AY728" s="216">
        <f t="shared" ref="AY728" si="8582">(AY525-AY522)/AY544</f>
        <v>0.75639861433424138</v>
      </c>
      <c r="AZ728" s="53">
        <f t="shared" ref="AZ728:BA728" si="8583">(AZ525-AZ522)/AZ544</f>
        <v>1.2781621830832393</v>
      </c>
      <c r="BA728" s="53">
        <f t="shared" si="8583"/>
        <v>1.2574996282388522</v>
      </c>
      <c r="BB728" s="53">
        <f t="shared" ref="BB728:BC728" si="8584">(BB525-BB522)/BB544</f>
        <v>1.3104309486617365</v>
      </c>
      <c r="BC728" s="53">
        <f t="shared" si="8584"/>
        <v>1.2031057806426448</v>
      </c>
      <c r="BD728" s="53">
        <f t="shared" ref="BD728:BE728" si="8585">(BD525-BD522)/BD544</f>
        <v>1.3588231168331162</v>
      </c>
      <c r="BE728" s="53">
        <f t="shared" si="8585"/>
        <v>1.2692140460154022</v>
      </c>
      <c r="BF728" s="53">
        <f t="shared" ref="BF728:BG728" si="8586">(BF525-BF522)/BF544</f>
        <v>1.4207230885872972</v>
      </c>
      <c r="BG728" s="53">
        <f t="shared" si="8586"/>
        <v>1.3498893593552532</v>
      </c>
      <c r="BH728" s="53">
        <f t="shared" ref="BH728:BI728" si="8587">(BH525-BH522)/BH544</f>
        <v>1.4718319212360396</v>
      </c>
      <c r="BI728" s="53">
        <f t="shared" si="8587"/>
        <v>1.3772546380131074</v>
      </c>
      <c r="BJ728" s="53">
        <f t="shared" ref="BJ728:BK728" si="8588">(BJ525-BJ522)/BJ544</f>
        <v>1.5215263738012086</v>
      </c>
      <c r="BK728" s="53">
        <f t="shared" si="8588"/>
        <v>1.4900048739835736</v>
      </c>
      <c r="BL728" s="53">
        <f t="shared" ref="BL728:BM728" si="8589">(BL525-BL522)/BL544</f>
        <v>1.564747277457784</v>
      </c>
      <c r="BM728" s="53">
        <f t="shared" si="8589"/>
        <v>1.5031024041070709</v>
      </c>
      <c r="BN728" s="53">
        <f t="shared" ref="BN728:BO728" si="8590">(BN525-BN522)/BN544</f>
        <v>1.5719120928944696</v>
      </c>
      <c r="BO728" s="53">
        <f t="shared" si="8590"/>
        <v>1.5242365133747611</v>
      </c>
      <c r="BP728" s="53">
        <f t="shared" ref="BP728:BQ728" si="8591">(BP525-BP522)/BP544</f>
        <v>1.5981363477655506</v>
      </c>
      <c r="BQ728" s="53">
        <f t="shared" si="8591"/>
        <v>1.5642366638340472</v>
      </c>
      <c r="BR728" s="53"/>
      <c r="BS728" s="53">
        <f t="shared" ref="BS728:CB728" si="8592">(BS525-BS522)/BS544</f>
        <v>-0.5738762403027996</v>
      </c>
      <c r="BT728" s="53">
        <f t="shared" si="8592"/>
        <v>0.12877334969042142</v>
      </c>
      <c r="BU728" s="53">
        <f t="shared" si="8592"/>
        <v>0.53213457455287738</v>
      </c>
      <c r="BV728" s="53">
        <f t="shared" si="8592"/>
        <v>0.66564482201136443</v>
      </c>
      <c r="BW728" s="53">
        <f t="shared" si="8592"/>
        <v>0.72662867165916711</v>
      </c>
      <c r="BX728" s="53">
        <f t="shared" si="8592"/>
        <v>0.65306145932132087</v>
      </c>
      <c r="BY728" s="53">
        <f t="shared" si="8592"/>
        <v>0.69146237916159958</v>
      </c>
      <c r="BZ728" s="53">
        <f t="shared" si="8592"/>
        <v>0.86293128249346629</v>
      </c>
      <c r="CA728" s="53">
        <f t="shared" si="8592"/>
        <v>1.016823097292086</v>
      </c>
      <c r="CB728" s="53">
        <f t="shared" si="8592"/>
        <v>1.1173083169922928</v>
      </c>
      <c r="CC728" s="53">
        <f t="shared" ref="CC728:CR728" si="8593">(CC525-CC522)/CC544</f>
        <v>1.4614478728299447</v>
      </c>
      <c r="CD728" s="53">
        <f t="shared" si="8593"/>
        <v>1.4122011594499844</v>
      </c>
      <c r="CE728" s="53">
        <f t="shared" si="8593"/>
        <v>1.5193606121413679</v>
      </c>
      <c r="CF728" s="53">
        <f t="shared" si="8593"/>
        <v>1.7173988085771863</v>
      </c>
      <c r="CG728" s="53">
        <f t="shared" si="8593"/>
        <v>1.984388813855652</v>
      </c>
      <c r="CH728" s="53">
        <f t="shared" si="8593"/>
        <v>2.2235392469569919</v>
      </c>
      <c r="CI728" s="53">
        <f t="shared" si="8593"/>
        <v>1.6902282431940039</v>
      </c>
      <c r="CJ728" s="53">
        <f t="shared" si="8593"/>
        <v>1.2995004771335974</v>
      </c>
      <c r="CK728" s="53">
        <f t="shared" si="8593"/>
        <v>1.7751827760730081</v>
      </c>
      <c r="CL728" s="53">
        <f t="shared" si="8593"/>
        <v>2.0658308967613701</v>
      </c>
      <c r="CM728" s="53">
        <f t="shared" si="8593"/>
        <v>2.1047973789944052</v>
      </c>
      <c r="CN728" s="53">
        <f t="shared" si="8593"/>
        <v>2.2814953014216965</v>
      </c>
      <c r="CO728" s="53">
        <f t="shared" si="8593"/>
        <v>2.637985795329771</v>
      </c>
      <c r="CP728" s="53">
        <f t="shared" si="8593"/>
        <v>2.6819327098217505</v>
      </c>
      <c r="CQ728" s="53">
        <f t="shared" si="8593"/>
        <v>1.948874466313399</v>
      </c>
      <c r="CR728" s="53">
        <f t="shared" si="8593"/>
        <v>2.1717136809732094</v>
      </c>
      <c r="CS728" s="53">
        <f t="shared" ref="CS728:CX728" si="8594">(CS525-CS522)/CS544</f>
        <v>2.1869425825784448</v>
      </c>
      <c r="CT728" s="53">
        <f t="shared" si="8594"/>
        <v>2.0772705701522987</v>
      </c>
      <c r="CU728" s="53">
        <f t="shared" si="8594"/>
        <v>1.2535559793705182</v>
      </c>
      <c r="CV728" s="53">
        <f t="shared" si="8594"/>
        <v>2.1536087972944409</v>
      </c>
      <c r="CW728" s="53">
        <f t="shared" si="8594"/>
        <v>2.5000877963125547</v>
      </c>
      <c r="CX728" s="53">
        <f t="shared" si="8594"/>
        <v>2.370879487521687</v>
      </c>
      <c r="CY728" s="53">
        <f t="shared" ref="CY728:DD728" si="8595">(CY525-CY522)/CY544</f>
        <v>2.1794957310565635</v>
      </c>
      <c r="CZ728" s="216">
        <f t="shared" si="8595"/>
        <v>1.9817668034717084</v>
      </c>
      <c r="DA728" s="53">
        <f t="shared" si="8595"/>
        <v>2.5356119199015255</v>
      </c>
      <c r="DB728" s="53">
        <f t="shared" si="8595"/>
        <v>2.513751242304942</v>
      </c>
      <c r="DC728" s="53">
        <f t="shared" si="8595"/>
        <v>2.6284008399015484</v>
      </c>
      <c r="DD728" s="53">
        <f t="shared" si="8595"/>
        <v>2.7708512028938612</v>
      </c>
      <c r="DE728" s="53">
        <f t="shared" ref="DE728" si="8596">(DE525-DE522)/DE544</f>
        <v>2.8490865592491468</v>
      </c>
      <c r="DF728" s="53">
        <f t="shared" ref="DF728" si="8597">(DF525-DF522)/DF544</f>
        <v>3.0115312477847822</v>
      </c>
      <c r="DG728" s="53">
        <f>(DG525-DG522)/DG544</f>
        <v>3.067849681564855</v>
      </c>
      <c r="DH728" s="53">
        <f>(DH525-DH522)/DH544</f>
        <v>3.0961486062692303</v>
      </c>
      <c r="DI728" s="53">
        <f>(DI525-DI522)/DI544</f>
        <v>3.1623730115995978</v>
      </c>
    </row>
    <row r="729" spans="1:113" ht="12" outlineLevel="1">
      <c r="A729" s="1" t="s">
        <v>951</v>
      </c>
      <c r="B729" s="15" t="s">
        <v>201</v>
      </c>
      <c r="C729" s="53">
        <f t="shared" ref="C729:L729" si="8598">(C525-C522+C546)/C545</f>
        <v>0.60853971307903731</v>
      </c>
      <c r="D729" s="53">
        <f t="shared" si="8598"/>
        <v>0.65490774154830966</v>
      </c>
      <c r="E729" s="53">
        <f t="shared" si="8598"/>
        <v>0.79869102173336848</v>
      </c>
      <c r="F729" s="53">
        <f t="shared" si="8598"/>
        <v>0.68270288807293</v>
      </c>
      <c r="G729" s="53">
        <f t="shared" si="8598"/>
        <v>0.72407284256926951</v>
      </c>
      <c r="H729" s="53">
        <f t="shared" si="8598"/>
        <v>0.75135396129607945</v>
      </c>
      <c r="I729" s="53">
        <f t="shared" si="8598"/>
        <v>0.74430003798670497</v>
      </c>
      <c r="J729" s="53">
        <f t="shared" si="8598"/>
        <v>0.81638925918325489</v>
      </c>
      <c r="K729" s="53">
        <f t="shared" si="8598"/>
        <v>0.84261744630318036</v>
      </c>
      <c r="L729" s="53">
        <f t="shared" si="8598"/>
        <v>0.9475266391326792</v>
      </c>
      <c r="M729" s="53">
        <f t="shared" ref="M729:AF729" si="8599">(M525-M522+M546)/M545</f>
        <v>0.97713970384893201</v>
      </c>
      <c r="N729" s="53">
        <f t="shared" si="8599"/>
        <v>1.0917864418508569</v>
      </c>
      <c r="O729" s="53">
        <f t="shared" si="8599"/>
        <v>1.0739856076954397</v>
      </c>
      <c r="P729" s="53">
        <f t="shared" si="8599"/>
        <v>0.9778131216776399</v>
      </c>
      <c r="Q729" s="53">
        <f t="shared" si="8599"/>
        <v>0.65379699057220231</v>
      </c>
      <c r="R729" s="53">
        <f t="shared" si="8599"/>
        <v>0.62856964757709244</v>
      </c>
      <c r="S729" s="53">
        <f t="shared" si="8599"/>
        <v>0.63292127269779508</v>
      </c>
      <c r="T729" s="53">
        <f t="shared" si="8599"/>
        <v>0.74520987179666009</v>
      </c>
      <c r="U729" s="53">
        <f t="shared" si="8599"/>
        <v>0.97695460300496717</v>
      </c>
      <c r="V729" s="53">
        <f t="shared" si="8599"/>
        <v>0.99807031284312187</v>
      </c>
      <c r="W729" s="53">
        <f t="shared" si="8599"/>
        <v>0.97979937735543177</v>
      </c>
      <c r="X729" s="53">
        <f t="shared" si="8599"/>
        <v>1.0470880130853994</v>
      </c>
      <c r="Y729" s="53">
        <f t="shared" si="8599"/>
        <v>0.978487377099866</v>
      </c>
      <c r="Z729" s="53">
        <f t="shared" si="8599"/>
        <v>1.0397706183721251</v>
      </c>
      <c r="AA729" s="53">
        <f t="shared" si="8599"/>
        <v>1.1706029498525072</v>
      </c>
      <c r="AB729" s="53">
        <f t="shared" si="8599"/>
        <v>1.191332544196245</v>
      </c>
      <c r="AC729" s="53">
        <f t="shared" ref="AC729:AD729" si="8600">(AC525-AC522+AC546)/AC545</f>
        <v>1.3484042706777131</v>
      </c>
      <c r="AD729" s="53">
        <f t="shared" si="8600"/>
        <v>1.2311248981823151</v>
      </c>
      <c r="AE729" s="53">
        <f t="shared" ref="AE729" si="8601">(AE525-AE522+AE546)/AE545</f>
        <v>1.3327105751608501</v>
      </c>
      <c r="AF729" s="53">
        <f t="shared" si="8599"/>
        <v>0.88625734943489698</v>
      </c>
      <c r="AG729" s="53">
        <f t="shared" ref="AG729:AH729" si="8602">(AG525-AG522+AG546)/AG545</f>
        <v>0.96983662406815763</v>
      </c>
      <c r="AH729" s="53">
        <f t="shared" si="8602"/>
        <v>0.95409679137323944</v>
      </c>
      <c r="AI729" s="53">
        <f t="shared" ref="AI729:AJ729" si="8603">(AI525-AI522+AI546)/AI545</f>
        <v>1.1327174702390301</v>
      </c>
      <c r="AJ729" s="53">
        <f t="shared" si="8603"/>
        <v>1.0724919339637362</v>
      </c>
      <c r="AK729" s="53">
        <f t="shared" ref="AK729:AL729" si="8604">(AK525-AK522+AK546)/AK545</f>
        <v>1.01827937617725</v>
      </c>
      <c r="AL729" s="53">
        <f t="shared" si="8604"/>
        <v>1.0505485507710026</v>
      </c>
      <c r="AM729" s="53">
        <f t="shared" ref="AM729:AN729" si="8605">(AM525-AM522+AM546)/AM545</f>
        <v>0.93902206015282075</v>
      </c>
      <c r="AN729" s="53">
        <f t="shared" si="8605"/>
        <v>0.51126768788982901</v>
      </c>
      <c r="AO729" s="53">
        <f t="shared" ref="AO729" si="8606">(AO525-AO522+AO546)/AO545</f>
        <v>0.65773314962351981</v>
      </c>
      <c r="AP729" s="53">
        <f t="shared" ref="AP729:AQ729" si="8607">(AP525-AP522+AP546)/AP545</f>
        <v>0.97619667034107116</v>
      </c>
      <c r="AQ729" s="53">
        <f t="shared" si="8607"/>
        <v>1.0586936094026727</v>
      </c>
      <c r="AR729" s="53">
        <f t="shared" ref="AR729:AS729" si="8608">(AR525-AR522+AR546)/AR545</f>
        <v>1.1577213390038017</v>
      </c>
      <c r="AS729" s="53">
        <f t="shared" si="8608"/>
        <v>1.1750119217930377</v>
      </c>
      <c r="AT729" s="53">
        <f t="shared" ref="AT729:AU729" si="8609">(AT525-AT522+AT546)/AT545</f>
        <v>1.1301589238324741</v>
      </c>
      <c r="AU729" s="53">
        <f t="shared" si="8609"/>
        <v>1.1375548512920526</v>
      </c>
      <c r="AV729" s="53">
        <f t="shared" ref="AV729:AW729" si="8610">(AV525-AV522+AV546)/AV545</f>
        <v>1.115282821443959</v>
      </c>
      <c r="AW729" s="53">
        <f t="shared" si="8610"/>
        <v>1.0312054981115721</v>
      </c>
      <c r="AX729" s="53">
        <f t="shared" ref="AX729" si="8611">(AX525-AX522+AX546)/AX545</f>
        <v>1.1933990117164435</v>
      </c>
      <c r="AY729" s="216">
        <f t="shared" ref="AY729" si="8612">(AY525-AY522+AY546)/AY545</f>
        <v>0.75426769963443674</v>
      </c>
      <c r="AZ729" s="53">
        <f t="shared" ref="AZ729:BA729" si="8613">(AZ525-AZ522+AZ546)/AZ545</f>
        <v>1.2745817683598542</v>
      </c>
      <c r="BA729" s="53">
        <f t="shared" si="8613"/>
        <v>1.2540025567843691</v>
      </c>
      <c r="BB729" s="53">
        <f t="shared" ref="BB729:BC729" si="8614">(BB525-BB522+BB546)/BB545</f>
        <v>1.3067997928845458</v>
      </c>
      <c r="BC729" s="53">
        <f t="shared" si="8614"/>
        <v>1.1997577878704706</v>
      </c>
      <c r="BD729" s="53">
        <f t="shared" ref="BD729:BE729" si="8615">(BD525-BD522+BD546)/BD545</f>
        <v>1.3550099407528129</v>
      </c>
      <c r="BE729" s="53">
        <f t="shared" si="8615"/>
        <v>1.2656233879891892</v>
      </c>
      <c r="BF729" s="53">
        <f t="shared" ref="BF729:BG729" si="8616">(BF525-BF522+BF546)/BF545</f>
        <v>1.4166723019089882</v>
      </c>
      <c r="BG729" s="53">
        <f t="shared" si="8616"/>
        <v>1.3460114480697039</v>
      </c>
      <c r="BH729" s="53">
        <f t="shared" ref="BH729:BI729" si="8617">(BH525-BH522+BH546)/BH545</f>
        <v>1.4675880144658706</v>
      </c>
      <c r="BI729" s="53">
        <f t="shared" si="8617"/>
        <v>1.3732834370911964</v>
      </c>
      <c r="BJ729" s="53">
        <f t="shared" ref="BJ729:BK729" si="8618">(BJ525-BJ522+BJ546)/BJ545</f>
        <v>1.5171391771481131</v>
      </c>
      <c r="BK729" s="53">
        <f t="shared" si="8618"/>
        <v>1.4857085669929131</v>
      </c>
      <c r="BL729" s="53">
        <f t="shared" ref="BL729:BM729" si="8619">(BL525-BL522+BL546)/BL545</f>
        <v>1.5602354568697172</v>
      </c>
      <c r="BM729" s="53">
        <f t="shared" si="8619"/>
        <v>1.498768331461269</v>
      </c>
      <c r="BN729" s="53">
        <f t="shared" ref="BN729:BO729" si="8620">(BN525-BN522+BN546)/BN545</f>
        <v>1.5673796131480437</v>
      </c>
      <c r="BO729" s="53">
        <f t="shared" si="8620"/>
        <v>1.5198415022562242</v>
      </c>
      <c r="BP729" s="53">
        <f t="shared" ref="BP729:BQ729" si="8621">(BP525-BP522+BP546)/BP545</f>
        <v>1.5935282525285348</v>
      </c>
      <c r="BQ729" s="53">
        <f t="shared" si="8621"/>
        <v>1.5597263155585341</v>
      </c>
      <c r="BR729" s="53"/>
      <c r="BS729" s="53">
        <f t="shared" ref="BS729:CB729" si="8622">(BS525-BS522+BS546)/BS545</f>
        <v>-0.44882972805248172</v>
      </c>
      <c r="BT729" s="53">
        <f t="shared" si="8622"/>
        <v>0.11426573364898553</v>
      </c>
      <c r="BU729" s="53">
        <f t="shared" si="8622"/>
        <v>0.53213457455287738</v>
      </c>
      <c r="BV729" s="53">
        <f t="shared" si="8622"/>
        <v>0.66632964178709631</v>
      </c>
      <c r="BW729" s="53">
        <f t="shared" si="8622"/>
        <v>0.72416716540961967</v>
      </c>
      <c r="BX729" s="53">
        <f t="shared" si="8622"/>
        <v>0.65119636190200658</v>
      </c>
      <c r="BY729" s="53">
        <f t="shared" si="8622"/>
        <v>0.68972361366041191</v>
      </c>
      <c r="BZ729" s="53">
        <f t="shared" si="8622"/>
        <v>0.86000509751569498</v>
      </c>
      <c r="CA729" s="53">
        <f t="shared" si="8622"/>
        <v>1.0119641467598557</v>
      </c>
      <c r="CB729" s="53">
        <f t="shared" si="8622"/>
        <v>1.1205351795269665</v>
      </c>
      <c r="CC729" s="53">
        <f t="shared" ref="CC729:CR729" si="8623">(CC525-CC522+CC546)/CC545</f>
        <v>1.4540653080977819</v>
      </c>
      <c r="CD729" s="53">
        <f t="shared" si="8623"/>
        <v>1.4068956591339512</v>
      </c>
      <c r="CE729" s="53">
        <f t="shared" si="8623"/>
        <v>1.4954583597668434</v>
      </c>
      <c r="CF729" s="53">
        <f t="shared" si="8623"/>
        <v>1.6589085101801859</v>
      </c>
      <c r="CG729" s="53">
        <f t="shared" si="8623"/>
        <v>1.9250729269048108</v>
      </c>
      <c r="CH729" s="53">
        <f t="shared" si="8623"/>
        <v>2.1653094407709261</v>
      </c>
      <c r="CI729" s="53">
        <f t="shared" si="8623"/>
        <v>1.6091048086553912</v>
      </c>
      <c r="CJ729" s="53">
        <f t="shared" si="8623"/>
        <v>1.2854972627721677</v>
      </c>
      <c r="CK729" s="53">
        <f t="shared" si="8623"/>
        <v>1.7229999347423064</v>
      </c>
      <c r="CL729" s="53">
        <f t="shared" si="8623"/>
        <v>1.9720957823177676</v>
      </c>
      <c r="CM729" s="53">
        <f t="shared" si="8623"/>
        <v>2.0283892453415078</v>
      </c>
      <c r="CN729" s="53">
        <f t="shared" si="8623"/>
        <v>2.2145783123902638</v>
      </c>
      <c r="CO729" s="53">
        <f t="shared" si="8623"/>
        <v>2.5383661695747</v>
      </c>
      <c r="CP729" s="53">
        <f t="shared" si="8623"/>
        <v>2.5409075509531034</v>
      </c>
      <c r="CQ729" s="53">
        <f t="shared" si="8623"/>
        <v>1.8696167292124253</v>
      </c>
      <c r="CR729" s="53">
        <f t="shared" si="8623"/>
        <v>2.0807167603471508</v>
      </c>
      <c r="CS729" s="53">
        <f t="shared" ref="CS729:CX729" si="8624">(CS525-CS522+CS546)/CS545</f>
        <v>2.0944281676518002</v>
      </c>
      <c r="CT729" s="53">
        <f t="shared" si="8624"/>
        <v>1.9974648864004141</v>
      </c>
      <c r="CU729" s="53">
        <f t="shared" si="8624"/>
        <v>1.1749080084970793</v>
      </c>
      <c r="CV729" s="53">
        <f t="shared" si="8624"/>
        <v>2.0326429630824836</v>
      </c>
      <c r="CW729" s="53">
        <f t="shared" si="8624"/>
        <v>2.3319843217233358</v>
      </c>
      <c r="CX729" s="53">
        <f t="shared" si="8624"/>
        <v>2.2742699892982725</v>
      </c>
      <c r="CY729" s="53">
        <f t="shared" ref="CY729:DD729" si="8625">(CY525-CY522+CY546)/CY545</f>
        <v>2.1505875077303647</v>
      </c>
      <c r="CZ729" s="216">
        <f t="shared" si="8625"/>
        <v>1.9148400893109845</v>
      </c>
      <c r="DA729" s="53">
        <f t="shared" si="8625"/>
        <v>2.5285348049597363</v>
      </c>
      <c r="DB729" s="53">
        <f t="shared" si="8625"/>
        <v>2.5067709357212133</v>
      </c>
      <c r="DC729" s="53">
        <f t="shared" si="8625"/>
        <v>2.6209950805601157</v>
      </c>
      <c r="DD729" s="53">
        <f t="shared" si="8625"/>
        <v>2.7629212526334932</v>
      </c>
      <c r="DE729" s="53">
        <f t="shared" ref="DE729" si="8626">(DE525-DE522+DE546)/DE545</f>
        <v>2.8408714515570668</v>
      </c>
      <c r="DF729" s="53">
        <f t="shared" ref="DF729" si="8627">(DF525-DF522+DF546)/DF545</f>
        <v>3.0028477441410262</v>
      </c>
      <c r="DG729" s="53">
        <f>(DG525-DG522+DG546)/DG545</f>
        <v>3.059003788330986</v>
      </c>
      <c r="DH729" s="53">
        <f>(DH525-DH522+DH546)/DH545</f>
        <v>3.0872211154042675</v>
      </c>
      <c r="DI729" s="53">
        <f>(DI525-DI522+DI546)/DI545</f>
        <v>3.1532545680870689</v>
      </c>
    </row>
    <row r="730" spans="1:113" ht="12" outlineLevel="1">
      <c r="A730" s="1" t="s">
        <v>952</v>
      </c>
      <c r="B730" s="15" t="s">
        <v>202</v>
      </c>
      <c r="C730" s="53">
        <f t="shared" ref="C730:L730" si="8628">C515/C544</f>
        <v>0.6108328443577149</v>
      </c>
      <c r="D730" s="53">
        <f t="shared" si="8628"/>
        <v>0.66883696287360939</v>
      </c>
      <c r="E730" s="53">
        <f t="shared" si="8628"/>
        <v>0.6904627838827837</v>
      </c>
      <c r="F730" s="53">
        <f t="shared" si="8628"/>
        <v>0.68530597483477396</v>
      </c>
      <c r="G730" s="53">
        <f t="shared" si="8628"/>
        <v>0.72677306997029267</v>
      </c>
      <c r="H730" s="53">
        <f t="shared" si="8628"/>
        <v>0.71390378135270716</v>
      </c>
      <c r="I730" s="53">
        <f t="shared" si="8628"/>
        <v>0.75750543580131247</v>
      </c>
      <c r="J730" s="53">
        <f t="shared" si="8628"/>
        <v>0.85018836451418245</v>
      </c>
      <c r="K730" s="53">
        <f t="shared" si="8628"/>
        <v>0.85414978133391761</v>
      </c>
      <c r="L730" s="53">
        <f t="shared" si="8628"/>
        <v>0.93272578976153986</v>
      </c>
      <c r="M730" s="53">
        <f t="shared" ref="M730:AF730" si="8629">M515/M544</f>
        <v>0.99685095841065385</v>
      </c>
      <c r="N730" s="53">
        <f t="shared" si="8629"/>
        <v>1.0337820558210251</v>
      </c>
      <c r="O730" s="53">
        <f t="shared" si="8629"/>
        <v>1.0523501579259418</v>
      </c>
      <c r="P730" s="53">
        <f t="shared" si="8629"/>
        <v>0.99412765236663014</v>
      </c>
      <c r="Q730" s="53">
        <f t="shared" si="8629"/>
        <v>0.67742787307120544</v>
      </c>
      <c r="R730" s="53">
        <f t="shared" si="8629"/>
        <v>0.4392059694387585</v>
      </c>
      <c r="S730" s="53">
        <f t="shared" si="8629"/>
        <v>1.0252148432829447</v>
      </c>
      <c r="T730" s="53">
        <f t="shared" si="8629"/>
        <v>0.93637746714456394</v>
      </c>
      <c r="U730" s="53">
        <f t="shared" si="8629"/>
        <v>1.0768402114064841</v>
      </c>
      <c r="V730" s="53">
        <f t="shared" si="8629"/>
        <v>1.0501802555810964</v>
      </c>
      <c r="W730" s="53">
        <f t="shared" si="8629"/>
        <v>1.0452252839772203</v>
      </c>
      <c r="X730" s="53">
        <f t="shared" si="8629"/>
        <v>1.0839743027873379</v>
      </c>
      <c r="Y730" s="53">
        <f t="shared" si="8629"/>
        <v>1.1651147938259638</v>
      </c>
      <c r="Z730" s="53">
        <f t="shared" si="8629"/>
        <v>1.1598561201501878</v>
      </c>
      <c r="AA730" s="53">
        <f t="shared" si="8629"/>
        <v>1.2039613785517873</v>
      </c>
      <c r="AB730" s="53">
        <f t="shared" si="8629"/>
        <v>1.277201624633431</v>
      </c>
      <c r="AC730" s="53">
        <f t="shared" ref="AC730:AD730" si="8630">AC515/AC544</f>
        <v>1.3046799115723315</v>
      </c>
      <c r="AD730" s="53">
        <f t="shared" si="8630"/>
        <v>1.3257876545454546</v>
      </c>
      <c r="AE730" s="53">
        <f t="shared" ref="AE730" si="8631">AE515/AE544</f>
        <v>1.2575587925663338</v>
      </c>
      <c r="AF730" s="53">
        <f t="shared" si="8629"/>
        <v>0.95125913421107045</v>
      </c>
      <c r="AG730" s="53">
        <f t="shared" ref="AG730:AH730" si="8632">AG515/AG544</f>
        <v>1.0586657514768512</v>
      </c>
      <c r="AH730" s="53">
        <f t="shared" si="8632"/>
        <v>1.1384370934090366</v>
      </c>
      <c r="AI730" s="53">
        <f t="shared" ref="AI730:AJ730" si="8633">AI515/AI544</f>
        <v>1.1698296613409804</v>
      </c>
      <c r="AJ730" s="53">
        <f t="shared" si="8633"/>
        <v>1.1848992675921495</v>
      </c>
      <c r="AK730" s="53">
        <f t="shared" ref="AK730:AL730" si="8634">AK515/AK544</f>
        <v>1.0305688307542851</v>
      </c>
      <c r="AL730" s="53">
        <f t="shared" si="8634"/>
        <v>1.2376332752283943</v>
      </c>
      <c r="AM730" s="53">
        <f t="shared" ref="AM730:AN730" si="8635">AM515/AM544</f>
        <v>1.0189806369066552</v>
      </c>
      <c r="AN730" s="53">
        <f t="shared" si="8635"/>
        <v>0.49523688193315907</v>
      </c>
      <c r="AO730" s="53">
        <f t="shared" ref="AO730" si="8636">AO515/AO544</f>
        <v>0.82171576363379484</v>
      </c>
      <c r="AP730" s="53">
        <f t="shared" ref="AP730:AQ730" si="8637">AP515/AP544</f>
        <v>1.0449632366928525</v>
      </c>
      <c r="AQ730" s="53">
        <f t="shared" si="8637"/>
        <v>1.121269689966178</v>
      </c>
      <c r="AR730" s="53">
        <f t="shared" ref="AR730:AS730" si="8638">AR515/AR544</f>
        <v>1.0901774570228386</v>
      </c>
      <c r="AS730" s="53">
        <f t="shared" si="8638"/>
        <v>1.188471615720524</v>
      </c>
      <c r="AT730" s="53">
        <f t="shared" ref="AT730:AU730" si="8639">AT515/AT544</f>
        <v>1.2788484018569855</v>
      </c>
      <c r="AU730" s="53">
        <f t="shared" si="8639"/>
        <v>1.194587027531498</v>
      </c>
      <c r="AV730" s="53">
        <f t="shared" ref="AV730:AW730" si="8640">AV515/AV544</f>
        <v>1.1834871555659214</v>
      </c>
      <c r="AW730" s="53">
        <f t="shared" si="8640"/>
        <v>1.0592555499916541</v>
      </c>
      <c r="AX730" s="53">
        <f t="shared" ref="AX730" si="8641">AX515/AX544</f>
        <v>1.2005787543322453</v>
      </c>
      <c r="AY730" s="216">
        <f t="shared" ref="AY730" si="8642">AY515/AY544</f>
        <v>0.74630881512124569</v>
      </c>
      <c r="AZ730" s="53">
        <f t="shared" ref="AZ730:BA730" si="8643">AZ515/AZ544</f>
        <v>1.2781621830832393</v>
      </c>
      <c r="BA730" s="53">
        <f t="shared" si="8643"/>
        <v>1.2574996282388522</v>
      </c>
      <c r="BB730" s="53">
        <f t="shared" ref="BB730:BC730" si="8644">BB515/BB544</f>
        <v>1.3104309486617365</v>
      </c>
      <c r="BC730" s="53">
        <f t="shared" si="8644"/>
        <v>1.2031057806426448</v>
      </c>
      <c r="BD730" s="53">
        <f t="shared" ref="BD730:BE730" si="8645">BD515/BD544</f>
        <v>1.3588231168331162</v>
      </c>
      <c r="BE730" s="53">
        <f t="shared" si="8645"/>
        <v>1.2692140460154022</v>
      </c>
      <c r="BF730" s="53">
        <f t="shared" ref="BF730:BG730" si="8646">BF515/BF544</f>
        <v>1.4207230885872972</v>
      </c>
      <c r="BG730" s="53">
        <f t="shared" si="8646"/>
        <v>1.3498893593552532</v>
      </c>
      <c r="BH730" s="53">
        <f t="shared" ref="BH730:BI730" si="8647">BH515/BH544</f>
        <v>1.4718319212360396</v>
      </c>
      <c r="BI730" s="53">
        <f t="shared" si="8647"/>
        <v>1.3772546380131074</v>
      </c>
      <c r="BJ730" s="53">
        <f t="shared" ref="BJ730:BK730" si="8648">BJ515/BJ544</f>
        <v>1.5215263738012086</v>
      </c>
      <c r="BK730" s="53">
        <f t="shared" si="8648"/>
        <v>1.4900048739835736</v>
      </c>
      <c r="BL730" s="53">
        <f t="shared" ref="BL730:BM730" si="8649">BL515/BL544</f>
        <v>1.564747277457784</v>
      </c>
      <c r="BM730" s="53">
        <f t="shared" si="8649"/>
        <v>1.5031024041070709</v>
      </c>
      <c r="BN730" s="53">
        <f t="shared" ref="BN730:BO730" si="8650">BN515/BN544</f>
        <v>1.5719120928944696</v>
      </c>
      <c r="BO730" s="53">
        <f t="shared" si="8650"/>
        <v>1.5242365133747611</v>
      </c>
      <c r="BP730" s="53">
        <f t="shared" ref="BP730:BQ730" si="8651">BP515/BP544</f>
        <v>1.5981363477655506</v>
      </c>
      <c r="BQ730" s="53">
        <f t="shared" si="8651"/>
        <v>1.5642366638340472</v>
      </c>
      <c r="BR730" s="53"/>
      <c r="BS730" s="53">
        <f t="shared" ref="BS730:CB730" si="8652">BS515/BS544</f>
        <v>-0.57309225636795968</v>
      </c>
      <c r="BT730" s="53">
        <f t="shared" si="8652"/>
        <v>0.2932699234111994</v>
      </c>
      <c r="BU730" s="53">
        <f t="shared" si="8652"/>
        <v>0.51850848706432662</v>
      </c>
      <c r="BV730" s="53">
        <f t="shared" si="8652"/>
        <v>0.65263324627245922</v>
      </c>
      <c r="BW730" s="53">
        <f t="shared" si="8652"/>
        <v>0.72662867165916711</v>
      </c>
      <c r="BX730" s="53">
        <f t="shared" si="8652"/>
        <v>0.74681149303248706</v>
      </c>
      <c r="BY730" s="53">
        <f t="shared" si="8652"/>
        <v>0.73460062885612976</v>
      </c>
      <c r="BZ730" s="53">
        <f t="shared" si="8652"/>
        <v>0.86293128249346629</v>
      </c>
      <c r="CA730" s="53">
        <f t="shared" si="8652"/>
        <v>0.99704295193442838</v>
      </c>
      <c r="CB730" s="53">
        <f t="shared" si="8652"/>
        <v>1.1281559705553248</v>
      </c>
      <c r="CC730" s="53">
        <f t="shared" ref="CC730:CR730" si="8653">CC515/CC544</f>
        <v>1.3593784975846788</v>
      </c>
      <c r="CD730" s="53">
        <f t="shared" si="8653"/>
        <v>1.4122011594499844</v>
      </c>
      <c r="CE730" s="53">
        <f t="shared" si="8653"/>
        <v>1.4723873727523815</v>
      </c>
      <c r="CF730" s="53">
        <f t="shared" si="8653"/>
        <v>1.7043428784517971</v>
      </c>
      <c r="CG730" s="53">
        <f t="shared" si="8653"/>
        <v>1.929643315303502</v>
      </c>
      <c r="CH730" s="53">
        <f t="shared" si="8653"/>
        <v>2.0861445939951309</v>
      </c>
      <c r="CI730" s="53">
        <f t="shared" si="8653"/>
        <v>1.6685387881942635</v>
      </c>
      <c r="CJ730" s="53">
        <f t="shared" si="8653"/>
        <v>1.4959885217861</v>
      </c>
      <c r="CK730" s="53">
        <f t="shared" si="8653"/>
        <v>2.0250526011238192</v>
      </c>
      <c r="CL730" s="53">
        <f t="shared" si="8653"/>
        <v>2.1091348571651269</v>
      </c>
      <c r="CM730" s="53">
        <f t="shared" si="8653"/>
        <v>2.2497117472118959</v>
      </c>
      <c r="CN730" s="53">
        <f t="shared" si="8653"/>
        <v>2.3638623841886779</v>
      </c>
      <c r="CO730" s="53">
        <f t="shared" si="8653"/>
        <v>2.5820670324280801</v>
      </c>
      <c r="CP730" s="53">
        <f t="shared" si="8653"/>
        <v>2.5827742260229485</v>
      </c>
      <c r="CQ730" s="53">
        <f t="shared" si="8653"/>
        <v>2.0103208499070955</v>
      </c>
      <c r="CR730" s="53">
        <f t="shared" si="8653"/>
        <v>2.3083356936850734</v>
      </c>
      <c r="CS730" s="53">
        <f t="shared" ref="CS730:CX730" si="8654">CS515/CS544</f>
        <v>2.2166713333103707</v>
      </c>
      <c r="CT730" s="53">
        <f t="shared" si="8654"/>
        <v>2.2576752207097885</v>
      </c>
      <c r="CU730" s="53">
        <f t="shared" si="8654"/>
        <v>1.316987243632767</v>
      </c>
      <c r="CV730" s="53">
        <f t="shared" si="8654"/>
        <v>2.1661907376875926</v>
      </c>
      <c r="CW730" s="53">
        <f t="shared" si="8654"/>
        <v>2.2879719051799823</v>
      </c>
      <c r="CX730" s="53">
        <f t="shared" si="8654"/>
        <v>2.4733084211931136</v>
      </c>
      <c r="CY730" s="53">
        <f t="shared" ref="CY730:DD730" si="8655">CY515/CY544</f>
        <v>2.2428628601921026</v>
      </c>
      <c r="CZ730" s="216">
        <f t="shared" si="8655"/>
        <v>1.9467805961111486</v>
      </c>
      <c r="DA730" s="53">
        <f t="shared" si="8655"/>
        <v>2.5356119199015255</v>
      </c>
      <c r="DB730" s="53">
        <f t="shared" si="8655"/>
        <v>2.5137512423049428</v>
      </c>
      <c r="DC730" s="53">
        <f t="shared" si="8655"/>
        <v>2.6284008399015493</v>
      </c>
      <c r="DD730" s="53">
        <f t="shared" si="8655"/>
        <v>2.7708512028938617</v>
      </c>
      <c r="DE730" s="53">
        <f t="shared" ref="DE730" si="8656">DE515/DE544</f>
        <v>2.8490865592491468</v>
      </c>
      <c r="DF730" s="53">
        <f t="shared" ref="DF730" si="8657">DF515/DF544</f>
        <v>3.0115312477847813</v>
      </c>
      <c r="DG730" s="53">
        <f>DG515/DG544</f>
        <v>3.0678496815648542</v>
      </c>
      <c r="DH730" s="53">
        <f>DH515/DH544</f>
        <v>3.0961486062692316</v>
      </c>
      <c r="DI730" s="53">
        <f>DI515/DI544</f>
        <v>3.1623730115995983</v>
      </c>
    </row>
    <row r="731" spans="1:113" s="84" customFormat="1" ht="12" outlineLevel="1">
      <c r="A731" s="1" t="s">
        <v>953</v>
      </c>
      <c r="B731" s="84" t="s">
        <v>203</v>
      </c>
      <c r="C731" s="207" t="e">
        <f t="shared" ref="C731:L731" si="8658">C730/B730-1</f>
        <v>#VALUE!</v>
      </c>
      <c r="D731" s="207">
        <f t="shared" si="8658"/>
        <v>9.4959069492874582E-2</v>
      </c>
      <c r="E731" s="207">
        <f t="shared" si="8658"/>
        <v>3.2333471697288507E-2</v>
      </c>
      <c r="F731" s="207">
        <f t="shared" si="8658"/>
        <v>-7.4686270837229785E-3</v>
      </c>
      <c r="G731" s="207">
        <f t="shared" si="8658"/>
        <v>6.0508877287282381E-2</v>
      </c>
      <c r="H731" s="207">
        <f t="shared" si="8658"/>
        <v>-1.7707437368464363E-2</v>
      </c>
      <c r="I731" s="207">
        <f t="shared" si="8658"/>
        <v>6.1074973389255272E-2</v>
      </c>
      <c r="J731" s="207">
        <f t="shared" si="8658"/>
        <v>0.12235282327027419</v>
      </c>
      <c r="K731" s="207">
        <f t="shared" si="8658"/>
        <v>4.6594578155616517E-3</v>
      </c>
      <c r="L731" s="207">
        <f t="shared" si="8658"/>
        <v>9.1993243040946249E-2</v>
      </c>
      <c r="M731" s="30">
        <f t="shared" ref="M731:AX731" si="8659">M730/L730-1</f>
        <v>6.8750290120645374E-2</v>
      </c>
      <c r="N731" s="30">
        <f t="shared" si="8659"/>
        <v>3.7047762354818881E-2</v>
      </c>
      <c r="O731" s="30">
        <f t="shared" si="8659"/>
        <v>1.7961331404780401E-2</v>
      </c>
      <c r="P731" s="30">
        <f t="shared" si="8659"/>
        <v>-5.5326171731718388E-2</v>
      </c>
      <c r="Q731" s="30">
        <f t="shared" si="8659"/>
        <v>-0.31857053622991582</v>
      </c>
      <c r="R731" s="30">
        <f t="shared" si="8659"/>
        <v>-0.35165648344588718</v>
      </c>
      <c r="S731" s="30">
        <f t="shared" si="8659"/>
        <v>1.3342461501445904</v>
      </c>
      <c r="T731" s="32">
        <f t="shared" si="8659"/>
        <v>-8.6652448236025803E-2</v>
      </c>
      <c r="U731" s="30">
        <f t="shared" si="8659"/>
        <v>0.15000654030073401</v>
      </c>
      <c r="V731" s="30">
        <f t="shared" si="8659"/>
        <v>-2.4757578276694003E-2</v>
      </c>
      <c r="W731" s="30">
        <f t="shared" si="8659"/>
        <v>-4.7182105905565486E-3</v>
      </c>
      <c r="X731" s="30">
        <f t="shared" si="8659"/>
        <v>3.7072408603313178E-2</v>
      </c>
      <c r="Y731" s="32">
        <f t="shared" si="8659"/>
        <v>7.485462600910453E-2</v>
      </c>
      <c r="Z731" s="32">
        <f t="shared" si="8659"/>
        <v>-4.5134382497262759E-3</v>
      </c>
      <c r="AA731" s="32">
        <f t="shared" si="8659"/>
        <v>3.802649107536582E-2</v>
      </c>
      <c r="AB731" s="32">
        <f t="shared" si="8659"/>
        <v>6.0832720539376828E-2</v>
      </c>
      <c r="AC731" s="32">
        <f t="shared" si="8659"/>
        <v>2.1514447217201971E-2</v>
      </c>
      <c r="AD731" s="32">
        <f t="shared" si="8659"/>
        <v>1.6178483922301812E-2</v>
      </c>
      <c r="AE731" s="32">
        <f t="shared" si="8659"/>
        <v>-5.1462888302812648E-2</v>
      </c>
      <c r="AF731" s="32">
        <f t="shared" si="8659"/>
        <v>-0.24356686952996409</v>
      </c>
      <c r="AG731" s="32">
        <f t="shared" si="8659"/>
        <v>0.11290994577924196</v>
      </c>
      <c r="AH731" s="32">
        <f t="shared" si="8659"/>
        <v>7.5350828928680835E-2</v>
      </c>
      <c r="AI731" s="32">
        <f t="shared" si="8659"/>
        <v>2.7575145006861312E-2</v>
      </c>
      <c r="AJ731" s="32">
        <f t="shared" si="8659"/>
        <v>1.2881880797837475E-2</v>
      </c>
      <c r="AK731" s="32">
        <f t="shared" si="8659"/>
        <v>-0.130247727430435</v>
      </c>
      <c r="AL731" s="32">
        <f t="shared" si="8659"/>
        <v>0.20092247921233586</v>
      </c>
      <c r="AM731" s="32">
        <f t="shared" si="8659"/>
        <v>-0.17666997381060934</v>
      </c>
      <c r="AN731" s="32">
        <f t="shared" si="8659"/>
        <v>-0.51398793657496578</v>
      </c>
      <c r="AO731" s="32">
        <f t="shared" si="8659"/>
        <v>0.65923781852883057</v>
      </c>
      <c r="AP731" s="32">
        <f t="shared" si="8659"/>
        <v>0.27168454463111646</v>
      </c>
      <c r="AQ731" s="32">
        <f t="shared" si="8659"/>
        <v>7.3023098415235799E-2</v>
      </c>
      <c r="AR731" s="32">
        <f t="shared" si="8659"/>
        <v>-2.7729486689573535E-2</v>
      </c>
      <c r="AS731" s="32">
        <f t="shared" si="8659"/>
        <v>9.0163448220729636E-2</v>
      </c>
      <c r="AT731" s="32">
        <f t="shared" si="8659"/>
        <v>7.6044547417877917E-2</v>
      </c>
      <c r="AU731" s="32">
        <f t="shared" si="8659"/>
        <v>-6.5888477635921094E-2</v>
      </c>
      <c r="AV731" s="32">
        <f t="shared" si="8659"/>
        <v>-9.2918068836838064E-3</v>
      </c>
      <c r="AW731" s="32">
        <f t="shared" si="8659"/>
        <v>-0.10497081019427046</v>
      </c>
      <c r="AX731" s="32">
        <f t="shared" si="8659"/>
        <v>0.13341747828624051</v>
      </c>
      <c r="AY731" s="31">
        <f t="shared" ref="AY731" si="8660">AY730/AX730-1</f>
        <v>-0.37837579381759245</v>
      </c>
      <c r="AZ731" s="30">
        <f t="shared" ref="AZ731" si="8661">AZ730/AY730-1</f>
        <v>0.71264516402045763</v>
      </c>
      <c r="BA731" s="30">
        <f t="shared" ref="BA731" si="8662">BA730/AZ730-1</f>
        <v>-1.6165831783994666E-2</v>
      </c>
      <c r="BB731" s="30">
        <f t="shared" ref="BB731" si="8663">BB730/BA730-1</f>
        <v>4.2092513774350415E-2</v>
      </c>
      <c r="BC731" s="30">
        <f t="shared" ref="BC731" si="8664">BC730/BB730-1</f>
        <v>-8.1900666440071768E-2</v>
      </c>
      <c r="BD731" s="30">
        <f t="shared" ref="BD731" si="8665">BD730/BC730-1</f>
        <v>0.1294294638891138</v>
      </c>
      <c r="BE731" s="30">
        <f t="shared" ref="BE731" si="8666">BE730/BD730-1</f>
        <v>-6.5946089456115242E-2</v>
      </c>
      <c r="BF731" s="30">
        <f t="shared" ref="BF731" si="8667">BF730/BE730-1</f>
        <v>0.11937233364817046</v>
      </c>
      <c r="BG731" s="30">
        <f t="shared" ref="BG731:BK731" si="8668">BG730/BF730-1</f>
        <v>-4.9857519597628186E-2</v>
      </c>
      <c r="BH731" s="30">
        <f t="shared" si="8668"/>
        <v>9.0335227132266382E-2</v>
      </c>
      <c r="BI731" s="30">
        <f t="shared" si="8668"/>
        <v>-6.4258209010378375E-2</v>
      </c>
      <c r="BJ731" s="30">
        <f t="shared" si="8668"/>
        <v>0.10475313119746277</v>
      </c>
      <c r="BK731" s="30">
        <f t="shared" si="8668"/>
        <v>-2.0717024929962413E-2</v>
      </c>
      <c r="BL731" s="30">
        <f t="shared" ref="BL731" si="8669">BL730/BK730-1</f>
        <v>5.0162522807314147E-2</v>
      </c>
      <c r="BM731" s="30">
        <f t="shared" ref="BM731" si="8670">BM730/BL730-1</f>
        <v>-3.9396057266746887E-2</v>
      </c>
      <c r="BN731" s="30">
        <f t="shared" ref="BN731" si="8671">BN730/BM730-1</f>
        <v>4.5778443703758054E-2</v>
      </c>
      <c r="BO731" s="30">
        <f t="shared" ref="BO731" si="8672">BO730/BN730-1</f>
        <v>-3.032967284571253E-2</v>
      </c>
      <c r="BP731" s="30">
        <f t="shared" ref="BP731" si="8673">BP730/BO730-1</f>
        <v>4.8483180754652189E-2</v>
      </c>
      <c r="BQ731" s="30">
        <f t="shared" ref="BQ731" si="8674">BQ730/BP730-1</f>
        <v>-2.1212009838147083E-2</v>
      </c>
      <c r="BR731" s="30"/>
      <c r="BS731" s="207" t="e">
        <f t="shared" ref="BS731:CB731" si="8675">BS730/BR730-1</f>
        <v>#DIV/0!</v>
      </c>
      <c r="BT731" s="207">
        <f t="shared" si="8675"/>
        <v>-1.5117324831255483</v>
      </c>
      <c r="BU731" s="207">
        <f t="shared" si="8675"/>
        <v>0.76802476378498552</v>
      </c>
      <c r="BV731" s="207">
        <f t="shared" si="8675"/>
        <v>0.25867418288081545</v>
      </c>
      <c r="BW731" s="207">
        <f t="shared" si="8675"/>
        <v>0.11337979762651651</v>
      </c>
      <c r="BX731" s="207">
        <f t="shared" si="8675"/>
        <v>2.7775977140063857E-2</v>
      </c>
      <c r="BY731" s="207">
        <f t="shared" si="8675"/>
        <v>-1.635066451210343E-2</v>
      </c>
      <c r="BZ731" s="207">
        <f t="shared" si="8675"/>
        <v>0.17469445110217818</v>
      </c>
      <c r="CA731" s="207">
        <f t="shared" si="8675"/>
        <v>0.15541407776230143</v>
      </c>
      <c r="CB731" s="207">
        <f t="shared" si="8675"/>
        <v>0.13150187598890839</v>
      </c>
      <c r="CC731" s="30">
        <f t="shared" ref="CC731:CS731" si="8676">CC730/CB730-1</f>
        <v>0.20495617012560485</v>
      </c>
      <c r="CD731" s="30">
        <f t="shared" si="8676"/>
        <v>3.885795012879778E-2</v>
      </c>
      <c r="CE731" s="30">
        <f t="shared" si="8676"/>
        <v>4.2618725313777528E-2</v>
      </c>
      <c r="CF731" s="30">
        <f t="shared" si="8676"/>
        <v>0.15753701097409833</v>
      </c>
      <c r="CG731" s="30">
        <f t="shared" si="8676"/>
        <v>0.13219196659322741</v>
      </c>
      <c r="CH731" s="30">
        <f t="shared" si="8676"/>
        <v>8.1103734275893125E-2</v>
      </c>
      <c r="CI731" s="30">
        <f t="shared" si="8676"/>
        <v>-0.20018066197469053</v>
      </c>
      <c r="CJ731" s="30">
        <f t="shared" si="8676"/>
        <v>-0.10341399770208637</v>
      </c>
      <c r="CK731" s="30">
        <f t="shared" si="8676"/>
        <v>0.35365517290604331</v>
      </c>
      <c r="CL731" s="30">
        <f t="shared" si="8676"/>
        <v>4.1521023204358132E-2</v>
      </c>
      <c r="CM731" s="32">
        <f t="shared" si="8676"/>
        <v>6.6651446951911497E-2</v>
      </c>
      <c r="CN731" s="32">
        <f t="shared" si="8676"/>
        <v>5.0740116869750329E-2</v>
      </c>
      <c r="CO731" s="32">
        <f t="shared" si="8676"/>
        <v>9.2308524260516167E-2</v>
      </c>
      <c r="CP731" s="32">
        <f t="shared" si="8676"/>
        <v>2.738866133167317E-4</v>
      </c>
      <c r="CQ731" s="32">
        <f t="shared" si="8676"/>
        <v>-0.22164282512503541</v>
      </c>
      <c r="CR731" s="32">
        <f t="shared" si="8676"/>
        <v>0.14824242796454623</v>
      </c>
      <c r="CS731" s="32">
        <f t="shared" si="8676"/>
        <v>-3.9710151615065969E-2</v>
      </c>
      <c r="CT731" s="32">
        <f t="shared" ref="CT731" si="8677">CT730/CS730-1</f>
        <v>1.8497955372654529E-2</v>
      </c>
      <c r="CU731" s="32">
        <f t="shared" ref="CU731" si="8678">CU730/CT730-1</f>
        <v>-0.41666222335614755</v>
      </c>
      <c r="CV731" s="32">
        <f t="shared" ref="CV731" si="8679">CV730/CU730-1</f>
        <v>0.6448076837193879</v>
      </c>
      <c r="CW731" s="32">
        <f t="shared" ref="CW731" si="8680">CW730/CV730-1</f>
        <v>5.6219041737012976E-2</v>
      </c>
      <c r="CX731" s="32">
        <f t="shared" ref="CX731:DI731" si="8681">CX730/CW730-1</f>
        <v>8.1004716707197444E-2</v>
      </c>
      <c r="CY731" s="32">
        <f t="shared" si="8681"/>
        <v>-9.3172998169732901E-2</v>
      </c>
      <c r="CZ731" s="31">
        <f t="shared" si="8681"/>
        <v>-0.13201086403276319</v>
      </c>
      <c r="DA731" s="30">
        <f t="shared" si="8681"/>
        <v>0.30246414257806697</v>
      </c>
      <c r="DB731" s="30">
        <f t="shared" si="8681"/>
        <v>-8.621460336655784E-3</v>
      </c>
      <c r="DC731" s="30">
        <f t="shared" si="8681"/>
        <v>4.5608967055738026E-2</v>
      </c>
      <c r="DD731" s="30">
        <f t="shared" si="8681"/>
        <v>5.4196590120420218E-2</v>
      </c>
      <c r="DE731" s="30">
        <f t="shared" si="8681"/>
        <v>2.8235134486318314E-2</v>
      </c>
      <c r="DF731" s="30">
        <f t="shared" si="8681"/>
        <v>5.7016410402934703E-2</v>
      </c>
      <c r="DG731" s="30">
        <f t="shared" si="8681"/>
        <v>1.8700929575776293E-2</v>
      </c>
      <c r="DH731" s="30">
        <f t="shared" si="8681"/>
        <v>9.2243517909074146E-3</v>
      </c>
      <c r="DI731" s="30">
        <f t="shared" si="8681"/>
        <v>2.1389285125485324E-2</v>
      </c>
    </row>
    <row r="732" spans="1:113" ht="12" outlineLevel="1">
      <c r="A732" s="1" t="s">
        <v>109</v>
      </c>
      <c r="B732" s="15" t="s">
        <v>204</v>
      </c>
      <c r="C732" s="53">
        <f t="shared" ref="C732:L732" si="8682">(C515+C546)/C545</f>
        <v>0.60853971307903731</v>
      </c>
      <c r="D732" s="53">
        <f t="shared" si="8682"/>
        <v>0.66549210908848433</v>
      </c>
      <c r="E732" s="53">
        <f t="shared" si="8682"/>
        <v>0.68694001457725928</v>
      </c>
      <c r="F732" s="53">
        <f t="shared" si="8682"/>
        <v>0.68270288807293</v>
      </c>
      <c r="G732" s="53">
        <f t="shared" si="8682"/>
        <v>0.72407284256926951</v>
      </c>
      <c r="H732" s="53">
        <f t="shared" si="8682"/>
        <v>0.70487845853549713</v>
      </c>
      <c r="I732" s="53">
        <f t="shared" si="8682"/>
        <v>0.74430003798670497</v>
      </c>
      <c r="J732" s="53">
        <f t="shared" si="8682"/>
        <v>0.82300588036117406</v>
      </c>
      <c r="K732" s="53">
        <f t="shared" si="8682"/>
        <v>0.8236649566294918</v>
      </c>
      <c r="L732" s="53">
        <f t="shared" si="8682"/>
        <v>0.90655251419721194</v>
      </c>
      <c r="M732" s="53">
        <f t="shared" ref="M732:AF732" si="8683">(M515+M546)/M545</f>
        <v>0.96639065524713652</v>
      </c>
      <c r="N732" s="53">
        <f t="shared" si="8683"/>
        <v>1.0067387884734555</v>
      </c>
      <c r="O732" s="53">
        <f t="shared" si="8683"/>
        <v>1.0285419289495112</v>
      </c>
      <c r="P732" s="53">
        <f t="shared" si="8683"/>
        <v>0.95797623994147796</v>
      </c>
      <c r="Q732" s="53">
        <f t="shared" si="8683"/>
        <v>0.65333396154205203</v>
      </c>
      <c r="R732" s="53">
        <f t="shared" si="8683"/>
        <v>0.43018672540381786</v>
      </c>
      <c r="S732" s="53">
        <f t="shared" si="8683"/>
        <v>0.99602667882619977</v>
      </c>
      <c r="T732" s="53">
        <f t="shared" si="8683"/>
        <v>0.91401431789424614</v>
      </c>
      <c r="U732" s="53">
        <f t="shared" si="8683"/>
        <v>1.0426169807041499</v>
      </c>
      <c r="V732" s="53">
        <f t="shared" si="8683"/>
        <v>1.0192523806336773</v>
      </c>
      <c r="W732" s="53">
        <f t="shared" si="8683"/>
        <v>0.99831252067088194</v>
      </c>
      <c r="X732" s="53">
        <f t="shared" si="8683"/>
        <v>1.039230582644628</v>
      </c>
      <c r="Y732" s="53">
        <f t="shared" si="8683"/>
        <v>1.118904235116287</v>
      </c>
      <c r="Z732" s="53">
        <f t="shared" si="8683"/>
        <v>1.1224330656934307</v>
      </c>
      <c r="AA732" s="53">
        <f t="shared" si="8683"/>
        <v>1.1651582849694724</v>
      </c>
      <c r="AB732" s="53">
        <f t="shared" si="8683"/>
        <v>1.2331396491708921</v>
      </c>
      <c r="AC732" s="53">
        <f t="shared" ref="AC732:AD732" si="8684">(AC515+AC546)/AC545</f>
        <v>1.2550972551948936</v>
      </c>
      <c r="AD732" s="53">
        <f t="shared" si="8684"/>
        <v>1.2887491362580292</v>
      </c>
      <c r="AE732" s="53">
        <f t="shared" ref="AE732" si="8685">(AE515+AE546)/AE545</f>
        <v>1.1886076174692923</v>
      </c>
      <c r="AF732" s="53">
        <f t="shared" si="8683"/>
        <v>0.89977392599473605</v>
      </c>
      <c r="AG732" s="53">
        <f t="shared" ref="AG732:AH732" si="8686">(AG515+AG546)/AG545</f>
        <v>1.0120980085197018</v>
      </c>
      <c r="AH732" s="53">
        <f t="shared" si="8686"/>
        <v>1.0925796208501006</v>
      </c>
      <c r="AI732" s="53">
        <f t="shared" ref="AI732:AJ732" si="8687">(AI515+AI546)/AI545</f>
        <v>1.1199412896943808</v>
      </c>
      <c r="AJ732" s="53">
        <f t="shared" si="8687"/>
        <v>1.1251257759885154</v>
      </c>
      <c r="AK732" s="53">
        <f t="shared" ref="AK732:AL732" si="8688">(AK515+AK546)/AK545</f>
        <v>0.99199098170673305</v>
      </c>
      <c r="AL732" s="53">
        <f t="shared" si="8688"/>
        <v>1.1746465819950092</v>
      </c>
      <c r="AM732" s="53">
        <f t="shared" ref="AM732:AN732" si="8689">(AM515+AM546)/AM545</f>
        <v>0.97966678003576657</v>
      </c>
      <c r="AN732" s="53">
        <f t="shared" si="8689"/>
        <v>0.47083189711603785</v>
      </c>
      <c r="AO732" s="53">
        <f t="shared" ref="AO732" si="8690">(AO515+AO546)/AO545</f>
        <v>0.75475033898834631</v>
      </c>
      <c r="AP732" s="53">
        <f t="shared" ref="AP732:AQ732" si="8691">(AP515+AP546)/AP545</f>
        <v>0.99131404876150953</v>
      </c>
      <c r="AQ732" s="53">
        <f t="shared" si="8691"/>
        <v>1.0551795388826275</v>
      </c>
      <c r="AR732" s="53">
        <f t="shared" ref="AR732:AS732" si="8692">(AR515+AR546)/AR545</f>
        <v>1.0244331561311941</v>
      </c>
      <c r="AS732" s="53">
        <f t="shared" si="8692"/>
        <v>1.1155619138451756</v>
      </c>
      <c r="AT732" s="53">
        <f t="shared" ref="AT732:AU732" si="8693">(AT515+AT546)/AT545</f>
        <v>1.2137388280511241</v>
      </c>
      <c r="AU732" s="53">
        <f t="shared" si="8693"/>
        <v>1.1476109215017065</v>
      </c>
      <c r="AV732" s="53">
        <f t="shared" ref="AV732:AW732" si="8694">(AV515+AV546)/AV545</f>
        <v>1.1599064442666338</v>
      </c>
      <c r="AW732" s="53">
        <f t="shared" si="8694"/>
        <v>1.0451365240542383</v>
      </c>
      <c r="AX732" s="53">
        <f t="shared" ref="AX732" si="8695">(AX515+AX546)/AX545</f>
        <v>1.1704012182614911</v>
      </c>
      <c r="AY732" s="216">
        <f t="shared" ref="AY732" si="8696">(AY515+AY546)/AY545</f>
        <v>0.74420632525069597</v>
      </c>
      <c r="AZ732" s="53">
        <f t="shared" ref="AZ732:BA732" si="8697">(AZ515+AZ546)/AZ545</f>
        <v>1.2745817683598542</v>
      </c>
      <c r="BA732" s="53">
        <f t="shared" si="8697"/>
        <v>1.2540025567843691</v>
      </c>
      <c r="BB732" s="53">
        <f t="shared" ref="BB732:BC732" si="8698">(BB515+BB546)/BB545</f>
        <v>1.3067997928845458</v>
      </c>
      <c r="BC732" s="53">
        <f t="shared" si="8698"/>
        <v>1.1997577878704706</v>
      </c>
      <c r="BD732" s="53">
        <f t="shared" ref="BD732:BE732" si="8699">(BD515+BD546)/BD545</f>
        <v>1.3550099407528129</v>
      </c>
      <c r="BE732" s="53">
        <f t="shared" si="8699"/>
        <v>1.2656233879891892</v>
      </c>
      <c r="BF732" s="53">
        <f t="shared" ref="BF732:BG732" si="8700">(BF515+BF546)/BF545</f>
        <v>1.4166723019089882</v>
      </c>
      <c r="BG732" s="53">
        <f t="shared" si="8700"/>
        <v>1.3460114480697039</v>
      </c>
      <c r="BH732" s="53">
        <f t="shared" ref="BH732:BI732" si="8701">(BH515+BH546)/BH545</f>
        <v>1.4675880144658706</v>
      </c>
      <c r="BI732" s="53">
        <f t="shared" si="8701"/>
        <v>1.3732834370911964</v>
      </c>
      <c r="BJ732" s="53">
        <f t="shared" ref="BJ732:BK732" si="8702">(BJ515+BJ546)/BJ545</f>
        <v>1.5171391771481131</v>
      </c>
      <c r="BK732" s="53">
        <f t="shared" si="8702"/>
        <v>1.4857085669929131</v>
      </c>
      <c r="BL732" s="53">
        <f t="shared" ref="BL732:BM732" si="8703">(BL515+BL546)/BL545</f>
        <v>1.5602354568697172</v>
      </c>
      <c r="BM732" s="53">
        <f t="shared" si="8703"/>
        <v>1.498768331461269</v>
      </c>
      <c r="BN732" s="53">
        <f t="shared" ref="BN732:BO732" si="8704">(BN515+BN546)/BN545</f>
        <v>1.5673796131480437</v>
      </c>
      <c r="BO732" s="53">
        <f t="shared" si="8704"/>
        <v>1.5198415022562242</v>
      </c>
      <c r="BP732" s="53">
        <f t="shared" ref="BP732:BQ732" si="8705">(BP515+BP546)/BP545</f>
        <v>1.5935282525285348</v>
      </c>
      <c r="BQ732" s="53">
        <f t="shared" si="8705"/>
        <v>1.5597263155585341</v>
      </c>
      <c r="BR732" s="53"/>
      <c r="BS732" s="53">
        <f t="shared" ref="BS732:CB732" si="8706">(BS515+BS546)/BS545</f>
        <v>-0.44820788883566026</v>
      </c>
      <c r="BT732" s="53">
        <f t="shared" si="8706"/>
        <v>0.25435460319449277</v>
      </c>
      <c r="BU732" s="53">
        <f t="shared" si="8706"/>
        <v>0.51850848706432662</v>
      </c>
      <c r="BV732" s="53">
        <f t="shared" si="8706"/>
        <v>0.65331806604819098</v>
      </c>
      <c r="BW732" s="53">
        <f t="shared" si="8706"/>
        <v>0.72416716540961967</v>
      </c>
      <c r="BX732" s="53">
        <f t="shared" si="8706"/>
        <v>0.74449642544937011</v>
      </c>
      <c r="BY732" s="53">
        <f t="shared" si="8706"/>
        <v>0.7326757159551488</v>
      </c>
      <c r="BZ732" s="53">
        <f t="shared" si="8706"/>
        <v>0.86000509751569498</v>
      </c>
      <c r="CA732" s="53">
        <f t="shared" si="8706"/>
        <v>0.99233817542875546</v>
      </c>
      <c r="CB732" s="53">
        <f t="shared" si="8706"/>
        <v>1.1313523845536322</v>
      </c>
      <c r="CC732" s="53">
        <f t="shared" ref="CC732:CR732" si="8707">(CC515+CC546)/CC545</f>
        <v>1.3525115405480956</v>
      </c>
      <c r="CD732" s="53">
        <f t="shared" si="8707"/>
        <v>1.4068956591339512</v>
      </c>
      <c r="CE732" s="53">
        <f t="shared" si="8707"/>
        <v>1.4502718481767656</v>
      </c>
      <c r="CF732" s="53">
        <f t="shared" si="8707"/>
        <v>1.6466543383598331</v>
      </c>
      <c r="CG732" s="53">
        <f t="shared" si="8707"/>
        <v>1.8733484348544287</v>
      </c>
      <c r="CH732" s="53">
        <f t="shared" si="8707"/>
        <v>2.0351264401045666</v>
      </c>
      <c r="CI732" s="53">
        <f t="shared" si="8707"/>
        <v>1.5894187026363034</v>
      </c>
      <c r="CJ732" s="53">
        <f t="shared" si="8707"/>
        <v>1.471494893689548</v>
      </c>
      <c r="CK732" s="53">
        <f t="shared" si="8707"/>
        <v>1.9554798576195773</v>
      </c>
      <c r="CL732" s="53">
        <f t="shared" si="8707"/>
        <v>2.0116436296981779</v>
      </c>
      <c r="CM732" s="53">
        <f t="shared" si="8707"/>
        <v>2.1613143491888538</v>
      </c>
      <c r="CN732" s="53">
        <f t="shared" si="8707"/>
        <v>2.2917675009467415</v>
      </c>
      <c r="CO732" s="53">
        <f t="shared" si="8707"/>
        <v>2.486300587513631</v>
      </c>
      <c r="CP732" s="53">
        <f t="shared" si="8707"/>
        <v>2.45027770397731</v>
      </c>
      <c r="CQ732" s="53">
        <f t="shared" si="8707"/>
        <v>1.9256491986193911</v>
      </c>
      <c r="CR732" s="53">
        <f t="shared" si="8707"/>
        <v>2.2059824989817343</v>
      </c>
      <c r="CS732" s="53">
        <f t="shared" ref="CS732:CX732" si="8708">(CS515+CS546)/CS545</f>
        <v>2.1217099838796347</v>
      </c>
      <c r="CT732" s="53">
        <f t="shared" si="8708"/>
        <v>2.1634654242993072</v>
      </c>
      <c r="CU732" s="53">
        <f t="shared" si="8708"/>
        <v>1.2310035900159322</v>
      </c>
      <c r="CV732" s="53">
        <f t="shared" si="8708"/>
        <v>2.0441684232606168</v>
      </c>
      <c r="CW732" s="53">
        <f t="shared" si="8708"/>
        <v>2.1395111691788027</v>
      </c>
      <c r="CX732" s="53">
        <f t="shared" si="8708"/>
        <v>2.3681394282219843</v>
      </c>
      <c r="CY732" s="53">
        <f t="shared" ref="CY732:DD732" si="8709">(CY515+CY546)/CY545</f>
        <v>2.2093382807668522</v>
      </c>
      <c r="CZ732" s="216">
        <f t="shared" si="8709"/>
        <v>1.8821346583225886</v>
      </c>
      <c r="DA732" s="53">
        <f t="shared" si="8709"/>
        <v>2.5285348049597367</v>
      </c>
      <c r="DB732" s="53">
        <f t="shared" si="8709"/>
        <v>2.5067709357212138</v>
      </c>
      <c r="DC732" s="53">
        <f t="shared" si="8709"/>
        <v>2.6209950805601165</v>
      </c>
      <c r="DD732" s="53">
        <f t="shared" si="8709"/>
        <v>2.7629212526334936</v>
      </c>
      <c r="DE732" s="53">
        <f t="shared" ref="DE732" si="8710">(DE515+DE546)/DE545</f>
        <v>2.8408714515570668</v>
      </c>
      <c r="DF732" s="53">
        <f>(DF515+DF546)/DF545</f>
        <v>3.0028477441410257</v>
      </c>
      <c r="DG732" s="53">
        <f>(DG515+DG546)/DG545</f>
        <v>3.0590037883309855</v>
      </c>
      <c r="DH732" s="53">
        <f>(DH515+DH546)/DH545</f>
        <v>3.0872211154042688</v>
      </c>
      <c r="DI732" s="53">
        <f>(DI515+DI546)/DI545</f>
        <v>3.1532545680870698</v>
      </c>
    </row>
    <row r="733" spans="1:113" s="84" customFormat="1" ht="12" outlineLevel="1">
      <c r="A733" s="1" t="s">
        <v>108</v>
      </c>
      <c r="B733" s="84" t="s">
        <v>129</v>
      </c>
      <c r="C733" s="207" t="e">
        <f t="shared" ref="C733:L733" si="8711">C732/B732-1</f>
        <v>#VALUE!</v>
      </c>
      <c r="D733" s="207">
        <f t="shared" si="8711"/>
        <v>9.3588626650648932E-2</v>
      </c>
      <c r="E733" s="207">
        <f t="shared" si="8711"/>
        <v>3.2228639822870164E-2</v>
      </c>
      <c r="F733" s="207">
        <f t="shared" si="8711"/>
        <v>-6.1681171782325128E-3</v>
      </c>
      <c r="G733" s="207">
        <f t="shared" si="8711"/>
        <v>6.0597304067534719E-2</v>
      </c>
      <c r="H733" s="207">
        <f t="shared" si="8711"/>
        <v>-2.650891306137626E-2</v>
      </c>
      <c r="I733" s="207">
        <f t="shared" si="8711"/>
        <v>5.5926775706996112E-2</v>
      </c>
      <c r="J733" s="207">
        <f t="shared" si="8711"/>
        <v>0.10574477812383898</v>
      </c>
      <c r="K733" s="207">
        <f t="shared" si="8711"/>
        <v>8.0081598934444997E-4</v>
      </c>
      <c r="L733" s="207">
        <f t="shared" si="8711"/>
        <v>0.10063261390517719</v>
      </c>
      <c r="M733" s="30">
        <f t="shared" ref="M733:AX733" si="8712">M732/L732-1</f>
        <v>6.6006260103876668E-2</v>
      </c>
      <c r="N733" s="30">
        <f t="shared" si="8712"/>
        <v>4.1751369394192661E-2</v>
      </c>
      <c r="O733" s="30">
        <f t="shared" si="8712"/>
        <v>2.1657197205162237E-2</v>
      </c>
      <c r="P733" s="30">
        <f t="shared" si="8712"/>
        <v>-6.8607498655990362E-2</v>
      </c>
      <c r="Q733" s="30">
        <f t="shared" si="8712"/>
        <v>-0.31800609002373204</v>
      </c>
      <c r="R733" s="30">
        <f t="shared" si="8712"/>
        <v>-0.34155156363147554</v>
      </c>
      <c r="S733" s="30">
        <f t="shared" si="8712"/>
        <v>1.3153356903126796</v>
      </c>
      <c r="T733" s="32">
        <f t="shared" si="8712"/>
        <v>-8.2339522299346268E-2</v>
      </c>
      <c r="U733" s="30">
        <f t="shared" si="8712"/>
        <v>0.14070092808413026</v>
      </c>
      <c r="V733" s="30">
        <f t="shared" si="8712"/>
        <v>-2.2409571782240567E-2</v>
      </c>
      <c r="W733" s="30">
        <f t="shared" si="8712"/>
        <v>-2.0544332650738406E-2</v>
      </c>
      <c r="X733" s="30">
        <f t="shared" si="8712"/>
        <v>4.098722707218827E-2</v>
      </c>
      <c r="Y733" s="32">
        <f t="shared" si="8712"/>
        <v>7.6666000599121986E-2</v>
      </c>
      <c r="Z733" s="32">
        <f t="shared" si="8712"/>
        <v>3.1538271698265952E-3</v>
      </c>
      <c r="AA733" s="32">
        <f t="shared" si="8712"/>
        <v>3.8064825940998359E-2</v>
      </c>
      <c r="AB733" s="32">
        <f t="shared" si="8712"/>
        <v>5.834517513918791E-2</v>
      </c>
      <c r="AC733" s="32">
        <f t="shared" si="8712"/>
        <v>1.7806260660554241E-2</v>
      </c>
      <c r="AD733" s="32">
        <f t="shared" si="8712"/>
        <v>2.6812170071959907E-2</v>
      </c>
      <c r="AE733" s="32">
        <f t="shared" si="8712"/>
        <v>-7.7704431352330183E-2</v>
      </c>
      <c r="AF733" s="32">
        <f t="shared" si="8712"/>
        <v>-0.24300171665525971</v>
      </c>
      <c r="AG733" s="32">
        <f t="shared" si="8712"/>
        <v>0.12483589408393558</v>
      </c>
      <c r="AH733" s="32">
        <f t="shared" si="8712"/>
        <v>7.9519583728962617E-2</v>
      </c>
      <c r="AI733" s="32">
        <f t="shared" si="8712"/>
        <v>2.5043180672719156E-2</v>
      </c>
      <c r="AJ733" s="32">
        <f t="shared" si="8712"/>
        <v>4.6292482845680105E-3</v>
      </c>
      <c r="AK733" s="32">
        <f t="shared" si="8712"/>
        <v>-0.11832881009664231</v>
      </c>
      <c r="AL733" s="32">
        <f t="shared" si="8712"/>
        <v>0.18413030325539337</v>
      </c>
      <c r="AM733" s="32">
        <f t="shared" si="8712"/>
        <v>-0.16599018372665819</v>
      </c>
      <c r="AN733" s="32">
        <f t="shared" si="8712"/>
        <v>-0.51939587346337468</v>
      </c>
      <c r="AO733" s="32">
        <f t="shared" si="8712"/>
        <v>0.60301445932482345</v>
      </c>
      <c r="AP733" s="32">
        <f t="shared" si="8712"/>
        <v>0.31343306197152421</v>
      </c>
      <c r="AQ733" s="32">
        <f t="shared" si="8712"/>
        <v>6.4425083252787285E-2</v>
      </c>
      <c r="AR733" s="32">
        <f t="shared" si="8712"/>
        <v>-2.9138531992377259E-2</v>
      </c>
      <c r="AS733" s="32">
        <f t="shared" si="8712"/>
        <v>8.8955299004702448E-2</v>
      </c>
      <c r="AT733" s="32">
        <f t="shared" si="8712"/>
        <v>8.8006692400915076E-2</v>
      </c>
      <c r="AU733" s="32">
        <f t="shared" si="8712"/>
        <v>-5.4482813782597561E-2</v>
      </c>
      <c r="AV733" s="32">
        <f t="shared" si="8712"/>
        <v>1.0714016862821474E-2</v>
      </c>
      <c r="AW733" s="32">
        <f t="shared" si="8712"/>
        <v>-9.8947566659102648E-2</v>
      </c>
      <c r="AX733" s="32">
        <f t="shared" si="8712"/>
        <v>0.11985486233064813</v>
      </c>
      <c r="AY733" s="31">
        <f t="shared" ref="AY733" si="8713">AY732/AX732-1</f>
        <v>-0.36414426639427389</v>
      </c>
      <c r="AZ733" s="30">
        <f t="shared" ref="AZ733" si="8714">AZ732/AY732-1</f>
        <v>0.71267258166677649</v>
      </c>
      <c r="BA733" s="30">
        <f t="shared" ref="BA733" si="8715">BA732/AZ732-1</f>
        <v>-1.6145854339315258E-2</v>
      </c>
      <c r="BB733" s="30">
        <f t="shared" ref="BB733" si="8716">BB732/BA732-1</f>
        <v>4.2102973247171382E-2</v>
      </c>
      <c r="BC733" s="30">
        <f t="shared" ref="BC733" si="8717">BC732/BB732-1</f>
        <v>-8.1911556457931134E-2</v>
      </c>
      <c r="BD733" s="30">
        <f t="shared" ref="BD733" si="8718">BD732/BC732-1</f>
        <v>0.12940291319792929</v>
      </c>
      <c r="BE733" s="30">
        <f t="shared" ref="BE733" si="8719">BE732/BD732-1</f>
        <v>-6.5967451658666465E-2</v>
      </c>
      <c r="BF733" s="30">
        <f t="shared" ref="BF733" si="8720">BF732/BE732-1</f>
        <v>0.11934744202205683</v>
      </c>
      <c r="BG733" s="30">
        <f t="shared" ref="BG733:BK733" si="8721">BG732/BF732-1</f>
        <v>-4.9878051363090647E-2</v>
      </c>
      <c r="BH733" s="30">
        <f t="shared" si="8721"/>
        <v>9.0323575308752346E-2</v>
      </c>
      <c r="BI733" s="30">
        <f t="shared" si="8721"/>
        <v>-6.4258209010378486E-2</v>
      </c>
      <c r="BJ733" s="30">
        <f t="shared" si="8721"/>
        <v>0.10475313119746277</v>
      </c>
      <c r="BK733" s="30">
        <f t="shared" si="8721"/>
        <v>-2.0717024929962302E-2</v>
      </c>
      <c r="BL733" s="30">
        <f t="shared" ref="BL733" si="8722">BL732/BK732-1</f>
        <v>5.0162522807314147E-2</v>
      </c>
      <c r="BM733" s="30">
        <f t="shared" ref="BM733" si="8723">BM732/BL732-1</f>
        <v>-3.9396057266746776E-2</v>
      </c>
      <c r="BN733" s="30">
        <f t="shared" ref="BN733" si="8724">BN732/BM732-1</f>
        <v>4.5778443703757832E-2</v>
      </c>
      <c r="BO733" s="30">
        <f t="shared" ref="BO733" si="8725">BO732/BN732-1</f>
        <v>-3.032967284571253E-2</v>
      </c>
      <c r="BP733" s="30">
        <f t="shared" ref="BP733" si="8726">BP732/BO732-1</f>
        <v>4.8483180754652189E-2</v>
      </c>
      <c r="BQ733" s="30">
        <f t="shared" ref="BQ733" si="8727">BQ732/BP732-1</f>
        <v>-2.1212009838147083E-2</v>
      </c>
      <c r="BR733" s="30"/>
      <c r="BS733" s="207" t="e">
        <f t="shared" ref="BS733:CB733" si="8728">BS732/BR732-1</f>
        <v>#DIV/0!</v>
      </c>
      <c r="BT733" s="207">
        <f t="shared" si="8728"/>
        <v>-1.5674924728684423</v>
      </c>
      <c r="BU733" s="207">
        <f t="shared" si="8728"/>
        <v>1.0385260598875345</v>
      </c>
      <c r="BV733" s="207">
        <f t="shared" si="8728"/>
        <v>0.25999493228572712</v>
      </c>
      <c r="BW733" s="207">
        <f t="shared" si="8728"/>
        <v>0.1084450331979685</v>
      </c>
      <c r="BX733" s="207">
        <f t="shared" si="8728"/>
        <v>2.8072606727828298E-2</v>
      </c>
      <c r="BY733" s="207">
        <f t="shared" si="8728"/>
        <v>-1.5877456345188556E-2</v>
      </c>
      <c r="BZ733" s="207">
        <f t="shared" si="8728"/>
        <v>0.17378681835326559</v>
      </c>
      <c r="CA733" s="207">
        <f t="shared" si="8728"/>
        <v>0.15387475992332167</v>
      </c>
      <c r="CB733" s="207">
        <f t="shared" si="8728"/>
        <v>0.14008753524453832</v>
      </c>
      <c r="CC733" s="30">
        <f t="shared" ref="CC733:CS733" si="8729">CC732/CB732-1</f>
        <v>0.19548211416173422</v>
      </c>
      <c r="CD733" s="30">
        <f t="shared" si="8729"/>
        <v>4.0209726095066678E-2</v>
      </c>
      <c r="CE733" s="30">
        <f t="shared" si="8729"/>
        <v>3.0831134321301246E-2</v>
      </c>
      <c r="CF733" s="30">
        <f t="shared" si="8729"/>
        <v>0.13541081310373171</v>
      </c>
      <c r="CG733" s="30">
        <f t="shared" si="8729"/>
        <v>0.13766951036025965</v>
      </c>
      <c r="CH733" s="30">
        <f t="shared" si="8729"/>
        <v>8.635766963592606E-2</v>
      </c>
      <c r="CI733" s="30">
        <f t="shared" si="8729"/>
        <v>-0.21900739368575173</v>
      </c>
      <c r="CJ733" s="30">
        <f t="shared" si="8729"/>
        <v>-7.4193042243154705E-2</v>
      </c>
      <c r="CK733" s="30">
        <f t="shared" si="8729"/>
        <v>0.3289069951962329</v>
      </c>
      <c r="CL733" s="30">
        <f t="shared" si="8729"/>
        <v>2.8721222496747689E-2</v>
      </c>
      <c r="CM733" s="32">
        <f t="shared" si="8729"/>
        <v>7.4402203889926577E-2</v>
      </c>
      <c r="CN733" s="32">
        <f t="shared" si="8729"/>
        <v>6.0358249972683131E-2</v>
      </c>
      <c r="CO733" s="32">
        <f t="shared" si="8729"/>
        <v>8.4883430141376337E-2</v>
      </c>
      <c r="CP733" s="32">
        <f t="shared" si="8729"/>
        <v>-1.4488547248562966E-2</v>
      </c>
      <c r="CQ733" s="32">
        <f t="shared" si="8729"/>
        <v>-0.21410981477990754</v>
      </c>
      <c r="CR733" s="32">
        <f t="shared" si="8729"/>
        <v>0.14557859269659823</v>
      </c>
      <c r="CS733" s="32">
        <f t="shared" si="8729"/>
        <v>-3.8201805835267999E-2</v>
      </c>
      <c r="CT733" s="32">
        <f t="shared" ref="CT733" si="8730">CT732/CS732-1</f>
        <v>1.9680088578044375E-2</v>
      </c>
      <c r="CU733" s="32">
        <f t="shared" ref="CU733" si="8731">CU732/CT732-1</f>
        <v>-0.43100380704506813</v>
      </c>
      <c r="CV733" s="32">
        <f t="shared" ref="CV733" si="8732">CV732/CU732-1</f>
        <v>0.66057064320515924</v>
      </c>
      <c r="CW733" s="32">
        <f t="shared" ref="CW733" si="8733">CW732/CV732-1</f>
        <v>4.6641335827948271E-2</v>
      </c>
      <c r="CX733" s="32">
        <f t="shared" ref="CX733:DI733" si="8734">CX732/CW732-1</f>
        <v>0.10686004463857723</v>
      </c>
      <c r="CY733" s="32">
        <f t="shared" si="8734"/>
        <v>-6.7057347030601622E-2</v>
      </c>
      <c r="CZ733" s="31">
        <f t="shared" si="8734"/>
        <v>-0.14810028201326075</v>
      </c>
      <c r="DA733" s="30">
        <f t="shared" si="8734"/>
        <v>0.34343990414226688</v>
      </c>
      <c r="DB733" s="30">
        <f t="shared" si="8734"/>
        <v>-8.6073045923009683E-3</v>
      </c>
      <c r="DC733" s="30">
        <f t="shared" si="8734"/>
        <v>4.5566247482456745E-2</v>
      </c>
      <c r="DD733" s="30">
        <f t="shared" si="8734"/>
        <v>5.414972852335409E-2</v>
      </c>
      <c r="DE733" s="30">
        <f t="shared" si="8734"/>
        <v>2.8212964393854678E-2</v>
      </c>
      <c r="DF733" s="30">
        <f t="shared" si="8734"/>
        <v>5.7016410402934925E-2</v>
      </c>
      <c r="DG733" s="30">
        <f t="shared" si="8734"/>
        <v>1.8700929575776293E-2</v>
      </c>
      <c r="DH733" s="30">
        <f t="shared" si="8734"/>
        <v>9.2243517909074146E-3</v>
      </c>
      <c r="DI733" s="30">
        <f t="shared" si="8734"/>
        <v>2.1389285125485324E-2</v>
      </c>
    </row>
    <row r="734" spans="1:113" ht="12" outlineLevel="1">
      <c r="A734" s="1" t="s">
        <v>954</v>
      </c>
      <c r="B734" s="15" t="s">
        <v>55</v>
      </c>
      <c r="C734" s="53">
        <f t="shared" ref="C734:L734" si="8735">C454/C544</f>
        <v>1.1575783083238007</v>
      </c>
      <c r="D734" s="53">
        <f t="shared" si="8735"/>
        <v>1.1940667846133226</v>
      </c>
      <c r="E734" s="53">
        <f t="shared" si="8735"/>
        <v>1.2338801203463201</v>
      </c>
      <c r="F734" s="53">
        <f t="shared" si="8735"/>
        <v>1.1915623665480428</v>
      </c>
      <c r="G734" s="53">
        <f t="shared" si="8735"/>
        <v>1.2636758915744897</v>
      </c>
      <c r="H734" s="53">
        <f t="shared" si="8735"/>
        <v>1.253467454177478</v>
      </c>
      <c r="I734" s="53">
        <f t="shared" si="8735"/>
        <v>1.2856808865979386</v>
      </c>
      <c r="J734" s="53">
        <f t="shared" si="8735"/>
        <v>1.3211938070444946</v>
      </c>
      <c r="K734" s="53">
        <f t="shared" si="8735"/>
        <v>1.3927806568093382</v>
      </c>
      <c r="L734" s="53">
        <f t="shared" si="8735"/>
        <v>1.454607301750164</v>
      </c>
      <c r="M734" s="53">
        <f t="shared" ref="M734:AF734" si="8736">M454/M544</f>
        <v>1.5316417338500163</v>
      </c>
      <c r="N734" s="53">
        <f t="shared" si="8736"/>
        <v>1.6176561274109469</v>
      </c>
      <c r="O734" s="53">
        <f t="shared" si="8736"/>
        <v>1.657649349118741</v>
      </c>
      <c r="P734" s="53">
        <f t="shared" si="8736"/>
        <v>1.809244272228379</v>
      </c>
      <c r="Q734" s="53">
        <f t="shared" si="8736"/>
        <v>1.6000368297226639</v>
      </c>
      <c r="R734" s="53">
        <f t="shared" si="8736"/>
        <v>1.3840088493740181</v>
      </c>
      <c r="S734" s="53">
        <f t="shared" si="8736"/>
        <v>2.0890192816380559</v>
      </c>
      <c r="T734" s="53">
        <f t="shared" si="8736"/>
        <v>1.7427683576264437</v>
      </c>
      <c r="U734" s="53">
        <f t="shared" si="8736"/>
        <v>1.7756907265125819</v>
      </c>
      <c r="V734" s="53">
        <f t="shared" si="8736"/>
        <v>1.7323915736159272</v>
      </c>
      <c r="W734" s="53">
        <f t="shared" si="8736"/>
        <v>1.6720550561797753</v>
      </c>
      <c r="X734" s="53">
        <f t="shared" si="8736"/>
        <v>1.7210765409780264</v>
      </c>
      <c r="Y734" s="53">
        <f t="shared" si="8736"/>
        <v>1.8549367273133996</v>
      </c>
      <c r="Z734" s="53">
        <f t="shared" si="8736"/>
        <v>1.8434992740926159</v>
      </c>
      <c r="AA734" s="53">
        <f t="shared" si="8736"/>
        <v>1.84995394903758</v>
      </c>
      <c r="AB734" s="53">
        <f t="shared" si="8736"/>
        <v>1.9572605762463342</v>
      </c>
      <c r="AC734" s="53">
        <f t="shared" ref="AC734:AD734" si="8737">AC454/AC544</f>
        <v>1.970614059268462</v>
      </c>
      <c r="AD734" s="53">
        <f t="shared" si="8737"/>
        <v>2.0173617861818181</v>
      </c>
      <c r="AE734" s="53">
        <f t="shared" ref="AE734" si="8738">AE454/AE544</f>
        <v>1.9776355362194293</v>
      </c>
      <c r="AF734" s="53">
        <f t="shared" si="8736"/>
        <v>1.6539325780657612</v>
      </c>
      <c r="AG734" s="53">
        <f t="shared" ref="AG734:AH734" si="8739">AG454/AG544</f>
        <v>1.8120323354856436</v>
      </c>
      <c r="AH734" s="53">
        <f t="shared" si="8739"/>
        <v>1.8625577364298664</v>
      </c>
      <c r="AI734" s="53">
        <f t="shared" ref="AI734:AJ734" si="8740">AI454/AI544</f>
        <v>1.8153697118667214</v>
      </c>
      <c r="AJ734" s="53">
        <f t="shared" si="8740"/>
        <v>1.8307762230732407</v>
      </c>
      <c r="AK734" s="53">
        <f t="shared" ref="AK734:AL734" si="8741">AK454/AK544</f>
        <v>1.5727017327041843</v>
      </c>
      <c r="AL734" s="53">
        <f t="shared" si="8741"/>
        <v>1.8686039994399521</v>
      </c>
      <c r="AM734" s="53">
        <f t="shared" ref="AM734:AN734" si="8742">AM454/AM544</f>
        <v>1.6049120354858091</v>
      </c>
      <c r="AN734" s="53">
        <f t="shared" si="8742"/>
        <v>1.3928318250547587</v>
      </c>
      <c r="AO734" s="53">
        <f t="shared" ref="AO734" si="8743">AO454/AO544</f>
        <v>1.5400600346142979</v>
      </c>
      <c r="AP734" s="53">
        <f t="shared" ref="AP734:AQ734" si="8744">AP454/AP544</f>
        <v>1.3773244534470006</v>
      </c>
      <c r="AQ734" s="53">
        <f t="shared" si="8744"/>
        <v>1.5571248344137543</v>
      </c>
      <c r="AR734" s="53">
        <f t="shared" ref="AR734:AS734" si="8745">AR454/AR544</f>
        <v>1.4557878859119628</v>
      </c>
      <c r="AS734" s="53">
        <f t="shared" si="8745"/>
        <v>1.6806986899563319</v>
      </c>
      <c r="AT734" s="53">
        <f t="shared" ref="AT734:AU734" si="8746">AT454/AT544</f>
        <v>1.8513075715573963</v>
      </c>
      <c r="AU734" s="53">
        <f t="shared" si="8746"/>
        <v>1.7408839410705954</v>
      </c>
      <c r="AV734" s="53">
        <f t="shared" ref="AV734:AW734" si="8747">AV454/AV544</f>
        <v>1.7099256988638256</v>
      </c>
      <c r="AW734" s="53">
        <f t="shared" si="8747"/>
        <v>1.6478050408946754</v>
      </c>
      <c r="AX734" s="53">
        <f t="shared" ref="AX734" si="8748">AX454/AX544</f>
        <v>1.7675561088865708</v>
      </c>
      <c r="AY734" s="216">
        <f t="shared" ref="AY734" si="8749">AY454/AY544</f>
        <v>1.2666061278713887</v>
      </c>
      <c r="AZ734" s="53">
        <f t="shared" ref="AZ734:BA734" si="8750">AZ454/AZ544</f>
        <v>1.9342787032251121</v>
      </c>
      <c r="BA734" s="53">
        <f t="shared" si="8750"/>
        <v>1.9173857949807407</v>
      </c>
      <c r="BB734" s="53">
        <f t="shared" ref="BB734:BC734" si="8751">BB454/BB544</f>
        <v>2.0159603483095974</v>
      </c>
      <c r="BC734" s="53">
        <f t="shared" si="8751"/>
        <v>1.8992249084288964</v>
      </c>
      <c r="BD734" s="53">
        <f t="shared" ref="BD734:BE734" si="8752">BD454/BD544</f>
        <v>2.1210210611143174</v>
      </c>
      <c r="BE734" s="53">
        <f t="shared" si="8752"/>
        <v>1.9883453751227584</v>
      </c>
      <c r="BF734" s="53">
        <f t="shared" ref="BF734:BG734" si="8753">BF454/BF544</f>
        <v>2.196996726096867</v>
      </c>
      <c r="BG734" s="53">
        <f t="shared" si="8753"/>
        <v>2.0909904529338474</v>
      </c>
      <c r="BH734" s="53">
        <f t="shared" ref="BH734:BI734" si="8754">BH454/BH544</f>
        <v>2.2768726856278914</v>
      </c>
      <c r="BI734" s="53">
        <f t="shared" si="8754"/>
        <v>2.1413307435780538</v>
      </c>
      <c r="BJ734" s="53">
        <f t="shared" ref="BJ734:BK734" si="8755">BJ454/BJ544</f>
        <v>2.2921663570638255</v>
      </c>
      <c r="BK734" s="53">
        <f t="shared" si="8755"/>
        <v>2.2570892494512664</v>
      </c>
      <c r="BL734" s="53">
        <f t="shared" ref="BL734:BM734" si="8756">BL454/BL544</f>
        <v>2.3777909898213023</v>
      </c>
      <c r="BM734" s="53">
        <f t="shared" si="8756"/>
        <v>2.311073964384061</v>
      </c>
      <c r="BN734" s="53">
        <f t="shared" ref="BN734:BO734" si="8757">BN454/BN544</f>
        <v>2.4351434827392469</v>
      </c>
      <c r="BO734" s="53">
        <f t="shared" si="8757"/>
        <v>2.3900733751543535</v>
      </c>
      <c r="BP734" s="53">
        <f t="shared" ref="BP734:BQ734" si="8758">BP454/BP544</f>
        <v>2.5169509516780608</v>
      </c>
      <c r="BQ734" s="53">
        <f t="shared" si="8758"/>
        <v>2.474297703022001</v>
      </c>
      <c r="BR734" s="53"/>
      <c r="BS734" s="53">
        <f t="shared" ref="BS734:CB734" si="8759">BS454/BS544</f>
        <v>1.0605560451861848</v>
      </c>
      <c r="BT734" s="53">
        <f t="shared" si="8759"/>
        <v>0.99839852905575377</v>
      </c>
      <c r="BU734" s="53">
        <f t="shared" si="8759"/>
        <v>1.1374197240442905</v>
      </c>
      <c r="BV734" s="53">
        <f t="shared" si="8759"/>
        <v>1.1792596538102569</v>
      </c>
      <c r="BW734" s="53">
        <f t="shared" si="8759"/>
        <v>1.1517975987142173</v>
      </c>
      <c r="BX734" s="53">
        <f t="shared" si="8759"/>
        <v>1.3042096526485363</v>
      </c>
      <c r="BY734" s="53">
        <f t="shared" si="8759"/>
        <v>1.4048064791827435</v>
      </c>
      <c r="BZ734" s="53">
        <f t="shared" si="8759"/>
        <v>1.6743808691563564</v>
      </c>
      <c r="CA734" s="53">
        <f t="shared" si="8759"/>
        <v>1.9050752497593975</v>
      </c>
      <c r="CB734" s="53">
        <f t="shared" si="8759"/>
        <v>2.1255020010858523</v>
      </c>
      <c r="CC734" s="53">
        <f t="shared" ref="CC734:CR734" si="8760">CC454/CC544</f>
        <v>2.4280912515731794</v>
      </c>
      <c r="CD734" s="53">
        <f t="shared" si="8760"/>
        <v>2.4554506188315552</v>
      </c>
      <c r="CE734" s="53">
        <f t="shared" si="8760"/>
        <v>2.5398710140240124</v>
      </c>
      <c r="CF734" s="53">
        <f t="shared" si="8760"/>
        <v>2.7140177947278548</v>
      </c>
      <c r="CG734" s="53">
        <f t="shared" si="8760"/>
        <v>2.9863290035950389</v>
      </c>
      <c r="CH734" s="53">
        <f t="shared" si="8760"/>
        <v>3.2753650861022447</v>
      </c>
      <c r="CI734" s="53">
        <f t="shared" si="8760"/>
        <v>3.4094480579043256</v>
      </c>
      <c r="CJ734" s="53">
        <f t="shared" si="8760"/>
        <v>3.5107367409164567</v>
      </c>
      <c r="CK734" s="53">
        <f t="shared" si="8760"/>
        <v>3.5381092790818149</v>
      </c>
      <c r="CL734" s="53">
        <f t="shared" si="8760"/>
        <v>3.4264258669472696</v>
      </c>
      <c r="CM734" s="53">
        <f t="shared" si="8760"/>
        <v>3.577037952761819</v>
      </c>
      <c r="CN734" s="53">
        <f t="shared" si="8760"/>
        <v>3.6933983042503948</v>
      </c>
      <c r="CO734" s="53">
        <f t="shared" si="8760"/>
        <v>3.9281115394187833</v>
      </c>
      <c r="CP734" s="53">
        <f t="shared" si="8760"/>
        <v>3.9946192083423537</v>
      </c>
      <c r="CQ734" s="53">
        <f t="shared" si="8760"/>
        <v>3.4666001410776963</v>
      </c>
      <c r="CR734" s="53">
        <f t="shared" si="8760"/>
        <v>3.6779459451886272</v>
      </c>
      <c r="CS734" s="53">
        <f t="shared" ref="CS734:CX734" si="8761">CS454/CS544</f>
        <v>3.4054796528088724</v>
      </c>
      <c r="CT734" s="53">
        <f t="shared" si="8761"/>
        <v>3.4747959579332419</v>
      </c>
      <c r="CU734" s="53">
        <f t="shared" si="8761"/>
        <v>2.9329074619378996</v>
      </c>
      <c r="CV734" s="53">
        <f t="shared" si="8761"/>
        <v>2.9343880983583457</v>
      </c>
      <c r="CW734" s="53">
        <f t="shared" si="8761"/>
        <v>3.1494293239683935</v>
      </c>
      <c r="CX734" s="53">
        <f t="shared" si="8761"/>
        <v>3.5920192179367412</v>
      </c>
      <c r="CY734" s="53">
        <f t="shared" ref="CY734:DD734" si="8762">CY454/CY544</f>
        <v>3.3577908217716113</v>
      </c>
      <c r="CZ734" s="216">
        <f t="shared" si="8762"/>
        <v>3.0340442710085447</v>
      </c>
      <c r="DA734" s="53">
        <f t="shared" si="8762"/>
        <v>3.8516414344555976</v>
      </c>
      <c r="DB734" s="53">
        <f t="shared" si="8762"/>
        <v>3.9154116662134784</v>
      </c>
      <c r="DC734" s="53">
        <f t="shared" si="8762"/>
        <v>4.109904898493741</v>
      </c>
      <c r="DD734" s="53">
        <f t="shared" si="8762"/>
        <v>4.2883430231124349</v>
      </c>
      <c r="DE734" s="53">
        <f t="shared" ref="DE734" si="8763">DE454/DE544</f>
        <v>4.4182034292059447</v>
      </c>
      <c r="DF734" s="53">
        <f t="shared" ref="DF734" si="8764">DF454/DF544</f>
        <v>4.5492556065150911</v>
      </c>
      <c r="DG734" s="53">
        <f>DG454/DG544</f>
        <v>4.6888649542053633</v>
      </c>
      <c r="DH734" s="53">
        <f>DH454/DH544</f>
        <v>4.8252168578936008</v>
      </c>
      <c r="DI734" s="53">
        <f>DI454/DI544</f>
        <v>4.9912486547000627</v>
      </c>
    </row>
    <row r="735" spans="1:113" ht="12" outlineLevel="1">
      <c r="A735" s="1" t="s">
        <v>984</v>
      </c>
      <c r="B735" s="15" t="s">
        <v>392</v>
      </c>
      <c r="C735" s="53">
        <f t="shared" ref="C735:AF735" si="8765">C135</f>
        <v>0.39683440000000003</v>
      </c>
      <c r="D735" s="53">
        <f t="shared" si="8765"/>
        <v>0.38691354</v>
      </c>
      <c r="E735" s="53">
        <f t="shared" si="8765"/>
        <v>0.45635956000000005</v>
      </c>
      <c r="F735" s="53">
        <f t="shared" si="8765"/>
        <v>0.43651783999999999</v>
      </c>
      <c r="G735" s="53">
        <f t="shared" si="8765"/>
        <v>0.50596386000000004</v>
      </c>
      <c r="H735" s="53">
        <f t="shared" si="8765"/>
        <v>0.46628041999999997</v>
      </c>
      <c r="I735" s="53">
        <f t="shared" si="8765"/>
        <v>0.53572644000000003</v>
      </c>
      <c r="J735" s="53">
        <f t="shared" si="8765"/>
        <v>0.50596386000000004</v>
      </c>
      <c r="K735" s="53">
        <f t="shared" si="8765"/>
        <v>0.58533073999999996</v>
      </c>
      <c r="L735" s="53">
        <f t="shared" si="8765"/>
        <v>0.55556816000000009</v>
      </c>
      <c r="M735" s="53">
        <f t="shared" si="8765"/>
        <v>0.68453933999999994</v>
      </c>
      <c r="N735" s="53">
        <f t="shared" si="8765"/>
        <v>0.61509332000000005</v>
      </c>
      <c r="O735" s="53">
        <f t="shared" si="8765"/>
        <v>0.73414363999999999</v>
      </c>
      <c r="P735" s="53">
        <f t="shared" si="8765"/>
        <v>0.61509332000000005</v>
      </c>
      <c r="Q735" s="53">
        <f t="shared" si="8765"/>
        <v>0.73414363999999999</v>
      </c>
      <c r="R735" s="53">
        <f t="shared" si="8765"/>
        <v>0.45635956000000005</v>
      </c>
      <c r="S735" s="53">
        <f t="shared" si="8765"/>
        <v>0.55556816000000009</v>
      </c>
      <c r="T735" s="53">
        <f t="shared" si="8765"/>
        <v>0.51588472000000007</v>
      </c>
      <c r="U735" s="53">
        <f t="shared" si="8765"/>
        <v>0.73414363999999999</v>
      </c>
      <c r="V735" s="53">
        <f t="shared" si="8765"/>
        <v>0.63493504000000001</v>
      </c>
      <c r="W735" s="53">
        <f t="shared" si="8765"/>
        <v>0.75398536000000005</v>
      </c>
      <c r="X735" s="53">
        <f t="shared" si="8765"/>
        <v>0.65477676000000007</v>
      </c>
      <c r="Y735" s="53">
        <f t="shared" si="8765"/>
        <v>0.78374794000000003</v>
      </c>
      <c r="Z735" s="53">
        <f t="shared" si="8765"/>
        <v>0.72422277999999995</v>
      </c>
      <c r="AA735" s="53">
        <f t="shared" si="8765"/>
        <v>0.90279826000000007</v>
      </c>
      <c r="AB735" s="53">
        <f t="shared" si="8765"/>
        <v>0.82343137999999994</v>
      </c>
      <c r="AC735" s="53">
        <f t="shared" si="8765"/>
        <v>0.94248169999999998</v>
      </c>
      <c r="AD735" s="53">
        <f t="shared" ref="AD735:AE735" si="8766">AD135</f>
        <v>0.85319396000000003</v>
      </c>
      <c r="AE735" s="53">
        <f t="shared" si="8766"/>
        <v>0.94248169999999998</v>
      </c>
      <c r="AF735" s="53">
        <f t="shared" si="8765"/>
        <v>0.79366880000000006</v>
      </c>
      <c r="AG735" s="53">
        <f t="shared" ref="AG735:AH735" si="8767">AG135</f>
        <v>0.79366880000000006</v>
      </c>
      <c r="AH735" s="53">
        <f t="shared" si="8767"/>
        <v>0.79366880000000006</v>
      </c>
      <c r="AI735" s="53">
        <f t="shared" ref="AI735:AJ735" si="8768">AI135</f>
        <v>0.79366880000000006</v>
      </c>
      <c r="AJ735" s="53">
        <f t="shared" si="8768"/>
        <v>0.79366880000000006</v>
      </c>
      <c r="AK735" s="53">
        <f t="shared" ref="AK735:AL735" si="8769">AK135</f>
        <v>0.79366880000000006</v>
      </c>
      <c r="AL735" s="53">
        <f t="shared" si="8769"/>
        <v>0.79366880000000006</v>
      </c>
      <c r="AM735" s="53">
        <f t="shared" ref="AM735:AN735" si="8770">AM135</f>
        <v>0.79366880000000006</v>
      </c>
      <c r="AN735" s="53">
        <f t="shared" si="8770"/>
        <v>0.24802150000000001</v>
      </c>
      <c r="AO735" s="53">
        <f t="shared" ref="AO735" si="8771">AO135</f>
        <v>0.34723009999999999</v>
      </c>
      <c r="AP735" s="53">
        <f t="shared" ref="AP735:AQ735" si="8772">AP135</f>
        <v>0.69446019999999997</v>
      </c>
      <c r="AQ735" s="53">
        <f t="shared" si="8772"/>
        <v>0.71430192000000003</v>
      </c>
      <c r="AR735" s="53">
        <f t="shared" ref="AR735:AS735" si="8773">AR135</f>
        <v>0.71430192000000003</v>
      </c>
      <c r="AS735" s="53">
        <f t="shared" si="8773"/>
        <v>0.74</v>
      </c>
      <c r="AT735" s="53">
        <f t="shared" ref="AT735:AU735" si="8774">AT135</f>
        <v>0.81</v>
      </c>
      <c r="AU735" s="53">
        <f t="shared" si="8774"/>
        <v>0.94000000000000006</v>
      </c>
      <c r="AV735" s="53">
        <f t="shared" ref="AV735:AW735" si="8775">AV135</f>
        <v>0.83</v>
      </c>
      <c r="AW735" s="53">
        <f t="shared" si="8775"/>
        <v>0.83</v>
      </c>
      <c r="AX735" s="53">
        <f t="shared" ref="AX735" si="8776">AX135</f>
        <v>0.83</v>
      </c>
      <c r="AY735" s="216">
        <f t="shared" ref="AY735" si="8777">AY135</f>
        <v>0.83</v>
      </c>
      <c r="AZ735" s="53">
        <f t="shared" ref="AZ735:BA735" si="8778">AZ135</f>
        <v>0.86</v>
      </c>
      <c r="BA735" s="53">
        <f t="shared" si="8778"/>
        <v>0.9</v>
      </c>
      <c r="BB735" s="53">
        <f t="shared" ref="BB735:BC735" si="8779">BB135</f>
        <v>0.91</v>
      </c>
      <c r="BC735" s="53">
        <f t="shared" si="8779"/>
        <v>0.92</v>
      </c>
      <c r="BD735" s="53">
        <f t="shared" ref="BD735:BE735" si="8780">BD135</f>
        <v>0.94000000000000006</v>
      </c>
      <c r="BE735" s="53">
        <f t="shared" si="8780"/>
        <v>0.96000000000000008</v>
      </c>
      <c r="BF735" s="53">
        <f t="shared" ref="BF735:BG735" si="8781">BF135</f>
        <v>0.98000000000000009</v>
      </c>
      <c r="BG735" s="53">
        <f t="shared" si="8781"/>
        <v>1</v>
      </c>
      <c r="BH735" s="53">
        <f t="shared" ref="BH735:BI735" si="8782">BH135</f>
        <v>1.02</v>
      </c>
      <c r="BI735" s="53">
        <f t="shared" si="8782"/>
        <v>1.04</v>
      </c>
      <c r="BJ735" s="53">
        <f t="shared" ref="BJ735:BK735" si="8783">BJ135</f>
        <v>1.06</v>
      </c>
      <c r="BK735" s="53">
        <f t="shared" si="8783"/>
        <v>1.08</v>
      </c>
      <c r="BL735" s="53">
        <f t="shared" ref="BL735:BQ735" si="8784">BL135</f>
        <v>1.1000000000000001</v>
      </c>
      <c r="BM735" s="53">
        <f t="shared" si="8784"/>
        <v>1.1200000000000001</v>
      </c>
      <c r="BN735" s="53">
        <f t="shared" si="8784"/>
        <v>1.1400000000000001</v>
      </c>
      <c r="BO735" s="53">
        <f t="shared" si="8784"/>
        <v>1.1600000000000001</v>
      </c>
      <c r="BP735" s="53">
        <f t="shared" si="8784"/>
        <v>1.1800000000000002</v>
      </c>
      <c r="BQ735" s="53">
        <f t="shared" si="8784"/>
        <v>1.2000000000000002</v>
      </c>
      <c r="BR735" s="53"/>
      <c r="BS735" s="53">
        <f t="shared" ref="BS735:CY735" si="8785">BS135</f>
        <v>9.5210493420000014E-2</v>
      </c>
      <c r="BT735" s="53">
        <f t="shared" si="8785"/>
        <v>0.104731542762</v>
      </c>
      <c r="BU735" s="53">
        <f t="shared" si="8785"/>
        <v>0.23802623354999999</v>
      </c>
      <c r="BV735" s="53">
        <f t="shared" si="8785"/>
        <v>0.31419462828599998</v>
      </c>
      <c r="BW735" s="53">
        <f t="shared" si="8785"/>
        <v>0.39988407236399998</v>
      </c>
      <c r="BX735" s="53">
        <f t="shared" si="8785"/>
        <v>0.45701036841600001</v>
      </c>
      <c r="BY735" s="53">
        <f t="shared" si="8785"/>
        <v>0.49509456578400007</v>
      </c>
      <c r="BZ735" s="53">
        <f t="shared" si="8785"/>
        <v>0.53317876315200008</v>
      </c>
      <c r="CA735" s="53">
        <f t="shared" si="8785"/>
        <v>0.60934715788799998</v>
      </c>
      <c r="CB735" s="53">
        <f t="shared" si="8785"/>
        <v>0.69503660196599992</v>
      </c>
      <c r="CC735" s="53">
        <f t="shared" si="8785"/>
        <v>0.8432731</v>
      </c>
      <c r="CD735" s="53">
        <f t="shared" si="8785"/>
        <v>0.94248170000000009</v>
      </c>
      <c r="CE735" s="53">
        <f t="shared" si="8785"/>
        <v>1.0020068600000001</v>
      </c>
      <c r="CF735" s="53">
        <f t="shared" si="8785"/>
        <v>1.0912945999999999</v>
      </c>
      <c r="CG735" s="53">
        <f t="shared" si="8785"/>
        <v>1.2401075000000001</v>
      </c>
      <c r="CH735" s="53">
        <f t="shared" si="8785"/>
        <v>1.34923696</v>
      </c>
      <c r="CI735" s="53">
        <f t="shared" si="8785"/>
        <v>1.34923696</v>
      </c>
      <c r="CJ735" s="53">
        <f t="shared" si="8785"/>
        <v>1.0119277200000001</v>
      </c>
      <c r="CK735" s="53">
        <f t="shared" si="8785"/>
        <v>1.2500283599999999</v>
      </c>
      <c r="CL735" s="53">
        <f t="shared" si="8785"/>
        <v>1.3889203999999999</v>
      </c>
      <c r="CM735" s="53">
        <f t="shared" si="8785"/>
        <v>1.4385247000000001</v>
      </c>
      <c r="CN735" s="53">
        <f t="shared" si="8785"/>
        <v>1.62702104</v>
      </c>
      <c r="CO735" s="53">
        <f t="shared" si="8785"/>
        <v>1.7659130799999998</v>
      </c>
      <c r="CP735" s="53">
        <f t="shared" si="8785"/>
        <v>1.7956756600000001</v>
      </c>
      <c r="CQ735" s="53">
        <f t="shared" si="8785"/>
        <v>1.5873376000000001</v>
      </c>
      <c r="CR735" s="53">
        <f t="shared" si="8785"/>
        <v>1.5873376000000001</v>
      </c>
      <c r="CS735" s="53">
        <f t="shared" si="8785"/>
        <v>1.5873376000000001</v>
      </c>
      <c r="CT735" s="53">
        <f t="shared" si="8785"/>
        <v>1.5873376000000001</v>
      </c>
      <c r="CU735" s="53">
        <f t="shared" si="8785"/>
        <v>0.59525159999999999</v>
      </c>
      <c r="CV735" s="53">
        <f t="shared" si="8785"/>
        <v>1.40876212</v>
      </c>
      <c r="CW735" s="53">
        <f t="shared" si="8785"/>
        <v>1.45430192</v>
      </c>
      <c r="CX735" s="53">
        <f t="shared" si="8785"/>
        <v>1.75</v>
      </c>
      <c r="CY735" s="53">
        <f t="shared" si="8785"/>
        <v>1.66</v>
      </c>
      <c r="CZ735" s="216">
        <f t="shared" ref="CZ735" si="8786">CZ135</f>
        <v>1.66</v>
      </c>
      <c r="DA735" s="53">
        <f t="shared" ref="DA735:DF735" si="8787">DA135</f>
        <v>1.76</v>
      </c>
      <c r="DB735" s="53">
        <f t="shared" si="8787"/>
        <v>1.83</v>
      </c>
      <c r="DC735" s="53">
        <f t="shared" si="8787"/>
        <v>1.9000000000000001</v>
      </c>
      <c r="DD735" s="53">
        <f t="shared" si="8787"/>
        <v>1.98</v>
      </c>
      <c r="DE735" s="53">
        <f t="shared" si="8787"/>
        <v>2.06</v>
      </c>
      <c r="DF735" s="53">
        <f t="shared" si="8787"/>
        <v>2.14</v>
      </c>
      <c r="DG735" s="53">
        <f t="shared" ref="DG735" si="8788">DG135</f>
        <v>2.2200000000000002</v>
      </c>
      <c r="DH735" s="53">
        <f>DH135</f>
        <v>2.3000000000000003</v>
      </c>
      <c r="DI735" s="53">
        <f>DI135</f>
        <v>2.3800000000000003</v>
      </c>
    </row>
    <row r="736" spans="1:113" ht="12" outlineLevel="1">
      <c r="A736" s="1" t="s">
        <v>2368</v>
      </c>
      <c r="B736" s="15" t="s">
        <v>2367</v>
      </c>
      <c r="C736" s="333">
        <v>0</v>
      </c>
      <c r="D736" s="333">
        <v>0</v>
      </c>
      <c r="E736" s="333">
        <v>0</v>
      </c>
      <c r="F736" s="333">
        <v>0</v>
      </c>
      <c r="G736" s="333">
        <v>0</v>
      </c>
      <c r="H736" s="333">
        <v>0</v>
      </c>
      <c r="I736" s="333">
        <v>0</v>
      </c>
      <c r="J736" s="333">
        <v>0</v>
      </c>
      <c r="K736" s="333">
        <v>0</v>
      </c>
      <c r="L736" s="333">
        <v>0</v>
      </c>
      <c r="M736" s="351">
        <v>0</v>
      </c>
      <c r="N736" s="351">
        <v>0</v>
      </c>
      <c r="O736" s="351">
        <v>0</v>
      </c>
      <c r="P736" s="351">
        <v>0</v>
      </c>
      <c r="Q736" s="351">
        <v>0</v>
      </c>
      <c r="R736" s="351">
        <v>0</v>
      </c>
      <c r="S736" s="351">
        <v>0</v>
      </c>
      <c r="T736" s="351">
        <v>0</v>
      </c>
      <c r="U736" s="351">
        <v>0</v>
      </c>
      <c r="V736" s="351">
        <v>0</v>
      </c>
      <c r="W736" s="351">
        <v>0</v>
      </c>
      <c r="X736" s="351">
        <v>0</v>
      </c>
      <c r="Y736" s="351">
        <v>0</v>
      </c>
      <c r="Z736" s="351">
        <v>0</v>
      </c>
      <c r="AA736" s="351">
        <v>0</v>
      </c>
      <c r="AB736" s="351">
        <v>0</v>
      </c>
      <c r="AC736" s="351">
        <v>0</v>
      </c>
      <c r="AD736" s="351">
        <v>0</v>
      </c>
      <c r="AE736" s="351">
        <v>0</v>
      </c>
      <c r="AF736" s="351">
        <v>0</v>
      </c>
      <c r="AG736" s="351">
        <v>0</v>
      </c>
      <c r="AH736" s="351">
        <v>0</v>
      </c>
      <c r="AI736" s="351">
        <v>0</v>
      </c>
      <c r="AJ736" s="351">
        <v>0</v>
      </c>
      <c r="AK736" s="351">
        <v>0</v>
      </c>
      <c r="AL736" s="351">
        <v>0</v>
      </c>
      <c r="AM736" s="351">
        <v>0</v>
      </c>
      <c r="AN736" s="351">
        <v>0</v>
      </c>
      <c r="AO736" s="351">
        <v>0</v>
      </c>
      <c r="AP736" s="351">
        <v>0</v>
      </c>
      <c r="AQ736" s="351">
        <v>0</v>
      </c>
      <c r="AR736" s="351">
        <v>0</v>
      </c>
      <c r="AS736" s="351">
        <v>0</v>
      </c>
      <c r="AT736" s="351">
        <v>0</v>
      </c>
      <c r="AU736" s="351">
        <v>0.13</v>
      </c>
      <c r="AV736" s="351">
        <v>0</v>
      </c>
      <c r="AW736" s="351">
        <v>0</v>
      </c>
      <c r="AX736" s="351">
        <v>0</v>
      </c>
      <c r="AY736" s="352">
        <v>0</v>
      </c>
      <c r="AZ736" s="353">
        <v>0</v>
      </c>
      <c r="BA736" s="353">
        <v>0</v>
      </c>
      <c r="BB736" s="353">
        <v>0</v>
      </c>
      <c r="BC736" s="353">
        <v>0</v>
      </c>
      <c r="BD736" s="353">
        <v>0</v>
      </c>
      <c r="BE736" s="353">
        <v>0</v>
      </c>
      <c r="BF736" s="353">
        <v>0</v>
      </c>
      <c r="BG736" s="353">
        <v>0</v>
      </c>
      <c r="BH736" s="353">
        <v>0</v>
      </c>
      <c r="BI736" s="353">
        <v>0</v>
      </c>
      <c r="BJ736" s="353">
        <v>0</v>
      </c>
      <c r="BK736" s="353">
        <v>0</v>
      </c>
      <c r="BL736" s="353">
        <v>0</v>
      </c>
      <c r="BM736" s="353">
        <v>0</v>
      </c>
      <c r="BN736" s="353">
        <v>0</v>
      </c>
      <c r="BO736" s="353">
        <v>0</v>
      </c>
      <c r="BP736" s="353">
        <v>0</v>
      </c>
      <c r="BQ736" s="353">
        <v>0</v>
      </c>
      <c r="BR736" s="41"/>
      <c r="BS736" s="333">
        <v>0</v>
      </c>
      <c r="BT736" s="333">
        <v>0</v>
      </c>
      <c r="BU736" s="333">
        <v>0</v>
      </c>
      <c r="BV736" s="333">
        <v>0</v>
      </c>
      <c r="BW736" s="333">
        <v>0</v>
      </c>
      <c r="BX736" s="333">
        <v>0</v>
      </c>
      <c r="BY736" s="333">
        <v>0</v>
      </c>
      <c r="BZ736" s="333">
        <v>0</v>
      </c>
      <c r="CA736" s="333">
        <v>0</v>
      </c>
      <c r="CB736" s="333">
        <v>0</v>
      </c>
      <c r="CC736" s="13">
        <f>D736+E736</f>
        <v>0</v>
      </c>
      <c r="CD736" s="13">
        <f>F736+G736</f>
        <v>0</v>
      </c>
      <c r="CE736" s="13">
        <f>H736+I736</f>
        <v>0</v>
      </c>
      <c r="CF736" s="13">
        <f>J736+K736</f>
        <v>0</v>
      </c>
      <c r="CG736" s="13">
        <f>L736+M736</f>
        <v>0</v>
      </c>
      <c r="CH736" s="13">
        <f>N736+O736</f>
        <v>0</v>
      </c>
      <c r="CI736" s="13">
        <f>P736+Q736</f>
        <v>0</v>
      </c>
      <c r="CJ736" s="13">
        <f>R736+S736</f>
        <v>0</v>
      </c>
      <c r="CK736" s="13">
        <f>T736+U736</f>
        <v>0</v>
      </c>
      <c r="CL736" s="13">
        <f>V736+W736</f>
        <v>0</v>
      </c>
      <c r="CM736" s="13">
        <f>X736+Y736</f>
        <v>0</v>
      </c>
      <c r="CN736" s="13">
        <f>Z736+AA736</f>
        <v>0</v>
      </c>
      <c r="CO736" s="53">
        <f>SUM(AB736:AC736)</f>
        <v>0</v>
      </c>
      <c r="CP736" s="53">
        <f>SUM(AD736:AE736)</f>
        <v>0</v>
      </c>
      <c r="CQ736" s="53">
        <f>SUM(AF736:AG736)</f>
        <v>0</v>
      </c>
      <c r="CR736" s="53">
        <f>SUM(AH736:AI736)</f>
        <v>0</v>
      </c>
      <c r="CS736" s="53">
        <f>SUM(AJ736:AK736)</f>
        <v>0</v>
      </c>
      <c r="CT736" s="53">
        <f>SUM(AL736:AM736)</f>
        <v>0</v>
      </c>
      <c r="CU736" s="53">
        <f>SUM(AN736:AO736)</f>
        <v>0</v>
      </c>
      <c r="CV736" s="53">
        <f>SUM(AP736:AQ736)</f>
        <v>0</v>
      </c>
      <c r="CW736" s="53">
        <f>SUM(AR736:AS736)</f>
        <v>0</v>
      </c>
      <c r="CX736" s="53">
        <f>SUM(AT736:AU736)</f>
        <v>0.13</v>
      </c>
      <c r="CY736" s="53">
        <f>SUM(AV736:AW736)</f>
        <v>0</v>
      </c>
      <c r="CZ736" s="216">
        <f>SUM(AX736:AY736)</f>
        <v>0</v>
      </c>
      <c r="DA736" s="53">
        <f>SUM(AZ736:BA736)</f>
        <v>0</v>
      </c>
      <c r="DB736" s="53">
        <f>SUM(BB736:BC736)</f>
        <v>0</v>
      </c>
      <c r="DC736" s="53">
        <f>SUM(BD736:BE736)</f>
        <v>0</v>
      </c>
      <c r="DD736" s="53">
        <f>SUM(BF736:BG736)</f>
        <v>0</v>
      </c>
      <c r="DE736" s="53">
        <f>SUM(BH736:BI736)</f>
        <v>0</v>
      </c>
      <c r="DF736" s="53">
        <f>SUM(BJ736:BK736)</f>
        <v>0</v>
      </c>
      <c r="DG736" s="53">
        <f>SUM(BL736:BM736)</f>
        <v>0</v>
      </c>
      <c r="DH736" s="53">
        <f>SUM(BN736:BO736)</f>
        <v>0</v>
      </c>
      <c r="DI736" s="53">
        <f>SUM(BP736:BQ736)</f>
        <v>0</v>
      </c>
    </row>
    <row r="737" spans="1:113" ht="12" outlineLevel="1">
      <c r="A737" s="1" t="s">
        <v>955</v>
      </c>
      <c r="B737" s="15" t="s">
        <v>393</v>
      </c>
      <c r="C737" s="53">
        <f t="shared" ref="C737:AF737" si="8789">C135*(1+1/(1-C128)*C128*C138)</f>
        <v>0.56690628571428581</v>
      </c>
      <c r="D737" s="53">
        <f t="shared" si="8789"/>
        <v>0.5527336285714286</v>
      </c>
      <c r="E737" s="53">
        <f t="shared" si="8789"/>
        <v>0.65194222857142869</v>
      </c>
      <c r="F737" s="53">
        <f t="shared" si="8789"/>
        <v>0.62359691428571429</v>
      </c>
      <c r="G737" s="53">
        <f t="shared" si="8789"/>
        <v>0.72280551428571438</v>
      </c>
      <c r="H737" s="53">
        <f t="shared" si="8789"/>
        <v>0.66611488571428568</v>
      </c>
      <c r="I737" s="53">
        <f t="shared" si="8789"/>
        <v>0.76532348571428577</v>
      </c>
      <c r="J737" s="53">
        <f t="shared" si="8789"/>
        <v>0.72280551428571438</v>
      </c>
      <c r="K737" s="53">
        <f t="shared" si="8789"/>
        <v>0.83618677142857134</v>
      </c>
      <c r="L737" s="53">
        <f t="shared" si="8789"/>
        <v>0.79366880000000017</v>
      </c>
      <c r="M737" s="53">
        <f t="shared" si="8789"/>
        <v>0.97791334285714282</v>
      </c>
      <c r="N737" s="53">
        <f t="shared" si="8789"/>
        <v>0.87870474285714295</v>
      </c>
      <c r="O737" s="53">
        <f t="shared" si="8789"/>
        <v>1.0487766285714286</v>
      </c>
      <c r="P737" s="53">
        <f t="shared" si="8789"/>
        <v>0.87870474285714295</v>
      </c>
      <c r="Q737" s="53">
        <f t="shared" si="8789"/>
        <v>1.0487766285714286</v>
      </c>
      <c r="R737" s="53">
        <f t="shared" si="8789"/>
        <v>0.65194222857142869</v>
      </c>
      <c r="S737" s="53">
        <f t="shared" si="8789"/>
        <v>0.79366880000000017</v>
      </c>
      <c r="T737" s="53">
        <f t="shared" si="8789"/>
        <v>0.73697817142857158</v>
      </c>
      <c r="U737" s="53">
        <f t="shared" si="8789"/>
        <v>1.0487766285714286</v>
      </c>
      <c r="V737" s="53">
        <f t="shared" si="8789"/>
        <v>0.90705005714285714</v>
      </c>
      <c r="W737" s="53">
        <f t="shared" si="8789"/>
        <v>1.077121942857143</v>
      </c>
      <c r="X737" s="53">
        <f t="shared" si="8789"/>
        <v>0.93539537142857154</v>
      </c>
      <c r="Y737" s="53">
        <f t="shared" si="8789"/>
        <v>1.1196399142857143</v>
      </c>
      <c r="Z737" s="53">
        <f t="shared" si="8789"/>
        <v>1.0346039714285713</v>
      </c>
      <c r="AA737" s="53">
        <f t="shared" si="8789"/>
        <v>1.2897118000000001</v>
      </c>
      <c r="AB737" s="53">
        <f t="shared" si="8789"/>
        <v>1.1763305428571429</v>
      </c>
      <c r="AC737" s="53">
        <f t="shared" si="8789"/>
        <v>1.3464024285714287</v>
      </c>
      <c r="AD737" s="53">
        <f t="shared" ref="AD737:AE737" si="8790">AD135*(1+1/(1-AD128)*AD128*AD138)</f>
        <v>1.2188485142857144</v>
      </c>
      <c r="AE737" s="53">
        <f t="shared" si="8790"/>
        <v>1.3464024285714287</v>
      </c>
      <c r="AF737" s="53">
        <f t="shared" si="8789"/>
        <v>1.1338125714285716</v>
      </c>
      <c r="AG737" s="53">
        <f t="shared" ref="AG737:AH737" si="8791">AG135*(1+1/(1-AG128)*AG128*AG138)</f>
        <v>1.1338125714285716</v>
      </c>
      <c r="AH737" s="53">
        <f t="shared" si="8791"/>
        <v>1.1338125714285716</v>
      </c>
      <c r="AI737" s="53">
        <f t="shared" ref="AI737:AJ737" si="8792">AI135*(1+1/(1-AI128)*AI128*AI138)</f>
        <v>1.1338125714285716</v>
      </c>
      <c r="AJ737" s="53">
        <f t="shared" si="8792"/>
        <v>1.1338125714285716</v>
      </c>
      <c r="AK737" s="53">
        <f t="shared" ref="AK737:AL737" si="8793">AK135*(1+1/(1-AK128)*AK128*AK138)</f>
        <v>1.1338125714285716</v>
      </c>
      <c r="AL737" s="53">
        <f t="shared" si="8793"/>
        <v>1.1338125714285716</v>
      </c>
      <c r="AM737" s="53">
        <f t="shared" ref="AM737:AN737" si="8794">AM135*(1+1/(1-AM128)*AM128*AM138)</f>
        <v>1.0317694400000001</v>
      </c>
      <c r="AN737" s="53">
        <f t="shared" si="8794"/>
        <v>0.35431642857142859</v>
      </c>
      <c r="AO737" s="53">
        <f t="shared" ref="AO737" si="8795">AO135*(1+1/(1-AO128)*AO128*AO138)</f>
        <v>0.49604300000000001</v>
      </c>
      <c r="AP737" s="53">
        <f t="shared" ref="AP737:AQ737" si="8796">AP135*(1+1/(1-AP128)*AP128*AP138)</f>
        <v>0.99208600000000002</v>
      </c>
      <c r="AQ737" s="53">
        <f t="shared" si="8796"/>
        <v>1.0204313142857144</v>
      </c>
      <c r="AR737" s="53">
        <f t="shared" ref="AR737:AS737" si="8797">AR135*(1+1/(1-AR128)*AR128*AR138)</f>
        <v>1.0204313142857144</v>
      </c>
      <c r="AS737" s="53">
        <f t="shared" si="8797"/>
        <v>1.0571428571428572</v>
      </c>
      <c r="AT737" s="53">
        <f t="shared" ref="AT737:AU737" si="8798">AT135*(1+1/(1-AT128)*AT128*AT138)</f>
        <v>1.1571428571428573</v>
      </c>
      <c r="AU737" s="53">
        <f t="shared" si="8798"/>
        <v>1.1656428571428572</v>
      </c>
      <c r="AV737" s="53">
        <f t="shared" ref="AV737:AW737" si="8799">AV135*(1+1/(1-AV128)*AV128*AV138)</f>
        <v>1.0612142857142857</v>
      </c>
      <c r="AW737" s="53">
        <f t="shared" si="8799"/>
        <v>1.079</v>
      </c>
      <c r="AX737" s="53">
        <f t="shared" ref="AX737" si="8800">AX135*(1+1/(1-AX128)*AX128*AX138)</f>
        <v>1.079</v>
      </c>
      <c r="AY737" s="216">
        <f t="shared" ref="AY737" si="8801">AY135*(1+1/(1-AY128)*AY128*AY138)</f>
        <v>1.079</v>
      </c>
      <c r="AZ737" s="53">
        <f t="shared" ref="AZ737:BA737" si="8802">AZ135*(1+1/(1-AZ128)*AZ128*AZ138)</f>
        <v>1.1180000000000001</v>
      </c>
      <c r="BA737" s="53">
        <f t="shared" si="8802"/>
        <v>1.1700000000000002</v>
      </c>
      <c r="BB737" s="53">
        <f t="shared" ref="BB737:BC737" si="8803">BB135*(1+1/(1-BB128)*BB128*BB138)</f>
        <v>1.1830000000000001</v>
      </c>
      <c r="BC737" s="53">
        <f t="shared" si="8803"/>
        <v>1.1960000000000002</v>
      </c>
      <c r="BD737" s="53">
        <f t="shared" ref="BD737:BE737" si="8804">BD135*(1+1/(1-BD128)*BD128*BD138)</f>
        <v>1.2220000000000002</v>
      </c>
      <c r="BE737" s="53">
        <f t="shared" si="8804"/>
        <v>1.2480000000000002</v>
      </c>
      <c r="BF737" s="53">
        <f t="shared" ref="BF737:BG737" si="8805">BF135*(1+1/(1-BF128)*BF128*BF138)</f>
        <v>1.2740000000000002</v>
      </c>
      <c r="BG737" s="53">
        <f t="shared" si="8805"/>
        <v>1.3</v>
      </c>
      <c r="BH737" s="53">
        <f t="shared" ref="BH737:BI737" si="8806">BH135*(1+1/(1-BH128)*BH128*BH138)</f>
        <v>1.3260000000000001</v>
      </c>
      <c r="BI737" s="53">
        <f t="shared" si="8806"/>
        <v>1.3520000000000001</v>
      </c>
      <c r="BJ737" s="53">
        <f t="shared" ref="BJ737:BK737" si="8807">BJ135*(1+1/(1-BJ128)*BJ128*BJ138)</f>
        <v>1.3780000000000001</v>
      </c>
      <c r="BK737" s="53">
        <f t="shared" si="8807"/>
        <v>1.4040000000000001</v>
      </c>
      <c r="BL737" s="53">
        <f t="shared" ref="BL737:BQ737" si="8808">BL135*(1+1/(1-BL128)*BL128*BL138)</f>
        <v>1.4300000000000002</v>
      </c>
      <c r="BM737" s="53">
        <f t="shared" si="8808"/>
        <v>1.4560000000000002</v>
      </c>
      <c r="BN737" s="53">
        <f t="shared" si="8808"/>
        <v>1.4820000000000002</v>
      </c>
      <c r="BO737" s="53">
        <f t="shared" si="8808"/>
        <v>1.5080000000000002</v>
      </c>
      <c r="BP737" s="53">
        <f t="shared" si="8808"/>
        <v>1.5340000000000003</v>
      </c>
      <c r="BQ737" s="53">
        <f t="shared" si="8808"/>
        <v>1.5600000000000003</v>
      </c>
      <c r="BR737" s="53"/>
      <c r="BS737" s="53">
        <f t="shared" ref="BS737:CY737" si="8809">BS135*(1+1/(1-BS128)*BS128*BS138)</f>
        <v>0.11865785373985076</v>
      </c>
      <c r="BT737" s="53">
        <f t="shared" si="8809"/>
        <v>0.104731542762</v>
      </c>
      <c r="BU737" s="53">
        <f t="shared" si="8809"/>
        <v>0.23802623354999999</v>
      </c>
      <c r="BV737" s="53">
        <f t="shared" si="8809"/>
        <v>0.34205009234598266</v>
      </c>
      <c r="BW737" s="53">
        <f t="shared" si="8809"/>
        <v>0.57758255702075245</v>
      </c>
      <c r="BX737" s="53">
        <f t="shared" si="8809"/>
        <v>0.71407870065000001</v>
      </c>
      <c r="BY737" s="53">
        <f t="shared" si="8809"/>
        <v>0.67059456578400012</v>
      </c>
      <c r="BZ737" s="53">
        <f t="shared" si="8809"/>
        <v>0.77786626315200003</v>
      </c>
      <c r="CA737" s="53">
        <f t="shared" si="8809"/>
        <v>0.95210493419999997</v>
      </c>
      <c r="CB737" s="53">
        <f t="shared" si="8809"/>
        <v>1.0530857605545454</v>
      </c>
      <c r="CC737" s="53">
        <f t="shared" si="8809"/>
        <v>1.2046758571428571</v>
      </c>
      <c r="CD737" s="53">
        <f t="shared" si="8809"/>
        <v>1.3464024285714287</v>
      </c>
      <c r="CE737" s="53">
        <f t="shared" si="8809"/>
        <v>1.4314383714285714</v>
      </c>
      <c r="CF737" s="53">
        <f t="shared" si="8809"/>
        <v>1.5589922857142855</v>
      </c>
      <c r="CG737" s="53">
        <f t="shared" si="8809"/>
        <v>1.771582142857143</v>
      </c>
      <c r="CH737" s="53">
        <f t="shared" si="8809"/>
        <v>1.9274813714285715</v>
      </c>
      <c r="CI737" s="53">
        <f t="shared" si="8809"/>
        <v>1.9274813714285715</v>
      </c>
      <c r="CJ737" s="53">
        <f t="shared" si="8809"/>
        <v>1.4456110285714288</v>
      </c>
      <c r="CK737" s="53">
        <f t="shared" si="8809"/>
        <v>1.7857547999999999</v>
      </c>
      <c r="CL737" s="53">
        <f t="shared" si="8809"/>
        <v>1.984172</v>
      </c>
      <c r="CM737" s="53">
        <f t="shared" si="8809"/>
        <v>2.0550352857142857</v>
      </c>
      <c r="CN737" s="53">
        <f t="shared" si="8809"/>
        <v>2.3243157714285716</v>
      </c>
      <c r="CO737" s="53">
        <f t="shared" si="8809"/>
        <v>2.5227329714285713</v>
      </c>
      <c r="CP737" s="53">
        <f t="shared" si="8809"/>
        <v>2.5652509428571433</v>
      </c>
      <c r="CQ737" s="53">
        <f t="shared" si="8809"/>
        <v>2.2676251428571432</v>
      </c>
      <c r="CR737" s="53">
        <f t="shared" si="8809"/>
        <v>2.2676251428571432</v>
      </c>
      <c r="CS737" s="53">
        <f t="shared" si="8809"/>
        <v>2.2676251428571432</v>
      </c>
      <c r="CT737" s="53">
        <f t="shared" si="8809"/>
        <v>2.1655820114285715</v>
      </c>
      <c r="CU737" s="53">
        <f t="shared" si="8809"/>
        <v>0.85035942857142854</v>
      </c>
      <c r="CV737" s="53">
        <f t="shared" si="8809"/>
        <v>2.0125173142857142</v>
      </c>
      <c r="CW737" s="53">
        <f t="shared" si="8809"/>
        <v>2.0775741714285716</v>
      </c>
      <c r="CX737" s="53">
        <f t="shared" si="8809"/>
        <v>2.3227857142857142</v>
      </c>
      <c r="CY737" s="53">
        <f t="shared" si="8809"/>
        <v>2.1402142857142854</v>
      </c>
      <c r="CZ737" s="216">
        <f t="shared" ref="CZ737" si="8810">CZ135*(1+1/(1-CZ128)*CZ128*CZ138)</f>
        <v>2.1579999999999999</v>
      </c>
      <c r="DA737" s="53">
        <f t="shared" ref="DA737:DF737" si="8811">DA135*(1+1/(1-DA128)*DA128*DA138)</f>
        <v>2.2880000000000003</v>
      </c>
      <c r="DB737" s="53">
        <f t="shared" si="8811"/>
        <v>2.379</v>
      </c>
      <c r="DC737" s="53">
        <f t="shared" si="8811"/>
        <v>2.4700000000000002</v>
      </c>
      <c r="DD737" s="53">
        <f t="shared" si="8811"/>
        <v>2.5739999999999998</v>
      </c>
      <c r="DE737" s="53">
        <f t="shared" si="8811"/>
        <v>2.6780000000000004</v>
      </c>
      <c r="DF737" s="53">
        <f t="shared" si="8811"/>
        <v>2.7820000000000005</v>
      </c>
      <c r="DG737" s="53">
        <f t="shared" ref="DG737" si="8812">DG135*(1+1/(1-DG128)*DG128*DG138)</f>
        <v>2.8860000000000006</v>
      </c>
      <c r="DH737" s="53">
        <f>DH135*(1+1/(1-DH128)*DH128*DH138)</f>
        <v>2.9900000000000007</v>
      </c>
      <c r="DI737" s="53">
        <f>DI135*(1+1/(1-DI128)*DI128*DI138)</f>
        <v>3.0940000000000007</v>
      </c>
    </row>
    <row r="738" spans="1:113" ht="12" outlineLevel="1">
      <c r="A738" s="1" t="s">
        <v>956</v>
      </c>
      <c r="B738" s="15" t="s">
        <v>394</v>
      </c>
      <c r="C738" s="53" t="e">
        <f>C635/C544</f>
        <v>#VALUE!</v>
      </c>
      <c r="D738" s="53">
        <f>D635/D544</f>
        <v>0.31912698029754721</v>
      </c>
      <c r="E738" s="53">
        <f>E635/E544</f>
        <v>0.37397314418914418</v>
      </c>
      <c r="F738" s="53">
        <f t="shared" ref="F738:L738" si="8813">F635/F544</f>
        <v>0.3366636527707168</v>
      </c>
      <c r="G738" s="53">
        <f t="shared" si="8813"/>
        <v>0.40634076733455538</v>
      </c>
      <c r="H738" s="53">
        <f t="shared" si="8813"/>
        <v>-1.6325972692152453</v>
      </c>
      <c r="I738" s="53">
        <f t="shared" si="8813"/>
        <v>0.45176858481724458</v>
      </c>
      <c r="J738" s="53">
        <f t="shared" si="8813"/>
        <v>0.48768807593131069</v>
      </c>
      <c r="K738" s="53">
        <f t="shared" si="8813"/>
        <v>0.52466870718474268</v>
      </c>
      <c r="L738" s="53">
        <f t="shared" si="8813"/>
        <v>0.53825711660468167</v>
      </c>
      <c r="M738" s="53">
        <f t="shared" ref="M738:AF738" si="8814">M635/M544</f>
        <v>0.56746322890514134</v>
      </c>
      <c r="N738" s="53">
        <f t="shared" si="8814"/>
        <v>0.52901197437011294</v>
      </c>
      <c r="O738" s="53">
        <f t="shared" si="8814"/>
        <v>0.4384792324691425</v>
      </c>
      <c r="P738" s="53">
        <f t="shared" si="8814"/>
        <v>-0.146580169911878</v>
      </c>
      <c r="Q738" s="53">
        <f t="shared" si="8814"/>
        <v>-0.36973728507715181</v>
      </c>
      <c r="R738" s="53">
        <f t="shared" si="8814"/>
        <v>-0.27910830961108202</v>
      </c>
      <c r="S738" s="53">
        <f t="shared" si="8814"/>
        <v>-1.536551337432744</v>
      </c>
      <c r="T738" s="53">
        <f t="shared" si="8814"/>
        <v>0.45277999044205497</v>
      </c>
      <c r="U738" s="53">
        <f t="shared" si="8814"/>
        <v>0.50007332491914491</v>
      </c>
      <c r="V738" s="53">
        <f t="shared" si="8814"/>
        <v>0.35521371176997707</v>
      </c>
      <c r="W738" s="53">
        <f t="shared" si="8814"/>
        <v>0.46535048253039862</v>
      </c>
      <c r="X738" s="53">
        <f t="shared" si="8814"/>
        <v>0.32755609772701483</v>
      </c>
      <c r="Y738" s="53">
        <f>Y635/Y544</f>
        <v>0.4590182409961972</v>
      </c>
      <c r="Z738" s="53">
        <f t="shared" si="8814"/>
        <v>-0.22094236545682105</v>
      </c>
      <c r="AA738" s="53">
        <f t="shared" si="8814"/>
        <v>0.69655167369385884</v>
      </c>
      <c r="AB738" s="53">
        <f t="shared" si="8814"/>
        <v>0.93353546994134895</v>
      </c>
      <c r="AC738" s="53">
        <f t="shared" ref="AC738:AD738" si="8815">AC635/AC544</f>
        <v>0.62968296926955825</v>
      </c>
      <c r="AD738" s="53">
        <f t="shared" si="8815"/>
        <v>0.88638374618181814</v>
      </c>
      <c r="AE738" s="53">
        <f t="shared" ref="AE738" si="8816">AE635/AE544</f>
        <v>0.46927547033336919</v>
      </c>
      <c r="AF738" s="53">
        <f t="shared" si="8814"/>
        <v>0.83876299648445574</v>
      </c>
      <c r="AG738" s="53">
        <f t="shared" ref="AG738:AH738" si="8817">AG635/AG544</f>
        <v>0.73258170765215003</v>
      </c>
      <c r="AH738" s="53">
        <f t="shared" si="8817"/>
        <v>0.68849146424051721</v>
      </c>
      <c r="AI738" s="53">
        <f t="shared" ref="AI738:AJ738" si="8818">AI635/AI544</f>
        <v>0.76441967158268465</v>
      </c>
      <c r="AJ738" s="53">
        <f t="shared" si="8818"/>
        <v>1.1747226348902415</v>
      </c>
      <c r="AK738" s="53">
        <f t="shared" ref="AK738:AL738" si="8819">AK635/AK544</f>
        <v>1.0639573332870724</v>
      </c>
      <c r="AL738" s="53">
        <f t="shared" si="8819"/>
        <v>1.1845025538170744</v>
      </c>
      <c r="AM738" s="53">
        <f t="shared" ref="AM738:AN738" si="8820">AM635/AM544</f>
        <v>0.76791727282366651</v>
      </c>
      <c r="AN738" s="53">
        <f t="shared" si="8820"/>
        <v>0.79840737228856073</v>
      </c>
      <c r="AO738" s="53">
        <f t="shared" ref="AO738" si="8821">AO635/AO544</f>
        <v>0.21164875105962136</v>
      </c>
      <c r="AP738" s="53">
        <f t="shared" ref="AP738:AQ738" si="8822">AP635/AP544</f>
        <v>0.31069308274914575</v>
      </c>
      <c r="AQ738" s="53">
        <f t="shared" si="8822"/>
        <v>0.90386640219842163</v>
      </c>
      <c r="AR738" s="53">
        <f t="shared" ref="AR738:AS738" si="8823">AR635/AR544</f>
        <v>1.0110319044089096</v>
      </c>
      <c r="AS738" s="53">
        <f t="shared" si="8823"/>
        <v>0.61624454148471619</v>
      </c>
      <c r="AT738" s="53">
        <f t="shared" ref="AT738:AU738" si="8824">AT635/AT544</f>
        <v>0.64326508800641258</v>
      </c>
      <c r="AU738" s="53">
        <f t="shared" si="8824"/>
        <v>0.79161389240717295</v>
      </c>
      <c r="AV738" s="53">
        <f t="shared" ref="AV738:AW738" si="8825">AV635/AV544</f>
        <v>0.94392429947022949</v>
      </c>
      <c r="AW738" s="53">
        <f t="shared" si="8825"/>
        <v>1.0141879485895511</v>
      </c>
      <c r="AX738" s="53">
        <f t="shared" ref="AX738" si="8826">AX635/AX544</f>
        <v>0.843568087755308</v>
      </c>
      <c r="AY738" s="216">
        <f t="shared" ref="AY738" si="8827">AY635/AY544</f>
        <v>0.79608515790535761</v>
      </c>
      <c r="AZ738" s="53">
        <f t="shared" ref="AZ738:BA738" si="8828">AZ635/AZ544</f>
        <v>0.57968419337531019</v>
      </c>
      <c r="BA738" s="53">
        <f t="shared" si="8828"/>
        <v>0.60065520301135189</v>
      </c>
      <c r="BB738" s="53">
        <f t="shared" ref="BB738:BC738" si="8829">BB635/BB544</f>
        <v>0.90125403117747949</v>
      </c>
      <c r="BC738" s="53">
        <f t="shared" si="8829"/>
        <v>1.2473780108579271</v>
      </c>
      <c r="BD738" s="53">
        <f t="shared" ref="BD738:BE738" si="8830">BD635/BD544</f>
        <v>1.2601033643763053</v>
      </c>
      <c r="BE738" s="53">
        <f t="shared" si="8830"/>
        <v>1.2828072804607205</v>
      </c>
      <c r="BF738" s="53">
        <f t="shared" ref="BF738:BG738" si="8831">BF635/BF544</f>
        <v>1.305433690491608</v>
      </c>
      <c r="BG738" s="53">
        <f t="shared" si="8831"/>
        <v>1.3279834319963064</v>
      </c>
      <c r="BH738" s="53">
        <f t="shared" ref="BH738:BI738" si="8832">BH635/BH544</f>
        <v>1.0013933679749769</v>
      </c>
      <c r="BI738" s="53">
        <f t="shared" si="8832"/>
        <v>1.0214212353344765</v>
      </c>
      <c r="BJ738" s="53">
        <f t="shared" ref="BJ738:BK738" si="8833">BJ635/BJ544</f>
        <v>1.0414491026939761</v>
      </c>
      <c r="BK738" s="53">
        <f t="shared" si="8833"/>
        <v>1.0614769700534756</v>
      </c>
      <c r="BL738" s="53">
        <f t="shared" ref="BL738:BM738" si="8834">BL635/BL544</f>
        <v>1.0815048374129752</v>
      </c>
      <c r="BM738" s="53">
        <f t="shared" si="8834"/>
        <v>1.1015327047724748</v>
      </c>
      <c r="BN738" s="53">
        <f t="shared" ref="BN738:BO738" si="8835">BN635/BN544</f>
        <v>1.1215605721319744</v>
      </c>
      <c r="BO738" s="53">
        <f t="shared" si="8835"/>
        <v>1.1415884394914739</v>
      </c>
      <c r="BP738" s="53">
        <f t="shared" ref="BP738:BQ738" si="8836">BP635/BP544</f>
        <v>1.1616163068509735</v>
      </c>
      <c r="BQ738" s="53">
        <f t="shared" si="8836"/>
        <v>1.1816441742104731</v>
      </c>
      <c r="BR738" s="53"/>
      <c r="BS738" s="53">
        <f t="shared" ref="BS738:CB738" si="8837">BS635/BS544</f>
        <v>5.5662859373632231E-2</v>
      </c>
      <c r="BT738" s="53">
        <f t="shared" si="8837"/>
        <v>5.7404057621134534E-2</v>
      </c>
      <c r="BU738" s="53">
        <f t="shared" si="8837"/>
        <v>0.19219954983850557</v>
      </c>
      <c r="BV738" s="53">
        <f t="shared" si="8837"/>
        <v>0.23146908419736748</v>
      </c>
      <c r="BW738" s="53">
        <f t="shared" si="8837"/>
        <v>0.28062451387553855</v>
      </c>
      <c r="BX738" s="53">
        <f t="shared" si="8837"/>
        <v>0.30293378240002677</v>
      </c>
      <c r="BY738" s="53">
        <f t="shared" si="8837"/>
        <v>0.31322120430376255</v>
      </c>
      <c r="BZ738" s="53">
        <f t="shared" si="8837"/>
        <v>0.38304833207273897</v>
      </c>
      <c r="CA738" s="53">
        <f t="shared" si="8837"/>
        <v>1.0403120199043043</v>
      </c>
      <c r="CB738" s="53">
        <f t="shared" si="8837"/>
        <v>0.86589799323731664</v>
      </c>
      <c r="CC738" s="53">
        <f t="shared" ref="CC738:CO738" si="8838">CC635/CC544</f>
        <v>0.69327640588667672</v>
      </c>
      <c r="CD738" s="53">
        <f t="shared" si="8838"/>
        <v>0.7431975825778635</v>
      </c>
      <c r="CE738" s="53">
        <f t="shared" si="8838"/>
        <v>-1.1340682081055182</v>
      </c>
      <c r="CF738" s="53">
        <f t="shared" si="8838"/>
        <v>1.0123785818061906</v>
      </c>
      <c r="CG738" s="53">
        <f t="shared" si="8838"/>
        <v>1.1057506638256025</v>
      </c>
      <c r="CH738" s="53">
        <f t="shared" si="8838"/>
        <v>0.96712954936434947</v>
      </c>
      <c r="CI738" s="53">
        <f t="shared" si="8838"/>
        <v>-0.52003050439852172</v>
      </c>
      <c r="CJ738" s="53">
        <f t="shared" si="8838"/>
        <v>-1.8836058462369463</v>
      </c>
      <c r="CK738" s="53">
        <f t="shared" si="8838"/>
        <v>0.95836148089108497</v>
      </c>
      <c r="CL738" s="53">
        <f t="shared" si="8838"/>
        <v>0.82664167270743205</v>
      </c>
      <c r="CM738" s="53">
        <f t="shared" si="8838"/>
        <v>0.78752949720250842</v>
      </c>
      <c r="CN738" s="53">
        <f t="shared" si="8838"/>
        <v>0.47743751515374161</v>
      </c>
      <c r="CO738" s="53">
        <f t="shared" si="8838"/>
        <v>1.5628204904472587</v>
      </c>
      <c r="CP738" s="53">
        <f t="shared" ref="CP738:CX738" si="8839">CP635/CP544</f>
        <v>1.352421486613264</v>
      </c>
      <c r="CQ738" s="53">
        <f t="shared" si="8839"/>
        <v>1.5713205760099098</v>
      </c>
      <c r="CR738" s="53">
        <f t="shared" si="8839"/>
        <v>1.4530073113723345</v>
      </c>
      <c r="CS738" s="53">
        <f t="shared" si="8839"/>
        <v>2.2395658884717387</v>
      </c>
      <c r="CT738" s="53">
        <f t="shared" si="8839"/>
        <v>1.9544418719003904</v>
      </c>
      <c r="CU738" s="53">
        <f t="shared" si="8839"/>
        <v>1.009993942562436</v>
      </c>
      <c r="CV738" s="53">
        <f t="shared" si="8839"/>
        <v>1.2145067462833792</v>
      </c>
      <c r="CW738" s="53">
        <f t="shared" si="8839"/>
        <v>1.6333625987708515</v>
      </c>
      <c r="CX738" s="53">
        <f t="shared" si="8839"/>
        <v>1.4350060056052316</v>
      </c>
      <c r="CY738" s="53">
        <f t="shared" ref="CY738:DD738" si="8840">CY635/CY544</f>
        <v>1.9580442902881536</v>
      </c>
      <c r="CZ738" s="216">
        <f t="shared" si="8840"/>
        <v>1.6396420641862344</v>
      </c>
      <c r="DA738" s="53">
        <f t="shared" si="8840"/>
        <v>1.1804274434486723</v>
      </c>
      <c r="DB738" s="53">
        <f t="shared" si="8840"/>
        <v>2.1478802321296326</v>
      </c>
      <c r="DC738" s="53">
        <f t="shared" si="8840"/>
        <v>2.5428185013383993</v>
      </c>
      <c r="DD738" s="53">
        <f t="shared" si="8840"/>
        <v>2.63330475526302</v>
      </c>
      <c r="DE738" s="53">
        <f t="shared" ref="DE738" si="8841">DE635/DE544</f>
        <v>2.0228146033094534</v>
      </c>
      <c r="DF738" s="53">
        <f t="shared" ref="DF738" si="8842">DF635/DF544</f>
        <v>2.1029260727474517</v>
      </c>
      <c r="DG738" s="53">
        <f>DG635/DG544</f>
        <v>2.18303754218545</v>
      </c>
      <c r="DH738" s="53">
        <f>DH635/DH544</f>
        <v>2.2631490116234483</v>
      </c>
      <c r="DI738" s="53">
        <f>DI635/DI544</f>
        <v>2.3432604810614466</v>
      </c>
    </row>
    <row r="739" spans="1:113" ht="12" outlineLevel="1">
      <c r="A739" s="1" t="s">
        <v>962</v>
      </c>
      <c r="B739" s="15" t="s">
        <v>492</v>
      </c>
      <c r="C739" s="53" t="e">
        <f>C637/C544</f>
        <v>#VALUE!</v>
      </c>
      <c r="D739" s="53">
        <f>D637/D544</f>
        <v>0.43301542139123433</v>
      </c>
      <c r="E739" s="53">
        <f>E637/E544</f>
        <v>0.50896027026307022</v>
      </c>
      <c r="F739" s="53">
        <f t="shared" ref="F739:L739" si="8843">F637/F544</f>
        <v>0.46017003774783932</v>
      </c>
      <c r="G739" s="53">
        <f t="shared" si="8843"/>
        <v>0.55025312243221036</v>
      </c>
      <c r="H739" s="53">
        <f t="shared" si="8843"/>
        <v>-1.4893016784869977</v>
      </c>
      <c r="I739" s="53">
        <f t="shared" si="8843"/>
        <v>0.6107626860356139</v>
      </c>
      <c r="J739" s="53">
        <f t="shared" si="8843"/>
        <v>0.63644382498491248</v>
      </c>
      <c r="K739" s="53">
        <f t="shared" si="8843"/>
        <v>0.69756471639173556</v>
      </c>
      <c r="L739" s="53">
        <f t="shared" si="8843"/>
        <v>0.70217594213520007</v>
      </c>
      <c r="M739" s="53">
        <f t="shared" ref="M739:AF739" si="8844">M637/M544</f>
        <v>0.74164721184524462</v>
      </c>
      <c r="N739" s="53">
        <f t="shared" si="8844"/>
        <v>0.68485271456497454</v>
      </c>
      <c r="O739" s="53">
        <f t="shared" si="8844"/>
        <v>0.62438220461842908</v>
      </c>
      <c r="P739" s="53">
        <f t="shared" si="8844"/>
        <v>8.8995103160783087E-3</v>
      </c>
      <c r="Q739" s="53">
        <f t="shared" si="8844"/>
        <v>-0.17605568661799065</v>
      </c>
      <c r="R739" s="53">
        <f t="shared" si="8844"/>
        <v>-0.16276932747587539</v>
      </c>
      <c r="S739" s="53">
        <f t="shared" si="8844"/>
        <v>-1.3855651514219829</v>
      </c>
      <c r="T739" s="53">
        <f t="shared" si="8844"/>
        <v>0.5837373743642259</v>
      </c>
      <c r="U739" s="53">
        <f t="shared" si="8844"/>
        <v>0.68822968660904449</v>
      </c>
      <c r="V739" s="53">
        <f t="shared" si="8844"/>
        <v>0.5169234702480674</v>
      </c>
      <c r="W739" s="53">
        <f t="shared" si="8844"/>
        <v>0.65853664792541611</v>
      </c>
      <c r="X739" s="53">
        <f t="shared" si="8844"/>
        <v>0.493987399223068</v>
      </c>
      <c r="Y739" s="53">
        <f>Y637/Y544</f>
        <v>0.66027398823993111</v>
      </c>
      <c r="Z739" s="53">
        <f t="shared" si="8844"/>
        <v>-0.22413520436259612</v>
      </c>
      <c r="AA739" s="53">
        <f t="shared" si="8844"/>
        <v>0.88052861184234643</v>
      </c>
      <c r="AB739" s="53">
        <f t="shared" si="8844"/>
        <v>1.1631138127356513</v>
      </c>
      <c r="AC739" s="53">
        <f t="shared" ref="AC739:AD739" si="8845">AC637/AC544</f>
        <v>0.83839653969065975</v>
      </c>
      <c r="AD739" s="53">
        <f t="shared" si="8845"/>
        <v>1.1255357396571428</v>
      </c>
      <c r="AE739" s="53">
        <f t="shared" ref="AE739" si="8846">AE637/AE544</f>
        <v>0.68193383854846057</v>
      </c>
      <c r="AF739" s="53">
        <f t="shared" si="8844"/>
        <v>1.0771297584811272</v>
      </c>
      <c r="AG739" s="53">
        <f t="shared" ref="AG739:AH739" si="8847">AG637/AG544</f>
        <v>0.933226345455616</v>
      </c>
      <c r="AH739" s="53">
        <f t="shared" si="8847"/>
        <v>0.88917826716635973</v>
      </c>
      <c r="AI739" s="53">
        <f t="shared" ref="AI739:AJ739" si="8848">AI637/AI544</f>
        <v>0.96551347745849669</v>
      </c>
      <c r="AJ739" s="53">
        <f t="shared" si="8848"/>
        <v>1.3760455058274148</v>
      </c>
      <c r="AK739" s="53">
        <f t="shared" ref="AK739:AL739" si="8849">AK637/AK544</f>
        <v>1.2654980055711411</v>
      </c>
      <c r="AL739" s="53">
        <f t="shared" si="8849"/>
        <v>1.3857742278693688</v>
      </c>
      <c r="AM739" s="53">
        <f t="shared" ref="AM739:AN739" si="8850">AM637/AM544</f>
        <v>0.90847769199448625</v>
      </c>
      <c r="AN739" s="53">
        <f t="shared" si="8850"/>
        <v>0.99920587509967596</v>
      </c>
      <c r="AO739" s="53">
        <f t="shared" ref="AO739" si="8851">AO637/AO544</f>
        <v>0.27418224676058611</v>
      </c>
      <c r="AP739" s="53">
        <f t="shared" ref="AP739:AQ739" si="8852">AP637/AP544</f>
        <v>0.39813448804030022</v>
      </c>
      <c r="AQ739" s="53">
        <f t="shared" si="8852"/>
        <v>1.0795765927484298</v>
      </c>
      <c r="AR739" s="53">
        <f t="shared" ref="AR739:AS739" si="8853">AR637/AR544</f>
        <v>1.1905952529815484</v>
      </c>
      <c r="AS739" s="53">
        <f t="shared" si="8853"/>
        <v>0.79348222083593267</v>
      </c>
      <c r="AT739" s="53">
        <f t="shared" ref="AT739:AU739" si="8854">AT637/AT544</f>
        <v>0.83091985667049972</v>
      </c>
      <c r="AU739" s="53">
        <f t="shared" si="8854"/>
        <v>0.90687610187689616</v>
      </c>
      <c r="AV739" s="53">
        <f t="shared" ref="AV739:AW739" si="8855">AV637/AV544</f>
        <v>1.0989656862978423</v>
      </c>
      <c r="AW739" s="53">
        <f t="shared" si="8855"/>
        <v>1.1624904022700717</v>
      </c>
      <c r="AX739" s="53">
        <f t="shared" ref="AX739" si="8856">AX637/AX544</f>
        <v>0.99171573740704599</v>
      </c>
      <c r="AY739" s="216">
        <f t="shared" ref="AY739" si="8857">AY637/AY544</f>
        <v>0.92485117546160833</v>
      </c>
      <c r="AZ739" s="53">
        <f t="shared" ref="AZ739:BA739" si="8858">AZ637/AZ544</f>
        <v>0.72874584310039003</v>
      </c>
      <c r="BA739" s="53">
        <f t="shared" si="8858"/>
        <v>0.75510939807141386</v>
      </c>
      <c r="BB739" s="53">
        <f t="shared" ref="BB739:BC739" si="8859">BB637/BB544</f>
        <v>1.0634797567894259</v>
      </c>
      <c r="BC739" s="53">
        <f t="shared" si="8859"/>
        <v>1.4121083978304947</v>
      </c>
      <c r="BD739" s="53">
        <f t="shared" ref="BD739:BE739" si="8860">BD637/BD544</f>
        <v>1.4266191533211532</v>
      </c>
      <c r="BE739" s="53">
        <f t="shared" si="8860"/>
        <v>1.4529183035430919</v>
      </c>
      <c r="BF739" s="53">
        <f t="shared" ref="BF739:BG739" si="8861">BF637/BF544</f>
        <v>1.479139594972154</v>
      </c>
      <c r="BG739" s="53">
        <f t="shared" si="8861"/>
        <v>1.5052839027929601</v>
      </c>
      <c r="BH739" s="53">
        <f t="shared" ref="BH739:BI739" si="8862">BH637/BH544</f>
        <v>1.1816441742104729</v>
      </c>
      <c r="BI739" s="53">
        <f t="shared" si="8862"/>
        <v>1.2052770576946823</v>
      </c>
      <c r="BJ739" s="53">
        <f t="shared" ref="BJ739:BK739" si="8863">BJ637/BJ544</f>
        <v>1.2289099411788917</v>
      </c>
      <c r="BK739" s="53">
        <f t="shared" si="8863"/>
        <v>1.2525428246631012</v>
      </c>
      <c r="BL739" s="53">
        <f t="shared" ref="BL739:BM739" si="8864">BL637/BL544</f>
        <v>1.2761757081473108</v>
      </c>
      <c r="BM739" s="53">
        <f t="shared" si="8864"/>
        <v>1.2998085916315203</v>
      </c>
      <c r="BN739" s="53">
        <f t="shared" ref="BN739:BO739" si="8865">BN637/BN544</f>
        <v>1.3234414751157297</v>
      </c>
      <c r="BO739" s="53">
        <f t="shared" si="8865"/>
        <v>1.3470743585999392</v>
      </c>
      <c r="BP739" s="53">
        <f t="shared" ref="BP739:BQ739" si="8866">BP637/BP544</f>
        <v>1.3707072420841488</v>
      </c>
      <c r="BQ739" s="53">
        <f t="shared" si="8866"/>
        <v>1.3943401255683581</v>
      </c>
      <c r="BR739" s="53"/>
      <c r="BS739" s="53">
        <f t="shared" ref="BS739:CB739" si="8867">BS637/BS544</f>
        <v>8.6116539803696379E-2</v>
      </c>
      <c r="BT739" s="53">
        <f t="shared" si="8867"/>
        <v>5.7404057621134534E-2</v>
      </c>
      <c r="BU739" s="53">
        <f t="shared" si="8867"/>
        <v>0.19219954983850557</v>
      </c>
      <c r="BV739" s="53">
        <f t="shared" si="8867"/>
        <v>0.24948896160120412</v>
      </c>
      <c r="BW739" s="53">
        <f t="shared" si="8867"/>
        <v>0.3989038398683164</v>
      </c>
      <c r="BX739" s="53">
        <f t="shared" si="8867"/>
        <v>0.47745951479983167</v>
      </c>
      <c r="BY739" s="53">
        <f t="shared" si="8867"/>
        <v>0.42910455186433777</v>
      </c>
      <c r="BZ739" s="53">
        <f t="shared" si="8867"/>
        <v>0.54331195051496606</v>
      </c>
      <c r="CA739" s="53">
        <f t="shared" si="8867"/>
        <v>1.2693406053023544</v>
      </c>
      <c r="CB739" s="53">
        <f t="shared" si="8867"/>
        <v>1.1102660435027096</v>
      </c>
      <c r="CC739" s="53">
        <f t="shared" ref="CC739:CO739" si="8868">CC637/CC544</f>
        <v>0.94221963538097475</v>
      </c>
      <c r="CD739" s="53">
        <f t="shared" si="8868"/>
        <v>1.0106732607746682</v>
      </c>
      <c r="CE739" s="53">
        <f t="shared" si="8868"/>
        <v>-0.83142633718505166</v>
      </c>
      <c r="CF739" s="53">
        <f t="shared" si="8868"/>
        <v>1.3340440602704575</v>
      </c>
      <c r="CG739" s="53">
        <f t="shared" si="8868"/>
        <v>1.4438641283630318</v>
      </c>
      <c r="CH739" s="53">
        <f t="shared" si="8868"/>
        <v>1.3089754197302832</v>
      </c>
      <c r="CI739" s="53">
        <f t="shared" si="8868"/>
        <v>-0.16998925921904862</v>
      </c>
      <c r="CJ739" s="53">
        <f t="shared" si="8868"/>
        <v>-1.6144427429908945</v>
      </c>
      <c r="CK739" s="53">
        <f t="shared" si="8868"/>
        <v>1.2795210195899822</v>
      </c>
      <c r="CL739" s="53">
        <f t="shared" si="8868"/>
        <v>1.1840650499685434</v>
      </c>
      <c r="CM739" s="53">
        <f t="shared" si="8868"/>
        <v>1.1554725596270727</v>
      </c>
      <c r="CN739" s="53">
        <f t="shared" si="8868"/>
        <v>0.6585930320813238</v>
      </c>
      <c r="CO739" s="53">
        <f t="shared" si="8868"/>
        <v>2.001103246949083</v>
      </c>
      <c r="CP739" s="53">
        <f t="shared" ref="CP739:CX739" si="8869">CP637/CP544</f>
        <v>1.8040195983876119</v>
      </c>
      <c r="CQ739" s="53">
        <f t="shared" si="8869"/>
        <v>2.0103110965128743</v>
      </c>
      <c r="CR739" s="53">
        <f t="shared" si="8869"/>
        <v>1.854795167402171</v>
      </c>
      <c r="CS739" s="53">
        <f t="shared" si="8869"/>
        <v>2.6424417173561117</v>
      </c>
      <c r="CT739" s="53">
        <f t="shared" si="8869"/>
        <v>2.2965686488551231</v>
      </c>
      <c r="CU739" s="53">
        <f t="shared" si="8869"/>
        <v>1.2733112886664009</v>
      </c>
      <c r="CV739" s="53">
        <f t="shared" si="8869"/>
        <v>1.4776490425058633</v>
      </c>
      <c r="CW739" s="53">
        <f t="shared" si="8869"/>
        <v>1.9916016555876082</v>
      </c>
      <c r="CX739" s="53">
        <f t="shared" si="8869"/>
        <v>1.7378442625477803</v>
      </c>
      <c r="CY739" s="53">
        <f t="shared" ref="CY739:DD739" si="8870">CY637/CY544</f>
        <v>2.2613946485744778</v>
      </c>
      <c r="CZ739" s="216">
        <f t="shared" si="8870"/>
        <v>1.9165511673282649</v>
      </c>
      <c r="DA739" s="53">
        <f t="shared" si="8870"/>
        <v>1.4839659289069023</v>
      </c>
      <c r="DB739" s="53">
        <f t="shared" si="8870"/>
        <v>2.4748290822118277</v>
      </c>
      <c r="DC739" s="53">
        <f t="shared" si="8870"/>
        <v>2.8794307221624722</v>
      </c>
      <c r="DD739" s="53">
        <f t="shared" si="8870"/>
        <v>2.9842939298740943</v>
      </c>
      <c r="DE739" s="53">
        <f t="shared" ref="DE739" si="8871">DE637/DE544</f>
        <v>2.3869212319051551</v>
      </c>
      <c r="DF739" s="53">
        <f t="shared" ref="DF739" si="8872">DF637/DF544</f>
        <v>2.4814527658419934</v>
      </c>
      <c r="DG739" s="53">
        <f>DG637/DG544</f>
        <v>2.5759842997788307</v>
      </c>
      <c r="DH739" s="53">
        <f>DH637/DH544</f>
        <v>2.6705158337156689</v>
      </c>
      <c r="DI739" s="53">
        <f>DI637/DI544</f>
        <v>2.7650473676525067</v>
      </c>
    </row>
    <row r="740" spans="1:113" ht="12" outlineLevel="1">
      <c r="A740" s="1" t="s">
        <v>963</v>
      </c>
      <c r="B740" s="15" t="s">
        <v>493</v>
      </c>
      <c r="C740" s="53">
        <f t="shared" ref="C740:AF740" si="8873">(C515-(C613*C151*C148))/C544</f>
        <v>0.42507423713881975</v>
      </c>
      <c r="D740" s="53">
        <f t="shared" si="8873"/>
        <v>0.48877222363222084</v>
      </c>
      <c r="E740" s="53">
        <f t="shared" si="8873"/>
        <v>0.50362157237429217</v>
      </c>
      <c r="F740" s="53">
        <f t="shared" si="8873"/>
        <v>0.49793058609811908</v>
      </c>
      <c r="G740" s="53">
        <f t="shared" si="8873"/>
        <v>0.5359383893508628</v>
      </c>
      <c r="H740" s="53">
        <f t="shared" si="8873"/>
        <v>0.50092591881220083</v>
      </c>
      <c r="I740" s="53">
        <f t="shared" si="8873"/>
        <v>0.54238045525773237</v>
      </c>
      <c r="J740" s="53">
        <f t="shared" si="8873"/>
        <v>0.62210274750205763</v>
      </c>
      <c r="K740" s="53">
        <f t="shared" si="8873"/>
        <v>0.61538691699676618</v>
      </c>
      <c r="L740" s="53">
        <f t="shared" si="8873"/>
        <v>0.68242212299496796</v>
      </c>
      <c r="M740" s="53">
        <f t="shared" si="8873"/>
        <v>0.73670697103591309</v>
      </c>
      <c r="N740" s="53">
        <f t="shared" si="8873"/>
        <v>0.76390514258253672</v>
      </c>
      <c r="O740" s="53">
        <f t="shared" si="8873"/>
        <v>0.75822898340106715</v>
      </c>
      <c r="P740" s="53">
        <f t="shared" si="8873"/>
        <v>0.71406948573056872</v>
      </c>
      <c r="Q740" s="53">
        <f t="shared" si="8873"/>
        <v>0.39726770972061332</v>
      </c>
      <c r="R740" s="53">
        <f t="shared" si="8873"/>
        <v>9.4314428707002393E-2</v>
      </c>
      <c r="S740" s="53">
        <f t="shared" si="8873"/>
        <v>0.74756827763754363</v>
      </c>
      <c r="T740" s="53">
        <f t="shared" si="8873"/>
        <v>0.68063239391493424</v>
      </c>
      <c r="U740" s="53">
        <f t="shared" si="8873"/>
        <v>0.80801002646083464</v>
      </c>
      <c r="V740" s="53">
        <f t="shared" si="8873"/>
        <v>0.66470586064889547</v>
      </c>
      <c r="W740" s="53">
        <f t="shared" si="8873"/>
        <v>0.64747897721638914</v>
      </c>
      <c r="X740" s="53">
        <f t="shared" si="8873"/>
        <v>0.6833013505460156</v>
      </c>
      <c r="Y740" s="53">
        <f t="shared" si="8873"/>
        <v>0.76247666187550212</v>
      </c>
      <c r="Z740" s="53">
        <f t="shared" si="8873"/>
        <v>0.77109959214768475</v>
      </c>
      <c r="AA740" s="53">
        <f t="shared" si="8873"/>
        <v>0.79673344549697511</v>
      </c>
      <c r="AB740" s="53">
        <f t="shared" si="8873"/>
        <v>0.81803818521260985</v>
      </c>
      <c r="AC740" s="53">
        <f t="shared" si="8873"/>
        <v>0.83286922929864438</v>
      </c>
      <c r="AD740" s="53">
        <f t="shared" ref="AD740:AE740" si="8874">(AD515-(AD613*AD151*AD148))/AD544</f>
        <v>0.82335677513280003</v>
      </c>
      <c r="AE740" s="53">
        <f t="shared" si="8874"/>
        <v>0.74353227554151891</v>
      </c>
      <c r="AF740" s="53">
        <f t="shared" si="8873"/>
        <v>0.42012007470876117</v>
      </c>
      <c r="AG740" s="53">
        <f t="shared" ref="AG740:AH740" si="8875">(AG515-(AG613*AG151*AG148))/AG544</f>
        <v>0.50179189235884047</v>
      </c>
      <c r="AH740" s="53">
        <f t="shared" si="8875"/>
        <v>0.59953388796388141</v>
      </c>
      <c r="AI740" s="53">
        <f t="shared" ref="AI740:AJ740" si="8876">(AI515-(AI613*AI151*AI148))/AI544</f>
        <v>0.6134748637117301</v>
      </c>
      <c r="AJ740" s="53">
        <f t="shared" si="8876"/>
        <v>0.62102446507132603</v>
      </c>
      <c r="AK740" s="53">
        <f t="shared" ref="AK740:AL740" si="8877">(AK515-(AK613*AK151*AK148))/AK544</f>
        <v>0.46556514878079247</v>
      </c>
      <c r="AL740" s="53">
        <f t="shared" si="8877"/>
        <v>0.65964665941783052</v>
      </c>
      <c r="AM740" s="53">
        <f t="shared" ref="AM740:AN740" si="8878">(AM515-(AM613*AM151*AM148))/AM544</f>
        <v>0.40491464294588758</v>
      </c>
      <c r="AN740" s="53">
        <f t="shared" si="8878"/>
        <v>-0.16572750015346563</v>
      </c>
      <c r="AO740" s="53">
        <f t="shared" ref="AO740" si="8879">(AO515-(AO613*AO151*AO148))/AO544</f>
        <v>0.18977856700310819</v>
      </c>
      <c r="AP740" s="53">
        <f t="shared" ref="AP740:AQ740" si="8880">(AP515-(AP613*AP151*AP148))/AP544</f>
        <v>0.44584031001542967</v>
      </c>
      <c r="AQ740" s="53">
        <f t="shared" si="8880"/>
        <v>0.51045690788359632</v>
      </c>
      <c r="AR740" s="53">
        <f t="shared" ref="AR740:AS740" si="8881">(AR515-(AR613*AR151*AR148))/AR544</f>
        <v>0.44607904299763501</v>
      </c>
      <c r="AS740" s="53">
        <f t="shared" si="8881"/>
        <v>0.52128712663755461</v>
      </c>
      <c r="AT740" s="53">
        <f t="shared" ref="AT740:AU740" si="8882">(AT515-(AT613*AT151*AT148))/AT544</f>
        <v>0.63883584382619152</v>
      </c>
      <c r="AU740" s="53">
        <f t="shared" si="8882"/>
        <v>0.55908312779148051</v>
      </c>
      <c r="AV740" s="53">
        <f t="shared" ref="AV740:AW740" si="8883">(AV515-(AV613*AV151*AV148))/AV544</f>
        <v>0.54901955819145032</v>
      </c>
      <c r="AW740" s="53">
        <f t="shared" si="8883"/>
        <v>0.4032846603238191</v>
      </c>
      <c r="AX740" s="53">
        <f t="shared" ref="AX740" si="8884">(AX515-(AX613*AX151*AX148))/AX544</f>
        <v>0.50620963020290044</v>
      </c>
      <c r="AY740" s="216">
        <f t="shared" ref="AY740" si="8885">(AY515-(AY613*AY151*AY148))/AY544</f>
        <v>6.7733898362089248E-2</v>
      </c>
      <c r="AZ740" s="53">
        <f t="shared" ref="AZ740:BA740" si="8886">(AZ515-(AZ613*AZ151*AZ148))/AZ544</f>
        <v>0.58217072490310295</v>
      </c>
      <c r="BA740" s="53">
        <f t="shared" si="8886"/>
        <v>0.55971699176259437</v>
      </c>
      <c r="BB740" s="53">
        <f t="shared" ref="BB740:BC740" si="8887">(BB515-(BB613*BB151*BB148))/BB544</f>
        <v>0.60904086092284426</v>
      </c>
      <c r="BC740" s="53">
        <f t="shared" si="8887"/>
        <v>0.49183773289677557</v>
      </c>
      <c r="BD740" s="53">
        <f t="shared" ref="BD740:BE740" si="8888">(BD515-(BD613*BD151*BD148))/BD544</f>
        <v>0.6349673748682011</v>
      </c>
      <c r="BE740" s="53">
        <f t="shared" si="8888"/>
        <v>0.53188615476138101</v>
      </c>
      <c r="BF740" s="53">
        <f t="shared" ref="BF740:BG740" si="8889">(BF515-(BF613*BF151*BF148))/BF544</f>
        <v>0.67078857874369024</v>
      </c>
      <c r="BG740" s="53">
        <f t="shared" si="8889"/>
        <v>0.58742934491480647</v>
      </c>
      <c r="BH740" s="53">
        <f t="shared" ref="BH740:BI740" si="8890">(BH515-(BH613*BH151*BH148))/BH544</f>
        <v>0.69543281130812529</v>
      </c>
      <c r="BI740" s="53">
        <f t="shared" si="8890"/>
        <v>0.58988459268967897</v>
      </c>
      <c r="BJ740" s="53">
        <f t="shared" ref="BJ740:BK740" si="8891">(BJ515-(BJ613*BJ151*BJ148))/BJ544</f>
        <v>0.72177219769335876</v>
      </c>
      <c r="BK740" s="53">
        <f t="shared" si="8891"/>
        <v>0.67879681963114535</v>
      </c>
      <c r="BL740" s="53">
        <f t="shared" ref="BL740:BM740" si="8892">(BL515-(BL613*BL151*BL148))/BL544</f>
        <v>0.74184557247264638</v>
      </c>
      <c r="BM740" s="53">
        <f t="shared" si="8892"/>
        <v>0.66826255398891032</v>
      </c>
      <c r="BN740" s="53">
        <f t="shared" ref="BN740:BO740" si="8893">(BN515-(BN613*BN151*BN148))/BN544</f>
        <v>0.72359590384542072</v>
      </c>
      <c r="BO740" s="53">
        <f t="shared" si="8893"/>
        <v>0.66217042723903552</v>
      </c>
      <c r="BP740" s="53">
        <f t="shared" ref="BP740:BQ740" si="8894">(BP515-(BP613*BP151*BP148))/BP544</f>
        <v>0.72096861272338542</v>
      </c>
      <c r="BQ740" s="53">
        <f t="shared" si="8894"/>
        <v>0.6716183850644144</v>
      </c>
      <c r="BR740" s="53"/>
      <c r="BS740" s="53">
        <f t="shared" ref="BS740:CY740" si="8895">(BS515-(BS613*BS151*BS148))/BS544</f>
        <v>-0.71372259772493052</v>
      </c>
      <c r="BT740" s="53">
        <f t="shared" si="8895"/>
        <v>0.17466573339075855</v>
      </c>
      <c r="BU740" s="53">
        <f t="shared" si="8895"/>
        <v>0.40946106038095292</v>
      </c>
      <c r="BV740" s="53">
        <f t="shared" si="8895"/>
        <v>0.53884907089505973</v>
      </c>
      <c r="BW740" s="53">
        <f t="shared" si="8895"/>
        <v>0.60485065465638876</v>
      </c>
      <c r="BX740" s="53">
        <f t="shared" si="8895"/>
        <v>0.61141986271494753</v>
      </c>
      <c r="BY740" s="53">
        <f t="shared" si="8895"/>
        <v>0.58943604228986379</v>
      </c>
      <c r="BZ740" s="53">
        <f t="shared" si="8895"/>
        <v>0.71824687938028264</v>
      </c>
      <c r="CA740" s="53">
        <f t="shared" si="8895"/>
        <v>0.83671498373793474</v>
      </c>
      <c r="CB740" s="53">
        <f t="shared" si="8895"/>
        <v>0.95060030084108071</v>
      </c>
      <c r="CC740" s="53">
        <f t="shared" si="8895"/>
        <v>1.1719552642609365</v>
      </c>
      <c r="CD740" s="53">
        <f t="shared" si="8895"/>
        <v>1.2216948457825252</v>
      </c>
      <c r="CE740" s="53">
        <f t="shared" si="8895"/>
        <v>1.2535435240809425</v>
      </c>
      <c r="CF740" s="53">
        <f t="shared" si="8895"/>
        <v>1.4670698443238663</v>
      </c>
      <c r="CG740" s="53">
        <f t="shared" si="8895"/>
        <v>1.6710461774594325</v>
      </c>
      <c r="CH740" s="53">
        <f t="shared" si="8895"/>
        <v>1.7930313496283468</v>
      </c>
      <c r="CI740" s="53">
        <f t="shared" si="8895"/>
        <v>1.4095563671854665</v>
      </c>
      <c r="CJ740" s="53">
        <f t="shared" si="8895"/>
        <v>1.2291628479746128</v>
      </c>
      <c r="CK740" s="53">
        <f t="shared" si="8895"/>
        <v>1.7850098558158847</v>
      </c>
      <c r="CL740" s="53">
        <f t="shared" si="8895"/>
        <v>1.7510909019302514</v>
      </c>
      <c r="CM740" s="53">
        <f t="shared" si="8895"/>
        <v>1.9053203184779262</v>
      </c>
      <c r="CN740" s="53">
        <f t="shared" si="8895"/>
        <v>2.0179030333368355</v>
      </c>
      <c r="CO740" s="53">
        <f t="shared" si="8895"/>
        <v>2.1782950747397702</v>
      </c>
      <c r="CP740" s="53">
        <f t="shared" si="8895"/>
        <v>2.1320493021182072</v>
      </c>
      <c r="CQ740" s="53">
        <f t="shared" si="8895"/>
        <v>1.5296285220039916</v>
      </c>
      <c r="CR740" s="53">
        <f t="shared" si="8895"/>
        <v>1.8287338477170583</v>
      </c>
      <c r="CS740" s="53">
        <f t="shared" si="8895"/>
        <v>1.7321829077615125</v>
      </c>
      <c r="CT740" s="53">
        <f t="shared" si="8895"/>
        <v>1.646589815091555</v>
      </c>
      <c r="CU740" s="53">
        <f t="shared" si="8895"/>
        <v>0.68498307849065665</v>
      </c>
      <c r="CV740" s="53">
        <f t="shared" si="8895"/>
        <v>1.5554209918046924</v>
      </c>
      <c r="CW740" s="53">
        <f t="shared" si="8895"/>
        <v>1.6172728358208956</v>
      </c>
      <c r="CX740" s="53">
        <f t="shared" si="8895"/>
        <v>1.8371684238622714</v>
      </c>
      <c r="CY740" s="53">
        <f t="shared" si="8895"/>
        <v>1.5875264140875134</v>
      </c>
      <c r="CZ740" s="216">
        <f t="shared" ref="CZ740" si="8896">(CZ515-(CZ613*CZ151*CZ148))/CZ544</f>
        <v>1.2680458857565768</v>
      </c>
      <c r="DA740" s="53">
        <f t="shared" ref="DA740:DF740" si="8897">(DA515-(DA613*DA151*DA148))/DA544</f>
        <v>1.8352840860956634</v>
      </c>
      <c r="DB740" s="53">
        <f t="shared" si="8897"/>
        <v>1.8040064536182034</v>
      </c>
      <c r="DC740" s="53">
        <f t="shared" si="8897"/>
        <v>1.89406538269646</v>
      </c>
      <c r="DD740" s="53">
        <f t="shared" si="8897"/>
        <v>2.0112775128994946</v>
      </c>
      <c r="DE740" s="53">
        <f t="shared" si="8897"/>
        <v>2.0617165139257185</v>
      </c>
      <c r="DF740" s="53">
        <f t="shared" si="8897"/>
        <v>2.2003231934323533</v>
      </c>
      <c r="DG740" s="53">
        <f t="shared" ref="DG740" si="8898">(DG515-(DG613*DG151*DG148))/DG544</f>
        <v>2.2330098314466937</v>
      </c>
      <c r="DH740" s="53">
        <f>(DH515-(DH613*DH151*DH148))/DH544</f>
        <v>2.2340825201335059</v>
      </c>
      <c r="DI740" s="53">
        <f>(DI515-(DI613*DI151*DI148))/DI544</f>
        <v>2.2697547328299654</v>
      </c>
    </row>
    <row r="741" spans="1:113" ht="12" outlineLevel="1">
      <c r="A741" s="1" t="s">
        <v>964</v>
      </c>
      <c r="B741" s="15" t="s">
        <v>403</v>
      </c>
      <c r="C741" s="53">
        <f t="shared" ref="C741:AF741" si="8899">(C515-(C613*C151*C148))/C544+C135/(1-C128)*C128*C138</f>
        <v>0.59514612285310553</v>
      </c>
      <c r="D741" s="53">
        <f t="shared" si="8899"/>
        <v>0.65459231220364944</v>
      </c>
      <c r="E741" s="53">
        <f t="shared" si="8899"/>
        <v>0.69920424094572076</v>
      </c>
      <c r="F741" s="53">
        <f t="shared" si="8899"/>
        <v>0.68500966038383337</v>
      </c>
      <c r="G741" s="53">
        <f t="shared" si="8899"/>
        <v>0.75278004363657713</v>
      </c>
      <c r="H741" s="53">
        <f t="shared" si="8899"/>
        <v>0.70076038452648648</v>
      </c>
      <c r="I741" s="53">
        <f t="shared" si="8899"/>
        <v>0.77197750097201812</v>
      </c>
      <c r="J741" s="53">
        <f t="shared" si="8899"/>
        <v>0.83894440178777197</v>
      </c>
      <c r="K741" s="53">
        <f t="shared" si="8899"/>
        <v>0.86624294842533756</v>
      </c>
      <c r="L741" s="53">
        <f t="shared" si="8899"/>
        <v>0.92052276299496794</v>
      </c>
      <c r="M741" s="53">
        <f t="shared" si="8899"/>
        <v>1.0300809738930559</v>
      </c>
      <c r="N741" s="53">
        <f t="shared" si="8899"/>
        <v>1.0275165654396796</v>
      </c>
      <c r="O741" s="53">
        <f t="shared" si="8899"/>
        <v>1.0728619719724957</v>
      </c>
      <c r="P741" s="53">
        <f t="shared" si="8899"/>
        <v>0.97768090858771162</v>
      </c>
      <c r="Q741" s="53">
        <f t="shared" si="8899"/>
        <v>0.71190069829204194</v>
      </c>
      <c r="R741" s="53">
        <f t="shared" si="8899"/>
        <v>0.28989709727843099</v>
      </c>
      <c r="S741" s="53">
        <f t="shared" si="8899"/>
        <v>0.98566891763754372</v>
      </c>
      <c r="T741" s="53">
        <f t="shared" si="8899"/>
        <v>0.90172584534350575</v>
      </c>
      <c r="U741" s="53">
        <f t="shared" si="8899"/>
        <v>1.1226430150322633</v>
      </c>
      <c r="V741" s="53">
        <f t="shared" si="8899"/>
        <v>0.9368208777917526</v>
      </c>
      <c r="W741" s="53">
        <f t="shared" si="8899"/>
        <v>0.970615560073532</v>
      </c>
      <c r="X741" s="53">
        <f t="shared" si="8899"/>
        <v>0.96391996197458707</v>
      </c>
      <c r="Y741" s="53">
        <f t="shared" si="8899"/>
        <v>1.0983686361612164</v>
      </c>
      <c r="Z741" s="53">
        <f t="shared" si="8899"/>
        <v>1.0814807835762563</v>
      </c>
      <c r="AA741" s="53">
        <f t="shared" si="8899"/>
        <v>1.1836469854969751</v>
      </c>
      <c r="AB741" s="53">
        <f t="shared" si="8899"/>
        <v>1.1709373480697527</v>
      </c>
      <c r="AC741" s="53">
        <f t="shared" si="8899"/>
        <v>1.236789957870073</v>
      </c>
      <c r="AD741" s="53">
        <f t="shared" ref="AD741:AE741" si="8900">(AD515-(AD613*AD151*AD148))/AD544+AD135/(1-AD128)*AD128*AD138</f>
        <v>1.1890113294185143</v>
      </c>
      <c r="AE741" s="53">
        <f t="shared" si="8900"/>
        <v>1.1474530041129474</v>
      </c>
      <c r="AF741" s="53">
        <f t="shared" si="8899"/>
        <v>0.76026384613733267</v>
      </c>
      <c r="AG741" s="53">
        <f t="shared" ref="AG741:AH741" si="8901">(AG515-(AG613*AG151*AG148))/AG544+AG135/(1-AG128)*AG128*AG138</f>
        <v>0.84193566378741203</v>
      </c>
      <c r="AH741" s="53">
        <f t="shared" si="8901"/>
        <v>0.93967765939245296</v>
      </c>
      <c r="AI741" s="53">
        <f t="shared" ref="AI741:AJ741" si="8902">(AI515-(AI613*AI151*AI148))/AI544+AI135/(1-AI128)*AI128*AI138</f>
        <v>0.95361863514030154</v>
      </c>
      <c r="AJ741" s="53">
        <f t="shared" si="8902"/>
        <v>0.96116823649989747</v>
      </c>
      <c r="AK741" s="53">
        <f t="shared" ref="AK741:AL741" si="8903">(AK515-(AK613*AK151*AK148))/AK544+AK135/(1-AK128)*AK128*AK138</f>
        <v>0.80570892020936391</v>
      </c>
      <c r="AL741" s="53">
        <f t="shared" si="8903"/>
        <v>0.99979043084640207</v>
      </c>
      <c r="AM741" s="53">
        <f t="shared" ref="AM741:AN741" si="8904">(AM515-(AM613*AM151*AM148))/AM544+AM135/(1-AM128)*AM128*AM138</f>
        <v>0.64301528294588761</v>
      </c>
      <c r="AN741" s="53">
        <f t="shared" si="8904"/>
        <v>-5.9432571582037061E-2</v>
      </c>
      <c r="AO741" s="53">
        <f t="shared" ref="AO741" si="8905">(AO515-(AO613*AO151*AO148))/AO544+AO135/(1-AO128)*AO128*AO138</f>
        <v>0.33859146700310816</v>
      </c>
      <c r="AP741" s="53">
        <f t="shared" ref="AP741:AQ741" si="8906">(AP515-(AP613*AP151*AP148))/AP544+AP135/(1-AP128)*AP128*AP138</f>
        <v>0.74346611001542962</v>
      </c>
      <c r="AQ741" s="53">
        <f t="shared" si="8906"/>
        <v>0.81658630216931072</v>
      </c>
      <c r="AR741" s="53">
        <f t="shared" ref="AR741:AS741" si="8907">(AR515-(AR613*AR151*AR148))/AR544+AR135/(1-AR128)*AR128*AR138</f>
        <v>0.7522084372833493</v>
      </c>
      <c r="AS741" s="53">
        <f t="shared" si="8907"/>
        <v>0.83842998378041167</v>
      </c>
      <c r="AT741" s="53">
        <f t="shared" ref="AT741:AU741" si="8908">(AT515-(AT613*AT151*AT148))/AT544+AT135/(1-AT128)*AT128*AT138</f>
        <v>0.9859787009690486</v>
      </c>
      <c r="AU741" s="53">
        <f t="shared" si="8908"/>
        <v>0.78472598493433765</v>
      </c>
      <c r="AV741" s="53">
        <f t="shared" ref="AV741:AW741" si="8909">(AV515-(AV613*AV151*AV148))/AV544+AV135/(1-AV128)*AV128*AV138</f>
        <v>0.78023384390573602</v>
      </c>
      <c r="AW741" s="53">
        <f t="shared" si="8909"/>
        <v>0.65228466032381904</v>
      </c>
      <c r="AX741" s="53">
        <f t="shared" ref="AX741" si="8910">(AX515-(AX613*AX151*AX148))/AX544+AX135/(1-AX128)*AX128*AX138</f>
        <v>0.75520963020290044</v>
      </c>
      <c r="AY741" s="216">
        <f t="shared" ref="AY741" si="8911">(AY515-(AY613*AY151*AY148))/AY544+AY135/(1-AY128)*AY128*AY138</f>
        <v>0.31673389836208921</v>
      </c>
      <c r="AZ741" s="53">
        <f t="shared" ref="AZ741:BA741" si="8912">(AZ515-(AZ613*AZ151*AZ148))/AZ544+AZ135/(1-AZ128)*AZ128*AZ138</f>
        <v>0.84017072490310296</v>
      </c>
      <c r="BA741" s="53">
        <f t="shared" si="8912"/>
        <v>0.82971699176259439</v>
      </c>
      <c r="BB741" s="53">
        <f t="shared" ref="BB741:BC741" si="8913">(BB515-(BB613*BB151*BB148))/BB544+BB135/(1-BB128)*BB128*BB138</f>
        <v>0.88204086092284428</v>
      </c>
      <c r="BC741" s="53">
        <f t="shared" si="8913"/>
        <v>0.76783773289677559</v>
      </c>
      <c r="BD741" s="53">
        <f t="shared" ref="BD741:BE741" si="8914">(BD515-(BD613*BD151*BD148))/BD544+BD135/(1-BD128)*BD128*BD138</f>
        <v>0.91696737486820101</v>
      </c>
      <c r="BE741" s="53">
        <f t="shared" si="8914"/>
        <v>0.81988615476138105</v>
      </c>
      <c r="BF741" s="53">
        <f t="shared" ref="BF741:BG741" si="8915">(BF515-(BF613*BF151*BF148))/BF544+BF135/(1-BF128)*BF128*BF138</f>
        <v>0.96478857874369028</v>
      </c>
      <c r="BG741" s="53">
        <f t="shared" si="8915"/>
        <v>0.88742934491480652</v>
      </c>
      <c r="BH741" s="53">
        <f t="shared" ref="BH741:BI741" si="8916">(BH515-(BH613*BH151*BH148))/BH544+BH135/(1-BH128)*BH128*BH138</f>
        <v>1.0014328113081252</v>
      </c>
      <c r="BI741" s="53">
        <f t="shared" si="8916"/>
        <v>0.90188459268967902</v>
      </c>
      <c r="BJ741" s="53">
        <f t="shared" ref="BJ741:BK741" si="8917">(BJ515-(BJ613*BJ151*BJ148))/BJ544+BJ135/(1-BJ128)*BJ128*BJ138</f>
        <v>1.0397721976933587</v>
      </c>
      <c r="BK741" s="53">
        <f t="shared" si="8917"/>
        <v>1.0027968196311454</v>
      </c>
      <c r="BL741" s="53">
        <f t="shared" ref="BL741:BQ741" si="8918">(BL515-(BL613*BL151*BL148))/BL544+BL135/(1-BL128)*BL128*BL138</f>
        <v>1.0718455724726463</v>
      </c>
      <c r="BM741" s="53">
        <f t="shared" si="8918"/>
        <v>1.0042625539889103</v>
      </c>
      <c r="BN741" s="53">
        <f t="shared" si="8918"/>
        <v>1.0655959038454208</v>
      </c>
      <c r="BO741" s="53">
        <f t="shared" si="8918"/>
        <v>1.0101704272390355</v>
      </c>
      <c r="BP741" s="53">
        <f t="shared" si="8918"/>
        <v>1.0749686127233855</v>
      </c>
      <c r="BQ741" s="53">
        <f t="shared" si="8918"/>
        <v>1.0316183850644145</v>
      </c>
      <c r="BR741" s="53"/>
      <c r="BS741" s="53">
        <f t="shared" ref="BS741:CY741" si="8919">(BS515-(BS613*BS151*BS148))/BS544+BS135/(1-BS128)*BS128*BS138</f>
        <v>-0.69027523740507979</v>
      </c>
      <c r="BT741" s="53">
        <f t="shared" si="8919"/>
        <v>0.17466573339075855</v>
      </c>
      <c r="BU741" s="53">
        <f t="shared" si="8919"/>
        <v>0.40946106038095292</v>
      </c>
      <c r="BV741" s="53">
        <f t="shared" si="8919"/>
        <v>0.56670453495504247</v>
      </c>
      <c r="BW741" s="53">
        <f t="shared" si="8919"/>
        <v>0.78254913931314118</v>
      </c>
      <c r="BX741" s="53">
        <f t="shared" si="8919"/>
        <v>0.86848819494894758</v>
      </c>
      <c r="BY741" s="53">
        <f t="shared" si="8919"/>
        <v>0.76493604228986378</v>
      </c>
      <c r="BZ741" s="53">
        <f t="shared" si="8919"/>
        <v>0.96293437938028259</v>
      </c>
      <c r="CA741" s="53">
        <f t="shared" si="8919"/>
        <v>1.1794727600499346</v>
      </c>
      <c r="CB741" s="53">
        <f t="shared" si="8919"/>
        <v>1.3086494594296263</v>
      </c>
      <c r="CC741" s="53">
        <f t="shared" si="8919"/>
        <v>1.5333580214037936</v>
      </c>
      <c r="CD741" s="53">
        <f t="shared" si="8919"/>
        <v>1.6256155743539538</v>
      </c>
      <c r="CE741" s="53">
        <f t="shared" si="8919"/>
        <v>1.6829750355095139</v>
      </c>
      <c r="CF741" s="53">
        <f t="shared" si="8919"/>
        <v>1.9347675300381519</v>
      </c>
      <c r="CG741" s="53">
        <f t="shared" si="8919"/>
        <v>2.2025208203165754</v>
      </c>
      <c r="CH741" s="53">
        <f t="shared" si="8919"/>
        <v>2.3712757610569182</v>
      </c>
      <c r="CI741" s="53">
        <f t="shared" si="8919"/>
        <v>1.9878007786140381</v>
      </c>
      <c r="CJ741" s="53">
        <f t="shared" si="8919"/>
        <v>1.6628461565460415</v>
      </c>
      <c r="CK741" s="53">
        <f t="shared" si="8919"/>
        <v>2.3207362958158848</v>
      </c>
      <c r="CL741" s="53">
        <f t="shared" si="8919"/>
        <v>2.3463425019302515</v>
      </c>
      <c r="CM741" s="53">
        <f t="shared" si="8919"/>
        <v>2.5218309041922122</v>
      </c>
      <c r="CN741" s="53">
        <f t="shared" si="8919"/>
        <v>2.7151977647654069</v>
      </c>
      <c r="CO741" s="53">
        <f t="shared" si="8919"/>
        <v>2.9351149661683418</v>
      </c>
      <c r="CP741" s="53">
        <f t="shared" si="8919"/>
        <v>2.9016245849753499</v>
      </c>
      <c r="CQ741" s="53">
        <f t="shared" si="8919"/>
        <v>2.2099160648611345</v>
      </c>
      <c r="CR741" s="53">
        <f t="shared" si="8919"/>
        <v>2.5090213905742011</v>
      </c>
      <c r="CS741" s="53">
        <f t="shared" si="8919"/>
        <v>2.4124704506186556</v>
      </c>
      <c r="CT741" s="53">
        <f t="shared" si="8919"/>
        <v>2.2248342265201266</v>
      </c>
      <c r="CU741" s="53">
        <f t="shared" si="8919"/>
        <v>0.94009090706208531</v>
      </c>
      <c r="CV741" s="53">
        <f t="shared" si="8919"/>
        <v>2.1591761860904066</v>
      </c>
      <c r="CW741" s="53">
        <f t="shared" si="8919"/>
        <v>2.2405450872494672</v>
      </c>
      <c r="CX741" s="53">
        <f t="shared" si="8919"/>
        <v>2.4099541381479854</v>
      </c>
      <c r="CY741" s="53">
        <f t="shared" si="8919"/>
        <v>2.0677406998017989</v>
      </c>
      <c r="CZ741" s="216">
        <f t="shared" ref="CZ741" si="8920">(CZ515-(CZ613*CZ151*CZ148))/CZ544+CZ135/(1-CZ128)*CZ128*CZ138</f>
        <v>1.7660458857565768</v>
      </c>
      <c r="DA741" s="53">
        <f t="shared" ref="DA741:DF741" si="8921">(DA515-(DA613*DA151*DA148))/DA544+DA135/(1-DA128)*DA128*DA138</f>
        <v>2.3632840860956632</v>
      </c>
      <c r="DB741" s="53">
        <f t="shared" si="8921"/>
        <v>2.3530064536182036</v>
      </c>
      <c r="DC741" s="53">
        <f t="shared" si="8921"/>
        <v>2.46406538269646</v>
      </c>
      <c r="DD741" s="53">
        <f t="shared" si="8921"/>
        <v>2.6052775128994945</v>
      </c>
      <c r="DE741" s="53">
        <f t="shared" si="8921"/>
        <v>2.6797165139257184</v>
      </c>
      <c r="DF741" s="53">
        <f t="shared" si="8921"/>
        <v>2.8423231934323532</v>
      </c>
      <c r="DG741" s="53">
        <f t="shared" ref="DG741" si="8922">(DG515-(DG613*DG151*DG148))/DG544+DG135/(1-DG128)*DG128*DG138</f>
        <v>2.8990098314466937</v>
      </c>
      <c r="DH741" s="53">
        <f>(DH515-(DH613*DH151*DH148))/DH544+DH135/(1-DH128)*DH128*DH138</f>
        <v>2.9240825201335059</v>
      </c>
      <c r="DI741" s="53">
        <f>(DI515-(DI613*DI151*DI148))/DI544+DI135/(1-DI128)*DI128*DI138</f>
        <v>2.9837547328299654</v>
      </c>
    </row>
    <row r="742" spans="1:113" ht="12" outlineLevel="1">
      <c r="A742" s="1" t="s">
        <v>965</v>
      </c>
      <c r="B742" s="15" t="s">
        <v>404</v>
      </c>
      <c r="C742" s="53">
        <f>C538/C543</f>
        <v>6.0073097036887724</v>
      </c>
      <c r="D742" s="53">
        <f>D538/D543</f>
        <v>6.2210166437119749</v>
      </c>
      <c r="E742" s="53">
        <f>E538/E543</f>
        <v>6.6449114156526363</v>
      </c>
      <c r="F742" s="53">
        <f t="shared" ref="F742:L742" si="8923">F538/F543</f>
        <v>7.3701750350204831</v>
      </c>
      <c r="G742" s="53">
        <f t="shared" si="8923"/>
        <v>7.5353420437668399</v>
      </c>
      <c r="H742" s="53">
        <f t="shared" si="8923"/>
        <v>8.6380942285145448</v>
      </c>
      <c r="I742" s="53">
        <f t="shared" si="8923"/>
        <v>9.2945320589529263</v>
      </c>
      <c r="J742" s="53">
        <f t="shared" si="8923"/>
        <v>9.2807694003401551</v>
      </c>
      <c r="K742" s="53">
        <f t="shared" si="8923"/>
        <v>9.5889696441086283</v>
      </c>
      <c r="L742" s="53">
        <f t="shared" si="8923"/>
        <v>9.7060264811067967</v>
      </c>
      <c r="M742" s="53">
        <f t="shared" ref="M742:AF742" si="8924">M538/M543</f>
        <v>10.263871330719809</v>
      </c>
      <c r="N742" s="53">
        <f t="shared" si="8924"/>
        <v>10.759833361522197</v>
      </c>
      <c r="O742" s="53">
        <f t="shared" si="8924"/>
        <v>11.246691668364884</v>
      </c>
      <c r="P742" s="53">
        <f t="shared" si="8924"/>
        <v>11.897390242531486</v>
      </c>
      <c r="Q742" s="53">
        <f t="shared" si="8924"/>
        <v>12.454673021022197</v>
      </c>
      <c r="R742" s="53">
        <f t="shared" si="8924"/>
        <v>12.606907216533063</v>
      </c>
      <c r="S742" s="53">
        <f t="shared" si="8924"/>
        <v>12.475050667997605</v>
      </c>
      <c r="T742" s="53">
        <f t="shared" si="8924"/>
        <v>12.392166392737321</v>
      </c>
      <c r="U742" s="53">
        <f t="shared" si="8924"/>
        <v>12.875374817361411</v>
      </c>
      <c r="V742" s="53">
        <f t="shared" si="8924"/>
        <v>13.063637441842552</v>
      </c>
      <c r="W742" s="53">
        <f t="shared" si="8924"/>
        <v>13.975620011411182</v>
      </c>
      <c r="X742" s="53">
        <f t="shared" si="8924"/>
        <v>14.263156924052995</v>
      </c>
      <c r="Y742" s="53">
        <f>Y538/Y543</f>
        <v>14.712985132847574</v>
      </c>
      <c r="Z742" s="53">
        <f t="shared" si="8924"/>
        <v>15.034422055618327</v>
      </c>
      <c r="AA742" s="53">
        <f t="shared" si="8924"/>
        <v>16.152087188832599</v>
      </c>
      <c r="AB742" s="53">
        <f t="shared" si="8924"/>
        <v>16.666726649903431</v>
      </c>
      <c r="AC742" s="53">
        <f t="shared" ref="AC742:AD742" si="8925">AC538/AC543</f>
        <v>17.395874953203222</v>
      </c>
      <c r="AD742" s="53">
        <f t="shared" si="8925"/>
        <v>18.6351483065799</v>
      </c>
      <c r="AE742" s="53">
        <f t="shared" ref="AE742" si="8926">AE538/AE543</f>
        <v>19.565903208047683</v>
      </c>
      <c r="AF742" s="53">
        <f t="shared" si="8924"/>
        <v>19.165390464080069</v>
      </c>
      <c r="AG742" s="53">
        <f t="shared" ref="AG742:AH742" si="8927">AG538/AG543</f>
        <v>19.593656139368061</v>
      </c>
      <c r="AH742" s="53">
        <f t="shared" si="8927"/>
        <v>19.527561079867844</v>
      </c>
      <c r="AI742" s="53">
        <f t="shared" ref="AI742:AJ742" si="8928">AI538/AI543</f>
        <v>19.912879849285268</v>
      </c>
      <c r="AJ742" s="53">
        <f t="shared" si="8928"/>
        <v>20.320459414201078</v>
      </c>
      <c r="AK742" s="53">
        <f t="shared" ref="AK742:AL742" si="8929">AK538/AK543</f>
        <v>20.460609021675165</v>
      </c>
      <c r="AL742" s="53">
        <f t="shared" si="8929"/>
        <v>20.947369815656593</v>
      </c>
      <c r="AM742" s="53">
        <f t="shared" ref="AM742:AN742" si="8930">AM538/AM543</f>
        <v>21.273648515063382</v>
      </c>
      <c r="AN742" s="53">
        <f t="shared" si="8930"/>
        <v>21.464935455649361</v>
      </c>
      <c r="AO742" s="53">
        <f t="shared" ref="AO742" si="8931">AO538/AO543</f>
        <v>21.406355462693249</v>
      </c>
      <c r="AP742" s="53">
        <f t="shared" ref="AP742:AQ742" si="8932">AP538/AP543</f>
        <v>21.813368784812791</v>
      </c>
      <c r="AQ742" s="53">
        <f t="shared" si="8932"/>
        <v>22.369304529494631</v>
      </c>
      <c r="AR742" s="53">
        <f t="shared" ref="AR742:AS742" si="8933">AR538/AR543</f>
        <v>21.924141129750158</v>
      </c>
      <c r="AS742" s="53">
        <f t="shared" si="8933"/>
        <v>22.043037043321579</v>
      </c>
      <c r="AT742" s="53">
        <f t="shared" ref="AT742:AU742" si="8934">AT538/AT543</f>
        <v>22.992529721599617</v>
      </c>
      <c r="AU742" s="53">
        <f t="shared" si="8934"/>
        <v>23.124248245230589</v>
      </c>
      <c r="AV742" s="53">
        <f t="shared" ref="AV742:AW742" si="8935">AV538/AV543</f>
        <v>23.121447417850199</v>
      </c>
      <c r="AW742" s="53">
        <f t="shared" si="8935"/>
        <v>23.187763632598287</v>
      </c>
      <c r="AX742" s="53">
        <f t="shared" ref="AX742" si="8936">AX538/AX543</f>
        <v>23.82843749546484</v>
      </c>
      <c r="AY742" s="216">
        <f t="shared" ref="AY742" si="8937">AY538/AY543</f>
        <v>23.592600603760623</v>
      </c>
      <c r="AZ742" s="53">
        <f t="shared" ref="AZ742:BA742" si="8938">AZ538/AZ543</f>
        <v>24.284393378873592</v>
      </c>
      <c r="BA742" s="53">
        <f t="shared" si="8938"/>
        <v>24.717008317380277</v>
      </c>
      <c r="BB742" s="53">
        <f t="shared" ref="BB742:BC742" si="8939">BB538/BB543</f>
        <v>25.054444035452246</v>
      </c>
      <c r="BC742" s="53">
        <f t="shared" si="8939"/>
        <v>25.166136206715265</v>
      </c>
      <c r="BD742" s="53">
        <f t="shared" ref="BD742:BE742" si="8940">BD538/BD543</f>
        <v>25.402452771139671</v>
      </c>
      <c r="BE742" s="53">
        <f t="shared" si="8940"/>
        <v>25.508684529907541</v>
      </c>
      <c r="BF742" s="53">
        <f t="shared" ref="BF742:BG742" si="8941">BF538/BF543</f>
        <v>25.738613018275839</v>
      </c>
      <c r="BG742" s="53">
        <f t="shared" si="8941"/>
        <v>25.872061299010518</v>
      </c>
      <c r="BH742" s="53">
        <f t="shared" ref="BH742:BI742" si="8942">BH538/BH543</f>
        <v>26.268902803714401</v>
      </c>
      <c r="BI742" s="53">
        <f t="shared" si="8942"/>
        <v>26.553987544697918</v>
      </c>
      <c r="BJ742" s="53">
        <f t="shared" ref="BJ742:BK742" si="8943">BJ538/BJ543</f>
        <v>26.999105166994593</v>
      </c>
      <c r="BK742" s="53">
        <f t="shared" si="8943"/>
        <v>27.427036804685255</v>
      </c>
      <c r="BL742" s="53">
        <f t="shared" ref="BL742:BM742" si="8944">BL538/BL543</f>
        <v>27.9096068470873</v>
      </c>
      <c r="BM742" s="53">
        <f t="shared" si="8944"/>
        <v>28.310617790615566</v>
      </c>
      <c r="BN742" s="53">
        <f t="shared" ref="BN742:BO742" si="8945">BN538/BN543</f>
        <v>28.760342679120871</v>
      </c>
      <c r="BO742" s="53">
        <f t="shared" si="8945"/>
        <v>29.142458325300034</v>
      </c>
      <c r="BP742" s="53">
        <f t="shared" ref="BP742:BQ742" si="8946">BP538/BP543</f>
        <v>29.578370979482386</v>
      </c>
      <c r="BQ742" s="53">
        <f t="shared" si="8946"/>
        <v>29.960431118743397</v>
      </c>
      <c r="BR742" s="53"/>
      <c r="BS742" s="53">
        <f t="shared" ref="BS742:CB742" si="8947">BS538/BS543</f>
        <v>3.7089621980085341</v>
      </c>
      <c r="BT742" s="53">
        <f t="shared" si="8947"/>
        <v>3.4042761458492592</v>
      </c>
      <c r="BU742" s="53">
        <f t="shared" si="8947"/>
        <v>3.5591299892711903</v>
      </c>
      <c r="BV742" s="53">
        <f t="shared" si="8947"/>
        <v>3.9105829688929452</v>
      </c>
      <c r="BW742" s="53">
        <f t="shared" si="8947"/>
        <v>4.2218149474196878</v>
      </c>
      <c r="BX742" s="53">
        <f t="shared" si="8947"/>
        <v>4.5660065616853247</v>
      </c>
      <c r="BY742" s="53">
        <f t="shared" si="8947"/>
        <v>4.9557878091589487</v>
      </c>
      <c r="BZ742" s="53">
        <f t="shared" si="8947"/>
        <v>5.2334848574930319</v>
      </c>
      <c r="CA742" s="53">
        <f t="shared" si="8947"/>
        <v>5.54664467268623</v>
      </c>
      <c r="CB742" s="53">
        <f t="shared" si="8947"/>
        <v>6.0073097036887724</v>
      </c>
      <c r="CC742" s="53">
        <f t="shared" ref="CC742:CO742" si="8948">CC538/CC543</f>
        <v>6.6449114156526363</v>
      </c>
      <c r="CD742" s="53">
        <f t="shared" si="8948"/>
        <v>7.5353420437668399</v>
      </c>
      <c r="CE742" s="53">
        <f t="shared" si="8948"/>
        <v>9.2945320589529263</v>
      </c>
      <c r="CF742" s="53">
        <f t="shared" si="8948"/>
        <v>9.5889696441086283</v>
      </c>
      <c r="CG742" s="53">
        <f t="shared" si="8948"/>
        <v>10.263871330719809</v>
      </c>
      <c r="CH742" s="53">
        <f t="shared" si="8948"/>
        <v>11.246691668364884</v>
      </c>
      <c r="CI742" s="53">
        <f t="shared" si="8948"/>
        <v>12.454673021022197</v>
      </c>
      <c r="CJ742" s="53">
        <f t="shared" si="8948"/>
        <v>12.475050667997605</v>
      </c>
      <c r="CK742" s="53">
        <f t="shared" si="8948"/>
        <v>12.875374817361411</v>
      </c>
      <c r="CL742" s="53">
        <f t="shared" si="8948"/>
        <v>13.975620011411182</v>
      </c>
      <c r="CM742" s="53">
        <f t="shared" si="8948"/>
        <v>14.712985132847574</v>
      </c>
      <c r="CN742" s="53">
        <f t="shared" si="8948"/>
        <v>16.152087188832599</v>
      </c>
      <c r="CO742" s="53">
        <f t="shared" si="8948"/>
        <v>17.395874953203222</v>
      </c>
      <c r="CP742" s="53">
        <f t="shared" ref="CP742:CX742" si="8949">CP538/CP543</f>
        <v>19.565903208047683</v>
      </c>
      <c r="CQ742" s="53">
        <f t="shared" si="8949"/>
        <v>19.593656139368061</v>
      </c>
      <c r="CR742" s="53">
        <f t="shared" si="8949"/>
        <v>19.912879849285268</v>
      </c>
      <c r="CS742" s="53">
        <f t="shared" si="8949"/>
        <v>20.460609021675165</v>
      </c>
      <c r="CT742" s="53">
        <f t="shared" si="8949"/>
        <v>21.273648515063382</v>
      </c>
      <c r="CU742" s="53">
        <f t="shared" si="8949"/>
        <v>21.406355462693249</v>
      </c>
      <c r="CV742" s="53">
        <f t="shared" si="8949"/>
        <v>22.369304529494631</v>
      </c>
      <c r="CW742" s="53">
        <f t="shared" si="8949"/>
        <v>22.043037043321579</v>
      </c>
      <c r="CX742" s="53">
        <f t="shared" si="8949"/>
        <v>23.124248245230589</v>
      </c>
      <c r="CY742" s="53">
        <f t="shared" ref="CY742:DD742" si="8950">CY538/CY543</f>
        <v>23.187763632598287</v>
      </c>
      <c r="CZ742" s="216">
        <f t="shared" si="8950"/>
        <v>23.592600603760623</v>
      </c>
      <c r="DA742" s="53">
        <f t="shared" si="8950"/>
        <v>24.717008317380277</v>
      </c>
      <c r="DB742" s="53">
        <f t="shared" si="8950"/>
        <v>25.166136206715262</v>
      </c>
      <c r="DC742" s="53">
        <f t="shared" si="8950"/>
        <v>25.508684529907537</v>
      </c>
      <c r="DD742" s="53">
        <f t="shared" si="8950"/>
        <v>25.872061299010518</v>
      </c>
      <c r="DE742" s="53">
        <f t="shared" ref="DE742" si="8951">DE538/DE543</f>
        <v>26.553987544697915</v>
      </c>
      <c r="DF742" s="53">
        <f t="shared" ref="DF742" si="8952">DF538/DF543</f>
        <v>27.427036804685244</v>
      </c>
      <c r="DG742" s="53">
        <f>DG538/DG543</f>
        <v>28.310617790615552</v>
      </c>
      <c r="DH742" s="53">
        <f>DH538/DH543</f>
        <v>29.142458325300019</v>
      </c>
      <c r="DI742" s="53">
        <f>DI538/DI543</f>
        <v>29.960431118743383</v>
      </c>
    </row>
    <row r="743" spans="1:113" ht="12" outlineLevel="1">
      <c r="A743" s="1" t="s">
        <v>966</v>
      </c>
      <c r="B743" s="15" t="s">
        <v>495</v>
      </c>
      <c r="C743" s="53">
        <f>(C538-C661)/C543</f>
        <v>5.9159868642074853</v>
      </c>
      <c r="D743" s="53">
        <f>(D538-D661)/D543</f>
        <v>6.0963177281540419</v>
      </c>
      <c r="E743" s="53">
        <f>(E538-E661)/E543</f>
        <v>6.5261698237914754</v>
      </c>
      <c r="F743" s="53">
        <f>(F538-F661)/F543</f>
        <v>7.2580786256112058</v>
      </c>
      <c r="G743" s="53">
        <f>(G538-G661)/G543</f>
        <v>7.4310286048498391</v>
      </c>
      <c r="H743" s="53">
        <f t="shared" ref="H743:L743" si="8953">(H538-H661)/H543</f>
        <v>6.8812867005862177</v>
      </c>
      <c r="I743" s="53">
        <f t="shared" si="8953"/>
        <v>7.5110250560932688</v>
      </c>
      <c r="J743" s="53">
        <f t="shared" si="8953"/>
        <v>7.535216208920831</v>
      </c>
      <c r="K743" s="53">
        <f t="shared" si="8953"/>
        <v>7.9224563677179152</v>
      </c>
      <c r="L743" s="53">
        <f t="shared" si="8953"/>
        <v>8.1425158713840435</v>
      </c>
      <c r="M743" s="53">
        <f t="shared" ref="M743:AF743" si="8954">(M538-M661)/M543</f>
        <v>8.6757558782532946</v>
      </c>
      <c r="N743" s="53">
        <f t="shared" si="8954"/>
        <v>9.1630949574456544</v>
      </c>
      <c r="O743" s="53">
        <f t="shared" si="8954"/>
        <v>9.5361985649166083</v>
      </c>
      <c r="P743" s="53">
        <f t="shared" si="8954"/>
        <v>10.241504012699073</v>
      </c>
      <c r="Q743" s="53">
        <f t="shared" si="8954"/>
        <v>10.939830086734942</v>
      </c>
      <c r="R743" s="53">
        <f t="shared" si="8954"/>
        <v>11.185044467818916</v>
      </c>
      <c r="S743" s="53">
        <f t="shared" si="8954"/>
        <v>11.268068818526652</v>
      </c>
      <c r="T743" s="53">
        <f t="shared" si="8954"/>
        <v>10.318712526544306</v>
      </c>
      <c r="U743" s="53">
        <f t="shared" si="8954"/>
        <v>10.777409619095989</v>
      </c>
      <c r="V743" s="53">
        <f t="shared" si="8954"/>
        <v>11.044999967647511</v>
      </c>
      <c r="W743" s="53">
        <f t="shared" si="8954"/>
        <v>11.940881437048306</v>
      </c>
      <c r="X743" s="53">
        <f t="shared" si="8954"/>
        <v>12.290832937488338</v>
      </c>
      <c r="Y743" s="53">
        <f t="shared" si="8954"/>
        <v>12.770725060719805</v>
      </c>
      <c r="Z743" s="53">
        <f t="shared" si="8954"/>
        <v>13.123435245835916</v>
      </c>
      <c r="AA743" s="53">
        <f t="shared" si="8954"/>
        <v>14.156127455625617</v>
      </c>
      <c r="AB743" s="53">
        <f t="shared" si="8954"/>
        <v>14.628758360846909</v>
      </c>
      <c r="AC743" s="53">
        <f t="shared" ref="AC743:AD743" si="8955">(AC538-AC661)/AC543</f>
        <v>15.446324832765001</v>
      </c>
      <c r="AD743" s="53">
        <f t="shared" si="8955"/>
        <v>16.592512814895155</v>
      </c>
      <c r="AE743" s="53">
        <f t="shared" ref="AE743" si="8956">(AE538-AE661)/AE543</f>
        <v>17.713795158989907</v>
      </c>
      <c r="AF743" s="53">
        <f t="shared" si="8954"/>
        <v>17.350963916232523</v>
      </c>
      <c r="AG743" s="53">
        <f t="shared" ref="AG743:AH743" si="8957">(AG538-AG661)/AG543</f>
        <v>17.739954885738687</v>
      </c>
      <c r="AH743" s="53">
        <f t="shared" si="8957"/>
        <v>17.79210826357809</v>
      </c>
      <c r="AI743" s="53">
        <f t="shared" ref="AI743:AJ743" si="8958">(AI538-AI661)/AI543</f>
        <v>18.185671661404793</v>
      </c>
      <c r="AJ743" s="53">
        <f t="shared" si="8958"/>
        <v>19.101040192103891</v>
      </c>
      <c r="AK743" s="53">
        <f t="shared" ref="AK743:AL743" si="8959">(AK538-AK661)/AK543</f>
        <v>19.249164205053919</v>
      </c>
      <c r="AL743" s="53">
        <f t="shared" si="8959"/>
        <v>19.669608620468768</v>
      </c>
      <c r="AM743" s="53">
        <f t="shared" ref="AM743:AN743" si="8960">(AM538-AM661)/AM543</f>
        <v>20.035371884322974</v>
      </c>
      <c r="AN743" s="53">
        <f t="shared" si="8960"/>
        <v>20.172785798306801</v>
      </c>
      <c r="AO743" s="53">
        <f t="shared" ref="AO743" si="8961">(AO538-AO661)/AO543</f>
        <v>20.239758513170585</v>
      </c>
      <c r="AP743" s="53">
        <f t="shared" ref="AP743:AQ743" si="8962">(AP538-AP661)/AP543</f>
        <v>20.745466911784604</v>
      </c>
      <c r="AQ743" s="53">
        <f t="shared" si="8962"/>
        <v>21.257602973988138</v>
      </c>
      <c r="AR743" s="53">
        <f t="shared" ref="AR743:AS743" si="8963">(AR538-AR661)/AR543</f>
        <v>20.807819693697645</v>
      </c>
      <c r="AS743" s="53">
        <f t="shared" si="8963"/>
        <v>21.046021651540105</v>
      </c>
      <c r="AT743" s="53">
        <f t="shared" ref="AT743:AU743" si="8964">(AT538-AT661)/AT543</f>
        <v>21.940377177681658</v>
      </c>
      <c r="AU743" s="53">
        <f t="shared" si="8964"/>
        <v>22.079755616382776</v>
      </c>
      <c r="AV743" s="53">
        <f t="shared" ref="AV743:AW743" si="8965">(AV538-AV661)/AV543</f>
        <v>22.093022141549316</v>
      </c>
      <c r="AW743" s="53">
        <f t="shared" si="8965"/>
        <v>21.680421385630755</v>
      </c>
      <c r="AX743" s="53">
        <f t="shared" ref="AX743" si="8966">(AX538-AX661)/AX543</f>
        <v>22.191479739749106</v>
      </c>
      <c r="AY743" s="216">
        <f t="shared" ref="AY743" si="8967">(AY538-AY661)/AY543</f>
        <v>21.994823577831472</v>
      </c>
      <c r="AZ743" s="53">
        <f t="shared" ref="AZ743:BA743" si="8968">(AZ538-AZ661)/AZ543</f>
        <v>22.698247241463939</v>
      </c>
      <c r="BA743" s="53">
        <f t="shared" si="8968"/>
        <v>23.142311395039812</v>
      </c>
      <c r="BB743" s="53">
        <f t="shared" ref="BB743:BC743" si="8969">(BB538-BB661)/BB543</f>
        <v>23.479747113111781</v>
      </c>
      <c r="BC743" s="53">
        <f t="shared" si="8969"/>
        <v>23.577899761045206</v>
      </c>
      <c r="BD743" s="53">
        <f t="shared" ref="BD743:BE743" si="8970">(BD538-BD661)/BD543</f>
        <v>23.801039876078534</v>
      </c>
      <c r="BE743" s="53">
        <f t="shared" si="8970"/>
        <v>23.894456094721036</v>
      </c>
      <c r="BF743" s="53">
        <f t="shared" ref="BF743:BG743" si="8971">(BF538-BF661)/BF543</f>
        <v>24.111927225013279</v>
      </c>
      <c r="BG743" s="53">
        <f t="shared" si="8971"/>
        <v>24.233273078820776</v>
      </c>
      <c r="BH743" s="53">
        <f t="shared" ref="BH743:BI743" si="8972">(BH538-BH661)/BH543</f>
        <v>24.630114583524655</v>
      </c>
      <c r="BI743" s="53">
        <f t="shared" si="8972"/>
        <v>24.915199324508176</v>
      </c>
      <c r="BJ743" s="53">
        <f t="shared" ref="BJ743:BK743" si="8973">(BJ538-BJ661)/BJ543</f>
        <v>25.360316946804847</v>
      </c>
      <c r="BK743" s="53">
        <f t="shared" si="8973"/>
        <v>25.788248584495513</v>
      </c>
      <c r="BL743" s="53">
        <f t="shared" ref="BL743:BM743" si="8974">(BL538-BL661)/BL543</f>
        <v>26.270818626897555</v>
      </c>
      <c r="BM743" s="53">
        <f t="shared" si="8974"/>
        <v>26.671829570425825</v>
      </c>
      <c r="BN743" s="53">
        <f t="shared" ref="BN743:BO743" si="8975">(BN538-BN661)/BN543</f>
        <v>27.121554458931126</v>
      </c>
      <c r="BO743" s="53">
        <f t="shared" si="8975"/>
        <v>27.503670105110288</v>
      </c>
      <c r="BP743" s="53">
        <f t="shared" ref="BP743:BQ743" si="8976">(BP538-BP661)/BP543</f>
        <v>27.939582759292641</v>
      </c>
      <c r="BQ743" s="53">
        <f t="shared" si="8976"/>
        <v>28.321642898553655</v>
      </c>
      <c r="BR743" s="53"/>
      <c r="BS743" s="53">
        <f t="shared" ref="BS743:CB743" si="8977">(BS538-BS661)/BS543</f>
        <v>3.4</v>
      </c>
      <c r="BT743" s="53">
        <f t="shared" si="8977"/>
        <v>3.4299999999999997</v>
      </c>
      <c r="BU743" s="53">
        <f t="shared" si="8977"/>
        <v>3.58</v>
      </c>
      <c r="BV743" s="53">
        <f t="shared" si="8977"/>
        <v>3.9400000000000004</v>
      </c>
      <c r="BW743" s="53">
        <f t="shared" si="8977"/>
        <v>4.24</v>
      </c>
      <c r="BX743" s="53">
        <f t="shared" si="8977"/>
        <v>4.59</v>
      </c>
      <c r="BY743" s="53">
        <f t="shared" si="8977"/>
        <v>4.9800000000000004</v>
      </c>
      <c r="BZ743" s="53">
        <f t="shared" si="8977"/>
        <v>5.1644064063587694</v>
      </c>
      <c r="CA743" s="53">
        <f t="shared" si="8977"/>
        <v>5.4511377878103833</v>
      </c>
      <c r="CB743" s="53">
        <f t="shared" si="8977"/>
        <v>4.0475349002217298</v>
      </c>
      <c r="CC743" s="53">
        <f t="shared" ref="CC743:CO743" si="8978">(CC538-CC661)/CC543</f>
        <v>6.5261698237914754</v>
      </c>
      <c r="CD743" s="53">
        <f t="shared" si="8978"/>
        <v>7.4310286048498391</v>
      </c>
      <c r="CE743" s="53">
        <f t="shared" si="8978"/>
        <v>7.5110250560932688</v>
      </c>
      <c r="CF743" s="53">
        <f t="shared" si="8978"/>
        <v>7.9224563677179152</v>
      </c>
      <c r="CG743" s="53">
        <f t="shared" si="8978"/>
        <v>8.6757558782532946</v>
      </c>
      <c r="CH743" s="53">
        <f t="shared" si="8978"/>
        <v>9.5361985649166083</v>
      </c>
      <c r="CI743" s="53">
        <f t="shared" si="8978"/>
        <v>10.939830086734942</v>
      </c>
      <c r="CJ743" s="53">
        <f t="shared" si="8978"/>
        <v>11.268068818526652</v>
      </c>
      <c r="CK743" s="53">
        <f t="shared" si="8978"/>
        <v>10.777409619095989</v>
      </c>
      <c r="CL743" s="53">
        <f t="shared" si="8978"/>
        <v>11.940881437048306</v>
      </c>
      <c r="CM743" s="53">
        <f t="shared" si="8978"/>
        <v>12.770725060719805</v>
      </c>
      <c r="CN743" s="53">
        <f t="shared" si="8978"/>
        <v>14.156127455625617</v>
      </c>
      <c r="CO743" s="53">
        <f t="shared" si="8978"/>
        <v>15.446324832765001</v>
      </c>
      <c r="CP743" s="53">
        <f t="shared" ref="CP743:CX743" si="8979">(CP538-CP661)/CP543</f>
        <v>17.713795158989907</v>
      </c>
      <c r="CQ743" s="53">
        <f t="shared" si="8979"/>
        <v>17.739954885738687</v>
      </c>
      <c r="CR743" s="53">
        <f t="shared" si="8979"/>
        <v>18.185671661404793</v>
      </c>
      <c r="CS743" s="53">
        <f t="shared" si="8979"/>
        <v>19.249164205053919</v>
      </c>
      <c r="CT743" s="53">
        <f t="shared" si="8979"/>
        <v>20.035371884322974</v>
      </c>
      <c r="CU743" s="53">
        <f t="shared" si="8979"/>
        <v>20.239758513170585</v>
      </c>
      <c r="CV743" s="53">
        <f t="shared" si="8979"/>
        <v>21.257602973988138</v>
      </c>
      <c r="CW743" s="53">
        <f t="shared" si="8979"/>
        <v>21.046021651540105</v>
      </c>
      <c r="CX743" s="53">
        <f t="shared" si="8979"/>
        <v>22.079755616382776</v>
      </c>
      <c r="CY743" s="53">
        <f t="shared" ref="CY743:DD743" si="8980">(CY538-CY661)/CY543</f>
        <v>21.680421385630755</v>
      </c>
      <c r="CZ743" s="216">
        <f t="shared" si="8980"/>
        <v>21.994823577831472</v>
      </c>
      <c r="DA743" s="53">
        <f t="shared" si="8980"/>
        <v>23.142311395039812</v>
      </c>
      <c r="DB743" s="53">
        <f t="shared" si="8980"/>
        <v>23.577899761045202</v>
      </c>
      <c r="DC743" s="53">
        <f t="shared" si="8980"/>
        <v>23.894456094721033</v>
      </c>
      <c r="DD743" s="53">
        <f t="shared" si="8980"/>
        <v>24.233273078820776</v>
      </c>
      <c r="DE743" s="53">
        <f t="shared" ref="DE743" si="8981">(DE538-DE661)/DE543</f>
        <v>24.915199324508169</v>
      </c>
      <c r="DF743" s="53">
        <f t="shared" ref="DF743" si="8982">(DF538-DF661)/DF543</f>
        <v>25.788248584495502</v>
      </c>
      <c r="DG743" s="53">
        <f>(DG538-DG661)/DG543</f>
        <v>26.671829570425807</v>
      </c>
      <c r="DH743" s="53">
        <f>(DH538-DH661)/DH543</f>
        <v>27.503670105110274</v>
      </c>
      <c r="DI743" s="53">
        <f>(DI538-DI661)/DI543</f>
        <v>28.321642898553641</v>
      </c>
    </row>
    <row r="744" spans="1:113" ht="12" outlineLevel="1">
      <c r="A744" s="1" t="s">
        <v>2299</v>
      </c>
      <c r="B744" s="15" t="s">
        <v>2300</v>
      </c>
      <c r="C744" s="53" t="e">
        <f t="shared" ref="C744:AF744" si="8983" xml:space="preserve"> (C538-C661-C595)/(C543-C595/C143)</f>
        <v>#VALUE!</v>
      </c>
      <c r="D744" s="53">
        <f t="shared" si="8983"/>
        <v>5.1991511556571721</v>
      </c>
      <c r="E744" s="53">
        <f t="shared" si="8983"/>
        <v>5.4386647656930034</v>
      </c>
      <c r="F744" s="53">
        <f t="shared" si="8983"/>
        <v>6.3634757709564749</v>
      </c>
      <c r="G744" s="53">
        <f t="shared" si="8983"/>
        <v>6.7605495359781989</v>
      </c>
      <c r="H744" s="53">
        <f t="shared" si="8983"/>
        <v>6.5421062844766826</v>
      </c>
      <c r="I744" s="53">
        <f t="shared" si="8983"/>
        <v>7.1956128452880934</v>
      </c>
      <c r="J744" s="53">
        <f t="shared" si="8983"/>
        <v>8.2427888628748125</v>
      </c>
      <c r="K744" s="53">
        <f t="shared" si="8983"/>
        <v>7.5878493564689959</v>
      </c>
      <c r="L744" s="53">
        <f t="shared" si="8983"/>
        <v>8.2743334070166235</v>
      </c>
      <c r="M744" s="53">
        <f t="shared" si="8983"/>
        <v>8.3101931167634699</v>
      </c>
      <c r="N744" s="53">
        <f t="shared" si="8983"/>
        <v>8.8879401005175822</v>
      </c>
      <c r="O744" s="53">
        <f t="shared" si="8983"/>
        <v>9.3558726113262871</v>
      </c>
      <c r="P744" s="53">
        <f t="shared" si="8983"/>
        <v>9.9672848642544345</v>
      </c>
      <c r="Q744" s="53">
        <f t="shared" si="8983"/>
        <v>10.410308423478581</v>
      </c>
      <c r="R744" s="53">
        <f t="shared" si="8983"/>
        <v>11.212037812875993</v>
      </c>
      <c r="S744" s="53">
        <f t="shared" si="8983"/>
        <v>10.629167064918041</v>
      </c>
      <c r="T744" s="53">
        <f t="shared" si="8983"/>
        <v>9.2895681940465149</v>
      </c>
      <c r="U744" s="53">
        <f t="shared" si="8983"/>
        <v>9.8935082788277402</v>
      </c>
      <c r="V744" s="53">
        <f t="shared" si="8983"/>
        <v>11.43127465927595</v>
      </c>
      <c r="W744" s="53">
        <f t="shared" si="8983"/>
        <v>12.319548923458038</v>
      </c>
      <c r="X744" s="53">
        <f t="shared" si="8983"/>
        <v>12.413442341869624</v>
      </c>
      <c r="Y744" s="53">
        <f t="shared" si="8983"/>
        <v>12.881008896477194</v>
      </c>
      <c r="Z744" s="53">
        <f t="shared" si="8983"/>
        <v>13.156927886307532</v>
      </c>
      <c r="AA744" s="53">
        <f t="shared" si="8983"/>
        <v>14.00858933358662</v>
      </c>
      <c r="AB744" s="53">
        <f t="shared" si="8983"/>
        <v>14.920176433664963</v>
      </c>
      <c r="AC744" s="53">
        <f t="shared" si="8983"/>
        <v>15.579274592654116</v>
      </c>
      <c r="AD744" s="53">
        <f t="shared" ref="AD744:AE744" si="8984" xml:space="preserve"> (AD538-AD661-AD595)/(AD543-AD595/AD143)</f>
        <v>16.777199408275337</v>
      </c>
      <c r="AE744" s="53">
        <f t="shared" si="8984"/>
        <v>17.372395682263516</v>
      </c>
      <c r="AF744" s="53">
        <f t="shared" si="8983"/>
        <v>17.418636667192828</v>
      </c>
      <c r="AG744" s="53">
        <f t="shared" ref="AG744:AH744" si="8985" xml:space="preserve"> (AG538-AG661-AG595)/(AG543-AG595/AG143)</f>
        <v>17.880590341171839</v>
      </c>
      <c r="AH744" s="53">
        <f t="shared" si="8985"/>
        <v>17.751282717518123</v>
      </c>
      <c r="AI744" s="53">
        <f t="shared" ref="AI744:AJ744" si="8986" xml:space="preserve"> (AI538-AI661-AI595)/(AI543-AI595/AI143)</f>
        <v>18.138825134907837</v>
      </c>
      <c r="AJ744" s="53">
        <f t="shared" si="8986"/>
        <v>18.832656272197262</v>
      </c>
      <c r="AK744" s="53">
        <f t="shared" ref="AK744:AL744" si="8987" xml:space="preserve"> (AK538-AK661-AK595)/(AK543-AK595/AK143)</f>
        <v>18.719535355032562</v>
      </c>
      <c r="AL744" s="53">
        <f t="shared" si="8987"/>
        <v>19.227131816045489</v>
      </c>
      <c r="AM744" s="53">
        <f t="shared" ref="AM744:AN744" si="8988" xml:space="preserve"> (AM538-AM661-AM595)/(AM543-AM595/AM143)</f>
        <v>19.732152392254815</v>
      </c>
      <c r="AN744" s="53">
        <f t="shared" si="8988"/>
        <v>19.663940319208763</v>
      </c>
      <c r="AO744" s="53">
        <f t="shared" ref="AO744" si="8989" xml:space="preserve"> (AO538-AO661-AO595)/(AO543-AO595/AO143)</f>
        <v>20.180842023791513</v>
      </c>
      <c r="AP744" s="53">
        <f t="shared" ref="AP744:AQ744" si="8990" xml:space="preserve"> (AP538-AP661-AP595)/(AP543-AP595/AP143)</f>
        <v>21.704456074081616</v>
      </c>
      <c r="AQ744" s="53">
        <f t="shared" si="8990"/>
        <v>20.502522342541784</v>
      </c>
      <c r="AR744" s="53">
        <f t="shared" ref="AR744:AS744" si="8991" xml:space="preserve"> (AR538-AR661-AR595)/(AR543-AR595/AR143)</f>
        <v>20.28422206136495</v>
      </c>
      <c r="AS744" s="53">
        <f t="shared" si="8991"/>
        <v>-14.583923065405793</v>
      </c>
      <c r="AT744" s="53">
        <f t="shared" ref="AT744:AU744" si="8992" xml:space="preserve"> (AT538-AT661-AT595)/(AT543-AT595/AT143)</f>
        <v>22.463909319458072</v>
      </c>
      <c r="AU744" s="53">
        <f t="shared" si="8992"/>
        <v>24.909057257851046</v>
      </c>
      <c r="AV744" s="53">
        <f t="shared" ref="AV744:AW744" si="8993" xml:space="preserve"> (AV538-AV661-AV595)/(AV543-AV595/AV143)</f>
        <v>21.276890822955536</v>
      </c>
      <c r="AW744" s="53">
        <f t="shared" si="8993"/>
        <v>21.153973206045286</v>
      </c>
      <c r="AX744" s="53">
        <f t="shared" ref="AX744" si="8994" xml:space="preserve"> (AX538-AX661-AX595)/(AX543-AX595/AX143)</f>
        <v>21.865853134359387</v>
      </c>
      <c r="AY744" s="216">
        <f t="shared" ref="AY744" si="8995" xml:space="preserve"> (AY538-AY661-AY595)/(AY543-AY595/AY143)</f>
        <v>21.502373072331064</v>
      </c>
      <c r="AZ744" s="53">
        <f t="shared" ref="AZ744:BA744" si="8996" xml:space="preserve"> (AZ538-AZ661-AZ595)/(AZ543-AZ595/AZ143)</f>
        <v>22.021887825697117</v>
      </c>
      <c r="BA744" s="53">
        <f t="shared" si="8996"/>
        <v>22.265721235454716</v>
      </c>
      <c r="BB744" s="53">
        <f t="shared" ref="BB744:BC744" si="8997" xml:space="preserve"> (BB538-BB661-BB595)/(BB543-BB595/BB143)</f>
        <v>22.479254116949161</v>
      </c>
      <c r="BC744" s="53">
        <f t="shared" si="8997"/>
        <v>22.62728856556776</v>
      </c>
      <c r="BD744" s="53">
        <f t="shared" ref="BD744:BE744" si="8998" xml:space="preserve"> (BD538-BD661-BD595)/(BD543-BD595/BD143)</f>
        <v>22.858401231777613</v>
      </c>
      <c r="BE744" s="53">
        <f t="shared" si="8998"/>
        <v>23.033563732112654</v>
      </c>
      <c r="BF744" s="53">
        <f t="shared" ref="BF744:BG744" si="8999" xml:space="preserve"> (BF538-BF661-BF595)/(BF543-BF595/BF143)</f>
        <v>23.277775281474163</v>
      </c>
      <c r="BG744" s="53">
        <f t="shared" si="8999"/>
        <v>23.477272044813688</v>
      </c>
      <c r="BH744" s="53">
        <f t="shared" ref="BH744:BI744" si="9000" xml:space="preserve"> (BH538-BH661-BH595)/(BH543-BH595/BH143)</f>
        <v>23.793318455338682</v>
      </c>
      <c r="BI744" s="53">
        <f t="shared" si="9000"/>
        <v>24.051082918295002</v>
      </c>
      <c r="BJ744" s="53">
        <f t="shared" ref="BJ744:BK744" si="9001" xml:space="preserve"> (BJ538-BJ661-BJ595)/(BJ543-BJ595/BJ143)</f>
        <v>24.404738086932191</v>
      </c>
      <c r="BK744" s="53">
        <f t="shared" si="9001"/>
        <v>24.736219328843656</v>
      </c>
      <c r="BL744" s="53">
        <f t="shared" ref="BL744:BM744" si="9002" xml:space="preserve"> (BL538-BL661-BL595)/(BL543-BL595/BL143)</f>
        <v>25.090296351278976</v>
      </c>
      <c r="BM744" s="53">
        <f t="shared" si="9002"/>
        <v>25.410718980101965</v>
      </c>
      <c r="BN744" s="53">
        <f t="shared" ref="BN744:BO744" si="9003" xml:space="preserve"> (BN538-BN661-BN595)/(BN543-BN595/BN143)</f>
        <v>25.770982514997126</v>
      </c>
      <c r="BO744" s="53">
        <f t="shared" si="9003"/>
        <v>26.108380773443418</v>
      </c>
      <c r="BP744" s="53">
        <f t="shared" ref="BP744:BQ744" si="9004" xml:space="preserve"> (BP538-BP661-BP595)/(BP543-BP595/BP143)</f>
        <v>26.486333711281436</v>
      </c>
      <c r="BQ744" s="53">
        <f t="shared" si="9004"/>
        <v>26.85126690211554</v>
      </c>
      <c r="BR744" s="53"/>
      <c r="BS744" s="53">
        <f t="shared" ref="BS744:CB744" si="9005" xml:space="preserve"> (BS538-BS661-BS595)/(BS543-BS595/BS143)</f>
        <v>1.6243100435466795</v>
      </c>
      <c r="BT744" s="53">
        <f t="shared" si="9005"/>
        <v>6.0311534531585727</v>
      </c>
      <c r="BU744" s="53">
        <f t="shared" si="9005"/>
        <v>19.269058671454538</v>
      </c>
      <c r="BV744" s="53">
        <f t="shared" si="9005"/>
        <v>-945.16250125814292</v>
      </c>
      <c r="BW744" s="53">
        <f t="shared" si="9005"/>
        <v>4.0945716536780949</v>
      </c>
      <c r="BX744" s="53">
        <f t="shared" si="9005"/>
        <v>4.1255956503355753</v>
      </c>
      <c r="BY744" s="53">
        <f t="shared" si="9005"/>
        <v>4.2302573716863847</v>
      </c>
      <c r="BZ744" s="53">
        <f t="shared" si="9005"/>
        <v>4.2812318415480695</v>
      </c>
      <c r="CA744" s="53">
        <f t="shared" si="9005"/>
        <v>4.0499330863277043</v>
      </c>
      <c r="CB744" s="53">
        <f t="shared" si="9005"/>
        <v>2.0470753989956454</v>
      </c>
      <c r="CC744" s="53">
        <f>E744</f>
        <v>5.4386647656930034</v>
      </c>
      <c r="CD744" s="53">
        <f>G744</f>
        <v>6.7605495359781989</v>
      </c>
      <c r="CE744" s="53">
        <f>I744</f>
        <v>7.1956128452880934</v>
      </c>
      <c r="CF744" s="53">
        <f>K744</f>
        <v>7.5878493564689959</v>
      </c>
      <c r="CG744" s="53">
        <f>M744</f>
        <v>8.3101931167634699</v>
      </c>
      <c r="CH744" s="53">
        <f>O744</f>
        <v>9.3558726113262871</v>
      </c>
      <c r="CI744" s="53">
        <f>Q744</f>
        <v>10.410308423478581</v>
      </c>
      <c r="CJ744" s="53">
        <f>S744</f>
        <v>10.629167064918041</v>
      </c>
      <c r="CK744" s="53">
        <f>U744</f>
        <v>9.8935082788277402</v>
      </c>
      <c r="CL744" s="53">
        <f>W744</f>
        <v>12.319548923458038</v>
      </c>
      <c r="CM744" s="53">
        <f>Y744</f>
        <v>12.881008896477194</v>
      </c>
      <c r="CN744" s="53">
        <f>AA744</f>
        <v>14.00858933358662</v>
      </c>
      <c r="CO744" s="53">
        <f>AC744</f>
        <v>15.579274592654116</v>
      </c>
      <c r="CP744" s="53">
        <f>AE744</f>
        <v>17.372395682263516</v>
      </c>
      <c r="CQ744" s="53">
        <f>AG744</f>
        <v>17.880590341171839</v>
      </c>
      <c r="CR744" s="53">
        <f>AI744</f>
        <v>18.138825134907837</v>
      </c>
      <c r="CS744" s="53">
        <f>AK744</f>
        <v>18.719535355032562</v>
      </c>
      <c r="CT744" s="53">
        <f>AM744</f>
        <v>19.732152392254815</v>
      </c>
      <c r="CU744" s="53">
        <f>AO744</f>
        <v>20.180842023791513</v>
      </c>
      <c r="CV744" s="53">
        <f>AQ744</f>
        <v>20.502522342541784</v>
      </c>
      <c r="CW744" s="53">
        <f>AS744</f>
        <v>-14.583923065405793</v>
      </c>
      <c r="CX744" s="53">
        <f>AU744</f>
        <v>24.909057257851046</v>
      </c>
      <c r="CY744" s="53">
        <f>AW744</f>
        <v>21.153973206045286</v>
      </c>
      <c r="CZ744" s="216">
        <f>AY744</f>
        <v>21.502373072331064</v>
      </c>
      <c r="DA744" s="53">
        <f>BA744</f>
        <v>22.265721235454716</v>
      </c>
      <c r="DB744" s="53">
        <f>BC744</f>
        <v>22.62728856556776</v>
      </c>
      <c r="DC744" s="53">
        <f>BE744</f>
        <v>23.033563732112654</v>
      </c>
      <c r="DD744" s="53">
        <f>BG744</f>
        <v>23.477272044813688</v>
      </c>
      <c r="DE744" s="53">
        <f>BI744</f>
        <v>24.051082918295002</v>
      </c>
      <c r="DF744" s="53">
        <f>BK744</f>
        <v>24.736219328843656</v>
      </c>
      <c r="DG744" s="53">
        <f>BM744</f>
        <v>25.410718980101965</v>
      </c>
      <c r="DH744" s="53">
        <f>BO744</f>
        <v>26.108380773443418</v>
      </c>
      <c r="DI744" s="53">
        <f>BQ744</f>
        <v>26.85126690211554</v>
      </c>
    </row>
    <row r="745" spans="1:113" ht="12" hidden="1" outlineLevel="2">
      <c r="A745" s="1" t="s">
        <v>967</v>
      </c>
      <c r="B745" s="15" t="s">
        <v>804</v>
      </c>
      <c r="C745" s="53"/>
      <c r="D745" s="53"/>
      <c r="E745" s="53"/>
      <c r="F745" s="53"/>
      <c r="G745" s="53"/>
      <c r="H745" s="53"/>
      <c r="I745" s="53"/>
      <c r="J745" s="53"/>
      <c r="K745" s="53"/>
      <c r="L745" s="53"/>
      <c r="M745" s="53"/>
      <c r="N745" s="53"/>
      <c r="O745" s="53"/>
      <c r="P745" s="53"/>
      <c r="Q745" s="53"/>
      <c r="R745" s="53"/>
      <c r="S745" s="53"/>
      <c r="T745" s="53"/>
      <c r="U745" s="53"/>
      <c r="V745" s="53"/>
      <c r="W745" s="53"/>
      <c r="X745" s="53"/>
      <c r="Y745" s="53"/>
      <c r="Z745" s="53"/>
      <c r="AA745" s="53"/>
      <c r="AB745" s="53"/>
      <c r="AC745" s="53"/>
      <c r="AD745" s="53"/>
      <c r="AE745" s="53"/>
      <c r="AF745" s="53"/>
      <c r="AG745" s="53"/>
      <c r="AH745" s="53"/>
      <c r="AI745" s="53"/>
      <c r="AJ745" s="53"/>
      <c r="AK745" s="53"/>
      <c r="AL745" s="53"/>
      <c r="AM745" s="53"/>
      <c r="AN745" s="53"/>
      <c r="AO745" s="53"/>
      <c r="AP745" s="53"/>
      <c r="AQ745" s="53"/>
      <c r="AR745" s="53"/>
      <c r="AS745" s="53"/>
      <c r="AT745" s="53"/>
      <c r="AU745" s="53"/>
      <c r="AV745" s="53"/>
      <c r="AW745" s="53"/>
      <c r="AX745" s="53"/>
      <c r="AY745" s="216"/>
      <c r="AZ745" s="53"/>
      <c r="BA745" s="53"/>
      <c r="BB745" s="53"/>
      <c r="BC745" s="53"/>
      <c r="BD745" s="53"/>
      <c r="BE745" s="53"/>
      <c r="BF745" s="53"/>
      <c r="BG745" s="53"/>
      <c r="BH745" s="53"/>
      <c r="BI745" s="53"/>
      <c r="BJ745" s="53"/>
      <c r="BK745" s="53"/>
      <c r="BL745" s="53"/>
      <c r="BM745" s="53"/>
      <c r="BN745" s="53"/>
      <c r="BO745" s="53"/>
      <c r="BP745" s="53"/>
      <c r="BQ745" s="53"/>
      <c r="BR745" s="53"/>
      <c r="BS745" s="53"/>
      <c r="BT745" s="53"/>
      <c r="BU745" s="53"/>
      <c r="BV745" s="53"/>
      <c r="BW745" s="53"/>
      <c r="BX745" s="53"/>
      <c r="BY745" s="53"/>
      <c r="BZ745" s="53"/>
      <c r="CA745" s="53"/>
      <c r="CB745" s="53"/>
      <c r="CC745" s="53"/>
      <c r="CD745" s="53"/>
      <c r="CE745" s="53"/>
      <c r="CF745" s="53"/>
      <c r="CG745" s="53"/>
      <c r="CH745" s="53"/>
      <c r="CI745" s="53"/>
      <c r="CJ745" s="53"/>
      <c r="CK745" s="53"/>
      <c r="CL745" s="53"/>
      <c r="CM745" s="53"/>
      <c r="CN745" s="53"/>
      <c r="CO745" s="53"/>
      <c r="CP745" s="53"/>
      <c r="CQ745" s="53"/>
      <c r="CR745" s="53"/>
      <c r="CS745" s="53"/>
      <c r="CT745" s="53"/>
      <c r="CU745" s="53"/>
      <c r="CV745" s="53"/>
      <c r="CW745" s="53"/>
      <c r="CX745" s="53"/>
      <c r="CY745" s="53"/>
      <c r="CZ745" s="216"/>
      <c r="DA745" s="53"/>
      <c r="DB745" s="15"/>
      <c r="DC745" s="15"/>
      <c r="DD745" s="15"/>
      <c r="DE745" s="15"/>
      <c r="DF745" s="15"/>
      <c r="DG745" s="15"/>
      <c r="DH745" s="15"/>
      <c r="DI745" s="15"/>
    </row>
    <row r="746" spans="1:113" ht="12" hidden="1" outlineLevel="2">
      <c r="A746" s="1" t="s">
        <v>34</v>
      </c>
      <c r="B746" s="15" t="s">
        <v>804</v>
      </c>
      <c r="C746" s="53"/>
      <c r="D746" s="53"/>
      <c r="E746" s="53"/>
      <c r="F746" s="53"/>
      <c r="G746" s="53"/>
      <c r="H746" s="53"/>
      <c r="I746" s="53"/>
      <c r="J746" s="53"/>
      <c r="K746" s="53"/>
      <c r="L746" s="53"/>
      <c r="M746" s="53"/>
      <c r="N746" s="53"/>
      <c r="O746" s="53"/>
      <c r="P746" s="53"/>
      <c r="Q746" s="53"/>
      <c r="R746" s="53"/>
      <c r="S746" s="53"/>
      <c r="T746" s="53"/>
      <c r="U746" s="53"/>
      <c r="V746" s="53"/>
      <c r="W746" s="53"/>
      <c r="X746" s="53"/>
      <c r="Y746" s="53"/>
      <c r="Z746" s="53"/>
      <c r="AA746" s="53"/>
      <c r="AB746" s="53"/>
      <c r="AC746" s="53"/>
      <c r="AD746" s="53"/>
      <c r="AE746" s="53"/>
      <c r="AF746" s="53"/>
      <c r="AG746" s="53"/>
      <c r="AH746" s="53"/>
      <c r="AI746" s="53"/>
      <c r="AJ746" s="53"/>
      <c r="AK746" s="53"/>
      <c r="AL746" s="53"/>
      <c r="AM746" s="53"/>
      <c r="AN746" s="53"/>
      <c r="AO746" s="53"/>
      <c r="AP746" s="53"/>
      <c r="AQ746" s="53"/>
      <c r="AR746" s="53"/>
      <c r="AS746" s="53"/>
      <c r="AT746" s="53"/>
      <c r="AU746" s="53"/>
      <c r="AV746" s="53"/>
      <c r="AW746" s="53"/>
      <c r="AX746" s="53"/>
      <c r="AY746" s="216"/>
      <c r="AZ746" s="53"/>
      <c r="BA746" s="53"/>
      <c r="BB746" s="53"/>
      <c r="BC746" s="53"/>
      <c r="BD746" s="53"/>
      <c r="BE746" s="53"/>
      <c r="BF746" s="53"/>
      <c r="BG746" s="53"/>
      <c r="BH746" s="53"/>
      <c r="BI746" s="53"/>
      <c r="BJ746" s="53"/>
      <c r="BK746" s="53"/>
      <c r="BL746" s="53"/>
      <c r="BM746" s="53"/>
      <c r="BN746" s="53"/>
      <c r="BO746" s="53"/>
      <c r="BP746" s="53"/>
      <c r="BQ746" s="53"/>
      <c r="BR746" s="53"/>
      <c r="BS746" s="53"/>
      <c r="BT746" s="53"/>
      <c r="BU746" s="53"/>
      <c r="BV746" s="53"/>
      <c r="BW746" s="53"/>
      <c r="BX746" s="53"/>
      <c r="BY746" s="53"/>
      <c r="BZ746" s="53"/>
      <c r="CA746" s="53"/>
      <c r="CB746" s="53"/>
      <c r="CC746" s="53"/>
      <c r="CD746" s="53"/>
      <c r="CE746" s="53"/>
      <c r="CF746" s="53"/>
      <c r="CG746" s="53"/>
      <c r="CH746" s="53"/>
      <c r="CI746" s="53"/>
      <c r="CJ746" s="53"/>
      <c r="CK746" s="53"/>
      <c r="CL746" s="53"/>
      <c r="CM746" s="53"/>
      <c r="CN746" s="53"/>
      <c r="CO746" s="53"/>
      <c r="CP746" s="53"/>
      <c r="CQ746" s="53"/>
      <c r="CR746" s="53"/>
      <c r="CS746" s="53"/>
      <c r="CT746" s="53"/>
      <c r="CU746" s="53"/>
      <c r="CV746" s="53"/>
      <c r="CW746" s="53"/>
      <c r="CX746" s="53"/>
      <c r="CY746" s="53"/>
      <c r="CZ746" s="216"/>
      <c r="DA746" s="53"/>
      <c r="DB746" s="15"/>
      <c r="DC746" s="15"/>
      <c r="DD746" s="15"/>
      <c r="DE746" s="15"/>
      <c r="DF746" s="15"/>
      <c r="DG746" s="15"/>
      <c r="DH746" s="15"/>
      <c r="DI746" s="15"/>
    </row>
    <row r="747" spans="1:113" ht="12" hidden="1" outlineLevel="2">
      <c r="A747" s="1" t="s">
        <v>35</v>
      </c>
      <c r="B747" s="15" t="s">
        <v>804</v>
      </c>
      <c r="C747" s="53"/>
      <c r="D747" s="53"/>
      <c r="E747" s="53"/>
      <c r="F747" s="53"/>
      <c r="G747" s="53"/>
      <c r="H747" s="53"/>
      <c r="I747" s="53"/>
      <c r="J747" s="53"/>
      <c r="K747" s="53"/>
      <c r="L747" s="53"/>
      <c r="M747" s="53"/>
      <c r="N747" s="53"/>
      <c r="O747" s="53"/>
      <c r="P747" s="53"/>
      <c r="Q747" s="53"/>
      <c r="R747" s="53"/>
      <c r="S747" s="53"/>
      <c r="T747" s="53"/>
      <c r="U747" s="53"/>
      <c r="V747" s="53"/>
      <c r="W747" s="53"/>
      <c r="X747" s="53"/>
      <c r="Y747" s="53"/>
      <c r="Z747" s="53"/>
      <c r="AA747" s="53"/>
      <c r="AB747" s="53"/>
      <c r="AC747" s="53"/>
      <c r="AD747" s="53"/>
      <c r="AE747" s="53"/>
      <c r="AF747" s="53"/>
      <c r="AG747" s="53"/>
      <c r="AH747" s="53"/>
      <c r="AI747" s="53"/>
      <c r="AJ747" s="53"/>
      <c r="AK747" s="53"/>
      <c r="AL747" s="53"/>
      <c r="AM747" s="53"/>
      <c r="AN747" s="53"/>
      <c r="AO747" s="53"/>
      <c r="AP747" s="53"/>
      <c r="AQ747" s="53"/>
      <c r="AR747" s="53"/>
      <c r="AS747" s="53"/>
      <c r="AT747" s="53"/>
      <c r="AU747" s="53"/>
      <c r="AV747" s="53"/>
      <c r="AW747" s="53"/>
      <c r="AX747" s="53"/>
      <c r="AY747" s="216"/>
      <c r="AZ747" s="53"/>
      <c r="BA747" s="53"/>
      <c r="BB747" s="53"/>
      <c r="BC747" s="53"/>
      <c r="BD747" s="53"/>
      <c r="BE747" s="53"/>
      <c r="BF747" s="53"/>
      <c r="BG747" s="53"/>
      <c r="BH747" s="53"/>
      <c r="BI747" s="53"/>
      <c r="BJ747" s="53"/>
      <c r="BK747" s="53"/>
      <c r="BL747" s="53"/>
      <c r="BM747" s="53"/>
      <c r="BN747" s="53"/>
      <c r="BO747" s="53"/>
      <c r="BP747" s="53"/>
      <c r="BQ747" s="53"/>
      <c r="BR747" s="53"/>
      <c r="BS747" s="53"/>
      <c r="BT747" s="53"/>
      <c r="BU747" s="53"/>
      <c r="BV747" s="53"/>
      <c r="BW747" s="53"/>
      <c r="BX747" s="53"/>
      <c r="BY747" s="53"/>
      <c r="BZ747" s="53"/>
      <c r="CA747" s="53"/>
      <c r="CB747" s="53"/>
      <c r="CC747" s="53"/>
      <c r="CD747" s="53"/>
      <c r="CE747" s="53"/>
      <c r="CF747" s="53"/>
      <c r="CG747" s="53"/>
      <c r="CH747" s="53"/>
      <c r="CI747" s="53"/>
      <c r="CJ747" s="53"/>
      <c r="CK747" s="53"/>
      <c r="CL747" s="53"/>
      <c r="CM747" s="53"/>
      <c r="CN747" s="53"/>
      <c r="CO747" s="53"/>
      <c r="CP747" s="53"/>
      <c r="CQ747" s="53"/>
      <c r="CR747" s="53"/>
      <c r="CS747" s="53"/>
      <c r="CT747" s="53"/>
      <c r="CU747" s="53"/>
      <c r="CV747" s="53"/>
      <c r="CW747" s="53"/>
      <c r="CX747" s="53"/>
      <c r="CY747" s="53"/>
      <c r="CZ747" s="216"/>
      <c r="DA747" s="53"/>
      <c r="DB747" s="15"/>
      <c r="DC747" s="15"/>
      <c r="DD747" s="15"/>
      <c r="DE747" s="15"/>
      <c r="DF747" s="15"/>
      <c r="DG747" s="15"/>
      <c r="DH747" s="15"/>
      <c r="DI747" s="15"/>
    </row>
    <row r="748" spans="1:113" ht="12" hidden="1" outlineLevel="2">
      <c r="A748" s="1" t="s">
        <v>36</v>
      </c>
      <c r="B748" s="15" t="s">
        <v>804</v>
      </c>
      <c r="C748" s="53"/>
      <c r="D748" s="53"/>
      <c r="E748" s="53"/>
      <c r="F748" s="53"/>
      <c r="G748" s="53"/>
      <c r="H748" s="53"/>
      <c r="I748" s="53"/>
      <c r="J748" s="53"/>
      <c r="K748" s="53"/>
      <c r="L748" s="53"/>
      <c r="M748" s="53"/>
      <c r="N748" s="53"/>
      <c r="O748" s="53"/>
      <c r="P748" s="53"/>
      <c r="Q748" s="53"/>
      <c r="R748" s="53"/>
      <c r="S748" s="53"/>
      <c r="T748" s="53"/>
      <c r="U748" s="53"/>
      <c r="V748" s="53"/>
      <c r="W748" s="53"/>
      <c r="X748" s="53"/>
      <c r="Y748" s="53"/>
      <c r="Z748" s="53"/>
      <c r="AA748" s="53"/>
      <c r="AB748" s="53"/>
      <c r="AC748" s="53"/>
      <c r="AD748" s="53"/>
      <c r="AE748" s="53"/>
      <c r="AF748" s="53"/>
      <c r="AG748" s="53"/>
      <c r="AH748" s="53"/>
      <c r="AI748" s="53"/>
      <c r="AJ748" s="53"/>
      <c r="AK748" s="53"/>
      <c r="AL748" s="53"/>
      <c r="AM748" s="53"/>
      <c r="AN748" s="53"/>
      <c r="AO748" s="53"/>
      <c r="AP748" s="53"/>
      <c r="AQ748" s="53"/>
      <c r="AR748" s="53"/>
      <c r="AS748" s="53"/>
      <c r="AT748" s="53"/>
      <c r="AU748" s="53"/>
      <c r="AV748" s="53"/>
      <c r="AW748" s="53"/>
      <c r="AX748" s="53"/>
      <c r="AY748" s="216"/>
      <c r="AZ748" s="53"/>
      <c r="BA748" s="53"/>
      <c r="BB748" s="53"/>
      <c r="BC748" s="53"/>
      <c r="BD748" s="53"/>
      <c r="BE748" s="53"/>
      <c r="BF748" s="53"/>
      <c r="BG748" s="53"/>
      <c r="BH748" s="53"/>
      <c r="BI748" s="53"/>
      <c r="BJ748" s="53"/>
      <c r="BK748" s="53"/>
      <c r="BL748" s="53"/>
      <c r="BM748" s="53"/>
      <c r="BN748" s="53"/>
      <c r="BO748" s="53"/>
      <c r="BP748" s="53"/>
      <c r="BQ748" s="53"/>
      <c r="BR748" s="53"/>
      <c r="BS748" s="53"/>
      <c r="BT748" s="53"/>
      <c r="BU748" s="53"/>
      <c r="BV748" s="53"/>
      <c r="BW748" s="53"/>
      <c r="BX748" s="53"/>
      <c r="BY748" s="53"/>
      <c r="BZ748" s="53"/>
      <c r="CA748" s="53"/>
      <c r="CB748" s="53"/>
      <c r="CC748" s="53"/>
      <c r="CD748" s="53"/>
      <c r="CE748" s="53"/>
      <c r="CF748" s="53"/>
      <c r="CG748" s="53"/>
      <c r="CH748" s="53"/>
      <c r="CI748" s="53"/>
      <c r="CJ748" s="53"/>
      <c r="CK748" s="53"/>
      <c r="CL748" s="53"/>
      <c r="CM748" s="53"/>
      <c r="CN748" s="53"/>
      <c r="CO748" s="53"/>
      <c r="CP748" s="53"/>
      <c r="CQ748" s="53"/>
      <c r="CR748" s="53"/>
      <c r="CS748" s="53"/>
      <c r="CT748" s="53"/>
      <c r="CU748" s="53"/>
      <c r="CV748" s="53"/>
      <c r="CW748" s="53"/>
      <c r="CX748" s="53"/>
      <c r="CY748" s="53"/>
      <c r="CZ748" s="216"/>
      <c r="DA748" s="53"/>
      <c r="DB748" s="15"/>
      <c r="DC748" s="15"/>
      <c r="DD748" s="15"/>
      <c r="DE748" s="15"/>
      <c r="DF748" s="15"/>
      <c r="DG748" s="15"/>
      <c r="DH748" s="15"/>
      <c r="DI748" s="15"/>
    </row>
    <row r="749" spans="1:113" ht="12" hidden="1" outlineLevel="2">
      <c r="A749" s="1" t="s">
        <v>37</v>
      </c>
      <c r="B749" s="15" t="s">
        <v>804</v>
      </c>
      <c r="C749" s="53"/>
      <c r="D749" s="53"/>
      <c r="E749" s="53"/>
      <c r="F749" s="53"/>
      <c r="G749" s="53"/>
      <c r="H749" s="53"/>
      <c r="I749" s="53"/>
      <c r="J749" s="53"/>
      <c r="K749" s="53"/>
      <c r="L749" s="53"/>
      <c r="M749" s="53"/>
      <c r="N749" s="53"/>
      <c r="O749" s="53"/>
      <c r="P749" s="53"/>
      <c r="Q749" s="53"/>
      <c r="R749" s="53"/>
      <c r="S749" s="53"/>
      <c r="T749" s="53"/>
      <c r="U749" s="53"/>
      <c r="V749" s="53"/>
      <c r="W749" s="53"/>
      <c r="X749" s="53"/>
      <c r="Y749" s="53"/>
      <c r="Z749" s="53"/>
      <c r="AA749" s="53"/>
      <c r="AB749" s="53"/>
      <c r="AC749" s="53"/>
      <c r="AD749" s="53"/>
      <c r="AE749" s="53"/>
      <c r="AF749" s="53"/>
      <c r="AG749" s="53"/>
      <c r="AH749" s="53"/>
      <c r="AI749" s="53"/>
      <c r="AJ749" s="53"/>
      <c r="AK749" s="53"/>
      <c r="AL749" s="53"/>
      <c r="AM749" s="53"/>
      <c r="AN749" s="53"/>
      <c r="AO749" s="53"/>
      <c r="AP749" s="53"/>
      <c r="AQ749" s="53"/>
      <c r="AR749" s="53"/>
      <c r="AS749" s="53"/>
      <c r="AT749" s="53"/>
      <c r="AU749" s="53"/>
      <c r="AV749" s="53"/>
      <c r="AW749" s="53"/>
      <c r="AX749" s="53"/>
      <c r="AY749" s="216"/>
      <c r="AZ749" s="53"/>
      <c r="BA749" s="53"/>
      <c r="BB749" s="53"/>
      <c r="BC749" s="53"/>
      <c r="BD749" s="53"/>
      <c r="BE749" s="53"/>
      <c r="BF749" s="53"/>
      <c r="BG749" s="53"/>
      <c r="BH749" s="53"/>
      <c r="BI749" s="53"/>
      <c r="BJ749" s="53"/>
      <c r="BK749" s="53"/>
      <c r="BL749" s="53"/>
      <c r="BM749" s="53"/>
      <c r="BN749" s="53"/>
      <c r="BO749" s="53"/>
      <c r="BP749" s="53"/>
      <c r="BQ749" s="53"/>
      <c r="BR749" s="53"/>
      <c r="BS749" s="53"/>
      <c r="BT749" s="53"/>
      <c r="BU749" s="53"/>
      <c r="BV749" s="53"/>
      <c r="BW749" s="53"/>
      <c r="BX749" s="53"/>
      <c r="BY749" s="53"/>
      <c r="BZ749" s="53"/>
      <c r="CA749" s="53"/>
      <c r="CB749" s="53"/>
      <c r="CC749" s="53"/>
      <c r="CD749" s="53"/>
      <c r="CE749" s="53"/>
      <c r="CF749" s="53"/>
      <c r="CG749" s="53"/>
      <c r="CH749" s="53"/>
      <c r="CI749" s="53"/>
      <c r="CJ749" s="53"/>
      <c r="CK749" s="53"/>
      <c r="CL749" s="53"/>
      <c r="CM749" s="53"/>
      <c r="CN749" s="53"/>
      <c r="CO749" s="53"/>
      <c r="CP749" s="53"/>
      <c r="CQ749" s="53"/>
      <c r="CR749" s="53"/>
      <c r="CS749" s="53"/>
      <c r="CT749" s="53"/>
      <c r="CU749" s="53"/>
      <c r="CV749" s="53"/>
      <c r="CW749" s="53"/>
      <c r="CX749" s="53"/>
      <c r="CY749" s="53"/>
      <c r="CZ749" s="216"/>
      <c r="DA749" s="53"/>
      <c r="DB749" s="15"/>
      <c r="DC749" s="15"/>
      <c r="DD749" s="15"/>
      <c r="DE749" s="15"/>
      <c r="DF749" s="15"/>
      <c r="DG749" s="15"/>
      <c r="DH749" s="15"/>
      <c r="DI749" s="15"/>
    </row>
    <row r="750" spans="1:113" ht="12" hidden="1" outlineLevel="2">
      <c r="A750" s="1" t="s">
        <v>12</v>
      </c>
      <c r="B750" s="15" t="s">
        <v>804</v>
      </c>
      <c r="C750" s="53"/>
      <c r="D750" s="53"/>
      <c r="E750" s="53"/>
      <c r="F750" s="53"/>
      <c r="G750" s="53"/>
      <c r="H750" s="53"/>
      <c r="I750" s="53"/>
      <c r="J750" s="53"/>
      <c r="K750" s="53"/>
      <c r="L750" s="53"/>
      <c r="M750" s="53"/>
      <c r="N750" s="53"/>
      <c r="O750" s="53"/>
      <c r="P750" s="53"/>
      <c r="Q750" s="53"/>
      <c r="R750" s="53"/>
      <c r="S750" s="53"/>
      <c r="T750" s="53"/>
      <c r="U750" s="53"/>
      <c r="V750" s="53"/>
      <c r="W750" s="53"/>
      <c r="X750" s="53"/>
      <c r="Y750" s="53"/>
      <c r="Z750" s="53"/>
      <c r="AA750" s="53"/>
      <c r="AB750" s="53"/>
      <c r="AC750" s="53"/>
      <c r="AD750" s="53"/>
      <c r="AE750" s="53"/>
      <c r="AF750" s="53"/>
      <c r="AG750" s="53"/>
      <c r="AH750" s="53"/>
      <c r="AI750" s="53"/>
      <c r="AJ750" s="53"/>
      <c r="AK750" s="53"/>
      <c r="AL750" s="53"/>
      <c r="AM750" s="53"/>
      <c r="AN750" s="53"/>
      <c r="AO750" s="53"/>
      <c r="AP750" s="53"/>
      <c r="AQ750" s="53"/>
      <c r="AR750" s="53"/>
      <c r="AS750" s="53"/>
      <c r="AT750" s="53"/>
      <c r="AU750" s="53"/>
      <c r="AV750" s="53"/>
      <c r="AW750" s="53"/>
      <c r="AX750" s="53"/>
      <c r="AY750" s="216"/>
      <c r="AZ750" s="53"/>
      <c r="BA750" s="53"/>
      <c r="BB750" s="53"/>
      <c r="BC750" s="53"/>
      <c r="BD750" s="53"/>
      <c r="BE750" s="53"/>
      <c r="BF750" s="53"/>
      <c r="BG750" s="53"/>
      <c r="BH750" s="53"/>
      <c r="BI750" s="53"/>
      <c r="BJ750" s="53"/>
      <c r="BK750" s="53"/>
      <c r="BL750" s="53"/>
      <c r="BM750" s="53"/>
      <c r="BN750" s="53"/>
      <c r="BO750" s="53"/>
      <c r="BP750" s="53"/>
      <c r="BQ750" s="53"/>
      <c r="BR750" s="53"/>
      <c r="BS750" s="53"/>
      <c r="BT750" s="53"/>
      <c r="BU750" s="53"/>
      <c r="BV750" s="53"/>
      <c r="BW750" s="53"/>
      <c r="BX750" s="53"/>
      <c r="BY750" s="53"/>
      <c r="BZ750" s="53"/>
      <c r="CA750" s="53"/>
      <c r="CB750" s="53"/>
      <c r="CC750" s="53"/>
      <c r="CD750" s="53"/>
      <c r="CE750" s="53"/>
      <c r="CF750" s="53"/>
      <c r="CG750" s="53"/>
      <c r="CH750" s="53"/>
      <c r="CI750" s="53"/>
      <c r="CJ750" s="53"/>
      <c r="CK750" s="53"/>
      <c r="CL750" s="53"/>
      <c r="CM750" s="53"/>
      <c r="CN750" s="53"/>
      <c r="CO750" s="53"/>
      <c r="CP750" s="53"/>
      <c r="CQ750" s="53"/>
      <c r="CR750" s="53"/>
      <c r="CS750" s="53"/>
      <c r="CT750" s="53"/>
      <c r="CU750" s="53"/>
      <c r="CV750" s="53"/>
      <c r="CW750" s="53"/>
      <c r="CX750" s="53"/>
      <c r="CY750" s="53"/>
      <c r="CZ750" s="216"/>
      <c r="DA750" s="53"/>
      <c r="DB750" s="15"/>
      <c r="DC750" s="15"/>
      <c r="DD750" s="15"/>
      <c r="DE750" s="15"/>
      <c r="DF750" s="15"/>
      <c r="DG750" s="15"/>
      <c r="DH750" s="15"/>
      <c r="DI750" s="15"/>
    </row>
    <row r="751" spans="1:113" ht="12" hidden="1" outlineLevel="2">
      <c r="A751" s="1" t="s">
        <v>13</v>
      </c>
      <c r="B751" s="15" t="s">
        <v>804</v>
      </c>
      <c r="C751" s="53"/>
      <c r="D751" s="53"/>
      <c r="E751" s="53"/>
      <c r="F751" s="53"/>
      <c r="G751" s="53"/>
      <c r="H751" s="53"/>
      <c r="I751" s="53"/>
      <c r="J751" s="53"/>
      <c r="K751" s="53"/>
      <c r="L751" s="53"/>
      <c r="M751" s="53"/>
      <c r="N751" s="53"/>
      <c r="O751" s="53"/>
      <c r="P751" s="53"/>
      <c r="Q751" s="53"/>
      <c r="R751" s="53"/>
      <c r="S751" s="53"/>
      <c r="T751" s="53"/>
      <c r="U751" s="53"/>
      <c r="V751" s="53"/>
      <c r="W751" s="53"/>
      <c r="X751" s="53"/>
      <c r="Y751" s="53"/>
      <c r="Z751" s="53"/>
      <c r="AA751" s="53"/>
      <c r="AB751" s="53"/>
      <c r="AC751" s="53"/>
      <c r="AD751" s="53"/>
      <c r="AE751" s="53"/>
      <c r="AF751" s="53"/>
      <c r="AG751" s="53"/>
      <c r="AH751" s="53"/>
      <c r="AI751" s="53"/>
      <c r="AJ751" s="53"/>
      <c r="AK751" s="53"/>
      <c r="AL751" s="53"/>
      <c r="AM751" s="53"/>
      <c r="AN751" s="53"/>
      <c r="AO751" s="53"/>
      <c r="AP751" s="53"/>
      <c r="AQ751" s="53"/>
      <c r="AR751" s="53"/>
      <c r="AS751" s="53"/>
      <c r="AT751" s="53"/>
      <c r="AU751" s="53"/>
      <c r="AV751" s="53"/>
      <c r="AW751" s="53"/>
      <c r="AX751" s="53"/>
      <c r="AY751" s="216"/>
      <c r="AZ751" s="53"/>
      <c r="BA751" s="53"/>
      <c r="BB751" s="53"/>
      <c r="BC751" s="53"/>
      <c r="BD751" s="53"/>
      <c r="BE751" s="53"/>
      <c r="BF751" s="53"/>
      <c r="BG751" s="53"/>
      <c r="BH751" s="53"/>
      <c r="BI751" s="53"/>
      <c r="BJ751" s="53"/>
      <c r="BK751" s="53"/>
      <c r="BL751" s="53"/>
      <c r="BM751" s="53"/>
      <c r="BN751" s="53"/>
      <c r="BO751" s="53"/>
      <c r="BP751" s="53"/>
      <c r="BQ751" s="53"/>
      <c r="BR751" s="53"/>
      <c r="BS751" s="53"/>
      <c r="BT751" s="53"/>
      <c r="BU751" s="53"/>
      <c r="BV751" s="53"/>
      <c r="BW751" s="53"/>
      <c r="BX751" s="53"/>
      <c r="BY751" s="53"/>
      <c r="BZ751" s="53"/>
      <c r="CA751" s="53"/>
      <c r="CB751" s="53"/>
      <c r="CC751" s="53"/>
      <c r="CD751" s="53"/>
      <c r="CE751" s="53"/>
      <c r="CF751" s="53"/>
      <c r="CG751" s="53"/>
      <c r="CH751" s="53"/>
      <c r="CI751" s="53"/>
      <c r="CJ751" s="53"/>
      <c r="CK751" s="53"/>
      <c r="CL751" s="53"/>
      <c r="CM751" s="53"/>
      <c r="CN751" s="53"/>
      <c r="CO751" s="53"/>
      <c r="CP751" s="53"/>
      <c r="CQ751" s="53"/>
      <c r="CR751" s="53"/>
      <c r="CS751" s="53"/>
      <c r="CT751" s="53"/>
      <c r="CU751" s="53"/>
      <c r="CV751" s="53"/>
      <c r="CW751" s="53"/>
      <c r="CX751" s="53"/>
      <c r="CY751" s="53"/>
      <c r="CZ751" s="216"/>
      <c r="DA751" s="53"/>
      <c r="DB751" s="15"/>
      <c r="DC751" s="15"/>
      <c r="DD751" s="15"/>
      <c r="DE751" s="15"/>
      <c r="DF751" s="15"/>
      <c r="DG751" s="15"/>
      <c r="DH751" s="15"/>
      <c r="DI751" s="15"/>
    </row>
    <row r="752" spans="1:113" ht="12" hidden="1" outlineLevel="2">
      <c r="A752" s="1" t="s">
        <v>14</v>
      </c>
      <c r="B752" s="15" t="s">
        <v>804</v>
      </c>
      <c r="C752" s="53"/>
      <c r="D752" s="53"/>
      <c r="E752" s="53"/>
      <c r="F752" s="53"/>
      <c r="G752" s="53"/>
      <c r="H752" s="53"/>
      <c r="I752" s="53"/>
      <c r="J752" s="53"/>
      <c r="K752" s="53"/>
      <c r="L752" s="53"/>
      <c r="M752" s="53"/>
      <c r="N752" s="53"/>
      <c r="O752" s="53"/>
      <c r="P752" s="53"/>
      <c r="Q752" s="53"/>
      <c r="R752" s="53"/>
      <c r="S752" s="53"/>
      <c r="T752" s="53"/>
      <c r="U752" s="53"/>
      <c r="V752" s="53"/>
      <c r="W752" s="53"/>
      <c r="X752" s="53"/>
      <c r="Y752" s="53"/>
      <c r="Z752" s="53"/>
      <c r="AA752" s="53"/>
      <c r="AB752" s="53"/>
      <c r="AC752" s="53"/>
      <c r="AD752" s="53"/>
      <c r="AE752" s="53"/>
      <c r="AF752" s="53"/>
      <c r="AG752" s="53"/>
      <c r="AH752" s="53"/>
      <c r="AI752" s="53"/>
      <c r="AJ752" s="53"/>
      <c r="AK752" s="53"/>
      <c r="AL752" s="53"/>
      <c r="AM752" s="53"/>
      <c r="AN752" s="53"/>
      <c r="AO752" s="53"/>
      <c r="AP752" s="53"/>
      <c r="AQ752" s="53"/>
      <c r="AR752" s="53"/>
      <c r="AS752" s="53"/>
      <c r="AT752" s="53"/>
      <c r="AU752" s="53"/>
      <c r="AV752" s="53"/>
      <c r="AW752" s="53"/>
      <c r="AX752" s="53"/>
      <c r="AY752" s="216"/>
      <c r="AZ752" s="53"/>
      <c r="BA752" s="53"/>
      <c r="BB752" s="53"/>
      <c r="BC752" s="53"/>
      <c r="BD752" s="53"/>
      <c r="BE752" s="53"/>
      <c r="BF752" s="53"/>
      <c r="BG752" s="53"/>
      <c r="BH752" s="53"/>
      <c r="BI752" s="53"/>
      <c r="BJ752" s="53"/>
      <c r="BK752" s="53"/>
      <c r="BL752" s="53"/>
      <c r="BM752" s="53"/>
      <c r="BN752" s="53"/>
      <c r="BO752" s="53"/>
      <c r="BP752" s="53"/>
      <c r="BQ752" s="53"/>
      <c r="BR752" s="53"/>
      <c r="BS752" s="53"/>
      <c r="BT752" s="53"/>
      <c r="BU752" s="53"/>
      <c r="BV752" s="53"/>
      <c r="BW752" s="53"/>
      <c r="BX752" s="53"/>
      <c r="BY752" s="53"/>
      <c r="BZ752" s="53"/>
      <c r="CA752" s="53"/>
      <c r="CB752" s="53"/>
      <c r="CC752" s="53"/>
      <c r="CD752" s="53"/>
      <c r="CE752" s="53"/>
      <c r="CF752" s="53"/>
      <c r="CG752" s="53"/>
      <c r="CH752" s="53"/>
      <c r="CI752" s="53"/>
      <c r="CJ752" s="53"/>
      <c r="CK752" s="53"/>
      <c r="CL752" s="53"/>
      <c r="CM752" s="53"/>
      <c r="CN752" s="53"/>
      <c r="CO752" s="53"/>
      <c r="CP752" s="53"/>
      <c r="CQ752" s="53"/>
      <c r="CR752" s="53"/>
      <c r="CS752" s="53"/>
      <c r="CT752" s="53"/>
      <c r="CU752" s="53"/>
      <c r="CV752" s="53"/>
      <c r="CW752" s="53"/>
      <c r="CX752" s="53"/>
      <c r="CY752" s="53"/>
      <c r="CZ752" s="216"/>
      <c r="DA752" s="53"/>
      <c r="DB752" s="15"/>
      <c r="DC752" s="15"/>
      <c r="DD752" s="15"/>
      <c r="DE752" s="15"/>
      <c r="DF752" s="15"/>
      <c r="DG752" s="15"/>
      <c r="DH752" s="15"/>
      <c r="DI752" s="15"/>
    </row>
    <row r="753" spans="1:113" ht="12" hidden="1" outlineLevel="2">
      <c r="A753" s="1" t="s">
        <v>15</v>
      </c>
      <c r="B753" s="15" t="s">
        <v>804</v>
      </c>
      <c r="C753" s="53"/>
      <c r="D753" s="53"/>
      <c r="E753" s="53"/>
      <c r="F753" s="53"/>
      <c r="G753" s="53"/>
      <c r="H753" s="53"/>
      <c r="I753" s="53"/>
      <c r="J753" s="53"/>
      <c r="K753" s="53"/>
      <c r="L753" s="53"/>
      <c r="M753" s="53"/>
      <c r="N753" s="53"/>
      <c r="O753" s="53"/>
      <c r="P753" s="53"/>
      <c r="Q753" s="53"/>
      <c r="R753" s="53"/>
      <c r="S753" s="53"/>
      <c r="T753" s="53"/>
      <c r="U753" s="53"/>
      <c r="V753" s="53"/>
      <c r="W753" s="53"/>
      <c r="X753" s="53"/>
      <c r="Y753" s="53"/>
      <c r="Z753" s="53"/>
      <c r="AA753" s="53"/>
      <c r="AB753" s="53"/>
      <c r="AC753" s="53"/>
      <c r="AD753" s="53"/>
      <c r="AE753" s="53"/>
      <c r="AF753" s="53"/>
      <c r="AG753" s="53"/>
      <c r="AH753" s="53"/>
      <c r="AI753" s="53"/>
      <c r="AJ753" s="53"/>
      <c r="AK753" s="53"/>
      <c r="AL753" s="53"/>
      <c r="AM753" s="53"/>
      <c r="AN753" s="53"/>
      <c r="AO753" s="53"/>
      <c r="AP753" s="53"/>
      <c r="AQ753" s="53"/>
      <c r="AR753" s="53"/>
      <c r="AS753" s="53"/>
      <c r="AT753" s="53"/>
      <c r="AU753" s="53"/>
      <c r="AV753" s="53"/>
      <c r="AW753" s="53"/>
      <c r="AX753" s="53"/>
      <c r="AY753" s="216"/>
      <c r="AZ753" s="53"/>
      <c r="BA753" s="53"/>
      <c r="BB753" s="53"/>
      <c r="BC753" s="53"/>
      <c r="BD753" s="53"/>
      <c r="BE753" s="53"/>
      <c r="BF753" s="53"/>
      <c r="BG753" s="53"/>
      <c r="BH753" s="53"/>
      <c r="BI753" s="53"/>
      <c r="BJ753" s="53"/>
      <c r="BK753" s="53"/>
      <c r="BL753" s="53"/>
      <c r="BM753" s="53"/>
      <c r="BN753" s="53"/>
      <c r="BO753" s="53"/>
      <c r="BP753" s="53"/>
      <c r="BQ753" s="53"/>
      <c r="BR753" s="53"/>
      <c r="BS753" s="53"/>
      <c r="BT753" s="53"/>
      <c r="BU753" s="53"/>
      <c r="BV753" s="53"/>
      <c r="BW753" s="53"/>
      <c r="BX753" s="53"/>
      <c r="BY753" s="53"/>
      <c r="BZ753" s="53"/>
      <c r="CA753" s="53"/>
      <c r="CB753" s="53"/>
      <c r="CC753" s="53"/>
      <c r="CD753" s="53"/>
      <c r="CE753" s="53"/>
      <c r="CF753" s="53"/>
      <c r="CG753" s="53"/>
      <c r="CH753" s="53"/>
      <c r="CI753" s="53"/>
      <c r="CJ753" s="53"/>
      <c r="CK753" s="53"/>
      <c r="CL753" s="53"/>
      <c r="CM753" s="53"/>
      <c r="CN753" s="53"/>
      <c r="CO753" s="53"/>
      <c r="CP753" s="53"/>
      <c r="CQ753" s="53"/>
      <c r="CR753" s="53"/>
      <c r="CS753" s="53"/>
      <c r="CT753" s="53"/>
      <c r="CU753" s="53"/>
      <c r="CV753" s="53"/>
      <c r="CW753" s="53"/>
      <c r="CX753" s="53"/>
      <c r="CY753" s="53"/>
      <c r="CZ753" s="216"/>
      <c r="DA753" s="53"/>
      <c r="DB753" s="15"/>
      <c r="DC753" s="15"/>
      <c r="DD753" s="15"/>
      <c r="DE753" s="15"/>
      <c r="DF753" s="15"/>
      <c r="DG753" s="15"/>
      <c r="DH753" s="15"/>
      <c r="DI753" s="15"/>
    </row>
    <row r="754" spans="1:113" ht="12" hidden="1" outlineLevel="2">
      <c r="A754" s="1" t="s">
        <v>16</v>
      </c>
      <c r="B754" s="15" t="s">
        <v>804</v>
      </c>
      <c r="C754" s="53"/>
      <c r="D754" s="53"/>
      <c r="E754" s="53"/>
      <c r="F754" s="53"/>
      <c r="G754" s="53"/>
      <c r="H754" s="53"/>
      <c r="I754" s="53"/>
      <c r="J754" s="53"/>
      <c r="K754" s="53"/>
      <c r="L754" s="53"/>
      <c r="M754" s="53"/>
      <c r="N754" s="53"/>
      <c r="O754" s="53"/>
      <c r="P754" s="53"/>
      <c r="Q754" s="53"/>
      <c r="R754" s="53"/>
      <c r="S754" s="53"/>
      <c r="T754" s="53"/>
      <c r="U754" s="53"/>
      <c r="V754" s="53"/>
      <c r="W754" s="53"/>
      <c r="X754" s="53"/>
      <c r="Y754" s="53"/>
      <c r="Z754" s="53"/>
      <c r="AA754" s="53"/>
      <c r="AB754" s="53"/>
      <c r="AC754" s="53"/>
      <c r="AD754" s="53"/>
      <c r="AE754" s="53"/>
      <c r="AF754" s="53"/>
      <c r="AG754" s="53"/>
      <c r="AH754" s="53"/>
      <c r="AI754" s="53"/>
      <c r="AJ754" s="53"/>
      <c r="AK754" s="53"/>
      <c r="AL754" s="53"/>
      <c r="AM754" s="53"/>
      <c r="AN754" s="53"/>
      <c r="AO754" s="53"/>
      <c r="AP754" s="53"/>
      <c r="AQ754" s="53"/>
      <c r="AR754" s="53"/>
      <c r="AS754" s="53"/>
      <c r="AT754" s="53"/>
      <c r="AU754" s="53"/>
      <c r="AV754" s="53"/>
      <c r="AW754" s="53"/>
      <c r="AX754" s="53"/>
      <c r="AY754" s="216"/>
      <c r="AZ754" s="53"/>
      <c r="BA754" s="53"/>
      <c r="BB754" s="53"/>
      <c r="BC754" s="53"/>
      <c r="BD754" s="53"/>
      <c r="BE754" s="53"/>
      <c r="BF754" s="53"/>
      <c r="BG754" s="53"/>
      <c r="BH754" s="53"/>
      <c r="BI754" s="53"/>
      <c r="BJ754" s="53"/>
      <c r="BK754" s="53"/>
      <c r="BL754" s="53"/>
      <c r="BM754" s="53"/>
      <c r="BN754" s="53"/>
      <c r="BO754" s="53"/>
      <c r="BP754" s="53"/>
      <c r="BQ754" s="53"/>
      <c r="BR754" s="53"/>
      <c r="BS754" s="53"/>
      <c r="BT754" s="53"/>
      <c r="BU754" s="53"/>
      <c r="BV754" s="53"/>
      <c r="BW754" s="53"/>
      <c r="BX754" s="53"/>
      <c r="BY754" s="53"/>
      <c r="BZ754" s="53"/>
      <c r="CA754" s="53"/>
      <c r="CB754" s="53"/>
      <c r="CC754" s="53"/>
      <c r="CD754" s="53"/>
      <c r="CE754" s="53"/>
      <c r="CF754" s="53"/>
      <c r="CG754" s="53"/>
      <c r="CH754" s="53"/>
      <c r="CI754" s="53"/>
      <c r="CJ754" s="53"/>
      <c r="CK754" s="53"/>
      <c r="CL754" s="53"/>
      <c r="CM754" s="53"/>
      <c r="CN754" s="53"/>
      <c r="CO754" s="53"/>
      <c r="CP754" s="53"/>
      <c r="CQ754" s="53"/>
      <c r="CR754" s="53"/>
      <c r="CS754" s="53"/>
      <c r="CT754" s="53"/>
      <c r="CU754" s="53"/>
      <c r="CV754" s="53"/>
      <c r="CW754" s="53"/>
      <c r="CX754" s="53"/>
      <c r="CY754" s="53"/>
      <c r="CZ754" s="216"/>
      <c r="DA754" s="53"/>
      <c r="DB754" s="15"/>
      <c r="DC754" s="15"/>
      <c r="DD754" s="15"/>
      <c r="DE754" s="15"/>
      <c r="DF754" s="15"/>
      <c r="DG754" s="15"/>
      <c r="DH754" s="15"/>
      <c r="DI754" s="15"/>
    </row>
    <row r="755" spans="1:113" ht="12" outlineLevel="1" collapsed="1">
      <c r="AA755" s="119"/>
      <c r="AY755" s="200"/>
      <c r="CZ755" s="200"/>
      <c r="DB755" s="15"/>
      <c r="DC755" s="15"/>
      <c r="DD755" s="15"/>
      <c r="DE755" s="15"/>
      <c r="DF755" s="15"/>
      <c r="DG755" s="15"/>
      <c r="DH755" s="15"/>
      <c r="DI755" s="15"/>
    </row>
    <row r="756" spans="1:113" s="17" customFormat="1" ht="12" outlineLevel="1">
      <c r="A756" s="1"/>
      <c r="B756" s="17" t="s">
        <v>346</v>
      </c>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0"/>
      <c r="AH756" s="10"/>
      <c r="AI756" s="10"/>
      <c r="AJ756" s="10"/>
      <c r="AK756" s="10"/>
      <c r="AL756" s="10"/>
      <c r="AM756" s="10"/>
      <c r="AN756" s="10"/>
      <c r="AO756" s="10"/>
      <c r="AP756" s="10"/>
      <c r="AQ756" s="10"/>
      <c r="AR756" s="10"/>
      <c r="AS756" s="10"/>
      <c r="AT756" s="10"/>
      <c r="AU756" s="10"/>
      <c r="AV756" s="10"/>
      <c r="AW756" s="10"/>
      <c r="AX756" s="10"/>
      <c r="AY756" s="201"/>
      <c r="AZ756" s="10"/>
      <c r="BA756" s="10"/>
      <c r="BB756" s="10"/>
      <c r="BC756" s="10"/>
      <c r="BD756" s="10"/>
      <c r="BE756" s="10"/>
      <c r="BF756" s="10"/>
      <c r="BG756" s="10"/>
      <c r="BH756" s="10"/>
      <c r="BI756" s="10"/>
      <c r="BJ756" s="10"/>
      <c r="BK756" s="10"/>
      <c r="BL756" s="10"/>
      <c r="BM756" s="10"/>
      <c r="BN756" s="10"/>
      <c r="BO756" s="10"/>
      <c r="BP756" s="10"/>
      <c r="BQ756" s="10"/>
      <c r="BR756" s="10"/>
      <c r="BS756" s="10"/>
      <c r="BT756" s="10"/>
      <c r="BU756" s="10"/>
      <c r="BV756" s="10"/>
      <c r="BW756" s="10"/>
      <c r="BX756" s="10"/>
      <c r="BY756" s="10"/>
      <c r="BZ756" s="10"/>
      <c r="CA756" s="10"/>
      <c r="CB756" s="10"/>
      <c r="CC756" s="10"/>
      <c r="CD756" s="10"/>
      <c r="CE756" s="10"/>
      <c r="CF756" s="10"/>
      <c r="CG756" s="10"/>
      <c r="CH756" s="10"/>
      <c r="CI756" s="10"/>
      <c r="CJ756" s="10"/>
      <c r="CK756" s="10"/>
      <c r="CL756" s="10"/>
      <c r="CM756" s="10"/>
      <c r="CN756" s="10"/>
      <c r="CO756" s="10"/>
      <c r="CP756" s="10"/>
      <c r="CQ756" s="10"/>
      <c r="CR756" s="10"/>
      <c r="CS756" s="10"/>
      <c r="CT756" s="10"/>
      <c r="CU756" s="10"/>
      <c r="CV756" s="10"/>
      <c r="CW756" s="10"/>
      <c r="CX756" s="10"/>
      <c r="CY756" s="10"/>
      <c r="CZ756" s="201"/>
      <c r="DA756" s="10"/>
    </row>
    <row r="757" spans="1:113" ht="12" outlineLevel="1">
      <c r="A757" s="1" t="s">
        <v>968</v>
      </c>
      <c r="B757" s="15" t="s">
        <v>347</v>
      </c>
      <c r="C757" s="85">
        <f t="shared" ref="C757:L759" si="9006">C$142/C728/2</f>
        <v>12.466987100874316</v>
      </c>
      <c r="D757" s="85">
        <f t="shared" si="9006"/>
        <v>12.865778545454548</v>
      </c>
      <c r="E757" s="85">
        <f t="shared" si="9006"/>
        <v>10.477352688271607</v>
      </c>
      <c r="F757" s="85">
        <f t="shared" si="9006"/>
        <v>12.377775462741489</v>
      </c>
      <c r="G757" s="85">
        <f t="shared" si="9006"/>
        <v>11.719006471095774</v>
      </c>
      <c r="H757" s="85">
        <f t="shared" si="9006"/>
        <v>12.343216216216218</v>
      </c>
      <c r="I757" s="85">
        <f t="shared" si="9006"/>
        <v>12.455010108303243</v>
      </c>
      <c r="J757" s="85">
        <f t="shared" si="9006"/>
        <v>12.131721755971594</v>
      </c>
      <c r="K757" s="85">
        <f t="shared" si="9006"/>
        <v>13.617164179104483</v>
      </c>
      <c r="L757" s="85">
        <f t="shared" si="9006"/>
        <v>13.466536964980548</v>
      </c>
      <c r="M757" s="85">
        <f t="shared" ref="M757:AF757" si="9007">M$142/M728/2</f>
        <v>13.215062298603653</v>
      </c>
      <c r="N757" s="85">
        <f t="shared" si="9007"/>
        <v>13.11643165467626</v>
      </c>
      <c r="O757" s="85">
        <f t="shared" si="9007"/>
        <v>13.387368804664723</v>
      </c>
      <c r="P757" s="85">
        <f t="shared" si="9007"/>
        <v>11.014047680412366</v>
      </c>
      <c r="Q757" s="85">
        <f t="shared" si="9007"/>
        <v>13.71928919729932</v>
      </c>
      <c r="R757" s="85">
        <f t="shared" si="9007"/>
        <v>11.875816582914572</v>
      </c>
      <c r="S757" s="85">
        <f t="shared" si="9007"/>
        <v>18.825478576137115</v>
      </c>
      <c r="T757" s="85">
        <f t="shared" si="9007"/>
        <v>16.591704012506515</v>
      </c>
      <c r="U757" s="85">
        <f t="shared" si="9007"/>
        <v>11.676054453520029</v>
      </c>
      <c r="V757" s="85">
        <f t="shared" si="9007"/>
        <v>11.496073551542512</v>
      </c>
      <c r="W757" s="85">
        <f t="shared" si="9007"/>
        <v>9.4466621973929232</v>
      </c>
      <c r="X757" s="85">
        <f t="shared" si="9007"/>
        <v>10.560055975274725</v>
      </c>
      <c r="Y757" s="85">
        <f t="shared" si="9007"/>
        <v>12.122799488677867</v>
      </c>
      <c r="Z757" s="85">
        <f t="shared" si="9007"/>
        <v>13.208009202453988</v>
      </c>
      <c r="AA757" s="85">
        <f t="shared" si="9007"/>
        <v>12.620632892363201</v>
      </c>
      <c r="AB757" s="85">
        <f t="shared" si="9007"/>
        <v>13.305942755975215</v>
      </c>
      <c r="AC757" s="85">
        <f t="shared" ref="AC757:AD757" si="9008">AC$142/AC728/2</f>
        <v>10.915733230134158</v>
      </c>
      <c r="AD757" s="85">
        <f t="shared" si="9008"/>
        <v>14.373751783166906</v>
      </c>
      <c r="AE757" s="85">
        <f t="shared" ref="AE757" si="9009">AE$142/AE728/2</f>
        <v>9.4841128668171564</v>
      </c>
      <c r="AF757" s="85">
        <f t="shared" si="9007"/>
        <v>12.430029948867789</v>
      </c>
      <c r="AG757" s="85">
        <f t="shared" ref="AG757:AH757" si="9010">AG$142/AG728/2</f>
        <v>13.538792998990237</v>
      </c>
      <c r="AH757" s="85">
        <f t="shared" si="9010"/>
        <v>15.979411542425284</v>
      </c>
      <c r="AI757" s="85">
        <f t="shared" ref="AI757:AJ757" si="9011">AI$142/AI728/2</f>
        <v>12.404051502145924</v>
      </c>
      <c r="AJ757" s="85">
        <f t="shared" si="9011"/>
        <v>11.819854950346071</v>
      </c>
      <c r="AK757" s="85">
        <f t="shared" ref="AK757:AL757" si="9012">AK$142/AK728/2</f>
        <v>13.19798440038999</v>
      </c>
      <c r="AL757" s="85">
        <f t="shared" si="9012"/>
        <v>11.718422155688625</v>
      </c>
      <c r="AM757" s="85">
        <f t="shared" ref="AM757:AN757" si="9013">AM$142/AM728/2</f>
        <v>14.512884172661874</v>
      </c>
      <c r="AN757" s="85">
        <f t="shared" si="9013"/>
        <v>15.536238187702264</v>
      </c>
      <c r="AO757" s="85">
        <f t="shared" ref="AO757" si="9014">AO$142/AO728/2</f>
        <v>11.996374015748028</v>
      </c>
      <c r="AP757" s="85">
        <f t="shared" ref="AP757:AQ757" si="9015">AP$142/AP728/2</f>
        <v>13.590650016989466</v>
      </c>
      <c r="AQ757" s="85">
        <f t="shared" si="9015"/>
        <v>12.410835663249456</v>
      </c>
      <c r="AR757" s="85">
        <f t="shared" ref="AR757:AS757" si="9016">AR$142/AR728/2</f>
        <v>11.074793201133147</v>
      </c>
      <c r="AS757" s="85">
        <f t="shared" si="9016"/>
        <v>9.0923655614377275</v>
      </c>
      <c r="AT757" s="85">
        <f t="shared" ref="AT757:AU757" si="9017">AT$142/AT728/2</f>
        <v>9.6560777777777762</v>
      </c>
      <c r="AU757" s="85">
        <f t="shared" si="9017"/>
        <v>10.839922838637003</v>
      </c>
      <c r="AV757" s="85">
        <f t="shared" ref="AV757:AW757" si="9018">AV$142/AV728/2</f>
        <v>12.949547989433519</v>
      </c>
      <c r="AW757" s="85">
        <f t="shared" si="9018"/>
        <v>14.594443734015346</v>
      </c>
      <c r="AX757" s="85">
        <f t="shared" ref="AX757" si="9019">AX$142/AX728/2</f>
        <v>11.86883182317408</v>
      </c>
      <c r="AY757" s="224">
        <f t="shared" ref="AY757" si="9020">AY$142/AY728/2</f>
        <v>21.952710760337929</v>
      </c>
      <c r="AZ757" s="85">
        <f t="shared" ref="AZ757:BA757" si="9021">AZ$142/AZ728/2</f>
        <v>13.575762609877849</v>
      </c>
      <c r="BA757" s="85">
        <f t="shared" si="9021"/>
        <v>14.419614600916486</v>
      </c>
      <c r="BB757" s="85">
        <f t="shared" ref="BB757:BC757" si="9022">BB$142/BB728/2</f>
        <v>14.459680474017034</v>
      </c>
      <c r="BC757" s="85">
        <f t="shared" si="9022"/>
        <v>16.458124496271044</v>
      </c>
      <c r="BD757" s="85">
        <f t="shared" ref="BD757:BE757" si="9023">BD$142/BD728/2</f>
        <v>15.22763818356268</v>
      </c>
      <c r="BE757" s="85">
        <f t="shared" si="9023"/>
        <v>17.036168439927287</v>
      </c>
      <c r="BF757" s="85">
        <f t="shared" ref="BF757:BG757" si="9024">BF$142/BF728/2</f>
        <v>15.904084549434724</v>
      </c>
      <c r="BG757" s="85">
        <f t="shared" si="9024"/>
        <v>17.491669360774722</v>
      </c>
      <c r="BH757" s="85">
        <f t="shared" ref="BH757:BI757" si="9025">BH$142/BH728/2</f>
        <v>16.764188476595923</v>
      </c>
      <c r="BI757" s="85">
        <f t="shared" si="9025"/>
        <v>18.72137869336547</v>
      </c>
      <c r="BJ757" s="85">
        <f t="shared" ref="BJ757:BK757" si="9026">BJ$142/BJ728/2</f>
        <v>17.708586869668633</v>
      </c>
      <c r="BK757" s="85">
        <f t="shared" si="9026"/>
        <v>18.896745806354996</v>
      </c>
      <c r="BL757" s="85">
        <f t="shared" ref="BL757:BM757" si="9027">BL$142/BL728/2</f>
        <v>18.80363553246054</v>
      </c>
      <c r="BM757" s="85">
        <f t="shared" si="9027"/>
        <v>20.455437805464388</v>
      </c>
      <c r="BN757" s="85">
        <f t="shared" ref="BN757:BO757" si="9028">BN$142/BN728/2</f>
        <v>20.43997746533649</v>
      </c>
      <c r="BO757" s="85">
        <f t="shared" si="9028"/>
        <v>22.027622537675729</v>
      </c>
      <c r="BP757" s="85">
        <f t="shared" ref="BP757:BQ757" si="9029">BP$142/BP728/2</f>
        <v>21.95419295661705</v>
      </c>
      <c r="BQ757" s="85">
        <f t="shared" si="9029"/>
        <v>23.439058569164228</v>
      </c>
      <c r="BR757" s="85"/>
      <c r="BS757" s="85">
        <f t="shared" ref="BS757:CB759" si="9030">BS$142/BS728</f>
        <v>-4.3391513450462877</v>
      </c>
      <c r="BT757" s="85">
        <f t="shared" si="9030"/>
        <v>34.20631559705128</v>
      </c>
      <c r="BU757" s="85">
        <f t="shared" si="9030"/>
        <v>6.9540318501373548</v>
      </c>
      <c r="BV757" s="85">
        <f t="shared" si="9030"/>
        <v>9.3448923724878021</v>
      </c>
      <c r="BW757" s="85">
        <f t="shared" si="9030"/>
        <v>9.4833740049253734</v>
      </c>
      <c r="BX757" s="85">
        <f t="shared" si="9030"/>
        <v>16.462362361773213</v>
      </c>
      <c r="BY757" s="85">
        <f t="shared" si="9030"/>
        <v>12.428840945435594</v>
      </c>
      <c r="BZ757" s="85">
        <f t="shared" si="9030"/>
        <v>11.320999313898403</v>
      </c>
      <c r="CA757" s="85">
        <f t="shared" si="9030"/>
        <v>12.447719236476191</v>
      </c>
      <c r="CB757" s="85">
        <f t="shared" si="9030"/>
        <v>13.631412342651577</v>
      </c>
      <c r="CC757" s="85">
        <f t="shared" ref="CC757:CR757" si="9031">CC$142/CC728</f>
        <v>11.510614041919673</v>
      </c>
      <c r="CD757" s="85">
        <f t="shared" si="9031"/>
        <v>12.062103550909383</v>
      </c>
      <c r="CE757" s="85">
        <f t="shared" si="9031"/>
        <v>12.419352962826643</v>
      </c>
      <c r="CF757" s="85">
        <f t="shared" si="9031"/>
        <v>13.864027319155955</v>
      </c>
      <c r="CG757" s="85">
        <f t="shared" si="9031"/>
        <v>13.428532641354822</v>
      </c>
      <c r="CH757" s="85">
        <f t="shared" si="9031"/>
        <v>13.251375814627083</v>
      </c>
      <c r="CI757" s="85">
        <f t="shared" si="9031"/>
        <v>11.005384967919339</v>
      </c>
      <c r="CJ757" s="85">
        <f t="shared" si="9031"/>
        <v>18.620214432989691</v>
      </c>
      <c r="CK757" s="85">
        <f t="shared" si="9031"/>
        <v>13.233902895322942</v>
      </c>
      <c r="CL757" s="85">
        <f t="shared" si="9031"/>
        <v>9.3742032565974185</v>
      </c>
      <c r="CM757" s="85">
        <f t="shared" si="9031"/>
        <v>11.66579203539823</v>
      </c>
      <c r="CN757" s="85">
        <f t="shared" si="9031"/>
        <v>13.384383067092653</v>
      </c>
      <c r="CO757" s="85">
        <f t="shared" si="9031"/>
        <v>11.628303372333104</v>
      </c>
      <c r="CP757" s="85">
        <f t="shared" si="9031"/>
        <v>10.017286705819542</v>
      </c>
      <c r="CQ757" s="85">
        <f t="shared" si="9031"/>
        <v>14.06521387283237</v>
      </c>
      <c r="CR757" s="85">
        <f t="shared" si="9031"/>
        <v>13.52192319700281</v>
      </c>
      <c r="CS757" s="85">
        <f t="shared" ref="CS757:CX759" si="9032">CS$142/CS728</f>
        <v>12.783592812500004</v>
      </c>
      <c r="CT757" s="85">
        <f t="shared" si="9032"/>
        <v>13.62089904249958</v>
      </c>
      <c r="CU757" s="85">
        <f t="shared" si="9032"/>
        <v>13.628207436399215</v>
      </c>
      <c r="CV757" s="85">
        <f t="shared" si="9032"/>
        <v>12.967638753651411</v>
      </c>
      <c r="CW757" s="85">
        <f t="shared" si="9032"/>
        <v>9.1196797302992003</v>
      </c>
      <c r="CX757" s="85">
        <f t="shared" si="9032"/>
        <v>10.822987897551364</v>
      </c>
      <c r="CY757" s="85">
        <f t="shared" ref="CY757:CZ759" si="9033">CY$142/CY728</f>
        <v>13.984886304514156</v>
      </c>
      <c r="CZ757" s="224">
        <f t="shared" si="9033"/>
        <v>16.757773892378204</v>
      </c>
      <c r="DA757" s="85">
        <f t="shared" ref="DA757:DB759" si="9034">DA$142/DA728</f>
        <v>14.302393720174825</v>
      </c>
      <c r="DB757" s="85">
        <f t="shared" si="9034"/>
        <v>15.754036745373373</v>
      </c>
      <c r="DC757" s="85">
        <f t="shared" ref="DC757" si="9035">DC$142/DC728</f>
        <v>16.453003625618937</v>
      </c>
      <c r="DD757" s="85">
        <f t="shared" ref="DD757:DE759" si="9036">DD$142/DD728</f>
        <v>17.043007089525453</v>
      </c>
      <c r="DE757" s="85">
        <f t="shared" si="9036"/>
        <v>18.099910339145715</v>
      </c>
      <c r="DF757" s="85">
        <f t="shared" ref="DF757:DG759" si="9037">DF$142/DF728</f>
        <v>18.698954808859266</v>
      </c>
      <c r="DG757" s="85">
        <f t="shared" si="9037"/>
        <v>20.044409559710168</v>
      </c>
      <c r="DH757" s="85">
        <f t="shared" ref="DH757:DI759" si="9038">DH$142/DH728</f>
        <v>21.688433498816735</v>
      </c>
      <c r="DI757" s="85">
        <f t="shared" si="9038"/>
        <v>23.187798937794952</v>
      </c>
    </row>
    <row r="758" spans="1:113" ht="12" outlineLevel="1">
      <c r="A758" s="1" t="s">
        <v>969</v>
      </c>
      <c r="B758" s="15" t="s">
        <v>651</v>
      </c>
      <c r="C758" s="85">
        <f t="shared" si="9006"/>
        <v>12.513965855846996</v>
      </c>
      <c r="D758" s="85">
        <f t="shared" si="9006"/>
        <v>12.930443696969698</v>
      </c>
      <c r="E758" s="85">
        <f t="shared" si="9006"/>
        <v>10.531082702057613</v>
      </c>
      <c r="F758" s="85">
        <f t="shared" si="9006"/>
        <v>12.424970844526218</v>
      </c>
      <c r="G758" s="85">
        <f t="shared" si="9006"/>
        <v>11.762709232096636</v>
      </c>
      <c r="H758" s="85">
        <f t="shared" si="9006"/>
        <v>12.517369661266569</v>
      </c>
      <c r="I758" s="85">
        <f t="shared" si="9006"/>
        <v>12.675987341772148</v>
      </c>
      <c r="J758" s="85">
        <f t="shared" si="9006"/>
        <v>12.52883541147132</v>
      </c>
      <c r="K758" s="85">
        <f t="shared" si="9006"/>
        <v>14.128632218844988</v>
      </c>
      <c r="L758" s="85">
        <f t="shared" si="9006"/>
        <v>13.873108108108111</v>
      </c>
      <c r="M758" s="85">
        <f t="shared" ref="M758:AF758" si="9039">M$142/M729/2</f>
        <v>13.635424829753799</v>
      </c>
      <c r="N758" s="85">
        <f t="shared" si="9039"/>
        <v>13.493918348193342</v>
      </c>
      <c r="O758" s="85">
        <f t="shared" si="9039"/>
        <v>13.717574047954868</v>
      </c>
      <c r="P758" s="85">
        <f t="shared" si="9039"/>
        <v>11.439578179119245</v>
      </c>
      <c r="Q758" s="85">
        <f t="shared" si="9039"/>
        <v>14.225832152974499</v>
      </c>
      <c r="R758" s="85">
        <f t="shared" si="9039"/>
        <v>12.429294478527609</v>
      </c>
      <c r="S758" s="85">
        <f t="shared" si="9039"/>
        <v>19.115313850063533</v>
      </c>
      <c r="T758" s="85">
        <f t="shared" si="9039"/>
        <v>16.880681477918635</v>
      </c>
      <c r="U758" s="85">
        <f t="shared" si="9039"/>
        <v>12.02338184790791</v>
      </c>
      <c r="V758" s="85">
        <f t="shared" si="9039"/>
        <v>11.833619012628057</v>
      </c>
      <c r="W758" s="85">
        <f t="shared" si="9039"/>
        <v>9.8823897869119435</v>
      </c>
      <c r="X758" s="85">
        <f t="shared" si="9039"/>
        <v>11.019092985318109</v>
      </c>
      <c r="Y758" s="85">
        <f t="shared" si="9039"/>
        <v>12.54698275862069</v>
      </c>
      <c r="Z758" s="85">
        <f t="shared" si="9039"/>
        <v>13.610796977660973</v>
      </c>
      <c r="AA758" s="85">
        <f t="shared" si="9039"/>
        <v>13.043025000000004</v>
      </c>
      <c r="AB758" s="85">
        <f t="shared" si="9039"/>
        <v>13.765410556348074</v>
      </c>
      <c r="AC758" s="85">
        <f t="shared" ref="AC758:AD758" si="9040">AC$142/AC729/2</f>
        <v>11.374666999750186</v>
      </c>
      <c r="AD758" s="85">
        <f t="shared" si="9040"/>
        <v>14.76293392070485</v>
      </c>
      <c r="AE758" s="85">
        <f t="shared" ref="AE758" si="9041">AE$142/AE729/2</f>
        <v>10.079341074020318</v>
      </c>
      <c r="AF758" s="85">
        <f t="shared" si="9039"/>
        <v>13.130688041594457</v>
      </c>
      <c r="AG758" s="85">
        <f t="shared" ref="AG758:AH758" si="9042">AG$142/AG729/2</f>
        <v>14.131934956744633</v>
      </c>
      <c r="AH758" s="85">
        <f t="shared" si="9042"/>
        <v>16.543487414187645</v>
      </c>
      <c r="AI758" s="85">
        <f t="shared" ref="AI758:AJ758" si="9043">AI$142/AI729/2</f>
        <v>12.962519944979366</v>
      </c>
      <c r="AJ758" s="85">
        <f t="shared" si="9043"/>
        <v>12.423137702078522</v>
      </c>
      <c r="AK758" s="85">
        <f t="shared" ref="AK758:AL758" si="9044">AK$142/AK729/2</f>
        <v>13.727560497667186</v>
      </c>
      <c r="AL758" s="85">
        <f t="shared" si="9044"/>
        <v>12.290721148036255</v>
      </c>
      <c r="AM758" s="85">
        <f t="shared" ref="AM758:AN758" si="9045">AM$142/AM729/2</f>
        <v>15.065829611817245</v>
      </c>
      <c r="AN758" s="85">
        <f t="shared" si="9045"/>
        <v>16.454959856201317</v>
      </c>
      <c r="AO758" s="85">
        <f t="shared" ref="AO758" si="9046">AO$142/AO729/2</f>
        <v>12.986817624882185</v>
      </c>
      <c r="AP758" s="85">
        <f t="shared" ref="AP758:AQ758" si="9047">AP$142/AP729/2</f>
        <v>14.319339703459638</v>
      </c>
      <c r="AQ758" s="85">
        <f t="shared" si="9047"/>
        <v>13.189472691611345</v>
      </c>
      <c r="AR758" s="85">
        <f t="shared" ref="AR758:AS758" si="9048">AR$142/AR729/2</f>
        <v>11.825632247377142</v>
      </c>
      <c r="AS758" s="85">
        <f t="shared" si="9048"/>
        <v>9.7020292207792203</v>
      </c>
      <c r="AT758" s="85">
        <f t="shared" ref="AT758:AU758" si="9049">AT$142/AT729/2</f>
        <v>10.144590958164644</v>
      </c>
      <c r="AU758" s="85">
        <f t="shared" si="9049"/>
        <v>11.278577015804983</v>
      </c>
      <c r="AV758" s="85">
        <f t="shared" ref="AV758:AW758" si="9050">AV$142/AV729/2</f>
        <v>13.180513245033112</v>
      </c>
      <c r="AW758" s="85">
        <f t="shared" si="9050"/>
        <v>14.77881957370159</v>
      </c>
      <c r="AX758" s="85">
        <f t="shared" ref="AX758" si="9051">AX$142/AX729/2</f>
        <v>12.187876692708333</v>
      </c>
      <c r="AY758" s="224">
        <f t="shared" ref="AY758" si="9052">AY$142/AY729/2</f>
        <v>22.014730324588708</v>
      </c>
      <c r="AZ758" s="85">
        <f t="shared" ref="AZ758:BA758" si="9053">AZ$142/AZ729/2</f>
        <v>13.613898146989866</v>
      </c>
      <c r="BA758" s="85">
        <f t="shared" si="9053"/>
        <v>14.459826977145463</v>
      </c>
      <c r="BB758" s="85">
        <f t="shared" ref="BB758:BC758" si="9054">BB$142/BB729/2</f>
        <v>14.499859048099649</v>
      </c>
      <c r="BC758" s="85">
        <f t="shared" si="9054"/>
        <v>16.504051834617279</v>
      </c>
      <c r="BD758" s="85">
        <f t="shared" ref="BD758:BE758" si="9055">BD$142/BD729/2</f>
        <v>15.270490758982765</v>
      </c>
      <c r="BE758" s="85">
        <f t="shared" si="9055"/>
        <v>17.084501186876544</v>
      </c>
      <c r="BF758" s="85">
        <f t="shared" ref="BF758:BG758" si="9056">BF$142/BF729/2</f>
        <v>15.94956017123995</v>
      </c>
      <c r="BG758" s="85">
        <f t="shared" si="9056"/>
        <v>17.542063539898923</v>
      </c>
      <c r="BH758" s="85">
        <f t="shared" ref="BH758:BI758" si="9057">BH$142/BH729/2</f>
        <v>16.812666422907107</v>
      </c>
      <c r="BI758" s="85">
        <f t="shared" si="9057"/>
        <v>18.775516356660976</v>
      </c>
      <c r="BJ758" s="85">
        <f t="shared" ref="BJ758:BK758" si="9058">BJ$142/BJ729/2</f>
        <v>17.759795785907752</v>
      </c>
      <c r="BK758" s="85">
        <f t="shared" si="9058"/>
        <v>18.951390588590385</v>
      </c>
      <c r="BL758" s="85">
        <f t="shared" ref="BL758:BM758" si="9059">BL$142/BL729/2</f>
        <v>18.858011062482188</v>
      </c>
      <c r="BM758" s="85">
        <f t="shared" si="9059"/>
        <v>20.514589944984262</v>
      </c>
      <c r="BN758" s="85">
        <f t="shared" ref="BN758:BO758" si="9060">BN$142/BN729/2</f>
        <v>20.499084897321627</v>
      </c>
      <c r="BO758" s="85">
        <f t="shared" si="9060"/>
        <v>22.091321052174973</v>
      </c>
      <c r="BP758" s="85">
        <f t="shared" ref="BP758:BQ758" si="9061">BP$142/BP729/2</f>
        <v>22.01767913066849</v>
      </c>
      <c r="BQ758" s="85">
        <f t="shared" si="9061"/>
        <v>23.506838612587565</v>
      </c>
      <c r="BR758" s="85"/>
      <c r="BS758" s="85">
        <f t="shared" si="9030"/>
        <v>-5.5480635625562389</v>
      </c>
      <c r="BT758" s="85">
        <f t="shared" si="9030"/>
        <v>38.549280692769678</v>
      </c>
      <c r="BU758" s="85">
        <f t="shared" si="9030"/>
        <v>6.9540318501373548</v>
      </c>
      <c r="BV758" s="85">
        <f t="shared" si="9030"/>
        <v>9.3352881665551308</v>
      </c>
      <c r="BW758" s="85">
        <f t="shared" si="9030"/>
        <v>9.5156088058041401</v>
      </c>
      <c r="BX758" s="85">
        <f t="shared" si="9030"/>
        <v>16.509512363451783</v>
      </c>
      <c r="BY758" s="85">
        <f t="shared" si="9030"/>
        <v>12.460173553784294</v>
      </c>
      <c r="BZ758" s="85">
        <f t="shared" si="9030"/>
        <v>11.359519246188786</v>
      </c>
      <c r="CA758" s="85">
        <f t="shared" si="9030"/>
        <v>12.507487017975945</v>
      </c>
      <c r="CB758" s="85">
        <f t="shared" si="9030"/>
        <v>13.592157266517546</v>
      </c>
      <c r="CC758" s="85">
        <f t="shared" ref="CC758:CR758" si="9062">CC$142/CC729</f>
        <v>11.569055607644518</v>
      </c>
      <c r="CD758" s="85">
        <f t="shared" si="9062"/>
        <v>12.107590573195575</v>
      </c>
      <c r="CE758" s="85">
        <f t="shared" si="9062"/>
        <v>12.617854316546758</v>
      </c>
      <c r="CF758" s="85">
        <f t="shared" si="9062"/>
        <v>14.352849390961181</v>
      </c>
      <c r="CG758" s="85">
        <f t="shared" si="9062"/>
        <v>13.842296355413676</v>
      </c>
      <c r="CH758" s="85">
        <f t="shared" si="9062"/>
        <v>13.607733677782997</v>
      </c>
      <c r="CI758" s="85">
        <f t="shared" si="9062"/>
        <v>11.560224293620738</v>
      </c>
      <c r="CJ758" s="85">
        <f t="shared" si="9062"/>
        <v>18.823048668201249</v>
      </c>
      <c r="CK758" s="85">
        <f t="shared" si="9062"/>
        <v>13.634705380017078</v>
      </c>
      <c r="CL758" s="85">
        <f t="shared" si="9062"/>
        <v>9.8197658012533573</v>
      </c>
      <c r="CM758" s="85">
        <f t="shared" si="9062"/>
        <v>12.105235006738546</v>
      </c>
      <c r="CN758" s="85">
        <f t="shared" si="9062"/>
        <v>13.788813386798276</v>
      </c>
      <c r="CO758" s="85">
        <f t="shared" si="9062"/>
        <v>12.084662759722963</v>
      </c>
      <c r="CP758" s="85">
        <f t="shared" si="9062"/>
        <v>10.573265001287664</v>
      </c>
      <c r="CQ758" s="85">
        <f t="shared" si="9062"/>
        <v>14.661473526473527</v>
      </c>
      <c r="CR758" s="85">
        <f t="shared" si="9062"/>
        <v>14.113283537496264</v>
      </c>
      <c r="CS758" s="85">
        <f t="shared" si="9032"/>
        <v>13.348265608624045</v>
      </c>
      <c r="CT758" s="85">
        <f t="shared" si="9032"/>
        <v>14.165101430638163</v>
      </c>
      <c r="CU758" s="85">
        <f t="shared" si="9032"/>
        <v>14.540475336322865</v>
      </c>
      <c r="CV758" s="85">
        <f t="shared" si="9032"/>
        <v>13.739363679319577</v>
      </c>
      <c r="CW758" s="85">
        <f t="shared" si="9032"/>
        <v>9.7770811697185032</v>
      </c>
      <c r="CX758" s="85">
        <f t="shared" si="9032"/>
        <v>11.282741328314062</v>
      </c>
      <c r="CY758" s="85">
        <f t="shared" si="9033"/>
        <v>14.17287131560029</v>
      </c>
      <c r="CZ758" s="224">
        <f t="shared" si="9033"/>
        <v>17.343484808671377</v>
      </c>
      <c r="DA758" s="85">
        <f t="shared" si="9034"/>
        <v>14.342424683601493</v>
      </c>
      <c r="DB758" s="85">
        <f t="shared" si="9034"/>
        <v>15.797905135917958</v>
      </c>
      <c r="DC758" s="85">
        <f t="shared" ref="DC758" si="9063">DC$142/DC729</f>
        <v>16.499492452018799</v>
      </c>
      <c r="DD758" s="85">
        <f t="shared" si="9036"/>
        <v>17.091922779170321</v>
      </c>
      <c r="DE758" s="85">
        <f t="shared" si="9036"/>
        <v>18.152250867461973</v>
      </c>
      <c r="DF758" s="85">
        <f t="shared" si="9037"/>
        <v>18.753027627747262</v>
      </c>
      <c r="DG758" s="85">
        <f t="shared" si="9037"/>
        <v>20.102373105743528</v>
      </c>
      <c r="DH758" s="85">
        <f t="shared" si="9038"/>
        <v>21.751151161302886</v>
      </c>
      <c r="DI758" s="85">
        <f t="shared" si="9038"/>
        <v>23.254852399616283</v>
      </c>
    </row>
    <row r="759" spans="1:113" ht="12" outlineLevel="1">
      <c r="A759" s="1" t="s">
        <v>970</v>
      </c>
      <c r="B759" s="15" t="s">
        <v>652</v>
      </c>
      <c r="C759" s="85">
        <f t="shared" si="9006"/>
        <v>12.466987100874316</v>
      </c>
      <c r="D759" s="85">
        <f t="shared" si="9006"/>
        <v>12.661153836978134</v>
      </c>
      <c r="E759" s="85">
        <f t="shared" si="9006"/>
        <v>12.181802407894738</v>
      </c>
      <c r="F759" s="85">
        <f t="shared" si="9006"/>
        <v>12.377775462741489</v>
      </c>
      <c r="G759" s="85">
        <f t="shared" si="9006"/>
        <v>11.719006471095774</v>
      </c>
      <c r="H759" s="85">
        <f t="shared" si="9006"/>
        <v>13.174009615384616</v>
      </c>
      <c r="I759" s="85">
        <f t="shared" si="9006"/>
        <v>12.455010108303243</v>
      </c>
      <c r="J759" s="85">
        <f t="shared" si="9006"/>
        <v>12.030753521126758</v>
      </c>
      <c r="K759" s="85">
        <f t="shared" si="9006"/>
        <v>13.937873965626995</v>
      </c>
      <c r="L759" s="85">
        <f t="shared" si="9006"/>
        <v>14.093251890634095</v>
      </c>
      <c r="M759" s="85">
        <f t="shared" ref="M759:AF759" si="9064">M$142/M730/2</f>
        <v>13.365804454101033</v>
      </c>
      <c r="N759" s="85">
        <f t="shared" si="9064"/>
        <v>14.251047420531528</v>
      </c>
      <c r="O759" s="85">
        <f t="shared" si="9064"/>
        <v>13.999596036585368</v>
      </c>
      <c r="P759" s="85">
        <f t="shared" si="9064"/>
        <v>11.251844391785147</v>
      </c>
      <c r="Q759" s="85">
        <f t="shared" si="9064"/>
        <v>13.729588963963961</v>
      </c>
      <c r="R759" s="85">
        <f t="shared" si="9064"/>
        <v>17.788185483870969</v>
      </c>
      <c r="S759" s="85">
        <f t="shared" si="9064"/>
        <v>11.800930165289259</v>
      </c>
      <c r="T759" s="85">
        <f t="shared" si="9064"/>
        <v>13.434379746835443</v>
      </c>
      <c r="U759" s="85">
        <f t="shared" si="9064"/>
        <v>10.908116279069768</v>
      </c>
      <c r="V759" s="85">
        <f t="shared" si="9064"/>
        <v>11.246434854619064</v>
      </c>
      <c r="W759" s="85">
        <f t="shared" si="9064"/>
        <v>9.263801314828342</v>
      </c>
      <c r="X759" s="85">
        <f t="shared" si="9064"/>
        <v>10.644127033575632</v>
      </c>
      <c r="Y759" s="85">
        <f t="shared" si="9064"/>
        <v>10.537214285714285</v>
      </c>
      <c r="Z759" s="85">
        <f t="shared" si="9064"/>
        <v>12.201605478589421</v>
      </c>
      <c r="AA759" s="85">
        <f t="shared" si="9064"/>
        <v>12.681638972809669</v>
      </c>
      <c r="AB759" s="85">
        <f t="shared" si="9064"/>
        <v>12.839931662870161</v>
      </c>
      <c r="AC759" s="85">
        <f t="shared" ref="AC759:AD759" si="9065">AC$142/AC730/2</f>
        <v>11.755871631008615</v>
      </c>
      <c r="AD759" s="85">
        <f t="shared" si="9065"/>
        <v>13.708843537414968</v>
      </c>
      <c r="AE759" s="85">
        <f t="shared" ref="AE759" si="9066">AE$142/AE730/2</f>
        <v>10.681683050847456</v>
      </c>
      <c r="AF759" s="85">
        <f t="shared" si="9064"/>
        <v>12.233437095614669</v>
      </c>
      <c r="AG759" s="85">
        <f t="shared" ref="AG759:AH759" si="9067">AG$142/AG730/2</f>
        <v>12.946171226263276</v>
      </c>
      <c r="AH759" s="85">
        <f t="shared" si="9067"/>
        <v>13.864699552906108</v>
      </c>
      <c r="AI759" s="85">
        <f t="shared" ref="AI759:AJ759" si="9068">AI$142/AI730/2</f>
        <v>12.551291256514187</v>
      </c>
      <c r="AJ759" s="85">
        <f t="shared" si="9068"/>
        <v>11.244597194388776</v>
      </c>
      <c r="AK759" s="85">
        <f t="shared" ref="AK759:AL759" si="9069">AK$142/AK730/2</f>
        <v>13.563860387441549</v>
      </c>
      <c r="AL759" s="85">
        <f t="shared" si="9069"/>
        <v>10.432815235690237</v>
      </c>
      <c r="AM759" s="85">
        <f t="shared" ref="AM759:AN759" si="9070">AM$142/AM730/2</f>
        <v>13.883626290433588</v>
      </c>
      <c r="AN759" s="85">
        <f t="shared" si="9070"/>
        <v>16.987606510969567</v>
      </c>
      <c r="AO759" s="85">
        <f t="shared" ref="AO759" si="9071">AO$142/AO730/2</f>
        <v>10.395152238805968</v>
      </c>
      <c r="AP759" s="85">
        <f t="shared" ref="AP759:AQ759" si="9072">AP$142/AP730/2</f>
        <v>13.377017725752507</v>
      </c>
      <c r="AQ759" s="85">
        <f t="shared" si="9072"/>
        <v>12.453391521197007</v>
      </c>
      <c r="AR759" s="85">
        <f t="shared" ref="AR759:AS759" si="9073">AR$142/AR730/2</f>
        <v>12.558310311596534</v>
      </c>
      <c r="AS759" s="85">
        <f t="shared" si="9073"/>
        <v>9.5921516754850096</v>
      </c>
      <c r="AT759" s="85">
        <f t="shared" ref="AT759:AU759" si="9074">AT$142/AT730/2</f>
        <v>8.965097022721336</v>
      </c>
      <c r="AU759" s="85">
        <f t="shared" si="9074"/>
        <v>10.740113281249998</v>
      </c>
      <c r="AV759" s="85">
        <f t="shared" ref="AV759:AW759" si="9075">AV$142/AV730/2</f>
        <v>12.420920608108107</v>
      </c>
      <c r="AW759" s="85">
        <f t="shared" si="9075"/>
        <v>14.387462968799245</v>
      </c>
      <c r="AX759" s="85">
        <f t="shared" ref="AX759" si="9076">AX$142/AX730/2</f>
        <v>12.11499033071749</v>
      </c>
      <c r="AY759" s="224">
        <f t="shared" ref="AY759" si="9077">AY$142/AY730/2</f>
        <v>22.249502703920687</v>
      </c>
      <c r="AZ759" s="85">
        <f t="shared" ref="AZ759:BA759" si="9078">AZ$142/AZ730/2</f>
        <v>13.575762609877849</v>
      </c>
      <c r="BA759" s="85">
        <f t="shared" si="9078"/>
        <v>14.419614600916486</v>
      </c>
      <c r="BB759" s="85">
        <f t="shared" ref="BB759:BC759" si="9079">BB$142/BB730/2</f>
        <v>14.459680474017034</v>
      </c>
      <c r="BC759" s="85">
        <f t="shared" si="9079"/>
        <v>16.458124496271044</v>
      </c>
      <c r="BD759" s="85">
        <f t="shared" ref="BD759:BE759" si="9080">BD$142/BD730/2</f>
        <v>15.22763818356268</v>
      </c>
      <c r="BE759" s="85">
        <f t="shared" si="9080"/>
        <v>17.036168439927287</v>
      </c>
      <c r="BF759" s="85">
        <f t="shared" ref="BF759:BG759" si="9081">BF$142/BF730/2</f>
        <v>15.904084549434724</v>
      </c>
      <c r="BG759" s="85">
        <f t="shared" si="9081"/>
        <v>17.491669360774722</v>
      </c>
      <c r="BH759" s="85">
        <f t="shared" ref="BH759:BI759" si="9082">BH$142/BH730/2</f>
        <v>16.764188476595923</v>
      </c>
      <c r="BI759" s="85">
        <f t="shared" si="9082"/>
        <v>18.72137869336547</v>
      </c>
      <c r="BJ759" s="85">
        <f t="shared" ref="BJ759:BK759" si="9083">BJ$142/BJ730/2</f>
        <v>17.708586869668633</v>
      </c>
      <c r="BK759" s="85">
        <f t="shared" si="9083"/>
        <v>18.896745806354996</v>
      </c>
      <c r="BL759" s="85">
        <f t="shared" ref="BL759:BM759" si="9084">BL$142/BL730/2</f>
        <v>18.80363553246054</v>
      </c>
      <c r="BM759" s="85">
        <f t="shared" si="9084"/>
        <v>20.455437805464388</v>
      </c>
      <c r="BN759" s="85">
        <f t="shared" ref="BN759:BO759" si="9085">BN$142/BN730/2</f>
        <v>20.43997746533649</v>
      </c>
      <c r="BO759" s="85">
        <f t="shared" si="9085"/>
        <v>22.027622537675729</v>
      </c>
      <c r="BP759" s="85">
        <f t="shared" ref="BP759:BQ759" si="9086">BP$142/BP730/2</f>
        <v>21.95419295661705</v>
      </c>
      <c r="BQ759" s="85">
        <f t="shared" si="9086"/>
        <v>23.439058569164228</v>
      </c>
      <c r="BR759" s="85"/>
      <c r="BS759" s="85">
        <f t="shared" si="9030"/>
        <v>-4.3450872565990188</v>
      </c>
      <c r="BT759" s="85">
        <f t="shared" si="9030"/>
        <v>15.019821292154324</v>
      </c>
      <c r="BU759" s="85">
        <f t="shared" si="9030"/>
        <v>7.1367795751063863</v>
      </c>
      <c r="BV759" s="85">
        <f t="shared" si="9030"/>
        <v>9.531201874142857</v>
      </c>
      <c r="BW759" s="85">
        <f t="shared" si="9030"/>
        <v>9.4833740049253734</v>
      </c>
      <c r="BX759" s="85">
        <f t="shared" si="9030"/>
        <v>14.395780579381528</v>
      </c>
      <c r="BY759" s="85">
        <f t="shared" si="9030"/>
        <v>11.698977094171715</v>
      </c>
      <c r="BZ759" s="85">
        <f t="shared" si="9030"/>
        <v>11.320999313898403</v>
      </c>
      <c r="CA759" s="85">
        <f t="shared" si="9030"/>
        <v>12.694667169251911</v>
      </c>
      <c r="CB759" s="85">
        <f t="shared" si="9030"/>
        <v>13.500341070126082</v>
      </c>
      <c r="CC759" s="85">
        <f t="shared" ref="CC759:CR759" si="9087">CC$142/CC730</f>
        <v>12.374892229367566</v>
      </c>
      <c r="CD759" s="85">
        <f t="shared" si="9087"/>
        <v>12.062103550909383</v>
      </c>
      <c r="CE759" s="85">
        <f t="shared" si="9087"/>
        <v>12.815564755032282</v>
      </c>
      <c r="CF759" s="85">
        <f t="shared" si="9087"/>
        <v>13.970231167116298</v>
      </c>
      <c r="CG759" s="85">
        <f t="shared" si="9087"/>
        <v>13.809510674157305</v>
      </c>
      <c r="CH759" s="85">
        <f t="shared" si="9087"/>
        <v>14.124118857730901</v>
      </c>
      <c r="CI759" s="85">
        <f t="shared" si="9087"/>
        <v>11.14844475394615</v>
      </c>
      <c r="CJ759" s="85">
        <f t="shared" si="9087"/>
        <v>16.174574328358212</v>
      </c>
      <c r="CK759" s="85">
        <f t="shared" si="9087"/>
        <v>11.600980866848888</v>
      </c>
      <c r="CL759" s="85">
        <f t="shared" si="9087"/>
        <v>9.1817356553620542</v>
      </c>
      <c r="CM759" s="85">
        <f t="shared" si="9087"/>
        <v>10.914344262295081</v>
      </c>
      <c r="CN759" s="85">
        <f t="shared" si="9087"/>
        <v>12.918013876040705</v>
      </c>
      <c r="CO759" s="85">
        <f t="shared" si="9087"/>
        <v>11.880132752074251</v>
      </c>
      <c r="CP759" s="85">
        <f t="shared" si="9087"/>
        <v>10.401872765072767</v>
      </c>
      <c r="CQ759" s="85">
        <f t="shared" si="9087"/>
        <v>13.635304126337237</v>
      </c>
      <c r="CR759" s="85">
        <f t="shared" si="9087"/>
        <v>12.721609634307537</v>
      </c>
      <c r="CS759" s="85">
        <f t="shared" si="9032"/>
        <v>12.612146446739635</v>
      </c>
      <c r="CT759" s="85">
        <f t="shared" si="9032"/>
        <v>12.532490262751161</v>
      </c>
      <c r="CU759" s="85">
        <f t="shared" si="9032"/>
        <v>12.971819584885575</v>
      </c>
      <c r="CV759" s="85">
        <f t="shared" si="9032"/>
        <v>12.892318489835429</v>
      </c>
      <c r="CW759" s="85">
        <f t="shared" si="9032"/>
        <v>9.9651573292402151</v>
      </c>
      <c r="CX759" s="85">
        <f t="shared" si="9032"/>
        <v>10.374767570484284</v>
      </c>
      <c r="CY759" s="85">
        <f t="shared" si="9033"/>
        <v>13.589774275092937</v>
      </c>
      <c r="CZ759" s="224">
        <f t="shared" si="9033"/>
        <v>17.058933125972004</v>
      </c>
      <c r="DA759" s="85">
        <f t="shared" si="9034"/>
        <v>14.302393720174825</v>
      </c>
      <c r="DB759" s="85">
        <f t="shared" si="9034"/>
        <v>15.754036745373368</v>
      </c>
      <c r="DC759" s="85">
        <f t="shared" ref="DC759" si="9088">DC$142/DC730</f>
        <v>16.45300362561893</v>
      </c>
      <c r="DD759" s="85">
        <f t="shared" si="9036"/>
        <v>17.04300708952545</v>
      </c>
      <c r="DE759" s="85">
        <f t="shared" si="9036"/>
        <v>18.099910339145715</v>
      </c>
      <c r="DF759" s="85">
        <f t="shared" si="9037"/>
        <v>18.698954808859273</v>
      </c>
      <c r="DG759" s="85">
        <f t="shared" si="9037"/>
        <v>20.044409559710175</v>
      </c>
      <c r="DH759" s="85">
        <f t="shared" si="9038"/>
        <v>21.688433498816725</v>
      </c>
      <c r="DI759" s="85">
        <f t="shared" si="9038"/>
        <v>23.187798937794948</v>
      </c>
    </row>
    <row r="760" spans="1:113" ht="12" outlineLevel="1">
      <c r="A760" s="1" t="s">
        <v>971</v>
      </c>
      <c r="B760" s="15" t="s">
        <v>539</v>
      </c>
      <c r="C760" s="85">
        <f>C$142/C732/2</f>
        <v>12.513965855846996</v>
      </c>
      <c r="D760" s="85">
        <f>D$142/D732/2</f>
        <v>12.72479051689861</v>
      </c>
      <c r="E760" s="85">
        <f>E$142/E732/2</f>
        <v>12.244273189473686</v>
      </c>
      <c r="F760" s="85">
        <f>F$142/F732/2</f>
        <v>12.424970844526218</v>
      </c>
      <c r="G760" s="85">
        <f>G$142/G732/2</f>
        <v>11.762709232096636</v>
      </c>
      <c r="H760" s="85">
        <f t="shared" ref="H760:L760" si="9089">H$142/H732/2</f>
        <v>13.342690737833596</v>
      </c>
      <c r="I760" s="85">
        <f t="shared" si="9089"/>
        <v>12.675987341772148</v>
      </c>
      <c r="J760" s="85">
        <f t="shared" si="9089"/>
        <v>12.428108843537412</v>
      </c>
      <c r="K760" s="85">
        <f t="shared" si="9089"/>
        <v>14.453731343283586</v>
      </c>
      <c r="L760" s="85">
        <f t="shared" si="9089"/>
        <v>14.500141242937858</v>
      </c>
      <c r="M760" s="85">
        <f t="shared" ref="M760:AF760" si="9090">M$142/M732/2</f>
        <v>13.787090042372881</v>
      </c>
      <c r="N760" s="85">
        <f t="shared" si="9090"/>
        <v>14.633862595419853</v>
      </c>
      <c r="O760" s="85">
        <f t="shared" si="9090"/>
        <v>14.323652430044186</v>
      </c>
      <c r="P760" s="85">
        <f t="shared" si="9090"/>
        <v>11.676458333333331</v>
      </c>
      <c r="Q760" s="85">
        <f t="shared" si="9090"/>
        <v>14.235914245216152</v>
      </c>
      <c r="R760" s="85">
        <f t="shared" si="9090"/>
        <v>18.161130478087653</v>
      </c>
      <c r="S760" s="85">
        <f t="shared" si="9090"/>
        <v>12.146751715785225</v>
      </c>
      <c r="T760" s="85">
        <f t="shared" si="9090"/>
        <v>13.763078141906632</v>
      </c>
      <c r="U760" s="85">
        <f t="shared" si="9090"/>
        <v>11.266168168551149</v>
      </c>
      <c r="V760" s="85">
        <f t="shared" si="9090"/>
        <v>11.587693150794646</v>
      </c>
      <c r="W760" s="85">
        <f t="shared" si="9090"/>
        <v>9.6991264353701894</v>
      </c>
      <c r="X760" s="85">
        <f t="shared" si="9090"/>
        <v>11.102406311637083</v>
      </c>
      <c r="Y760" s="85">
        <f>Y$142/Y732/2</f>
        <v>10.972399482180933</v>
      </c>
      <c r="Z760" s="85">
        <f t="shared" si="9090"/>
        <v>12.608419354838711</v>
      </c>
      <c r="AA760" s="85">
        <f t="shared" si="9090"/>
        <v>13.103973714953273</v>
      </c>
      <c r="AB760" s="85">
        <f t="shared" si="9090"/>
        <v>13.298722160970232</v>
      </c>
      <c r="AC760" s="85">
        <f t="shared" ref="AC760:AD760" si="9091">AC$142/AC732/2</f>
        <v>12.220287707997851</v>
      </c>
      <c r="AD760" s="85">
        <f t="shared" si="9091"/>
        <v>14.102834297738035</v>
      </c>
      <c r="AE760" s="85">
        <f t="shared" ref="AE760" si="9092">AE$142/AE732/2</f>
        <v>11.301327908868998</v>
      </c>
      <c r="AF760" s="85">
        <f t="shared" si="9090"/>
        <v>12.933436326391261</v>
      </c>
      <c r="AG760" s="85">
        <f t="shared" ref="AG760:AH760" si="9093">AG$142/AG732/2</f>
        <v>13.54183880871968</v>
      </c>
      <c r="AH760" s="85">
        <f t="shared" si="9093"/>
        <v>14.446625178418499</v>
      </c>
      <c r="AI760" s="85">
        <f t="shared" ref="AI760:AJ760" si="9094">AI$142/AI732/2</f>
        <v>13.11039510294936</v>
      </c>
      <c r="AJ760" s="85">
        <f t="shared" si="9094"/>
        <v>11.841978260869565</v>
      </c>
      <c r="AK760" s="85">
        <f t="shared" ref="AK760:AL760" si="9095">AK$142/AK732/2</f>
        <v>14.091349616858238</v>
      </c>
      <c r="AL760" s="85">
        <f t="shared" si="9095"/>
        <v>10.992241826533371</v>
      </c>
      <c r="AM760" s="85">
        <f t="shared" ref="AM760:AN760" si="9096">AM$142/AM732/2</f>
        <v>14.440773789924268</v>
      </c>
      <c r="AN760" s="85">
        <f t="shared" si="9096"/>
        <v>17.868137931034482</v>
      </c>
      <c r="AO760" s="85">
        <f t="shared" ref="AO760" si="9097">AO$142/AO732/2</f>
        <v>11.317464887063654</v>
      </c>
      <c r="AP760" s="85">
        <f t="shared" ref="AP760:AQ760" si="9098">AP$142/AP732/2</f>
        <v>14.100972096041533</v>
      </c>
      <c r="AQ760" s="85">
        <f t="shared" si="9098"/>
        <v>13.233397668785953</v>
      </c>
      <c r="AR760" s="85">
        <f t="shared" ref="AR760:AS760" si="9099">AR$142/AR732/2</f>
        <v>13.364255850234009</v>
      </c>
      <c r="AS760" s="85">
        <f t="shared" si="9099"/>
        <v>10.219065260758052</v>
      </c>
      <c r="AT760" s="85">
        <f t="shared" ref="AT760:AU760" si="9100">AT$142/AT732/2</f>
        <v>9.446018974616738</v>
      </c>
      <c r="AU760" s="85">
        <f t="shared" si="9100"/>
        <v>11.179747211895911</v>
      </c>
      <c r="AV760" s="85">
        <f t="shared" ref="AV760:AW760" si="9101">AV$142/AV732/2</f>
        <v>12.673435924648448</v>
      </c>
      <c r="AW760" s="85">
        <f t="shared" si="9101"/>
        <v>14.581827014218007</v>
      </c>
      <c r="AX760" s="85">
        <f t="shared" ref="AX760" si="9102">AX$142/AX732/2</f>
        <v>12.427362320764738</v>
      </c>
      <c r="AY760" s="224">
        <f>AY$142/AY732/2</f>
        <v>22.312360748084721</v>
      </c>
      <c r="AZ760" s="85">
        <f t="shared" ref="AZ760" si="9103">AZ$142/AZ732/2</f>
        <v>13.613898146989866</v>
      </c>
      <c r="BA760" s="85">
        <f>BA$142/BA732/2</f>
        <v>14.459826977145463</v>
      </c>
      <c r="BB760" s="85">
        <f t="shared" ref="BB760:BD760" si="9104">BB$142/BB732/2</f>
        <v>14.499859048099649</v>
      </c>
      <c r="BC760" s="85">
        <f>BC$142/BC732/2</f>
        <v>16.504051834617279</v>
      </c>
      <c r="BD760" s="85">
        <f t="shared" si="9104"/>
        <v>15.270490758982765</v>
      </c>
      <c r="BE760" s="85">
        <f>BE$142/BE732/2</f>
        <v>17.084501186876544</v>
      </c>
      <c r="BF760" s="85">
        <f t="shared" ref="BF760" si="9105">BF$142/BF732/2</f>
        <v>15.94956017123995</v>
      </c>
      <c r="BG760" s="85">
        <f t="shared" ref="BG760:BM760" si="9106">BG$142/BG732/2</f>
        <v>17.542063539898923</v>
      </c>
      <c r="BH760" s="85">
        <f t="shared" si="9106"/>
        <v>16.812666422907107</v>
      </c>
      <c r="BI760" s="85">
        <f t="shared" si="9106"/>
        <v>18.775516356660976</v>
      </c>
      <c r="BJ760" s="85">
        <f t="shared" si="9106"/>
        <v>17.759795785907752</v>
      </c>
      <c r="BK760" s="85">
        <f t="shared" si="9106"/>
        <v>18.951390588590385</v>
      </c>
      <c r="BL760" s="85">
        <f t="shared" si="9106"/>
        <v>18.858011062482188</v>
      </c>
      <c r="BM760" s="85">
        <f t="shared" si="9106"/>
        <v>20.514589944984262</v>
      </c>
      <c r="BN760" s="85">
        <f t="shared" ref="BN760:BO760" si="9107">BN$142/BN732/2</f>
        <v>20.499084897321627</v>
      </c>
      <c r="BO760" s="85">
        <f t="shared" si="9107"/>
        <v>22.091321052174973</v>
      </c>
      <c r="BP760" s="85">
        <f t="shared" ref="BP760:BQ760" si="9108">BP$142/BP732/2</f>
        <v>22.01767913066849</v>
      </c>
      <c r="BQ760" s="85">
        <f t="shared" si="9108"/>
        <v>23.506838612587565</v>
      </c>
      <c r="BR760" s="85"/>
      <c r="BS760" s="85">
        <f t="shared" ref="BS760:CB760" si="9109">BS$142/BS732</f>
        <v>-5.5557608913774201</v>
      </c>
      <c r="BT760" s="85">
        <f t="shared" si="9109"/>
        <v>17.317798792231073</v>
      </c>
      <c r="BU760" s="85">
        <f t="shared" si="9109"/>
        <v>7.1367795751063863</v>
      </c>
      <c r="BV760" s="85">
        <f t="shared" si="9109"/>
        <v>9.5212110964970069</v>
      </c>
      <c r="BW760" s="85">
        <f t="shared" si="9109"/>
        <v>9.5156088058041401</v>
      </c>
      <c r="BX760" s="85">
        <f t="shared" si="9109"/>
        <v>14.440545340922021</v>
      </c>
      <c r="BY760" s="85">
        <f t="shared" si="9109"/>
        <v>11.729713082067118</v>
      </c>
      <c r="BZ760" s="85">
        <f t="shared" si="9109"/>
        <v>11.359519246188786</v>
      </c>
      <c r="CA760" s="85">
        <f t="shared" si="9109"/>
        <v>12.754853881125037</v>
      </c>
      <c r="CB760" s="85">
        <f t="shared" si="9109"/>
        <v>13.46219850750135</v>
      </c>
      <c r="CC760" s="85">
        <f t="shared" ref="CC760:CO760" si="9110">CC$142/CC732</f>
        <v>12.437721899003492</v>
      </c>
      <c r="CD760" s="85">
        <f t="shared" si="9110"/>
        <v>12.107590573195575</v>
      </c>
      <c r="CE760" s="85">
        <f t="shared" si="9110"/>
        <v>13.010992210682494</v>
      </c>
      <c r="CF760" s="85">
        <f t="shared" si="9110"/>
        <v>14.459661293405548</v>
      </c>
      <c r="CG760" s="85">
        <f t="shared" si="9110"/>
        <v>14.224492072170587</v>
      </c>
      <c r="CH760" s="85">
        <f t="shared" si="9110"/>
        <v>14.478193403298356</v>
      </c>
      <c r="CI760" s="85">
        <f t="shared" si="9110"/>
        <v>11.70340607490416</v>
      </c>
      <c r="CJ760" s="85">
        <f t="shared" si="9110"/>
        <v>16.443806664751509</v>
      </c>
      <c r="CK760" s="85">
        <f t="shared" si="9110"/>
        <v>12.013724604966139</v>
      </c>
      <c r="CL760" s="85">
        <f t="shared" si="9110"/>
        <v>9.6267144110935572</v>
      </c>
      <c r="CM760" s="85">
        <f t="shared" si="9110"/>
        <v>11.360739130434785</v>
      </c>
      <c r="CN760" s="85">
        <f t="shared" si="9110"/>
        <v>13.324391356184799</v>
      </c>
      <c r="CO760" s="85">
        <f t="shared" si="9110"/>
        <v>12.337727495240689</v>
      </c>
      <c r="CP760" s="85">
        <f t="shared" ref="CP760:CX760" si="9111">CP$142/CP732</f>
        <v>10.964344505274404</v>
      </c>
      <c r="CQ760" s="85">
        <f t="shared" si="9111"/>
        <v>14.234854510184288</v>
      </c>
      <c r="CR760" s="85">
        <f t="shared" si="9111"/>
        <v>13.311866986050441</v>
      </c>
      <c r="CS760" s="85">
        <f t="shared" si="9111"/>
        <v>13.176628140703517</v>
      </c>
      <c r="CT760" s="85">
        <f t="shared" si="9111"/>
        <v>13.078227367171269</v>
      </c>
      <c r="CU760" s="85">
        <f t="shared" si="9111"/>
        <v>13.877880664652563</v>
      </c>
      <c r="CV760" s="85">
        <f t="shared" si="9111"/>
        <v>13.661898198903682</v>
      </c>
      <c r="CW760" s="85">
        <f t="shared" si="9111"/>
        <v>10.656639857015191</v>
      </c>
      <c r="CX760" s="85">
        <f t="shared" si="9111"/>
        <v>10.835510652033571</v>
      </c>
      <c r="CY760" s="85">
        <f t="shared" ref="CY760:DD760" si="9112">CY$142/CY732</f>
        <v>13.79598600419874</v>
      </c>
      <c r="CZ760" s="224">
        <f t="shared" si="9112"/>
        <v>17.644858646616544</v>
      </c>
      <c r="DA760" s="85">
        <f t="shared" si="9112"/>
        <v>14.342424683601491</v>
      </c>
      <c r="DB760" s="85">
        <f t="shared" si="9112"/>
        <v>15.797905135917954</v>
      </c>
      <c r="DC760" s="85">
        <f t="shared" si="9112"/>
        <v>16.499492452018796</v>
      </c>
      <c r="DD760" s="85">
        <f t="shared" si="9112"/>
        <v>17.091922779170321</v>
      </c>
      <c r="DE760" s="85">
        <f>DE$142/DE732</f>
        <v>18.152250867461973</v>
      </c>
      <c r="DF760" s="85">
        <f>DF$142/DF732</f>
        <v>18.753027627747265</v>
      </c>
      <c r="DG760" s="85">
        <f>DG$142/DG732</f>
        <v>20.102373105743528</v>
      </c>
      <c r="DH760" s="85">
        <f>DH$142/DH732</f>
        <v>21.751151161302875</v>
      </c>
      <c r="DI760" s="85">
        <f>DI$142/DI732</f>
        <v>23.254852399616276</v>
      </c>
    </row>
    <row r="761" spans="1:113" ht="12" outlineLevel="1">
      <c r="A761" s="1" t="s">
        <v>972</v>
      </c>
      <c r="B761" s="15" t="s">
        <v>431</v>
      </c>
      <c r="C761" s="85">
        <f>C$142/C734/2</f>
        <v>6.5786004598039209</v>
      </c>
      <c r="D761" s="85">
        <f>D$142/D734/2</f>
        <v>7.0919380623608026</v>
      </c>
      <c r="E761" s="85">
        <f>E$142/E734/2</f>
        <v>6.8167734162895934</v>
      </c>
      <c r="F761" s="85">
        <f>F$142/F734/2</f>
        <v>7.1188581629629635</v>
      </c>
      <c r="G761" s="85">
        <f>G$142/G734/2</f>
        <v>6.7399072553232671</v>
      </c>
      <c r="H761" s="85">
        <f t="shared" ref="H761:L761" si="9113">H$142/H734/2</f>
        <v>7.5031667145849594</v>
      </c>
      <c r="I761" s="85">
        <f t="shared" si="9113"/>
        <v>7.3383200748713131</v>
      </c>
      <c r="J761" s="85">
        <f t="shared" si="9113"/>
        <v>7.7417912538364879</v>
      </c>
      <c r="K761" s="85">
        <f t="shared" si="9113"/>
        <v>8.54767184035477</v>
      </c>
      <c r="L761" s="85">
        <f t="shared" si="9113"/>
        <v>9.0368991577204003</v>
      </c>
      <c r="M761" s="85">
        <f t="shared" ref="M761:AF761" si="9114">M$142/M734/2</f>
        <v>8.6989761936747438</v>
      </c>
      <c r="N761" s="85">
        <f t="shared" si="9114"/>
        <v>9.1072984241584649</v>
      </c>
      <c r="O761" s="85">
        <f t="shared" si="9114"/>
        <v>8.8875714926273481</v>
      </c>
      <c r="P761" s="85">
        <f t="shared" si="9114"/>
        <v>6.1825646330348212</v>
      </c>
      <c r="Q761" s="85">
        <f t="shared" si="9114"/>
        <v>5.8128701022539087</v>
      </c>
      <c r="R761" s="85">
        <f t="shared" si="9114"/>
        <v>5.6449619188010569</v>
      </c>
      <c r="S761" s="85">
        <f t="shared" si="9114"/>
        <v>5.7914682149382806</v>
      </c>
      <c r="T761" s="85">
        <f t="shared" si="9114"/>
        <v>7.2181999546588074</v>
      </c>
      <c r="U761" s="85">
        <f t="shared" si="9114"/>
        <v>6.6150586161304537</v>
      </c>
      <c r="V761" s="85">
        <f t="shared" si="9114"/>
        <v>6.8176179161088797</v>
      </c>
      <c r="W761" s="85">
        <f t="shared" si="9114"/>
        <v>5.7909333333333333</v>
      </c>
      <c r="X761" s="85">
        <f t="shared" si="9114"/>
        <v>6.7039204272945287</v>
      </c>
      <c r="Y761" s="85">
        <f>Y$142/Y734/2</f>
        <v>6.6185892323030906</v>
      </c>
      <c r="Z761" s="85">
        <f t="shared" si="9114"/>
        <v>7.6767628763866878</v>
      </c>
      <c r="AA761" s="85">
        <f t="shared" si="9114"/>
        <v>8.2532884388517509</v>
      </c>
      <c r="AB761" s="85">
        <f t="shared" si="9114"/>
        <v>8.3786399108138241</v>
      </c>
      <c r="AC761" s="85">
        <f t="shared" ref="AC761:AD761" si="9115">AC$142/AC734/2</f>
        <v>7.7831828550404714</v>
      </c>
      <c r="AD761" s="85">
        <f t="shared" si="9115"/>
        <v>9.0092989985693865</v>
      </c>
      <c r="AE761" s="85">
        <f t="shared" ref="AE761" si="9116">AE$142/AE734/2</f>
        <v>6.7923761451410094</v>
      </c>
      <c r="AF761" s="85">
        <f t="shared" si="9114"/>
        <v>7.0360599545172642</v>
      </c>
      <c r="AG761" s="85">
        <f t="shared" ref="AG761:AH761" si="9117">AG$142/AG734/2</f>
        <v>7.5636995110943968</v>
      </c>
      <c r="AH761" s="85">
        <f t="shared" si="9117"/>
        <v>8.4744155583895058</v>
      </c>
      <c r="AI761" s="85">
        <f t="shared" ref="AI761:AJ761" si="9118">AI$142/AI734/2</f>
        <v>8.0880895522388059</v>
      </c>
      <c r="AJ761" s="85">
        <f t="shared" si="9118"/>
        <v>7.2776316472114138</v>
      </c>
      <c r="AK761" s="85">
        <f t="shared" ref="AK761:AL761" si="9119">AK$142/AK734/2</f>
        <v>8.8882026701685266</v>
      </c>
      <c r="AL761" s="85">
        <f t="shared" si="9119"/>
        <v>6.9099709161865839</v>
      </c>
      <c r="AM761" s="85">
        <f t="shared" ref="AM761:AN761" si="9120">AM$142/AM734/2</f>
        <v>8.814904522613066</v>
      </c>
      <c r="AN761" s="85">
        <f t="shared" si="9120"/>
        <v>6.0401328636134881</v>
      </c>
      <c r="AO761" s="85">
        <f t="shared" ref="AO761" si="9121">AO$142/AO734/2</f>
        <v>5.5464464163822518</v>
      </c>
      <c r="AP761" s="85">
        <f t="shared" ref="AP761:AQ761" si="9122">AP$142/AP734/2</f>
        <v>10.149018776960162</v>
      </c>
      <c r="AQ761" s="85">
        <f t="shared" si="9122"/>
        <v>8.9675600448933768</v>
      </c>
      <c r="AR761" s="85">
        <f t="shared" ref="AR761:AS761" si="9123">AR$142/AR734/2</f>
        <v>9.4043829684868925</v>
      </c>
      <c r="AS761" s="85">
        <f t="shared" si="9123"/>
        <v>6.7828933693618794</v>
      </c>
      <c r="AT761" s="85">
        <f t="shared" ref="AT761:AU761" si="9124">AT$142/AT734/2</f>
        <v>6.1929201695832576</v>
      </c>
      <c r="AU761" s="85">
        <f t="shared" si="9124"/>
        <v>7.3698192609611333</v>
      </c>
      <c r="AV761" s="85">
        <f t="shared" ref="AV761:AW761" si="9125">AV$142/AV734/2</f>
        <v>8.5968647700701482</v>
      </c>
      <c r="AW761" s="85">
        <f t="shared" si="9125"/>
        <v>9.248666936790924</v>
      </c>
      <c r="AX761" s="85">
        <f t="shared" ref="AX761" si="9126">AX$142/AX734/2</f>
        <v>8.2288759756329721</v>
      </c>
      <c r="AY761" s="224">
        <f t="shared" ref="AY761" si="9127">AY$142/AY734/2</f>
        <v>13.109837095061073</v>
      </c>
      <c r="AZ761" s="85">
        <f t="shared" ref="AZ761:BA761" si="9128">AZ$142/AZ734/2</f>
        <v>8.9707994745170136</v>
      </c>
      <c r="BA761" s="85">
        <f t="shared" si="9128"/>
        <v>9.4569700304795159</v>
      </c>
      <c r="BB761" s="85">
        <f t="shared" ref="BB761:BC761" si="9129">BB$142/BB734/2</f>
        <v>9.3991991542890023</v>
      </c>
      <c r="BC761" s="85">
        <f t="shared" si="9129"/>
        <v>10.425760862824804</v>
      </c>
      <c r="BD761" s="85">
        <f t="shared" ref="BD761:BE761" si="9130">BD$142/BD734/2</f>
        <v>9.7555216013389643</v>
      </c>
      <c r="BE761" s="85">
        <f t="shared" si="9130"/>
        <v>10.874642074144218</v>
      </c>
      <c r="BF761" s="85">
        <f t="shared" ref="BF761:BG761" si="9131">BF$142/BF734/2</f>
        <v>10.284630766095267</v>
      </c>
      <c r="BG761" s="85">
        <f t="shared" si="9131"/>
        <v>11.292169370902961</v>
      </c>
      <c r="BH761" s="85">
        <f t="shared" ref="BH761:BI761" si="9132">BH$142/BH734/2</f>
        <v>10.836823634988139</v>
      </c>
      <c r="BI761" s="85">
        <f t="shared" si="9132"/>
        <v>12.041159784757699</v>
      </c>
      <c r="BJ761" s="85">
        <f t="shared" ref="BJ761:BK761" si="9133">BJ$142/BJ734/2</f>
        <v>11.754854477257451</v>
      </c>
      <c r="BK761" s="85">
        <f t="shared" si="9133"/>
        <v>12.474581304546474</v>
      </c>
      <c r="BL761" s="85">
        <f t="shared" ref="BL761:BM761" si="9134">BL$142/BL734/2</f>
        <v>12.374063839789926</v>
      </c>
      <c r="BM761" s="85">
        <f t="shared" si="9134"/>
        <v>13.304038821903593</v>
      </c>
      <c r="BN761" s="85">
        <f t="shared" ref="BN761:BO761" si="9135">BN$142/BN734/2</f>
        <v>13.194231873396889</v>
      </c>
      <c r="BO761" s="85">
        <f t="shared" si="9135"/>
        <v>14.047814148213684</v>
      </c>
      <c r="BP761" s="85">
        <f t="shared" ref="BP761:BQ761" si="9136">BP$142/BP734/2</f>
        <v>13.939800347097076</v>
      </c>
      <c r="BQ761" s="85">
        <f t="shared" si="9136"/>
        <v>14.818036946346499</v>
      </c>
      <c r="BR761" s="85"/>
      <c r="BS761" s="85">
        <f t="shared" ref="BS761:CB761" si="9137">BS$142/BS734</f>
        <v>2.3479531056398311</v>
      </c>
      <c r="BT761" s="85">
        <f t="shared" si="9137"/>
        <v>4.4119274135609414</v>
      </c>
      <c r="BU761" s="85">
        <f t="shared" si="9137"/>
        <v>3.2533995162685478</v>
      </c>
      <c r="BV761" s="85">
        <f t="shared" si="9137"/>
        <v>5.2748172973624516</v>
      </c>
      <c r="BW761" s="85">
        <f t="shared" si="9137"/>
        <v>5.9827277498568217</v>
      </c>
      <c r="BX761" s="85">
        <f t="shared" si="9137"/>
        <v>8.2432562633035555</v>
      </c>
      <c r="BY761" s="85">
        <f t="shared" si="9137"/>
        <v>6.1176226460399494</v>
      </c>
      <c r="BZ761" s="85">
        <f t="shared" si="9137"/>
        <v>5.8345413740735541</v>
      </c>
      <c r="CA761" s="85">
        <f t="shared" si="9137"/>
        <v>6.6438994626876493</v>
      </c>
      <c r="CB761" s="85">
        <f t="shared" si="9137"/>
        <v>7.1655968213698324</v>
      </c>
      <c r="CC761" s="85">
        <f t="shared" ref="CC761:CO761" si="9138">CC$142/CC734</f>
        <v>6.928142587569881</v>
      </c>
      <c r="CD761" s="85">
        <f t="shared" si="9138"/>
        <v>6.9372670292615437</v>
      </c>
      <c r="CE761" s="85">
        <f t="shared" si="9138"/>
        <v>7.4293047228821223</v>
      </c>
      <c r="CF761" s="85">
        <f t="shared" si="9138"/>
        <v>8.7729947999060673</v>
      </c>
      <c r="CG761" s="85">
        <f t="shared" si="9138"/>
        <v>8.9231393888352439</v>
      </c>
      <c r="CH761" s="85">
        <f t="shared" si="9138"/>
        <v>8.995929743839314</v>
      </c>
      <c r="CI761" s="85">
        <f t="shared" si="9138"/>
        <v>5.4559014198426574</v>
      </c>
      <c r="CJ761" s="85">
        <f t="shared" si="9138"/>
        <v>6.8922791213571672</v>
      </c>
      <c r="CK761" s="85">
        <f t="shared" si="9138"/>
        <v>6.6398730584422854</v>
      </c>
      <c r="CL761" s="85">
        <f t="shared" si="9138"/>
        <v>5.6518131347325671</v>
      </c>
      <c r="CM761" s="85">
        <f t="shared" si="9138"/>
        <v>6.8643746094563634</v>
      </c>
      <c r="CN761" s="85">
        <f t="shared" si="9138"/>
        <v>8.2678348134991122</v>
      </c>
      <c r="CO761" s="85">
        <f t="shared" si="9138"/>
        <v>7.8091721205398414</v>
      </c>
      <c r="CP761" s="85">
        <f t="shared" ref="CP761:CX761" si="9139">CP$142/CP734</f>
        <v>6.7254693072856</v>
      </c>
      <c r="CQ761" s="85">
        <f t="shared" si="9139"/>
        <v>7.9072679468242235</v>
      </c>
      <c r="CR761" s="85">
        <f t="shared" si="9139"/>
        <v>7.9842787353673161</v>
      </c>
      <c r="CS761" s="85">
        <f t="shared" si="9139"/>
        <v>8.2094113987557709</v>
      </c>
      <c r="CT761" s="85">
        <f t="shared" si="9139"/>
        <v>8.1427206266318546</v>
      </c>
      <c r="CU761" s="85">
        <f t="shared" si="9139"/>
        <v>5.8248414386426086</v>
      </c>
      <c r="CV761" s="85">
        <f t="shared" si="9139"/>
        <v>9.517221295855169</v>
      </c>
      <c r="CW761" s="85">
        <f t="shared" si="9139"/>
        <v>7.2394067796610164</v>
      </c>
      <c r="CX761" s="85">
        <f t="shared" si="9139"/>
        <v>7.1436143414452902</v>
      </c>
      <c r="CY761" s="85">
        <f t="shared" ref="CY761:DD761" si="9140">CY$142/CY734</f>
        <v>9.0773969010727065</v>
      </c>
      <c r="CZ761" s="224">
        <f t="shared" si="9140"/>
        <v>10.94578622907196</v>
      </c>
      <c r="DA761" s="85">
        <f t="shared" si="9140"/>
        <v>9.4155493488001323</v>
      </c>
      <c r="DB761" s="85">
        <f t="shared" si="9140"/>
        <v>10.114320744796196</v>
      </c>
      <c r="DC761" s="85">
        <f t="shared" si="9140"/>
        <v>10.522162827740646</v>
      </c>
      <c r="DD761" s="85">
        <f t="shared" si="9140"/>
        <v>11.012094051344283</v>
      </c>
      <c r="DE761" s="85">
        <f>DE$142/DE734</f>
        <v>11.671760274773664</v>
      </c>
      <c r="DF761" s="85">
        <f>DF$142/DF734</f>
        <v>12.378395847256598</v>
      </c>
      <c r="DG761" s="85">
        <f>DG$142/DG734</f>
        <v>13.114738019861317</v>
      </c>
      <c r="DH761" s="85">
        <f>DH$142/DH734</f>
        <v>13.916600046622202</v>
      </c>
      <c r="DI761" s="85">
        <f>DI$142/DI734</f>
        <v>14.691407828425866</v>
      </c>
    </row>
    <row r="762" spans="1:113" ht="12" outlineLevel="1">
      <c r="A762" s="1" t="s">
        <v>973</v>
      </c>
      <c r="B762" s="15" t="s">
        <v>432</v>
      </c>
      <c r="C762" s="207">
        <f t="shared" ref="C762:L762" si="9141">C735/C$142*2</f>
        <v>5.2110521726635238E-2</v>
      </c>
      <c r="D762" s="207">
        <f t="shared" si="9141"/>
        <v>4.5689917758148027E-2</v>
      </c>
      <c r="E762" s="207">
        <f t="shared" si="9141"/>
        <v>5.4256943783024134E-2</v>
      </c>
      <c r="F762" s="207">
        <f t="shared" si="9141"/>
        <v>5.1460603983752476E-2</v>
      </c>
      <c r="G762" s="207">
        <f t="shared" si="9141"/>
        <v>5.9405940594059403E-2</v>
      </c>
      <c r="H762" s="207">
        <f t="shared" si="9141"/>
        <v>4.9578059071729956E-2</v>
      </c>
      <c r="I762" s="207">
        <f t="shared" si="9141"/>
        <v>5.6782334384858045E-2</v>
      </c>
      <c r="J762" s="207">
        <f t="shared" si="9141"/>
        <v>4.9466537342386034E-2</v>
      </c>
      <c r="K762" s="207">
        <f t="shared" si="9141"/>
        <v>4.9166666666666664E-2</v>
      </c>
      <c r="L762" s="207">
        <f t="shared" si="9141"/>
        <v>4.226415094339623E-2</v>
      </c>
      <c r="M762" s="30">
        <f t="shared" ref="M762:AF762" si="9142">M735/M$142*2</f>
        <v>5.1377513030528663E-2</v>
      </c>
      <c r="N762" s="30">
        <f t="shared" si="9142"/>
        <v>4.1750841750841754E-2</v>
      </c>
      <c r="O762" s="30">
        <f t="shared" si="9142"/>
        <v>4.9831649831649831E-2</v>
      </c>
      <c r="P762" s="30">
        <f t="shared" si="9142"/>
        <v>5.4988913525498888E-2</v>
      </c>
      <c r="Q762" s="30">
        <f t="shared" si="9142"/>
        <v>7.8933333333333328E-2</v>
      </c>
      <c r="R762" s="30">
        <f t="shared" si="9142"/>
        <v>5.8412698412698416E-2</v>
      </c>
      <c r="S762" s="30">
        <f t="shared" si="9142"/>
        <v>4.5920459204592048E-2</v>
      </c>
      <c r="T762" s="32">
        <f t="shared" si="9142"/>
        <v>4.1009463722397485E-2</v>
      </c>
      <c r="U762" s="30">
        <f t="shared" si="9142"/>
        <v>6.25E-2</v>
      </c>
      <c r="V762" s="30">
        <f t="shared" si="9142"/>
        <v>5.3758924821503573E-2</v>
      </c>
      <c r="W762" s="30">
        <f t="shared" si="9142"/>
        <v>7.7868852459016397E-2</v>
      </c>
      <c r="X762" s="30">
        <f t="shared" si="9142"/>
        <v>5.6749785038693039E-2</v>
      </c>
      <c r="Y762" s="32">
        <f t="shared" si="9142"/>
        <v>6.3838383838383833E-2</v>
      </c>
      <c r="Z762" s="32">
        <f t="shared" si="9142"/>
        <v>5.1174202593760945E-2</v>
      </c>
      <c r="AA762" s="32">
        <f t="shared" si="9142"/>
        <v>5.9129304743339828E-2</v>
      </c>
      <c r="AB762" s="32">
        <f t="shared" si="9142"/>
        <v>5.0211736237144582E-2</v>
      </c>
      <c r="AC762" s="32">
        <f t="shared" ref="AC762:AD762" si="9143">AC735/AC$142*2</f>
        <v>6.1448900388098311E-2</v>
      </c>
      <c r="AD762" s="32">
        <f t="shared" si="9143"/>
        <v>4.6943231441048033E-2</v>
      </c>
      <c r="AE762" s="32">
        <f t="shared" ref="AE762" si="9144">AE735/AE$142*2</f>
        <v>7.0162481536189064E-2</v>
      </c>
      <c r="AF762" s="32">
        <f t="shared" si="9142"/>
        <v>6.8201193520886619E-2</v>
      </c>
      <c r="AG762" s="32">
        <f t="shared" ref="AG762:AH762" si="9145">AG735/AG$142*2</f>
        <v>5.7908070937386903E-2</v>
      </c>
      <c r="AH762" s="32">
        <f t="shared" si="9145"/>
        <v>5.02828409805154E-2</v>
      </c>
      <c r="AI762" s="32">
        <f t="shared" ref="AI762:AJ762" si="9146">AI735/AI$142*2</f>
        <v>5.4054054054054057E-2</v>
      </c>
      <c r="AJ762" s="32">
        <f t="shared" si="9146"/>
        <v>5.9568131049888312E-2</v>
      </c>
      <c r="AK762" s="32">
        <f t="shared" ref="AK762:AL762" si="9147">AK735/AK$142*2</f>
        <v>5.6777856635911998E-2</v>
      </c>
      <c r="AL762" s="32">
        <f t="shared" si="9147"/>
        <v>6.1467537456780637E-2</v>
      </c>
      <c r="AM762" s="32">
        <f t="shared" ref="AM762:AN762" si="9148">AM735/AM$142*2</f>
        <v>5.6100981767180924E-2</v>
      </c>
      <c r="AN762" s="32">
        <f t="shared" si="9148"/>
        <v>2.9481132075471699E-2</v>
      </c>
      <c r="AO762" s="32">
        <f t="shared" ref="AO762" si="9149">AO735/AO$142*2</f>
        <v>4.0650406504065047E-2</v>
      </c>
      <c r="AP762" s="32">
        <f t="shared" ref="AP762:AQ762" si="9150">AP735/AP$142*2</f>
        <v>4.9680624556422991E-2</v>
      </c>
      <c r="AQ762" s="32">
        <f t="shared" si="9150"/>
        <v>5.1154529307282419E-2</v>
      </c>
      <c r="AR762" s="32">
        <f t="shared" ref="AR762:AS762" si="9151">AR735/AR$142*2</f>
        <v>5.2173913043478258E-2</v>
      </c>
      <c r="AS762" s="32">
        <f t="shared" si="9151"/>
        <v>6.491228070175438E-2</v>
      </c>
      <c r="AT762" s="32">
        <f t="shared" ref="AT762:AU762" si="9152">AT735/AT$142*2</f>
        <v>7.0649803750545137E-2</v>
      </c>
      <c r="AU762" s="32">
        <f t="shared" si="9152"/>
        <v>7.3265783320342948E-2</v>
      </c>
      <c r="AV762" s="32">
        <f t="shared" ref="AV762:AW762" si="9153">AV735/AV$142*2</f>
        <v>5.6462585034013607E-2</v>
      </c>
      <c r="AW762" s="32">
        <f t="shared" si="9153"/>
        <v>5.4461942257217844E-2</v>
      </c>
      <c r="AX762" s="32">
        <f t="shared" ref="AX762" si="9154">AX735/AX$142*2</f>
        <v>5.7064283258851836E-2</v>
      </c>
      <c r="AY762" s="31">
        <f t="shared" ref="AY762" si="9155">AY735/AY$142*2</f>
        <v>4.9984944293887383E-2</v>
      </c>
      <c r="AZ762" s="30">
        <f t="shared" ref="AZ762:BA762" si="9156">AZ735/AZ$142*2</f>
        <v>4.9561934810435054E-2</v>
      </c>
      <c r="BA762" s="30">
        <f t="shared" si="9156"/>
        <v>4.9634195975659379E-2</v>
      </c>
      <c r="BB762" s="30">
        <f t="shared" ref="BB762:BC762" si="9157">BB735/BB$142*2</f>
        <v>4.8025130630266519E-2</v>
      </c>
      <c r="BC762" s="30">
        <f t="shared" si="9157"/>
        <v>4.6462617315432046E-2</v>
      </c>
      <c r="BD762" s="30">
        <f t="shared" ref="BD762:BE762" si="9158">BD735/BD$142*2</f>
        <v>4.5428916387363155E-2</v>
      </c>
      <c r="BE762" s="30">
        <f t="shared" si="9158"/>
        <v>4.439810541369521E-2</v>
      </c>
      <c r="BF762" s="30">
        <f t="shared" ref="BF762:BG762" si="9159">BF735/BF$142*2</f>
        <v>4.3371851433652756E-2</v>
      </c>
      <c r="BG762" s="30">
        <f t="shared" si="9159"/>
        <v>4.2351672593955281E-2</v>
      </c>
      <c r="BH762" s="30">
        <f t="shared" ref="BH762:BI762" si="9160">BH735/BH$142*2</f>
        <v>4.13389478791263E-2</v>
      </c>
      <c r="BI762" s="30">
        <f t="shared" si="9160"/>
        <v>4.0334926279957398E-2</v>
      </c>
      <c r="BJ762" s="30">
        <f t="shared" ref="BJ762:BK762" si="9161">BJ735/BJ$142*2</f>
        <v>3.9340735430469245E-2</v>
      </c>
      <c r="BK762" s="30">
        <f t="shared" si="9161"/>
        <v>3.8357389742140383E-2</v>
      </c>
      <c r="BL762" s="30">
        <f t="shared" ref="BL762:BM762" si="9162">BL735/BL$142*2</f>
        <v>3.7385798062682427E-2</v>
      </c>
      <c r="BM762" s="30">
        <f t="shared" si="9162"/>
        <v>3.6426770885223524E-2</v>
      </c>
      <c r="BN762" s="30">
        <f t="shared" ref="BN762:BO762" si="9163">BN735/BN$142*2</f>
        <v>3.5481027132415889E-2</v>
      </c>
      <c r="BO762" s="30">
        <f t="shared" si="9163"/>
        <v>3.4549200538706248E-2</v>
      </c>
      <c r="BP762" s="30">
        <f t="shared" ref="BP762:BQ762" si="9164">BP735/BP$142*2</f>
        <v>3.3631845652794437E-2</v>
      </c>
      <c r="BQ762" s="30">
        <f t="shared" si="9164"/>
        <v>3.2729443481154072E-2</v>
      </c>
      <c r="BR762" s="30"/>
      <c r="BS762" s="207">
        <f t="shared" ref="BS762:CB762" si="9165">BS735/BS$142</f>
        <v>3.8235059760956189E-2</v>
      </c>
      <c r="BT762" s="207">
        <f t="shared" si="9165"/>
        <v>2.3776351351351348E-2</v>
      </c>
      <c r="BU762" s="207">
        <f t="shared" si="9165"/>
        <v>6.4323056300268092E-2</v>
      </c>
      <c r="BV762" s="207">
        <f t="shared" si="9165"/>
        <v>5.0510526315789471E-2</v>
      </c>
      <c r="BW762" s="207">
        <f t="shared" si="9165"/>
        <v>5.8030818641490234E-2</v>
      </c>
      <c r="BX762" s="207">
        <f t="shared" si="9165"/>
        <v>4.2508897545894063E-2</v>
      </c>
      <c r="BY762" s="207">
        <f t="shared" si="9165"/>
        <v>5.7608819121024661E-2</v>
      </c>
      <c r="BZ762" s="207">
        <f t="shared" si="9165"/>
        <v>5.4577277239411311E-2</v>
      </c>
      <c r="CA762" s="207">
        <f t="shared" si="9165"/>
        <v>4.8142606859205322E-2</v>
      </c>
      <c r="CB762" s="207">
        <f t="shared" si="9165"/>
        <v>4.5634551777209792E-2</v>
      </c>
      <c r="CC762" s="30">
        <f t="shared" ref="CC762:CR762" si="9166">CC735/CC$142</f>
        <v>5.0128698060402731E-2</v>
      </c>
      <c r="CD762" s="30">
        <f t="shared" si="9166"/>
        <v>5.5329062317996502E-2</v>
      </c>
      <c r="CE762" s="30">
        <f t="shared" si="9166"/>
        <v>5.3101997896950581E-2</v>
      </c>
      <c r="CF762" s="30">
        <f t="shared" si="9166"/>
        <v>4.583333333333333E-2</v>
      </c>
      <c r="CG762" s="30">
        <f t="shared" si="9166"/>
        <v>4.6537602382725245E-2</v>
      </c>
      <c r="CH762" s="30">
        <f t="shared" si="9166"/>
        <v>4.5791245791245792E-2</v>
      </c>
      <c r="CI762" s="30">
        <f t="shared" si="9166"/>
        <v>7.2533333333333325E-2</v>
      </c>
      <c r="CJ762" s="30">
        <f t="shared" si="9166"/>
        <v>4.1820418204182044E-2</v>
      </c>
      <c r="CK762" s="30">
        <f t="shared" si="9166"/>
        <v>5.3209459459459457E-2</v>
      </c>
      <c r="CL762" s="30">
        <f t="shared" si="9166"/>
        <v>7.1721311475409832E-2</v>
      </c>
      <c r="CM762" s="32">
        <f t="shared" si="9166"/>
        <v>5.8585858585858588E-2</v>
      </c>
      <c r="CN762" s="32">
        <f t="shared" si="9166"/>
        <v>5.3281351526965559E-2</v>
      </c>
      <c r="CO762" s="32">
        <f t="shared" si="9166"/>
        <v>5.7567917205692098E-2</v>
      </c>
      <c r="CP762" s="32">
        <f t="shared" si="9166"/>
        <v>6.6838995568685375E-2</v>
      </c>
      <c r="CQ762" s="32">
        <f t="shared" si="9166"/>
        <v>5.7908070937386903E-2</v>
      </c>
      <c r="CR762" s="32">
        <f t="shared" si="9166"/>
        <v>5.4054054054054057E-2</v>
      </c>
      <c r="CS762" s="32">
        <f t="shared" ref="CS762:CX762" si="9167">CS735/CS$142</f>
        <v>5.6777856635911998E-2</v>
      </c>
      <c r="CT762" s="32">
        <f t="shared" si="9167"/>
        <v>5.6100981767180924E-2</v>
      </c>
      <c r="CU762" s="32">
        <f t="shared" si="9167"/>
        <v>3.4843205574912897E-2</v>
      </c>
      <c r="CV762" s="32">
        <f t="shared" si="9167"/>
        <v>5.0444049733570161E-2</v>
      </c>
      <c r="CW762" s="32">
        <f t="shared" si="9167"/>
        <v>6.3785171929824566E-2</v>
      </c>
      <c r="CX762" s="32">
        <f t="shared" si="9167"/>
        <v>6.8199532346063907E-2</v>
      </c>
      <c r="CY762" s="32">
        <f t="shared" ref="CY762:DD762" si="9168">CY735/CY$142</f>
        <v>5.4461942257217844E-2</v>
      </c>
      <c r="CZ762" s="31">
        <f t="shared" si="9168"/>
        <v>4.9984944293887383E-2</v>
      </c>
      <c r="DA762" s="30">
        <f t="shared" si="9168"/>
        <v>4.8531213842866947E-2</v>
      </c>
      <c r="DB762" s="30">
        <f t="shared" si="9168"/>
        <v>4.6210103090891658E-2</v>
      </c>
      <c r="DC762" s="30">
        <f t="shared" si="9168"/>
        <v>4.3935625148969218E-2</v>
      </c>
      <c r="DD762" s="30">
        <f t="shared" si="9168"/>
        <v>4.192815586801573E-2</v>
      </c>
      <c r="DE762" s="30">
        <f>DE735/DE$142</f>
        <v>3.9947090450342421E-2</v>
      </c>
      <c r="DF762" s="30">
        <f>DF735/DF$142</f>
        <v>3.8002228726009453E-2</v>
      </c>
      <c r="DG762" s="30">
        <f>DG735/DG$142</f>
        <v>3.6101531859462598E-2</v>
      </c>
      <c r="DH762" s="30">
        <f>DH735/DH$142</f>
        <v>3.4251362603027746E-2</v>
      </c>
      <c r="DI762" s="30">
        <f>DI735/DI$142</f>
        <v>3.245669811881112E-2</v>
      </c>
    </row>
    <row r="763" spans="1:113" ht="12" outlineLevel="1">
      <c r="A763" s="1" t="s">
        <v>974</v>
      </c>
      <c r="B763" s="15" t="s">
        <v>366</v>
      </c>
      <c r="C763" s="207">
        <f t="shared" ref="C763:L767" si="9169">C737/C$142*2</f>
        <v>7.444360246662178E-2</v>
      </c>
      <c r="D763" s="207">
        <f t="shared" si="9169"/>
        <v>6.527131108306862E-2</v>
      </c>
      <c r="E763" s="207">
        <f t="shared" si="9169"/>
        <v>7.7509919690034484E-2</v>
      </c>
      <c r="F763" s="207">
        <f t="shared" si="9169"/>
        <v>7.3515148548217821E-2</v>
      </c>
      <c r="G763" s="207">
        <f t="shared" si="9169"/>
        <v>8.4865629420084868E-2</v>
      </c>
      <c r="H763" s="207">
        <f t="shared" si="9169"/>
        <v>7.0825798673899931E-2</v>
      </c>
      <c r="I763" s="207">
        <f t="shared" si="9169"/>
        <v>8.1117620549797209E-2</v>
      </c>
      <c r="J763" s="207">
        <f t="shared" si="9169"/>
        <v>7.066648191769434E-2</v>
      </c>
      <c r="K763" s="207">
        <f t="shared" si="9169"/>
        <v>7.0238095238095224E-2</v>
      </c>
      <c r="L763" s="207">
        <f t="shared" si="9169"/>
        <v>6.0377358490566045E-2</v>
      </c>
      <c r="M763" s="30">
        <f t="shared" ref="M763:AF763" si="9170">M737/M$142*2</f>
        <v>7.3396447186469524E-2</v>
      </c>
      <c r="N763" s="30">
        <f t="shared" si="9170"/>
        <v>5.9644059644059645E-2</v>
      </c>
      <c r="O763" s="30">
        <f t="shared" si="9170"/>
        <v>7.1188071188071189E-2</v>
      </c>
      <c r="P763" s="30">
        <f t="shared" si="9170"/>
        <v>7.8555590750712709E-2</v>
      </c>
      <c r="Q763" s="30">
        <f t="shared" si="9170"/>
        <v>0.11276190476190476</v>
      </c>
      <c r="R763" s="30">
        <f t="shared" si="9170"/>
        <v>8.3446712018140606E-2</v>
      </c>
      <c r="S763" s="30">
        <f t="shared" si="9170"/>
        <v>6.5600656006560079E-2</v>
      </c>
      <c r="T763" s="32">
        <f t="shared" si="9170"/>
        <v>5.8584948174853553E-2</v>
      </c>
      <c r="U763" s="30">
        <f t="shared" si="9170"/>
        <v>8.9285714285714288E-2</v>
      </c>
      <c r="V763" s="30">
        <f t="shared" si="9170"/>
        <v>7.6798464030719382E-2</v>
      </c>
      <c r="W763" s="30">
        <f t="shared" si="9170"/>
        <v>0.11124121779859486</v>
      </c>
      <c r="X763" s="30">
        <f t="shared" si="9170"/>
        <v>8.1071121483847194E-2</v>
      </c>
      <c r="Y763" s="32">
        <f t="shared" si="9170"/>
        <v>9.1197691197691194E-2</v>
      </c>
      <c r="Z763" s="32">
        <f t="shared" si="9170"/>
        <v>7.3106003705372777E-2</v>
      </c>
      <c r="AA763" s="32">
        <f t="shared" si="9170"/>
        <v>8.4470435347628325E-2</v>
      </c>
      <c r="AB763" s="32">
        <f t="shared" si="9170"/>
        <v>7.173105176734941E-2</v>
      </c>
      <c r="AC763" s="32">
        <f t="shared" ref="AC763:AD763" si="9171">AC737/AC$142*2</f>
        <v>8.7784143411569024E-2</v>
      </c>
      <c r="AD763" s="32">
        <f t="shared" si="9171"/>
        <v>6.7061759201497192E-2</v>
      </c>
      <c r="AE763" s="32">
        <f t="shared" ref="AE763" si="9172">AE737/AE$142*2</f>
        <v>0.10023211648027011</v>
      </c>
      <c r="AF763" s="32">
        <f t="shared" si="9170"/>
        <v>9.7430276458409459E-2</v>
      </c>
      <c r="AG763" s="32">
        <f t="shared" ref="AG763:AH763" si="9173">AG737/AG$142*2</f>
        <v>8.2725815624838439E-2</v>
      </c>
      <c r="AH763" s="32">
        <f t="shared" si="9173"/>
        <v>7.1832629972164858E-2</v>
      </c>
      <c r="AI763" s="32">
        <f t="shared" ref="AI763:AJ763" si="9174">AI737/AI$142*2</f>
        <v>7.7220077220077232E-2</v>
      </c>
      <c r="AJ763" s="32">
        <f t="shared" si="9174"/>
        <v>8.5097330071269031E-2</v>
      </c>
      <c r="AK763" s="32">
        <f t="shared" ref="AK763:AL763" si="9175">AK737/AK$142*2</f>
        <v>8.1111223765588575E-2</v>
      </c>
      <c r="AL763" s="32">
        <f t="shared" si="9175"/>
        <v>8.7810767795400924E-2</v>
      </c>
      <c r="AM763" s="32">
        <f t="shared" ref="AM763:AN763" si="9176">AM737/AM$142*2</f>
        <v>7.2931276297335215E-2</v>
      </c>
      <c r="AN763" s="32">
        <f t="shared" si="9176"/>
        <v>4.2115902964959574E-2</v>
      </c>
      <c r="AO763" s="32">
        <f t="shared" ref="AO763" si="9177">AO737/AO$142*2</f>
        <v>5.8072009291521495E-2</v>
      </c>
      <c r="AP763" s="32">
        <f t="shared" ref="AP763:AQ763" si="9178">AP737/AP$142*2</f>
        <v>7.0972320794889993E-2</v>
      </c>
      <c r="AQ763" s="32">
        <f t="shared" si="9178"/>
        <v>7.3077899010403471E-2</v>
      </c>
      <c r="AR763" s="32">
        <f t="shared" ref="AR763:AS763" si="9179">AR737/AR$142*2</f>
        <v>7.4534161490683232E-2</v>
      </c>
      <c r="AS763" s="32">
        <f t="shared" si="9179"/>
        <v>9.2731829573934832E-2</v>
      </c>
      <c r="AT763" s="32">
        <f t="shared" ref="AT763:AU763" si="9180">AT737/AT$142*2</f>
        <v>0.10092829107220735</v>
      </c>
      <c r="AU763" s="32">
        <f t="shared" si="9180"/>
        <v>9.0852911702483025E-2</v>
      </c>
      <c r="AV763" s="32">
        <f t="shared" ref="AV763:AW763" si="9181">AV737/AV$142*2</f>
        <v>7.2191448007774536E-2</v>
      </c>
      <c r="AW763" s="32">
        <f t="shared" si="9181"/>
        <v>7.0800524934383199E-2</v>
      </c>
      <c r="AX763" s="32">
        <f t="shared" ref="AX763" si="9182">AX737/AX$142*2</f>
        <v>7.4183568236507388E-2</v>
      </c>
      <c r="AY763" s="31">
        <f t="shared" ref="AY763" si="9183">AY737/AY$142*2</f>
        <v>6.4980427582053593E-2</v>
      </c>
      <c r="AZ763" s="30">
        <f t="shared" ref="AZ763:BA763" si="9184">AZ737/AZ$142*2</f>
        <v>6.4430515253565579E-2</v>
      </c>
      <c r="BA763" s="30">
        <f t="shared" si="9184"/>
        <v>6.4524454768357192E-2</v>
      </c>
      <c r="BB763" s="30">
        <f t="shared" ref="BB763:BC763" si="9185">BB737/BB$142*2</f>
        <v>6.2432669819346469E-2</v>
      </c>
      <c r="BC763" s="30">
        <f t="shared" si="9185"/>
        <v>6.0401402510061666E-2</v>
      </c>
      <c r="BD763" s="30">
        <f t="shared" ref="BD763:BE763" si="9186">BD737/BD$142*2</f>
        <v>5.9057591303572105E-2</v>
      </c>
      <c r="BE763" s="30">
        <f t="shared" si="9186"/>
        <v>5.771753703780378E-2</v>
      </c>
      <c r="BF763" s="30">
        <f t="shared" ref="BF763:BG763" si="9187">BF737/BF$142*2</f>
        <v>5.6383406863748591E-2</v>
      </c>
      <c r="BG763" s="30">
        <f t="shared" si="9187"/>
        <v>5.5057174372141866E-2</v>
      </c>
      <c r="BH763" s="30">
        <f t="shared" ref="BH763:BI763" si="9188">BH737/BH$142*2</f>
        <v>5.3740632242864191E-2</v>
      </c>
      <c r="BI763" s="30">
        <f t="shared" si="9188"/>
        <v>5.243540416394462E-2</v>
      </c>
      <c r="BJ763" s="30">
        <f t="shared" ref="BJ763:BK763" si="9189">BJ737/BJ$142*2</f>
        <v>5.1142956059610022E-2</v>
      </c>
      <c r="BK763" s="30">
        <f t="shared" si="9189"/>
        <v>4.9864606664782492E-2</v>
      </c>
      <c r="BL763" s="30">
        <f t="shared" ref="BL763:BM763" si="9190">BL737/BL$142*2</f>
        <v>4.8601537481487156E-2</v>
      </c>
      <c r="BM763" s="30">
        <f t="shared" si="9190"/>
        <v>4.7354802150790583E-2</v>
      </c>
      <c r="BN763" s="30">
        <f t="shared" ref="BN763:BO763" si="9191">BN737/BN$142*2</f>
        <v>4.6125335272140654E-2</v>
      </c>
      <c r="BO763" s="30">
        <f t="shared" si="9191"/>
        <v>4.4913960700318119E-2</v>
      </c>
      <c r="BP763" s="30">
        <f t="shared" ref="BP763:BQ763" si="9192">BP737/BP$142*2</f>
        <v>4.3721399348632776E-2</v>
      </c>
      <c r="BQ763" s="30">
        <f t="shared" si="9192"/>
        <v>4.2548276525500292E-2</v>
      </c>
      <c r="BR763" s="30"/>
      <c r="BS763" s="207">
        <f t="shared" ref="BS763:CB767" si="9193">BS737/BS$142</f>
        <v>4.7651156567758826E-2</v>
      </c>
      <c r="BT763" s="207">
        <f t="shared" si="9193"/>
        <v>2.3776351351351348E-2</v>
      </c>
      <c r="BU763" s="207">
        <f t="shared" si="9193"/>
        <v>6.4323056300268092E-2</v>
      </c>
      <c r="BV763" s="207">
        <f t="shared" si="9193"/>
        <v>5.4988623723487819E-2</v>
      </c>
      <c r="BW763" s="207">
        <f t="shared" si="9193"/>
        <v>8.3818263675302457E-2</v>
      </c>
      <c r="BX763" s="207">
        <f t="shared" si="9193"/>
        <v>6.6420152415459469E-2</v>
      </c>
      <c r="BY763" s="207">
        <f t="shared" si="9193"/>
        <v>7.8029862805335207E-2</v>
      </c>
      <c r="BZ763" s="207">
        <f t="shared" si="9193"/>
        <v>7.9623994114575658E-2</v>
      </c>
      <c r="CA763" s="207">
        <f t="shared" si="9193"/>
        <v>7.5222823217508311E-2</v>
      </c>
      <c r="CB763" s="207">
        <f t="shared" si="9193"/>
        <v>6.9143260268499693E-2</v>
      </c>
      <c r="CC763" s="30">
        <f t="shared" ref="CC763:CR763" si="9194">CC737/CC$142</f>
        <v>7.1612425800575322E-2</v>
      </c>
      <c r="CD763" s="30">
        <f t="shared" si="9194"/>
        <v>7.9041517597137859E-2</v>
      </c>
      <c r="CE763" s="30">
        <f t="shared" si="9194"/>
        <v>7.5859996995643678E-2</v>
      </c>
      <c r="CF763" s="30">
        <f t="shared" si="9194"/>
        <v>6.5476190476190466E-2</v>
      </c>
      <c r="CG763" s="30">
        <f t="shared" si="9194"/>
        <v>6.6482289118178925E-2</v>
      </c>
      <c r="CH763" s="30">
        <f t="shared" si="9194"/>
        <v>6.5416065416065414E-2</v>
      </c>
      <c r="CI763" s="30">
        <f t="shared" si="9194"/>
        <v>0.10361904761904761</v>
      </c>
      <c r="CJ763" s="30">
        <f t="shared" si="9194"/>
        <v>5.9743454577402919E-2</v>
      </c>
      <c r="CK763" s="30">
        <f t="shared" si="9194"/>
        <v>7.6013513513513514E-2</v>
      </c>
      <c r="CL763" s="30">
        <f t="shared" si="9194"/>
        <v>0.10245901639344263</v>
      </c>
      <c r="CM763" s="32">
        <f t="shared" si="9194"/>
        <v>8.3694083694083696E-2</v>
      </c>
      <c r="CN763" s="32">
        <f t="shared" si="9194"/>
        <v>7.6116216467093656E-2</v>
      </c>
      <c r="CO763" s="32">
        <f t="shared" si="9194"/>
        <v>8.2239881722417293E-2</v>
      </c>
      <c r="CP763" s="32">
        <f t="shared" si="9194"/>
        <v>9.548427938383626E-2</v>
      </c>
      <c r="CQ763" s="32">
        <f t="shared" si="9194"/>
        <v>8.2725815624838439E-2</v>
      </c>
      <c r="CR763" s="32">
        <f t="shared" si="9194"/>
        <v>7.7220077220077232E-2</v>
      </c>
      <c r="CS763" s="32">
        <f t="shared" ref="CS763:CT767" si="9195">CS737/CS$142</f>
        <v>8.1111223765588575E-2</v>
      </c>
      <c r="CT763" s="32">
        <f t="shared" si="9195"/>
        <v>7.6537767982368263E-2</v>
      </c>
      <c r="CU763" s="32">
        <f t="shared" ref="CU763:CV763" si="9196">CU737/CU$142</f>
        <v>4.9776007964161283E-2</v>
      </c>
      <c r="CV763" s="32">
        <f t="shared" si="9196"/>
        <v>7.2062928190814515E-2</v>
      </c>
      <c r="CW763" s="32">
        <f t="shared" ref="CW763:CX763" si="9197">CW737/CW$142</f>
        <v>9.1121674185463658E-2</v>
      </c>
      <c r="CX763" s="32">
        <f t="shared" si="9197"/>
        <v>9.0521656831087843E-2</v>
      </c>
      <c r="CY763" s="32">
        <f t="shared" ref="CY763:CZ767" si="9198">CY737/CY$142</f>
        <v>7.0217004124484422E-2</v>
      </c>
      <c r="CZ763" s="31">
        <f t="shared" si="9198"/>
        <v>6.4980427582053593E-2</v>
      </c>
      <c r="DA763" s="30">
        <f t="shared" ref="DA763:DB767" si="9199">DA737/DA$142</f>
        <v>6.3090577995727037E-2</v>
      </c>
      <c r="DB763" s="30">
        <f t="shared" si="9199"/>
        <v>6.0073134018159148E-2</v>
      </c>
      <c r="DC763" s="30">
        <f t="shared" ref="DC763" si="9200">DC737/DC$142</f>
        <v>5.7116312693659986E-2</v>
      </c>
      <c r="DD763" s="30">
        <f t="shared" ref="DD763:DE767" si="9201">DD737/DD$142</f>
        <v>5.4506602628420442E-2</v>
      </c>
      <c r="DE763" s="30">
        <f t="shared" si="9201"/>
        <v>5.1931217585445159E-2</v>
      </c>
      <c r="DF763" s="30">
        <f t="shared" ref="DF763:DG767" si="9202">DF737/DF$142</f>
        <v>4.9402897343812292E-2</v>
      </c>
      <c r="DG763" s="30">
        <f t="shared" si="9202"/>
        <v>4.6931991417301387E-2</v>
      </c>
      <c r="DH763" s="30">
        <f t="shared" ref="DH763:DI767" si="9203">DH737/DH$142</f>
        <v>4.452677138393607E-2</v>
      </c>
      <c r="DI763" s="30">
        <f t="shared" si="9203"/>
        <v>4.2193707554454458E-2</v>
      </c>
    </row>
    <row r="764" spans="1:113" ht="12" outlineLevel="1">
      <c r="A764" s="1" t="s">
        <v>17</v>
      </c>
      <c r="B764" s="15" t="s">
        <v>367</v>
      </c>
      <c r="C764" s="207" t="e">
        <f t="shared" si="9169"/>
        <v>#VALUE!</v>
      </c>
      <c r="D764" s="207">
        <f t="shared" si="9169"/>
        <v>3.7685125943643788E-2</v>
      </c>
      <c r="E764" s="207">
        <f t="shared" si="9169"/>
        <v>4.446195859385782E-2</v>
      </c>
      <c r="F764" s="207">
        <f t="shared" si="9169"/>
        <v>3.9688904606871071E-2</v>
      </c>
      <c r="G764" s="207">
        <f t="shared" si="9169"/>
        <v>4.7709050771375466E-2</v>
      </c>
      <c r="H764" s="207">
        <f t="shared" si="9169"/>
        <v>-0.1735886826504498</v>
      </c>
      <c r="I764" s="207">
        <f t="shared" si="9169"/>
        <v>4.7883533334040565E-2</v>
      </c>
      <c r="J764" s="207">
        <f t="shared" si="9169"/>
        <v>4.7679769894024789E-2</v>
      </c>
      <c r="K764" s="207">
        <f t="shared" si="9169"/>
        <v>4.4071171516779008E-2</v>
      </c>
      <c r="L764" s="207">
        <f t="shared" si="9169"/>
        <v>4.0947235029699124E-2</v>
      </c>
      <c r="M764" s="30">
        <f t="shared" ref="M764:AF764" si="9204">M738/M$142*2</f>
        <v>4.2590465929130926E-2</v>
      </c>
      <c r="N764" s="30">
        <f t="shared" si="9204"/>
        <v>3.5907876915696205E-2</v>
      </c>
      <c r="O764" s="30">
        <f t="shared" si="9204"/>
        <v>2.9762763552447162E-2</v>
      </c>
      <c r="P764" s="30">
        <f t="shared" si="9204"/>
        <v>-1.3104164889706806E-2</v>
      </c>
      <c r="Q764" s="30">
        <f t="shared" si="9204"/>
        <v>-3.9753250969737357E-2</v>
      </c>
      <c r="R764" s="30">
        <f t="shared" si="9204"/>
        <v>-3.5725053100213761E-2</v>
      </c>
      <c r="S764" s="30">
        <f t="shared" si="9204"/>
        <v>-0.12700357595428374</v>
      </c>
      <c r="T764" s="32">
        <f t="shared" si="9204"/>
        <v>3.5993050137753509E-2</v>
      </c>
      <c r="U764" s="30">
        <f t="shared" si="9204"/>
        <v>4.2572844201778495E-2</v>
      </c>
      <c r="V764" s="30">
        <f t="shared" si="9204"/>
        <v>3.0075371531880543E-2</v>
      </c>
      <c r="W764" s="30">
        <f t="shared" si="9204"/>
        <v>4.8059697161615574E-2</v>
      </c>
      <c r="X764" s="30">
        <f t="shared" si="9204"/>
        <v>2.8389428687299805E-2</v>
      </c>
      <c r="Y764" s="32">
        <f t="shared" si="9204"/>
        <v>3.7388273910531761E-2</v>
      </c>
      <c r="Z764" s="32">
        <f t="shared" si="9204"/>
        <v>-1.5611976982320456E-2</v>
      </c>
      <c r="AA764" s="32">
        <f t="shared" si="9204"/>
        <v>4.5621062875472955E-2</v>
      </c>
      <c r="AB764" s="32">
        <f t="shared" si="9204"/>
        <v>5.6925735311075747E-2</v>
      </c>
      <c r="AC764" s="32">
        <f t="shared" ref="AC764:AD764" si="9205">AC738/AC$142*2</f>
        <v>4.1054723985332615E-2</v>
      </c>
      <c r="AD764" s="32">
        <f t="shared" si="9205"/>
        <v>4.8769352917824527E-2</v>
      </c>
      <c r="AE764" s="32">
        <f t="shared" ref="AE764" si="9206">AE738/AE$142*2</f>
        <v>3.4934929264569758E-2</v>
      </c>
      <c r="AF764" s="32">
        <f t="shared" si="9204"/>
        <v>7.207620791115274E-2</v>
      </c>
      <c r="AG764" s="32">
        <f t="shared" ref="AG764:AH764" si="9207">AG738/AG$142*2</f>
        <v>5.3451003106273973E-2</v>
      </c>
      <c r="AH764" s="32">
        <f t="shared" si="9207"/>
        <v>4.3619336948671955E-2</v>
      </c>
      <c r="AI764" s="32">
        <f t="shared" ref="AI764:AJ764" si="9208">AI738/AI$142*2</f>
        <v>5.2061996449542534E-2</v>
      </c>
      <c r="AJ764" s="32">
        <f t="shared" si="9208"/>
        <v>8.8167799795597357E-2</v>
      </c>
      <c r="AK764" s="32">
        <f t="shared" ref="AK764:AL764" si="9209">AK738/AK$142*2</f>
        <v>7.611388646763062E-2</v>
      </c>
      <c r="AL764" s="32">
        <f t="shared" si="9209"/>
        <v>9.1736572099600414E-2</v>
      </c>
      <c r="AM764" s="32">
        <f t="shared" ref="AM764:AN764" si="9210">AM738/AM$142*2</f>
        <v>5.4280718759996377E-2</v>
      </c>
      <c r="AN764" s="32">
        <f t="shared" si="9210"/>
        <v>9.4902874115628533E-2</v>
      </c>
      <c r="AO764" s="32">
        <f t="shared" ref="AO764" si="9211">AO738/AO$142*2</f>
        <v>2.477782820858928E-2</v>
      </c>
      <c r="AP764" s="32">
        <f t="shared" ref="AP764:AQ764" si="9212">AP738/AP$142*2</f>
        <v>2.2226509735673795E-2</v>
      </c>
      <c r="AQ764" s="32">
        <f t="shared" si="9212"/>
        <v>6.4730135908254424E-2</v>
      </c>
      <c r="AR764" s="32">
        <f t="shared" ref="AR764:AS764" si="9213">AR738/AR$142*2</f>
        <v>7.3847611476128561E-2</v>
      </c>
      <c r="AS764" s="32">
        <f t="shared" si="9213"/>
        <v>5.405653872672949E-2</v>
      </c>
      <c r="AT764" s="32">
        <f t="shared" ref="AT764:AU764" si="9214">AT738/AT$142*2</f>
        <v>5.6106854601518763E-2</v>
      </c>
      <c r="AU764" s="32">
        <f t="shared" si="9214"/>
        <v>6.1700225440933197E-2</v>
      </c>
      <c r="AV764" s="32">
        <f t="shared" ref="AV764:AW764" si="9215">AV738/AV$142*2</f>
        <v>6.4212537378927181E-2</v>
      </c>
      <c r="AW764" s="32">
        <f t="shared" si="9215"/>
        <v>6.6547765655482358E-2</v>
      </c>
      <c r="AX764" s="32">
        <f t="shared" ref="AX764" si="9216">AX738/AX$142*2</f>
        <v>5.799711844312877E-2</v>
      </c>
      <c r="AY764" s="31">
        <f t="shared" ref="AY764" si="9217">AY738/AY$142*2</f>
        <v>4.7942496712156432E-2</v>
      </c>
      <c r="AZ764" s="30">
        <f t="shared" ref="AZ764:BA764" si="9218">AZ738/AZ$142*2</f>
        <v>3.3407290933379942E-2</v>
      </c>
      <c r="BA764" s="30">
        <f t="shared" si="9218"/>
        <v>3.3125597844516567E-2</v>
      </c>
      <c r="BB764" s="30">
        <f t="shared" ref="BB764:BC764" si="9219">BB738/BB$142*2</f>
        <v>4.7563563272915103E-2</v>
      </c>
      <c r="BC764" s="30">
        <f t="shared" si="9219"/>
        <v>6.2996138224105117E-2</v>
      </c>
      <c r="BD764" s="30">
        <f t="shared" ref="BD764:BE764" si="9220">BD738/BD$142*2</f>
        <v>6.0899074872006569E-2</v>
      </c>
      <c r="BE764" s="30">
        <f t="shared" si="9220"/>
        <v>5.9327305065990356E-2</v>
      </c>
      <c r="BF764" s="30">
        <f t="shared" ref="BF764:BG764" si="9221">BF738/BF$142*2</f>
        <v>5.7774567429068419E-2</v>
      </c>
      <c r="BG764" s="30">
        <f t="shared" si="9221"/>
        <v>5.624231952210465E-2</v>
      </c>
      <c r="BH764" s="30">
        <f t="shared" ref="BH764:BI764" si="9222">BH738/BH$142*2</f>
        <v>4.0584851220804227E-2</v>
      </c>
      <c r="BI764" s="30">
        <f t="shared" si="9222"/>
        <v>3.9614375219229926E-2</v>
      </c>
      <c r="BJ764" s="30">
        <f t="shared" ref="BJ764:BK764" si="9223">BJ738/BJ$142*2</f>
        <v>3.8652239257908783E-2</v>
      </c>
      <c r="BK764" s="30">
        <f t="shared" si="9223"/>
        <v>3.7699523928377256E-2</v>
      </c>
      <c r="BL764" s="30">
        <f t="shared" ref="BL764:BM764" si="9224">BL738/BL$142*2</f>
        <v>3.6757201323032437E-2</v>
      </c>
      <c r="BM764" s="30">
        <f t="shared" si="9224"/>
        <v>3.5826142374399551E-2</v>
      </c>
      <c r="BN764" s="30">
        <f t="shared" ref="BN764:BO764" si="9225">BN738/BN$142*2</f>
        <v>3.4907123763563565E-2</v>
      </c>
      <c r="BO764" s="30">
        <f t="shared" si="9225"/>
        <v>3.4000834421258321E-2</v>
      </c>
      <c r="BP764" s="30">
        <f t="shared" ref="BP764:BQ764" si="9226">BP738/BP$142*2</f>
        <v>3.3107881643882238E-2</v>
      </c>
      <c r="BQ764" s="30">
        <f t="shared" si="9226"/>
        <v>3.2228796845547206E-2</v>
      </c>
      <c r="BR764" s="30"/>
      <c r="BS764" s="207">
        <f t="shared" si="9193"/>
        <v>2.2353342348811537E-2</v>
      </c>
      <c r="BT764" s="207">
        <f t="shared" si="9193"/>
        <v>1.3031976871523064E-2</v>
      </c>
      <c r="BU764" s="207">
        <f t="shared" si="9193"/>
        <v>5.1939075289158934E-2</v>
      </c>
      <c r="BV764" s="207">
        <f t="shared" si="9193"/>
        <v>3.7211410431881593E-2</v>
      </c>
      <c r="BW764" s="207">
        <f t="shared" si="9193"/>
        <v>4.0723978263990997E-2</v>
      </c>
      <c r="BX764" s="207">
        <f t="shared" si="9193"/>
        <v>2.817743755763346E-2</v>
      </c>
      <c r="BY764" s="207">
        <f t="shared" si="9193"/>
        <v>3.6446176045239281E-2</v>
      </c>
      <c r="BZ764" s="207">
        <f t="shared" si="9193"/>
        <v>3.9209616849777078E-2</v>
      </c>
      <c r="CA764" s="207">
        <f t="shared" si="9193"/>
        <v>8.2191788271808411E-2</v>
      </c>
      <c r="CB764" s="207">
        <f t="shared" si="9193"/>
        <v>5.6852929319689827E-2</v>
      </c>
      <c r="CC764" s="30">
        <f t="shared" ref="CC764:CR764" si="9227">CC738/CC$142</f>
        <v>4.1212086123812587E-2</v>
      </c>
      <c r="CD764" s="30">
        <f t="shared" si="9227"/>
        <v>4.3629945664764587E-2</v>
      </c>
      <c r="CE764" s="30">
        <f t="shared" si="9227"/>
        <v>-6.0100673963267813E-2</v>
      </c>
      <c r="CF764" s="30">
        <f t="shared" si="9227"/>
        <v>4.2518935766245339E-2</v>
      </c>
      <c r="CG764" s="30">
        <f t="shared" si="9227"/>
        <v>4.1495583832490635E-2</v>
      </c>
      <c r="CH764" s="30">
        <f t="shared" si="9227"/>
        <v>3.2823046077035796E-2</v>
      </c>
      <c r="CI764" s="30">
        <f t="shared" si="9227"/>
        <v>-2.7956205646070827E-2</v>
      </c>
      <c r="CJ764" s="30">
        <f t="shared" si="9227"/>
        <v>-7.7844674737708841E-2</v>
      </c>
      <c r="CK764" s="30">
        <f t="shared" si="9227"/>
        <v>4.0794191553367415E-2</v>
      </c>
      <c r="CL764" s="30">
        <f t="shared" si="9227"/>
        <v>4.2686265452507949E-2</v>
      </c>
      <c r="CM764" s="32">
        <f t="shared" si="9227"/>
        <v>3.2073200936555676E-2</v>
      </c>
      <c r="CN764" s="32">
        <f t="shared" si="9227"/>
        <v>1.563502588575465E-2</v>
      </c>
      <c r="CO764" s="32">
        <f t="shared" si="9227"/>
        <v>5.094719645059026E-2</v>
      </c>
      <c r="CP764" s="32">
        <f t="shared" si="9227"/>
        <v>5.0340100812381029E-2</v>
      </c>
      <c r="CQ764" s="32">
        <f t="shared" si="9227"/>
        <v>5.7323749768768473E-2</v>
      </c>
      <c r="CR764" s="32">
        <f t="shared" si="9227"/>
        <v>4.9479666927725971E-2</v>
      </c>
      <c r="CS764" s="32">
        <f t="shared" si="9195"/>
        <v>8.0107565613217524E-2</v>
      </c>
      <c r="CT764" s="32">
        <f t="shared" si="9195"/>
        <v>6.907548074240713E-2</v>
      </c>
      <c r="CU764" s="32">
        <f t="shared" ref="CU764:CV764" si="9228">CU738/CU$142</f>
        <v>5.9120255317448502E-2</v>
      </c>
      <c r="CV764" s="32">
        <f t="shared" si="9228"/>
        <v>4.3488278000600455E-2</v>
      </c>
      <c r="CW764" s="32">
        <f t="shared" ref="CW764:CX764" si="9229">CW738/CW$142</f>
        <v>7.1638710472405762E-2</v>
      </c>
      <c r="CX764" s="32">
        <f t="shared" si="9229"/>
        <v>5.5923850569182837E-2</v>
      </c>
      <c r="CY764" s="32">
        <f t="shared" si="9198"/>
        <v>6.4240298237800308E-2</v>
      </c>
      <c r="CZ764" s="31">
        <f t="shared" si="9198"/>
        <v>4.9371938096544242E-2</v>
      </c>
      <c r="DA764" s="30">
        <f t="shared" si="9199"/>
        <v>3.2549759479543319E-2</v>
      </c>
      <c r="DB764" s="30">
        <f t="shared" si="9199"/>
        <v>5.4237031122185038E-2</v>
      </c>
      <c r="DC764" s="30">
        <f t="shared" ref="DC764" si="9230">DC738/DC$142</f>
        <v>5.8800168682456626E-2</v>
      </c>
      <c r="DD764" s="30">
        <f t="shared" si="9201"/>
        <v>5.5762430417502479E-2</v>
      </c>
      <c r="DE764" s="30">
        <f t="shared" si="9201"/>
        <v>3.9225998991590419E-2</v>
      </c>
      <c r="DF764" s="30">
        <f t="shared" si="9202"/>
        <v>3.7343868042260489E-2</v>
      </c>
      <c r="DG764" s="30">
        <f t="shared" si="9202"/>
        <v>3.5500450170995922E-2</v>
      </c>
      <c r="DH764" s="30">
        <f t="shared" si="9203"/>
        <v>3.3702581487738505E-2</v>
      </c>
      <c r="DI764" s="30">
        <f t="shared" si="9203"/>
        <v>3.1955671448551042E-2</v>
      </c>
    </row>
    <row r="765" spans="1:113" ht="12" outlineLevel="1">
      <c r="A765" s="1" t="s">
        <v>18</v>
      </c>
      <c r="B765" s="15" t="s">
        <v>717</v>
      </c>
      <c r="C765" s="207" t="e">
        <f t="shared" si="9169"/>
        <v>#VALUE!</v>
      </c>
      <c r="D765" s="207">
        <f t="shared" si="9169"/>
        <v>5.1134005264781665E-2</v>
      </c>
      <c r="E765" s="207">
        <f t="shared" si="9169"/>
        <v>6.0510683224114271E-2</v>
      </c>
      <c r="F765" s="207">
        <f t="shared" si="9169"/>
        <v>5.4248935341863661E-2</v>
      </c>
      <c r="G765" s="207">
        <f t="shared" si="9169"/>
        <v>6.4606006252904274E-2</v>
      </c>
      <c r="H765" s="207">
        <f t="shared" si="9169"/>
        <v>-0.15835253513680661</v>
      </c>
      <c r="I765" s="207">
        <f t="shared" si="9169"/>
        <v>6.4735522607897222E-2</v>
      </c>
      <c r="J765" s="207">
        <f t="shared" si="9169"/>
        <v>6.2223163992280339E-2</v>
      </c>
      <c r="K765" s="207">
        <f t="shared" si="9169"/>
        <v>5.859410679381085E-2</v>
      </c>
      <c r="L765" s="207">
        <f t="shared" si="9169"/>
        <v>5.3417154084610514E-2</v>
      </c>
      <c r="M765" s="30">
        <f t="shared" ref="M765:AF765" si="9231">M739/M$142*2</f>
        <v>5.5663695370136525E-2</v>
      </c>
      <c r="N765" s="30">
        <f t="shared" si="9231"/>
        <v>4.6485917467672458E-2</v>
      </c>
      <c r="O765" s="30">
        <f t="shared" si="9231"/>
        <v>4.2381345674613609E-2</v>
      </c>
      <c r="P765" s="30">
        <f t="shared" si="9231"/>
        <v>7.9561001116077053E-4</v>
      </c>
      <c r="Q765" s="30">
        <f t="shared" si="9231"/>
        <v>-1.8929077962245546E-2</v>
      </c>
      <c r="R765" s="30">
        <f t="shared" si="9231"/>
        <v>-2.0834001235092027E-2</v>
      </c>
      <c r="S765" s="30">
        <f t="shared" si="9231"/>
        <v>-0.1145238201036891</v>
      </c>
      <c r="T765" s="32">
        <f t="shared" si="9231"/>
        <v>4.640330629951063E-2</v>
      </c>
      <c r="U765" s="30">
        <f t="shared" si="9231"/>
        <v>5.8591198056371203E-2</v>
      </c>
      <c r="V765" s="30">
        <f t="shared" si="9231"/>
        <v>4.3767075724056102E-2</v>
      </c>
      <c r="W765" s="30">
        <f t="shared" si="9231"/>
        <v>6.8011258303688343E-2</v>
      </c>
      <c r="X765" s="30">
        <f t="shared" si="9231"/>
        <v>4.2814101584381439E-2</v>
      </c>
      <c r="Y765" s="32">
        <f t="shared" si="9231"/>
        <v>5.3781097402005623E-2</v>
      </c>
      <c r="Z765" s="32">
        <f t="shared" si="9231"/>
        <v>-1.5837585716988227E-2</v>
      </c>
      <c r="AA765" s="32">
        <f t="shared" si="9231"/>
        <v>5.7670740996838082E-2</v>
      </c>
      <c r="AB765" s="32">
        <f t="shared" si="9231"/>
        <v>7.0925113369935094E-2</v>
      </c>
      <c r="AC765" s="32">
        <f t="shared" ref="AC765:AD765" si="9232">AC739/AC$142*2</f>
        <v>5.4662648042055E-2</v>
      </c>
      <c r="AD765" s="32">
        <f t="shared" si="9232"/>
        <v>6.1927635683094187E-2</v>
      </c>
      <c r="AE765" s="32">
        <f t="shared" ref="AE765" si="9233">AE739/AE$142*2</f>
        <v>5.0766153184787464E-2</v>
      </c>
      <c r="AF765" s="32">
        <f t="shared" si="9231"/>
        <v>9.2559434244205152E-2</v>
      </c>
      <c r="AG765" s="32">
        <f t="shared" ref="AG765:AH765" si="9234">AG739/AG$142*2</f>
        <v>6.8090540302557123E-2</v>
      </c>
      <c r="AH765" s="32">
        <f t="shared" si="9234"/>
        <v>5.6333837756071932E-2</v>
      </c>
      <c r="AI765" s="32">
        <f t="shared" ref="AI765:AJ765" si="9235">AI739/AI$142*2</f>
        <v>6.5757804389512703E-2</v>
      </c>
      <c r="AJ765" s="32">
        <f t="shared" si="9235"/>
        <v>0.10327791519804898</v>
      </c>
      <c r="AK765" s="32">
        <f t="shared" ref="AK765:AL765" si="9236">AK739/AK$142*2</f>
        <v>9.0531799074564615E-2</v>
      </c>
      <c r="AL765" s="32">
        <f t="shared" si="9236"/>
        <v>0.10732452788644543</v>
      </c>
      <c r="AM765" s="32">
        <f t="shared" ref="AM765:AN765" si="9237">AM739/AM$142*2</f>
        <v>6.4216321007545318E-2</v>
      </c>
      <c r="AN765" s="32">
        <f t="shared" si="9237"/>
        <v>0.11877083387690512</v>
      </c>
      <c r="AO765" s="32">
        <f t="shared" ref="AO765" si="9238">AO739/AO$142*2</f>
        <v>3.2098656732281267E-2</v>
      </c>
      <c r="AP765" s="32">
        <f t="shared" ref="AP765:AQ765" si="9239">AP739/AP$142*2</f>
        <v>2.8481934635410114E-2</v>
      </c>
      <c r="AQ765" s="32">
        <f t="shared" si="9239"/>
        <v>7.7313571344181251E-2</v>
      </c>
      <c r="AR765" s="32">
        <f t="shared" ref="AR765:AS765" si="9240">AR739/AR$142*2</f>
        <v>8.6963245456539301E-2</v>
      </c>
      <c r="AS765" s="32">
        <f t="shared" si="9240"/>
        <v>6.9603703582099358E-2</v>
      </c>
      <c r="AT765" s="32">
        <f t="shared" ref="AT765:AU765" si="9241">AT739/AT$142*2</f>
        <v>7.2474475069385064E-2</v>
      </c>
      <c r="AU765" s="32">
        <f t="shared" si="9241"/>
        <v>7.0684029764372269E-2</v>
      </c>
      <c r="AV765" s="32">
        <f t="shared" ref="AV765:AW765" si="9242">AV739/AV$142*2</f>
        <v>7.4759570496451863E-2</v>
      </c>
      <c r="AW765" s="32">
        <f t="shared" si="9242"/>
        <v>7.6278897786750108E-2</v>
      </c>
      <c r="AX765" s="32">
        <f t="shared" ref="AX765" si="9243">AX739/AX$142*2</f>
        <v>6.8182587652598561E-2</v>
      </c>
      <c r="AY765" s="31">
        <f t="shared" ref="AY765" si="9244">AY739/AY$142*2</f>
        <v>5.5697149982632241E-2</v>
      </c>
      <c r="AZ765" s="30">
        <f t="shared" ref="AZ765:BA765" si="9245">AZ739/AZ$142*2</f>
        <v>4.1997737173391933E-2</v>
      </c>
      <c r="BA765" s="30">
        <f t="shared" si="9245"/>
        <v>4.1643608718820828E-2</v>
      </c>
      <c r="BB765" s="30">
        <f t="shared" ref="BB765:BC765" si="9246">BB739/BB$142*2</f>
        <v>5.6125004662039825E-2</v>
      </c>
      <c r="BC765" s="30">
        <f t="shared" si="9246"/>
        <v>7.1315491409028417E-2</v>
      </c>
      <c r="BD765" s="30">
        <f t="shared" ref="BD765:BE765" si="9247">BD739/BD$142*2</f>
        <v>6.894655556684838E-2</v>
      </c>
      <c r="BE765" s="30">
        <f t="shared" si="9247"/>
        <v>6.7194604164784802E-2</v>
      </c>
      <c r="BF765" s="30">
        <f t="shared" ref="BF765:BG765" si="9248">BF739/BF$142*2</f>
        <v>6.5462268125270992E-2</v>
      </c>
      <c r="BG765" s="30">
        <f t="shared" si="9248"/>
        <v>6.3751291012038649E-2</v>
      </c>
      <c r="BH765" s="30">
        <f t="shared" ref="BH765:BI765" si="9249">BH739/BH$142*2</f>
        <v>4.7890124440548992E-2</v>
      </c>
      <c r="BI765" s="30">
        <f t="shared" si="9249"/>
        <v>4.6744962758691319E-2</v>
      </c>
      <c r="BJ765" s="30">
        <f t="shared" ref="BJ765:BK765" si="9250">BJ739/BJ$142*2</f>
        <v>4.5609642324332365E-2</v>
      </c>
      <c r="BK765" s="30">
        <f t="shared" si="9250"/>
        <v>4.4485438235485154E-2</v>
      </c>
      <c r="BL765" s="30">
        <f t="shared" ref="BL765:BM765" si="9251">BL739/BL$142*2</f>
        <v>4.3373497561178281E-2</v>
      </c>
      <c r="BM765" s="30">
        <f t="shared" si="9251"/>
        <v>4.2274848001791474E-2</v>
      </c>
      <c r="BN765" s="30">
        <f t="shared" ref="BN765:BO765" si="9252">BN739/BN$142*2</f>
        <v>4.1190406041005004E-2</v>
      </c>
      <c r="BO765" s="30">
        <f t="shared" si="9252"/>
        <v>4.0120984617084812E-2</v>
      </c>
      <c r="BP765" s="30">
        <f t="shared" ref="BP765:BQ765" si="9253">BP739/BP$142*2</f>
        <v>3.9067300339781043E-2</v>
      </c>
      <c r="BQ765" s="30">
        <f t="shared" si="9253"/>
        <v>3.8029980277745699E-2</v>
      </c>
      <c r="BR765" s="30"/>
      <c r="BS765" s="207">
        <f t="shared" si="9193"/>
        <v>3.458306881444468E-2</v>
      </c>
      <c r="BT765" s="207">
        <f t="shared" si="9193"/>
        <v>1.3031976871523064E-2</v>
      </c>
      <c r="BU765" s="207">
        <f t="shared" si="9193"/>
        <v>5.1939075289158934E-2</v>
      </c>
      <c r="BV765" s="207">
        <f t="shared" si="9193"/>
        <v>4.0108320212863827E-2</v>
      </c>
      <c r="BW765" s="207">
        <f t="shared" si="9193"/>
        <v>5.7888568179131905E-2</v>
      </c>
      <c r="BX765" s="207">
        <f t="shared" si="9193"/>
        <v>4.4410978392646371E-2</v>
      </c>
      <c r="BY765" s="207">
        <f t="shared" si="9193"/>
        <v>4.9930272357596256E-2</v>
      </c>
      <c r="BZ765" s="207">
        <f t="shared" si="9193"/>
        <v>5.5614531185457602E-2</v>
      </c>
      <c r="CA765" s="207">
        <f t="shared" si="9193"/>
        <v>0.10028661812964272</v>
      </c>
      <c r="CB765" s="207">
        <f t="shared" si="9193"/>
        <v>7.2897590005167504E-2</v>
      </c>
      <c r="CC765" s="30">
        <f t="shared" ref="CC765:CR765" si="9254">CC739/CC$142</f>
        <v>5.6010613416455045E-2</v>
      </c>
      <c r="CD765" s="30">
        <f t="shared" si="9254"/>
        <v>5.933229666797174E-2</v>
      </c>
      <c r="CE765" s="30">
        <f t="shared" si="9254"/>
        <v>-4.4061973396738952E-2</v>
      </c>
      <c r="CF765" s="30">
        <f t="shared" si="9254"/>
        <v>5.6028579354950807E-2</v>
      </c>
      <c r="CG765" s="30">
        <f t="shared" si="9254"/>
        <v>5.4183991872026362E-2</v>
      </c>
      <c r="CH765" s="30">
        <f t="shared" si="9254"/>
        <v>4.4424824516790973E-2</v>
      </c>
      <c r="CI765" s="30">
        <f t="shared" si="9254"/>
        <v>-9.1384152432510135E-3</v>
      </c>
      <c r="CJ765" s="30">
        <f t="shared" si="9254"/>
        <v>-6.672084314340751E-2</v>
      </c>
      <c r="CK765" s="30">
        <f t="shared" si="9254"/>
        <v>5.4464861756735976E-2</v>
      </c>
      <c r="CL765" s="30">
        <f t="shared" si="9254"/>
        <v>6.114295553290211E-2</v>
      </c>
      <c r="CM765" s="32">
        <f t="shared" si="9254"/>
        <v>4.7058178408859945E-2</v>
      </c>
      <c r="CN765" s="32">
        <f t="shared" si="9254"/>
        <v>2.1567469622602493E-2</v>
      </c>
      <c r="CO765" s="32">
        <f t="shared" si="9254"/>
        <v>6.5235003548649431E-2</v>
      </c>
      <c r="CP765" s="32">
        <f t="shared" si="9254"/>
        <v>6.7149575298275838E-2</v>
      </c>
      <c r="CQ765" s="32">
        <f t="shared" si="9254"/>
        <v>7.3338675769466788E-2</v>
      </c>
      <c r="CR765" s="32">
        <f t="shared" si="9254"/>
        <v>6.3161861873589575E-2</v>
      </c>
      <c r="CS765" s="32">
        <f t="shared" si="9195"/>
        <v>9.4518127080715775E-2</v>
      </c>
      <c r="CT765" s="32">
        <f t="shared" si="9195"/>
        <v>8.1167204693255293E-2</v>
      </c>
      <c r="CU765" s="32">
        <f t="shared" ref="CU765:CV765" si="9255">CU739/CU$142</f>
        <v>7.4533603927919995E-2</v>
      </c>
      <c r="CV765" s="32">
        <f t="shared" si="9255"/>
        <v>5.2910708437367761E-2</v>
      </c>
      <c r="CW765" s="32">
        <f t="shared" ref="CW765:CX765" si="9256">CW739/CW$142</f>
        <v>8.7350949806474038E-2</v>
      </c>
      <c r="CX765" s="32">
        <f t="shared" si="9256"/>
        <v>6.7725809140599391E-2</v>
      </c>
      <c r="CY765" s="32">
        <f t="shared" si="9198"/>
        <v>7.4192737814123291E-2</v>
      </c>
      <c r="CZ765" s="31">
        <f t="shared" si="9198"/>
        <v>5.771006225017359E-2</v>
      </c>
      <c r="DA765" s="30">
        <f t="shared" si="9199"/>
        <v>4.0919697631425889E-2</v>
      </c>
      <c r="DB765" s="30">
        <f t="shared" si="9199"/>
        <v>6.2492954656472859E-2</v>
      </c>
      <c r="DC765" s="30">
        <f t="shared" ref="DC765" si="9257">DC739/DC$142</f>
        <v>6.6583994132292684E-2</v>
      </c>
      <c r="DD765" s="30">
        <f t="shared" si="9201"/>
        <v>6.3194919721077894E-2</v>
      </c>
      <c r="DE765" s="30">
        <f t="shared" si="9201"/>
        <v>4.6286678810076698E-2</v>
      </c>
      <c r="DF765" s="30">
        <f t="shared" si="9202"/>
        <v>4.406576428986738E-2</v>
      </c>
      <c r="DG765" s="30">
        <f t="shared" si="9202"/>
        <v>4.1890531201775182E-2</v>
      </c>
      <c r="DH765" s="30">
        <f t="shared" si="9203"/>
        <v>3.9769046155531437E-2</v>
      </c>
      <c r="DI765" s="30">
        <f t="shared" si="9203"/>
        <v>3.7707692309290226E-2</v>
      </c>
    </row>
    <row r="766" spans="1:113" ht="12" outlineLevel="1">
      <c r="A766" s="1" t="s">
        <v>19</v>
      </c>
      <c r="B766" s="15" t="s">
        <v>718</v>
      </c>
      <c r="C766" s="207">
        <f t="shared" si="9169"/>
        <v>5.5818851061942627E-2</v>
      </c>
      <c r="D766" s="207">
        <f t="shared" si="9169"/>
        <v>5.7718224852568632E-2</v>
      </c>
      <c r="E766" s="207">
        <f t="shared" si="9169"/>
        <v>5.9875961271042923E-2</v>
      </c>
      <c r="F766" s="207">
        <f t="shared" si="9169"/>
        <v>5.8700484503893521E-2</v>
      </c>
      <c r="G766" s="207">
        <f t="shared" si="9169"/>
        <v>6.2925292964310195E-2</v>
      </c>
      <c r="H766" s="207">
        <f t="shared" si="9169"/>
        <v>5.3261800685158296E-2</v>
      </c>
      <c r="I766" s="207">
        <f t="shared" si="9169"/>
        <v>5.748760201989675E-2</v>
      </c>
      <c r="J766" s="207">
        <f t="shared" si="9169"/>
        <v>6.0821080758834196E-2</v>
      </c>
      <c r="K766" s="207">
        <f t="shared" si="9169"/>
        <v>5.1691328254872909E-2</v>
      </c>
      <c r="L766" s="207">
        <f t="shared" si="9169"/>
        <v>5.1914407070002409E-2</v>
      </c>
      <c r="M766" s="30">
        <f t="shared" ref="M766:AF766" si="9258">M740/M$142*2</f>
        <v>5.5292909833463959E-2</v>
      </c>
      <c r="N766" s="30">
        <f t="shared" si="9258"/>
        <v>5.1851778719719625E-2</v>
      </c>
      <c r="O766" s="30">
        <f t="shared" si="9258"/>
        <v>5.1466496655953882E-2</v>
      </c>
      <c r="P766" s="30">
        <f t="shared" si="9258"/>
        <v>6.3837313664917877E-2</v>
      </c>
      <c r="Q766" s="30">
        <f t="shared" si="9258"/>
        <v>4.2713255070829292E-2</v>
      </c>
      <c r="R766" s="30">
        <f t="shared" si="9258"/>
        <v>1.207197298557321E-2</v>
      </c>
      <c r="S766" s="30">
        <f t="shared" si="9258"/>
        <v>6.1790219576121783E-2</v>
      </c>
      <c r="T766" s="32">
        <f t="shared" si="9258"/>
        <v>5.4105827105216539E-2</v>
      </c>
      <c r="U766" s="30">
        <f t="shared" si="9258"/>
        <v>6.8788482120204927E-2</v>
      </c>
      <c r="V766" s="30">
        <f t="shared" si="9258"/>
        <v>5.6279572144950135E-2</v>
      </c>
      <c r="W766" s="30">
        <f t="shared" si="9258"/>
        <v>6.6869262484324413E-2</v>
      </c>
      <c r="X766" s="30">
        <f t="shared" si="9258"/>
        <v>5.9222023640752033E-2</v>
      </c>
      <c r="Y766" s="32">
        <f t="shared" si="9258"/>
        <v>6.2105780856812093E-2</v>
      </c>
      <c r="Z766" s="32">
        <f t="shared" si="9258"/>
        <v>5.4486558332964972E-2</v>
      </c>
      <c r="AA766" s="32">
        <f t="shared" si="9258"/>
        <v>5.2182527132918675E-2</v>
      </c>
      <c r="AB766" s="32">
        <f t="shared" si="9258"/>
        <v>4.9882866484646231E-2</v>
      </c>
      <c r="AC766" s="32">
        <f t="shared" ref="AC766:AD766" si="9259">AC740/AC$142*2</f>
        <v>5.4302272720504398E-2</v>
      </c>
      <c r="AD766" s="32">
        <f t="shared" si="9259"/>
        <v>4.5301572052401741E-2</v>
      </c>
      <c r="AE766" s="32">
        <f t="shared" ref="AE766" si="9260">AE740/AE$142*2</f>
        <v>5.5351811663019522E-2</v>
      </c>
      <c r="AF766" s="32">
        <f t="shared" si="9258"/>
        <v>3.6101570979256786E-2</v>
      </c>
      <c r="AG766" s="32">
        <f t="shared" ref="AG766:AH766" si="9261">AG740/AG$142*2</f>
        <v>3.6611997975126834E-2</v>
      </c>
      <c r="AH766" s="32">
        <f t="shared" si="9261"/>
        <v>3.7983434841986963E-2</v>
      </c>
      <c r="AI766" s="32">
        <f t="shared" ref="AI766:AJ766" si="9262">AI740/AI$142*2</f>
        <v>4.1781664396883564E-2</v>
      </c>
      <c r="AJ766" s="32">
        <f t="shared" si="9262"/>
        <v>4.6610458569815938E-2</v>
      </c>
      <c r="AK766" s="32">
        <f t="shared" ref="AK766:AL766" si="9263">AK740/AK$142*2</f>
        <v>3.3305821360437589E-2</v>
      </c>
      <c r="AL766" s="32">
        <f t="shared" si="9263"/>
        <v>5.1087879158164859E-2</v>
      </c>
      <c r="AM766" s="32">
        <f t="shared" ref="AM766:AN766" si="9264">AM740/AM$142*2</f>
        <v>2.8621647973527262E-2</v>
      </c>
      <c r="AN766" s="32">
        <f t="shared" si="9264"/>
        <v>-1.9699237044216233E-2</v>
      </c>
      <c r="AO766" s="32">
        <f t="shared" ref="AO766" si="9265">AO740/AO$142*2</f>
        <v>2.2217474505912056E-2</v>
      </c>
      <c r="AP766" s="32">
        <f t="shared" ref="AP766:AQ766" si="9266">AP740/AP$142*2</f>
        <v>3.1894736449973371E-2</v>
      </c>
      <c r="AQ766" s="32">
        <f t="shared" si="9266"/>
        <v>3.6556226608541374E-2</v>
      </c>
      <c r="AR766" s="32">
        <f t="shared" ref="AR766:AS766" si="9267">AR740/AR$142*2</f>
        <v>3.258242564975411E-2</v>
      </c>
      <c r="AS766" s="32">
        <f t="shared" si="9267"/>
        <v>4.5726940933118826E-2</v>
      </c>
      <c r="AT766" s="32">
        <f t="shared" ref="AT766:AU766" si="9268">AT740/AT$142*2</f>
        <v>5.5720527154486832E-2</v>
      </c>
      <c r="AU766" s="32">
        <f t="shared" si="9268"/>
        <v>4.357623755194704E-2</v>
      </c>
      <c r="AV766" s="32">
        <f t="shared" ref="AV766:AW766" si="9269">AV740/AV$142*2</f>
        <v>3.7348269264724517E-2</v>
      </c>
      <c r="AW766" s="32">
        <f t="shared" si="9269"/>
        <v>2.6462248052744036E-2</v>
      </c>
      <c r="AX766" s="32">
        <f t="shared" ref="AX766" si="9270">AX740/AX$142*2</f>
        <v>3.48029996701891E-2</v>
      </c>
      <c r="AY766" s="31">
        <f t="shared" ref="AY766" si="9271">AY740/AY$142*2</f>
        <v>4.0791266704058565E-3</v>
      </c>
      <c r="AZ766" s="30">
        <f t="shared" ref="AZ766:BA766" si="9272">AZ740/AZ$142*2</f>
        <v>3.3550590135106174E-2</v>
      </c>
      <c r="BA766" s="30">
        <f t="shared" si="9272"/>
        <v>3.0867892066723482E-2</v>
      </c>
      <c r="BB766" s="30">
        <f t="shared" ref="BB766:BC766" si="9273">BB740/BB$142*2</f>
        <v>3.2142051543944589E-2</v>
      </c>
      <c r="BC766" s="30">
        <f t="shared" si="9273"/>
        <v>2.4839204744426701E-2</v>
      </c>
      <c r="BD766" s="30">
        <f t="shared" ref="BD766:BE766" si="9274">BD740/BD$142*2</f>
        <v>3.0687106150628703E-2</v>
      </c>
      <c r="BE766" s="30">
        <f t="shared" si="9274"/>
        <v>2.4598684965813331E-2</v>
      </c>
      <c r="BF766" s="30">
        <f t="shared" ref="BF766:BG766" si="9275">BF740/BF$142*2</f>
        <v>2.9687084265982055E-2</v>
      </c>
      <c r="BG766" s="30">
        <f t="shared" si="9275"/>
        <v>2.4878615287913512E-2</v>
      </c>
      <c r="BH766" s="30">
        <f t="shared" ref="BH766:BI766" si="9276">BH740/BH$142*2</f>
        <v>2.8184765431471435E-2</v>
      </c>
      <c r="BI766" s="30">
        <f t="shared" si="9276"/>
        <v>2.2877838038289324E-2</v>
      </c>
      <c r="BJ766" s="30">
        <f t="shared" ref="BJ766:BK766" si="9277">BJ740/BJ$142*2</f>
        <v>2.6787782142002614E-2</v>
      </c>
      <c r="BK766" s="30">
        <f t="shared" si="9277"/>
        <v>2.410821682066408E-2</v>
      </c>
      <c r="BL766" s="30">
        <f t="shared" ref="BL766:BM766" si="9278">BL740/BL$142*2</f>
        <v>2.5213171605597634E-2</v>
      </c>
      <c r="BM766" s="30">
        <f t="shared" si="9278"/>
        <v>2.1734506201186027E-2</v>
      </c>
      <c r="BN766" s="30">
        <f t="shared" ref="BN766:BO766" si="9279">BN740/BN$142*2</f>
        <v>2.2520987629161725E-2</v>
      </c>
      <c r="BO766" s="30">
        <f t="shared" si="9279"/>
        <v>1.972194731162261E-2</v>
      </c>
      <c r="BP766" s="30">
        <f t="shared" ref="BP766:BQ766" si="9280">BP740/BP$142*2</f>
        <v>2.0548733138662904E-2</v>
      </c>
      <c r="BQ766" s="30">
        <f t="shared" si="9280"/>
        <v>1.8318079979058099E-2</v>
      </c>
      <c r="BR766" s="30"/>
      <c r="BS766" s="207">
        <f t="shared" si="9193"/>
        <v>-0.28661994278694924</v>
      </c>
      <c r="BT766" s="207">
        <f t="shared" si="9193"/>
        <v>3.9652942529239128E-2</v>
      </c>
      <c r="BU766" s="207">
        <f t="shared" si="9193"/>
        <v>0.11065077343300049</v>
      </c>
      <c r="BV766" s="207">
        <f t="shared" si="9193"/>
        <v>8.6626401998535996E-2</v>
      </c>
      <c r="BW766" s="207">
        <f t="shared" si="9193"/>
        <v>8.777538559625675E-2</v>
      </c>
      <c r="BX766" s="207">
        <f t="shared" si="9193"/>
        <v>5.6871323055007465E-2</v>
      </c>
      <c r="BY766" s="207">
        <f t="shared" si="9193"/>
        <v>6.8586320049620675E-2</v>
      </c>
      <c r="BZ766" s="207">
        <f t="shared" si="9193"/>
        <v>7.352123109806695E-2</v>
      </c>
      <c r="CA766" s="207">
        <f t="shared" si="9193"/>
        <v>6.6106225316481526E-2</v>
      </c>
      <c r="CB766" s="207">
        <f t="shared" si="9193"/>
        <v>6.2414293758712866E-2</v>
      </c>
      <c r="CC766" s="30">
        <f t="shared" ref="CC766:CR766" si="9281">CC740/CC$142</f>
        <v>6.9667337405208321E-2</v>
      </c>
      <c r="CD766" s="30">
        <f t="shared" si="9281"/>
        <v>7.1720469751164889E-2</v>
      </c>
      <c r="CE766" s="30">
        <f t="shared" si="9281"/>
        <v>6.6432345163267861E-2</v>
      </c>
      <c r="CF766" s="30">
        <f t="shared" si="9281"/>
        <v>6.1615535528332314E-2</v>
      </c>
      <c r="CG766" s="30">
        <f t="shared" si="9281"/>
        <v>6.2709468791842637E-2</v>
      </c>
      <c r="CH766" s="30">
        <f t="shared" si="9281"/>
        <v>6.0853016687477036E-2</v>
      </c>
      <c r="CI766" s="30">
        <f t="shared" si="9281"/>
        <v>7.5776031093297225E-2</v>
      </c>
      <c r="CJ766" s="30">
        <f t="shared" si="9281"/>
        <v>5.0798197665087912E-2</v>
      </c>
      <c r="CK766" s="30">
        <f t="shared" si="9281"/>
        <v>7.598180377105275E-2</v>
      </c>
      <c r="CL766" s="30">
        <f t="shared" si="9281"/>
        <v>9.0423134399275795E-2</v>
      </c>
      <c r="CM766" s="32">
        <f t="shared" si="9281"/>
        <v>7.7596739728633665E-2</v>
      </c>
      <c r="CN766" s="32">
        <f t="shared" si="9281"/>
        <v>6.6081874925569509E-2</v>
      </c>
      <c r="CO766" s="32">
        <f t="shared" si="9281"/>
        <v>7.1011371925613687E-2</v>
      </c>
      <c r="CP766" s="32">
        <f t="shared" si="9281"/>
        <v>7.9359561991555652E-2</v>
      </c>
      <c r="CQ766" s="32">
        <f t="shared" si="9281"/>
        <v>5.5802771231562472E-2</v>
      </c>
      <c r="CR766" s="32">
        <f t="shared" si="9281"/>
        <v>6.2274388419310496E-2</v>
      </c>
      <c r="CS766" s="32">
        <f t="shared" si="9195"/>
        <v>6.195886294387553E-2</v>
      </c>
      <c r="CT766" s="32">
        <f t="shared" si="9195"/>
        <v>5.8195121941593986E-2</v>
      </c>
      <c r="CU766" s="32">
        <f t="shared" ref="CU766:CV766" si="9282">CU740/CU$142</f>
        <v>4.009566075788229E-2</v>
      </c>
      <c r="CV766" s="32">
        <f t="shared" si="9282"/>
        <v>5.569551647742696E-2</v>
      </c>
      <c r="CW766" s="32">
        <f t="shared" ref="CW766:CX766" si="9283">CW740/CW$142</f>
        <v>7.0933019114951562E-2</v>
      </c>
      <c r="CX766" s="32">
        <f t="shared" si="9283"/>
        <v>7.1596587056206987E-2</v>
      </c>
      <c r="CY766" s="32">
        <f t="shared" si="9198"/>
        <v>5.2084199937254376E-2</v>
      </c>
      <c r="CZ766" s="31">
        <f t="shared" si="9198"/>
        <v>3.8182652386527453E-2</v>
      </c>
      <c r="DA766" s="30">
        <f t="shared" si="9199"/>
        <v>5.0607138889045042E-2</v>
      </c>
      <c r="DB766" s="30">
        <f t="shared" si="9199"/>
        <v>4.5553729070126246E-2</v>
      </c>
      <c r="DC766" s="30">
        <f t="shared" ref="DC766" si="9284">DC740/DC$142</f>
        <v>4.3798392979889786E-2</v>
      </c>
      <c r="DD766" s="30">
        <f t="shared" si="9201"/>
        <v>4.2590483360952031E-2</v>
      </c>
      <c r="DE766" s="30">
        <f t="shared" si="9201"/>
        <v>3.9980376730463757E-2</v>
      </c>
      <c r="DF766" s="30">
        <f t="shared" si="9202"/>
        <v>3.907345105979431E-2</v>
      </c>
      <c r="DG766" s="30">
        <f t="shared" si="9202"/>
        <v>3.631309710471442E-2</v>
      </c>
      <c r="DH766" s="30">
        <f t="shared" si="9203"/>
        <v>3.3269726296599446E-2</v>
      </c>
      <c r="DI766" s="30">
        <f t="shared" si="9203"/>
        <v>3.0953253851766793E-2</v>
      </c>
    </row>
    <row r="767" spans="1:113" ht="12" outlineLevel="1">
      <c r="A767" s="1" t="s">
        <v>27</v>
      </c>
      <c r="B767" s="15" t="s">
        <v>586</v>
      </c>
      <c r="C767" s="207">
        <f t="shared" si="9169"/>
        <v>7.815193180192917E-2</v>
      </c>
      <c r="D767" s="207">
        <f t="shared" si="9169"/>
        <v>7.7299618177489218E-2</v>
      </c>
      <c r="E767" s="207">
        <f t="shared" si="9169"/>
        <v>8.3128937178053267E-2</v>
      </c>
      <c r="F767" s="207">
        <f t="shared" si="9169"/>
        <v>8.0755029068358866E-2</v>
      </c>
      <c r="G767" s="207">
        <f t="shared" si="9169"/>
        <v>8.8384981790335659E-2</v>
      </c>
      <c r="H767" s="207">
        <f t="shared" si="9169"/>
        <v>7.4509540287328271E-2</v>
      </c>
      <c r="I767" s="207">
        <f t="shared" si="9169"/>
        <v>8.1822888184835921E-2</v>
      </c>
      <c r="J767" s="207">
        <f t="shared" si="9169"/>
        <v>8.2021025334142503E-2</v>
      </c>
      <c r="K767" s="207">
        <f t="shared" si="9169"/>
        <v>7.2762756826301483E-2</v>
      </c>
      <c r="L767" s="207">
        <f t="shared" si="9169"/>
        <v>7.0027614617172218E-2</v>
      </c>
      <c r="M767" s="30">
        <f t="shared" ref="M767:AF767" si="9285">M741/M$142*2</f>
        <v>7.7311843989404813E-2</v>
      </c>
      <c r="N767" s="30">
        <f t="shared" si="9285"/>
        <v>6.9744996612937524E-2</v>
      </c>
      <c r="O767" s="30">
        <f t="shared" si="9285"/>
        <v>7.2822918012375226E-2</v>
      </c>
      <c r="P767" s="30">
        <f t="shared" si="9285"/>
        <v>8.7403990890131691E-2</v>
      </c>
      <c r="Q767" s="30">
        <f t="shared" si="9285"/>
        <v>7.6541826499400722E-2</v>
      </c>
      <c r="R767" s="30">
        <f t="shared" si="9285"/>
        <v>3.710598659101539E-2</v>
      </c>
      <c r="S767" s="30">
        <f t="shared" si="9285"/>
        <v>8.1470416378089813E-2</v>
      </c>
      <c r="T767" s="32">
        <f t="shared" si="9285"/>
        <v>7.1681311557672614E-2</v>
      </c>
      <c r="U767" s="30">
        <f t="shared" si="9285"/>
        <v>9.5574196405919229E-2</v>
      </c>
      <c r="V767" s="30">
        <f t="shared" si="9285"/>
        <v>7.9319111354165944E-2</v>
      </c>
      <c r="W767" s="30">
        <f t="shared" si="9285"/>
        <v>0.10024162782390288</v>
      </c>
      <c r="X767" s="30">
        <f t="shared" si="9285"/>
        <v>8.3543360085906196E-2</v>
      </c>
      <c r="Y767" s="32">
        <f t="shared" si="9285"/>
        <v>8.9465088216119454E-2</v>
      </c>
      <c r="Z767" s="32">
        <f t="shared" si="9285"/>
        <v>7.6418359444576825E-2</v>
      </c>
      <c r="AA767" s="32">
        <f t="shared" si="9285"/>
        <v>7.752365773720718E-2</v>
      </c>
      <c r="AB767" s="32">
        <f t="shared" si="9285"/>
        <v>7.1402182014851046E-2</v>
      </c>
      <c r="AC767" s="32">
        <f t="shared" ref="AC767:AD767" si="9286">AC741/AC$142*2</f>
        <v>8.0637515743975111E-2</v>
      </c>
      <c r="AD767" s="32">
        <f t="shared" si="9286"/>
        <v>6.5420099812850893E-2</v>
      </c>
      <c r="AE767" s="32">
        <f t="shared" ref="AE767" si="9287">AE741/AE$142*2</f>
        <v>8.5421446607100535E-2</v>
      </c>
      <c r="AF767" s="32">
        <f t="shared" si="9285"/>
        <v>6.5330653916779627E-2</v>
      </c>
      <c r="AG767" s="32">
        <f t="shared" ref="AG767:AH767" si="9288">AG741/AG$142*2</f>
        <v>6.1429742662578377E-2</v>
      </c>
      <c r="AH767" s="32">
        <f t="shared" si="9288"/>
        <v>5.9533223833636427E-2</v>
      </c>
      <c r="AI767" s="32">
        <f t="shared" ref="AI767:AJ767" si="9289">AI741/AI$142*2</f>
        <v>6.4947687562906725E-2</v>
      </c>
      <c r="AJ767" s="32">
        <f t="shared" si="9289"/>
        <v>7.2139657591196643E-2</v>
      </c>
      <c r="AK767" s="32">
        <f t="shared" ref="AK767:AL767" si="9290">AK741/AK$142*2</f>
        <v>5.7639188490114159E-2</v>
      </c>
      <c r="AL767" s="32">
        <f t="shared" si="9290"/>
        <v>7.7431109496785139E-2</v>
      </c>
      <c r="AM767" s="32">
        <f t="shared" ref="AM767:AN767" si="9291">AM741/AM$142*2</f>
        <v>4.5451942503681543E-2</v>
      </c>
      <c r="AN767" s="32">
        <f t="shared" si="9291"/>
        <v>-7.0644661547283622E-3</v>
      </c>
      <c r="AO767" s="32">
        <f t="shared" ref="AO767" si="9292">AO741/AO$142*2</f>
        <v>3.9639077293368498E-2</v>
      </c>
      <c r="AP767" s="32">
        <f t="shared" ref="AP767:AQ767" si="9293">AP741/AP$142*2</f>
        <v>5.3186432688440359E-2</v>
      </c>
      <c r="AQ767" s="32">
        <f t="shared" si="9293"/>
        <v>5.8479596311662413E-2</v>
      </c>
      <c r="AR767" s="32">
        <f t="shared" ref="AR767:AS767" si="9294">AR741/AR$142*2</f>
        <v>5.4942674096959077E-2</v>
      </c>
      <c r="AS767" s="32">
        <f t="shared" si="9294"/>
        <v>7.3546489805299264E-2</v>
      </c>
      <c r="AT767" s="32">
        <f t="shared" ref="AT767:AU767" si="9295">AT741/AT$142*2</f>
        <v>8.5999014476149035E-2</v>
      </c>
      <c r="AU767" s="32">
        <f t="shared" si="9295"/>
        <v>6.1163365934087111E-2</v>
      </c>
      <c r="AV767" s="32">
        <f t="shared" ref="AV767:AW767" si="9296">AV741/AV$142*2</f>
        <v>5.3077132238485446E-2</v>
      </c>
      <c r="AW767" s="32">
        <f t="shared" si="9296"/>
        <v>4.2800830729909388E-2</v>
      </c>
      <c r="AX767" s="32">
        <f t="shared" ref="AX767" si="9297">AX741/AX$142*2</f>
        <v>5.1922284647844652E-2</v>
      </c>
      <c r="AY767" s="31">
        <f t="shared" ref="AY767" si="9298">AY741/AY$142*2</f>
        <v>1.9074609958572068E-2</v>
      </c>
      <c r="AZ767" s="30">
        <f t="shared" ref="AZ767:BA767" si="9299">AZ741/AZ$142*2</f>
        <v>4.8419170578236692E-2</v>
      </c>
      <c r="BA767" s="30">
        <f t="shared" si="9299"/>
        <v>4.5758150859421295E-2</v>
      </c>
      <c r="BB767" s="30">
        <f t="shared" ref="BB767:BC767" si="9300">BB741/BB$142*2</f>
        <v>4.6549590733024546E-2</v>
      </c>
      <c r="BC767" s="30">
        <f t="shared" si="9300"/>
        <v>3.8777989939056318E-2</v>
      </c>
      <c r="BD767" s="30">
        <f t="shared" ref="BD767:BE767" si="9301">BD741/BD$142*2</f>
        <v>4.4315781066837645E-2</v>
      </c>
      <c r="BE767" s="30">
        <f t="shared" si="9301"/>
        <v>3.7918116589921891E-2</v>
      </c>
      <c r="BF767" s="30">
        <f t="shared" ref="BF767:BG767" si="9302">BF741/BF$142*2</f>
        <v>4.2698639696077886E-2</v>
      </c>
      <c r="BG767" s="30">
        <f t="shared" si="9302"/>
        <v>3.7584117066100098E-2</v>
      </c>
      <c r="BH767" s="30">
        <f t="shared" ref="BH767:BI767" si="9303">BH741/BH$142*2</f>
        <v>4.0586449795209326E-2</v>
      </c>
      <c r="BI767" s="30">
        <f t="shared" si="9303"/>
        <v>3.4978315922276543E-2</v>
      </c>
      <c r="BJ767" s="30">
        <f t="shared" ref="BJ767:BK767" si="9304">BJ741/BJ$142*2</f>
        <v>3.859000277114339E-2</v>
      </c>
      <c r="BK767" s="30">
        <f t="shared" si="9304"/>
        <v>3.5615433743306196E-2</v>
      </c>
      <c r="BL767" s="30">
        <f t="shared" ref="BL767:BM767" si="9305">BL741/BL$142*2</f>
        <v>3.6428911024402363E-2</v>
      </c>
      <c r="BM767" s="30">
        <f t="shared" si="9305"/>
        <v>3.2662537466753079E-2</v>
      </c>
      <c r="BN767" s="30">
        <f t="shared" ref="BN767:BO767" si="9306">BN741/BN$142*2</f>
        <v>3.3165295768886494E-2</v>
      </c>
      <c r="BO767" s="30">
        <f t="shared" si="9306"/>
        <v>3.0086707473234484E-2</v>
      </c>
      <c r="BP767" s="30">
        <f t="shared" ref="BP767:BQ767" si="9307">BP741/BP$142*2</f>
        <v>3.0638286834501236E-2</v>
      </c>
      <c r="BQ767" s="30">
        <f t="shared" si="9307"/>
        <v>2.813691302340432E-2</v>
      </c>
      <c r="BR767" s="30"/>
      <c r="BS767" s="207">
        <f t="shared" si="9193"/>
        <v>-0.27720384598014658</v>
      </c>
      <c r="BT767" s="207">
        <f t="shared" si="9193"/>
        <v>3.9652942529239128E-2</v>
      </c>
      <c r="BU767" s="207">
        <f t="shared" si="9193"/>
        <v>0.11065077343300049</v>
      </c>
      <c r="BV767" s="207">
        <f t="shared" si="9193"/>
        <v>9.1104499406234343E-2</v>
      </c>
      <c r="BW767" s="207">
        <f t="shared" si="9193"/>
        <v>0.11356283063006896</v>
      </c>
      <c r="BX767" s="207">
        <f t="shared" si="9193"/>
        <v>8.0782577924572871E-2</v>
      </c>
      <c r="BY767" s="207">
        <f t="shared" si="9193"/>
        <v>8.9007363733931213E-2</v>
      </c>
      <c r="BZ767" s="207">
        <f t="shared" si="9193"/>
        <v>9.856794797323129E-2</v>
      </c>
      <c r="CA767" s="207">
        <f t="shared" si="9193"/>
        <v>9.3186441674784501E-2</v>
      </c>
      <c r="CB767" s="207">
        <f t="shared" si="9193"/>
        <v>8.5923002250002767E-2</v>
      </c>
      <c r="CC767" s="30">
        <f t="shared" ref="CC767:CR767" si="9308">CC741/CC$142</f>
        <v>9.1151065145380919E-2</v>
      </c>
      <c r="CD767" s="30">
        <f t="shared" si="9308"/>
        <v>9.5432925030306245E-2</v>
      </c>
      <c r="CE767" s="30">
        <f t="shared" si="9308"/>
        <v>8.9190344261960972E-2</v>
      </c>
      <c r="CF767" s="30">
        <f t="shared" si="9308"/>
        <v>8.125839267118945E-2</v>
      </c>
      <c r="CG767" s="30">
        <f t="shared" si="9308"/>
        <v>8.2654155527296311E-2</v>
      </c>
      <c r="CH767" s="30">
        <f t="shared" si="9308"/>
        <v>8.0477836312296658E-2</v>
      </c>
      <c r="CI767" s="30">
        <f t="shared" si="9308"/>
        <v>0.10686174537901152</v>
      </c>
      <c r="CJ767" s="30">
        <f t="shared" si="9308"/>
        <v>6.8721234038308793E-2</v>
      </c>
      <c r="CK767" s="30">
        <f t="shared" si="9308"/>
        <v>9.8785857825106821E-2</v>
      </c>
      <c r="CL767" s="30">
        <f t="shared" si="9308"/>
        <v>0.12116083931730859</v>
      </c>
      <c r="CM767" s="32">
        <f t="shared" si="9308"/>
        <v>0.10270496483685879</v>
      </c>
      <c r="CN767" s="32">
        <f t="shared" si="9308"/>
        <v>8.8916739865697605E-2</v>
      </c>
      <c r="CO767" s="32">
        <f t="shared" si="9308"/>
        <v>9.5683336442338868E-2</v>
      </c>
      <c r="CP767" s="32">
        <f t="shared" si="9308"/>
        <v>0.10800484580670651</v>
      </c>
      <c r="CQ767" s="32">
        <f t="shared" si="9308"/>
        <v>8.0620515919014007E-2</v>
      </c>
      <c r="CR767" s="32">
        <f t="shared" si="9308"/>
        <v>8.5440411585333664E-2</v>
      </c>
      <c r="CS767" s="32">
        <f t="shared" si="9195"/>
        <v>8.6292230073552106E-2</v>
      </c>
      <c r="CT767" s="32">
        <f t="shared" si="9195"/>
        <v>7.8631908156781324E-2</v>
      </c>
      <c r="CU767" s="32">
        <f t="shared" ref="CU767:CV767" si="9309">CU741/CU$142</f>
        <v>5.5028463147130682E-2</v>
      </c>
      <c r="CV767" s="32">
        <f t="shared" si="9309"/>
        <v>7.7314394934671307E-2</v>
      </c>
      <c r="CW767" s="32">
        <f t="shared" ref="CW767:CX767" si="9310">CW741/CW$142</f>
        <v>9.8269521370590668E-2</v>
      </c>
      <c r="CX767" s="32">
        <f t="shared" si="9310"/>
        <v>9.3918711541230923E-2</v>
      </c>
      <c r="CY767" s="32">
        <f t="shared" si="9198"/>
        <v>6.7839261804520962E-2</v>
      </c>
      <c r="CZ767" s="31">
        <f t="shared" si="9198"/>
        <v>5.317813567469367E-2</v>
      </c>
      <c r="DA767" s="30">
        <f t="shared" si="9199"/>
        <v>6.5166503041905119E-2</v>
      </c>
      <c r="DB767" s="30">
        <f t="shared" si="9199"/>
        <v>5.941675999739375E-2</v>
      </c>
      <c r="DC767" s="30">
        <f t="shared" ref="DC767" si="9311">DC741/DC$142</f>
        <v>5.6979080524580547E-2</v>
      </c>
      <c r="DD767" s="30">
        <f t="shared" si="9201"/>
        <v>5.5168930121356749E-2</v>
      </c>
      <c r="DE767" s="30">
        <f t="shared" si="9201"/>
        <v>5.1964503865566482E-2</v>
      </c>
      <c r="DF767" s="30">
        <f t="shared" si="9202"/>
        <v>5.0474119677597143E-2</v>
      </c>
      <c r="DG767" s="30">
        <f t="shared" si="9202"/>
        <v>4.7143556662553203E-2</v>
      </c>
      <c r="DH767" s="30">
        <f t="shared" si="9203"/>
        <v>4.354513507750777E-2</v>
      </c>
      <c r="DI767" s="30">
        <f t="shared" si="9203"/>
        <v>4.0690263287410128E-2</v>
      </c>
    </row>
    <row r="768" spans="1:113" s="86" customFormat="1" ht="12" outlineLevel="1">
      <c r="A768" s="1" t="s">
        <v>975</v>
      </c>
      <c r="B768" s="86" t="s">
        <v>587</v>
      </c>
      <c r="C768" s="85">
        <f t="shared" ref="C768:L769" si="9312">C$142/C742</f>
        <v>2.5353263164447406</v>
      </c>
      <c r="D768" s="85">
        <f t="shared" si="9312"/>
        <v>2.7224642413903402</v>
      </c>
      <c r="E768" s="85">
        <f t="shared" si="9312"/>
        <v>2.5315856531817729</v>
      </c>
      <c r="F768" s="85">
        <f t="shared" si="9312"/>
        <v>2.3018621510273065</v>
      </c>
      <c r="G768" s="85">
        <f t="shared" si="9312"/>
        <v>2.2605631597162144</v>
      </c>
      <c r="H768" s="85">
        <f t="shared" si="9312"/>
        <v>2.1775579268292682</v>
      </c>
      <c r="I768" s="85">
        <f t="shared" si="9312"/>
        <v>2.0301695233622916</v>
      </c>
      <c r="J768" s="85">
        <f t="shared" si="9312"/>
        <v>2.2042152366430123</v>
      </c>
      <c r="K768" s="85">
        <f t="shared" si="9312"/>
        <v>2.4830680337619668</v>
      </c>
      <c r="L768" s="85">
        <f t="shared" si="9312"/>
        <v>2.7086551897602149</v>
      </c>
      <c r="M768" s="85">
        <f t="shared" ref="M768:AF768" si="9313">M$142/M742</f>
        <v>2.5962357770643649</v>
      </c>
      <c r="N768" s="85">
        <f t="shared" si="9313"/>
        <v>2.7384210526315793</v>
      </c>
      <c r="O768" s="85">
        <f t="shared" si="9313"/>
        <v>2.6198774776479494</v>
      </c>
      <c r="P768" s="85">
        <f t="shared" si="9313"/>
        <v>1.8803736654804275</v>
      </c>
      <c r="Q768" s="85">
        <f t="shared" si="9313"/>
        <v>1.493544830008978</v>
      </c>
      <c r="R768" s="85">
        <f t="shared" si="9313"/>
        <v>1.2394280557176194</v>
      </c>
      <c r="S768" s="85">
        <f t="shared" si="9313"/>
        <v>1.9396296002286222</v>
      </c>
      <c r="T768" s="85">
        <f t="shared" si="9313"/>
        <v>2.0302584844846105</v>
      </c>
      <c r="U768" s="85">
        <f t="shared" si="9313"/>
        <v>1.8246145695364235</v>
      </c>
      <c r="V768" s="85">
        <f t="shared" si="9313"/>
        <v>1.8081922255696277</v>
      </c>
      <c r="W768" s="85">
        <f t="shared" si="9313"/>
        <v>1.3856643715404349</v>
      </c>
      <c r="X768" s="85">
        <f t="shared" si="9313"/>
        <v>1.6178690652337566</v>
      </c>
      <c r="Y768" s="85">
        <f t="shared" si="9313"/>
        <v>1.6688746898263029</v>
      </c>
      <c r="Z768" s="85">
        <f t="shared" si="9313"/>
        <v>1.8826273118641621</v>
      </c>
      <c r="AA768" s="85">
        <f t="shared" si="9313"/>
        <v>1.8905548690396241</v>
      </c>
      <c r="AB768" s="85">
        <f t="shared" si="9313"/>
        <v>1.9678947071583512</v>
      </c>
      <c r="AC768" s="85">
        <f t="shared" ref="AC768:AD768" si="9314">AC$142/AC742</f>
        <v>1.763366269447203</v>
      </c>
      <c r="AD768" s="85">
        <f t="shared" si="9314"/>
        <v>1.9506166756486258</v>
      </c>
      <c r="AE768" s="85">
        <f t="shared" ref="AE768" si="9315">AE$142/AE742</f>
        <v>1.3730870787988889</v>
      </c>
      <c r="AF768" s="85">
        <f t="shared" si="9313"/>
        <v>1.2143941238046236</v>
      </c>
      <c r="AG768" s="85">
        <f t="shared" ref="AG768:AH768" si="9316">AG$142/AG742</f>
        <v>1.3989903663219065</v>
      </c>
      <c r="AH768" s="85">
        <f t="shared" si="9316"/>
        <v>1.6165959686868199</v>
      </c>
      <c r="AI768" s="85">
        <f t="shared" ref="AI768:AJ768" si="9317">AI$142/AI742</f>
        <v>1.4747111328075444</v>
      </c>
      <c r="AJ768" s="85">
        <f t="shared" si="9317"/>
        <v>1.3113596211991783</v>
      </c>
      <c r="AK768" s="85">
        <f t="shared" ref="AK768:AL768" si="9318">AK$142/AK742</f>
        <v>1.366380807647684</v>
      </c>
      <c r="AL768" s="85">
        <f t="shared" si="9318"/>
        <v>1.2328038702357034</v>
      </c>
      <c r="AM768" s="85">
        <f t="shared" ref="AM768:AN768" si="9319">AM$142/AM742</f>
        <v>1.3300159913785106</v>
      </c>
      <c r="AN768" s="85">
        <f t="shared" si="9319"/>
        <v>0.78387277682550027</v>
      </c>
      <c r="AO768" s="85">
        <f t="shared" ref="AO768" si="9320">AO$142/AO742</f>
        <v>0.79806770235939095</v>
      </c>
      <c r="AP768" s="85">
        <f t="shared" ref="AP768:AQ768" si="9321">AP$142/AP742</f>
        <v>1.281644470223444</v>
      </c>
      <c r="AQ768" s="85">
        <f t="shared" si="9321"/>
        <v>1.2484617419901043</v>
      </c>
      <c r="AR768" s="85">
        <f t="shared" ref="AR768:AS768" si="9322">AR$142/AR742</f>
        <v>1.2489234327562475</v>
      </c>
      <c r="AS768" s="85">
        <f t="shared" si="9322"/>
        <v>1.0343402297601165</v>
      </c>
      <c r="AT768" s="85">
        <f t="shared" ref="AT768:AU768" si="9323">AT$142/AT742</f>
        <v>0.99728043315125625</v>
      </c>
      <c r="AU768" s="85">
        <f t="shared" si="9323"/>
        <v>1.1096576947227859</v>
      </c>
      <c r="AV768" s="85">
        <f t="shared" ref="AV768:AW768" si="9324">AV$142/AV742</f>
        <v>1.2715466929333601</v>
      </c>
      <c r="AW768" s="85">
        <f t="shared" si="9324"/>
        <v>1.3144864025243899</v>
      </c>
      <c r="AX768" s="85">
        <f t="shared" ref="AX768" si="9325">AX$142/AX742</f>
        <v>1.2208102191147268</v>
      </c>
      <c r="AY768" s="224">
        <f t="shared" ref="AY768" si="9326">AY$142/AY742</f>
        <v>1.4076447339470657</v>
      </c>
      <c r="AZ768" s="85">
        <f t="shared" ref="AZ768:BA768" si="9327">AZ$142/AZ742</f>
        <v>1.4290681347269578</v>
      </c>
      <c r="BA768" s="85">
        <f t="shared" si="9327"/>
        <v>1.4672212564859355</v>
      </c>
      <c r="BB768" s="85">
        <f t="shared" ref="BB768:BC768" si="9328">BB$142/BB742</f>
        <v>1.5125789879112519</v>
      </c>
      <c r="BC768" s="85">
        <f t="shared" si="9328"/>
        <v>1.5736118216443891</v>
      </c>
      <c r="BD768" s="85">
        <f t="shared" ref="BD768:BE768" si="9329">BD$142/BD742</f>
        <v>1.6291077845918807</v>
      </c>
      <c r="BE768" s="85">
        <f t="shared" si="9329"/>
        <v>1.6953084545687775</v>
      </c>
      <c r="BF768" s="85">
        <f t="shared" ref="BF768:BG768" si="9330">BF$142/BF742</f>
        <v>1.7557511825662482</v>
      </c>
      <c r="BG768" s="85">
        <f t="shared" si="9330"/>
        <v>1.825275386802917</v>
      </c>
      <c r="BH768" s="85">
        <f t="shared" ref="BH768:BI768" si="9331">BH$142/BH742</f>
        <v>1.8785761946618005</v>
      </c>
      <c r="BI768" s="85">
        <f t="shared" si="9331"/>
        <v>1.9420138381879839</v>
      </c>
      <c r="BJ768" s="85">
        <f t="shared" ref="BJ768:BK768" si="9332">BJ$142/BJ742</f>
        <v>1.9959240721717515</v>
      </c>
      <c r="BK768" s="85">
        <f t="shared" si="9332"/>
        <v>2.0531742859722839</v>
      </c>
      <c r="BL768" s="85">
        <f t="shared" ref="BL768:BM768" si="9333">BL$142/BL742</f>
        <v>2.1084451434181855</v>
      </c>
      <c r="BM768" s="85">
        <f t="shared" si="9333"/>
        <v>2.1720909073660772</v>
      </c>
      <c r="BN768" s="85">
        <f t="shared" ref="BN768:BO768" si="9334">BN$142/BN742</f>
        <v>2.2343160590765954</v>
      </c>
      <c r="BO768" s="85">
        <f t="shared" si="9334"/>
        <v>2.3042192391582659</v>
      </c>
      <c r="BP768" s="85">
        <f t="shared" ref="BP768:BQ768" si="9335">BP$142/BP742</f>
        <v>2.3723952731653877</v>
      </c>
      <c r="BQ768" s="85">
        <f t="shared" si="9335"/>
        <v>2.4475104937126861</v>
      </c>
      <c r="BR768" s="85"/>
      <c r="BS768" s="85">
        <f t="shared" ref="BS768:CB769" si="9336">BS$142/BS742</f>
        <v>0.6713834563579637</v>
      </c>
      <c r="BT768" s="85">
        <f t="shared" si="9336"/>
        <v>1.2939202494987747</v>
      </c>
      <c r="BU768" s="85">
        <f t="shared" si="9336"/>
        <v>1.0397149840424216</v>
      </c>
      <c r="BV768" s="85">
        <f t="shared" si="9336"/>
        <v>1.5906526646999999</v>
      </c>
      <c r="BW768" s="85">
        <f t="shared" si="9336"/>
        <v>1.6322106823411606</v>
      </c>
      <c r="BX768" s="85">
        <f t="shared" si="9336"/>
        <v>2.354559557156616</v>
      </c>
      <c r="BY768" s="85">
        <f t="shared" si="9336"/>
        <v>1.7341492939768357</v>
      </c>
      <c r="BZ768" s="85">
        <f t="shared" si="9336"/>
        <v>1.8666805623910239</v>
      </c>
      <c r="CA768" s="85">
        <f t="shared" si="9336"/>
        <v>2.2819432603253773</v>
      </c>
      <c r="CB768" s="85">
        <f t="shared" si="9336"/>
        <v>2.5353263164447406</v>
      </c>
      <c r="CC768" s="85">
        <f t="shared" ref="CC768:CR768" si="9337">CC$142/CC742</f>
        <v>2.5315856531817729</v>
      </c>
      <c r="CD768" s="85">
        <f t="shared" si="9337"/>
        <v>2.2605631597162144</v>
      </c>
      <c r="CE768" s="85">
        <f t="shared" si="9337"/>
        <v>2.0301695233622916</v>
      </c>
      <c r="CF768" s="85">
        <f t="shared" si="9337"/>
        <v>2.4830680337619668</v>
      </c>
      <c r="CG768" s="85">
        <f t="shared" si="9337"/>
        <v>2.5962357770643649</v>
      </c>
      <c r="CH768" s="85">
        <f t="shared" si="9337"/>
        <v>2.6198774776479494</v>
      </c>
      <c r="CI768" s="85">
        <f t="shared" si="9337"/>
        <v>1.493544830008978</v>
      </c>
      <c r="CJ768" s="85">
        <f t="shared" si="9337"/>
        <v>1.9396296002286222</v>
      </c>
      <c r="CK768" s="85">
        <f t="shared" si="9337"/>
        <v>1.8246145695364235</v>
      </c>
      <c r="CL768" s="85">
        <f t="shared" si="9337"/>
        <v>1.3856643715404349</v>
      </c>
      <c r="CM768" s="85">
        <f t="shared" si="9337"/>
        <v>1.6688746898263029</v>
      </c>
      <c r="CN768" s="85">
        <f t="shared" si="9337"/>
        <v>1.8905548690396241</v>
      </c>
      <c r="CO768" s="85">
        <f t="shared" si="9337"/>
        <v>1.763366269447203</v>
      </c>
      <c r="CP768" s="85">
        <f t="shared" si="9337"/>
        <v>1.3730870787988889</v>
      </c>
      <c r="CQ768" s="85">
        <f t="shared" si="9337"/>
        <v>1.3989903663219065</v>
      </c>
      <c r="CR768" s="85">
        <f t="shared" si="9337"/>
        <v>1.4747111328075444</v>
      </c>
      <c r="CS768" s="85">
        <f t="shared" ref="CS768:CX769" si="9338">CS$142/CS742</f>
        <v>1.366380807647684</v>
      </c>
      <c r="CT768" s="85">
        <f t="shared" si="9338"/>
        <v>1.3300159913785106</v>
      </c>
      <c r="CU768" s="85">
        <f t="shared" si="9338"/>
        <v>0.79806770235939095</v>
      </c>
      <c r="CV768" s="85">
        <f t="shared" si="9338"/>
        <v>1.2484617419901043</v>
      </c>
      <c r="CW768" s="85">
        <f t="shared" si="9338"/>
        <v>1.0343402297601165</v>
      </c>
      <c r="CX768" s="85">
        <f t="shared" si="9338"/>
        <v>1.1096576947227859</v>
      </c>
      <c r="CY768" s="85">
        <f t="shared" ref="CY768:DA769" si="9339">CY$142/CY742</f>
        <v>1.3144864025243899</v>
      </c>
      <c r="CZ768" s="224">
        <f t="shared" si="9339"/>
        <v>1.4076447339470657</v>
      </c>
      <c r="DA768" s="85">
        <f t="shared" si="9339"/>
        <v>1.4672212564859355</v>
      </c>
      <c r="DB768" s="85">
        <f t="shared" ref="DB768:DC768" si="9340">DB$142/DB742</f>
        <v>1.5736118216443893</v>
      </c>
      <c r="DC768" s="85">
        <f t="shared" si="9340"/>
        <v>1.6953084545687778</v>
      </c>
      <c r="DD768" s="85">
        <f t="shared" ref="DD768:DF769" si="9341">DD$142/DD742</f>
        <v>1.825275386802917</v>
      </c>
      <c r="DE768" s="85">
        <f t="shared" si="9341"/>
        <v>1.9420138381879841</v>
      </c>
      <c r="DF768" s="85">
        <f t="shared" si="9341"/>
        <v>2.0531742859722848</v>
      </c>
      <c r="DG768" s="85">
        <f t="shared" ref="DG768:DI769" si="9342">DG$142/DG742</f>
        <v>2.1720909073660786</v>
      </c>
      <c r="DH768" s="85">
        <f t="shared" si="9342"/>
        <v>2.3042192391582672</v>
      </c>
      <c r="DI768" s="85">
        <f t="shared" si="9342"/>
        <v>2.4475104937126875</v>
      </c>
    </row>
    <row r="769" spans="1:113" s="86" customFormat="1" ht="12" outlineLevel="1">
      <c r="A769" s="1" t="s">
        <v>976</v>
      </c>
      <c r="B769" s="86" t="s">
        <v>588</v>
      </c>
      <c r="C769" s="85">
        <f t="shared" si="9312"/>
        <v>2.5744631846535211</v>
      </c>
      <c r="D769" s="85">
        <f t="shared" si="9312"/>
        <v>2.7781516831683168</v>
      </c>
      <c r="E769" s="85">
        <f t="shared" si="9312"/>
        <v>2.5776470519053873</v>
      </c>
      <c r="F769" s="85">
        <f t="shared" si="9312"/>
        <v>2.3374129483381507</v>
      </c>
      <c r="G769" s="85">
        <f t="shared" si="9312"/>
        <v>2.2922959291103706</v>
      </c>
      <c r="H769" s="85">
        <f t="shared" si="9312"/>
        <v>2.7334932227714881</v>
      </c>
      <c r="I769" s="85">
        <f t="shared" si="9312"/>
        <v>2.5122370886903465</v>
      </c>
      <c r="J769" s="85">
        <f t="shared" si="9312"/>
        <v>2.714827650967929</v>
      </c>
      <c r="K769" s="85">
        <f t="shared" si="9312"/>
        <v>3.0053890983887555</v>
      </c>
      <c r="L769" s="85">
        <f t="shared" si="9312"/>
        <v>3.2287660736891199</v>
      </c>
      <c r="M769" s="85">
        <f t="shared" ref="M769:AF769" si="9343">M$142/M743</f>
        <v>3.0714822240209201</v>
      </c>
      <c r="N769" s="85">
        <f t="shared" si="9343"/>
        <v>3.215611574128419</v>
      </c>
      <c r="O769" s="85">
        <f t="shared" si="9343"/>
        <v>3.0898008257085472</v>
      </c>
      <c r="P769" s="85">
        <f t="shared" si="9343"/>
        <v>2.1843997983362744</v>
      </c>
      <c r="Q769" s="85">
        <f t="shared" si="9343"/>
        <v>1.7003566191174515</v>
      </c>
      <c r="R769" s="85">
        <f t="shared" si="9343"/>
        <v>1.3969863548559449</v>
      </c>
      <c r="S769" s="85">
        <f t="shared" si="9343"/>
        <v>2.1473934823876819</v>
      </c>
      <c r="T769" s="85">
        <f t="shared" si="9343"/>
        <v>2.4382209403817692</v>
      </c>
      <c r="U769" s="85">
        <f t="shared" si="9343"/>
        <v>2.1797999064983635</v>
      </c>
      <c r="V769" s="85">
        <f t="shared" si="9343"/>
        <v>2.1386661592748912</v>
      </c>
      <c r="W769" s="85">
        <f t="shared" si="9343"/>
        <v>1.6217830167809628</v>
      </c>
      <c r="X769" s="85">
        <f t="shared" si="9343"/>
        <v>1.8774903602843718</v>
      </c>
      <c r="Y769" s="85">
        <f t="shared" si="9343"/>
        <v>1.9226886792452833</v>
      </c>
      <c r="Z769" s="85">
        <f t="shared" si="9343"/>
        <v>2.1567686394445365</v>
      </c>
      <c r="AA769" s="85">
        <f t="shared" si="9343"/>
        <v>2.1571158620689657</v>
      </c>
      <c r="AB769" s="85">
        <f t="shared" si="9343"/>
        <v>2.2420469564787582</v>
      </c>
      <c r="AC769" s="85">
        <f t="shared" ref="AC769:AD769" si="9344">AC$142/AC743</f>
        <v>1.985928656306065</v>
      </c>
      <c r="AD769" s="85">
        <f t="shared" si="9344"/>
        <v>2.1907490110460217</v>
      </c>
      <c r="AE769" s="85">
        <f t="shared" ref="AE769" si="9345">AE$142/AE743</f>
        <v>1.5166534691672455</v>
      </c>
      <c r="AF769" s="85">
        <f t="shared" si="9343"/>
        <v>1.3413858545475923</v>
      </c>
      <c r="AG769" s="85">
        <f t="shared" ref="AG769:AH769" si="9346">AG$142/AG743</f>
        <v>1.5451750783219986</v>
      </c>
      <c r="AH769" s="85">
        <f t="shared" si="9346"/>
        <v>1.7742797004345268</v>
      </c>
      <c r="AI769" s="85">
        <f t="shared" ref="AI769:AJ769" si="9347">AI$142/AI743</f>
        <v>1.6147737706230849</v>
      </c>
      <c r="AJ769" s="85">
        <f t="shared" si="9347"/>
        <v>1.3950774246847395</v>
      </c>
      <c r="AK769" s="85">
        <f t="shared" ref="AK769:AL769" si="9348">AK$142/AK743</f>
        <v>1.4523738891821507</v>
      </c>
      <c r="AL769" s="85">
        <f t="shared" si="9348"/>
        <v>1.3128882774579864</v>
      </c>
      <c r="AM769" s="85">
        <f t="shared" ref="AM769:AN769" si="9349">AM$142/AM743</f>
        <v>1.4122169971868286</v>
      </c>
      <c r="AN769" s="85">
        <f t="shared" si="9349"/>
        <v>0.83408304277995493</v>
      </c>
      <c r="AO769" s="85">
        <f t="shared" ref="AO769" si="9350">AO$142/AO743</f>
        <v>0.84406742841734672</v>
      </c>
      <c r="AP769" s="85">
        <f t="shared" ref="AP769:AQ769" si="9351">AP$142/AP743</f>
        <v>1.3476189086936794</v>
      </c>
      <c r="AQ769" s="85">
        <f t="shared" si="9351"/>
        <v>1.3137521165567509</v>
      </c>
      <c r="AR769" s="85">
        <f t="shared" ref="AR769:AS769" si="9352">AR$142/AR743</f>
        <v>1.3159270890978281</v>
      </c>
      <c r="AS769" s="85">
        <f t="shared" si="9352"/>
        <v>1.0833401379842988</v>
      </c>
      <c r="AT769" s="85">
        <f t="shared" ref="AT769:AU769" si="9353">AT$142/AT743</f>
        <v>1.0451050961569162</v>
      </c>
      <c r="AU769" s="85">
        <f t="shared" si="9353"/>
        <v>1.1621505439562361</v>
      </c>
      <c r="AV769" s="85">
        <f t="shared" ref="AV769:AW769" si="9354">AV$142/AV743</f>
        <v>1.3307369092211605</v>
      </c>
      <c r="AW769" s="85">
        <f t="shared" si="9354"/>
        <v>1.4058767335676137</v>
      </c>
      <c r="AX769" s="85">
        <f t="shared" ref="AX769" si="9355">AX$142/AX743</f>
        <v>1.3108634638678172</v>
      </c>
      <c r="AY769" s="224">
        <f t="shared" ref="AY769" si="9356">AY$142/AY743</f>
        <v>1.5099007219804335</v>
      </c>
      <c r="AZ769" s="85">
        <f t="shared" ref="AZ769:BA769" si="9357">AZ$142/AZ743</f>
        <v>1.5289309513523612</v>
      </c>
      <c r="BA769" s="85">
        <f t="shared" si="9357"/>
        <v>1.5670569538604042</v>
      </c>
      <c r="BB769" s="85">
        <f t="shared" ref="BB769:BC769" si="9358">BB$142/BB743</f>
        <v>1.6140218810389468</v>
      </c>
      <c r="BC769" s="85">
        <f t="shared" si="9358"/>
        <v>1.6796122572982082</v>
      </c>
      <c r="BD769" s="85">
        <f t="shared" ref="BD769:BE769" si="9359">BD$142/BD743</f>
        <v>1.7387195590048126</v>
      </c>
      <c r="BE769" s="85">
        <f t="shared" si="9359"/>
        <v>1.8098377455025687</v>
      </c>
      <c r="BF769" s="85">
        <f t="shared" ref="BF769:BG769" si="9360">BF$142/BF743</f>
        <v>1.8742010882304305</v>
      </c>
      <c r="BG769" s="85">
        <f t="shared" si="9360"/>
        <v>1.9487106236677696</v>
      </c>
      <c r="BH769" s="85">
        <f t="shared" ref="BH769:BI769" si="9361">BH$142/BH743</f>
        <v>2.0035690576913514</v>
      </c>
      <c r="BI769" s="85">
        <f t="shared" si="9361"/>
        <v>2.0697490956915181</v>
      </c>
      <c r="BJ769" s="85">
        <f t="shared" ref="BJ769:BK769" si="9362">BJ$142/BJ743</f>
        <v>2.124901042953669</v>
      </c>
      <c r="BK769" s="85">
        <f t="shared" si="9362"/>
        <v>2.1836491347323044</v>
      </c>
      <c r="BL769" s="85">
        <f t="shared" ref="BL769:BM769" si="9363">BL$142/BL743</f>
        <v>2.2399711195601042</v>
      </c>
      <c r="BM769" s="85">
        <f t="shared" si="9363"/>
        <v>2.3055499557142158</v>
      </c>
      <c r="BN769" s="85">
        <f t="shared" ref="BN769:BO769" si="9364">BN$142/BN743</f>
        <v>2.3693219947924131</v>
      </c>
      <c r="BO769" s="85">
        <f t="shared" si="9364"/>
        <v>2.4415146376063999</v>
      </c>
      <c r="BP769" s="85">
        <f t="shared" ref="BP769:BQ769" si="9365">BP$142/BP743</f>
        <v>2.5115474380632041</v>
      </c>
      <c r="BQ769" s="85">
        <f t="shared" si="9365"/>
        <v>2.5891319166030922</v>
      </c>
      <c r="BR769" s="85"/>
      <c r="BS769" s="85">
        <f t="shared" si="9336"/>
        <v>0.7323928999999999</v>
      </c>
      <c r="BT769" s="85">
        <f t="shared" si="9336"/>
        <v>1.2842162798833823</v>
      </c>
      <c r="BU769" s="85">
        <f t="shared" si="9336"/>
        <v>1.0336538491620111</v>
      </c>
      <c r="BV769" s="85">
        <f t="shared" si="9336"/>
        <v>1.5787764517766496</v>
      </c>
      <c r="BW769" s="85">
        <f t="shared" si="9336"/>
        <v>1.6252102490674527</v>
      </c>
      <c r="BX769" s="85">
        <f t="shared" si="9336"/>
        <v>2.3422515006222224</v>
      </c>
      <c r="BY769" s="85">
        <f t="shared" si="9336"/>
        <v>1.7257180583036142</v>
      </c>
      <c r="BZ769" s="85">
        <f t="shared" si="9336"/>
        <v>1.8916490470272518</v>
      </c>
      <c r="CA769" s="85">
        <f t="shared" si="9336"/>
        <v>2.3219241415176417</v>
      </c>
      <c r="CB769" s="85">
        <f t="shared" si="9336"/>
        <v>3.7629052641304348</v>
      </c>
      <c r="CC769" s="85">
        <f t="shared" ref="CC769:CR769" si="9366">CC$142/CC743</f>
        <v>2.5776470519053873</v>
      </c>
      <c r="CD769" s="85">
        <f t="shared" si="9366"/>
        <v>2.2922959291103706</v>
      </c>
      <c r="CE769" s="85">
        <f t="shared" si="9366"/>
        <v>2.5122370886903465</v>
      </c>
      <c r="CF769" s="85">
        <f t="shared" si="9366"/>
        <v>3.0053890983887555</v>
      </c>
      <c r="CG769" s="85">
        <f t="shared" si="9366"/>
        <v>3.0714822240209201</v>
      </c>
      <c r="CH769" s="85">
        <f t="shared" si="9366"/>
        <v>3.0898008257085472</v>
      </c>
      <c r="CI769" s="85">
        <f t="shared" si="9366"/>
        <v>1.7003566191174515</v>
      </c>
      <c r="CJ769" s="85">
        <f t="shared" si="9366"/>
        <v>2.1473934823876819</v>
      </c>
      <c r="CK769" s="85">
        <f t="shared" si="9366"/>
        <v>2.1797999064983635</v>
      </c>
      <c r="CL769" s="85">
        <f t="shared" si="9366"/>
        <v>1.6217830167809628</v>
      </c>
      <c r="CM769" s="85">
        <f t="shared" si="9366"/>
        <v>1.9226886792452833</v>
      </c>
      <c r="CN769" s="85">
        <f t="shared" si="9366"/>
        <v>2.1571158620689657</v>
      </c>
      <c r="CO769" s="85">
        <f t="shared" si="9366"/>
        <v>1.985928656306065</v>
      </c>
      <c r="CP769" s="85">
        <f t="shared" si="9366"/>
        <v>1.5166534691672455</v>
      </c>
      <c r="CQ769" s="85">
        <f t="shared" si="9366"/>
        <v>1.5451750783219986</v>
      </c>
      <c r="CR769" s="85">
        <f t="shared" si="9366"/>
        <v>1.6147737706230849</v>
      </c>
      <c r="CS769" s="85">
        <f t="shared" si="9338"/>
        <v>1.4523738891821507</v>
      </c>
      <c r="CT769" s="85">
        <f t="shared" si="9338"/>
        <v>1.4122169971868286</v>
      </c>
      <c r="CU769" s="85">
        <f t="shared" si="9338"/>
        <v>0.84406742841734672</v>
      </c>
      <c r="CV769" s="85">
        <f t="shared" si="9338"/>
        <v>1.3137521165567509</v>
      </c>
      <c r="CW769" s="85">
        <f t="shared" si="9338"/>
        <v>1.0833401379842988</v>
      </c>
      <c r="CX769" s="85">
        <f t="shared" si="9338"/>
        <v>1.1621505439562361</v>
      </c>
      <c r="CY769" s="85">
        <f t="shared" si="9339"/>
        <v>1.4058767335676137</v>
      </c>
      <c r="CZ769" s="224">
        <f t="shared" si="9339"/>
        <v>1.5099007219804335</v>
      </c>
      <c r="DA769" s="85">
        <f t="shared" si="9339"/>
        <v>1.5670569538604042</v>
      </c>
      <c r="DB769" s="85">
        <f t="shared" ref="DB769:DC769" si="9367">DB$142/DB743</f>
        <v>1.6796122572982084</v>
      </c>
      <c r="DC769" s="85">
        <f t="shared" si="9367"/>
        <v>1.8098377455025689</v>
      </c>
      <c r="DD769" s="85">
        <f t="shared" si="9341"/>
        <v>1.9487106236677696</v>
      </c>
      <c r="DE769" s="85">
        <f t="shared" si="9341"/>
        <v>2.0697490956915185</v>
      </c>
      <c r="DF769" s="85">
        <f t="shared" si="9341"/>
        <v>2.1836491347323053</v>
      </c>
      <c r="DG769" s="85">
        <f t="shared" si="9342"/>
        <v>2.3055499557142176</v>
      </c>
      <c r="DH769" s="85">
        <f t="shared" si="9342"/>
        <v>2.4415146376064012</v>
      </c>
      <c r="DI769" s="85">
        <f t="shared" si="9342"/>
        <v>2.5891319166030935</v>
      </c>
    </row>
    <row r="770" spans="1:113" ht="12" hidden="1" outlineLevel="2">
      <c r="A770" s="1" t="s">
        <v>977</v>
      </c>
      <c r="B770" s="15" t="s">
        <v>804</v>
      </c>
      <c r="AY770" s="200"/>
      <c r="CZ770" s="200"/>
      <c r="DB770" s="15"/>
      <c r="DC770" s="15"/>
      <c r="DD770" s="15"/>
      <c r="DE770" s="15"/>
      <c r="DF770" s="15"/>
      <c r="DG770" s="15"/>
      <c r="DH770" s="15"/>
      <c r="DI770" s="15"/>
    </row>
    <row r="771" spans="1:113" ht="12" hidden="1" outlineLevel="2">
      <c r="A771" s="1" t="s">
        <v>28</v>
      </c>
      <c r="B771" s="15" t="s">
        <v>804</v>
      </c>
      <c r="AY771" s="200"/>
      <c r="CZ771" s="200"/>
      <c r="DB771" s="15"/>
      <c r="DC771" s="15"/>
      <c r="DD771" s="15"/>
      <c r="DE771" s="15"/>
      <c r="DF771" s="15"/>
      <c r="DG771" s="15"/>
      <c r="DH771" s="15"/>
      <c r="DI771" s="15"/>
    </row>
    <row r="772" spans="1:113" ht="12" hidden="1" outlineLevel="2">
      <c r="A772" s="1" t="s">
        <v>29</v>
      </c>
      <c r="B772" s="15" t="s">
        <v>804</v>
      </c>
      <c r="AY772" s="200"/>
      <c r="CZ772" s="200"/>
      <c r="DB772" s="15"/>
      <c r="DC772" s="15"/>
      <c r="DD772" s="15"/>
      <c r="DE772" s="15"/>
      <c r="DF772" s="15"/>
      <c r="DG772" s="15"/>
      <c r="DH772" s="15"/>
      <c r="DI772" s="15"/>
    </row>
    <row r="773" spans="1:113" ht="12" hidden="1" outlineLevel="2">
      <c r="A773" s="1" t="s">
        <v>30</v>
      </c>
      <c r="B773" s="15" t="s">
        <v>804</v>
      </c>
      <c r="AY773" s="200"/>
      <c r="CZ773" s="200"/>
      <c r="DB773" s="15"/>
      <c r="DC773" s="15"/>
      <c r="DD773" s="15"/>
      <c r="DE773" s="15"/>
      <c r="DF773" s="15"/>
      <c r="DG773" s="15"/>
      <c r="DH773" s="15"/>
      <c r="DI773" s="15"/>
    </row>
    <row r="774" spans="1:113" ht="12" hidden="1" outlineLevel="2">
      <c r="A774" s="1" t="s">
        <v>31</v>
      </c>
      <c r="B774" s="15" t="s">
        <v>804</v>
      </c>
      <c r="AY774" s="200"/>
      <c r="CZ774" s="200"/>
      <c r="DB774" s="15"/>
      <c r="DC774" s="15"/>
      <c r="DD774" s="15"/>
      <c r="DE774" s="15"/>
      <c r="DF774" s="15"/>
      <c r="DG774" s="15"/>
      <c r="DH774" s="15"/>
      <c r="DI774" s="15"/>
    </row>
    <row r="775" spans="1:113" ht="12" hidden="1" outlineLevel="2">
      <c r="A775" s="1" t="s">
        <v>32</v>
      </c>
      <c r="B775" s="15" t="s">
        <v>804</v>
      </c>
      <c r="AY775" s="200"/>
      <c r="CZ775" s="200"/>
      <c r="DB775" s="15"/>
      <c r="DC775" s="15"/>
      <c r="DD775" s="15"/>
      <c r="DE775" s="15"/>
      <c r="DF775" s="15"/>
      <c r="DG775" s="15"/>
      <c r="DH775" s="15"/>
      <c r="DI775" s="15"/>
    </row>
    <row r="776" spans="1:113" ht="12" hidden="1" outlineLevel="2">
      <c r="A776" s="1" t="s">
        <v>33</v>
      </c>
      <c r="B776" s="15" t="s">
        <v>804</v>
      </c>
      <c r="AY776" s="200"/>
      <c r="CZ776" s="200"/>
      <c r="DB776" s="15"/>
      <c r="DC776" s="15"/>
      <c r="DD776" s="15"/>
      <c r="DE776" s="15"/>
      <c r="DF776" s="15"/>
      <c r="DG776" s="15"/>
      <c r="DH776" s="15"/>
      <c r="DI776" s="15"/>
    </row>
    <row r="777" spans="1:113" ht="12" hidden="1" outlineLevel="2">
      <c r="A777" s="1" t="s">
        <v>40</v>
      </c>
      <c r="B777" s="15" t="s">
        <v>804</v>
      </c>
      <c r="AY777" s="200"/>
      <c r="CZ777" s="200"/>
      <c r="DB777" s="15"/>
      <c r="DC777" s="15"/>
      <c r="DD777" s="15"/>
      <c r="DE777" s="15"/>
      <c r="DF777" s="15"/>
      <c r="DG777" s="15"/>
      <c r="DH777" s="15"/>
      <c r="DI777" s="15"/>
    </row>
    <row r="778" spans="1:113" ht="12" hidden="1" outlineLevel="2">
      <c r="A778" s="1" t="s">
        <v>41</v>
      </c>
      <c r="B778" s="15" t="s">
        <v>804</v>
      </c>
      <c r="AY778" s="200"/>
      <c r="CZ778" s="200"/>
      <c r="DB778" s="15"/>
      <c r="DC778" s="15"/>
      <c r="DD778" s="15"/>
      <c r="DE778" s="15"/>
      <c r="DF778" s="15"/>
      <c r="DG778" s="15"/>
      <c r="DH778" s="15"/>
      <c r="DI778" s="15"/>
    </row>
    <row r="779" spans="1:113" ht="12" hidden="1" outlineLevel="2">
      <c r="A779" s="1" t="s">
        <v>42</v>
      </c>
      <c r="B779" s="15" t="s">
        <v>804</v>
      </c>
      <c r="AY779" s="200"/>
      <c r="CZ779" s="200"/>
      <c r="DB779" s="15"/>
      <c r="DC779" s="15"/>
      <c r="DD779" s="15"/>
      <c r="DE779" s="15"/>
      <c r="DF779" s="15"/>
      <c r="DG779" s="15"/>
      <c r="DH779" s="15"/>
      <c r="DI779" s="15"/>
    </row>
    <row r="780" spans="1:113" ht="12" outlineLevel="1" collapsed="1">
      <c r="AA780" s="361"/>
      <c r="AY780" s="200"/>
      <c r="CZ780" s="200"/>
      <c r="DB780" s="15"/>
      <c r="DC780" s="15"/>
      <c r="DD780" s="15"/>
      <c r="DE780" s="15"/>
      <c r="DF780" s="15"/>
      <c r="DG780" s="15"/>
      <c r="DH780" s="15"/>
      <c r="DI780" s="15"/>
    </row>
    <row r="781" spans="1:113" s="17" customFormat="1" ht="12" outlineLevel="1">
      <c r="A781" s="1"/>
      <c r="B781" s="17" t="s">
        <v>724</v>
      </c>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c r="AA781" s="150"/>
      <c r="AB781" s="10"/>
      <c r="AC781" s="10"/>
      <c r="AD781" s="10"/>
      <c r="AE781" s="10"/>
      <c r="AF781" s="10"/>
      <c r="AG781" s="10"/>
      <c r="AH781" s="10"/>
      <c r="AI781" s="10"/>
      <c r="AJ781" s="10"/>
      <c r="AK781" s="10"/>
      <c r="AL781" s="10"/>
      <c r="AM781" s="10"/>
      <c r="AN781" s="10"/>
      <c r="AO781" s="10"/>
      <c r="AP781" s="10"/>
      <c r="AQ781" s="10"/>
      <c r="AR781" s="10"/>
      <c r="AS781" s="10"/>
      <c r="AT781" s="10"/>
      <c r="AU781" s="10"/>
      <c r="AV781" s="10"/>
      <c r="AW781" s="10"/>
      <c r="AX781" s="10"/>
      <c r="AY781" s="201"/>
      <c r="AZ781" s="10"/>
      <c r="BA781" s="10"/>
      <c r="BB781" s="10"/>
      <c r="BC781" s="10"/>
      <c r="BD781" s="10"/>
      <c r="BE781" s="10"/>
      <c r="BF781" s="10"/>
      <c r="BG781" s="10"/>
      <c r="BH781" s="10"/>
      <c r="BI781" s="10"/>
      <c r="BJ781" s="10"/>
      <c r="BK781" s="10"/>
      <c r="BL781" s="10"/>
      <c r="BM781" s="10"/>
      <c r="BN781" s="10"/>
      <c r="BO781" s="10"/>
      <c r="BP781" s="10"/>
      <c r="BQ781" s="10"/>
      <c r="BR781" s="10"/>
      <c r="BS781" s="10"/>
      <c r="BT781" s="10"/>
      <c r="BU781" s="10"/>
      <c r="BV781" s="10"/>
      <c r="BW781" s="10"/>
      <c r="BX781" s="10"/>
      <c r="BY781" s="10"/>
      <c r="BZ781" s="10"/>
      <c r="CA781" s="10"/>
      <c r="CB781" s="10"/>
      <c r="CC781" s="10"/>
      <c r="CD781" s="10"/>
      <c r="CE781" s="10"/>
      <c r="CF781" s="10"/>
      <c r="CG781" s="10"/>
      <c r="CH781" s="10"/>
      <c r="CI781" s="10"/>
      <c r="CJ781" s="10"/>
      <c r="CK781" s="10"/>
      <c r="CL781" s="10"/>
      <c r="CM781" s="10"/>
      <c r="CN781" s="10"/>
      <c r="CO781" s="10"/>
      <c r="CP781" s="10"/>
      <c r="CQ781" s="150"/>
      <c r="CR781" s="10"/>
      <c r="CS781" s="10"/>
      <c r="CT781" s="10"/>
      <c r="CU781" s="10"/>
      <c r="CV781" s="10"/>
      <c r="CW781" s="10"/>
      <c r="CX781" s="10"/>
      <c r="CY781" s="10"/>
      <c r="CZ781" s="201"/>
      <c r="DA781" s="10"/>
    </row>
    <row r="782" spans="1:113" ht="12" outlineLevel="1">
      <c r="A782" s="1" t="s">
        <v>1001</v>
      </c>
      <c r="B782" s="15" t="s">
        <v>725</v>
      </c>
      <c r="C782" s="207">
        <f t="shared" ref="C782:L782" si="9368">C525/C701*C$5</f>
        <v>0.22252799303667936</v>
      </c>
      <c r="D782" s="207">
        <f t="shared" si="9368"/>
        <v>0.22909962800078668</v>
      </c>
      <c r="E782" s="207">
        <f t="shared" si="9368"/>
        <v>0.25910730534932019</v>
      </c>
      <c r="F782" s="207">
        <f t="shared" si="9368"/>
        <v>0.21298112721232607</v>
      </c>
      <c r="G782" s="207">
        <f t="shared" si="9368"/>
        <v>0.21729437418401476</v>
      </c>
      <c r="H782" s="207">
        <f t="shared" si="9368"/>
        <v>0.20015771739909671</v>
      </c>
      <c r="I782" s="207">
        <f t="shared" si="9368"/>
        <v>0.17719227047107677</v>
      </c>
      <c r="J782" s="207">
        <f t="shared" si="9368"/>
        <v>0.18719874878707946</v>
      </c>
      <c r="K782" s="207">
        <f t="shared" si="9368"/>
        <v>0.18790657677785499</v>
      </c>
      <c r="L782" s="207">
        <f t="shared" si="9368"/>
        <v>0.21076167413030891</v>
      </c>
      <c r="M782" s="30">
        <f t="shared" ref="M782:AF782" si="9369">M525/M701*M$5</f>
        <v>0.20580194433505067</v>
      </c>
      <c r="N782" s="30">
        <f t="shared" si="9369"/>
        <v>0.21503516887112067</v>
      </c>
      <c r="O782" s="30">
        <f t="shared" si="9369"/>
        <v>0.20678764699611682</v>
      </c>
      <c r="P782" s="30">
        <f t="shared" si="9369"/>
        <v>0.17939637643080725</v>
      </c>
      <c r="Q782" s="30">
        <f t="shared" si="9369"/>
        <v>0.11635739568808327</v>
      </c>
      <c r="R782" s="30">
        <f t="shared" si="9369"/>
        <v>0.10570546474801794</v>
      </c>
      <c r="S782" s="30">
        <f t="shared" si="9369"/>
        <v>0.10367929426824697</v>
      </c>
      <c r="T782" s="32">
        <f t="shared" si="9369"/>
        <v>0.12248994758711583</v>
      </c>
      <c r="U782" s="30">
        <f t="shared" si="9369"/>
        <v>0.15513990872841837</v>
      </c>
      <c r="V782" s="30">
        <f t="shared" si="9369"/>
        <v>0.15827926239871315</v>
      </c>
      <c r="W782" s="30">
        <f t="shared" si="9369"/>
        <v>0.14865588572287358</v>
      </c>
      <c r="X782" s="30">
        <f t="shared" si="9369"/>
        <v>0.1560899963905191</v>
      </c>
      <c r="Y782" s="32">
        <f t="shared" si="9369"/>
        <v>0.13749185177756607</v>
      </c>
      <c r="Z782" s="32">
        <f t="shared" si="9369"/>
        <v>0.14427063861261819</v>
      </c>
      <c r="AA782" s="32">
        <f t="shared" si="9369"/>
        <v>0.1526620930292894</v>
      </c>
      <c r="AB782" s="32">
        <f t="shared" si="9369"/>
        <v>0.15035612546857255</v>
      </c>
      <c r="AC782" s="32">
        <f t="shared" ref="AC782:AD782" si="9370">AC525/AC701*AC$5</f>
        <v>0.16605432861196182</v>
      </c>
      <c r="AD782" s="32">
        <f t="shared" si="9370"/>
        <v>0.13947875932363443</v>
      </c>
      <c r="AE782" s="32">
        <f t="shared" ref="AE782" si="9371">AE525/AE701*AE$5</f>
        <v>0.1504263374240577</v>
      </c>
      <c r="AF782" s="32">
        <f t="shared" si="9369"/>
        <v>9.5464728084167949E-2</v>
      </c>
      <c r="AG782" s="32">
        <f t="shared" ref="AG782:AH782" si="9372">AG525/AG701*AG$5</f>
        <v>0.10478054629776579</v>
      </c>
      <c r="AH782" s="32">
        <f t="shared" si="9372"/>
        <v>0.10120296961991654</v>
      </c>
      <c r="AI782" s="32">
        <f t="shared" ref="AI782:AJ782" si="9373">AI525/AI701*AI$5</f>
        <v>0.11893808408780594</v>
      </c>
      <c r="AJ782" s="32">
        <f t="shared" si="9373"/>
        <v>0.11072403538509738</v>
      </c>
      <c r="AK782" s="32">
        <f t="shared" ref="AK782:AL782" si="9374">AK525/AK701*AK$5</f>
        <v>0.10148134453915152</v>
      </c>
      <c r="AL782" s="32">
        <f t="shared" si="9374"/>
        <v>0.10280516439843074</v>
      </c>
      <c r="AM782" s="32">
        <f t="shared" ref="AM782:AN782" si="9375">AM525/AM701*AM$5</f>
        <v>8.3822383285881208E-2</v>
      </c>
      <c r="AN782" s="32">
        <f t="shared" si="9375"/>
        <v>5.1148778388399659E-2</v>
      </c>
      <c r="AO782" s="32">
        <f t="shared" ref="AO782" si="9376">AO525/AO701*AO$5</f>
        <v>6.6474201172785491E-2</v>
      </c>
      <c r="AP782" s="32">
        <f t="shared" ref="AP782:AQ782" si="9377">AP525/AP701*AP$5</f>
        <v>9.5367033393176967E-2</v>
      </c>
      <c r="AQ782" s="32">
        <f t="shared" si="9377"/>
        <v>0.10223501144203588</v>
      </c>
      <c r="AR782" s="32">
        <f t="shared" ref="AR782:AS782" si="9378">AR525/AR701*AR$5</f>
        <v>0.11320874411353192</v>
      </c>
      <c r="AS782" s="32">
        <f t="shared" si="9378"/>
        <v>0.1138628721560412</v>
      </c>
      <c r="AT782" s="32">
        <f t="shared" ref="AT782:AU782" si="9379">AT525/AT701*AT$5</f>
        <v>0.10624997901735382</v>
      </c>
      <c r="AU782" s="32">
        <f t="shared" si="9379"/>
        <v>0.10389226782669406</v>
      </c>
      <c r="AV782" s="32">
        <f t="shared" ref="AV782:AW782" si="9380">AV525/AV701*AV$5</f>
        <v>9.7013012899000536E-2</v>
      </c>
      <c r="AW782" s="32">
        <f t="shared" si="9380"/>
        <v>9.0750183139555962E-2</v>
      </c>
      <c r="AX782" s="32">
        <f t="shared" ref="AX782" si="9381">AX525/AX701*AX$5</f>
        <v>0.1036345976292201</v>
      </c>
      <c r="AY782" s="31">
        <f t="shared" ref="AY782" si="9382">AY525/AY701*AY$5</f>
        <v>6.179302796450957E-2</v>
      </c>
      <c r="AZ782" s="30">
        <f t="shared" ref="AZ782:BA782" si="9383">AZ525/AZ701*AZ$5</f>
        <v>0.10398513704832402</v>
      </c>
      <c r="BA782" s="30">
        <f t="shared" si="9383"/>
        <v>9.9412472350984993E-2</v>
      </c>
      <c r="BB782" s="30">
        <f t="shared" ref="BB782:BC782" si="9384">BB525/BB701*BB$5</f>
        <v>0.1025578552386321</v>
      </c>
      <c r="BC782" s="30">
        <f t="shared" si="9384"/>
        <v>9.2807189857102568E-2</v>
      </c>
      <c r="BD782" s="30">
        <f t="shared" ref="BD782:BE782" si="9385">BD525/BD701*BD$5</f>
        <v>0.10438403888958042</v>
      </c>
      <c r="BE782" s="30">
        <f t="shared" si="9385"/>
        <v>9.6843238500358655E-2</v>
      </c>
      <c r="BF782" s="30">
        <f t="shared" ref="BF782:BG782" si="9386">BF525/BF701*BF$5</f>
        <v>0.10798938358516735</v>
      </c>
      <c r="BG782" s="30">
        <f t="shared" si="9386"/>
        <v>0.10132537114892735</v>
      </c>
      <c r="BH782" s="30">
        <f t="shared" ref="BH782:BI782" si="9387">BH525/BH701*BH$5</f>
        <v>0.10995481775445165</v>
      </c>
      <c r="BI782" s="30">
        <f t="shared" si="9387"/>
        <v>0.10100607221442673</v>
      </c>
      <c r="BJ782" s="30">
        <f t="shared" ref="BJ782:BK782" si="9388">BJ525/BJ701*BJ$5</f>
        <v>0.11067003075867422</v>
      </c>
      <c r="BK782" s="30">
        <f t="shared" si="9388"/>
        <v>0.10605607236275126</v>
      </c>
      <c r="BL782" s="30">
        <f t="shared" ref="BL782:BM782" si="9389">BL525/BL701*BL$5</f>
        <v>0.1098436642612847</v>
      </c>
      <c r="BM782" s="30">
        <f t="shared" si="9389"/>
        <v>0.1038579185559572</v>
      </c>
      <c r="BN782" s="30">
        <f t="shared" ref="BN782:BO782" si="9390">BN525/BN701*BN$5</f>
        <v>0.10728726543046262</v>
      </c>
      <c r="BO782" s="30">
        <f t="shared" si="9390"/>
        <v>0.10197839884587145</v>
      </c>
      <c r="BP782" s="30">
        <f t="shared" ref="BP782:BQ782" si="9391">BP525/BP701*BP$5</f>
        <v>0.10601242066565508</v>
      </c>
      <c r="BQ782" s="30">
        <f t="shared" si="9391"/>
        <v>0.1017789038454341</v>
      </c>
      <c r="BR782" s="30"/>
      <c r="BS782" s="207">
        <f t="shared" ref="BS782:CB782" si="9392">BS525/BS701*BS$5</f>
        <v>-0.11321492076518755</v>
      </c>
      <c r="BT782" s="207">
        <f t="shared" si="9392"/>
        <v>5.0187464341022184E-2</v>
      </c>
      <c r="BU782" s="207">
        <f t="shared" si="9392"/>
        <v>0.15427927927927929</v>
      </c>
      <c r="BV782" s="207">
        <f t="shared" si="9392"/>
        <v>0.17737312426235036</v>
      </c>
      <c r="BW782" s="207">
        <f t="shared" si="9392"/>
        <v>0.18140442132639792</v>
      </c>
      <c r="BX782" s="207">
        <f t="shared" si="9392"/>
        <v>0.14706304753698118</v>
      </c>
      <c r="BY782" s="207">
        <f t="shared" si="9392"/>
        <v>0.14514435695538058</v>
      </c>
      <c r="BZ782" s="207">
        <f t="shared" si="9392"/>
        <v>0.17967706689328639</v>
      </c>
      <c r="CA782" s="207">
        <f t="shared" si="9392"/>
        <v>0.20672109809490002</v>
      </c>
      <c r="CB782" s="207">
        <f t="shared" si="9392"/>
        <v>0.21578582967920609</v>
      </c>
      <c r="CC782" s="30">
        <f t="shared" ref="CC782:CR782" si="9393">CC525/CC701*CC$5</f>
        <v>0.24466112746537877</v>
      </c>
      <c r="CD782" s="30">
        <f t="shared" si="9393"/>
        <v>0.21519486356662726</v>
      </c>
      <c r="CE782" s="30">
        <f t="shared" si="9393"/>
        <v>0.18788273180824622</v>
      </c>
      <c r="CF782" s="30">
        <f t="shared" si="9393"/>
        <v>0.18757552793072652</v>
      </c>
      <c r="CG782" s="30">
        <f t="shared" si="9393"/>
        <v>0.20819102994721836</v>
      </c>
      <c r="CH782" s="30">
        <f t="shared" si="9393"/>
        <v>0.21087680355160932</v>
      </c>
      <c r="CI782" s="30">
        <f t="shared" si="9393"/>
        <v>0.14684541191045045</v>
      </c>
      <c r="CJ782" s="30">
        <f t="shared" si="9393"/>
        <v>0.10462326027835546</v>
      </c>
      <c r="CK782" s="30">
        <f t="shared" si="9393"/>
        <v>0.13926145944524373</v>
      </c>
      <c r="CL782" s="30">
        <f t="shared" si="9393"/>
        <v>0.15326273611906124</v>
      </c>
      <c r="CM782" s="32">
        <f t="shared" si="9393"/>
        <v>0.14648915110817839</v>
      </c>
      <c r="CN782" s="32">
        <f t="shared" si="9393"/>
        <v>0.14856262225120029</v>
      </c>
      <c r="CO782" s="32">
        <f t="shared" si="9393"/>
        <v>0.15835611068157812</v>
      </c>
      <c r="CP782" s="32">
        <f t="shared" si="9393"/>
        <v>0.14560399521972736</v>
      </c>
      <c r="CQ782" s="32">
        <f t="shared" si="9393"/>
        <v>0.10009906458484925</v>
      </c>
      <c r="CR782" s="32">
        <f t="shared" si="9393"/>
        <v>0.11016052896313938</v>
      </c>
      <c r="CS782" s="32">
        <f t="shared" ref="CS782:CX782" si="9394">CS525/CS701*CS$5</f>
        <v>0.10539663718854471</v>
      </c>
      <c r="CT782" s="32">
        <f t="shared" si="9394"/>
        <v>9.3202758663879823E-2</v>
      </c>
      <c r="CU782" s="32">
        <f t="shared" si="9394"/>
        <v>5.8856921899809955E-2</v>
      </c>
      <c r="CV782" s="32">
        <f t="shared" si="9394"/>
        <v>9.8836323391423606E-2</v>
      </c>
      <c r="CW782" s="32">
        <f t="shared" si="9394"/>
        <v>0.11375929817272429</v>
      </c>
      <c r="CX782" s="32">
        <f t="shared" si="9394"/>
        <v>0.10504686160305118</v>
      </c>
      <c r="CY782" s="32">
        <f t="shared" ref="CY782:DD782" si="9395">CY525/CY701*CY$5</f>
        <v>9.3829642126422336E-2</v>
      </c>
      <c r="CZ782" s="31">
        <f t="shared" si="9395"/>
        <v>8.2342087975063954E-2</v>
      </c>
      <c r="DA782" s="30">
        <f t="shared" si="9395"/>
        <v>0.10166620055431071</v>
      </c>
      <c r="DB782" s="30">
        <f t="shared" si="9395"/>
        <v>9.7658961224029839E-2</v>
      </c>
      <c r="DC782" s="30">
        <f t="shared" si="9395"/>
        <v>0.10061619300922889</v>
      </c>
      <c r="DD782" s="30">
        <f t="shared" si="9395"/>
        <v>0.10464890680029765</v>
      </c>
      <c r="DE782" s="30">
        <f>DE525/DE701*DE$5</f>
        <v>0.1054428717518985</v>
      </c>
      <c r="DF782" s="30">
        <f>DF525/DF701*DF$5</f>
        <v>0.10834287873832274</v>
      </c>
      <c r="DG782" s="30">
        <f>DG525/DG701*DG$5</f>
        <v>0.10682708649841265</v>
      </c>
      <c r="DH782" s="30">
        <f>DH525/DH701*DH$5</f>
        <v>0.10461050240028642</v>
      </c>
      <c r="DI782" s="30">
        <f>DI525/DI701*DI$5</f>
        <v>0.1038791591551823</v>
      </c>
    </row>
    <row r="783" spans="1:113" ht="12" outlineLevel="1">
      <c r="A783" s="1" t="s">
        <v>1002</v>
      </c>
      <c r="B783" s="15" t="s">
        <v>595</v>
      </c>
      <c r="C783" s="207">
        <f t="shared" ref="C783:L783" si="9396">C515/C701*C$5</f>
        <v>0.20883396269596063</v>
      </c>
      <c r="D783" s="207">
        <f t="shared" si="9396"/>
        <v>0.21949926263694416</v>
      </c>
      <c r="E783" s="207">
        <f t="shared" si="9396"/>
        <v>0.21286724378147764</v>
      </c>
      <c r="F783" s="207">
        <f t="shared" si="9396"/>
        <v>0.20290138937756216</v>
      </c>
      <c r="G783" s="207">
        <f t="shared" si="9396"/>
        <v>0.20865300719078134</v>
      </c>
      <c r="H783" s="207">
        <f t="shared" si="9396"/>
        <v>0.17893755824790308</v>
      </c>
      <c r="I783" s="207">
        <f t="shared" si="9396"/>
        <v>0.17294664876845761</v>
      </c>
      <c r="J783" s="207">
        <f t="shared" si="9396"/>
        <v>0.18804144411923995</v>
      </c>
      <c r="K783" s="207">
        <f t="shared" si="9396"/>
        <v>0.1822229827888952</v>
      </c>
      <c r="L783" s="207">
        <f t="shared" si="9396"/>
        <v>0.20005484143014965</v>
      </c>
      <c r="M783" s="30">
        <f t="shared" ref="M783:AF783" si="9397">M515/M701*M$5</f>
        <v>0.20185475733661606</v>
      </c>
      <c r="N783" s="30">
        <f t="shared" si="9397"/>
        <v>0.19631421934523335</v>
      </c>
      <c r="O783" s="30">
        <f t="shared" si="9397"/>
        <v>0.19584123642365633</v>
      </c>
      <c r="P783" s="30">
        <f t="shared" si="9397"/>
        <v>0.17354748794809119</v>
      </c>
      <c r="Q783" s="30">
        <f t="shared" si="9397"/>
        <v>0.11429797275555083</v>
      </c>
      <c r="R783" s="30">
        <f t="shared" si="9397"/>
        <v>6.9376204809920031E-2</v>
      </c>
      <c r="S783" s="30">
        <f t="shared" si="9397"/>
        <v>0.16441932642801946</v>
      </c>
      <c r="T783" s="32">
        <f t="shared" si="9397"/>
        <v>0.15080580560076079</v>
      </c>
      <c r="U783" s="30">
        <f t="shared" si="9397"/>
        <v>0.16573952982166434</v>
      </c>
      <c r="V783" s="30">
        <f t="shared" si="9397"/>
        <v>0.161428211688177</v>
      </c>
      <c r="W783" s="30">
        <f t="shared" si="9397"/>
        <v>0.15125225384958302</v>
      </c>
      <c r="X783" s="30">
        <f t="shared" si="9397"/>
        <v>0.15448578265577584</v>
      </c>
      <c r="Y783" s="32">
        <f t="shared" si="9397"/>
        <v>0.15795015795015796</v>
      </c>
      <c r="Z783" s="32">
        <f>Z515/Z701*Z$5</f>
        <v>0.15601074165259629</v>
      </c>
      <c r="AA783" s="32">
        <f>AA515/AA701*AA$5</f>
        <v>0.15179078640040491</v>
      </c>
      <c r="AB783" s="32">
        <f t="shared" si="9397"/>
        <v>0.15567532802052678</v>
      </c>
      <c r="AC783" s="32">
        <f t="shared" ref="AC783:AD783" si="9398">AC515/AC701*AC$5</f>
        <v>0.15406793727106227</v>
      </c>
      <c r="AD783" s="32">
        <f t="shared" si="9398"/>
        <v>0.14620206517808232</v>
      </c>
      <c r="AE783" s="32">
        <f t="shared" ref="AE783" si="9399">AE515/AE701*AE$5</f>
        <v>0.13356138311541618</v>
      </c>
      <c r="AF783" s="32">
        <f t="shared" si="9397"/>
        <v>9.6998858119121706E-2</v>
      </c>
      <c r="AG783" s="32">
        <f t="shared" ref="AG783:AH783" si="9400">AG515/AG701*AG$5</f>
        <v>0.10957696309227812</v>
      </c>
      <c r="AH783" s="32">
        <f t="shared" si="9400"/>
        <v>0.11663894300062522</v>
      </c>
      <c r="AI783" s="32">
        <f t="shared" ref="AI783:AJ783" si="9401">AI515/AI701*AI$5</f>
        <v>0.11754281614857846</v>
      </c>
      <c r="AJ783" s="32">
        <f t="shared" si="9401"/>
        <v>0.11638852109543942</v>
      </c>
      <c r="AK783" s="32">
        <f t="shared" ref="AK783:AL783" si="9402">AK515/AK701*AK$5</f>
        <v>9.8743953704978751E-2</v>
      </c>
      <c r="AL783" s="32">
        <f t="shared" si="9402"/>
        <v>0.11547356001134798</v>
      </c>
      <c r="AM783" s="32">
        <f t="shared" ref="AM783:AN783" si="9403">AM515/AM701*AM$5</f>
        <v>8.7621527276536257E-2</v>
      </c>
      <c r="AN783" s="32">
        <f t="shared" si="9403"/>
        <v>4.6778785671720849E-2</v>
      </c>
      <c r="AO783" s="32">
        <f t="shared" ref="AO783" si="9404">AO515/AO701*AO$5</f>
        <v>7.6713583538475377E-2</v>
      </c>
      <c r="AP783" s="32">
        <f t="shared" ref="AP783:AQ783" si="9405">AP515/AP701*AP$5</f>
        <v>9.6890054313829133E-2</v>
      </c>
      <c r="AQ783" s="32">
        <f t="shared" si="9405"/>
        <v>0.10188565290650857</v>
      </c>
      <c r="AR783" s="32">
        <f t="shared" ref="AR783:AS783" si="9406">AR515/AR701*AR$5</f>
        <v>9.9835359893888045E-2</v>
      </c>
      <c r="AS783" s="32">
        <f t="shared" si="9406"/>
        <v>0.10793020091246927</v>
      </c>
      <c r="AT783" s="32">
        <f t="shared" ref="AT783:AU783" si="9407">AT515/AT701*AT$5</f>
        <v>0.11443914758296703</v>
      </c>
      <c r="AU783" s="32">
        <f t="shared" si="9407"/>
        <v>0.10485775496786018</v>
      </c>
      <c r="AV783" s="32">
        <f t="shared" ref="AV783:AW783" si="9408">AV515/AV701*AV$5</f>
        <v>0.10114183205672143</v>
      </c>
      <c r="AW783" s="32">
        <f t="shared" si="9408"/>
        <v>9.2055732449428093E-2</v>
      </c>
      <c r="AX783" s="32">
        <f t="shared" ref="AX783" si="9409">AX515/AX701*AX$5</f>
        <v>0.1015288974028164</v>
      </c>
      <c r="AY783" s="31">
        <f t="shared" ref="AY783" si="9410">AY515/AY701*AY$5</f>
        <v>6.096875458125689E-2</v>
      </c>
      <c r="AZ783" s="30">
        <f t="shared" ref="AZ783:BA783" si="9411">AZ515/AZ701*AZ$5</f>
        <v>0.10398513704832402</v>
      </c>
      <c r="BA783" s="30">
        <f t="shared" si="9411"/>
        <v>9.9412472350984993E-2</v>
      </c>
      <c r="BB783" s="30">
        <f t="shared" ref="BB783:BC783" si="9412">BB515/BB701*BB$5</f>
        <v>0.1025578552386321</v>
      </c>
      <c r="BC783" s="30">
        <f t="shared" si="9412"/>
        <v>9.2807189857102568E-2</v>
      </c>
      <c r="BD783" s="30">
        <f t="shared" ref="BD783:BE783" si="9413">BD515/BD701*BD$5</f>
        <v>0.10438403888958042</v>
      </c>
      <c r="BE783" s="30">
        <f t="shared" si="9413"/>
        <v>9.6843238500358655E-2</v>
      </c>
      <c r="BF783" s="30">
        <f t="shared" ref="BF783:BG783" si="9414">BF515/BF701*BF$5</f>
        <v>0.10798938358516735</v>
      </c>
      <c r="BG783" s="30">
        <f t="shared" si="9414"/>
        <v>0.10132537114892735</v>
      </c>
      <c r="BH783" s="30">
        <f t="shared" ref="BH783:BI783" si="9415">BH515/BH701*BH$5</f>
        <v>0.10995481775445165</v>
      </c>
      <c r="BI783" s="30">
        <f t="shared" si="9415"/>
        <v>0.10100607221442673</v>
      </c>
      <c r="BJ783" s="30">
        <f t="shared" ref="BJ783:BK783" si="9416">BJ515/BJ701*BJ$5</f>
        <v>0.11067003075867422</v>
      </c>
      <c r="BK783" s="30">
        <f t="shared" si="9416"/>
        <v>0.10605607236275126</v>
      </c>
      <c r="BL783" s="30">
        <f t="shared" ref="BL783:BM783" si="9417">BL515/BL701*BL$5</f>
        <v>0.1098436642612847</v>
      </c>
      <c r="BM783" s="30">
        <f t="shared" si="9417"/>
        <v>0.1038579185559572</v>
      </c>
      <c r="BN783" s="30">
        <f t="shared" ref="BN783:BO783" si="9418">BN515/BN701*BN$5</f>
        <v>0.10728726543046262</v>
      </c>
      <c r="BO783" s="30">
        <f t="shared" si="9418"/>
        <v>0.10197839884587145</v>
      </c>
      <c r="BP783" s="30">
        <f t="shared" ref="BP783:BQ783" si="9419">BP515/BP701*BP$5</f>
        <v>0.10601242066565508</v>
      </c>
      <c r="BQ783" s="30">
        <f t="shared" si="9419"/>
        <v>0.1017789038454341</v>
      </c>
      <c r="BR783" s="30"/>
      <c r="BS783" s="207">
        <f t="shared" ref="BS783:CB783" si="9420">BS515/BS701*BS$5</f>
        <v>-0.12855384254645649</v>
      </c>
      <c r="BT783" s="207">
        <f t="shared" si="9420"/>
        <v>7.7451300024452011E-2</v>
      </c>
      <c r="BU783" s="207">
        <f t="shared" si="9420"/>
        <v>0.1356981981981982</v>
      </c>
      <c r="BV783" s="207">
        <f t="shared" si="9420"/>
        <v>0.1606811667509695</v>
      </c>
      <c r="BW783" s="207">
        <f t="shared" si="9420"/>
        <v>0.18140442132639792</v>
      </c>
      <c r="BX783" s="207">
        <f t="shared" si="9420"/>
        <v>0.16817463736895016</v>
      </c>
      <c r="BY783" s="207">
        <f t="shared" si="9420"/>
        <v>0.15419947506561679</v>
      </c>
      <c r="BZ783" s="207">
        <f t="shared" si="9420"/>
        <v>0.17093602039577516</v>
      </c>
      <c r="CA783" s="207">
        <f t="shared" si="9420"/>
        <v>0.19086498639214294</v>
      </c>
      <c r="CB783" s="207">
        <f t="shared" si="9420"/>
        <v>0.20401569351488577</v>
      </c>
      <c r="CC783" s="30">
        <f t="shared" ref="CC783:CR783" si="9421">CC515/CC701*CC$5</f>
        <v>0.21610679260615498</v>
      </c>
      <c r="CD783" s="30">
        <f t="shared" si="9421"/>
        <v>0.20584653474047906</v>
      </c>
      <c r="CE783" s="30">
        <f t="shared" si="9421"/>
        <v>0.17573542907677162</v>
      </c>
      <c r="CF783" s="30">
        <f t="shared" si="9421"/>
        <v>0.18509421386046171</v>
      </c>
      <c r="CG783" s="30">
        <f t="shared" si="9421"/>
        <v>0.20096531090349712</v>
      </c>
      <c r="CH783" s="30">
        <f t="shared" si="9421"/>
        <v>0.19609524770457065</v>
      </c>
      <c r="CI783" s="30">
        <f t="shared" si="9421"/>
        <v>0.14295195115476506</v>
      </c>
      <c r="CJ783" s="30">
        <f t="shared" si="9421"/>
        <v>0.11909205638208997</v>
      </c>
      <c r="CK783" s="30">
        <f t="shared" si="9421"/>
        <v>0.15847527111276125</v>
      </c>
      <c r="CL783" s="30">
        <f t="shared" si="9421"/>
        <v>0.15612478534630794</v>
      </c>
      <c r="CM783" s="32">
        <f t="shared" si="9421"/>
        <v>0.15627062065753211</v>
      </c>
      <c r="CN783" s="32">
        <f t="shared" si="9421"/>
        <v>0.15377867346333945</v>
      </c>
      <c r="CO783" s="32">
        <f t="shared" si="9421"/>
        <v>0.15487144863934837</v>
      </c>
      <c r="CP783" s="32">
        <f t="shared" si="9421"/>
        <v>0.1402018985066506</v>
      </c>
      <c r="CQ783" s="32">
        <f t="shared" si="9421"/>
        <v>0.10325510445615296</v>
      </c>
      <c r="CR783" s="32">
        <f t="shared" si="9421"/>
        <v>0.11709070273337747</v>
      </c>
      <c r="CS783" s="32">
        <f t="shared" ref="CS783:CX783" si="9422">CS515/CS701*CS$5</f>
        <v>0.10682937272532649</v>
      </c>
      <c r="CT783" s="32">
        <f t="shared" si="9422"/>
        <v>0.10129713565518267</v>
      </c>
      <c r="CU783" s="32">
        <f t="shared" si="9422"/>
        <v>6.183514467416433E-2</v>
      </c>
      <c r="CV783" s="32">
        <f t="shared" si="9422"/>
        <v>9.9413750791957717E-2</v>
      </c>
      <c r="CW783" s="32">
        <f t="shared" si="9422"/>
        <v>0.1041075751643909</v>
      </c>
      <c r="CX783" s="32">
        <f t="shared" si="9422"/>
        <v>0.10958519350737664</v>
      </c>
      <c r="CY783" s="32">
        <f t="shared" ref="CY783:DD783" si="9423">CY515/CY701*CY$5</f>
        <v>9.6557665386410141E-2</v>
      </c>
      <c r="CZ783" s="31">
        <f t="shared" si="9423"/>
        <v>8.0888416756356316E-2</v>
      </c>
      <c r="DA783" s="30">
        <f t="shared" si="9423"/>
        <v>0.10166620055431072</v>
      </c>
      <c r="DB783" s="30">
        <f t="shared" si="9423"/>
        <v>9.7658961224029867E-2</v>
      </c>
      <c r="DC783" s="30">
        <f t="shared" si="9423"/>
        <v>0.10061619300922893</v>
      </c>
      <c r="DD783" s="30">
        <f t="shared" si="9423"/>
        <v>0.10464890680029766</v>
      </c>
      <c r="DE783" s="30">
        <f>DE515/DE701*DE$5</f>
        <v>0.1054428717518985</v>
      </c>
      <c r="DF783" s="30">
        <f>DF515/DF701*DF$5</f>
        <v>0.10834287873832273</v>
      </c>
      <c r="DG783" s="30">
        <f>DG515/DG701*DG$5</f>
        <v>0.10682708649841263</v>
      </c>
      <c r="DH783" s="30">
        <f>DH515/DH701*DH$5</f>
        <v>0.10461050240028646</v>
      </c>
      <c r="DI783" s="30">
        <f>DI515/DI701*DI$5</f>
        <v>0.10387915915518231</v>
      </c>
    </row>
    <row r="784" spans="1:113" ht="12" outlineLevel="1">
      <c r="A784" s="1" t="s">
        <v>1118</v>
      </c>
      <c r="B784" s="15" t="s">
        <v>1115</v>
      </c>
      <c r="C784" s="207">
        <f t="shared" ref="C784:AF784" si="9424">(C515-(C595*C80*(1-C129))/C$5)/(C701-C595)*C$5</f>
        <v>0.27135424487876275</v>
      </c>
      <c r="D784" s="207">
        <f t="shared" si="9424"/>
        <v>0.28463690790858237</v>
      </c>
      <c r="E784" s="207">
        <f t="shared" si="9424"/>
        <v>0.28083606560901719</v>
      </c>
      <c r="F784" s="207">
        <f t="shared" si="9424"/>
        <v>0.26211117817385743</v>
      </c>
      <c r="G784" s="207">
        <f t="shared" si="9424"/>
        <v>0.24681970584730623</v>
      </c>
      <c r="H784" s="207">
        <f t="shared" si="9424"/>
        <v>0.19295988506629633</v>
      </c>
      <c r="I784" s="207">
        <f t="shared" si="9424"/>
        <v>0.1837959991971809</v>
      </c>
      <c r="J784" s="207">
        <f t="shared" si="9424"/>
        <v>0.19689078365898877</v>
      </c>
      <c r="K784" s="207">
        <f t="shared" si="9424"/>
        <v>0.18984158890985417</v>
      </c>
      <c r="L784" s="207">
        <f t="shared" si="9424"/>
        <v>0.20858255267120701</v>
      </c>
      <c r="M784" s="30">
        <f t="shared" si="9424"/>
        <v>0.21115659276149995</v>
      </c>
      <c r="N784" s="30">
        <f t="shared" si="9424"/>
        <v>0.2047840396626609</v>
      </c>
      <c r="O784" s="30">
        <f t="shared" si="9424"/>
        <v>0.19984336837446295</v>
      </c>
      <c r="P784" s="30">
        <f t="shared" si="9424"/>
        <v>0.17863049532238209</v>
      </c>
      <c r="Q784" s="30">
        <f t="shared" si="9424"/>
        <v>0.12091074545920234</v>
      </c>
      <c r="R784" s="30">
        <f t="shared" si="9424"/>
        <v>6.876028250477205E-2</v>
      </c>
      <c r="S784" s="30">
        <f t="shared" si="9424"/>
        <v>0.2021625671235113</v>
      </c>
      <c r="T784" s="30">
        <f t="shared" si="9424"/>
        <v>0.17349434378300937</v>
      </c>
      <c r="U784" s="30">
        <f t="shared" si="9424"/>
        <v>0.18418446373675432</v>
      </c>
      <c r="V784" s="30">
        <f t="shared" si="9424"/>
        <v>0.15269447057930291</v>
      </c>
      <c r="W784" s="30">
        <f t="shared" si="9424"/>
        <v>0.14464243632150278</v>
      </c>
      <c r="X784" s="30">
        <f t="shared" si="9424"/>
        <v>0.15044598847911661</v>
      </c>
      <c r="Y784" s="32">
        <f t="shared" si="9424"/>
        <v>0.15571806109546094</v>
      </c>
      <c r="Z784" s="32">
        <f t="shared" si="9424"/>
        <v>0.15523468012148126</v>
      </c>
      <c r="AA784" s="32">
        <f t="shared" si="9424"/>
        <v>0.15422021429570781</v>
      </c>
      <c r="AB784" s="32">
        <f t="shared" si="9424"/>
        <v>0.15116111737929333</v>
      </c>
      <c r="AC784" s="32">
        <f t="shared" si="9424"/>
        <v>0.15190191014828544</v>
      </c>
      <c r="AD784" s="32">
        <f t="shared" ref="AD784:AE784" si="9425">(AD515-(AD595*AD80*(1-AD129))/AD$5)/(AD701-AD595)*AD$5</f>
        <v>0.1435267595166177</v>
      </c>
      <c r="AE784" s="32">
        <f t="shared" si="9425"/>
        <v>0.1390458577989393</v>
      </c>
      <c r="AF784" s="32">
        <f t="shared" si="9424"/>
        <v>9.5980536592637181E-2</v>
      </c>
      <c r="AG784" s="32">
        <f t="shared" ref="AG784:AH784" si="9426">(AG515-(AG595*AG80*(1-AG129))/AG$5)/(AG701-AG595)*AG$5</f>
        <v>0.10697264680481369</v>
      </c>
      <c r="AH784" s="32">
        <f t="shared" si="9426"/>
        <v>0.11757340041267428</v>
      </c>
      <c r="AI784" s="32">
        <f t="shared" ref="AI784:AJ784" si="9427">(AI515-(AI595*AI80*(1-AI129))/AI$5)/(AI701-AI595)*AI$5</f>
        <v>0.11802871085815027</v>
      </c>
      <c r="AJ784" s="32">
        <f t="shared" si="9427"/>
        <v>0.12023755438428022</v>
      </c>
      <c r="AK784" s="32">
        <f t="shared" ref="AK784:AL784" si="9428">(AK515-(AK595*AK80*(1-AK129))/AK$5)/(AK701-AK595)*AK$5</f>
        <v>0.10422997134170757</v>
      </c>
      <c r="AL784" s="32">
        <f t="shared" si="9428"/>
        <v>0.1223258662372759</v>
      </c>
      <c r="AM784" s="32">
        <f t="shared" ref="AM784:AN784" si="9429">(AM515-(AM595*AM80*(1-AM129))/AM$5)/(AM701-AM595)*AM$5</f>
        <v>9.2121871698602462E-2</v>
      </c>
      <c r="AN784" s="32">
        <f t="shared" si="9429"/>
        <v>4.7403125830307286E-2</v>
      </c>
      <c r="AO784" s="32">
        <f t="shared" ref="AO784" si="9430">(AO515-(AO595*AO80*(1-AO129))/AO$5)/(AO701-AO595)*AO$5</f>
        <v>8.093891696146148E-2</v>
      </c>
      <c r="AP784" s="32">
        <f t="shared" ref="AP784:AQ784" si="9431">(AP515-(AP595*AP80*(1-AP129))/AP$5)/(AP701-AP595)*AP$5</f>
        <v>0.11109221495184146</v>
      </c>
      <c r="AQ784" s="32">
        <f t="shared" si="9431"/>
        <v>0.11602258021998127</v>
      </c>
      <c r="AR784" s="32">
        <f t="shared" ref="AR784:AS784" si="9432">(AR515-(AR595*AR80*(1-AR129))/AR$5)/(AR701-AR595)*AR$5</f>
        <v>0.10758568060587952</v>
      </c>
      <c r="AS784" s="32">
        <f t="shared" si="9432"/>
        <v>0.1221340429299743</v>
      </c>
      <c r="AT784" s="32">
        <f t="shared" ref="AT784:AU784" si="9433">(AT515-(AT595*AT80*(1-AT129))/AT$5)/(AT701-AT595)*AT$5</f>
        <v>0.12941740021651271</v>
      </c>
      <c r="AU784" s="32">
        <f t="shared" si="9433"/>
        <v>0.1181432611602924</v>
      </c>
      <c r="AV784" s="32">
        <f t="shared" ref="AV784:AW784" si="9434">(AV515-(AV595*AV80*(1-AV129))/AV$5)/(AV701-AV595)*AV$5</f>
        <v>0.1139732129779107</v>
      </c>
      <c r="AW784" s="32">
        <f t="shared" si="9434"/>
        <v>9.7213460812137817E-2</v>
      </c>
      <c r="AX784" s="32">
        <f t="shared" ref="AX784" si="9435">(AX515-(AX595*AX80*(1-AX129))/AX$5)/(AX701-AX595)*AX$5</f>
        <v>0.10541471530771192</v>
      </c>
      <c r="AY784" s="31">
        <f t="shared" ref="AY784" si="9436">(AY515-(AY595*AY80*(1-AY129))/AY$5)/(AY701-AY595)*AY$5</f>
        <v>6.3574830531364951E-2</v>
      </c>
      <c r="AZ784" s="30">
        <f t="shared" ref="AZ784:BA784" si="9437">(AZ515-(AZ595*AZ80*(1-AZ129))/AZ$5)/(AZ701-AZ595)*AZ$5</f>
        <v>0.11053878615090464</v>
      </c>
      <c r="BA784" s="30">
        <f t="shared" si="9437"/>
        <v>0.10658804557100947</v>
      </c>
      <c r="BB784" s="30">
        <f t="shared" ref="BB784:BC784" si="9438">(BB515-(BB595*BB80*(1-BB129))/BB$5)/(BB701-BB595)*BB$5</f>
        <v>0.11059075489363095</v>
      </c>
      <c r="BC784" s="30">
        <f t="shared" si="9438"/>
        <v>9.9160789236814956E-2</v>
      </c>
      <c r="BD784" s="30">
        <f t="shared" ref="BD784:BE784" si="9439">(BD515-(BD595*BD80*(1-BD129))/BD$5)/(BD701-BD595)*BD$5</f>
        <v>0.11137550102649213</v>
      </c>
      <c r="BE784" s="30">
        <f t="shared" si="9439"/>
        <v>0.10224950663878148</v>
      </c>
      <c r="BF784" s="30">
        <f t="shared" ref="BF784:BG784" si="9440">(BF515-(BF595*BF80*(1-BF129))/BF$5)/(BF701-BF595)*BF$5</f>
        <v>0.11376411411197765</v>
      </c>
      <c r="BG784" s="30">
        <f t="shared" si="9440"/>
        <v>0.10587375152103305</v>
      </c>
      <c r="BH784" s="30">
        <f t="shared" ref="BH784:BI784" si="9441">(BH515-(BH595*BH80*(1-BH129))/BH$5)/(BH701-BH595)*BH$5</f>
        <v>0.11539110972211165</v>
      </c>
      <c r="BI784" s="30">
        <f t="shared" si="9441"/>
        <v>0.10579334002450196</v>
      </c>
      <c r="BJ784" s="30">
        <f t="shared" ref="BJ784:BK784" si="9442">(BJ515-(BJ595*BJ80*(1-BJ129))/BJ$5)/(BJ701-BJ595)*BJ$5</f>
        <v>0.11644579208879152</v>
      </c>
      <c r="BK784" s="30">
        <f t="shared" si="9442"/>
        <v>0.11184069952268104</v>
      </c>
      <c r="BL784" s="30">
        <f t="shared" ref="BL784:BM784" si="9443">(BL515-(BL595*BL80*(1-BL129))/BL$5)/(BL701-BL595)*BL$5</f>
        <v>0.11641531589991769</v>
      </c>
      <c r="BM784" s="30">
        <f t="shared" si="9443"/>
        <v>0.11013265757824257</v>
      </c>
      <c r="BN784" s="30">
        <f t="shared" ref="BN784:BO784" si="9444">(BN515-(BN595*BN80*(1-BN129))/BN$5)/(BN701-BN595)*BN$5</f>
        <v>0.11407474757519247</v>
      </c>
      <c r="BO784" s="30">
        <f t="shared" si="9444"/>
        <v>0.10829705887162761</v>
      </c>
      <c r="BP784" s="30">
        <f t="shared" ref="BP784:BQ784" si="9445">(BP515-(BP595*BP80*(1-BP129))/BP$5)/(BP701-BP595)*BP$5</f>
        <v>0.11272640709568667</v>
      </c>
      <c r="BQ784" s="30">
        <f t="shared" si="9445"/>
        <v>0.10799192040337571</v>
      </c>
      <c r="BR784" s="30"/>
      <c r="BS784" s="207">
        <f t="shared" ref="BS784:CY784" si="9446">(BS515-(BS595*BS80*(1-BS129))/BS$5)/(BS701-BS595)*BS$5</f>
        <v>-0.1227548167342478</v>
      </c>
      <c r="BT784" s="207">
        <f t="shared" si="9446"/>
        <v>8.0925926514751015E-2</v>
      </c>
      <c r="BU784" s="207">
        <f t="shared" si="9446"/>
        <v>0.16359578625850318</v>
      </c>
      <c r="BV784" s="207">
        <f t="shared" si="9446"/>
        <v>0.19308769841287338</v>
      </c>
      <c r="BW784" s="207">
        <f t="shared" si="9446"/>
        <v>0.22678394717850006</v>
      </c>
      <c r="BX784" s="207">
        <f t="shared" si="9446"/>
        <v>0.20819130469982869</v>
      </c>
      <c r="BY784" s="207">
        <f t="shared" si="9446"/>
        <v>0.21300967901581197</v>
      </c>
      <c r="BZ784" s="207">
        <f t="shared" si="9446"/>
        <v>0.26945690194878319</v>
      </c>
      <c r="CA784" s="207">
        <f t="shared" si="9446"/>
        <v>0.28089185867644395</v>
      </c>
      <c r="CB784" s="207">
        <f t="shared" si="9446"/>
        <v>0.31375128513843803</v>
      </c>
      <c r="CC784" s="30">
        <f t="shared" si="9446"/>
        <v>0.28925361356578722</v>
      </c>
      <c r="CD784" s="30">
        <f t="shared" si="9446"/>
        <v>0.24487123174009473</v>
      </c>
      <c r="CE784" s="30">
        <f t="shared" si="9446"/>
        <v>0.18818463792965379</v>
      </c>
      <c r="CF784" s="30">
        <f t="shared" si="9446"/>
        <v>0.19371741407622942</v>
      </c>
      <c r="CG784" s="30">
        <f t="shared" si="9446"/>
        <v>0.20441913183430238</v>
      </c>
      <c r="CH784" s="30">
        <f t="shared" si="9446"/>
        <v>0.19538987861945467</v>
      </c>
      <c r="CI784" s="30">
        <f t="shared" si="9446"/>
        <v>0.16034732920278444</v>
      </c>
      <c r="CJ784" s="30">
        <f t="shared" si="9446"/>
        <v>0.15350853516130125</v>
      </c>
      <c r="CK784" s="30">
        <f t="shared" si="9446"/>
        <v>0.18777668986787246</v>
      </c>
      <c r="CL784" s="30">
        <f t="shared" si="9446"/>
        <v>0.15877290057840818</v>
      </c>
      <c r="CM784" s="32">
        <f t="shared" si="9446"/>
        <v>0.16856049693399089</v>
      </c>
      <c r="CN784" s="32">
        <f t="shared" si="9446"/>
        <v>0.17175358892619075</v>
      </c>
      <c r="CO784" s="32">
        <f t="shared" si="9446"/>
        <v>0.16773704752431756</v>
      </c>
      <c r="CP784" s="32">
        <f t="shared" si="9446"/>
        <v>0.15973459561897269</v>
      </c>
      <c r="CQ784" s="32">
        <f t="shared" si="9446"/>
        <v>0.11000220410469976</v>
      </c>
      <c r="CR784" s="32">
        <f t="shared" si="9446"/>
        <v>0.12907097866322711</v>
      </c>
      <c r="CS784" s="32">
        <f t="shared" si="9446"/>
        <v>0.12367579797701896</v>
      </c>
      <c r="CT784" s="32">
        <f t="shared" si="9446"/>
        <v>0.10659666787394843</v>
      </c>
      <c r="CU784" s="32">
        <f t="shared" si="9446"/>
        <v>6.5182236683128378E-2</v>
      </c>
      <c r="CV784" s="32">
        <f t="shared" si="9446"/>
        <v>0.11332422974390928</v>
      </c>
      <c r="CW784" s="32">
        <f t="shared" si="9446"/>
        <v>0.11875492777086274</v>
      </c>
      <c r="CX784" s="32">
        <f t="shared" si="9446"/>
        <v>0.12431033961738984</v>
      </c>
      <c r="CY784" s="32">
        <f t="shared" si="9446"/>
        <v>0.10203540616348257</v>
      </c>
      <c r="CZ784" s="31">
        <f t="shared" ref="CZ784" si="9447">(CZ515-(CZ595*CZ80*(1-CZ129))/CZ$5)/(CZ701-CZ595)*CZ$5</f>
        <v>8.6632812952616031E-2</v>
      </c>
      <c r="DA784" s="30">
        <f t="shared" ref="DA784:DF784" si="9448">(DA515-(DA595*DA80*(1-DA129))/DA$5)/(DA701-DA595)*DA$5</f>
        <v>0.11235917845151487</v>
      </c>
      <c r="DB784" s="30">
        <f t="shared" si="9448"/>
        <v>0.10711952244213972</v>
      </c>
      <c r="DC784" s="30">
        <f t="shared" si="9448"/>
        <v>0.10840446689692164</v>
      </c>
      <c r="DD784" s="30">
        <f t="shared" si="9448"/>
        <v>0.11105572195379529</v>
      </c>
      <c r="DE784" s="30">
        <f t="shared" si="9448"/>
        <v>0.11231577571963294</v>
      </c>
      <c r="DF784" s="30">
        <f t="shared" si="9448"/>
        <v>0.11634463959940468</v>
      </c>
      <c r="DG784" s="30">
        <f t="shared" ref="DG784:DH784" si="9449">(DG515-(DG595*DG80*(1-DG129))/DG$5)/(DG701-DG595)*DG$5</f>
        <v>0.11562914123901286</v>
      </c>
      <c r="DH784" s="30">
        <f t="shared" si="9449"/>
        <v>0.1135017937112625</v>
      </c>
      <c r="DI784" s="30">
        <f t="shared" ref="DI784" si="9450">(DI515-(DI595*DI80*(1-DI129))/DI$5)/(DI701-DI595)*DI$5</f>
        <v>0.11258078561474916</v>
      </c>
    </row>
    <row r="785" spans="1:113" ht="12" outlineLevel="1">
      <c r="A785" s="1" t="s">
        <v>1003</v>
      </c>
      <c r="B785" s="15" t="s">
        <v>596</v>
      </c>
      <c r="C785" s="207">
        <f t="shared" ref="C785:L785" si="9451">C515/C702*C$5</f>
        <v>0.21215996279934898</v>
      </c>
      <c r="D785" s="207">
        <f t="shared" si="9451"/>
        <v>0.22344971453399851</v>
      </c>
      <c r="E785" s="207">
        <f t="shared" si="9451"/>
        <v>0.21694401431031365</v>
      </c>
      <c r="F785" s="207">
        <f t="shared" si="9451"/>
        <v>0.20627076003903372</v>
      </c>
      <c r="G785" s="207">
        <f t="shared" si="9451"/>
        <v>0.21181716833890746</v>
      </c>
      <c r="H785" s="207">
        <f t="shared" si="9451"/>
        <v>0.20345614607107923</v>
      </c>
      <c r="I785" s="207">
        <f t="shared" si="9451"/>
        <v>0.21672795555903304</v>
      </c>
      <c r="J785" s="207">
        <f t="shared" si="9451"/>
        <v>0.23340901703169797</v>
      </c>
      <c r="K785" s="207">
        <f t="shared" si="9451"/>
        <v>0.22289196902450187</v>
      </c>
      <c r="L785" s="207">
        <f t="shared" si="9451"/>
        <v>0.24179870629107864</v>
      </c>
      <c r="M785" s="30">
        <f t="shared" ref="M785:AF785" si="9452">M515/M702*M$5</f>
        <v>0.24031020227162186</v>
      </c>
      <c r="N785" s="30">
        <f t="shared" si="9452"/>
        <v>0.23115072260692243</v>
      </c>
      <c r="O785" s="30">
        <f t="shared" si="9452"/>
        <v>0.2315642676915429</v>
      </c>
      <c r="P785" s="30">
        <f t="shared" si="9452"/>
        <v>0.20338983050847464</v>
      </c>
      <c r="Q785" s="30">
        <f t="shared" si="9452"/>
        <v>0.13223468678645889</v>
      </c>
      <c r="R785" s="30">
        <f t="shared" si="9452"/>
        <v>7.8433520053402719E-2</v>
      </c>
      <c r="S785" s="30">
        <f t="shared" si="9452"/>
        <v>0.18362185746615764</v>
      </c>
      <c r="T785" s="32">
        <f t="shared" si="9452"/>
        <v>0.17380732371681853</v>
      </c>
      <c r="U785" s="30">
        <f t="shared" si="9452"/>
        <v>0.19770068248933437</v>
      </c>
      <c r="V785" s="30">
        <f t="shared" si="9452"/>
        <v>0.19181977967819239</v>
      </c>
      <c r="W785" s="30">
        <f t="shared" si="9452"/>
        <v>0.17749084280311103</v>
      </c>
      <c r="X785" s="30">
        <f t="shared" si="9452"/>
        <v>0.18032582235815492</v>
      </c>
      <c r="Y785" s="32">
        <f t="shared" si="9452"/>
        <v>0.18227848101265823</v>
      </c>
      <c r="Z785" s="32">
        <f>Z515/Z702*Z$5</f>
        <v>0.17929740177766187</v>
      </c>
      <c r="AA785" s="32">
        <f t="shared" si="9452"/>
        <v>0.17331948671092937</v>
      </c>
      <c r="AB785" s="32">
        <f t="shared" si="9452"/>
        <v>0.17756956266977697</v>
      </c>
      <c r="AC785" s="32">
        <f t="shared" ref="AC785:AD785" si="9453">AC515/AC702*AC$5</f>
        <v>0.17480417224725031</v>
      </c>
      <c r="AD785" s="32">
        <f t="shared" si="9453"/>
        <v>0.16431149944693585</v>
      </c>
      <c r="AE785" s="32">
        <f t="shared" ref="AE785" si="9454">AE515/AE702*AE$5</f>
        <v>0.1492502401882348</v>
      </c>
      <c r="AF785" s="32">
        <f t="shared" si="9452"/>
        <v>0.10703293321021853</v>
      </c>
      <c r="AG785" s="32">
        <f t="shared" ref="AG785:AH785" si="9455">AG515/AG702*AG$5</f>
        <v>0.12111643862316299</v>
      </c>
      <c r="AH785" s="32">
        <f t="shared" si="9455"/>
        <v>0.12844690197075515</v>
      </c>
      <c r="AI785" s="32">
        <f t="shared" ref="AI785:AJ785" si="9456">AI515/AI702*AI$5</f>
        <v>0.12880602198880253</v>
      </c>
      <c r="AJ785" s="32">
        <f t="shared" si="9456"/>
        <v>0.12542981240104761</v>
      </c>
      <c r="AK785" s="32">
        <f t="shared" ref="AK785:AL785" si="9457">AK515/AK702*AK$5</f>
        <v>0.10487599831862127</v>
      </c>
      <c r="AL785" s="32">
        <f t="shared" si="9457"/>
        <v>0.12256009906861259</v>
      </c>
      <c r="AM785" s="32">
        <f t="shared" ref="AM785:AN785" si="9458">AM515/AM702*AM$5</f>
        <v>9.2654904702654181E-2</v>
      </c>
      <c r="AN785" s="32">
        <f t="shared" si="9458"/>
        <v>4.975702514261568E-2</v>
      </c>
      <c r="AO785" s="32">
        <f t="shared" ref="AO785" si="9459">AO515/AO702*AO$5</f>
        <v>8.1396055154938862E-2</v>
      </c>
      <c r="AP785" s="32">
        <f t="shared" ref="AP785:AQ785" si="9460">AP515/AP702*AP$5</f>
        <v>0.10217556671230793</v>
      </c>
      <c r="AQ785" s="32">
        <f t="shared" si="9460"/>
        <v>0.10720039448045958</v>
      </c>
      <c r="AR785" s="32">
        <f t="shared" ref="AR785:AS785" si="9461">AR515/AR702*AR$5</f>
        <v>0.10513816765921852</v>
      </c>
      <c r="AS785" s="32">
        <f t="shared" si="9461"/>
        <v>0.11345700826113723</v>
      </c>
      <c r="AT785" s="32">
        <f t="shared" ref="AT785:AU785" si="9462">AT515/AT702*AT$5</f>
        <v>0.11992688637595011</v>
      </c>
      <c r="AU785" s="32">
        <f t="shared" si="9462"/>
        <v>0.10993671932310795</v>
      </c>
      <c r="AV785" s="32">
        <f t="shared" ref="AV785:AW785" si="9463">AV515/AV702*AV$5</f>
        <v>0.10583713238580496</v>
      </c>
      <c r="AW785" s="32">
        <f t="shared" si="9463"/>
        <v>9.7414209948652616E-2</v>
      </c>
      <c r="AX785" s="32">
        <f t="shared" ref="AX785" si="9464">AX515/AX702*AX$5</f>
        <v>0.10874613449042408</v>
      </c>
      <c r="AY785" s="31">
        <f t="shared" ref="AY785" si="9465">AY515/AY702*AY$5</f>
        <v>6.5300534354425413E-2</v>
      </c>
      <c r="AZ785" s="30">
        <f t="shared" ref="AZ785:BA785" si="9466">AZ515/AZ702*AZ$5</f>
        <v>0.11117467879235898</v>
      </c>
      <c r="BA785" s="30">
        <f t="shared" si="9466"/>
        <v>0.10606579420523823</v>
      </c>
      <c r="BB785" s="30">
        <f t="shared" ref="BB785:BC785" si="9467">BB515/BB702*BB$5</f>
        <v>0.10928276855249269</v>
      </c>
      <c r="BC785" s="30">
        <f t="shared" si="9467"/>
        <v>9.8862322233123079E-2</v>
      </c>
      <c r="BD785" s="30">
        <f t="shared" ref="BD785:BE785" si="9468">BD515/BD702*BD$5</f>
        <v>0.11120550466337827</v>
      </c>
      <c r="BE785" s="30">
        <f t="shared" si="9468"/>
        <v>0.10318105750571718</v>
      </c>
      <c r="BF785" s="30">
        <f t="shared" ref="BF785:BG785" si="9469">BF515/BF702*BF$5</f>
        <v>0.11506612751064052</v>
      </c>
      <c r="BG785" s="30">
        <f t="shared" si="9469"/>
        <v>0.1079687873278482</v>
      </c>
      <c r="BH785" s="30">
        <f t="shared" ref="BH785:BI785" si="9470">BH515/BH702*BH$5</f>
        <v>0.11711413185512116</v>
      </c>
      <c r="BI785" s="30">
        <f t="shared" si="9470"/>
        <v>0.10749236625483276</v>
      </c>
      <c r="BJ785" s="30">
        <f t="shared" ref="BJ785:BK785" si="9471">BJ515/BJ702*BJ$5</f>
        <v>0.11767387825092632</v>
      </c>
      <c r="BK785" s="30">
        <f t="shared" si="9471"/>
        <v>0.11265355928433998</v>
      </c>
      <c r="BL785" s="30">
        <f t="shared" ref="BL785:BM785" si="9472">BL515/BL702*BL$5</f>
        <v>0.11655746503374638</v>
      </c>
      <c r="BM785" s="30">
        <f t="shared" si="9472"/>
        <v>0.11010009876432543</v>
      </c>
      <c r="BN785" s="30">
        <f t="shared" ref="BN785:BO785" si="9473">BN515/BN702*BN$5</f>
        <v>0.11363375153766575</v>
      </c>
      <c r="BO785" s="30">
        <f t="shared" si="9473"/>
        <v>0.10791913194097905</v>
      </c>
      <c r="BP785" s="30">
        <f t="shared" ref="BP785:BQ785" si="9474">BP515/BP702*BP$5</f>
        <v>0.11209718402451101</v>
      </c>
      <c r="BQ785" s="30">
        <f t="shared" si="9474"/>
        <v>0.10753588056953525</v>
      </c>
      <c r="BR785" s="30"/>
      <c r="BS785" s="207">
        <f t="shared" ref="BS785:CF785" si="9475">BS515/BS702*BS$5</f>
        <v>-0.13736870606920801</v>
      </c>
      <c r="BT785" s="207">
        <f t="shared" si="9475"/>
        <v>7.9846895627397954E-2</v>
      </c>
      <c r="BU785" s="207">
        <f t="shared" si="9475"/>
        <v>0.13490825839550635</v>
      </c>
      <c r="BV785" s="207">
        <f t="shared" si="9475"/>
        <v>0.15972041571157161</v>
      </c>
      <c r="BW785" s="207">
        <f t="shared" si="9475"/>
        <v>0.18037863036394047</v>
      </c>
      <c r="BX785" s="207">
        <f t="shared" si="9475"/>
        <v>0.16741034395746149</v>
      </c>
      <c r="BY785" s="207">
        <f t="shared" si="9475"/>
        <v>0.15345380815647072</v>
      </c>
      <c r="BZ785" s="207">
        <f t="shared" si="9475"/>
        <v>0.17168040758343966</v>
      </c>
      <c r="CA785" s="207">
        <f t="shared" si="9475"/>
        <v>0.19377703027390678</v>
      </c>
      <c r="CB785" s="207">
        <f t="shared" si="9475"/>
        <v>0.24819260195128798</v>
      </c>
      <c r="CC785" s="30">
        <f t="shared" si="9475"/>
        <v>0.25861596937158371</v>
      </c>
      <c r="CD785" s="30">
        <f t="shared" si="9475"/>
        <v>0.20910449740848061</v>
      </c>
      <c r="CE785" s="30">
        <f t="shared" si="9475"/>
        <v>0.19844365308160458</v>
      </c>
      <c r="CF785" s="30">
        <f t="shared" si="9475"/>
        <v>0.22772180321090035</v>
      </c>
      <c r="CG785" s="30">
        <f>CG515/CG702*CG$5</f>
        <v>0.24200401074062741</v>
      </c>
      <c r="CH785" s="30">
        <f>CH515/CH702*CH$5</f>
        <v>0.2321359252291797</v>
      </c>
      <c r="CI785" s="30">
        <f>CI515/CI702*CI$5</f>
        <v>0.16623363259846163</v>
      </c>
      <c r="CJ785" s="30">
        <f>CJ515/CJ702*CJ$5</f>
        <v>0.13374321303098052</v>
      </c>
      <c r="CK785" s="30">
        <f t="shared" ref="CK785:CQ785" si="9476">CK515/CK702*CK$5</f>
        <v>0.18233922500489488</v>
      </c>
      <c r="CL785" s="30">
        <f t="shared" si="9476"/>
        <v>0.18468049090139654</v>
      </c>
      <c r="CM785" s="32">
        <f t="shared" si="9476"/>
        <v>0.18141400183246467</v>
      </c>
      <c r="CN785" s="32">
        <f t="shared" si="9476"/>
        <v>0.1764537849418486</v>
      </c>
      <c r="CO785" s="32">
        <f t="shared" si="9476"/>
        <v>0.1758103196776028</v>
      </c>
      <c r="CP785" s="32">
        <f t="shared" si="9476"/>
        <v>0.15669964272915829</v>
      </c>
      <c r="CQ785" s="32">
        <f t="shared" si="9476"/>
        <v>0.11415224175696369</v>
      </c>
      <c r="CR785" s="32">
        <f t="shared" ref="CR785:CX785" si="9477">CR515/CR702*CR$5</f>
        <v>0.12881317454762153</v>
      </c>
      <c r="CS785" s="32">
        <f t="shared" si="9477"/>
        <v>0.11499428308057755</v>
      </c>
      <c r="CT785" s="32">
        <f t="shared" si="9477"/>
        <v>0.10723727282521318</v>
      </c>
      <c r="CU785" s="32">
        <f t="shared" si="9477"/>
        <v>6.5431056246680996E-2</v>
      </c>
      <c r="CV785" s="32">
        <f t="shared" si="9477"/>
        <v>0.10472867365646359</v>
      </c>
      <c r="CW785" s="32">
        <f t="shared" si="9477"/>
        <v>0.1093148317491212</v>
      </c>
      <c r="CX785" s="32">
        <f t="shared" si="9477"/>
        <v>0.11491776086316213</v>
      </c>
      <c r="CY785" s="32">
        <f t="shared" ref="CY785:DD785" si="9478">CY515/CY702*CY$5</f>
        <v>0.10321303323536409</v>
      </c>
      <c r="CZ785" s="31">
        <f t="shared" si="9478"/>
        <v>8.6662872888462916E-2</v>
      </c>
      <c r="DA785" s="30">
        <f t="shared" si="9478"/>
        <v>0.10858136113115002</v>
      </c>
      <c r="DB785" s="30">
        <f t="shared" si="9478"/>
        <v>0.1040466479451302</v>
      </c>
      <c r="DC785" s="30">
        <f t="shared" si="9478"/>
        <v>0.10719617698361178</v>
      </c>
      <c r="DD785" s="30">
        <f t="shared" si="9478"/>
        <v>0.11150848192787245</v>
      </c>
      <c r="DE785" s="30">
        <f>DE515/DE702*DE$5</f>
        <v>0.11226104791135762</v>
      </c>
      <c r="DF785" s="30">
        <f>DF515/DF702*DF$5</f>
        <v>0.11514069443724032</v>
      </c>
      <c r="DG785" s="30">
        <f>DG515/DG702*DG$5</f>
        <v>0.11330165935898698</v>
      </c>
      <c r="DH785" s="30">
        <f>DH515/DH702*DH$5</f>
        <v>0.11075137610913487</v>
      </c>
      <c r="DI785" s="30">
        <f>DI515/DI702*DI$5</f>
        <v>0.10979800925152779</v>
      </c>
    </row>
    <row r="786" spans="1:113" ht="12" outlineLevel="1">
      <c r="A786" s="1" t="s">
        <v>1117</v>
      </c>
      <c r="B786" s="15" t="s">
        <v>1116</v>
      </c>
      <c r="C786" s="207">
        <f t="shared" ref="C786:AF786" si="9479">(C515-(C595*C80*(1-C129))/C$5)/(C702-C595)*C$5</f>
        <v>0.27724441774686609</v>
      </c>
      <c r="D786" s="207">
        <f t="shared" si="9479"/>
        <v>0.29156949046155001</v>
      </c>
      <c r="E786" s="207">
        <f t="shared" si="9479"/>
        <v>0.28832394215909091</v>
      </c>
      <c r="F786" s="207">
        <f t="shared" si="9479"/>
        <v>0.2680301930252097</v>
      </c>
      <c r="G786" s="207">
        <f t="shared" si="9479"/>
        <v>0.25139776644754264</v>
      </c>
      <c r="H786" s="207">
        <f t="shared" si="9479"/>
        <v>0.22244538544094411</v>
      </c>
      <c r="I786" s="207">
        <f t="shared" si="9479"/>
        <v>0.2351351762296485</v>
      </c>
      <c r="J786" s="207">
        <f t="shared" si="9479"/>
        <v>0.2479742885297285</v>
      </c>
      <c r="K786" s="207">
        <f t="shared" si="9479"/>
        <v>0.23503116493263509</v>
      </c>
      <c r="L786" s="207">
        <f t="shared" si="9479"/>
        <v>0.25493890563280092</v>
      </c>
      <c r="M786" s="30">
        <f t="shared" si="9479"/>
        <v>0.25421340099693968</v>
      </c>
      <c r="N786" s="30">
        <f t="shared" si="9479"/>
        <v>0.24354159104125142</v>
      </c>
      <c r="O786" s="30">
        <f t="shared" si="9479"/>
        <v>0.23746174514613691</v>
      </c>
      <c r="P786" s="30">
        <f t="shared" si="9479"/>
        <v>0.21086727202307948</v>
      </c>
      <c r="Q786" s="30">
        <f t="shared" si="9479"/>
        <v>0.14259220573980766</v>
      </c>
      <c r="R786" s="30">
        <f t="shared" si="9479"/>
        <v>7.758527722489969E-2</v>
      </c>
      <c r="S786" s="30">
        <f t="shared" si="9479"/>
        <v>0.23307860920619181</v>
      </c>
      <c r="T786" s="32">
        <f t="shared" si="9479"/>
        <v>0.20582595130357034</v>
      </c>
      <c r="U786" s="30">
        <f t="shared" si="9479"/>
        <v>0.22582515547872511</v>
      </c>
      <c r="V786" s="30">
        <f t="shared" si="9479"/>
        <v>0.17910766860185362</v>
      </c>
      <c r="W786" s="30">
        <f t="shared" si="9479"/>
        <v>0.16807153266637637</v>
      </c>
      <c r="X786" s="30">
        <f t="shared" si="9479"/>
        <v>0.17464239449275412</v>
      </c>
      <c r="Y786" s="32">
        <f t="shared" si="9479"/>
        <v>0.17923295116613036</v>
      </c>
      <c r="Z786" s="32">
        <f t="shared" si="9479"/>
        <v>0.17825129098747192</v>
      </c>
      <c r="AA786" s="32">
        <f t="shared" si="9479"/>
        <v>0.1765565219234134</v>
      </c>
      <c r="AB786" s="32">
        <f t="shared" si="9479"/>
        <v>0.1716235636038006</v>
      </c>
      <c r="AC786" s="32">
        <f t="shared" si="9479"/>
        <v>0.17197434387862059</v>
      </c>
      <c r="AD786" s="32">
        <f t="shared" ref="AD786:AE786" si="9480">(AD515-(AD595*AD80*(1-AD129))/AD$5)/(AD702-AD595)*AD$5</f>
        <v>0.16088619536328067</v>
      </c>
      <c r="AE786" s="32">
        <f t="shared" si="9480"/>
        <v>0.15623334675840694</v>
      </c>
      <c r="AF786" s="32">
        <f t="shared" si="9479"/>
        <v>0.10577149628242304</v>
      </c>
      <c r="AG786" s="32">
        <f t="shared" ref="AG786:AH786" si="9481">(AG515-(AG595*AG80*(1-AG129))/AG$5)/(AG702-AG595)*AG$5</f>
        <v>0.11789899471522121</v>
      </c>
      <c r="AH786" s="32">
        <f t="shared" si="9481"/>
        <v>0.12959367691910212</v>
      </c>
      <c r="AI786" s="32">
        <f t="shared" ref="AI786:AJ786" si="9482">(AI515-(AI595*AI80*(1-AI129))/AI$5)/(AI702-AI595)*AI$5</f>
        <v>0.12939567495109636</v>
      </c>
      <c r="AJ786" s="32">
        <f t="shared" si="9482"/>
        <v>0.12995188433415178</v>
      </c>
      <c r="AK786" s="32">
        <f t="shared" ref="AK786:AL786" si="9483">(AK515-(AK595*AK80*(1-AK129))/AK$5)/(AK702-AK595)*AK$5</f>
        <v>0.11114953063630888</v>
      </c>
      <c r="AL786" s="32">
        <f t="shared" si="9483"/>
        <v>0.13037350890600496</v>
      </c>
      <c r="AM786" s="32">
        <f t="shared" ref="AM786:AN786" si="9484">(AM515-(AM595*AM80*(1-AM129))/AM$5)/(AM702-AM595)*AM$5</f>
        <v>9.7734439586142335E-2</v>
      </c>
      <c r="AN786" s="32">
        <f t="shared" si="9484"/>
        <v>5.046925537038869E-2</v>
      </c>
      <c r="AO786" s="32">
        <f t="shared" ref="AO786" si="9485">(AO515-(AO595*AO80*(1-AO129))/AO$5)/(AO702-AO595)*AO$5</f>
        <v>8.6171983360443252E-2</v>
      </c>
      <c r="AP786" s="32">
        <f t="shared" ref="AP786:AQ786" si="9486">(AP515-(AP595*AP80*(1-AP129))/AP$5)/(AP702-AP595)*AP$5</f>
        <v>0.11809909484801578</v>
      </c>
      <c r="AQ786" s="32">
        <f t="shared" si="9486"/>
        <v>0.12296715786147505</v>
      </c>
      <c r="AR786" s="32">
        <f t="shared" ref="AR786:AS786" si="9487">(AR515-(AR595*AR80*(1-AR129))/AR$5)/(AR702-AR595)*AR$5</f>
        <v>0.11377215317732164</v>
      </c>
      <c r="AS786" s="32">
        <f t="shared" si="9487"/>
        <v>0.1293716575084948</v>
      </c>
      <c r="AT786" s="32">
        <f t="shared" ref="AT786:AU786" si="9488">(AT515-(AT595*AT80*(1-AT129))/AT$5)/(AT702-AT595)*AT$5</f>
        <v>0.13670114891767307</v>
      </c>
      <c r="AU786" s="32">
        <f t="shared" si="9488"/>
        <v>0.12492151791176419</v>
      </c>
      <c r="AV786" s="32">
        <f t="shared" ref="AV786:AW786" si="9489">(AV515-(AV595*AV80*(1-AV129))/AV$5)/(AV702-AV595)*AV$5</f>
        <v>0.12027945785636589</v>
      </c>
      <c r="AW786" s="32">
        <f t="shared" si="9489"/>
        <v>0.10337794914581719</v>
      </c>
      <c r="AX786" s="32">
        <f t="shared" ref="AX786" si="9490">(AX515-(AX595*AX80*(1-AX129))/AX$5)/(AX702-AX595)*AX$5</f>
        <v>0.11334686361999494</v>
      </c>
      <c r="AY786" s="31">
        <f t="shared" ref="AY786" si="9491">(AY515-(AY595*AY80*(1-AY129))/AY$5)/(AY702-AY595)*AY$5</f>
        <v>6.8431711383522428E-2</v>
      </c>
      <c r="AZ786" s="30">
        <f t="shared" ref="AZ786:BA786" si="9492">(AZ515-(AZ595*AZ80*(1-AZ129))/AZ$5)/(AZ702-AZ595)*AZ$5</f>
        <v>0.11888122448026858</v>
      </c>
      <c r="BA786" s="30">
        <f t="shared" si="9492"/>
        <v>0.11451430311613214</v>
      </c>
      <c r="BB786" s="30">
        <f t="shared" ref="BB786:BC786" si="9493">(BB515-(BB595*BB80*(1-BB129))/BB$5)/(BB702-BB595)*BB$5</f>
        <v>0.11870038914055291</v>
      </c>
      <c r="BC786" s="30">
        <f t="shared" si="9493"/>
        <v>0.10630059001845039</v>
      </c>
      <c r="BD786" s="30">
        <f t="shared" ref="BD786:BE786" si="9494">(BD515-(BD595*BD80*(1-BD129))/BD$5)/(BD702-BD595)*BD$5</f>
        <v>0.11935903978685679</v>
      </c>
      <c r="BE786" s="30">
        <f t="shared" si="9494"/>
        <v>0.10949621979609038</v>
      </c>
      <c r="BF786" s="30">
        <f t="shared" ref="BF786:BG786" si="9495">(BF515-(BF595*BF80*(1-BF129))/BF$5)/(BF702-BF595)*BF$5</f>
        <v>0.12178871195198922</v>
      </c>
      <c r="BG786" s="30">
        <f t="shared" si="9495"/>
        <v>0.11327016855375077</v>
      </c>
      <c r="BH786" s="30">
        <f t="shared" ref="BH786:BI786" si="9496">(BH515-(BH595*BH80*(1-BH129))/BH$5)/(BH702-BH595)*BH$5</f>
        <v>0.12343138897384033</v>
      </c>
      <c r="BI786" s="30">
        <f t="shared" si="9496"/>
        <v>0.11305702343653097</v>
      </c>
      <c r="BJ786" s="30">
        <f t="shared" ref="BJ786:BK786" si="9497">(BJ515-(BJ595*BJ80*(1-BJ129))/BJ$5)/(BJ702-BJ595)*BJ$5</f>
        <v>0.12435877325265229</v>
      </c>
      <c r="BK786" s="30">
        <f t="shared" si="9497"/>
        <v>0.11934160356556743</v>
      </c>
      <c r="BL786" s="30">
        <f t="shared" ref="BL786:BM786" si="9498">(BL515-(BL595*BL80*(1-BL129))/BL$5)/(BL702-BL595)*BL$5</f>
        <v>0.12413301678080824</v>
      </c>
      <c r="BM786" s="30">
        <f t="shared" si="9498"/>
        <v>0.11732806363012627</v>
      </c>
      <c r="BN786" s="30">
        <f t="shared" ref="BN786:BO786" si="9499">(BN515-(BN595*BN80*(1-BN129))/BN$5)/(BN702-BN595)*BN$5</f>
        <v>0.12143038719454818</v>
      </c>
      <c r="BO786" s="30">
        <f t="shared" si="9499"/>
        <v>0.11517168298498225</v>
      </c>
      <c r="BP786" s="30">
        <f t="shared" ref="BP786:BQ786" si="9500">(BP515-(BP595*BP80*(1-BP129))/BP$5)/(BP702-BP595)*BP$5</f>
        <v>0.1197811068384098</v>
      </c>
      <c r="BQ786" s="30">
        <f t="shared" si="9500"/>
        <v>0.11463945373180177</v>
      </c>
      <c r="BR786" s="30"/>
      <c r="BS786" s="207">
        <f t="shared" ref="BS786:CY786" si="9501">(BS515-(BS595*BS80*(1-BS129))/BS$5)/(BS702-BS595)*BS$5</f>
        <v>-0.13089150015380718</v>
      </c>
      <c r="BT786" s="207">
        <f t="shared" si="9501"/>
        <v>8.3639817219368112E-2</v>
      </c>
      <c r="BU786" s="207">
        <f t="shared" si="9501"/>
        <v>0.16238278077475365</v>
      </c>
      <c r="BV786" s="207">
        <f t="shared" si="9501"/>
        <v>0.19159583763164553</v>
      </c>
      <c r="BW786" s="207">
        <f t="shared" si="9501"/>
        <v>0.22505530428893009</v>
      </c>
      <c r="BX786" s="207">
        <f t="shared" si="9501"/>
        <v>0.20694965728069603</v>
      </c>
      <c r="BY786" s="207">
        <f t="shared" si="9501"/>
        <v>0.2114790289256567</v>
      </c>
      <c r="BZ786" s="207">
        <f t="shared" si="9501"/>
        <v>0.27147267581654994</v>
      </c>
      <c r="CA786" s="207">
        <f t="shared" si="9501"/>
        <v>0.28779404621067284</v>
      </c>
      <c r="CB786" s="207">
        <f t="shared" si="9501"/>
        <v>0.44480135549575145</v>
      </c>
      <c r="CC786" s="30">
        <f t="shared" si="9501"/>
        <v>0.37562808818425469</v>
      </c>
      <c r="CD786" s="30">
        <f t="shared" si="9501"/>
        <v>0.24964690968231779</v>
      </c>
      <c r="CE786" s="30">
        <f t="shared" si="9501"/>
        <v>0.21502465986888417</v>
      </c>
      <c r="CF786" s="30">
        <f t="shared" si="9501"/>
        <v>0.24164695607554676</v>
      </c>
      <c r="CG786" s="30">
        <f t="shared" si="9501"/>
        <v>0.24724569305382055</v>
      </c>
      <c r="CH786" s="30">
        <f t="shared" si="9501"/>
        <v>0.23110139815119213</v>
      </c>
      <c r="CI786" s="30">
        <f t="shared" si="9501"/>
        <v>0.19270402395585476</v>
      </c>
      <c r="CJ786" s="30">
        <f t="shared" si="9501"/>
        <v>0.18071062278030764</v>
      </c>
      <c r="CK786" s="30">
        <f t="shared" si="9501"/>
        <v>0.22386281085730486</v>
      </c>
      <c r="CL786" s="30">
        <f t="shared" si="9501"/>
        <v>0.18853145131680019</v>
      </c>
      <c r="CM786" s="32">
        <f t="shared" si="9501"/>
        <v>0.19877894055182055</v>
      </c>
      <c r="CN786" s="32">
        <f t="shared" si="9501"/>
        <v>0.2011106699393144</v>
      </c>
      <c r="CO786" s="32">
        <f t="shared" si="9501"/>
        <v>0.19288795775999282</v>
      </c>
      <c r="CP786" s="32">
        <f t="shared" si="9501"/>
        <v>0.1819282112527254</v>
      </c>
      <c r="CQ786" s="32">
        <f t="shared" si="9501"/>
        <v>0.12260406038436633</v>
      </c>
      <c r="CR786" s="32">
        <f t="shared" si="9501"/>
        <v>0.14363758205030694</v>
      </c>
      <c r="CS786" s="32">
        <f t="shared" si="9501"/>
        <v>0.1349863290894717</v>
      </c>
      <c r="CT786" s="32">
        <f t="shared" si="9501"/>
        <v>0.11324118803651936</v>
      </c>
      <c r="CU786" s="32">
        <f t="shared" si="9501"/>
        <v>6.9198126032012974E-2</v>
      </c>
      <c r="CV786" s="32">
        <f t="shared" si="9501"/>
        <v>0.12028495995149055</v>
      </c>
      <c r="CW786" s="32">
        <f t="shared" si="9501"/>
        <v>0.12563263208063147</v>
      </c>
      <c r="CX786" s="32">
        <f t="shared" si="9501"/>
        <v>0.13148609443692738</v>
      </c>
      <c r="CY786" s="32">
        <f t="shared" si="9501"/>
        <v>0.10969682338010238</v>
      </c>
      <c r="CZ786" s="31">
        <f t="shared" ref="CZ786" si="9502">(CZ515-(CZ595*CZ80*(1-CZ129))/CZ$5)/(CZ702-CZ595)*CZ$5</f>
        <v>9.3290304047077513E-2</v>
      </c>
      <c r="DA786" s="30">
        <f t="shared" ref="DA786:DF786" si="9503">(DA515-(DA595*DA80*(1-DA129))/DA$5)/(DA702-DA595)*DA$5</f>
        <v>0.12086633242764962</v>
      </c>
      <c r="DB786" s="30">
        <f t="shared" si="9503"/>
        <v>0.1148537552760984</v>
      </c>
      <c r="DC786" s="30">
        <f t="shared" si="9503"/>
        <v>0.11608139464225797</v>
      </c>
      <c r="DD786" s="30">
        <f t="shared" si="9503"/>
        <v>0.11881204766641096</v>
      </c>
      <c r="DE786" s="30">
        <f t="shared" si="9503"/>
        <v>0.1200844982277071</v>
      </c>
      <c r="DF786" s="30">
        <f t="shared" si="9503"/>
        <v>0.12422014785391271</v>
      </c>
      <c r="DG786" s="30">
        <f t="shared" ref="DG786:DH786" si="9504">(DG515-(DG595*DG80*(1-DG129))/DG$5)/(DG702-DG595)*DG$5</f>
        <v>0.12325268985883271</v>
      </c>
      <c r="DH786" s="30">
        <f t="shared" si="9504"/>
        <v>0.12076715663238549</v>
      </c>
      <c r="DI786" s="30">
        <f t="shared" ref="DI786" si="9505">(DI515-(DI595*DI80*(1-DI129))/DI$5)/(DI702-DI595)*DI$5</f>
        <v>0.11956611419524175</v>
      </c>
    </row>
    <row r="787" spans="1:113" ht="12" outlineLevel="1">
      <c r="A787" s="1" t="s">
        <v>890</v>
      </c>
      <c r="B787" s="15" t="s">
        <v>597</v>
      </c>
      <c r="C787" s="345">
        <f t="shared" ref="C787:L787" si="9506">C515/C703*C$5</f>
        <v>1.3117322772391089E-2</v>
      </c>
      <c r="D787" s="345">
        <f t="shared" si="9506"/>
        <v>1.4697137266314856E-2</v>
      </c>
      <c r="E787" s="345">
        <f t="shared" si="9506"/>
        <v>1.5059460835570779E-2</v>
      </c>
      <c r="F787" s="345">
        <f t="shared" si="9506"/>
        <v>1.5034656198408429E-2</v>
      </c>
      <c r="G787" s="345">
        <f t="shared" si="9506"/>
        <v>1.5371810515559664E-2</v>
      </c>
      <c r="H787" s="345">
        <f t="shared" si="9506"/>
        <v>1.4755217677885795E-2</v>
      </c>
      <c r="I787" s="345">
        <f t="shared" si="9506"/>
        <v>1.4471515407984418E-2</v>
      </c>
      <c r="J787" s="345">
        <f t="shared" si="9506"/>
        <v>1.5424298194837949E-2</v>
      </c>
      <c r="K787" s="345">
        <f t="shared" si="9506"/>
        <v>1.4604694512179982E-2</v>
      </c>
      <c r="L787" s="345">
        <f t="shared" si="9506"/>
        <v>1.5314286846806066E-2</v>
      </c>
      <c r="M787" s="35">
        <f t="shared" ref="M787:AF787" si="9507">M515/M703*M$5</f>
        <v>1.5596339942533777E-2</v>
      </c>
      <c r="N787" s="35">
        <f t="shared" si="9507"/>
        <v>1.5685806335566675E-2</v>
      </c>
      <c r="O787" s="35">
        <f t="shared" si="9507"/>
        <v>1.4939004731235954E-2</v>
      </c>
      <c r="P787" s="35">
        <f t="shared" si="9507"/>
        <v>1.4001740079335825E-2</v>
      </c>
      <c r="Q787" s="35">
        <f t="shared" si="9507"/>
        <v>9.8136005304648964E-3</v>
      </c>
      <c r="R787" s="35">
        <f t="shared" si="9507"/>
        <v>6.7052175026779386E-3</v>
      </c>
      <c r="S787" s="35">
        <f t="shared" si="9507"/>
        <v>1.8113394876017319E-2</v>
      </c>
      <c r="T787" s="37">
        <f t="shared" si="9507"/>
        <v>1.8973003524826768E-2</v>
      </c>
      <c r="U787" s="35">
        <f t="shared" si="9507"/>
        <v>2.1390996345048176E-2</v>
      </c>
      <c r="V787" s="35">
        <f t="shared" si="9507"/>
        <v>2.0621212506210559E-2</v>
      </c>
      <c r="W787" s="35">
        <f t="shared" si="9507"/>
        <v>2.006996784772554E-2</v>
      </c>
      <c r="X787" s="35">
        <f t="shared" si="9507"/>
        <v>2.0460339943342776E-2</v>
      </c>
      <c r="Y787" s="37">
        <f t="shared" si="9507"/>
        <v>2.1540118470651588E-2</v>
      </c>
      <c r="Z787" s="37">
        <f t="shared" si="9507"/>
        <v>2.0457492599017989E-2</v>
      </c>
      <c r="AA787" s="37">
        <f t="shared" si="9507"/>
        <v>1.9949965983999358E-2</v>
      </c>
      <c r="AB787" s="37">
        <f t="shared" si="9507"/>
        <v>2.0123561126839672E-2</v>
      </c>
      <c r="AC787" s="37">
        <f t="shared" ref="AC787:AD787" si="9508">AC515/AC703*AC$5</f>
        <v>1.9877174109184621E-2</v>
      </c>
      <c r="AD787" s="37">
        <f t="shared" si="9508"/>
        <v>1.9696074537654887E-2</v>
      </c>
      <c r="AE787" s="37">
        <f t="shared" ref="AE787" si="9509">AE515/AE703*AE$5</f>
        <v>1.790227114022545E-2</v>
      </c>
      <c r="AF787" s="37">
        <f t="shared" si="9507"/>
        <v>1.4081227729186912E-2</v>
      </c>
      <c r="AG787" s="37">
        <f t="shared" ref="AG787:AH787" si="9510">AG515/AG703*AG$5</f>
        <v>1.5595099615141854E-2</v>
      </c>
      <c r="AH787" s="37">
        <f t="shared" si="9510"/>
        <v>1.6703699913691694E-2</v>
      </c>
      <c r="AI787" s="37">
        <f t="shared" ref="AI787:AJ787" si="9511">AI515/AI703*AI$5</f>
        <v>1.7481696277398196E-2</v>
      </c>
      <c r="AJ787" s="37">
        <f t="shared" si="9511"/>
        <v>1.7804756211649172E-2</v>
      </c>
      <c r="AK787" s="37">
        <f t="shared" ref="AK787:AL787" si="9512">AK515/AK703*AK$5</f>
        <v>1.5183478564658383E-2</v>
      </c>
      <c r="AL787" s="37">
        <f t="shared" si="9512"/>
        <v>1.8161561501700313E-2</v>
      </c>
      <c r="AM787" s="37">
        <f t="shared" ref="AM787:AN787" si="9513">AM515/AM703*AM$5</f>
        <v>1.4254180053855963E-2</v>
      </c>
      <c r="AN787" s="37">
        <f t="shared" si="9513"/>
        <v>6.5267623817370753E-3</v>
      </c>
      <c r="AO787" s="37">
        <f t="shared" ref="AO787" si="9514">AO515/AO703*AO$5</f>
        <v>1.0678555002527334E-2</v>
      </c>
      <c r="AP787" s="37">
        <f t="shared" ref="AP787:AQ787" si="9515">AP515/AP703*AP$5</f>
        <v>1.431897456015419E-2</v>
      </c>
      <c r="AQ787" s="37">
        <f t="shared" si="9515"/>
        <v>1.5525518762114478E-2</v>
      </c>
      <c r="AR787" s="37">
        <f t="shared" ref="AR787:AS787" si="9516">AR515/AR703*AR$5</f>
        <v>1.4620921867560024E-2</v>
      </c>
      <c r="AS787" s="37">
        <f t="shared" si="9516"/>
        <v>1.5203219787113049E-2</v>
      </c>
      <c r="AT787" s="37">
        <f t="shared" ref="AT787:AU787" si="9517">AT515/AT703*AT$5</f>
        <v>1.7251769115328278E-2</v>
      </c>
      <c r="AU787" s="37">
        <f t="shared" si="9517"/>
        <v>1.64550597878011E-2</v>
      </c>
      <c r="AV787" s="37">
        <f t="shared" ref="AV787:AW787" si="9518">AV515/AV703*AV$5</f>
        <v>1.6404458576663828E-2</v>
      </c>
      <c r="AW787" s="37">
        <f t="shared" si="9518"/>
        <v>1.4433207749718261E-2</v>
      </c>
      <c r="AX787" s="37">
        <f t="shared" ref="AX787" si="9519">AX515/AX703*AX$5</f>
        <v>1.5630740252592389E-2</v>
      </c>
      <c r="AY787" s="36">
        <f t="shared" ref="AY787" si="9520">AY515/AY703*AY$5</f>
        <v>9.5431909941714813E-3</v>
      </c>
      <c r="AZ787" s="35">
        <f t="shared" ref="AZ787:BA787" si="9521">AZ515/AZ703*AZ$5</f>
        <v>1.6456763053175578E-2</v>
      </c>
      <c r="BA787" s="35">
        <f t="shared" si="9521"/>
        <v>1.5893326107328163E-2</v>
      </c>
      <c r="BB787" s="35">
        <f t="shared" ref="BB787:BC787" si="9522">BB515/BB703*BB$5</f>
        <v>1.6558818883620936E-2</v>
      </c>
      <c r="BC787" s="35">
        <f t="shared" si="9522"/>
        <v>1.4916575329140954E-2</v>
      </c>
      <c r="BD787" s="35">
        <f t="shared" ref="BD787:BE787" si="9523">BD515/BD703*BD$5</f>
        <v>1.6594787262701811E-2</v>
      </c>
      <c r="BE787" s="35">
        <f t="shared" si="9523"/>
        <v>1.5226245428506108E-2</v>
      </c>
      <c r="BF787" s="35">
        <f t="shared" ref="BF787:BG787" si="9524">BF515/BF703*BF$5</f>
        <v>1.6793331591807254E-2</v>
      </c>
      <c r="BG787" s="35">
        <f t="shared" si="9524"/>
        <v>1.5607323623910261E-2</v>
      </c>
      <c r="BH787" s="35">
        <f t="shared" ref="BH787:BI787" si="9525">BH515/BH703*BH$5</f>
        <v>1.6848598299436666E-2</v>
      </c>
      <c r="BI787" s="35">
        <f t="shared" si="9525"/>
        <v>1.54584536403742E-2</v>
      </c>
      <c r="BJ787" s="35">
        <f t="shared" ref="BJ787:BK787" si="9526">BJ515/BJ703*BJ$5</f>
        <v>1.6918922995749746E-2</v>
      </c>
      <c r="BK787" s="35">
        <f t="shared" si="9526"/>
        <v>1.6234046199231703E-2</v>
      </c>
      <c r="BL787" s="35">
        <f t="shared" ref="BL787:BM787" si="9527">BL515/BL703*BL$5</f>
        <v>1.6852938993780296E-2</v>
      </c>
      <c r="BM787" s="35">
        <f t="shared" si="9527"/>
        <v>1.5958218716810777E-2</v>
      </c>
      <c r="BN787" s="35">
        <f t="shared" ref="BN787:BO787" si="9528">BN515/BN703*BN$5</f>
        <v>1.6481928430963536E-2</v>
      </c>
      <c r="BO787" s="35">
        <f t="shared" si="9528"/>
        <v>1.5641688062560881E-2</v>
      </c>
      <c r="BP787" s="35">
        <f t="shared" ref="BP787:BQ787" si="9529">BP515/BP703*BP$5</f>
        <v>1.6216607510701152E-2</v>
      </c>
      <c r="BQ787" s="35">
        <f t="shared" si="9529"/>
        <v>1.5513369947262745E-2</v>
      </c>
      <c r="BR787" s="35"/>
      <c r="BS787" s="345">
        <f t="shared" ref="BS787:CB787" si="9530">BS515/BS703*BS$5</f>
        <v>-8.1503358498326312E-3</v>
      </c>
      <c r="BT787" s="345">
        <f t="shared" si="9530"/>
        <v>4.8241979025336872E-3</v>
      </c>
      <c r="BU787" s="345">
        <f t="shared" si="9530"/>
        <v>9.4579656870760753E-3</v>
      </c>
      <c r="BV787" s="345">
        <f t="shared" si="9530"/>
        <v>1.1979660974337379E-2</v>
      </c>
      <c r="BW787" s="345">
        <f t="shared" si="9530"/>
        <v>1.2639232585663079E-2</v>
      </c>
      <c r="BX787" s="345">
        <f t="shared" si="9530"/>
        <v>1.1729705905921949E-2</v>
      </c>
      <c r="BY787" s="345">
        <f t="shared" si="9530"/>
        <v>1.0574011329940651E-2</v>
      </c>
      <c r="BZ787" s="345">
        <f t="shared" si="9530"/>
        <v>1.2027351975159417E-2</v>
      </c>
      <c r="CA787" s="345">
        <f t="shared" si="9530"/>
        <v>1.3022504793621961E-2</v>
      </c>
      <c r="CB787" s="345">
        <f t="shared" si="9530"/>
        <v>1.3153929996986797E-2</v>
      </c>
      <c r="CC787" s="35">
        <f t="shared" ref="CC787:CR787" si="9531">CC515/CC703*CC$5</f>
        <v>1.4879872629570337E-2</v>
      </c>
      <c r="CD787" s="35">
        <f t="shared" si="9531"/>
        <v>1.5208289178961552E-2</v>
      </c>
      <c r="CE787" s="35">
        <f t="shared" si="9531"/>
        <v>1.4604613238446798E-2</v>
      </c>
      <c r="CF787" s="35">
        <f t="shared" si="9531"/>
        <v>1.5004389808600718E-2</v>
      </c>
      <c r="CG787" s="35">
        <f t="shared" si="9531"/>
        <v>1.5460759363632096E-2</v>
      </c>
      <c r="CH787" s="35">
        <f t="shared" si="9531"/>
        <v>1.5301467946748897E-2</v>
      </c>
      <c r="CI787" s="35">
        <f t="shared" si="9531"/>
        <v>1.1906867730951221E-2</v>
      </c>
      <c r="CJ787" s="35">
        <f t="shared" si="9531"/>
        <v>1.230112778530254E-2</v>
      </c>
      <c r="CK787" s="35">
        <f t="shared" si="9531"/>
        <v>2.0201150743678922E-2</v>
      </c>
      <c r="CL787" s="35">
        <f t="shared" si="9531"/>
        <v>2.0342429162559895E-2</v>
      </c>
      <c r="CM787" s="37">
        <f t="shared" si="9531"/>
        <v>2.1009693369456971E-2</v>
      </c>
      <c r="CN787" s="37">
        <f t="shared" si="9531"/>
        <v>2.0198674003581159E-2</v>
      </c>
      <c r="CO787" s="37">
        <f t="shared" si="9531"/>
        <v>1.9999817147787268E-2</v>
      </c>
      <c r="CP787" s="37">
        <f t="shared" si="9531"/>
        <v>1.8775844926746343E-2</v>
      </c>
      <c r="CQ787" s="37">
        <f t="shared" si="9531"/>
        <v>1.4841332695728108E-2</v>
      </c>
      <c r="CR787" s="37">
        <f t="shared" si="9531"/>
        <v>1.708924378216236E-2</v>
      </c>
      <c r="CS787" s="37">
        <f t="shared" ref="CS787:CX787" si="9532">CS515/CS703*CS$5</f>
        <v>1.6490753823969813E-2</v>
      </c>
      <c r="CT787" s="37">
        <f t="shared" si="9532"/>
        <v>1.6172054858352047E-2</v>
      </c>
      <c r="CU787" s="37">
        <f t="shared" si="9532"/>
        <v>8.6174427543713513E-3</v>
      </c>
      <c r="CV787" s="37">
        <f t="shared" si="9532"/>
        <v>1.4918417765248096E-2</v>
      </c>
      <c r="CW787" s="37">
        <f t="shared" si="9532"/>
        <v>1.4921115974168802E-2</v>
      </c>
      <c r="CX787" s="37">
        <f t="shared" si="9532"/>
        <v>1.6856044145667166E-2</v>
      </c>
      <c r="CY787" s="37">
        <f t="shared" ref="CY787:DD787" si="9533">CY515/CY703*CY$5</f>
        <v>1.541134836694134E-2</v>
      </c>
      <c r="CZ787" s="36">
        <f t="shared" si="9533"/>
        <v>1.255931452615739E-2</v>
      </c>
      <c r="DA787" s="35">
        <f t="shared" si="9533"/>
        <v>1.6172309519097972E-2</v>
      </c>
      <c r="DB787" s="35">
        <f t="shared" si="9533"/>
        <v>1.5732050359406828E-2</v>
      </c>
      <c r="DC787" s="35">
        <f t="shared" si="9533"/>
        <v>1.5907187435803476E-2</v>
      </c>
      <c r="DD787" s="35">
        <f t="shared" si="9533"/>
        <v>1.6196416627226106E-2</v>
      </c>
      <c r="DE787" s="35">
        <f>DE515/DE703*DE$5</f>
        <v>1.6147310101079185E-2</v>
      </c>
      <c r="DF787" s="35">
        <f>DF515/DF703*DF$5</f>
        <v>1.6573670905521601E-2</v>
      </c>
      <c r="DG787" s="35">
        <f>DG515/DG703*DG$5</f>
        <v>1.6402367311876172E-2</v>
      </c>
      <c r="DH787" s="35">
        <f>DH515/DH703*DH$5</f>
        <v>1.6057992639872475E-2</v>
      </c>
      <c r="DI787" s="35">
        <f>DI515/DI703*DI$5</f>
        <v>1.586172074285213E-2</v>
      </c>
    </row>
    <row r="788" spans="1:113" ht="12" outlineLevel="1">
      <c r="A788" s="1" t="s">
        <v>891</v>
      </c>
      <c r="B788" s="15" t="s">
        <v>501</v>
      </c>
      <c r="C788" s="345">
        <f t="shared" ref="C788:L788" si="9534">C515/C697*C$5</f>
        <v>1.0372146949167955E-2</v>
      </c>
      <c r="D788" s="345">
        <f t="shared" si="9534"/>
        <v>1.1313957181545028E-2</v>
      </c>
      <c r="E788" s="345">
        <f t="shared" si="9534"/>
        <v>1.1713901398202348E-2</v>
      </c>
      <c r="F788" s="345">
        <f t="shared" si="9534"/>
        <v>1.1635021468873406E-2</v>
      </c>
      <c r="G788" s="345">
        <f t="shared" si="9534"/>
        <v>1.1909791273823876E-2</v>
      </c>
      <c r="H788" s="345">
        <f t="shared" si="9534"/>
        <v>1.0856894301870378E-2</v>
      </c>
      <c r="I788" s="345">
        <f t="shared" si="9534"/>
        <v>1.0817777083496061E-2</v>
      </c>
      <c r="J788" s="345">
        <f t="shared" si="9534"/>
        <v>1.1406805004596897E-2</v>
      </c>
      <c r="K788" s="345">
        <f t="shared" si="9534"/>
        <v>1.0646576763932315E-2</v>
      </c>
      <c r="L788" s="345">
        <f t="shared" si="9534"/>
        <v>1.0928865519537713E-2</v>
      </c>
      <c r="M788" s="35">
        <f t="shared" ref="M788:AF788" si="9535">M515/M697*M$5</f>
        <v>1.1048877914852385E-2</v>
      </c>
      <c r="N788" s="35">
        <f t="shared" si="9535"/>
        <v>1.1022451220930403E-2</v>
      </c>
      <c r="O788" s="35">
        <f t="shared" si="9535"/>
        <v>1.0399765527504911E-2</v>
      </c>
      <c r="P788" s="35">
        <f t="shared" si="9535"/>
        <v>8.9166441676742335E-3</v>
      </c>
      <c r="Q788" s="35">
        <f t="shared" si="9535"/>
        <v>5.9816643127709899E-3</v>
      </c>
      <c r="R788" s="35">
        <f t="shared" si="9535"/>
        <v>3.5512982707431966E-3</v>
      </c>
      <c r="S788" s="35">
        <f t="shared" si="9535"/>
        <v>9.9267152631805061E-3</v>
      </c>
      <c r="T788" s="37">
        <f t="shared" si="9535"/>
        <v>9.3931198689790902E-3</v>
      </c>
      <c r="U788" s="35">
        <f t="shared" si="9535"/>
        <v>1.007846115319015E-2</v>
      </c>
      <c r="V788" s="35">
        <f t="shared" si="9535"/>
        <v>9.881361486718419E-3</v>
      </c>
      <c r="W788" s="35">
        <f t="shared" si="9535"/>
        <v>9.4787476049296073E-3</v>
      </c>
      <c r="X788" s="35">
        <f t="shared" si="9535"/>
        <v>9.4368589534200038E-3</v>
      </c>
      <c r="Y788" s="37">
        <f t="shared" si="9535"/>
        <v>9.809126847580181E-3</v>
      </c>
      <c r="Z788" s="37">
        <f t="shared" si="9535"/>
        <v>9.73179569327157E-3</v>
      </c>
      <c r="AA788" s="37">
        <f t="shared" si="9535"/>
        <v>9.4856019648272474E-3</v>
      </c>
      <c r="AB788" s="37">
        <f t="shared" si="9535"/>
        <v>9.5886785433891598E-3</v>
      </c>
      <c r="AC788" s="37">
        <f t="shared" ref="AC788:AD788" si="9536">AC515/AC697*AC$5</f>
        <v>9.3951339880914992E-3</v>
      </c>
      <c r="AD788" s="37">
        <f t="shared" si="9536"/>
        <v>8.875974805525249E-3</v>
      </c>
      <c r="AE788" s="37">
        <f t="shared" ref="AE788" si="9537">AE515/AE697*AE$5</f>
        <v>8.1007517599198248E-3</v>
      </c>
      <c r="AF788" s="37">
        <f t="shared" si="9535"/>
        <v>6.1770883754390798E-3</v>
      </c>
      <c r="AG788" s="37">
        <f t="shared" ref="AG788:AH788" si="9538">AG515/AG697*AG$5</f>
        <v>6.7907373206421368E-3</v>
      </c>
      <c r="AH788" s="37">
        <f t="shared" si="9538"/>
        <v>7.3302952911055803E-3</v>
      </c>
      <c r="AI788" s="37">
        <f t="shared" ref="AI788:AJ788" si="9539">AI515/AI697*AI$5</f>
        <v>7.4859912515363542E-3</v>
      </c>
      <c r="AJ788" s="37">
        <f t="shared" si="9539"/>
        <v>7.8557148422309705E-3</v>
      </c>
      <c r="AK788" s="37">
        <f t="shared" ref="AK788:AL788" si="9540">AK515/AK697*AK$5</f>
        <v>6.5527503508789418E-3</v>
      </c>
      <c r="AL788" s="37">
        <f t="shared" si="9540"/>
        <v>7.6721503537171181E-3</v>
      </c>
      <c r="AM788" s="37">
        <f t="shared" ref="AM788:AN788" si="9541">AM515/AM697*AM$5</f>
        <v>5.9215505012977232E-3</v>
      </c>
      <c r="AN788" s="37">
        <f t="shared" si="9541"/>
        <v>2.7652393947785315E-3</v>
      </c>
      <c r="AO788" s="37">
        <f t="shared" ref="AO788" si="9542">AO515/AO697*AO$5</f>
        <v>4.3347499061882483E-3</v>
      </c>
      <c r="AP788" s="37">
        <f t="shared" ref="AP788:AQ788" si="9543">AP515/AP697*AP$5</f>
        <v>5.735091903566838E-3</v>
      </c>
      <c r="AQ788" s="37">
        <f t="shared" si="9543"/>
        <v>6.2315698111043826E-3</v>
      </c>
      <c r="AR788" s="37">
        <f t="shared" ref="AR788:AS788" si="9544">AR515/AR697*AR$5</f>
        <v>6.18266268519394E-3</v>
      </c>
      <c r="AS788" s="37">
        <f t="shared" si="9544"/>
        <v>6.3891544754953516E-3</v>
      </c>
      <c r="AT788" s="37">
        <f t="shared" ref="AT788:AU788" si="9545">AT515/AT697*AT$5</f>
        <v>6.9036482991689969E-3</v>
      </c>
      <c r="AU788" s="37">
        <f t="shared" si="9545"/>
        <v>6.409237894207497E-3</v>
      </c>
      <c r="AV788" s="37">
        <f t="shared" ref="AV788:AW788" si="9546">AV515/AV697*AV$5</f>
        <v>6.1083615076922022E-3</v>
      </c>
      <c r="AW788" s="37">
        <f t="shared" si="9546"/>
        <v>5.3701248092827168E-3</v>
      </c>
      <c r="AX788" s="37">
        <f t="shared" ref="AX788" si="9547">AX515/AX697*AX$5</f>
        <v>5.4292660871419545E-3</v>
      </c>
      <c r="AY788" s="36">
        <f t="shared" ref="AY788" si="9548">AY515/AY697*AY$5</f>
        <v>3.280430127255464E-3</v>
      </c>
      <c r="AZ788" s="35">
        <f t="shared" ref="AZ788:BA788" si="9549">AZ515/AZ697*AZ$5</f>
        <v>5.6009170277177261E-3</v>
      </c>
      <c r="BA788" s="35">
        <f t="shared" si="9549"/>
        <v>5.43149413865846E-3</v>
      </c>
      <c r="BB788" s="35">
        <f t="shared" ref="BB788:BC788" si="9550">BB515/BB697*BB$5</f>
        <v>5.6368535548495169E-3</v>
      </c>
      <c r="BC788" s="35">
        <f t="shared" si="9550"/>
        <v>5.0462917675629616E-3</v>
      </c>
      <c r="BD788" s="35">
        <f t="shared" ref="BD788:BE788" si="9551">BD515/BD697*BD$5</f>
        <v>5.5707354403954721E-3</v>
      </c>
      <c r="BE788" s="35">
        <f t="shared" si="9551"/>
        <v>5.0743732588350264E-3</v>
      </c>
      <c r="BF788" s="35">
        <f t="shared" ref="BF788:BG788" si="9552">BF515/BF697*BF$5</f>
        <v>5.5590373675015589E-3</v>
      </c>
      <c r="BG788" s="35">
        <f t="shared" si="9552"/>
        <v>5.1331323711797652E-3</v>
      </c>
      <c r="BH788" s="35">
        <f t="shared" ref="BH788:BI788" si="9553">BH515/BH697*BH$5</f>
        <v>5.5124967526095654E-3</v>
      </c>
      <c r="BI788" s="35">
        <f t="shared" si="9553"/>
        <v>5.0382514331178997E-3</v>
      </c>
      <c r="BJ788" s="35">
        <f t="shared" ref="BJ788:BK788" si="9554">BJ515/BJ697*BJ$5</f>
        <v>5.4951359190685469E-3</v>
      </c>
      <c r="BK788" s="35">
        <f t="shared" si="9554"/>
        <v>5.2525831902533572E-3</v>
      </c>
      <c r="BL788" s="35">
        <f t="shared" ref="BL788:BM788" si="9555">BL515/BL697*BL$5</f>
        <v>5.4302397234122328E-3</v>
      </c>
      <c r="BM788" s="35">
        <f t="shared" si="9555"/>
        <v>5.1209658686976797E-3</v>
      </c>
      <c r="BN788" s="35">
        <f t="shared" ref="BN788:BO788" si="9556">BN515/BN697*BN$5</f>
        <v>5.2688897322595478E-3</v>
      </c>
      <c r="BO788" s="35">
        <f t="shared" si="9556"/>
        <v>4.9826160583774032E-3</v>
      </c>
      <c r="BP788" s="35">
        <f t="shared" ref="BP788:BQ788" si="9557">BP515/BP697*BP$5</f>
        <v>5.1487211076430353E-3</v>
      </c>
      <c r="BQ788" s="35">
        <f t="shared" si="9557"/>
        <v>4.9103910227581817E-3</v>
      </c>
      <c r="BR788" s="35"/>
      <c r="BS788" s="345">
        <f t="shared" ref="BS788:CB788" si="9558">BS515/BS697*BS$5</f>
        <v>-6.4364393058154931E-3</v>
      </c>
      <c r="BT788" s="345">
        <f t="shared" si="9558"/>
        <v>3.7109645774225739E-3</v>
      </c>
      <c r="BU788" s="345">
        <f t="shared" si="9558"/>
        <v>6.9612270245809306E-3</v>
      </c>
      <c r="BV788" s="345">
        <f t="shared" si="9558"/>
        <v>8.5220159530707881E-3</v>
      </c>
      <c r="BW788" s="345">
        <f t="shared" si="9558"/>
        <v>9.2367284103888371E-3</v>
      </c>
      <c r="BX788" s="345">
        <f t="shared" si="9558"/>
        <v>8.5068977791984187E-3</v>
      </c>
      <c r="BY788" s="345">
        <f t="shared" si="9558"/>
        <v>7.6648597167589712E-3</v>
      </c>
      <c r="BZ788" s="345">
        <f t="shared" si="9558"/>
        <v>9.2753012167245269E-3</v>
      </c>
      <c r="CA788" s="345">
        <f t="shared" si="9558"/>
        <v>9.7385151330366907E-3</v>
      </c>
      <c r="CB788" s="345">
        <f t="shared" si="9558"/>
        <v>1.0153450335385464E-2</v>
      </c>
      <c r="CC788" s="35">
        <f t="shared" ref="CC788:CR788" si="9559">CC515/CC697*CC$5</f>
        <v>1.1514189916527947E-2</v>
      </c>
      <c r="CD788" s="35">
        <f t="shared" si="9559"/>
        <v>1.1776347510779732E-2</v>
      </c>
      <c r="CE788" s="35">
        <f t="shared" si="9559"/>
        <v>1.083628282163141E-2</v>
      </c>
      <c r="CF788" s="35">
        <f t="shared" si="9559"/>
        <v>1.1014585337745231E-2</v>
      </c>
      <c r="CG788" s="35">
        <f t="shared" si="9559"/>
        <v>1.0990605502094696E-2</v>
      </c>
      <c r="CH788" s="35">
        <f t="shared" si="9559"/>
        <v>1.0698174952454084E-2</v>
      </c>
      <c r="CI788" s="35">
        <f t="shared" si="9559"/>
        <v>7.4164700265349397E-3</v>
      </c>
      <c r="CJ788" s="35">
        <f t="shared" si="9559"/>
        <v>6.6249656391707519E-3</v>
      </c>
      <c r="CK788" s="35">
        <f t="shared" si="9559"/>
        <v>9.749987626919256E-3</v>
      </c>
      <c r="CL788" s="35">
        <f t="shared" si="9559"/>
        <v>9.5316641709024767E-3</v>
      </c>
      <c r="CM788" s="37">
        <f t="shared" si="9559"/>
        <v>9.6274331627528818E-3</v>
      </c>
      <c r="CN788" s="37">
        <f t="shared" si="9559"/>
        <v>9.605103766515714E-3</v>
      </c>
      <c r="CO788" s="37">
        <f t="shared" si="9559"/>
        <v>9.4897602404268328E-3</v>
      </c>
      <c r="CP788" s="37">
        <f t="shared" si="9559"/>
        <v>8.4779022274028368E-3</v>
      </c>
      <c r="CQ788" s="37">
        <f t="shared" si="9559"/>
        <v>6.4863328813790809E-3</v>
      </c>
      <c r="CR788" s="37">
        <f t="shared" si="9559"/>
        <v>7.408463209021156E-3</v>
      </c>
      <c r="CS788" s="37">
        <f t="shared" ref="CS788:CX788" si="9560">CS515/CS697*CS$5</f>
        <v>7.1933032531206649E-3</v>
      </c>
      <c r="CT788" s="37">
        <f t="shared" si="9560"/>
        <v>6.7746066382768418E-3</v>
      </c>
      <c r="CU788" s="37">
        <f t="shared" si="9560"/>
        <v>3.5723689901641029E-3</v>
      </c>
      <c r="CV788" s="37">
        <f t="shared" si="9560"/>
        <v>5.9817651708393288E-3</v>
      </c>
      <c r="CW788" s="37">
        <f t="shared" si="9560"/>
        <v>6.2887982169350628E-3</v>
      </c>
      <c r="CX788" s="37">
        <f t="shared" si="9560"/>
        <v>6.6554261519731952E-3</v>
      </c>
      <c r="CY788" s="37">
        <f t="shared" ref="CY788:DD788" si="9561">CY515/CY697*CY$5</f>
        <v>5.7362974993154826E-3</v>
      </c>
      <c r="CZ788" s="36">
        <f t="shared" si="9561"/>
        <v>4.3393333158370292E-3</v>
      </c>
      <c r="DA788" s="35">
        <f t="shared" si="9561"/>
        <v>5.5155317814637433E-3</v>
      </c>
      <c r="DB788" s="35">
        <f t="shared" si="9561"/>
        <v>5.3387058296003745E-3</v>
      </c>
      <c r="DC788" s="35">
        <f t="shared" si="9561"/>
        <v>5.320446607824496E-3</v>
      </c>
      <c r="DD788" s="35">
        <f t="shared" si="9561"/>
        <v>5.344074799909026E-3</v>
      </c>
      <c r="DE788" s="35">
        <f>DE515/DE697*DE$5</f>
        <v>5.2728438816110022E-3</v>
      </c>
      <c r="DF788" s="35">
        <f>DF515/DF697*DF$5</f>
        <v>5.3726673272895915E-3</v>
      </c>
      <c r="DG788" s="35">
        <f>DG515/DG697*DG$5</f>
        <v>5.2741765328946106E-3</v>
      </c>
      <c r="DH788" s="35">
        <f>DH515/DH697*DH$5</f>
        <v>5.1242340452773965E-3</v>
      </c>
      <c r="DI788" s="35">
        <f>DI515/DI697*DI$5</f>
        <v>5.0282917638714885E-3</v>
      </c>
    </row>
    <row r="789" spans="1:113" ht="12" outlineLevel="1">
      <c r="A789" s="1" t="s">
        <v>892</v>
      </c>
      <c r="B789" s="15" t="s">
        <v>502</v>
      </c>
      <c r="C789" s="345">
        <f t="shared" ref="C789:L789" si="9562">C515/C698*C$5</f>
        <v>1.0380229218212326E-2</v>
      </c>
      <c r="D789" s="345">
        <f t="shared" si="9562"/>
        <v>1.132427668761684E-2</v>
      </c>
      <c r="E789" s="345">
        <f t="shared" si="9562"/>
        <v>1.1726027249021588E-2</v>
      </c>
      <c r="F789" s="345">
        <f t="shared" si="9562"/>
        <v>1.1645930029903322E-2</v>
      </c>
      <c r="G789" s="345">
        <f t="shared" si="9562"/>
        <v>1.1919954967149224E-2</v>
      </c>
      <c r="H789" s="345">
        <f t="shared" si="9562"/>
        <v>1.0936863276063781E-2</v>
      </c>
      <c r="I789" s="345">
        <f t="shared" si="9562"/>
        <v>1.095621666412868E-2</v>
      </c>
      <c r="J789" s="345">
        <f t="shared" si="9562"/>
        <v>1.1542903530699514E-2</v>
      </c>
      <c r="K789" s="345">
        <f t="shared" si="9562"/>
        <v>1.076129709348328E-2</v>
      </c>
      <c r="L789" s="345">
        <f t="shared" si="9562"/>
        <v>1.1032918641353395E-2</v>
      </c>
      <c r="M789" s="35">
        <f t="shared" ref="M789:AF789" si="9563">M515/M698*M$5</f>
        <v>1.1146512531563733E-2</v>
      </c>
      <c r="N789" s="35">
        <f t="shared" si="9563"/>
        <v>1.1116517613475298E-2</v>
      </c>
      <c r="O789" s="35">
        <f t="shared" si="9563"/>
        <v>1.0485665328252472E-2</v>
      </c>
      <c r="P789" s="35">
        <f t="shared" si="9563"/>
        <v>8.9843731519111333E-3</v>
      </c>
      <c r="Q789" s="35">
        <f t="shared" si="9563"/>
        <v>6.0244301497401082E-3</v>
      </c>
      <c r="R789" s="35">
        <f t="shared" si="9563"/>
        <v>3.5724154715930981E-3</v>
      </c>
      <c r="S789" s="35">
        <f t="shared" si="9563"/>
        <v>9.9897882039363967E-3</v>
      </c>
      <c r="T789" s="37">
        <f t="shared" si="9563"/>
        <v>9.4711899769288569E-3</v>
      </c>
      <c r="U789" s="35">
        <f t="shared" si="9563"/>
        <v>1.0178522682805575E-2</v>
      </c>
      <c r="V789" s="35">
        <f t="shared" si="9563"/>
        <v>9.9781327360449357E-3</v>
      </c>
      <c r="W789" s="35">
        <f t="shared" si="9563"/>
        <v>9.5673829184012207E-3</v>
      </c>
      <c r="X789" s="35">
        <f t="shared" si="9563"/>
        <v>9.5201925128579439E-3</v>
      </c>
      <c r="Y789" s="37">
        <f t="shared" si="9563"/>
        <v>9.8911114233701837E-3</v>
      </c>
      <c r="Z789" s="37">
        <f t="shared" si="9563"/>
        <v>9.8112829466125429E-3</v>
      </c>
      <c r="AA789" s="37">
        <f t="shared" si="9563"/>
        <v>9.5598079734748893E-3</v>
      </c>
      <c r="AB789" s="37">
        <f t="shared" si="9563"/>
        <v>9.6620572103260222E-3</v>
      </c>
      <c r="AC789" s="37">
        <f t="shared" ref="AC789:AD789" si="9564">AC515/AC698*AC$5</f>
        <v>9.4635920868813561E-3</v>
      </c>
      <c r="AD789" s="37">
        <f t="shared" si="9564"/>
        <v>8.9357651733606071E-3</v>
      </c>
      <c r="AE789" s="37">
        <f t="shared" ref="AE789" si="9565">AE515/AE698*AE$5</f>
        <v>8.1527302617232737E-3</v>
      </c>
      <c r="AF789" s="37">
        <f t="shared" si="9563"/>
        <v>6.214187311286222E-3</v>
      </c>
      <c r="AG789" s="37">
        <f t="shared" ref="AG789:AH789" si="9566">AG515/AG698*AG$5</f>
        <v>6.8310711502121103E-3</v>
      </c>
      <c r="AH789" s="37">
        <f t="shared" si="9566"/>
        <v>7.3728911044860903E-3</v>
      </c>
      <c r="AI789" s="37">
        <f t="shared" ref="AI789:AJ789" si="9567">AI515/AI698*AI$5</f>
        <v>7.5279143862169336E-3</v>
      </c>
      <c r="AJ789" s="37">
        <f t="shared" si="9567"/>
        <v>7.8941217258096975E-3</v>
      </c>
      <c r="AK789" s="37">
        <f t="shared" ref="AK789:AL789" si="9568">AK515/AK698*AK$5</f>
        <v>6.5782746785707303E-3</v>
      </c>
      <c r="AL789" s="37">
        <f t="shared" si="9568"/>
        <v>7.7017378600917376E-3</v>
      </c>
      <c r="AM789" s="37">
        <f t="shared" ref="AM789:AN789" si="9569">AM515/AM698*AM$5</f>
        <v>5.9433701866382915E-3</v>
      </c>
      <c r="AN789" s="37">
        <f t="shared" si="9569"/>
        <v>2.7750582556019155E-3</v>
      </c>
      <c r="AO789" s="37">
        <f t="shared" ref="AO789" si="9570">AO515/AO698*AO$5</f>
        <v>4.3488863976291611E-3</v>
      </c>
      <c r="AP789" s="37">
        <f t="shared" ref="AP789:AQ789" si="9571">AP515/AP698*AP$5</f>
        <v>5.7527065302161676E-3</v>
      </c>
      <c r="AQ789" s="37">
        <f t="shared" si="9571"/>
        <v>6.2505231867855705E-3</v>
      </c>
      <c r="AR789" s="37">
        <f t="shared" ref="AR789:AS789" si="9572">AR515/AR698*AR$5</f>
        <v>6.2020345229931353E-3</v>
      </c>
      <c r="AS789" s="37">
        <f t="shared" si="9572"/>
        <v>6.4076318795282848E-3</v>
      </c>
      <c r="AT789" s="37">
        <f t="shared" ref="AT789:AU789" si="9573">AT515/AT698*AT$5</f>
        <v>6.9227582726623287E-3</v>
      </c>
      <c r="AU789" s="37">
        <f t="shared" si="9573"/>
        <v>6.4273877311699385E-3</v>
      </c>
      <c r="AV789" s="37">
        <f t="shared" ref="AV789:AW789" si="9574">AV515/AV698*AV$5</f>
        <v>6.1247715280891126E-3</v>
      </c>
      <c r="AW789" s="37">
        <f t="shared" si="9574"/>
        <v>5.3874123356970824E-3</v>
      </c>
      <c r="AX789" s="37">
        <f t="shared" ref="AX789" si="9575">AX515/AX698*AX$5</f>
        <v>5.4486032960728032E-3</v>
      </c>
      <c r="AY789" s="36">
        <f t="shared" ref="AY789" si="9576">AY515/AY698*AY$5</f>
        <v>3.2921806383931461E-3</v>
      </c>
      <c r="AZ789" s="35">
        <f t="shared" ref="AZ789:BA789" si="9577">AZ515/AZ698*AZ$5</f>
        <v>5.620494550041725E-3</v>
      </c>
      <c r="BA789" s="35">
        <f t="shared" si="9577"/>
        <v>5.4501730653804979E-3</v>
      </c>
      <c r="BB789" s="35">
        <f t="shared" ref="BB789:BC789" si="9578">BB515/BB698*BB$5</f>
        <v>5.6559833776935881E-3</v>
      </c>
      <c r="BC789" s="35">
        <f t="shared" si="9578"/>
        <v>5.0631535961905023E-3</v>
      </c>
      <c r="BD789" s="35">
        <f t="shared" ref="BD789:BE789" si="9579">BD515/BD698*BD$5</f>
        <v>5.5890318739389103E-3</v>
      </c>
      <c r="BE789" s="35">
        <f t="shared" si="9579"/>
        <v>5.0907578422008017E-3</v>
      </c>
      <c r="BF789" s="35">
        <f t="shared" ref="BF789:BG789" si="9580">BF515/BF698*BF$5</f>
        <v>5.576692917258071E-3</v>
      </c>
      <c r="BG789" s="35">
        <f t="shared" si="9580"/>
        <v>5.1491831398449211E-3</v>
      </c>
      <c r="BH789" s="35">
        <f t="shared" ref="BH789:BI789" si="9581">BH515/BH698*BH$5</f>
        <v>5.5294431581324631E-3</v>
      </c>
      <c r="BI789" s="35">
        <f t="shared" si="9581"/>
        <v>5.0534618232100908E-3</v>
      </c>
      <c r="BJ789" s="35">
        <f t="shared" ref="BJ789:BK789" si="9582">BJ515/BJ698*BJ$5</f>
        <v>5.5114239596227811E-3</v>
      </c>
      <c r="BK789" s="35">
        <f t="shared" si="9582"/>
        <v>5.2678625605324207E-3</v>
      </c>
      <c r="BL789" s="35">
        <f t="shared" ref="BL789:BM789" si="9583">BL515/BL698*BL$5</f>
        <v>5.4457467949730054E-3</v>
      </c>
      <c r="BM789" s="35">
        <f t="shared" si="9583"/>
        <v>5.1353217056114408E-3</v>
      </c>
      <c r="BN789" s="35">
        <f t="shared" ref="BN789:BO789" si="9584">BN515/BN698*BN$5</f>
        <v>5.2833810827139773E-3</v>
      </c>
      <c r="BO789" s="35">
        <f t="shared" si="9584"/>
        <v>4.996053541008013E-3</v>
      </c>
      <c r="BP789" s="35">
        <f t="shared" ref="BP789:BQ789" si="9585">BP515/BP698*BP$5</f>
        <v>5.1623304584321366E-3</v>
      </c>
      <c r="BQ789" s="35">
        <f t="shared" si="9585"/>
        <v>4.9231066747073594E-3</v>
      </c>
      <c r="BR789" s="35"/>
      <c r="BS789" s="345">
        <f t="shared" ref="BS789:CB789" si="9586">BS515/BS698*BS$5</f>
        <v>-6.4571851753331602E-3</v>
      </c>
      <c r="BT789" s="345">
        <f t="shared" si="9586"/>
        <v>3.7163068388046858E-3</v>
      </c>
      <c r="BU789" s="345">
        <f t="shared" si="9586"/>
        <v>6.9591366575714785E-3</v>
      </c>
      <c r="BV789" s="345">
        <f t="shared" si="9586"/>
        <v>8.5192980647305211E-3</v>
      </c>
      <c r="BW789" s="345">
        <f t="shared" si="9586"/>
        <v>9.2340545635525642E-3</v>
      </c>
      <c r="BX789" s="345">
        <f t="shared" si="9586"/>
        <v>8.5049336978394018E-3</v>
      </c>
      <c r="BY789" s="345">
        <f t="shared" si="9586"/>
        <v>7.6630087959429572E-3</v>
      </c>
      <c r="BZ789" s="345">
        <f t="shared" si="9586"/>
        <v>9.27748396070633E-3</v>
      </c>
      <c r="CA789" s="345">
        <f t="shared" si="9586"/>
        <v>9.7459880123743226E-3</v>
      </c>
      <c r="CB789" s="345">
        <f t="shared" si="9586"/>
        <v>1.0244197803407587E-2</v>
      </c>
      <c r="CC789" s="35">
        <f t="shared" ref="CC789:CR789" si="9587">CC515/CC698*CC$5</f>
        <v>1.1615919181883276E-2</v>
      </c>
      <c r="CD789" s="35">
        <f t="shared" si="9587"/>
        <v>1.1786853759492195E-2</v>
      </c>
      <c r="CE789" s="35">
        <f t="shared" si="9587"/>
        <v>1.0913288472657715E-2</v>
      </c>
      <c r="CF789" s="35">
        <f t="shared" si="9587"/>
        <v>1.1138663268944729E-2</v>
      </c>
      <c r="CG789" s="35">
        <f t="shared" si="9587"/>
        <v>1.1093487561894492E-2</v>
      </c>
      <c r="CH789" s="35">
        <f t="shared" si="9587"/>
        <v>1.0789564628437316E-2</v>
      </c>
      <c r="CI789" s="35">
        <f t="shared" si="9587"/>
        <v>7.4707534223611592E-3</v>
      </c>
      <c r="CJ789" s="35">
        <f t="shared" si="9587"/>
        <v>6.6655855816419828E-3</v>
      </c>
      <c r="CK789" s="35">
        <f t="shared" si="9587"/>
        <v>9.8291319966839624E-3</v>
      </c>
      <c r="CL789" s="35">
        <f t="shared" si="9587"/>
        <v>9.6224998919563487E-3</v>
      </c>
      <c r="CM789" s="37">
        <f t="shared" si="9587"/>
        <v>9.7103458034390605E-3</v>
      </c>
      <c r="CN789" s="37">
        <f t="shared" si="9587"/>
        <v>9.6828226189303208E-3</v>
      </c>
      <c r="CO789" s="37">
        <f t="shared" si="9587"/>
        <v>9.5595238655375205E-3</v>
      </c>
      <c r="CP789" s="37">
        <f t="shared" si="9587"/>
        <v>8.5322214049369811E-3</v>
      </c>
      <c r="CQ789" s="37">
        <f t="shared" si="9587"/>
        <v>6.5254644365512439E-3</v>
      </c>
      <c r="CR789" s="37">
        <f t="shared" si="9587"/>
        <v>7.4513674884437598E-3</v>
      </c>
      <c r="CS789" s="37">
        <f t="shared" ref="CS789:CX789" si="9588">CS515/CS698*CS$5</f>
        <v>7.227859179865838E-3</v>
      </c>
      <c r="CT789" s="37">
        <f t="shared" si="9588"/>
        <v>6.799796951967369E-3</v>
      </c>
      <c r="CU789" s="37">
        <f t="shared" si="9588"/>
        <v>3.5837474478435053E-3</v>
      </c>
      <c r="CV789" s="37">
        <f t="shared" si="9588"/>
        <v>6.0000871261441354E-3</v>
      </c>
      <c r="CW789" s="37">
        <f t="shared" si="9588"/>
        <v>6.3069464504911963E-3</v>
      </c>
      <c r="CX789" s="37">
        <f t="shared" si="9588"/>
        <v>6.6742355420824368E-3</v>
      </c>
      <c r="CY789" s="37">
        <f t="shared" ref="CY789:DD789" si="9589">CY515/CY698*CY$5</f>
        <v>5.7583562525901901E-3</v>
      </c>
      <c r="CZ789" s="36">
        <f t="shared" si="9589"/>
        <v>4.3548998832071088E-3</v>
      </c>
      <c r="DA789" s="35">
        <f t="shared" si="9589"/>
        <v>5.5346544411568237E-3</v>
      </c>
      <c r="DB789" s="35">
        <f t="shared" si="9589"/>
        <v>5.3566835821939164E-3</v>
      </c>
      <c r="DC789" s="35">
        <f t="shared" si="9589"/>
        <v>5.33777210775295E-3</v>
      </c>
      <c r="DD789" s="35">
        <f t="shared" si="9589"/>
        <v>5.3609157320740211E-3</v>
      </c>
      <c r="DE789" s="35">
        <f>DE515/DE698*DE$5</f>
        <v>5.2889071069804859E-3</v>
      </c>
      <c r="DF789" s="35">
        <f>DF515/DF698*DF$5</f>
        <v>5.3884432013304876E-3</v>
      </c>
      <c r="DG789" s="35">
        <f>DG515/DG698*DG$5</f>
        <v>5.2890986277278514E-3</v>
      </c>
      <c r="DH789" s="35">
        <f>DH515/DH698*DH$5</f>
        <v>5.1381895267369601E-3</v>
      </c>
      <c r="DI789" s="35">
        <f>DI515/DI698*DI$5</f>
        <v>5.0414467411528056E-3</v>
      </c>
    </row>
    <row r="790" spans="1:113" ht="12" outlineLevel="1">
      <c r="A790" s="1" t="s">
        <v>1012</v>
      </c>
      <c r="B790" s="15" t="s">
        <v>566</v>
      </c>
      <c r="C790" s="391">
        <f t="shared" ref="C790:AF790" si="9590">-AVERAGE(C101,C106)/(C103*C$5)</f>
        <v>9.9502634351949411</v>
      </c>
      <c r="D790" s="391">
        <f t="shared" si="9590"/>
        <v>7.1054794520547944</v>
      </c>
      <c r="E790" s="391">
        <f t="shared" si="9590"/>
        <v>7.7133825079030558</v>
      </c>
      <c r="F790" s="391">
        <f t="shared" si="9590"/>
        <v>5.8622732321362463</v>
      </c>
      <c r="G790" s="391">
        <f t="shared" si="9590"/>
        <v>4.9918999404407387</v>
      </c>
      <c r="H790" s="391">
        <f t="shared" si="9590"/>
        <v>3.6190476190476191</v>
      </c>
      <c r="I790" s="391">
        <f t="shared" si="9590"/>
        <v>3.3219696969696968</v>
      </c>
      <c r="J790" s="391">
        <f t="shared" si="9590"/>
        <v>3.6347512617159334</v>
      </c>
      <c r="K790" s="391">
        <f t="shared" si="9590"/>
        <v>3.0826412671232877</v>
      </c>
      <c r="L790" s="391">
        <f t="shared" si="9590"/>
        <v>3.3941840903628933</v>
      </c>
      <c r="M790" s="87">
        <f t="shared" si="9590"/>
        <v>3.461211247296323</v>
      </c>
      <c r="N790" s="87">
        <f t="shared" si="9590"/>
        <v>3.5333963155408599</v>
      </c>
      <c r="O790" s="87">
        <f t="shared" si="9590"/>
        <v>3.4743364726027397</v>
      </c>
      <c r="P790" s="87">
        <f t="shared" si="9590"/>
        <v>3.9153225806451615</v>
      </c>
      <c r="Q790" s="87">
        <f t="shared" si="9590"/>
        <v>4.8050847457627119</v>
      </c>
      <c r="R790" s="87">
        <f t="shared" si="9590"/>
        <v>4.0491170160092427</v>
      </c>
      <c r="S790" s="87">
        <f t="shared" si="9590"/>
        <v>5.1178793808930791</v>
      </c>
      <c r="T790" s="88">
        <f t="shared" si="9590"/>
        <v>5.458840395030264</v>
      </c>
      <c r="U790" s="87">
        <f t="shared" si="9590"/>
        <v>4.6635684365447752</v>
      </c>
      <c r="V790" s="87">
        <f t="shared" si="9590"/>
        <v>5.2437907028969235</v>
      </c>
      <c r="W790" s="87">
        <f t="shared" si="9590"/>
        <v>5.7657534246575342</v>
      </c>
      <c r="X790" s="87">
        <f t="shared" si="9590"/>
        <v>5.5250000000000004</v>
      </c>
      <c r="Y790" s="88">
        <f t="shared" si="9590"/>
        <v>5.1544117647058822</v>
      </c>
      <c r="Z790" s="88">
        <f t="shared" si="9590"/>
        <v>4.9849239385453714</v>
      </c>
      <c r="AA790" s="88">
        <f t="shared" si="9590"/>
        <v>4.997565441475655</v>
      </c>
      <c r="AB790" s="88">
        <f t="shared" si="9590"/>
        <v>5.4752021383227536</v>
      </c>
      <c r="AC790" s="88">
        <f t="shared" si="9590"/>
        <v>5.5184714560218184</v>
      </c>
      <c r="AD790" s="88">
        <f t="shared" ref="AD790:AE790" si="9591">-AVERAGE(AD101,AD106)/(AD103*AD$5)</f>
        <v>4.8761171822892617</v>
      </c>
      <c r="AE790" s="88">
        <f t="shared" si="9591"/>
        <v>5.0884483188044829</v>
      </c>
      <c r="AF790" s="88">
        <f t="shared" si="9590"/>
        <v>5.2469387755102037</v>
      </c>
      <c r="AG790" s="88">
        <f t="shared" ref="AG790:AH790" si="9592">-AVERAGE(AG101,AG106)/(AG103*AG$5)</f>
        <v>4.363725490196078</v>
      </c>
      <c r="AH790" s="88">
        <f t="shared" si="9592"/>
        <v>3.4929549902152641</v>
      </c>
      <c r="AI790" s="88">
        <f t="shared" ref="AI790:AJ790" si="9593">-AVERAGE(AI101,AI106)/(AI103*AI$5)</f>
        <v>3.4901632714957285</v>
      </c>
      <c r="AJ790" s="88">
        <f t="shared" si="9593"/>
        <v>3.2215765612050893</v>
      </c>
      <c r="AK790" s="88">
        <f t="shared" ref="AK790:AL790" si="9594">-AVERAGE(AK101,AK106)/(AK103*AK$5)</f>
        <v>2.7819063926940641</v>
      </c>
      <c r="AL790" s="88">
        <f t="shared" si="9594"/>
        <v>2.7592846270928466</v>
      </c>
      <c r="AM790" s="88">
        <f t="shared" ref="AM790:AN790" si="9595">-AVERAGE(AM101,AM106)/(AM103*AM$5)</f>
        <v>2.545634530886534</v>
      </c>
      <c r="AN790" s="88">
        <f t="shared" si="9595"/>
        <v>2.6825726141078836</v>
      </c>
      <c r="AO790" s="88">
        <f t="shared" ref="AO790" si="9596">-AVERAGE(AO101,AO106)/(AO103*AO$5)</f>
        <v>2.627853881278539</v>
      </c>
      <c r="AP790" s="88">
        <f t="shared" ref="AP790:AQ790" si="9597">-AVERAGE(AP101,AP106)/(AP103*AP$5)</f>
        <v>2.1400435063789756</v>
      </c>
      <c r="AQ790" s="88">
        <f t="shared" si="9597"/>
        <v>2.3958495195256591</v>
      </c>
      <c r="AR790" s="88">
        <f t="shared" ref="AR790:AS790" si="9598">-AVERAGE(AR101,AR106)/(AR103*AR$5)</f>
        <v>2.4852359208523591</v>
      </c>
      <c r="AS790" s="88">
        <f t="shared" si="9598"/>
        <v>2.4529385771100309</v>
      </c>
      <c r="AT790" s="88">
        <f t="shared" ref="AT790:AU790" si="9599">-AVERAGE(AT101,AT106)/(AT103*AT$5)</f>
        <v>2.7118749474745778</v>
      </c>
      <c r="AU790" s="88">
        <f t="shared" si="9599"/>
        <v>2.867707878893639</v>
      </c>
      <c r="AV790" s="88">
        <f t="shared" ref="AV790:AW790" si="9600">-AVERAGE(AV101,AV106)/(AV103*AV$5)</f>
        <v>3.0198675496688741</v>
      </c>
      <c r="AW790" s="88">
        <f t="shared" si="9600"/>
        <v>2.7817919075144508</v>
      </c>
      <c r="AX790" s="88">
        <f t="shared" ref="AX790" si="9601">-AVERAGE(AX101,AX106)/(AX103*AX$5)</f>
        <v>3.4044983339503889</v>
      </c>
      <c r="AY790" s="89">
        <f t="shared" ref="AY790" si="9602">-AVERAGE(AY101,AY106)/(AY103*AY$5)</f>
        <v>2.5055958904109588</v>
      </c>
      <c r="AZ790" s="87">
        <f t="shared" ref="AZ790:BA790" si="9603">-AVERAGE(AZ101,AZ106)/(AZ103*AZ$5)</f>
        <v>2.0201780247860208</v>
      </c>
      <c r="BA790" s="87">
        <f t="shared" si="9603"/>
        <v>2.0503803198028012</v>
      </c>
      <c r="BB790" s="87">
        <f t="shared" ref="BB790:BC790" si="9604">-AVERAGE(BB101,BB106)/(BB103*BB$5)</f>
        <v>2.0435256008183242</v>
      </c>
      <c r="BC790" s="87">
        <f t="shared" si="9604"/>
        <v>2.0704444866426948</v>
      </c>
      <c r="BD790" s="87">
        <f t="shared" ref="BD790:BE790" si="9605">-AVERAGE(BD101,BD106)/(BD103*BD$5)</f>
        <v>2.0648163186949637</v>
      </c>
      <c r="BE790" s="87">
        <f t="shared" si="9605"/>
        <v>2.0776756884614929</v>
      </c>
      <c r="BF790" s="87">
        <f t="shared" ref="BF790:BG790" si="9606">-AVERAGE(BF101,BF106)/(BF103*BF$5)</f>
        <v>2.0689103046470825</v>
      </c>
      <c r="BG790" s="87">
        <f t="shared" si="9606"/>
        <v>2.0912305441331469</v>
      </c>
      <c r="BH790" s="87">
        <f t="shared" ref="BH790:BI790" si="9607">-AVERAGE(BH101,BH106)/(BH103*BH$5)</f>
        <v>2.0747253511671588</v>
      </c>
      <c r="BI790" s="87">
        <f t="shared" si="9607"/>
        <v>2.0958491889939839</v>
      </c>
      <c r="BJ790" s="87">
        <f t="shared" ref="BJ790:BK790" si="9608">-AVERAGE(BJ101,BJ106)/(BJ103*BJ$5)</f>
        <v>2.0958491889939839</v>
      </c>
      <c r="BK790" s="87">
        <f t="shared" si="9608"/>
        <v>2.0958491889939834</v>
      </c>
      <c r="BL790" s="87">
        <f t="shared" ref="BL790:BM790" si="9609">-AVERAGE(BL101,BL106)/(BL103*BL$5)</f>
        <v>2.0958491889939834</v>
      </c>
      <c r="BM790" s="87">
        <f t="shared" si="9609"/>
        <v>2.0958491889939834</v>
      </c>
      <c r="BN790" s="87">
        <f t="shared" ref="BN790:BO790" si="9610">-AVERAGE(BN101,BN106)/(BN103*BN$5)</f>
        <v>2.0958491889939839</v>
      </c>
      <c r="BO790" s="87">
        <f t="shared" si="9610"/>
        <v>2.0958491889939839</v>
      </c>
      <c r="BP790" s="87">
        <f t="shared" ref="BP790:BQ790" si="9611">-AVERAGE(BP101,BP106)/(BP103*BP$5)</f>
        <v>2.0958491889939839</v>
      </c>
      <c r="BQ790" s="87">
        <f t="shared" si="9611"/>
        <v>2.0958491889939839</v>
      </c>
      <c r="BR790" s="35"/>
      <c r="BS790" s="391" t="e">
        <f t="shared" ref="BS790:CY790" si="9612">-AVERAGE(BS101,BS106)/(BS103*BS$5)</f>
        <v>#DIV/0!</v>
      </c>
      <c r="BT790" s="391" t="e">
        <f t="shared" si="9612"/>
        <v>#DIV/0!</v>
      </c>
      <c r="BU790" s="391" t="e">
        <f t="shared" si="9612"/>
        <v>#DIV/0!</v>
      </c>
      <c r="BV790" s="391" t="e">
        <f t="shared" si="9612"/>
        <v>#DIV/0!</v>
      </c>
      <c r="BW790" s="391" t="e">
        <f t="shared" si="9612"/>
        <v>#DIV/0!</v>
      </c>
      <c r="BX790" s="391" t="e">
        <f t="shared" si="9612"/>
        <v>#DIV/0!</v>
      </c>
      <c r="BY790" s="391" t="e">
        <f t="shared" si="9612"/>
        <v>#DIV/0!</v>
      </c>
      <c r="BZ790" s="391" t="e">
        <f t="shared" si="9612"/>
        <v>#DIV/0!</v>
      </c>
      <c r="CA790" s="391" t="e">
        <f t="shared" si="9612"/>
        <v>#DIV/0!</v>
      </c>
      <c r="CB790" s="391">
        <f t="shared" si="9612"/>
        <v>12.431818181818182</v>
      </c>
      <c r="CC790" s="87">
        <f t="shared" si="9612"/>
        <v>8</v>
      </c>
      <c r="CD790" s="87">
        <f t="shared" si="9612"/>
        <v>5.5180722891566267</v>
      </c>
      <c r="CE790" s="87">
        <f t="shared" si="9612"/>
        <v>3.3992248062015502</v>
      </c>
      <c r="CF790" s="87">
        <f t="shared" si="9612"/>
        <v>3.2520661157024793</v>
      </c>
      <c r="CG790" s="87">
        <f t="shared" si="9612"/>
        <v>3.4517543859649122</v>
      </c>
      <c r="CH790" s="87">
        <f t="shared" si="9612"/>
        <v>3.6352459016393444</v>
      </c>
      <c r="CI790" s="87">
        <f t="shared" si="9612"/>
        <v>4.4917355371900829</v>
      </c>
      <c r="CJ790" s="87">
        <f t="shared" si="9612"/>
        <v>4.6062500000000002</v>
      </c>
      <c r="CK790" s="87">
        <f t="shared" si="9612"/>
        <v>4.9903381642512077</v>
      </c>
      <c r="CL790" s="87">
        <f t="shared" si="9612"/>
        <v>5.6004016064257032</v>
      </c>
      <c r="CM790" s="88">
        <f t="shared" si="9612"/>
        <v>5.2093749999999996</v>
      </c>
      <c r="CN790" s="88">
        <f t="shared" si="9612"/>
        <v>5.1331592689295036</v>
      </c>
      <c r="CO790" s="88">
        <f t="shared" si="9612"/>
        <v>5.5199530516431921</v>
      </c>
      <c r="CP790" s="88">
        <f t="shared" si="9612"/>
        <v>5.0055350553505535</v>
      </c>
      <c r="CQ790" s="88">
        <f t="shared" si="9612"/>
        <v>5.0949999999999998</v>
      </c>
      <c r="CR790" s="88">
        <f t="shared" si="9612"/>
        <v>3.591150442477876</v>
      </c>
      <c r="CS790" s="88">
        <f t="shared" si="9612"/>
        <v>2.8796133567662565</v>
      </c>
      <c r="CT790" s="88">
        <f t="shared" si="9612"/>
        <v>2.653771760154739</v>
      </c>
      <c r="CU790" s="88">
        <f t="shared" si="9612"/>
        <v>2.5673913043478263</v>
      </c>
      <c r="CV790" s="88">
        <f t="shared" si="9612"/>
        <v>2.302995391705069</v>
      </c>
      <c r="CW790" s="88">
        <f t="shared" si="9612"/>
        <v>2.4746666666666668</v>
      </c>
      <c r="CX790" s="88">
        <f t="shared" si="9612"/>
        <v>2.8359375</v>
      </c>
      <c r="CY790" s="88">
        <f t="shared" si="9612"/>
        <v>2.992283950617284</v>
      </c>
      <c r="CZ790" s="89">
        <f t="shared" ref="CZ790:DA790" si="9613">-AVERAGE(CZ101,CZ106)/(CZ103*CZ$5)</f>
        <v>2.8994252873563218</v>
      </c>
      <c r="DA790" s="87">
        <f t="shared" si="9613"/>
        <v>2.0455840148041222</v>
      </c>
      <c r="DB790" s="87">
        <f t="shared" ref="DB790:DC790" si="9614">-AVERAGE(DB101,DB106)/(DB103*DB$5)</f>
        <v>2.0649489784972617</v>
      </c>
      <c r="DC790" s="87">
        <f t="shared" si="9614"/>
        <v>2.077670410393369</v>
      </c>
      <c r="DD790" s="87">
        <f t="shared" ref="DD790:DI790" si="9615">-AVERAGE(DD101,DD106)/(DD103*DD$5)</f>
        <v>2.0855076463128093</v>
      </c>
      <c r="DE790" s="87">
        <f t="shared" si="9615"/>
        <v>2.0901463382488195</v>
      </c>
      <c r="DF790" s="87">
        <f t="shared" si="9615"/>
        <v>2.1018940107638624</v>
      </c>
      <c r="DG790" s="87">
        <f t="shared" si="9615"/>
        <v>2.1032676615122274</v>
      </c>
      <c r="DH790" s="87">
        <f t="shared" si="9615"/>
        <v>2.1027012968886361</v>
      </c>
      <c r="DI790" s="87">
        <f t="shared" si="9615"/>
        <v>2.1023131488239195</v>
      </c>
    </row>
    <row r="791" spans="1:113" ht="12" outlineLevel="1">
      <c r="A791" s="1" t="s">
        <v>677</v>
      </c>
      <c r="B791" s="15" t="s">
        <v>776</v>
      </c>
      <c r="C791" s="345"/>
      <c r="D791" s="345"/>
      <c r="E791" s="345"/>
      <c r="F791" s="345"/>
      <c r="G791" s="345"/>
      <c r="H791" s="345"/>
      <c r="I791" s="345"/>
      <c r="J791" s="345"/>
      <c r="K791" s="345"/>
      <c r="L791" s="345"/>
      <c r="M791" s="35"/>
      <c r="N791" s="35"/>
      <c r="O791" s="35"/>
      <c r="P791" s="30">
        <f t="shared" ref="P791:AF791" si="9616">P106/(P106-(P443*P$5-P434))</f>
        <v>8.4660062405609859E-2</v>
      </c>
      <c r="Q791" s="30">
        <f t="shared" si="9616"/>
        <v>9.8466133951753174E-2</v>
      </c>
      <c r="R791" s="30">
        <f t="shared" si="9616"/>
        <v>0.10283634207225241</v>
      </c>
      <c r="S791" s="30">
        <f t="shared" si="9616"/>
        <v>0.11721966957930892</v>
      </c>
      <c r="T791" s="32">
        <f t="shared" si="9616"/>
        <v>0.13827429726901871</v>
      </c>
      <c r="U791" s="30">
        <f t="shared" si="9616"/>
        <v>0.14261234730122505</v>
      </c>
      <c r="V791" s="30">
        <f t="shared" si="9616"/>
        <v>0.14503628299555058</v>
      </c>
      <c r="W791" s="30">
        <f t="shared" si="9616"/>
        <v>0.16692933489618994</v>
      </c>
      <c r="X791" s="30">
        <f t="shared" si="9616"/>
        <v>0.17679277817222841</v>
      </c>
      <c r="Y791" s="32">
        <f t="shared" si="9616"/>
        <v>0.17946628641271134</v>
      </c>
      <c r="Z791" s="32">
        <f t="shared" si="9616"/>
        <v>0.18975662121889267</v>
      </c>
      <c r="AA791" s="32">
        <f t="shared" si="9616"/>
        <v>0.20923773729654369</v>
      </c>
      <c r="AB791" s="32">
        <f t="shared" si="9616"/>
        <v>0.2174855906008904</v>
      </c>
      <c r="AC791" s="32">
        <f t="shared" si="9616"/>
        <v>0.22544508892051285</v>
      </c>
      <c r="AD791" s="32">
        <f t="shared" ref="AD791:AE791" si="9617">AD106/(AD106-(AD443*AD$5-AD434))</f>
        <v>0.23075026203510871</v>
      </c>
      <c r="AE791" s="32">
        <f t="shared" si="9617"/>
        <v>0.23826570037655789</v>
      </c>
      <c r="AF791" s="32">
        <f t="shared" si="9616"/>
        <v>0.17326656394453005</v>
      </c>
      <c r="AG791" s="32">
        <f t="shared" ref="AG791:AH791" si="9618">AG106/(AG106-(AG443*AG$5-AG434))</f>
        <v>0.1858384673812136</v>
      </c>
      <c r="AH791" s="32">
        <f t="shared" si="9618"/>
        <v>0.18048036847803653</v>
      </c>
      <c r="AI791" s="32">
        <f t="shared" ref="AI791:AJ791" si="9619">AI106/(AI106-(AI443*AI$5-AI434))</f>
        <v>0.17641714993598251</v>
      </c>
      <c r="AJ791" s="32">
        <f t="shared" si="9619"/>
        <v>0.16961985305738406</v>
      </c>
      <c r="AK791" s="32">
        <f t="shared" ref="AK791:AL791" si="9620">AK106/(AK106-(AK443*AK$5-AK434))</f>
        <v>0.12962878958196145</v>
      </c>
      <c r="AL791" s="32">
        <f t="shared" si="9620"/>
        <v>0.13860205518229596</v>
      </c>
      <c r="AM791" s="32">
        <f t="shared" ref="AM791:AN791" si="9621">AM106/(AM106-(AM443*AM$5-AM434))</f>
        <v>0.12667215681021962</v>
      </c>
      <c r="AN791" s="32">
        <f t="shared" si="9621"/>
        <v>0.12343627834245505</v>
      </c>
      <c r="AO791" s="32">
        <f t="shared" ref="AO791" si="9622">AO106/(AO106-(AO443*AO$5-AO434))</f>
        <v>0.10013492675404781</v>
      </c>
      <c r="AP791" s="32">
        <f t="shared" ref="AP791:AQ791" si="9623">AP106/(AP106-(AP443*AP$5-AP434))</f>
        <v>9.890263997475722E-2</v>
      </c>
      <c r="AQ791" s="32">
        <f t="shared" si="9623"/>
        <v>9.7244409608863588E-2</v>
      </c>
      <c r="AR791" s="32">
        <f t="shared" ref="AR791:AS791" si="9624">AR106/(AR106-(AR443*AR$5-AR434))</f>
        <v>8.9332982732930138E-2</v>
      </c>
      <c r="AS791" s="32">
        <f t="shared" si="9624"/>
        <v>8.7330830071103302E-2</v>
      </c>
      <c r="AT791" s="32">
        <f t="shared" ref="AT791:AU791" si="9625">AT106/(AT106-(AT443*AT$5-AT434))</f>
        <v>8.1691918481073031E-2</v>
      </c>
      <c r="AU791" s="32">
        <f t="shared" si="9625"/>
        <v>8.3409711765651137E-2</v>
      </c>
      <c r="AV791" s="32">
        <f t="shared" ref="AV791:AW791" si="9626">AV106/(AV106-(AV443*AV$5-AV434))</f>
        <v>8.091917024320458E-2</v>
      </c>
      <c r="AW791" s="32">
        <f t="shared" si="9626"/>
        <v>8.5721489200773174E-2</v>
      </c>
      <c r="AX791" s="32">
        <f t="shared" ref="AX791" si="9627">AX106/(AX106-(AX443*AX$5-AX434))</f>
        <v>8.0931074739369085E-2</v>
      </c>
      <c r="AY791" s="31">
        <f t="shared" ref="AY791" si="9628">AY106/(AY106-(AY443*AY$5-AY434))</f>
        <v>6.637847440797498E-2</v>
      </c>
      <c r="AZ791" s="30">
        <f t="shared" ref="AZ791:BA791" si="9629">AZ106/(AZ106-(AZ443*AZ$5-AZ434))</f>
        <v>7.8748242608682878E-2</v>
      </c>
      <c r="BA791" s="30">
        <f t="shared" si="9629"/>
        <v>7.450097934769416E-2</v>
      </c>
      <c r="BB791" s="30">
        <f t="shared" ref="BB791:BC791" si="9630">BB106/(BB106-(BB443*BB$5-BB434))</f>
        <v>7.5411937497729384E-2</v>
      </c>
      <c r="BC791" s="30">
        <f t="shared" si="9630"/>
        <v>6.9680494640517218E-2</v>
      </c>
      <c r="BD791" s="30">
        <f t="shared" ref="BD791:BE791" si="9631">BD106/(BD106-(BD443*BD$5-BD434))</f>
        <v>7.3439138804166804E-2</v>
      </c>
      <c r="BE791" s="30">
        <f t="shared" si="9631"/>
        <v>6.7730028917576499E-2</v>
      </c>
      <c r="BF791" s="30">
        <f t="shared" ref="BF791:BG791" si="9632">BF106/(BF106-(BF443*BF$5-BF434))</f>
        <v>7.1464717595029481E-2</v>
      </c>
      <c r="BG791" s="30">
        <f t="shared" si="9632"/>
        <v>6.7192726863167823E-2</v>
      </c>
      <c r="BH791" s="30">
        <f t="shared" ref="BH791:BI791" si="9633">BH106/(BH106-(BH443*BH$5-BH434))</f>
        <v>7.113142317007326E-2</v>
      </c>
      <c r="BI791" s="30">
        <f t="shared" si="9633"/>
        <v>6.6794305659031938E-2</v>
      </c>
      <c r="BJ791" s="30">
        <f t="shared" ref="BJ791:BK791" si="9634">BJ106/(BJ106-(BJ443*BJ$5-BJ434))</f>
        <v>6.9442226957874706E-2</v>
      </c>
      <c r="BK791" s="30">
        <f t="shared" si="9634"/>
        <v>6.7483959112966146E-2</v>
      </c>
      <c r="BL791" s="30">
        <f t="shared" ref="BL791:BM791" si="9635">BL106/(BL106-(BL443*BL$5-BL434))</f>
        <v>6.9898267794569161E-2</v>
      </c>
      <c r="BM791" s="30">
        <f t="shared" si="9635"/>
        <v>6.7499805683207514E-2</v>
      </c>
      <c r="BN791" s="30">
        <f t="shared" ref="BN791:BO791" si="9636">BN106/(BN106-(BN443*BN$5-BN434))</f>
        <v>6.9860072496840564E-2</v>
      </c>
      <c r="BO791" s="30">
        <f t="shared" si="9636"/>
        <v>6.7472815509706699E-2</v>
      </c>
      <c r="BP791" s="30">
        <f t="shared" ref="BP791:BQ791" si="9637">BP106/(BP106-(BP443*BP$5-BP434))</f>
        <v>6.9874774394201075E-2</v>
      </c>
      <c r="BQ791" s="30">
        <f t="shared" si="9637"/>
        <v>6.7405746098289893E-2</v>
      </c>
      <c r="BR791" s="35"/>
      <c r="BS791" s="207">
        <f t="shared" ref="BS791:CY791" si="9638">BS106/(BS106-(BS443*BS$5-BS434))</f>
        <v>0</v>
      </c>
      <c r="BT791" s="207">
        <f t="shared" si="9638"/>
        <v>0</v>
      </c>
      <c r="BU791" s="207">
        <f t="shared" si="9638"/>
        <v>0</v>
      </c>
      <c r="BV791" s="207">
        <f t="shared" si="9638"/>
        <v>0</v>
      </c>
      <c r="BW791" s="207">
        <f t="shared" si="9638"/>
        <v>0</v>
      </c>
      <c r="BX791" s="207">
        <f t="shared" si="9638"/>
        <v>0</v>
      </c>
      <c r="BY791" s="207">
        <f t="shared" si="9638"/>
        <v>0</v>
      </c>
      <c r="BZ791" s="207">
        <f t="shared" si="9638"/>
        <v>0</v>
      </c>
      <c r="CA791" s="207">
        <f t="shared" si="9638"/>
        <v>4.3453070683661645E-2</v>
      </c>
      <c r="CB791" s="207">
        <f t="shared" si="9638"/>
        <v>0.11507246376811595</v>
      </c>
      <c r="CC791" s="30">
        <f t="shared" si="9638"/>
        <v>0.11593416931369185</v>
      </c>
      <c r="CD791" s="30">
        <f t="shared" si="9638"/>
        <v>0.12212834244261937</v>
      </c>
      <c r="CE791" s="30">
        <f t="shared" si="9638"/>
        <v>9.5006418456874811E-2</v>
      </c>
      <c r="CF791" s="30">
        <f t="shared" si="9638"/>
        <v>8.0605586008874963E-2</v>
      </c>
      <c r="CG791" s="30">
        <f t="shared" si="9638"/>
        <v>7.7780760135499172E-2</v>
      </c>
      <c r="CH791" s="30">
        <f t="shared" si="9638"/>
        <v>8.3615974632867948E-2</v>
      </c>
      <c r="CI791" s="30">
        <f t="shared" si="9638"/>
        <v>0.10117656200423485</v>
      </c>
      <c r="CJ791" s="30">
        <f t="shared" si="9638"/>
        <v>0.11924475512689243</v>
      </c>
      <c r="CK791" s="30">
        <f t="shared" si="9638"/>
        <v>0.15222013758599123</v>
      </c>
      <c r="CL791" s="30">
        <f t="shared" si="9638"/>
        <v>0.16820029959340896</v>
      </c>
      <c r="CM791" s="32">
        <f t="shared" si="9638"/>
        <v>0.18187448389760527</v>
      </c>
      <c r="CN791" s="32">
        <f t="shared" si="9638"/>
        <v>0.21604938271604937</v>
      </c>
      <c r="CO791" s="32">
        <f t="shared" si="9638"/>
        <v>0.23309100947823685</v>
      </c>
      <c r="CP791" s="32">
        <f t="shared" si="9638"/>
        <v>0.24665359365674824</v>
      </c>
      <c r="CQ791" s="32">
        <f t="shared" si="9638"/>
        <v>0.18136891524586113</v>
      </c>
      <c r="CR791" s="32">
        <f t="shared" si="9638"/>
        <v>0.18093195554689023</v>
      </c>
      <c r="CS791" s="32">
        <f t="shared" si="9638"/>
        <v>0.13859358236613675</v>
      </c>
      <c r="CT791" s="32">
        <f t="shared" si="9638"/>
        <v>0.13394755492558469</v>
      </c>
      <c r="CU791" s="32">
        <f t="shared" si="9638"/>
        <v>0.10429632603894801</v>
      </c>
      <c r="CV791" s="32">
        <f t="shared" si="9638"/>
        <v>0.10024015871358463</v>
      </c>
      <c r="CW791" s="32">
        <f t="shared" si="9638"/>
        <v>8.8712871287128708E-2</v>
      </c>
      <c r="CX791" s="32">
        <f t="shared" si="9638"/>
        <v>8.5583907617805918E-2</v>
      </c>
      <c r="CY791" s="32">
        <f t="shared" si="9638"/>
        <v>8.9184226632858271E-2</v>
      </c>
      <c r="CZ791" s="31">
        <f t="shared" ref="CZ791" si="9639">CZ106/(CZ106-(CZ443*CZ$5-CZ434))</f>
        <v>7.37620103473762E-2</v>
      </c>
      <c r="DA791" s="30">
        <f t="shared" ref="DA791:DF791" si="9640">DA106/(DA106-(DA443*DA$5-DA434))</f>
        <v>7.6969217993619846E-2</v>
      </c>
      <c r="DB791" s="30">
        <f t="shared" si="9640"/>
        <v>7.3357999881782945E-2</v>
      </c>
      <c r="DC791" s="30">
        <f t="shared" si="9640"/>
        <v>7.1719939666657503E-2</v>
      </c>
      <c r="DD791" s="30">
        <f t="shared" si="9640"/>
        <v>7.069233395416441E-2</v>
      </c>
      <c r="DE791" s="30">
        <f t="shared" si="9640"/>
        <v>7.0441532524520581E-2</v>
      </c>
      <c r="DF791" s="30">
        <f t="shared" si="9640"/>
        <v>7.0161641488130949E-2</v>
      </c>
      <c r="DG791" s="30">
        <f t="shared" ref="DG791:DI791" si="9641">DG106/(DG106-(DG443*DG$5-DG434))</f>
        <v>7.0392227585876432E-2</v>
      </c>
      <c r="DH791" s="30">
        <f t="shared" si="9641"/>
        <v>7.0319523498410197E-2</v>
      </c>
      <c r="DI791" s="30">
        <f t="shared" si="9641"/>
        <v>7.0288450256340215E-2</v>
      </c>
    </row>
    <row r="792" spans="1:113" ht="12" outlineLevel="1">
      <c r="A792" s="1" t="s">
        <v>814</v>
      </c>
      <c r="B792" s="15" t="s">
        <v>503</v>
      </c>
      <c r="C792" s="207">
        <f>C393/C419</f>
        <v>0.40553696379677517</v>
      </c>
      <c r="D792" s="207">
        <f>D393/D419</f>
        <v>0.4176052163604031</v>
      </c>
      <c r="E792" s="207">
        <f>E393/E419</f>
        <v>0.41916555620627122</v>
      </c>
      <c r="F792" s="207">
        <f t="shared" ref="F792:L792" si="9642">F393/F419</f>
        <v>0.40446871095304487</v>
      </c>
      <c r="G792" s="207">
        <f t="shared" si="9642"/>
        <v>0.41909157803197539</v>
      </c>
      <c r="H792" s="207">
        <f t="shared" si="9642"/>
        <v>0.4017063421036931</v>
      </c>
      <c r="I792" s="207">
        <f t="shared" si="9642"/>
        <v>0.40022155750116345</v>
      </c>
      <c r="J792" s="207">
        <f t="shared" si="9642"/>
        <v>0.32421816992254332</v>
      </c>
      <c r="K792" s="207">
        <f t="shared" si="9642"/>
        <v>0.33604723085869992</v>
      </c>
      <c r="L792" s="207">
        <f t="shared" si="9642"/>
        <v>0.3330138348139845</v>
      </c>
      <c r="M792" s="30">
        <f t="shared" ref="M792:AF792" si="9643">M393/M419</f>
        <v>0.32304359599241811</v>
      </c>
      <c r="N792" s="30">
        <f t="shared" si="9643"/>
        <v>0.34515476181840604</v>
      </c>
      <c r="O792" s="30">
        <f t="shared" si="9643"/>
        <v>0.36073185896958498</v>
      </c>
      <c r="P792" s="30">
        <f t="shared" si="9643"/>
        <v>0.39410356981994615</v>
      </c>
      <c r="Q792" s="30">
        <f t="shared" si="9643"/>
        <v>0.32579839881261002</v>
      </c>
      <c r="R792" s="30">
        <f t="shared" si="9643"/>
        <v>0.21188402385436284</v>
      </c>
      <c r="S792" s="30">
        <f t="shared" si="9643"/>
        <v>0.37996614216377017</v>
      </c>
      <c r="T792" s="32">
        <f t="shared" si="9643"/>
        <v>0.3165514542845963</v>
      </c>
      <c r="U792" s="30">
        <f t="shared" si="9643"/>
        <v>0.31873714769565742</v>
      </c>
      <c r="V792" s="30">
        <f t="shared" si="9643"/>
        <v>0.33568406205923834</v>
      </c>
      <c r="W792" s="30">
        <f t="shared" si="9643"/>
        <v>0.3018980541960129</v>
      </c>
      <c r="X792" s="30">
        <f t="shared" si="9643"/>
        <v>0.31376146788990827</v>
      </c>
      <c r="Y792" s="32">
        <f>Y393/Y419</f>
        <v>0.32887817703768624</v>
      </c>
      <c r="Z792" s="32">
        <f t="shared" si="9643"/>
        <v>0.31412230532336122</v>
      </c>
      <c r="AA792" s="32">
        <f t="shared" si="9643"/>
        <v>0.29712872351865793</v>
      </c>
      <c r="AB792" s="32">
        <f t="shared" si="9643"/>
        <v>0.30037236243276788</v>
      </c>
      <c r="AC792" s="32">
        <f t="shared" ref="AC792:AD792" si="9644">AC393/AC419</f>
        <v>0.29031281533804237</v>
      </c>
      <c r="AD792" s="32">
        <f t="shared" si="9644"/>
        <v>0.29985286905345759</v>
      </c>
      <c r="AE792" s="32">
        <f t="shared" ref="AE792" si="9645">AE393/AE419</f>
        <v>0.27692902726745311</v>
      </c>
      <c r="AF792" s="32">
        <f t="shared" si="9643"/>
        <v>0.26702179176755447</v>
      </c>
      <c r="AG792" s="32">
        <f t="shared" ref="AG792:AH792" si="9646">AG393/AG419</f>
        <v>0.26701723634238972</v>
      </c>
      <c r="AH792" s="32">
        <f t="shared" si="9646"/>
        <v>0.25631515637530072</v>
      </c>
      <c r="AI792" s="32">
        <f t="shared" ref="AI792:AJ792" si="9647">AI393/AI419</f>
        <v>0.24227642276422764</v>
      </c>
      <c r="AJ792" s="32">
        <f t="shared" si="9647"/>
        <v>0.25531914893617019</v>
      </c>
      <c r="AK792" s="32">
        <f t="shared" ref="AK792:AL792" si="9648">AK393/AK419</f>
        <v>0.24565652311256186</v>
      </c>
      <c r="AL792" s="32">
        <f t="shared" si="9648"/>
        <v>0.25107736507285039</v>
      </c>
      <c r="AM792" s="32">
        <f t="shared" ref="AM792:AN792" si="9649">AM393/AM419</f>
        <v>0.2416244748464936</v>
      </c>
      <c r="AN792" s="32">
        <f t="shared" si="9649"/>
        <v>0.1581769436997319</v>
      </c>
      <c r="AO792" s="32">
        <f t="shared" ref="AO792" si="9650">AO393/AO419</f>
        <v>0.25575057233184345</v>
      </c>
      <c r="AP792" s="32">
        <f t="shared" ref="AP792:AQ792" si="9651">AP393/AP419</f>
        <v>0.17060429775614389</v>
      </c>
      <c r="AQ792" s="32">
        <f t="shared" si="9651"/>
        <v>0.20489804964539007</v>
      </c>
      <c r="AR792" s="32">
        <f t="shared" ref="AR792:AS792" si="9652">AR393/AR419</f>
        <v>0.20652659812248547</v>
      </c>
      <c r="AS792" s="32">
        <f t="shared" si="9652"/>
        <v>0.19012397124700489</v>
      </c>
      <c r="AT792" s="32">
        <f t="shared" ref="AT792:AU792" si="9653">AT393/AT419</f>
        <v>0.19354838709677419</v>
      </c>
      <c r="AU792" s="32">
        <f t="shared" si="9653"/>
        <v>0.22103232030873129</v>
      </c>
      <c r="AV792" s="32">
        <f t="shared" ref="AV792:AW792" si="9654">AV393/AV419</f>
        <v>0.23659031603363292</v>
      </c>
      <c r="AW792" s="32">
        <f t="shared" si="9654"/>
        <v>0.21907857006308545</v>
      </c>
      <c r="AX792" s="32">
        <f t="shared" ref="AX792" si="9655">AX393/AX419</f>
        <v>0.1933606184629377</v>
      </c>
      <c r="AY792" s="31">
        <f t="shared" ref="AY792" si="9656">AY393/AY419</f>
        <v>0.16617754952311078</v>
      </c>
      <c r="AZ792" s="30">
        <f t="shared" ref="AZ792:BA792" si="9657">AZ393/AZ419</f>
        <v>0.18953599138366911</v>
      </c>
      <c r="BA792" s="30">
        <f t="shared" si="9657"/>
        <v>0.18027270654396257</v>
      </c>
      <c r="BB792" s="30">
        <f t="shared" ref="BB792:BC792" si="9658">BB393/BB419</f>
        <v>0.18423308510157957</v>
      </c>
      <c r="BC792" s="30">
        <f t="shared" si="9658"/>
        <v>0.1777182156163484</v>
      </c>
      <c r="BD792" s="30">
        <f t="shared" ref="BD792:BE792" si="9659">BD393/BD419</f>
        <v>0.18363311367209761</v>
      </c>
      <c r="BE792" s="30">
        <f t="shared" si="9659"/>
        <v>0.17687557564218059</v>
      </c>
      <c r="BF792" s="30">
        <f t="shared" ref="BF792:BG792" si="9660">BF393/BF419</f>
        <v>0.18136363526978552</v>
      </c>
      <c r="BG792" s="30">
        <f t="shared" si="9660"/>
        <v>0.17424453975094809</v>
      </c>
      <c r="BH792" s="30">
        <f t="shared" ref="BH792:BI792" si="9661">BH393/BH419</f>
        <v>0.17935914568180961</v>
      </c>
      <c r="BI792" s="30">
        <f t="shared" si="9661"/>
        <v>0.17236537981694527</v>
      </c>
      <c r="BJ792" s="30">
        <f t="shared" ref="BJ792:BK792" si="9662">BJ393/BJ419</f>
        <v>0.17969512415376193</v>
      </c>
      <c r="BK792" s="30">
        <f t="shared" si="9662"/>
        <v>0.18053994270036808</v>
      </c>
      <c r="BL792" s="30">
        <f t="shared" ref="BL792:BM792" si="9663">BL393/BL419</f>
        <v>0.18097192114442517</v>
      </c>
      <c r="BM792" s="30">
        <f t="shared" si="9663"/>
        <v>0.18123617711257686</v>
      </c>
      <c r="BN792" s="30">
        <f t="shared" ref="BN792:BO792" si="9664">BN393/BN419</f>
        <v>0.18170261956862233</v>
      </c>
      <c r="BO792" s="30">
        <f t="shared" si="9664"/>
        <v>0.18236547624366556</v>
      </c>
      <c r="BP792" s="30">
        <f t="shared" ref="BP792:BQ792" si="9665">BP393/BP419</f>
        <v>0.18318817498635359</v>
      </c>
      <c r="BQ792" s="30">
        <f t="shared" si="9665"/>
        <v>0.18417161624480641</v>
      </c>
      <c r="BR792" s="30"/>
      <c r="BS792" s="207">
        <f t="shared" ref="BS792:CB792" si="9666">BS393/BS419</f>
        <v>0.46380732431540744</v>
      </c>
      <c r="BT792" s="207">
        <f t="shared" si="9666"/>
        <v>0.42440018107741057</v>
      </c>
      <c r="BU792" s="207">
        <f t="shared" si="9666"/>
        <v>0.39088729016786572</v>
      </c>
      <c r="BV792" s="207">
        <f t="shared" si="9666"/>
        <v>0.36254650682100042</v>
      </c>
      <c r="BW792" s="207">
        <f t="shared" si="9666"/>
        <v>0.35598141695702673</v>
      </c>
      <c r="BX792" s="207">
        <f t="shared" si="9666"/>
        <v>0.38038579412294932</v>
      </c>
      <c r="BY792" s="207">
        <f t="shared" si="9666"/>
        <v>0.37651608367024081</v>
      </c>
      <c r="BZ792" s="207">
        <f t="shared" si="9666"/>
        <v>0.39406498673740054</v>
      </c>
      <c r="CA792" s="207">
        <f t="shared" si="9666"/>
        <v>0.40460526315789475</v>
      </c>
      <c r="CB792" s="207">
        <f t="shared" si="9666"/>
        <v>0.40165469871995002</v>
      </c>
      <c r="CC792" s="30">
        <f t="shared" ref="CC792:CO792" si="9667">CC393/CC419</f>
        <v>0.4184035191074274</v>
      </c>
      <c r="CD792" s="30">
        <f t="shared" si="9667"/>
        <v>0.41192358689780484</v>
      </c>
      <c r="CE792" s="30">
        <f t="shared" si="9667"/>
        <v>0.40093122571843764</v>
      </c>
      <c r="CF792" s="30">
        <f t="shared" si="9667"/>
        <v>0.33026938497473923</v>
      </c>
      <c r="CG792" s="30">
        <f t="shared" si="9667"/>
        <v>0.32791704620364603</v>
      </c>
      <c r="CH792" s="30">
        <f t="shared" si="9667"/>
        <v>0.35312236724258439</v>
      </c>
      <c r="CI792" s="30">
        <f t="shared" si="9667"/>
        <v>0.36051276286183981</v>
      </c>
      <c r="CJ792" s="30">
        <f t="shared" si="9667"/>
        <v>0.30802771807272072</v>
      </c>
      <c r="CK792" s="30">
        <f t="shared" si="9667"/>
        <v>0.31768545249152758</v>
      </c>
      <c r="CL792" s="30">
        <f t="shared" si="9667"/>
        <v>0.31892212022505184</v>
      </c>
      <c r="CM792" s="32">
        <f t="shared" si="9667"/>
        <v>0.32149260421335724</v>
      </c>
      <c r="CN792" s="32">
        <f t="shared" si="9667"/>
        <v>0.30552987874503834</v>
      </c>
      <c r="CO792" s="32">
        <f t="shared" si="9667"/>
        <v>0.29528041679436101</v>
      </c>
      <c r="CP792" s="32">
        <f t="shared" ref="CP792:CX792" si="9668">CP393/CP419</f>
        <v>0.28830890587719726</v>
      </c>
      <c r="CQ792" s="32">
        <f t="shared" si="9668"/>
        <v>0.26701952024861608</v>
      </c>
      <c r="CR792" s="32">
        <f t="shared" si="9668"/>
        <v>0.24934396447315302</v>
      </c>
      <c r="CS792" s="32">
        <f t="shared" si="9668"/>
        <v>0.25058088501058501</v>
      </c>
      <c r="CT792" s="32">
        <f t="shared" si="9668"/>
        <v>0.2464659204372274</v>
      </c>
      <c r="CU792" s="32">
        <f t="shared" si="9668"/>
        <v>0.20859621451104102</v>
      </c>
      <c r="CV792" s="32">
        <f t="shared" si="9668"/>
        <v>0.1883418352725397</v>
      </c>
      <c r="CW792" s="32">
        <f t="shared" si="9668"/>
        <v>0.19803741845042325</v>
      </c>
      <c r="CX792" s="32">
        <f t="shared" si="9668"/>
        <v>0.20717531690983018</v>
      </c>
      <c r="CY792" s="32">
        <f t="shared" ref="CY792:DD792" si="9669">CY393/CY419</f>
        <v>0.2277860541112019</v>
      </c>
      <c r="CZ792" s="31">
        <f t="shared" si="9669"/>
        <v>0.17982556281108728</v>
      </c>
      <c r="DA792" s="30">
        <f t="shared" si="9669"/>
        <v>0.18486841701819134</v>
      </c>
      <c r="DB792" s="30">
        <f t="shared" si="9669"/>
        <v>0.18096580389466474</v>
      </c>
      <c r="DC792" s="30">
        <f t="shared" si="9669"/>
        <v>0.18024559774249871</v>
      </c>
      <c r="DD792" s="30">
        <f t="shared" si="9669"/>
        <v>0.17778744563913482</v>
      </c>
      <c r="DE792" s="30">
        <f t="shared" ref="DE792" si="9670">DE393/DE419</f>
        <v>0.17584508235739041</v>
      </c>
      <c r="DF792" s="30">
        <f t="shared" ref="DF792" si="9671">DF393/DF419</f>
        <v>0.18012144662058172</v>
      </c>
      <c r="DG792" s="30">
        <f>DG393/DG419</f>
        <v>0.1811048397680099</v>
      </c>
      <c r="DH792" s="30">
        <f>DH393/DH419</f>
        <v>0.18203719308763414</v>
      </c>
      <c r="DI792" s="30">
        <f>DI393/DI419</f>
        <v>0.18368485374835417</v>
      </c>
    </row>
    <row r="793" spans="1:113" ht="12" outlineLevel="1">
      <c r="A793" s="1" t="s">
        <v>815</v>
      </c>
      <c r="B793" s="15" t="s">
        <v>474</v>
      </c>
      <c r="C793" s="207">
        <f t="shared" ref="C793:L793" si="9672">-C430/C419</f>
        <v>0.4724672954061454</v>
      </c>
      <c r="D793" s="207">
        <f t="shared" si="9672"/>
        <v>0.46769413159454654</v>
      </c>
      <c r="E793" s="207">
        <f t="shared" si="9672"/>
        <v>0.47166133362756996</v>
      </c>
      <c r="F793" s="207">
        <f t="shared" si="9672"/>
        <v>0.47404012322488537</v>
      </c>
      <c r="G793" s="207">
        <f t="shared" si="9672"/>
        <v>0.46077730951903134</v>
      </c>
      <c r="H793" s="207">
        <f t="shared" si="9672"/>
        <v>0.47706461428315733</v>
      </c>
      <c r="I793" s="207">
        <f t="shared" si="9672"/>
        <v>0.48637552466957551</v>
      </c>
      <c r="J793" s="207">
        <f t="shared" si="9672"/>
        <v>0.47759266712149218</v>
      </c>
      <c r="K793" s="207">
        <f t="shared" si="9672"/>
        <v>0.47358881781062045</v>
      </c>
      <c r="L793" s="207">
        <f t="shared" si="9672"/>
        <v>0.4691004004293427</v>
      </c>
      <c r="M793" s="30">
        <f t="shared" ref="M793:AF793" si="9673">-M430/M419</f>
        <v>0.46436937013703872</v>
      </c>
      <c r="N793" s="30">
        <f t="shared" si="9673"/>
        <v>0.45544295900824772</v>
      </c>
      <c r="O793" s="30">
        <f t="shared" si="9673"/>
        <v>0.46309616387156444</v>
      </c>
      <c r="P793" s="30">
        <f t="shared" si="9673"/>
        <v>0.4460295350466203</v>
      </c>
      <c r="Q793" s="30">
        <f t="shared" si="9673"/>
        <v>0.47884547531212879</v>
      </c>
      <c r="R793" s="30">
        <f t="shared" si="9673"/>
        <v>0.52092161016949157</v>
      </c>
      <c r="S793" s="30">
        <f t="shared" si="9673"/>
        <v>0.3968351240801628</v>
      </c>
      <c r="T793" s="32">
        <f t="shared" si="9673"/>
        <v>0.42467718794835008</v>
      </c>
      <c r="U793" s="30">
        <f t="shared" si="9673"/>
        <v>0.45107052134994557</v>
      </c>
      <c r="V793" s="30">
        <f t="shared" si="9673"/>
        <v>0.47320169252468264</v>
      </c>
      <c r="W793" s="30">
        <f t="shared" si="9673"/>
        <v>0.47713978751342961</v>
      </c>
      <c r="X793" s="30">
        <f t="shared" si="9673"/>
        <v>0.47396788990825689</v>
      </c>
      <c r="Y793" s="32">
        <f t="shared" si="9673"/>
        <v>0.45059158632778262</v>
      </c>
      <c r="Z793" s="32">
        <f t="shared" si="9673"/>
        <v>0.44478662560492743</v>
      </c>
      <c r="AA793" s="32">
        <f t="shared" si="9673"/>
        <v>0.45305946876008174</v>
      </c>
      <c r="AB793" s="32">
        <f t="shared" si="9673"/>
        <v>0.44331816301199833</v>
      </c>
      <c r="AC793" s="32">
        <f t="shared" ref="AC793:AD793" si="9674">-AC430/AC419</f>
        <v>0.45146316851664986</v>
      </c>
      <c r="AD793" s="32">
        <f t="shared" si="9674"/>
        <v>0.45149583128984794</v>
      </c>
      <c r="AE793" s="32">
        <f t="shared" ref="AE793" si="9675">-AE430/AE419</f>
        <v>0.46170953393927672</v>
      </c>
      <c r="AF793" s="32">
        <f t="shared" si="9673"/>
        <v>0.53152542372881351</v>
      </c>
      <c r="AG793" s="32">
        <f t="shared" ref="AG793:AH793" si="9676">-AG430/AG419</f>
        <v>0.48213068458467234</v>
      </c>
      <c r="AH793" s="32">
        <f t="shared" si="9676"/>
        <v>0.44977947072975138</v>
      </c>
      <c r="AI793" s="32">
        <f t="shared" ref="AI793:AJ793" si="9677">-AI430/AI419</f>
        <v>0.45528455284552843</v>
      </c>
      <c r="AJ793" s="32">
        <f t="shared" si="9677"/>
        <v>0.45319148936170212</v>
      </c>
      <c r="AK793" s="32">
        <f t="shared" ref="AK793:AL793" si="9678">-AK430/AK419</f>
        <v>0.51890070548594291</v>
      </c>
      <c r="AL793" s="32">
        <f t="shared" si="9678"/>
        <v>0.44787605171352352</v>
      </c>
      <c r="AM793" s="32">
        <f t="shared" ref="AM793:AN793" si="9679">-AM430/AM419</f>
        <v>0.50694818485403426</v>
      </c>
      <c r="AN793" s="32">
        <f t="shared" si="9679"/>
        <v>0.53677584800093248</v>
      </c>
      <c r="AO793" s="32">
        <f t="shared" ref="AO793" si="9680">-AO430/AO419</f>
        <v>0.52087648533740327</v>
      </c>
      <c r="AP793" s="32">
        <f t="shared" ref="AP793:AQ793" si="9681">-AP430/AP419</f>
        <v>0.53211444853377654</v>
      </c>
      <c r="AQ793" s="32">
        <f t="shared" si="9681"/>
        <v>0.50631648936170215</v>
      </c>
      <c r="AR793" s="32">
        <f t="shared" ref="AR793:AS793" si="9682">-AR430/AR419</f>
        <v>0.53542691104157358</v>
      </c>
      <c r="AS793" s="32">
        <f t="shared" si="9682"/>
        <v>0.49880195853734766</v>
      </c>
      <c r="AT793" s="32">
        <f t="shared" ref="AT793:AU793" si="9683">-AT430/AT419</f>
        <v>0.47409867172675524</v>
      </c>
      <c r="AU793" s="32">
        <f t="shared" si="9683"/>
        <v>0.49609261939218524</v>
      </c>
      <c r="AV793" s="32">
        <f t="shared" ref="AV793:AW793" si="9684">-AV430/AV419</f>
        <v>0.50401082439354405</v>
      </c>
      <c r="AW793" s="32">
        <f t="shared" si="9684"/>
        <v>0.52819728541387878</v>
      </c>
      <c r="AX793" s="32">
        <f t="shared" ref="AX793" si="9685">-AX430/AX419</f>
        <v>0.52223738062755798</v>
      </c>
      <c r="AY793" s="31">
        <f t="shared" ref="AY793" si="9686">-AY430/AY419</f>
        <v>0.65462215700660309</v>
      </c>
      <c r="AZ793" s="30">
        <f t="shared" ref="AZ793:BA793" si="9687">-AZ430/AZ419</f>
        <v>0.49437372072527541</v>
      </c>
      <c r="BA793" s="30">
        <f t="shared" si="9687"/>
        <v>0.50290309867871474</v>
      </c>
      <c r="BB793" s="30">
        <f t="shared" ref="BB793:BC793" si="9688">-BB430/BB419</f>
        <v>0.47812818226175269</v>
      </c>
      <c r="BC793" s="30">
        <f t="shared" si="9688"/>
        <v>0.51339384679170552</v>
      </c>
      <c r="BD793" s="30">
        <f t="shared" ref="BD793:BE793" si="9689">-BD430/BD419</f>
        <v>0.47045884508626812</v>
      </c>
      <c r="BE793" s="30">
        <f t="shared" si="9689"/>
        <v>0.5101390852692187</v>
      </c>
      <c r="BF793" s="30">
        <f t="shared" ref="BF793:BG793" si="9690">-BF430/BF419</f>
        <v>0.47181828756736094</v>
      </c>
      <c r="BG793" s="30">
        <f t="shared" si="9690"/>
        <v>0.50572808826162308</v>
      </c>
      <c r="BH793" s="30">
        <f t="shared" ref="BH793:BI793" si="9691">-BH430/BH419</f>
        <v>0.46990158529638798</v>
      </c>
      <c r="BI793" s="30">
        <f t="shared" si="9691"/>
        <v>0.50633305632783321</v>
      </c>
      <c r="BJ793" s="30">
        <f t="shared" ref="BJ793:BK793" si="9692">-BJ430/BJ419</f>
        <v>0.4794512742176037</v>
      </c>
      <c r="BK793" s="30">
        <f t="shared" si="9692"/>
        <v>0.49682719590307844</v>
      </c>
      <c r="BL793" s="30">
        <f t="shared" ref="BL793:BM793" si="9693">-BL430/BL419</f>
        <v>0.47490640138969809</v>
      </c>
      <c r="BM793" s="30">
        <f t="shared" si="9693"/>
        <v>0.49571124071385742</v>
      </c>
      <c r="BN793" s="30">
        <f t="shared" ref="BN793:BO793" si="9694">-BN430/BN419</f>
        <v>0.47392905595370927</v>
      </c>
      <c r="BO793" s="30">
        <f t="shared" si="9694"/>
        <v>0.49337335189994064</v>
      </c>
      <c r="BP793" s="30">
        <f t="shared" ref="BP793:BQ793" si="9695">-BP430/BP419</f>
        <v>0.47105516253820739</v>
      </c>
      <c r="BQ793" s="30">
        <f t="shared" si="9695"/>
        <v>0.49040037222196392</v>
      </c>
      <c r="BR793" s="30"/>
      <c r="BS793" s="207">
        <f t="shared" ref="BS793:CB793" si="9696">-BS430/BS419</f>
        <v>0.73221159133399316</v>
      </c>
      <c r="BT793" s="207">
        <f t="shared" si="9696"/>
        <v>0.70710728836577641</v>
      </c>
      <c r="BU793" s="207">
        <f t="shared" si="9696"/>
        <v>0.65424024416830173</v>
      </c>
      <c r="BV793" s="207">
        <f t="shared" si="9696"/>
        <v>0.64406779661016944</v>
      </c>
      <c r="BW793" s="207">
        <f t="shared" si="9696"/>
        <v>0.6575687185443283</v>
      </c>
      <c r="BX793" s="207">
        <f t="shared" si="9696"/>
        <v>0.63133225166756801</v>
      </c>
      <c r="BY793" s="207">
        <f t="shared" si="9696"/>
        <v>0.60502724556161014</v>
      </c>
      <c r="BZ793" s="207">
        <f t="shared" si="9696"/>
        <v>0.54708222811671092</v>
      </c>
      <c r="CA793" s="207">
        <f t="shared" si="9696"/>
        <v>0.51723057644110271</v>
      </c>
      <c r="CB793" s="207">
        <f t="shared" si="9696"/>
        <v>0.48001873243833904</v>
      </c>
      <c r="CC793" s="30">
        <f t="shared" ref="CC793:CR793" si="9697">-CC430/CC419</f>
        <v>0.469723835757617</v>
      </c>
      <c r="CD793" s="30">
        <f t="shared" si="9697"/>
        <v>0.46727861535355519</v>
      </c>
      <c r="CE793" s="30">
        <f t="shared" si="9697"/>
        <v>0.48192527837535104</v>
      </c>
      <c r="CF793" s="30">
        <f t="shared" si="9697"/>
        <v>0.47554447806004141</v>
      </c>
      <c r="CG793" s="30">
        <f t="shared" si="9697"/>
        <v>0.46668189654588277</v>
      </c>
      <c r="CH793" s="30">
        <f t="shared" si="9697"/>
        <v>0.45935753410459013</v>
      </c>
      <c r="CI793" s="30">
        <f t="shared" si="9697"/>
        <v>0.46216760919753719</v>
      </c>
      <c r="CJ793" s="30">
        <f t="shared" si="9697"/>
        <v>0.44994360670786315</v>
      </c>
      <c r="CK793" s="30">
        <f t="shared" si="9697"/>
        <v>0.43837077946529435</v>
      </c>
      <c r="CL793" s="30">
        <f t="shared" si="9697"/>
        <v>0.47515546342907905</v>
      </c>
      <c r="CM793" s="32">
        <f t="shared" si="9697"/>
        <v>0.46201255042581801</v>
      </c>
      <c r="CN793" s="32">
        <f t="shared" si="9697"/>
        <v>0.44896960469795011</v>
      </c>
      <c r="CO793" s="32">
        <f t="shared" si="9697"/>
        <v>0.44744100520992952</v>
      </c>
      <c r="CP793" s="32">
        <f t="shared" si="9697"/>
        <v>0.45663923649997568</v>
      </c>
      <c r="CQ793" s="32">
        <f t="shared" si="9697"/>
        <v>0.50689521219772748</v>
      </c>
      <c r="CR793" s="32">
        <f t="shared" si="9697"/>
        <v>0.45251312071053695</v>
      </c>
      <c r="CS793" s="32">
        <f t="shared" ref="CS793:CX793" si="9698">-CS430/CS419</f>
        <v>0.48541333195642072</v>
      </c>
      <c r="CT793" s="32">
        <f t="shared" si="9698"/>
        <v>0.47669346786483791</v>
      </c>
      <c r="CU793" s="32">
        <f t="shared" si="9698"/>
        <v>0.52856016223524105</v>
      </c>
      <c r="CV793" s="32">
        <f t="shared" si="9698"/>
        <v>0.51877113543875741</v>
      </c>
      <c r="CW793" s="32">
        <f t="shared" si="9698"/>
        <v>0.51647166657680488</v>
      </c>
      <c r="CX793" s="32">
        <f t="shared" si="9698"/>
        <v>0.48500358765845492</v>
      </c>
      <c r="CY793" s="32">
        <f t="shared" ref="CY793:DD793" si="9699">-CY430/CY419</f>
        <v>0.51617088759671292</v>
      </c>
      <c r="CZ793" s="31">
        <f t="shared" si="9699"/>
        <v>0.58815471026074251</v>
      </c>
      <c r="DA793" s="30">
        <f t="shared" si="9699"/>
        <v>0.49867149484944939</v>
      </c>
      <c r="DB793" s="30">
        <f t="shared" si="9699"/>
        <v>0.49581431445968566</v>
      </c>
      <c r="DC793" s="30">
        <f t="shared" si="9699"/>
        <v>0.49035032703057418</v>
      </c>
      <c r="DD793" s="30">
        <f t="shared" si="9699"/>
        <v>0.48885245676755962</v>
      </c>
      <c r="DE793" s="30">
        <f t="shared" ref="DE793" si="9700">-DE430/DE419</f>
        <v>0.48820681579451064</v>
      </c>
      <c r="DF793" s="30">
        <f t="shared" ref="DF793" si="9701">-DF430/DF419</f>
        <v>0.48821972020636345</v>
      </c>
      <c r="DG793" s="30">
        <f>-DG430/DG419</f>
        <v>0.48537106800143415</v>
      </c>
      <c r="DH793" s="30">
        <f>-DH430/DH419</f>
        <v>0.48374346495700321</v>
      </c>
      <c r="DI793" s="30">
        <f>-DI430/DI419</f>
        <v>0.48082529849069544</v>
      </c>
    </row>
    <row r="794" spans="1:113" ht="12" outlineLevel="1">
      <c r="A794" s="1" t="s">
        <v>816</v>
      </c>
      <c r="B794" s="15" t="s">
        <v>410</v>
      </c>
      <c r="C794" s="207"/>
      <c r="D794" s="207"/>
      <c r="E794" s="207">
        <f t="shared" ref="E794:L794" si="9702">(E419/D419-1)-(E430/D430-1)</f>
        <v>-8.8861554435131218E-3</v>
      </c>
      <c r="F794" s="207">
        <f t="shared" si="9702"/>
        <v>-5.1274136850862906E-3</v>
      </c>
      <c r="G794" s="207">
        <f t="shared" si="9702"/>
        <v>2.9098026054609427E-2</v>
      </c>
      <c r="H794" s="207">
        <f t="shared" si="9702"/>
        <v>-3.9631993907156104E-2</v>
      </c>
      <c r="I794" s="207">
        <f t="shared" si="9702"/>
        <v>-2.131702056828666E-2</v>
      </c>
      <c r="J794" s="207">
        <f t="shared" si="9702"/>
        <v>1.8333094089120983E-2</v>
      </c>
      <c r="K794" s="207">
        <f t="shared" si="9702"/>
        <v>8.7800443148582374E-3</v>
      </c>
      <c r="L794" s="207">
        <f t="shared" si="9702"/>
        <v>9.8343867085617376E-3</v>
      </c>
      <c r="M794" s="30">
        <f t="shared" ref="M794:AX794" si="9703">(M419/L419-1)-(M430/L430-1)</f>
        <v>1.0547511636195495E-2</v>
      </c>
      <c r="N794" s="30">
        <f t="shared" si="9703"/>
        <v>2.0071821638715015E-2</v>
      </c>
      <c r="O794" s="30">
        <f t="shared" si="9703"/>
        <v>-1.7594685800882859E-2</v>
      </c>
      <c r="P794" s="30">
        <f t="shared" si="9703"/>
        <v>3.9820708418626172E-2</v>
      </c>
      <c r="Q794" s="30">
        <f t="shared" si="9703"/>
        <v>-7.1192207298325982E-2</v>
      </c>
      <c r="R794" s="30">
        <f t="shared" si="9703"/>
        <v>-8.9039522208847366E-2</v>
      </c>
      <c r="S794" s="30">
        <f t="shared" si="9703"/>
        <v>0.31835523637401542</v>
      </c>
      <c r="T794" s="32">
        <f t="shared" si="9703"/>
        <v>-6.5797576551085979E-2</v>
      </c>
      <c r="U794" s="30">
        <f t="shared" si="9703"/>
        <v>-6.7012803203620797E-2</v>
      </c>
      <c r="V794" s="30">
        <f t="shared" si="9703"/>
        <v>-5.0493967378563376E-2</v>
      </c>
      <c r="W794" s="30">
        <f t="shared" si="9703"/>
        <v>-8.1940938203510783E-3</v>
      </c>
      <c r="X794" s="30">
        <f t="shared" si="9703"/>
        <v>6.919926724319847E-3</v>
      </c>
      <c r="Y794" s="32">
        <f t="shared" si="9703"/>
        <v>5.1628090753101485E-2</v>
      </c>
      <c r="Z794" s="32">
        <f t="shared" si="9703"/>
        <v>1.2832167005154327E-2</v>
      </c>
      <c r="AA794" s="32">
        <f t="shared" si="9703"/>
        <v>-1.902303869925337E-2</v>
      </c>
      <c r="AB794" s="32">
        <f t="shared" si="9703"/>
        <v>2.2354366003434656E-2</v>
      </c>
      <c r="AC794" s="32">
        <f t="shared" si="9703"/>
        <v>-1.8832712214441605E-2</v>
      </c>
      <c r="AD794" s="32">
        <f t="shared" si="9703"/>
        <v>-7.4429363601913323E-5</v>
      </c>
      <c r="AE794" s="32">
        <f t="shared" si="9703"/>
        <v>-2.2948101846707036E-2</v>
      </c>
      <c r="AF794" s="32">
        <f t="shared" si="9703"/>
        <v>-0.15096315436166874</v>
      </c>
      <c r="AG794" s="32">
        <f t="shared" si="9703"/>
        <v>9.2426125413845872E-2</v>
      </c>
      <c r="AH794" s="32">
        <f t="shared" si="9703"/>
        <v>6.5185964333809521E-2</v>
      </c>
      <c r="AI794" s="32">
        <f t="shared" si="9703"/>
        <v>-1.2072656121962622E-2</v>
      </c>
      <c r="AJ794" s="32">
        <f t="shared" si="9703"/>
        <v>4.6112804878047919E-3</v>
      </c>
      <c r="AK794" s="32">
        <f t="shared" si="9703"/>
        <v>-0.13951272647706559</v>
      </c>
      <c r="AL794" s="32">
        <f t="shared" si="9703"/>
        <v>0.14046393580884731</v>
      </c>
      <c r="AM794" s="32">
        <f t="shared" si="9703"/>
        <v>-0.12562808979229345</v>
      </c>
      <c r="AN794" s="32">
        <f t="shared" si="9703"/>
        <v>-5.4375589064436847E-2</v>
      </c>
      <c r="AO794" s="32">
        <f t="shared" si="9703"/>
        <v>3.1670978004897599E-2</v>
      </c>
      <c r="AP794" s="32">
        <f t="shared" si="9703"/>
        <v>-1.9811084973430759E-2</v>
      </c>
      <c r="AQ794" s="32">
        <f t="shared" si="9703"/>
        <v>5.1941272549933082E-2</v>
      </c>
      <c r="AR794" s="32">
        <f t="shared" si="9703"/>
        <v>-5.7010298356640177E-2</v>
      </c>
      <c r="AS794" s="32">
        <f t="shared" si="9703"/>
        <v>7.3379862051359601E-2</v>
      </c>
      <c r="AT794" s="32">
        <f t="shared" si="9703"/>
        <v>5.4380251249716682E-2</v>
      </c>
      <c r="AU794" s="32">
        <f t="shared" si="9703"/>
        <v>-4.5620826006040005E-2</v>
      </c>
      <c r="AV794" s="32">
        <f t="shared" si="9703"/>
        <v>-1.5933424183014355E-2</v>
      </c>
      <c r="AW794" s="32">
        <f t="shared" si="9703"/>
        <v>-4.852133369026701E-2</v>
      </c>
      <c r="AX794" s="32">
        <f t="shared" si="9703"/>
        <v>1.1858333898949969E-2</v>
      </c>
      <c r="AY794" s="31">
        <f t="shared" ref="AY794" si="9704">(AY419/AX419-1)-(AY430/AX430-1)</f>
        <v>-0.25139735312384315</v>
      </c>
      <c r="AZ794" s="30">
        <f t="shared" ref="AZ794" si="9705">(AZ419/AY419-1)-(AZ430/AY430-1)</f>
        <v>0.2568149624682865</v>
      </c>
      <c r="BA794" s="30">
        <f t="shared" ref="BA794" si="9706">(BA419/AZ419-1)-(BA430/AZ430-1)</f>
        <v>-1.7522681518117089E-2</v>
      </c>
      <c r="BB794" s="30">
        <f t="shared" ref="BB794" si="9707">(BB419/BA419-1)-(BB430/BA430-1)</f>
        <v>4.9516260441478166E-2</v>
      </c>
      <c r="BC794" s="30">
        <f t="shared" ref="BC794" si="9708">(BC419/BB419-1)-(BC430/BB430-1)</f>
        <v>-7.4205018622557573E-2</v>
      </c>
      <c r="BD794" s="30">
        <f t="shared" ref="BD794" si="9709">(BD419/BC419-1)-(BD430/BC430-1)</f>
        <v>8.5104758208335629E-2</v>
      </c>
      <c r="BE794" s="30">
        <f t="shared" ref="BE794" si="9710">(BE419/BD419-1)-(BE430/BD430-1)</f>
        <v>-8.4781530310210407E-2</v>
      </c>
      <c r="BF794" s="30">
        <f t="shared" ref="BF794" si="9711">(BF419/BE419-1)-(BF430/BE430-1)</f>
        <v>7.6378748857139689E-2</v>
      </c>
      <c r="BG794" s="30">
        <f t="shared" ref="BG794:BK794" si="9712">(BG419/BF419-1)-(BG430/BF430-1)</f>
        <v>-7.2545652398514404E-2</v>
      </c>
      <c r="BH794" s="30">
        <f t="shared" si="9712"/>
        <v>7.1659026510787927E-2</v>
      </c>
      <c r="BI794" s="30">
        <f t="shared" si="9712"/>
        <v>-7.8295582676045195E-2</v>
      </c>
      <c r="BJ794" s="30">
        <f t="shared" si="9712"/>
        <v>5.3896035009754595E-2</v>
      </c>
      <c r="BK794" s="30">
        <f t="shared" si="9712"/>
        <v>-3.6919022979359895E-2</v>
      </c>
      <c r="BL794" s="30">
        <f t="shared" ref="BL794" si="9713">(BL419/BK419-1)-(BL430/BK430-1)</f>
        <v>4.4540625447674009E-2</v>
      </c>
      <c r="BM794" s="30">
        <f t="shared" ref="BM794" si="9714">(BM419/BL419-1)-(BM430/BL430-1)</f>
        <v>-4.4335738466120267E-2</v>
      </c>
      <c r="BN794" s="30">
        <f t="shared" ref="BN794" si="9715">(BN419/BM419-1)-(BN430/BM430-1)</f>
        <v>4.4383173628406603E-2</v>
      </c>
      <c r="BO794" s="30">
        <f t="shared" ref="BO794" si="9716">(BO419/BN419-1)-(BO430/BN430-1)</f>
        <v>-4.1814013126950655E-2</v>
      </c>
      <c r="BP794" s="30">
        <f t="shared" ref="BP794" si="9717">(BP419/BO419-1)-(BP430/BO430-1)</f>
        <v>4.5627264762563402E-2</v>
      </c>
      <c r="BQ794" s="30">
        <f t="shared" ref="BQ794" si="9718">(BQ419/BP419-1)-(BQ430/BP430-1)</f>
        <v>-4.1904450857408015E-2</v>
      </c>
      <c r="BR794" s="30"/>
      <c r="BS794" s="207"/>
      <c r="BT794" s="207"/>
      <c r="BU794" s="207">
        <f t="shared" ref="BU794:CB794" si="9719">(BU419/BT419-1)-(BU430/BT430-1)</f>
        <v>7.7625202219531397E-2</v>
      </c>
      <c r="BV794" s="207">
        <f t="shared" si="9719"/>
        <v>1.6399300661860572E-2</v>
      </c>
      <c r="BW794" s="207">
        <f t="shared" si="9719"/>
        <v>-2.2383107417157877E-2</v>
      </c>
      <c r="BX794" s="207">
        <f t="shared" si="9719"/>
        <v>4.2841825659519772E-2</v>
      </c>
      <c r="BY794" s="207">
        <f t="shared" si="9719"/>
        <v>4.2732489930552453E-2</v>
      </c>
      <c r="BZ794" s="207">
        <f t="shared" si="9719"/>
        <v>0.10154687542929464</v>
      </c>
      <c r="CA794" s="207">
        <f t="shared" si="9719"/>
        <v>5.774937705972194E-2</v>
      </c>
      <c r="CB794" s="207">
        <f t="shared" si="9719"/>
        <v>7.2192329703726354E-2</v>
      </c>
      <c r="CC794" s="30">
        <f t="shared" ref="CC794:CS794" si="9720">(CC419/CB419-1)-(CC430/CB430-1)</f>
        <v>2.312943556472713E-2</v>
      </c>
      <c r="CD794" s="30">
        <f t="shared" si="9720"/>
        <v>5.5237181711762506E-3</v>
      </c>
      <c r="CE794" s="30">
        <f t="shared" si="9720"/>
        <v>-3.7485780319869155E-2</v>
      </c>
      <c r="CF794" s="30">
        <f t="shared" si="9720"/>
        <v>1.4366628628919464E-2</v>
      </c>
      <c r="CG794" s="30">
        <f t="shared" si="9720"/>
        <v>2.0238854647741666E-2</v>
      </c>
      <c r="CH794" s="30">
        <f t="shared" si="9720"/>
        <v>1.7149216451608051E-2</v>
      </c>
      <c r="CI794" s="30">
        <f t="shared" si="9720"/>
        <v>-6.65250429109987E-3</v>
      </c>
      <c r="CJ794" s="30">
        <f t="shared" si="9720"/>
        <v>3.0795250594646051E-2</v>
      </c>
      <c r="CK794" s="30">
        <f t="shared" si="9720"/>
        <v>2.867468161601594E-2</v>
      </c>
      <c r="CL794" s="30">
        <f t="shared" si="9720"/>
        <v>-8.8920456510880985E-2</v>
      </c>
      <c r="CM794" s="32">
        <f t="shared" si="9720"/>
        <v>2.9237780291936133E-2</v>
      </c>
      <c r="CN794" s="32">
        <f t="shared" si="9720"/>
        <v>2.9089596759788838E-2</v>
      </c>
      <c r="CO794" s="32">
        <f t="shared" si="9720"/>
        <v>3.6244302744903312E-3</v>
      </c>
      <c r="CP794" s="32">
        <f t="shared" si="9720"/>
        <v>-2.1564392237862551E-2</v>
      </c>
      <c r="CQ794" s="32">
        <f>(CQ419/CP419-1)-(CQ430/CP430-1)</f>
        <v>-0.1103616510470784</v>
      </c>
      <c r="CR794" s="32">
        <f t="shared" si="9720"/>
        <v>0.10323168166588448</v>
      </c>
      <c r="CS794" s="32">
        <f t="shared" si="9720"/>
        <v>-7.1058145555819241E-2</v>
      </c>
      <c r="CT794" s="32">
        <f t="shared" ref="CT794" si="9721">(CT419/CS419-1)-(CT430/CS430-1)</f>
        <v>1.7650281225266462E-2</v>
      </c>
      <c r="CU794" s="32">
        <f t="shared" ref="CU794" si="9722">(CU419/CT419-1)-(CU430/CT430-1)</f>
        <v>-0.10150342392937917</v>
      </c>
      <c r="CV794" s="32">
        <f t="shared" ref="CV794" si="9723">(CV419/CU419-1)-(CV430/CU430-1)</f>
        <v>1.8201977034877026E-2</v>
      </c>
      <c r="CW794" s="32">
        <f t="shared" ref="CW794" si="9724">(CW419/CV419-1)-(CW430/CV430-1)</f>
        <v>4.7119930375243424E-3</v>
      </c>
      <c r="CX794" s="32">
        <f t="shared" ref="CX794:DI794" si="9725">(CX419/CW419-1)-(CX430/CW430-1)</f>
        <v>6.8675246872127227E-2</v>
      </c>
      <c r="CY794" s="32">
        <f t="shared" si="9725"/>
        <v>-6.3966894606490854E-2</v>
      </c>
      <c r="CZ794" s="31">
        <f t="shared" si="9725"/>
        <v>-0.1467622877310848</v>
      </c>
      <c r="DA794" s="30">
        <f t="shared" si="9725"/>
        <v>0.16019211752026408</v>
      </c>
      <c r="DB794" s="30">
        <f t="shared" si="9725"/>
        <v>5.8212205141010553E-3</v>
      </c>
      <c r="DC794" s="30">
        <f t="shared" si="9725"/>
        <v>1.1277691022862024E-2</v>
      </c>
      <c r="DD794" s="30">
        <f t="shared" si="9725"/>
        <v>3.1286168450472829E-3</v>
      </c>
      <c r="DE794" s="30">
        <f t="shared" si="9725"/>
        <v>1.3488433964816693E-3</v>
      </c>
      <c r="DF794" s="30">
        <f t="shared" si="9725"/>
        <v>-2.7216981507205418E-5</v>
      </c>
      <c r="DG794" s="30">
        <f t="shared" si="9725"/>
        <v>5.9805461538211535E-3</v>
      </c>
      <c r="DH794" s="30">
        <f t="shared" si="9725"/>
        <v>3.4399517892753639E-3</v>
      </c>
      <c r="DI794" s="30">
        <f t="shared" si="9725"/>
        <v>6.2049653624334233E-3</v>
      </c>
    </row>
    <row r="795" spans="1:113" ht="12" outlineLevel="1">
      <c r="A795" s="1" t="s">
        <v>2102</v>
      </c>
      <c r="B795" s="15" t="s">
        <v>2101</v>
      </c>
      <c r="C795" s="212">
        <f t="shared" ref="C795:AF795" si="9726">(C178)/(C204-C205)</f>
        <v>1.5832489783676378</v>
      </c>
      <c r="D795" s="212">
        <f t="shared" si="9726"/>
        <v>1.5413133433283359</v>
      </c>
      <c r="E795" s="212">
        <f t="shared" si="9726"/>
        <v>1.560560814472334</v>
      </c>
      <c r="F795" s="212">
        <f t="shared" si="9726"/>
        <v>1.6245779953942809</v>
      </c>
      <c r="G795" s="212">
        <f t="shared" si="9726"/>
        <v>1.6575392993913882</v>
      </c>
      <c r="H795" s="212">
        <f t="shared" si="9726"/>
        <v>1.7904935555441857</v>
      </c>
      <c r="I795" s="212">
        <f t="shared" si="9726"/>
        <v>1.7002459003045256</v>
      </c>
      <c r="J795" s="212">
        <f t="shared" si="9726"/>
        <v>1.7601814393508364</v>
      </c>
      <c r="K795" s="212">
        <f t="shared" si="9726"/>
        <v>1.7911948923407832</v>
      </c>
      <c r="L795" s="212">
        <f t="shared" si="9726"/>
        <v>1.8072128784591739</v>
      </c>
      <c r="M795" s="42">
        <f t="shared" si="9726"/>
        <v>1.7414546819894601</v>
      </c>
      <c r="N795" s="42">
        <f t="shared" si="9726"/>
        <v>1.7056405299725725</v>
      </c>
      <c r="O795" s="42">
        <f t="shared" si="9726"/>
        <v>1.68467074342321</v>
      </c>
      <c r="P795" s="42">
        <f t="shared" si="9726"/>
        <v>1.7183440605420175</v>
      </c>
      <c r="Q795" s="42">
        <f t="shared" si="9726"/>
        <v>1.7247588228730257</v>
      </c>
      <c r="R795" s="42">
        <f t="shared" si="9726"/>
        <v>1.5741319067274966</v>
      </c>
      <c r="S795" s="42">
        <f t="shared" si="9726"/>
        <v>1.4720892794987817</v>
      </c>
      <c r="T795" s="42">
        <f t="shared" si="9726"/>
        <v>1.4465676316234974</v>
      </c>
      <c r="U795" s="42">
        <f t="shared" si="9726"/>
        <v>1.3928088683114785</v>
      </c>
      <c r="V795" s="42">
        <f t="shared" si="9726"/>
        <v>1.4384441341407865</v>
      </c>
      <c r="W795" s="42">
        <f t="shared" si="9726"/>
        <v>1.3546407215836096</v>
      </c>
      <c r="X795" s="42">
        <f t="shared" si="9726"/>
        <v>1.3620365123716107</v>
      </c>
      <c r="Y795" s="43">
        <f t="shared" si="9726"/>
        <v>1.3203874583904445</v>
      </c>
      <c r="Z795" s="43">
        <f t="shared" si="9726"/>
        <v>1.333340132466541</v>
      </c>
      <c r="AA795" s="43">
        <f t="shared" si="9726"/>
        <v>1.3236060207288822</v>
      </c>
      <c r="AB795" s="43">
        <f t="shared" si="9726"/>
        <v>1.3236494796349694</v>
      </c>
      <c r="AC795" s="43">
        <f t="shared" si="9726"/>
        <v>1.3025592492405218</v>
      </c>
      <c r="AD795" s="43">
        <f t="shared" ref="AD795:AE795" si="9727">(AD178)/(AD204-AD205)</f>
        <v>1.2863391941173365</v>
      </c>
      <c r="AE795" s="43">
        <f t="shared" si="9727"/>
        <v>1.289705474775743</v>
      </c>
      <c r="AF795" s="43">
        <f t="shared" si="9726"/>
        <v>1.2650851543352317</v>
      </c>
      <c r="AG795" s="43">
        <f t="shared" ref="AG795:AH795" si="9728">(AG178)/(AG204-AG205)</f>
        <v>1.2904968782112296</v>
      </c>
      <c r="AH795" s="43">
        <f t="shared" si="9728"/>
        <v>1.2306043274297176</v>
      </c>
      <c r="AI795" s="43">
        <f t="shared" ref="AI795:AJ795" si="9729">(AI178)/(AI204-AI205)</f>
        <v>1.2502121386143705</v>
      </c>
      <c r="AJ795" s="43">
        <f t="shared" si="9729"/>
        <v>1.2608112403840042</v>
      </c>
      <c r="AK795" s="43">
        <f t="shared" ref="AK795:AL795" si="9730">(AK178)/(AK204-AK205)</f>
        <v>1.2495641626577854</v>
      </c>
      <c r="AL795" s="43">
        <f t="shared" si="9730"/>
        <v>1.2449053332873212</v>
      </c>
      <c r="AM795" s="43">
        <f t="shared" ref="AM795:AN795" si="9731">(AM178)/(AM204-AM205)</f>
        <v>1.2083319490397562</v>
      </c>
      <c r="AN795" s="43">
        <f t="shared" si="9731"/>
        <v>1.1664354205501892</v>
      </c>
      <c r="AO795" s="43">
        <f t="shared" ref="AO795" si="9732">(AO178)/(AO204-AO205)</f>
        <v>1.1247531062000895</v>
      </c>
      <c r="AP795" s="43">
        <f t="shared" ref="AP795:AQ795" si="9733">(AP178)/(AP204-AP205)</f>
        <v>1.0999830817862073</v>
      </c>
      <c r="AQ795" s="43">
        <f t="shared" si="9733"/>
        <v>1.0660094140320966</v>
      </c>
      <c r="AR795" s="43">
        <f t="shared" ref="AR795:AS795" si="9734">(AR178)/(AR204-AR205)</f>
        <v>1.0702376549372068</v>
      </c>
      <c r="AS795" s="43">
        <f t="shared" si="9734"/>
        <v>1.0857389230050127</v>
      </c>
      <c r="AT795" s="43">
        <f t="shared" ref="AT795:AU795" si="9735">(AT178)/(AT204-AT205)</f>
        <v>1.0654906440835796</v>
      </c>
      <c r="AU795" s="43">
        <f t="shared" si="9735"/>
        <v>1.0935083037277533</v>
      </c>
      <c r="AV795" s="43">
        <f t="shared" ref="AV795:AW795" si="9736">(AV178)/(AV204-AV205)</f>
        <v>1.1160866648988441</v>
      </c>
      <c r="AW795" s="43">
        <f t="shared" si="9736"/>
        <v>1.1232139885991685</v>
      </c>
      <c r="AX795" s="43">
        <f t="shared" ref="AX795" si="9737">(AX178)/(AX204-AX205)</f>
        <v>1.0841262812844898</v>
      </c>
      <c r="AY795" s="44">
        <f t="shared" ref="AY795" si="9738">(AY178)/(AY204-AY205)</f>
        <v>1.1088339524929249</v>
      </c>
      <c r="AZ795" s="42">
        <f t="shared" ref="AZ795:BA795" si="9739">(AZ178)/(AZ204-AZ205)</f>
        <v>1.0796857036654466</v>
      </c>
      <c r="BA795" s="42">
        <f t="shared" si="9739"/>
        <v>1.0503987196687463</v>
      </c>
      <c r="BB795" s="42">
        <f t="shared" ref="BB795:BC795" si="9740">(BB178)/(BB204-BB205)</f>
        <v>1.0358356030352442</v>
      </c>
      <c r="BC795" s="42">
        <f t="shared" si="9740"/>
        <v>1.0253793807030449</v>
      </c>
      <c r="BD795" s="42">
        <f t="shared" ref="BD795:BE795" si="9741">(BD178)/(BD204-BD205)</f>
        <v>1.0143100269451326</v>
      </c>
      <c r="BE795" s="42">
        <f t="shared" si="9741"/>
        <v>1.0035827507694433</v>
      </c>
      <c r="BF795" s="42">
        <f t="shared" ref="BF795:BG795" si="9742">(BF178)/(BF204-BF205)</f>
        <v>0.99162294467206735</v>
      </c>
      <c r="BG795" s="42">
        <f t="shared" si="9742"/>
        <v>0.97918767694577413</v>
      </c>
      <c r="BH795" s="42">
        <f t="shared" ref="BH795:BI795" si="9743">(BH178)/(BH204-BH205)</f>
        <v>0.97041547069010081</v>
      </c>
      <c r="BI795" s="42">
        <f t="shared" si="9743"/>
        <v>0.96587894609183733</v>
      </c>
      <c r="BJ795" s="42">
        <f t="shared" ref="BJ795:BK795" si="9744">(BJ178)/(BJ204-BJ205)</f>
        <v>0.95913196464891848</v>
      </c>
      <c r="BK795" s="42">
        <f t="shared" si="9744"/>
        <v>0.95619688285809068</v>
      </c>
      <c r="BL795" s="42">
        <f t="shared" ref="BL795:BM795" si="9745">(BL178)/(BL204-BL205)</f>
        <v>0.95937892101557831</v>
      </c>
      <c r="BM795" s="42">
        <f t="shared" si="9745"/>
        <v>0.9625098209459787</v>
      </c>
      <c r="BN795" s="42">
        <f t="shared" ref="BN795:BO795" si="9746">(BN178)/(BN204-BN205)</f>
        <v>0.96248731238402807</v>
      </c>
      <c r="BO795" s="42">
        <f t="shared" si="9746"/>
        <v>0.96246406405761653</v>
      </c>
      <c r="BP795" s="42">
        <f t="shared" ref="BP795:BQ795" si="9747">(BP178)/(BP204-BP205)</f>
        <v>0.9599760445790837</v>
      </c>
      <c r="BQ795" s="42">
        <f t="shared" si="9747"/>
        <v>0.95745518869792579</v>
      </c>
      <c r="BR795" s="30"/>
      <c r="BS795" s="212">
        <f t="shared" ref="BS795:CY795" si="9748">(BS178)/(BS204-BS205)</f>
        <v>1.3738354488044091</v>
      </c>
      <c r="BT795" s="212">
        <f t="shared" si="9748"/>
        <v>1.2674050468667282</v>
      </c>
      <c r="BU795" s="212">
        <f t="shared" si="9748"/>
        <v>1.2684004418114267</v>
      </c>
      <c r="BV795" s="212">
        <f t="shared" si="9748"/>
        <v>1.281321327797847</v>
      </c>
      <c r="BW795" s="212">
        <f t="shared" si="9748"/>
        <v>1.2300726331868201</v>
      </c>
      <c r="BX795" s="212">
        <f t="shared" si="9748"/>
        <v>1.24426651415499</v>
      </c>
      <c r="BY795" s="212">
        <f t="shared" si="9748"/>
        <v>1.3523618784530387</v>
      </c>
      <c r="BZ795" s="212">
        <f t="shared" si="9748"/>
        <v>1.543986333228057</v>
      </c>
      <c r="CA795" s="212">
        <f t="shared" si="9748"/>
        <v>1.7609774048723044</v>
      </c>
      <c r="CB795" s="212">
        <f t="shared" si="9748"/>
        <v>1.5832489783676378</v>
      </c>
      <c r="CC795" s="42">
        <f t="shared" si="9748"/>
        <v>1.560560814472334</v>
      </c>
      <c r="CD795" s="42">
        <f t="shared" si="9748"/>
        <v>1.6575392993913882</v>
      </c>
      <c r="CE795" s="42">
        <f t="shared" si="9748"/>
        <v>1.7002459003045256</v>
      </c>
      <c r="CF795" s="42">
        <f t="shared" si="9748"/>
        <v>1.7911948923407832</v>
      </c>
      <c r="CG795" s="42">
        <f t="shared" si="9748"/>
        <v>1.7414546819894601</v>
      </c>
      <c r="CH795" s="42">
        <f t="shared" si="9748"/>
        <v>1.68467074342321</v>
      </c>
      <c r="CI795" s="42">
        <f t="shared" si="9748"/>
        <v>1.7247588228730257</v>
      </c>
      <c r="CJ795" s="42">
        <f t="shared" si="9748"/>
        <v>1.4720892794987817</v>
      </c>
      <c r="CK795" s="42">
        <f t="shared" si="9748"/>
        <v>1.3928088683114785</v>
      </c>
      <c r="CL795" s="42">
        <f t="shared" si="9748"/>
        <v>1.3546407215836096</v>
      </c>
      <c r="CM795" s="43">
        <f t="shared" si="9748"/>
        <v>1.3203874583904445</v>
      </c>
      <c r="CN795" s="43">
        <f t="shared" si="9748"/>
        <v>1.3236060207288822</v>
      </c>
      <c r="CO795" s="43">
        <f t="shared" si="9748"/>
        <v>1.3025592492405218</v>
      </c>
      <c r="CP795" s="43">
        <f t="shared" si="9748"/>
        <v>1.289705474775743</v>
      </c>
      <c r="CQ795" s="43">
        <f t="shared" si="9748"/>
        <v>1.2904968782112296</v>
      </c>
      <c r="CR795" s="43">
        <f t="shared" si="9748"/>
        <v>1.2502121386143705</v>
      </c>
      <c r="CS795" s="43">
        <f t="shared" si="9748"/>
        <v>1.2495641626577854</v>
      </c>
      <c r="CT795" s="43">
        <f t="shared" si="9748"/>
        <v>1.2083319490397562</v>
      </c>
      <c r="CU795" s="43">
        <f t="shared" si="9748"/>
        <v>1.1247531062000895</v>
      </c>
      <c r="CV795" s="43">
        <f t="shared" si="9748"/>
        <v>1.0660094140320966</v>
      </c>
      <c r="CW795" s="43">
        <f t="shared" si="9748"/>
        <v>1.0857389230050127</v>
      </c>
      <c r="CX795" s="43">
        <f t="shared" si="9748"/>
        <v>1.0935083037277533</v>
      </c>
      <c r="CY795" s="43">
        <f t="shared" si="9748"/>
        <v>1.1232139885991685</v>
      </c>
      <c r="CZ795" s="44">
        <f t="shared" ref="CZ795" si="9749">(CZ178)/(CZ204-CZ205)</f>
        <v>1.1088339524929249</v>
      </c>
      <c r="DA795" s="42">
        <f t="shared" ref="DA795:DF795" si="9750">(DA178)/(DA204-DA205)</f>
        <v>1.0503987196687463</v>
      </c>
      <c r="DB795" s="42">
        <f t="shared" si="9750"/>
        <v>1.0253793807030449</v>
      </c>
      <c r="DC795" s="42">
        <f t="shared" si="9750"/>
        <v>1.0035827507694433</v>
      </c>
      <c r="DD795" s="42">
        <f t="shared" si="9750"/>
        <v>0.97918767694577413</v>
      </c>
      <c r="DE795" s="42">
        <f t="shared" si="9750"/>
        <v>0.96587894609183733</v>
      </c>
      <c r="DF795" s="42">
        <f t="shared" si="9750"/>
        <v>0.95619688285809068</v>
      </c>
      <c r="DG795" s="42">
        <f t="shared" ref="DG795:DH795" si="9751">(DG178)/(DG204-DG205)</f>
        <v>0.9625098209459787</v>
      </c>
      <c r="DH795" s="42">
        <f t="shared" si="9751"/>
        <v>0.96246406405761653</v>
      </c>
      <c r="DI795" s="42">
        <f>(DI178)/(DI204-DI205)</f>
        <v>0.95745518869792579</v>
      </c>
    </row>
    <row r="796" spans="1:113" ht="12" hidden="1" outlineLevel="2">
      <c r="A796" s="1" t="s">
        <v>817</v>
      </c>
      <c r="B796" s="15" t="s">
        <v>804</v>
      </c>
      <c r="AY796" s="200"/>
      <c r="CZ796" s="200"/>
      <c r="DB796" s="15"/>
      <c r="DC796" s="15"/>
      <c r="DD796" s="15"/>
      <c r="DE796" s="15"/>
      <c r="DF796" s="15"/>
      <c r="DG796" s="15"/>
      <c r="DH796" s="15"/>
      <c r="DI796" s="15"/>
    </row>
    <row r="797" spans="1:113" ht="12" hidden="1" outlineLevel="2">
      <c r="A797" s="1" t="s">
        <v>43</v>
      </c>
      <c r="B797" s="15" t="s">
        <v>804</v>
      </c>
      <c r="AY797" s="200"/>
      <c r="CZ797" s="200"/>
      <c r="DB797" s="15"/>
      <c r="DC797" s="15"/>
      <c r="DD797" s="15"/>
      <c r="DE797" s="15"/>
      <c r="DF797" s="15"/>
      <c r="DG797" s="15"/>
      <c r="DH797" s="15"/>
      <c r="DI797" s="15"/>
    </row>
    <row r="798" spans="1:113" ht="12" hidden="1" outlineLevel="2">
      <c r="A798" s="1" t="s">
        <v>44</v>
      </c>
      <c r="B798" s="15" t="s">
        <v>804</v>
      </c>
      <c r="AY798" s="200"/>
      <c r="CZ798" s="200"/>
      <c r="DB798" s="15"/>
      <c r="DC798" s="15"/>
      <c r="DD798" s="15"/>
      <c r="DE798" s="15"/>
      <c r="DF798" s="15"/>
      <c r="DG798" s="15"/>
      <c r="DH798" s="15"/>
      <c r="DI798" s="15"/>
    </row>
    <row r="799" spans="1:113" ht="12" hidden="1" outlineLevel="2">
      <c r="A799" s="1" t="s">
        <v>45</v>
      </c>
      <c r="B799" s="15" t="s">
        <v>804</v>
      </c>
      <c r="AY799" s="200"/>
      <c r="CZ799" s="200"/>
      <c r="DB799" s="15"/>
      <c r="DC799" s="15"/>
      <c r="DD799" s="15"/>
      <c r="DE799" s="15"/>
      <c r="DF799" s="15"/>
      <c r="DG799" s="15"/>
      <c r="DH799" s="15"/>
      <c r="DI799" s="15"/>
    </row>
    <row r="800" spans="1:113" ht="12" hidden="1" outlineLevel="2">
      <c r="A800" s="1" t="s">
        <v>46</v>
      </c>
      <c r="B800" s="15" t="s">
        <v>804</v>
      </c>
      <c r="AY800" s="200"/>
      <c r="CZ800" s="200"/>
      <c r="DB800" s="15"/>
      <c r="DC800" s="15"/>
      <c r="DD800" s="15"/>
      <c r="DE800" s="15"/>
      <c r="DF800" s="15"/>
      <c r="DG800" s="15"/>
      <c r="DH800" s="15"/>
      <c r="DI800" s="15"/>
    </row>
    <row r="801" spans="1:113" ht="12" hidden="1" outlineLevel="2">
      <c r="A801" s="1" t="s">
        <v>47</v>
      </c>
      <c r="B801" s="15" t="s">
        <v>804</v>
      </c>
      <c r="AY801" s="200"/>
      <c r="CZ801" s="200"/>
      <c r="DB801" s="15"/>
      <c r="DC801" s="15"/>
      <c r="DD801" s="15"/>
      <c r="DE801" s="15"/>
      <c r="DF801" s="15"/>
      <c r="DG801" s="15"/>
      <c r="DH801" s="15"/>
      <c r="DI801" s="15"/>
    </row>
    <row r="802" spans="1:113" ht="12" hidden="1" outlineLevel="2">
      <c r="A802" s="1" t="s">
        <v>48</v>
      </c>
      <c r="B802" s="15" t="s">
        <v>804</v>
      </c>
      <c r="AY802" s="200"/>
      <c r="CZ802" s="200"/>
      <c r="DB802" s="15"/>
      <c r="DC802" s="15"/>
      <c r="DD802" s="15"/>
      <c r="DE802" s="15"/>
      <c r="DF802" s="15"/>
      <c r="DG802" s="15"/>
      <c r="DH802" s="15"/>
      <c r="DI802" s="15"/>
    </row>
    <row r="803" spans="1:113" ht="12" hidden="1" outlineLevel="2">
      <c r="A803" s="1" t="s">
        <v>141</v>
      </c>
      <c r="B803" s="15" t="s">
        <v>804</v>
      </c>
      <c r="AY803" s="200"/>
      <c r="CZ803" s="200"/>
      <c r="DB803" s="15"/>
      <c r="DC803" s="15"/>
      <c r="DD803" s="15"/>
      <c r="DE803" s="15"/>
      <c r="DF803" s="15"/>
      <c r="DG803" s="15"/>
      <c r="DH803" s="15"/>
      <c r="DI803" s="15"/>
    </row>
    <row r="804" spans="1:113" ht="12" hidden="1" outlineLevel="2">
      <c r="A804" s="1" t="s">
        <v>142</v>
      </c>
      <c r="B804" s="15" t="s">
        <v>804</v>
      </c>
      <c r="AY804" s="200"/>
      <c r="CZ804" s="200"/>
      <c r="DB804" s="15"/>
      <c r="DC804" s="15"/>
      <c r="DD804" s="15"/>
      <c r="DE804" s="15"/>
      <c r="DF804" s="15"/>
      <c r="DG804" s="15"/>
      <c r="DH804" s="15"/>
      <c r="DI804" s="15"/>
    </row>
    <row r="805" spans="1:113" ht="12" hidden="1" outlineLevel="2">
      <c r="A805" s="1" t="s">
        <v>143</v>
      </c>
      <c r="B805" s="15" t="s">
        <v>804</v>
      </c>
      <c r="AY805" s="200"/>
      <c r="CZ805" s="200"/>
      <c r="DB805" s="15"/>
      <c r="DC805" s="15"/>
      <c r="DD805" s="15"/>
      <c r="DE805" s="15"/>
      <c r="DF805" s="15"/>
      <c r="DG805" s="15"/>
      <c r="DH805" s="15"/>
      <c r="DI805" s="15"/>
    </row>
    <row r="806" spans="1:113" ht="12" outlineLevel="1" collapsed="1">
      <c r="AY806" s="200"/>
      <c r="CN806" s="32"/>
      <c r="CO806" s="32"/>
      <c r="CP806" s="32"/>
      <c r="CQ806" s="32"/>
      <c r="CR806" s="32"/>
      <c r="CS806" s="32"/>
      <c r="CT806" s="32"/>
      <c r="CU806" s="32"/>
      <c r="CV806" s="32"/>
      <c r="CW806" s="32"/>
      <c r="CX806" s="32"/>
      <c r="CY806" s="32"/>
      <c r="CZ806" s="31"/>
      <c r="DA806" s="30"/>
      <c r="DB806" s="15"/>
      <c r="DC806" s="15"/>
      <c r="DD806" s="15"/>
      <c r="DE806" s="15"/>
      <c r="DF806" s="15"/>
      <c r="DG806" s="15"/>
      <c r="DH806" s="15"/>
      <c r="DI806" s="15"/>
    </row>
    <row r="807" spans="1:113" s="17" customFormat="1" ht="12" outlineLevel="1">
      <c r="A807" s="1"/>
      <c r="B807" s="17" t="s">
        <v>573</v>
      </c>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10"/>
      <c r="AH807" s="10"/>
      <c r="AI807" s="10"/>
      <c r="AJ807" s="10"/>
      <c r="AK807" s="10"/>
      <c r="AL807" s="10"/>
      <c r="AM807" s="10"/>
      <c r="AN807" s="10"/>
      <c r="AO807" s="10"/>
      <c r="AP807" s="10"/>
      <c r="AQ807" s="10"/>
      <c r="AR807" s="10"/>
      <c r="AS807" s="10"/>
      <c r="AT807" s="10"/>
      <c r="AU807" s="10"/>
      <c r="AV807" s="10"/>
      <c r="AW807" s="10"/>
      <c r="AX807" s="10"/>
      <c r="AY807" s="201"/>
      <c r="AZ807" s="10"/>
      <c r="BA807" s="10"/>
      <c r="BB807" s="10"/>
      <c r="BC807" s="10"/>
      <c r="BD807" s="10"/>
      <c r="BE807" s="10"/>
      <c r="BF807" s="10"/>
      <c r="BG807" s="10"/>
      <c r="BH807" s="10"/>
      <c r="BI807" s="10"/>
      <c r="BJ807" s="10"/>
      <c r="BK807" s="10"/>
      <c r="BL807" s="10"/>
      <c r="BM807" s="10"/>
      <c r="BN807" s="10"/>
      <c r="BO807" s="10"/>
      <c r="BP807" s="10"/>
      <c r="BQ807" s="10"/>
      <c r="BR807" s="10"/>
      <c r="BS807" s="10"/>
      <c r="BT807" s="10"/>
      <c r="BU807" s="10"/>
      <c r="BV807" s="10"/>
      <c r="BW807" s="10"/>
      <c r="BX807" s="10"/>
      <c r="BY807" s="10"/>
      <c r="BZ807" s="10"/>
      <c r="CA807" s="10"/>
      <c r="CB807" s="10"/>
      <c r="CC807" s="10"/>
      <c r="CD807" s="10"/>
      <c r="CE807" s="10"/>
      <c r="CF807" s="10"/>
      <c r="CG807" s="10"/>
      <c r="CH807" s="10"/>
      <c r="CI807" s="10"/>
      <c r="CJ807" s="10"/>
      <c r="CK807" s="10"/>
      <c r="CL807" s="10"/>
      <c r="CM807" s="10"/>
      <c r="CN807" s="10"/>
      <c r="CO807" s="10"/>
      <c r="CP807" s="10"/>
      <c r="CQ807" s="10"/>
      <c r="CR807" s="10"/>
      <c r="CS807" s="404"/>
      <c r="CT807" s="10"/>
      <c r="CU807" s="10"/>
      <c r="CV807" s="10"/>
      <c r="CW807" s="10"/>
      <c r="CX807" s="10"/>
      <c r="CY807" s="10"/>
      <c r="CZ807" s="201"/>
      <c r="DA807" s="10"/>
    </row>
    <row r="808" spans="1:113" ht="12" outlineLevel="1">
      <c r="A808" s="1" t="s">
        <v>818</v>
      </c>
      <c r="B808" s="15" t="s">
        <v>424</v>
      </c>
      <c r="C808" s="345">
        <f t="shared" ref="C808:K808" si="9752">-C470/(C233+AVERAGE(B179:C179))*C$5</f>
        <v>1.6068060831201457E-2</v>
      </c>
      <c r="D808" s="345">
        <f t="shared" si="9752"/>
        <v>5.8357791640149276E-3</v>
      </c>
      <c r="E808" s="345">
        <f t="shared" si="9752"/>
        <v>8.1595427776899269E-3</v>
      </c>
      <c r="F808" s="345">
        <f t="shared" si="9752"/>
        <v>5.5729503487343419E-3</v>
      </c>
      <c r="G808" s="345">
        <f t="shared" si="9752"/>
        <v>6.9064022627590193E-3</v>
      </c>
      <c r="H808" s="345">
        <f t="shared" si="9752"/>
        <v>5.8413852415011265E-3</v>
      </c>
      <c r="I808" s="345">
        <f t="shared" si="9752"/>
        <v>5.5657139390622723E-3</v>
      </c>
      <c r="J808" s="345">
        <f t="shared" si="9752"/>
        <v>4.1432667974587306E-3</v>
      </c>
      <c r="K808" s="345">
        <f t="shared" si="9752"/>
        <v>4.6704553198857772E-3</v>
      </c>
      <c r="L808" s="345">
        <f t="shared" ref="L808:AF808" si="9753">-L470/(L237-L232)*L$5</f>
        <v>2.057068537409678E-3</v>
      </c>
      <c r="M808" s="35">
        <f t="shared" si="9753"/>
        <v>2.5748539607420794E-3</v>
      </c>
      <c r="N808" s="35">
        <f t="shared" si="9753"/>
        <v>2.3218915688662995E-3</v>
      </c>
      <c r="O808" s="35">
        <f t="shared" si="9753"/>
        <v>3.8763961929650253E-3</v>
      </c>
      <c r="P808" s="35">
        <f t="shared" si="9753"/>
        <v>3.4446283656310648E-3</v>
      </c>
      <c r="Q808" s="35">
        <f t="shared" si="9753"/>
        <v>3.7560430342969387E-3</v>
      </c>
      <c r="R808" s="35">
        <f t="shared" si="9753"/>
        <v>9.222335404066943E-3</v>
      </c>
      <c r="S808" s="35">
        <f t="shared" si="9753"/>
        <v>1.2549782649273457E-2</v>
      </c>
      <c r="T808" s="37">
        <f t="shared" si="9753"/>
        <v>1.1508505705611374E-2</v>
      </c>
      <c r="U808" s="35">
        <f t="shared" si="9753"/>
        <v>7.9340664870936502E-3</v>
      </c>
      <c r="V808" s="35">
        <f t="shared" si="9753"/>
        <v>6.9597137622918201E-3</v>
      </c>
      <c r="W808" s="35">
        <f t="shared" si="9753"/>
        <v>6.419637979577235E-3</v>
      </c>
      <c r="X808" s="35">
        <f t="shared" si="9753"/>
        <v>5.7397766510724349E-3</v>
      </c>
      <c r="Y808" s="37">
        <f t="shared" si="9753"/>
        <v>7.4578416298385812E-3</v>
      </c>
      <c r="Z808" s="37">
        <f t="shared" si="9753"/>
        <v>7.0172379258678051E-3</v>
      </c>
      <c r="AA808" s="37">
        <f t="shared" si="9753"/>
        <v>5.6979803939380342E-3</v>
      </c>
      <c r="AB808" s="37">
        <f t="shared" si="9753"/>
        <v>4.7673791899275749E-3</v>
      </c>
      <c r="AC808" s="37">
        <f t="shared" si="9753"/>
        <v>6.2114552623128644E-3</v>
      </c>
      <c r="AD808" s="37">
        <f t="shared" ref="AD808:AE808" si="9754">-AD470/(AD237-AD232)*AD$5</f>
        <v>3.7850357944470155E-3</v>
      </c>
      <c r="AE808" s="37">
        <f t="shared" si="9754"/>
        <v>4.9814122073448324E-3</v>
      </c>
      <c r="AF808" s="37">
        <f t="shared" si="9753"/>
        <v>4.3432269882379458E-3</v>
      </c>
      <c r="AG808" s="37">
        <f t="shared" ref="AG808:AH808" si="9755">-AG470/(AG237-AG232)*AG$5</f>
        <v>7.644459469554144E-3</v>
      </c>
      <c r="AH808" s="37">
        <f t="shared" si="9755"/>
        <v>6.4755102607569216E-3</v>
      </c>
      <c r="AI808" s="37">
        <f t="shared" ref="AI808:AJ808" si="9756">-AI470/(AI237-AI232)*AI$5</f>
        <v>5.623290071808465E-3</v>
      </c>
      <c r="AJ808" s="37">
        <f t="shared" si="9756"/>
        <v>4.5740480545214393E-3</v>
      </c>
      <c r="AK808" s="37">
        <f t="shared" ref="AK808:AL808" si="9757">-AK470/(AK237-AK232)*AK$5</f>
        <v>3.523154933597253E-3</v>
      </c>
      <c r="AL808" s="37">
        <f t="shared" si="9757"/>
        <v>3.2039072843350145E-3</v>
      </c>
      <c r="AM808" s="37">
        <f t="shared" ref="AM808:AN808" si="9758">-AM470/(AM237-AM232)*AM$5</f>
        <v>3.521152248686041E-3</v>
      </c>
      <c r="AN808" s="37">
        <f t="shared" si="9758"/>
        <v>2.6419626273151546E-3</v>
      </c>
      <c r="AO808" s="37">
        <f t="shared" ref="AO808" si="9759">-AO470/(AO237-AO232)*AO$5</f>
        <v>3.8474936976154498E-3</v>
      </c>
      <c r="AP808" s="37">
        <f t="shared" ref="AP808:AQ808" si="9760">-AP470/(AP237-AP232)*AP$5</f>
        <v>2.078151631113999E-3</v>
      </c>
      <c r="AQ808" s="37">
        <f t="shared" si="9760"/>
        <v>1.5914147757570855E-3</v>
      </c>
      <c r="AR808" s="37">
        <f t="shared" ref="AR808:AS808" si="9761">-AR470/(AR237-AR232)*AR$5</f>
        <v>9.5837542178055842E-4</v>
      </c>
      <c r="AS808" s="37">
        <f t="shared" si="9761"/>
        <v>7.1217864272469166E-4</v>
      </c>
      <c r="AT808" s="37">
        <f t="shared" ref="AT808:AU808" si="9762">-AT470/(AT237-AT232)*AT$5</f>
        <v>5.8756899654790052E-4</v>
      </c>
      <c r="AU808" s="37">
        <f t="shared" si="9762"/>
        <v>1.1170718564776228E-3</v>
      </c>
      <c r="AV808" s="37">
        <f t="shared" ref="AV808:AW808" si="9763">-AV470/(AV237-AV232)*AV$5</f>
        <v>4.8184728196468178E-4</v>
      </c>
      <c r="AW808" s="37">
        <f t="shared" si="9763"/>
        <v>7.7231708064115631E-4</v>
      </c>
      <c r="AX808" s="37">
        <f t="shared" ref="AX808" si="9764">-AX470/(AX237-AX232)*AX$5</f>
        <v>7.2339099621166977E-4</v>
      </c>
      <c r="AY808" s="36">
        <f t="shared" ref="AY808" si="9765">-AY470/(AY237-AY232)*AY$5</f>
        <v>7.5806804278679622E-4</v>
      </c>
      <c r="AZ808" s="35">
        <f t="shared" ref="AZ808:BA808" si="9766">-AZ470/(AZ237-AZ232)*AZ$5</f>
        <v>1.0599703603376184E-3</v>
      </c>
      <c r="BA808" s="35">
        <f t="shared" si="9766"/>
        <v>1.3679914196547329E-3</v>
      </c>
      <c r="BB808" s="35">
        <f t="shared" ref="BB808:BC808" si="9767">-BB470/(BB237-BB232)*BB$5</f>
        <v>1.8660358582318188E-3</v>
      </c>
      <c r="BC808" s="35">
        <f t="shared" si="9767"/>
        <v>2.3663169352188831E-3</v>
      </c>
      <c r="BD808" s="35">
        <f t="shared" ref="BD808:BE808" si="9768">-BD470/(BD237-BD232)*BD$5</f>
        <v>2.1474354898345983E-3</v>
      </c>
      <c r="BE808" s="35">
        <f t="shared" si="9768"/>
        <v>1.9306870634257455E-3</v>
      </c>
      <c r="BF808" s="35">
        <f t="shared" ref="BF808:BG808" si="9769">-BF470/(BF237-BF232)*BF$5</f>
        <v>1.617485452351937E-3</v>
      </c>
      <c r="BG808" s="35">
        <f t="shared" si="9769"/>
        <v>1.3059918742244052E-3</v>
      </c>
      <c r="BH808" s="35">
        <f t="shared" ref="BH808:BI808" si="9770">-BH470/(BH237-BH232)*BH$5</f>
        <v>1.3042702490892216E-3</v>
      </c>
      <c r="BI808" s="35">
        <f t="shared" si="9770"/>
        <v>1.2545868756727154E-3</v>
      </c>
      <c r="BJ808" s="35">
        <f t="shared" ref="BJ808:BK808" si="9771">-BJ470/(BJ237-BJ232)*BJ$5</f>
        <v>1.4511558835772441E-3</v>
      </c>
      <c r="BK808" s="35">
        <f t="shared" si="9771"/>
        <v>1.6593546004333207E-3</v>
      </c>
      <c r="BL808" s="35">
        <f t="shared" ref="BL808:BM808" si="9772">-BL470/(BL237-BL232)*BL$5</f>
        <v>1.8692418401777512E-3</v>
      </c>
      <c r="BM808" s="35">
        <f t="shared" si="9772"/>
        <v>2.1771095240776571E-3</v>
      </c>
      <c r="BN808" s="35">
        <f t="shared" ref="BN808:BO808" si="9773">-BN470/(BN237-BN232)*BN$5</f>
        <v>2.4795182713293331E-3</v>
      </c>
      <c r="BO808" s="35">
        <f t="shared" si="9773"/>
        <v>2.7715384669512854E-3</v>
      </c>
      <c r="BP808" s="35">
        <f t="shared" ref="BP808:BQ808" si="9774">-BP470/(BP237-BP232)*BP$5</f>
        <v>2.9973204773779977E-3</v>
      </c>
      <c r="BQ808" s="35">
        <f t="shared" si="9774"/>
        <v>2.9928362886405845E-3</v>
      </c>
      <c r="BR808" s="35"/>
      <c r="BS808" s="345">
        <f t="shared" ref="BS808:CF808" si="9775">-BS470/(BS233+AVERAGE(BR179:BS179))*BS$5</f>
        <v>1.6490837066919246E-2</v>
      </c>
      <c r="BT808" s="345">
        <f t="shared" si="9775"/>
        <v>2.4566057932410748E-2</v>
      </c>
      <c r="BU808" s="345">
        <f t="shared" si="9775"/>
        <v>2.4415765781397831E-2</v>
      </c>
      <c r="BV808" s="345">
        <f t="shared" si="9775"/>
        <v>7.5679577353174113E-3</v>
      </c>
      <c r="BW808" s="345">
        <f t="shared" si="9775"/>
        <v>4.665700655819607E-3</v>
      </c>
      <c r="BX808" s="345">
        <f t="shared" si="9775"/>
        <v>2.1000466675109536E-3</v>
      </c>
      <c r="BY808" s="345">
        <f t="shared" si="9775"/>
        <v>2.3084654742170883E-3</v>
      </c>
      <c r="BZ808" s="345">
        <f t="shared" si="9775"/>
        <v>4.0869730136846201E-3</v>
      </c>
      <c r="CA808" s="345">
        <f t="shared" si="9775"/>
        <v>5.4117439033305971E-3</v>
      </c>
      <c r="CB808" s="345">
        <f t="shared" si="9775"/>
        <v>8.246652879948033E-3</v>
      </c>
      <c r="CC808" s="35">
        <f t="shared" si="9775"/>
        <v>7.0050925936227942E-3</v>
      </c>
      <c r="CD808" s="35">
        <f t="shared" si="9775"/>
        <v>6.2392277445860239E-3</v>
      </c>
      <c r="CE808" s="35">
        <f t="shared" si="9775"/>
        <v>5.7126463036368293E-3</v>
      </c>
      <c r="CF808" s="35">
        <f t="shared" si="9775"/>
        <v>4.4136870624069402E-3</v>
      </c>
      <c r="CG808" s="35">
        <f t="shared" ref="CG808:CY808" si="9776">-CG470/(CG237-CG232)*CG$5</f>
        <v>2.3144449370703E-3</v>
      </c>
      <c r="CH808" s="35">
        <f t="shared" si="9776"/>
        <v>3.1083215019220029E-3</v>
      </c>
      <c r="CI808" s="35">
        <f t="shared" si="9776"/>
        <v>3.6197974954661071E-3</v>
      </c>
      <c r="CJ808" s="35">
        <f t="shared" si="9776"/>
        <v>1.0851054540975803E-2</v>
      </c>
      <c r="CK808" s="35">
        <f t="shared" si="9776"/>
        <v>9.6014636358332656E-3</v>
      </c>
      <c r="CL808" s="35">
        <f t="shared" si="9776"/>
        <v>6.7152682062466794E-3</v>
      </c>
      <c r="CM808" s="37">
        <f t="shared" si="9776"/>
        <v>6.6100287460476113E-3</v>
      </c>
      <c r="CN808" s="37">
        <f t="shared" si="9776"/>
        <v>6.3620778199625543E-3</v>
      </c>
      <c r="CO808" s="37">
        <f t="shared" si="9776"/>
        <v>5.5161290296440709E-3</v>
      </c>
      <c r="CP808" s="37">
        <f t="shared" si="9776"/>
        <v>4.4138781561126519E-3</v>
      </c>
      <c r="CQ808" s="37">
        <f t="shared" si="9776"/>
        <v>5.9060927886244122E-3</v>
      </c>
      <c r="CR808" s="37">
        <f t="shared" si="9776"/>
        <v>6.0297171886314668E-3</v>
      </c>
      <c r="CS808" s="37">
        <f t="shared" si="9776"/>
        <v>4.0211049455974937E-3</v>
      </c>
      <c r="CT808" s="37">
        <f t="shared" si="9776"/>
        <v>3.3372216919809916E-3</v>
      </c>
      <c r="CU808" s="37">
        <f t="shared" si="9776"/>
        <v>3.3227044418645451E-3</v>
      </c>
      <c r="CV808" s="37">
        <f t="shared" si="9776"/>
        <v>1.8143885860682201E-3</v>
      </c>
      <c r="CW808" s="37">
        <f t="shared" si="9776"/>
        <v>8.3161978339390695E-4</v>
      </c>
      <c r="CX808" s="37">
        <f t="shared" si="9776"/>
        <v>8.5090478595976926E-4</v>
      </c>
      <c r="CY808" s="37">
        <f t="shared" si="9776"/>
        <v>6.2840774159244044E-4</v>
      </c>
      <c r="CZ808" s="36">
        <f t="shared" ref="CZ808" si="9777">-CZ470/(CZ237-CZ232)*CZ$5</f>
        <v>7.4085375784701418E-4</v>
      </c>
      <c r="DA808" s="35">
        <f t="shared" ref="DA808:DF808" si="9778">-DA470/(DA237-DA232)*DA$5</f>
        <v>1.2148655321127556E-3</v>
      </c>
      <c r="DB808" s="35">
        <f t="shared" si="9778"/>
        <v>2.1175955854471403E-3</v>
      </c>
      <c r="DC808" s="35">
        <f t="shared" si="9778"/>
        <v>2.0387742883908526E-3</v>
      </c>
      <c r="DD808" s="35">
        <f t="shared" si="9778"/>
        <v>1.4609543443777108E-3</v>
      </c>
      <c r="DE808" s="35">
        <f t="shared" si="9778"/>
        <v>1.2791559135246434E-3</v>
      </c>
      <c r="DF808" s="35">
        <f t="shared" si="9778"/>
        <v>1.5564469552650886E-3</v>
      </c>
      <c r="DG808" s="35">
        <f t="shared" ref="DG808:DH808" si="9779">-DG470/(DG237-DG232)*DG$5</f>
        <v>2.024395360315645E-3</v>
      </c>
      <c r="DH808" s="35">
        <f t="shared" si="9779"/>
        <v>2.6273147551476453E-3</v>
      </c>
      <c r="DI808" s="35">
        <f t="shared" ref="DI808" si="9780">-DI470/(DI237-DI232)*DI$5</f>
        <v>2.9950481903200875E-3</v>
      </c>
    </row>
    <row r="809" spans="1:113" ht="12" outlineLevel="1">
      <c r="A809" s="1" t="s">
        <v>819</v>
      </c>
      <c r="B809" s="15" t="s">
        <v>862</v>
      </c>
      <c r="C809" s="345">
        <f t="shared" ref="C809:K809" si="9781">-C470/(C237+AVERAGE(B179:C179))*C$5</f>
        <v>5.9290900662211168E-3</v>
      </c>
      <c r="D809" s="345">
        <f t="shared" si="9781"/>
        <v>3.7705005653723605E-3</v>
      </c>
      <c r="E809" s="345">
        <f t="shared" si="9781"/>
        <v>5.0944057717344157E-3</v>
      </c>
      <c r="F809" s="345">
        <f t="shared" si="9781"/>
        <v>3.4058746102673134E-3</v>
      </c>
      <c r="G809" s="345">
        <f t="shared" si="9781"/>
        <v>4.1258361503037312E-3</v>
      </c>
      <c r="H809" s="345">
        <f t="shared" si="9781"/>
        <v>3.3353174700780702E-3</v>
      </c>
      <c r="I809" s="345">
        <f t="shared" si="9781"/>
        <v>3.0267525873852764E-3</v>
      </c>
      <c r="J809" s="345">
        <f t="shared" si="9781"/>
        <v>2.1678238102762655E-3</v>
      </c>
      <c r="K809" s="345">
        <f t="shared" si="9781"/>
        <v>2.4282480336368256E-3</v>
      </c>
      <c r="L809" s="345">
        <f t="shared" ref="L809:AF809" si="9782">-L470/L237*L$5</f>
        <v>1.0104996799795963E-3</v>
      </c>
      <c r="M809" s="35">
        <f t="shared" si="9782"/>
        <v>1.2564098624213574E-3</v>
      </c>
      <c r="N809" s="35">
        <f t="shared" si="9782"/>
        <v>1.1225185420585659E-3</v>
      </c>
      <c r="O809" s="35">
        <f t="shared" si="9782"/>
        <v>1.8771110420952618E-3</v>
      </c>
      <c r="P809" s="35">
        <f t="shared" si="9782"/>
        <v>1.7161053701087899E-3</v>
      </c>
      <c r="Q809" s="35">
        <f t="shared" si="9782"/>
        <v>1.8917196142536961E-3</v>
      </c>
      <c r="R809" s="35">
        <f t="shared" si="9782"/>
        <v>4.6209039545618384E-3</v>
      </c>
      <c r="S809" s="35">
        <f t="shared" si="9782"/>
        <v>5.9989543094279502E-3</v>
      </c>
      <c r="T809" s="37">
        <f t="shared" si="9782"/>
        <v>5.3054953505144165E-3</v>
      </c>
      <c r="U809" s="35">
        <f t="shared" si="9782"/>
        <v>3.6227169465535233E-3</v>
      </c>
      <c r="V809" s="35">
        <f t="shared" si="9782"/>
        <v>3.1857361519135974E-3</v>
      </c>
      <c r="W809" s="35">
        <f t="shared" si="9782"/>
        <v>2.9822479129266981E-3</v>
      </c>
      <c r="X809" s="35">
        <f t="shared" si="9782"/>
        <v>2.6699587993513716E-3</v>
      </c>
      <c r="Y809" s="37">
        <f t="shared" si="9782"/>
        <v>3.4792449477294889E-3</v>
      </c>
      <c r="Z809" s="37">
        <f t="shared" si="9782"/>
        <v>3.3595787396660361E-3</v>
      </c>
      <c r="AA809" s="37">
        <f t="shared" si="9782"/>
        <v>2.7559957517636511E-3</v>
      </c>
      <c r="AB809" s="37">
        <f t="shared" si="9782"/>
        <v>2.314320644457293E-3</v>
      </c>
      <c r="AC809" s="37">
        <f t="shared" si="9782"/>
        <v>3.0064725959206961E-3</v>
      </c>
      <c r="AD809" s="37">
        <f t="shared" ref="AD809:AE809" si="9783">-AD470/AD237*AD$5</f>
        <v>1.8443322019657605E-3</v>
      </c>
      <c r="AE809" s="37">
        <f t="shared" si="9783"/>
        <v>2.4000108517709222E-3</v>
      </c>
      <c r="AF809" s="37">
        <f t="shared" si="9782"/>
        <v>2.0220281268831723E-3</v>
      </c>
      <c r="AG809" s="37">
        <f t="shared" ref="AG809:AH809" si="9784">-AG470/AG237*AG$5</f>
        <v>3.422463774690826E-3</v>
      </c>
      <c r="AH809" s="37">
        <f t="shared" si="9784"/>
        <v>2.84343953882855E-3</v>
      </c>
      <c r="AI809" s="37">
        <f t="shared" ref="AI809:AJ809" si="9785">-AI470/AI237*AI$5</f>
        <v>2.4183505620931581E-3</v>
      </c>
      <c r="AJ809" s="37">
        <f t="shared" si="9785"/>
        <v>1.9431805626357185E-3</v>
      </c>
      <c r="AK809" s="37">
        <f t="shared" ref="AK809:AL809" si="9786">-AK470/AK237*AK$5</f>
        <v>1.5120014939617058E-3</v>
      </c>
      <c r="AL809" s="37">
        <f t="shared" si="9786"/>
        <v>1.3862604981392647E-3</v>
      </c>
      <c r="AM809" s="37">
        <f t="shared" ref="AM809:AN809" si="9787">-AM470/AM237*AM$5</f>
        <v>1.5518677726958472E-3</v>
      </c>
      <c r="AN809" s="37">
        <f t="shared" si="9787"/>
        <v>1.2073319782547934E-3</v>
      </c>
      <c r="AO809" s="37">
        <f t="shared" ref="AO809" si="9788">-AO470/AO237*AO$5</f>
        <v>1.7286966944026448E-3</v>
      </c>
      <c r="AP809" s="37">
        <f t="shared" ref="AP809:AQ809" si="9789">-AP470/AP237*AP$5</f>
        <v>8.6176343819739556E-4</v>
      </c>
      <c r="AQ809" s="37">
        <f t="shared" si="9789"/>
        <v>6.5203428416363079E-4</v>
      </c>
      <c r="AR809" s="37">
        <f t="shared" ref="AR809:AS809" si="9790">-AR470/AR237*AR$5</f>
        <v>4.0632697484186645E-4</v>
      </c>
      <c r="AS809" s="37">
        <f t="shared" si="9790"/>
        <v>3.1230519516891518E-4</v>
      </c>
      <c r="AT809" s="37">
        <f t="shared" ref="AT809:AU809" si="9791">-AT470/AT237*AT$5</f>
        <v>2.5946978829753344E-4</v>
      </c>
      <c r="AU809" s="37">
        <f t="shared" si="9791"/>
        <v>4.8469953507758429E-4</v>
      </c>
      <c r="AV809" s="37">
        <f t="shared" ref="AV809:AW809" si="9792">-AV470/AV237*AV$5</f>
        <v>2.0482482958875391E-4</v>
      </c>
      <c r="AW809" s="37">
        <f t="shared" si="9792"/>
        <v>3.1742491185024409E-4</v>
      </c>
      <c r="AX809" s="37">
        <f t="shared" ref="AX809" si="9793">-AX470/AX237*AX$5</f>
        <v>2.9192557423233953E-4</v>
      </c>
      <c r="AY809" s="36">
        <f t="shared" ref="AY809" si="9794">-AY470/AY237*AY$5</f>
        <v>3.0282721442013836E-4</v>
      </c>
      <c r="AZ809" s="35">
        <f t="shared" ref="AZ809:BA809" si="9795">-AZ470/AZ237*AZ$5</f>
        <v>4.1728584224991634E-4</v>
      </c>
      <c r="BA809" s="35">
        <f t="shared" si="9795"/>
        <v>5.3307865154469654E-4</v>
      </c>
      <c r="BB809" s="35">
        <f t="shared" ref="BB809:BC809" si="9796">-BB470/BB237*BB$5</f>
        <v>7.2357331152824648E-4</v>
      </c>
      <c r="BC809" s="35">
        <f t="shared" si="9796"/>
        <v>9.0879213370050256E-4</v>
      </c>
      <c r="BD809" s="35">
        <f t="shared" ref="BD809:BE809" si="9797">-BD470/BD237*BD$5</f>
        <v>8.1456969460512105E-4</v>
      </c>
      <c r="BE809" s="35">
        <f t="shared" si="9797"/>
        <v>7.2384112162536074E-4</v>
      </c>
      <c r="BF809" s="35">
        <f t="shared" ref="BF809:BG809" si="9798">-BF470/BF237*BF$5</f>
        <v>5.9967012176873188E-4</v>
      </c>
      <c r="BG809" s="35">
        <f t="shared" si="9798"/>
        <v>4.7891662323731274E-4</v>
      </c>
      <c r="BH809" s="35">
        <f t="shared" ref="BH809:BI809" si="9799">-BH470/BH237*BH$5</f>
        <v>4.7524967700886446E-4</v>
      </c>
      <c r="BI809" s="35">
        <f t="shared" si="9799"/>
        <v>4.5641928933540476E-4</v>
      </c>
      <c r="BJ809" s="35">
        <f t="shared" ref="BJ809:BK809" si="9800">-BJ470/BJ237*BJ$5</f>
        <v>5.2770156021722883E-4</v>
      </c>
      <c r="BK809" s="35">
        <f t="shared" si="9800"/>
        <v>6.0262024395694102E-4</v>
      </c>
      <c r="BL809" s="35">
        <f t="shared" ref="BL809:BM809" si="9801">-BL470/BL237*BL$5</f>
        <v>6.7705389920133996E-4</v>
      </c>
      <c r="BM809" s="35">
        <f t="shared" si="9801"/>
        <v>7.8651834513715361E-4</v>
      </c>
      <c r="BN809" s="35">
        <f t="shared" ref="BN809:BO809" si="9802">-BN470/BN237*BN$5</f>
        <v>8.943543313250377E-4</v>
      </c>
      <c r="BO809" s="35">
        <f t="shared" si="9802"/>
        <v>9.9909055528336378E-4</v>
      </c>
      <c r="BP809" s="35">
        <f t="shared" ref="BP809:BQ809" si="9803">-BP470/BP237*BP$5</f>
        <v>1.0806895502819011E-3</v>
      </c>
      <c r="BQ809" s="35">
        <f t="shared" si="9803"/>
        <v>1.0801303923811314E-3</v>
      </c>
      <c r="BR809" s="35"/>
      <c r="BS809" s="345">
        <f t="shared" ref="BS809:CF809" si="9804">-BS470/(BS237+AVERAGE(BR179:BS179))*BS$5</f>
        <v>1.0025704827465254E-2</v>
      </c>
      <c r="BT809" s="345">
        <f t="shared" si="9804"/>
        <v>1.8862478204468437E-2</v>
      </c>
      <c r="BU809" s="345">
        <f t="shared" si="9804"/>
        <v>1.8529140498349465E-2</v>
      </c>
      <c r="BV809" s="345">
        <f t="shared" si="9804"/>
        <v>5.6562164360752214E-3</v>
      </c>
      <c r="BW809" s="345">
        <f t="shared" si="9804"/>
        <v>3.4811870847959153E-3</v>
      </c>
      <c r="BX809" s="345">
        <f t="shared" si="9804"/>
        <v>1.5687012722167318E-3</v>
      </c>
      <c r="BY809" s="345">
        <f t="shared" si="9804"/>
        <v>1.7319277108433734E-3</v>
      </c>
      <c r="BZ809" s="345">
        <f t="shared" si="9804"/>
        <v>2.990317881929569E-3</v>
      </c>
      <c r="CA809" s="345">
        <f t="shared" si="9804"/>
        <v>3.783982929861996E-3</v>
      </c>
      <c r="CB809" s="345">
        <f t="shared" si="9804"/>
        <v>5.5290072554561613E-3</v>
      </c>
      <c r="CC809" s="35">
        <f t="shared" si="9804"/>
        <v>4.4457640896758696E-3</v>
      </c>
      <c r="CD809" s="35">
        <f t="shared" si="9804"/>
        <v>3.771107101152877E-3</v>
      </c>
      <c r="CE809" s="35">
        <f t="shared" si="9804"/>
        <v>3.1770727479576797E-3</v>
      </c>
      <c r="CF809" s="35">
        <f t="shared" si="9804"/>
        <v>2.302014404260205E-3</v>
      </c>
      <c r="CG809" s="35">
        <f t="shared" ref="CG809:CY809" si="9805">-CG470/CG237*CG$5</f>
        <v>1.1337387541984969E-3</v>
      </c>
      <c r="CH809" s="35">
        <f t="shared" si="9805"/>
        <v>1.5111328261324772E-3</v>
      </c>
      <c r="CI809" s="35">
        <f t="shared" si="9805"/>
        <v>1.8062352809917106E-3</v>
      </c>
      <c r="CJ809" s="35">
        <f t="shared" si="9805"/>
        <v>5.3007605439041256E-3</v>
      </c>
      <c r="CK809" s="35">
        <f t="shared" si="9805"/>
        <v>4.41709169090397E-3</v>
      </c>
      <c r="CL809" s="35">
        <f t="shared" si="9805"/>
        <v>3.0821732160696354E-3</v>
      </c>
      <c r="CM809" s="37">
        <f t="shared" si="9805"/>
        <v>3.0840124221819211E-3</v>
      </c>
      <c r="CN809" s="37">
        <f t="shared" si="9805"/>
        <v>3.0540700356741371E-3</v>
      </c>
      <c r="CO809" s="37">
        <f t="shared" si="9805"/>
        <v>2.6696851907223101E-3</v>
      </c>
      <c r="CP809" s="37">
        <f t="shared" si="9805"/>
        <v>2.1327027012434468E-3</v>
      </c>
      <c r="CQ809" s="37">
        <f t="shared" si="9805"/>
        <v>2.7222835240141704E-3</v>
      </c>
      <c r="CR809" s="37">
        <f t="shared" si="9805"/>
        <v>2.6298216388545826E-3</v>
      </c>
      <c r="CS809" s="37">
        <f t="shared" si="9805"/>
        <v>1.7248281785426436E-3</v>
      </c>
      <c r="CT809" s="37">
        <f t="shared" si="9805"/>
        <v>1.4695777005191146E-3</v>
      </c>
      <c r="CU809" s="37">
        <f t="shared" si="9805"/>
        <v>1.4686056661776816E-3</v>
      </c>
      <c r="CV809" s="37">
        <f t="shared" si="9805"/>
        <v>7.5653662983378347E-4</v>
      </c>
      <c r="CW809" s="37">
        <f t="shared" si="9805"/>
        <v>3.5871193628575563E-4</v>
      </c>
      <c r="CX809" s="37">
        <f t="shared" si="9805"/>
        <v>3.7247258030639343E-4</v>
      </c>
      <c r="CY809" s="37">
        <f t="shared" si="9805"/>
        <v>2.6258655087431051E-4</v>
      </c>
      <c r="CZ809" s="36">
        <f t="shared" ref="CZ809" si="9806">-CZ470/CZ237*CZ$5</f>
        <v>2.9744313878070545E-4</v>
      </c>
      <c r="DA809" s="35">
        <f t="shared" ref="DA809:DF809" si="9807">-DA470/DA237*DA$5</f>
        <v>4.7581020383286515E-4</v>
      </c>
      <c r="DB809" s="35">
        <f t="shared" si="9807"/>
        <v>8.1715282267049382E-4</v>
      </c>
      <c r="DC809" s="35">
        <f t="shared" si="9807"/>
        <v>7.6882014023628258E-4</v>
      </c>
      <c r="DD809" s="35">
        <f t="shared" si="9807"/>
        <v>5.3865898570466656E-4</v>
      </c>
      <c r="DE809" s="35">
        <f t="shared" si="9807"/>
        <v>4.6572365798272974E-4</v>
      </c>
      <c r="DF809" s="35">
        <f t="shared" si="9807"/>
        <v>5.6561430088308503E-4</v>
      </c>
      <c r="DG809" s="35">
        <f t="shared" ref="DG809:DH809" si="9808">-DG470/DG237*DG$5</f>
        <v>7.3229093401876416E-4</v>
      </c>
      <c r="DH809" s="35">
        <f t="shared" si="9808"/>
        <v>9.4737872443494088E-4</v>
      </c>
      <c r="DI809" s="35">
        <f t="shared" ref="DI809" si="9809">-DI470/DI237*DI$5</f>
        <v>1.0804063433607007E-3</v>
      </c>
    </row>
    <row r="810" spans="1:113" ht="12" outlineLevel="1">
      <c r="A810" s="1" t="s">
        <v>820</v>
      </c>
      <c r="B810" s="15" t="s">
        <v>353</v>
      </c>
      <c r="C810" s="345">
        <f t="shared" ref="C810:K810" si="9810">-C472/(C233+AVERAGE(B179:C179))*C$5</f>
        <v>1.0196362453060005E-2</v>
      </c>
      <c r="D810" s="345">
        <f t="shared" si="9810"/>
        <v>5.9951178442610685E-3</v>
      </c>
      <c r="E810" s="345">
        <f t="shared" si="9810"/>
        <v>6.2408384116489782E-3</v>
      </c>
      <c r="F810" s="345">
        <f t="shared" si="9810"/>
        <v>5.9667984299169811E-3</v>
      </c>
      <c r="G810" s="345">
        <f t="shared" si="9810"/>
        <v>6.0165016910869885E-3</v>
      </c>
      <c r="H810" s="345">
        <f t="shared" si="9810"/>
        <v>5.3933733940703613E-3</v>
      </c>
      <c r="I810" s="345">
        <f t="shared" si="9810"/>
        <v>5.2066356204130936E-3</v>
      </c>
      <c r="J810" s="345">
        <f t="shared" si="9810"/>
        <v>3.8099005034103262E-3</v>
      </c>
      <c r="K810" s="345">
        <f t="shared" si="9810"/>
        <v>4.8964450934286365E-3</v>
      </c>
      <c r="L810" s="345">
        <f t="shared" ref="L810:AF810" si="9811">-L472/(L237-L232)*L$5</f>
        <v>3.599869940466936E-3</v>
      </c>
      <c r="M810" s="35">
        <f t="shared" si="9811"/>
        <v>2.8385438241915694E-3</v>
      </c>
      <c r="N810" s="35">
        <f t="shared" si="9811"/>
        <v>3.5721408751789221E-3</v>
      </c>
      <c r="O810" s="35">
        <f t="shared" si="9811"/>
        <v>3.9463672433795562E-3</v>
      </c>
      <c r="P810" s="35">
        <f t="shared" si="9811"/>
        <v>9.0281595431341271E-3</v>
      </c>
      <c r="Q810" s="35">
        <f t="shared" si="9811"/>
        <v>1.607399783000367E-2</v>
      </c>
      <c r="R810" s="35">
        <f t="shared" si="9811"/>
        <v>1.6219353381702366E-2</v>
      </c>
      <c r="S810" s="35">
        <f t="shared" si="9811"/>
        <v>1.9331194166307263E-2</v>
      </c>
      <c r="T810" s="37">
        <f t="shared" si="9811"/>
        <v>1.3717839230441325E-2</v>
      </c>
      <c r="U810" s="35">
        <f t="shared" si="9811"/>
        <v>8.6531661687033468E-3</v>
      </c>
      <c r="V810" s="35">
        <f t="shared" si="9811"/>
        <v>7.5798862757633688E-3</v>
      </c>
      <c r="W810" s="35">
        <f t="shared" si="9811"/>
        <v>6.1139409329306997E-3</v>
      </c>
      <c r="X810" s="35">
        <f t="shared" si="9811"/>
        <v>6.0030691580023627E-3</v>
      </c>
      <c r="Y810" s="37">
        <f t="shared" si="9811"/>
        <v>6.8964987114636337E-3</v>
      </c>
      <c r="Z810" s="37">
        <f t="shared" si="9811"/>
        <v>5.5821056010555321E-3</v>
      </c>
      <c r="AA810" s="37">
        <f t="shared" si="9811"/>
        <v>5.1862896127472516E-3</v>
      </c>
      <c r="AB810" s="37">
        <f t="shared" si="9811"/>
        <v>4.3399589866926899E-3</v>
      </c>
      <c r="AC810" s="37">
        <f t="shared" si="9811"/>
        <v>3.6018627370141263E-3</v>
      </c>
      <c r="AD810" s="37">
        <f t="shared" ref="AD810:AE810" si="9812">-AD472/(AD237-AD232)*AD$5</f>
        <v>3.8453550899760517E-3</v>
      </c>
      <c r="AE810" s="37">
        <f t="shared" si="9812"/>
        <v>5.0689333588648001E-3</v>
      </c>
      <c r="AF810" s="37">
        <f t="shared" si="9811"/>
        <v>7.158137118855358E-3</v>
      </c>
      <c r="AG810" s="37">
        <f t="shared" ref="AG810:AH810" si="9813">-AG472/(AG237-AG232)*AG$5</f>
        <v>8.4145799887563114E-3</v>
      </c>
      <c r="AH810" s="37">
        <f t="shared" si="9813"/>
        <v>5.9167098829251063E-3</v>
      </c>
      <c r="AI810" s="37">
        <f t="shared" ref="AI810:AJ810" si="9814">-AI472/(AI237-AI232)*AI$5</f>
        <v>3.9786646150609378E-3</v>
      </c>
      <c r="AJ810" s="37">
        <f t="shared" si="9814"/>
        <v>3.4305360408910792E-3</v>
      </c>
      <c r="AK810" s="37">
        <f t="shared" ref="AK810:AL810" si="9815">-AK472/(AK237-AK232)*AK$5</f>
        <v>2.2730031829659696E-3</v>
      </c>
      <c r="AL810" s="37">
        <f t="shared" si="9815"/>
        <v>3.1089766981324952E-3</v>
      </c>
      <c r="AM810" s="37">
        <f t="shared" ref="AM810:AN810" si="9816">-AM472/(AM237-AM232)*AM$5</f>
        <v>3.0838849759733953E-3</v>
      </c>
      <c r="AN810" s="37">
        <f t="shared" si="9816"/>
        <v>1.211683681678238E-2</v>
      </c>
      <c r="AO810" s="37">
        <f t="shared" ref="AO810" si="9817">-AO472/(AO237-AO232)*AO$5</f>
        <v>7.7975872271673118E-3</v>
      </c>
      <c r="AP810" s="37">
        <f t="shared" ref="AP810:AQ810" si="9818">-AP472/(AP237-AP232)*AP$5</f>
        <v>-4.0490970272895775E-3</v>
      </c>
      <c r="AQ810" s="37">
        <f t="shared" si="9818"/>
        <v>-6.2993501540384636E-4</v>
      </c>
      <c r="AR810" s="37">
        <f t="shared" ref="AR810:AS810" si="9819">-AR472/(AR237-AR232)*AR$5</f>
        <v>-2.212834307200639E-3</v>
      </c>
      <c r="AS810" s="37">
        <f t="shared" si="9819"/>
        <v>3.8178648888333985E-4</v>
      </c>
      <c r="AT810" s="37">
        <f t="shared" ref="AT810:AU810" si="9820">-AT472/(AT237-AT232)*AT$5</f>
        <v>9.3031757786750933E-4</v>
      </c>
      <c r="AU810" s="37">
        <f t="shared" si="9820"/>
        <v>7.9184840459173278E-4</v>
      </c>
      <c r="AV810" s="37">
        <f t="shared" ref="AV810:AW810" si="9821">-AV472/(AV237-AV232)*AV$5</f>
        <v>4.9601926084599595E-4</v>
      </c>
      <c r="AW810" s="37">
        <f t="shared" si="9821"/>
        <v>2.337824676535392E-3</v>
      </c>
      <c r="AX810" s="37">
        <f t="shared" ref="AX810" si="9822">-AX472/(AX237-AX232)*AX$5</f>
        <v>9.4497022027650553E-4</v>
      </c>
      <c r="AY810" s="36">
        <f t="shared" ref="AY810" si="9823">-AY472/(AY237-AY232)*AY$5</f>
        <v>1.9015944124143366E-3</v>
      </c>
      <c r="AZ810" s="35">
        <f t="shared" ref="AZ810:BA810" si="9824">-AZ472/(AZ237-AZ232)*AZ$5</f>
        <v>2.0411004444519203E-3</v>
      </c>
      <c r="BA810" s="35">
        <f t="shared" si="9824"/>
        <v>2.2746530270679479E-3</v>
      </c>
      <c r="BB810" s="35">
        <f t="shared" ref="BB810:BC810" si="9825">-BB472/(BB237-BB232)*BB$5</f>
        <v>2.7247353176520776E-3</v>
      </c>
      <c r="BC810" s="35">
        <f t="shared" si="9825"/>
        <v>3.3645313337679651E-3</v>
      </c>
      <c r="BD810" s="35">
        <f t="shared" ref="BD810:BE810" si="9826">-BD472/(BD237-BD232)*BD$5</f>
        <v>3.331331835389759E-3</v>
      </c>
      <c r="BE810" s="35">
        <f t="shared" si="9826"/>
        <v>3.1903425859645751E-3</v>
      </c>
      <c r="BF810" s="35">
        <f t="shared" ref="BF810:BG810" si="9827">-BF472/(BF237-BF232)*BF$5</f>
        <v>3.0281656024439781E-3</v>
      </c>
      <c r="BG810" s="35">
        <f t="shared" si="9827"/>
        <v>2.8804662123913341E-3</v>
      </c>
      <c r="BH810" s="35">
        <f t="shared" ref="BH810:BI810" si="9828">-BH472/(BH237-BH232)*BH$5</f>
        <v>3.0745239548701556E-3</v>
      </c>
      <c r="BI810" s="35">
        <f t="shared" si="9828"/>
        <v>2.9914294974943533E-3</v>
      </c>
      <c r="BJ810" s="35">
        <f t="shared" ref="BJ810:BK810" si="9829">-BJ472/(BJ237-BJ232)*BJ$5</f>
        <v>2.0150238163272128E-3</v>
      </c>
      <c r="BK810" s="35">
        <f t="shared" si="9829"/>
        <v>2.1343036244385735E-3</v>
      </c>
      <c r="BL810" s="35">
        <f t="shared" ref="BL810:BM810" si="9830">-BL472/(BL237-BL232)*BL$5</f>
        <v>2.3449194927131962E-3</v>
      </c>
      <c r="BM810" s="35">
        <f t="shared" si="9830"/>
        <v>2.6521415956341039E-3</v>
      </c>
      <c r="BN810" s="35">
        <f t="shared" ref="BN810:BO810" si="9831">-BN472/(BN237-BN232)*BN$5</f>
        <v>3.0350693919457298E-3</v>
      </c>
      <c r="BO810" s="35">
        <f t="shared" si="9831"/>
        <v>3.3203603780223366E-3</v>
      </c>
      <c r="BP810" s="35">
        <f t="shared" ref="BP810:BQ810" si="9832">-BP472/(BP237-BP232)*BP$5</f>
        <v>3.6083739276482128E-3</v>
      </c>
      <c r="BQ810" s="35">
        <f t="shared" si="9832"/>
        <v>3.596949370988214E-3</v>
      </c>
      <c r="BR810" s="35"/>
      <c r="BS810" s="345">
        <f t="shared" ref="BS810:CF810" si="9833">-BS472/(BS233+AVERAGE(BR179:BS179))*BS$5</f>
        <v>4.3655530133418857E-2</v>
      </c>
      <c r="BT810" s="345">
        <f t="shared" si="9833"/>
        <v>1.1376830335389639E-2</v>
      </c>
      <c r="BU810" s="345">
        <f t="shared" si="9833"/>
        <v>7.0749194347889156E-3</v>
      </c>
      <c r="BV810" s="345">
        <f t="shared" si="9833"/>
        <v>4.0305752433038794E-3</v>
      </c>
      <c r="BW810" s="345">
        <f t="shared" si="9833"/>
        <v>2.7216587158947706E-3</v>
      </c>
      <c r="BX810" s="345">
        <f t="shared" si="9833"/>
        <v>5.6001244466958771E-3</v>
      </c>
      <c r="BY810" s="345">
        <f t="shared" si="9833"/>
        <v>6.1099059018680539E-3</v>
      </c>
      <c r="BZ810" s="345">
        <f t="shared" si="9833"/>
        <v>5.9723674412010203E-3</v>
      </c>
      <c r="CA810" s="345">
        <f t="shared" si="9833"/>
        <v>5.510538416778823E-3</v>
      </c>
      <c r="CB810" s="345">
        <f t="shared" si="9833"/>
        <v>5.7693974693707583E-3</v>
      </c>
      <c r="CC810" s="35">
        <f t="shared" si="9833"/>
        <v>6.1307123129266923E-3</v>
      </c>
      <c r="CD810" s="35">
        <f t="shared" si="9833"/>
        <v>5.9857591174622164E-3</v>
      </c>
      <c r="CE810" s="35">
        <f t="shared" si="9833"/>
        <v>5.3094006822036414E-3</v>
      </c>
      <c r="CF810" s="35">
        <f t="shared" si="9833"/>
        <v>4.3673085643781461E-3</v>
      </c>
      <c r="CG810" s="35">
        <f t="shared" ref="CG810:CY810" si="9834">-CG472/(CG237-CG232)*CG$5</f>
        <v>3.2040105081211296E-3</v>
      </c>
      <c r="CH810" s="35">
        <f t="shared" si="9834"/>
        <v>3.7472143741415368E-3</v>
      </c>
      <c r="CI810" s="35">
        <f t="shared" si="9834"/>
        <v>1.2714614241169766E-2</v>
      </c>
      <c r="CJ810" s="35">
        <f t="shared" si="9834"/>
        <v>1.7760978455987435E-2</v>
      </c>
      <c r="CK810" s="35">
        <f t="shared" si="9834"/>
        <v>1.103804626316438E-2</v>
      </c>
      <c r="CL810" s="35">
        <f t="shared" si="9834"/>
        <v>6.8614968271532243E-3</v>
      </c>
      <c r="CM810" s="37">
        <f t="shared" si="9834"/>
        <v>6.4510598623179951E-3</v>
      </c>
      <c r="CN810" s="37">
        <f t="shared" si="9834"/>
        <v>5.4009979790745942E-3</v>
      </c>
      <c r="CO810" s="37">
        <f t="shared" si="9834"/>
        <v>3.9676011711403539E-3</v>
      </c>
      <c r="CP810" s="37">
        <f t="shared" si="9834"/>
        <v>4.4883739899710933E-3</v>
      </c>
      <c r="CQ810" s="37">
        <f t="shared" si="9834"/>
        <v>7.7015449963662337E-3</v>
      </c>
      <c r="CR810" s="37">
        <f t="shared" si="9834"/>
        <v>4.9349016444840462E-3</v>
      </c>
      <c r="CS810" s="37">
        <f t="shared" si="9834"/>
        <v>2.828752763365108E-3</v>
      </c>
      <c r="CT810" s="37">
        <f t="shared" si="9834"/>
        <v>3.0707074596352875E-3</v>
      </c>
      <c r="CU810" s="37">
        <f t="shared" si="9834"/>
        <v>1.0221982878455197E-2</v>
      </c>
      <c r="CV810" s="37">
        <f t="shared" si="9834"/>
        <v>-2.3170232619384701E-3</v>
      </c>
      <c r="CW810" s="37">
        <f t="shared" si="9834"/>
        <v>-8.7698086248812006E-4</v>
      </c>
      <c r="CX810" s="37">
        <f t="shared" si="9834"/>
        <v>8.6145319239728699E-4</v>
      </c>
      <c r="CY810" s="37">
        <f t="shared" si="9834"/>
        <v>1.4253270563493342E-3</v>
      </c>
      <c r="CZ810" s="36">
        <f t="shared" ref="CZ810" si="9835">-CZ472/(CZ237-CZ232)*CZ$5</f>
        <v>1.4267096384739445E-3</v>
      </c>
      <c r="DA810" s="35">
        <f t="shared" ref="DA810:DF810" si="9836">-DA472/(DA237-DA232)*DA$5</f>
        <v>2.1585475030492757E-3</v>
      </c>
      <c r="DB810" s="35">
        <f t="shared" si="9836"/>
        <v>3.0464482880023904E-3</v>
      </c>
      <c r="DC810" s="35">
        <f t="shared" si="9836"/>
        <v>3.2606505322448215E-3</v>
      </c>
      <c r="DD810" s="35">
        <f t="shared" si="9836"/>
        <v>2.9539440107468544E-3</v>
      </c>
      <c r="DE810" s="35">
        <f t="shared" si="9836"/>
        <v>3.0325207263736153E-3</v>
      </c>
      <c r="DF810" s="35">
        <f t="shared" si="9836"/>
        <v>2.0753464687259184E-3</v>
      </c>
      <c r="DG810" s="35">
        <f t="shared" ref="DG810:DH810" si="9837">-DG472/(DG237-DG232)*DG$5</f>
        <v>2.499747664765975E-3</v>
      </c>
      <c r="DH810" s="35">
        <f t="shared" si="9837"/>
        <v>3.1794601061474565E-3</v>
      </c>
      <c r="DI810" s="35">
        <f t="shared" ref="DI810" si="9838">-DI472/(DI237-DI232)*DI$5</f>
        <v>3.602584726131273E-3</v>
      </c>
    </row>
    <row r="811" spans="1:113" ht="12" outlineLevel="1">
      <c r="A811" s="1" t="s">
        <v>821</v>
      </c>
      <c r="B811" s="15" t="s">
        <v>352</v>
      </c>
      <c r="C811" s="345">
        <f t="shared" ref="C811:K811" si="9839">-C472/(C237+AVERAGE(B179:C179))*C$5</f>
        <v>3.7624422739696364E-3</v>
      </c>
      <c r="D811" s="345">
        <f t="shared" si="9839"/>
        <v>3.873449386269899E-3</v>
      </c>
      <c r="E811" s="345">
        <f t="shared" si="9839"/>
        <v>3.8964638204602334E-3</v>
      </c>
      <c r="F811" s="345">
        <f t="shared" si="9839"/>
        <v>3.6465724625830242E-3</v>
      </c>
      <c r="G811" s="345">
        <f t="shared" si="9839"/>
        <v>3.5942158060068919E-3</v>
      </c>
      <c r="H811" s="345">
        <f t="shared" si="9839"/>
        <v>3.0795114104260647E-3</v>
      </c>
      <c r="I811" s="345">
        <f t="shared" si="9839"/>
        <v>2.831478226908807E-3</v>
      </c>
      <c r="J811" s="345">
        <f t="shared" si="9839"/>
        <v>1.9934012048517381E-3</v>
      </c>
      <c r="K811" s="345">
        <f t="shared" si="9839"/>
        <v>2.5457439062321558E-3</v>
      </c>
      <c r="L811" s="345">
        <f t="shared" ref="L811:AF811" si="9840">-L472/L237*L$5</f>
        <v>1.7683744399642934E-3</v>
      </c>
      <c r="M811" s="35">
        <f t="shared" si="9840"/>
        <v>1.385078342307882E-3</v>
      </c>
      <c r="N811" s="35">
        <f t="shared" si="9840"/>
        <v>1.7269516031670241E-3</v>
      </c>
      <c r="O811" s="35">
        <f t="shared" si="9840"/>
        <v>1.9109939128912051E-3</v>
      </c>
      <c r="P811" s="35">
        <f t="shared" si="9840"/>
        <v>4.4978068545089584E-3</v>
      </c>
      <c r="Q811" s="35">
        <f t="shared" si="9840"/>
        <v>8.095619964104326E-3</v>
      </c>
      <c r="R811" s="35">
        <f t="shared" si="9840"/>
        <v>8.1267998720685377E-3</v>
      </c>
      <c r="S811" s="35">
        <f t="shared" si="9840"/>
        <v>9.240554501322067E-3</v>
      </c>
      <c r="T811" s="37">
        <f t="shared" si="9840"/>
        <v>6.3240123538127382E-3</v>
      </c>
      <c r="U811" s="35">
        <f t="shared" si="9840"/>
        <v>3.9510598722230263E-3</v>
      </c>
      <c r="V811" s="35">
        <f t="shared" si="9840"/>
        <v>3.4696136307969874E-3</v>
      </c>
      <c r="W811" s="35">
        <f t="shared" si="9840"/>
        <v>2.8402361075492363E-3</v>
      </c>
      <c r="X811" s="35">
        <f t="shared" si="9840"/>
        <v>2.7924339736335444E-3</v>
      </c>
      <c r="Y811" s="37">
        <f t="shared" si="9840"/>
        <v>3.2173662957498497E-3</v>
      </c>
      <c r="Z811" s="37">
        <f t="shared" si="9840"/>
        <v>2.6724935790968869E-3</v>
      </c>
      <c r="AA811" s="37">
        <f t="shared" si="9840"/>
        <v>2.5085014605093813E-3</v>
      </c>
      <c r="AB811" s="37">
        <f t="shared" si="9840"/>
        <v>2.1068298280576734E-3</v>
      </c>
      <c r="AC811" s="37">
        <f t="shared" si="9840"/>
        <v>1.7433759329804287E-3</v>
      </c>
      <c r="AD811" s="37">
        <f t="shared" ref="AD811:AE811" si="9841">-AD472/AD237*AD$5</f>
        <v>1.8737239502042585E-3</v>
      </c>
      <c r="AE811" s="37">
        <f t="shared" si="9841"/>
        <v>2.4421779531197526E-3</v>
      </c>
      <c r="AF811" s="37">
        <f t="shared" si="9840"/>
        <v>3.3325346866763957E-3</v>
      </c>
      <c r="AG811" s="37">
        <f t="shared" ref="AG811:AH811" si="9842">-AG472/AG237*AG$5</f>
        <v>3.7672506873054901E-3</v>
      </c>
      <c r="AH811" s="37">
        <f t="shared" si="9842"/>
        <v>2.5980665837012132E-3</v>
      </c>
      <c r="AI811" s="37">
        <f t="shared" ref="AI811:AJ811" si="9843">-AI472/AI237*AI$5</f>
        <v>1.7110633962224857E-3</v>
      </c>
      <c r="AJ811" s="37">
        <f t="shared" si="9843"/>
        <v>1.4573854219767889E-3</v>
      </c>
      <c r="AK811" s="37">
        <f t="shared" ref="AK811:AL811" si="9844">-AK472/AK237*AK$5</f>
        <v>9.7548483481400383E-4</v>
      </c>
      <c r="AL811" s="37">
        <f t="shared" si="9844"/>
        <v>1.3451861130092124E-3</v>
      </c>
      <c r="AM811" s="37">
        <f t="shared" ref="AM811:AN811" si="9845">-AM472/AM237*AM$5</f>
        <v>1.3591521669362324E-3</v>
      </c>
      <c r="AN811" s="37">
        <f t="shared" si="9845"/>
        <v>5.5371883057493809E-3</v>
      </c>
      <c r="AO811" s="37">
        <f t="shared" ref="AO811" si="9846">-AO472/AO237*AO$5</f>
        <v>3.5034919673226934E-3</v>
      </c>
      <c r="AP811" s="37">
        <f t="shared" ref="AP811:AQ811" si="9847">-AP472/AP237*AP$5</f>
        <v>-1.679070826011592E-3</v>
      </c>
      <c r="AQ811" s="37">
        <f t="shared" si="9847"/>
        <v>-2.5809690414810386E-4</v>
      </c>
      <c r="AR811" s="37">
        <f t="shared" ref="AR811:AS811" si="9848">-AR472/AR237*AR$5</f>
        <v>-9.3818586061048838E-4</v>
      </c>
      <c r="AS811" s="37">
        <f t="shared" si="9848"/>
        <v>1.6742134174003699E-4</v>
      </c>
      <c r="AT811" s="37">
        <f t="shared" ref="AT811:AU811" si="9849">-AT472/AT237*AT$5</f>
        <v>4.1082716480442792E-4</v>
      </c>
      <c r="AU811" s="37">
        <f t="shared" si="9849"/>
        <v>3.4358448056132556E-4</v>
      </c>
      <c r="AV811" s="37">
        <f t="shared" ref="AV811:AW811" si="9850">-AV472/AV237*AV$5</f>
        <v>2.1084908928254079E-4</v>
      </c>
      <c r="AW811" s="37">
        <f t="shared" si="9850"/>
        <v>9.6085378722236044E-4</v>
      </c>
      <c r="AX811" s="37">
        <f t="shared" ref="AX811" si="9851">-AX472/AX237*AX$5</f>
        <v>3.8134421859179482E-4</v>
      </c>
      <c r="AY811" s="36">
        <f t="shared" ref="AY811" si="9852">-AY472/AY237*AY$5</f>
        <v>7.5963436837594035E-4</v>
      </c>
      <c r="AZ811" s="35">
        <f t="shared" ref="AZ811:BA811" si="9853">-AZ472/AZ237*AZ$5</f>
        <v>8.0353408920652277E-4</v>
      </c>
      <c r="BA811" s="35">
        <f t="shared" si="9853"/>
        <v>8.8638638443177045E-4</v>
      </c>
      <c r="BB811" s="35">
        <f t="shared" ref="BB811:BC811" si="9854">-BB472/BB237*BB$5</f>
        <v>1.0565422674672718E-3</v>
      </c>
      <c r="BC811" s="35">
        <f t="shared" si="9854"/>
        <v>1.2921597966057555E-3</v>
      </c>
      <c r="BD811" s="35">
        <f t="shared" ref="BD811:BE811" si="9855">-BD472/BD237*BD$5</f>
        <v>1.263647717767188E-3</v>
      </c>
      <c r="BE811" s="35">
        <f t="shared" si="9855"/>
        <v>1.1961032937653844E-3</v>
      </c>
      <c r="BF811" s="35">
        <f t="shared" ref="BF811:BG811" si="9856">-BF472/BF237*BF$5</f>
        <v>1.122668789949869E-3</v>
      </c>
      <c r="BG811" s="35">
        <f t="shared" si="9856"/>
        <v>1.0562876990386186E-3</v>
      </c>
      <c r="BH811" s="35">
        <f t="shared" ref="BH811:BI811" si="9857">-BH472/BH237*BH$5</f>
        <v>1.1202942929415113E-3</v>
      </c>
      <c r="BI811" s="35">
        <f t="shared" si="9857"/>
        <v>1.0882834435927242E-3</v>
      </c>
      <c r="BJ811" s="35">
        <f t="shared" ref="BJ811:BK811" si="9858">-BJ472/BJ237*BJ$5</f>
        <v>7.3274775217775179E-4</v>
      </c>
      <c r="BK811" s="35">
        <f t="shared" si="9858"/>
        <v>7.7510531534458486E-4</v>
      </c>
      <c r="BL811" s="35">
        <f t="shared" ref="BL811:BM811" si="9859">-BL472/BL237*BL$5</f>
        <v>8.4934803604852168E-4</v>
      </c>
      <c r="BM811" s="35">
        <f t="shared" si="9859"/>
        <v>9.5813186970980329E-4</v>
      </c>
      <c r="BN811" s="35">
        <f t="shared" ref="BN811:BO811" si="9860">-BN472/BN237*BN$5</f>
        <v>1.0947398484397689E-3</v>
      </c>
      <c r="BO811" s="35">
        <f t="shared" si="9860"/>
        <v>1.1969311389238332E-3</v>
      </c>
      <c r="BP811" s="35">
        <f t="shared" ref="BP811:BQ811" si="9861">-BP472/BP237*BP$5</f>
        <v>1.3010060240639749E-3</v>
      </c>
      <c r="BQ811" s="35">
        <f t="shared" si="9861"/>
        <v>1.2981579881956389E-3</v>
      </c>
      <c r="BR811" s="35"/>
      <c r="BS811" s="345">
        <f t="shared" ref="BS811:CF811" si="9862">-BS472/(BS237+AVERAGE(BR179:BS179))*BS$5</f>
        <v>2.6540645415881092E-2</v>
      </c>
      <c r="BT811" s="345">
        <f t="shared" si="9862"/>
        <v>8.7354354869488594E-3</v>
      </c>
      <c r="BU811" s="345">
        <f t="shared" si="9862"/>
        <v>5.3691609509780381E-3</v>
      </c>
      <c r="BV811" s="345">
        <f t="shared" si="9862"/>
        <v>3.0124118996625337E-3</v>
      </c>
      <c r="BW811" s="345">
        <f t="shared" si="9862"/>
        <v>2.0306924661309509E-3</v>
      </c>
      <c r="BX811" s="345">
        <f t="shared" si="9862"/>
        <v>4.183203392577951E-3</v>
      </c>
      <c r="BY811" s="345">
        <f t="shared" si="9862"/>
        <v>4.5839608433734941E-3</v>
      </c>
      <c r="BZ811" s="345">
        <f t="shared" si="9862"/>
        <v>4.3698055008139832E-3</v>
      </c>
      <c r="CA811" s="345">
        <f t="shared" si="9862"/>
        <v>3.8530617257418296E-3</v>
      </c>
      <c r="CB811" s="345">
        <f t="shared" si="9862"/>
        <v>3.8681197004574726E-3</v>
      </c>
      <c r="CC811" s="35">
        <f t="shared" si="9862"/>
        <v>3.8908408819257967E-3</v>
      </c>
      <c r="CD811" s="35">
        <f t="shared" si="9862"/>
        <v>3.6179058751685412E-3</v>
      </c>
      <c r="CE811" s="35">
        <f t="shared" si="9862"/>
        <v>2.9528087892783141E-3</v>
      </c>
      <c r="CF811" s="35">
        <f t="shared" si="9862"/>
        <v>2.2778251110455619E-3</v>
      </c>
      <c r="CG811" s="35">
        <f t="shared" ref="CG811:CY811" si="9863">-CG472/CG237*CG$5</f>
        <v>1.5694954862543818E-3</v>
      </c>
      <c r="CH811" s="35">
        <f t="shared" si="9863"/>
        <v>1.8217351853144412E-3</v>
      </c>
      <c r="CI811" s="35">
        <f t="shared" si="9863"/>
        <v>6.3444391172062754E-3</v>
      </c>
      <c r="CJ811" s="35">
        <f t="shared" si="9863"/>
        <v>8.6762713674613124E-3</v>
      </c>
      <c r="CK811" s="35">
        <f t="shared" si="9863"/>
        <v>5.0779823037475566E-3</v>
      </c>
      <c r="CL811" s="35">
        <f t="shared" si="9863"/>
        <v>3.1492892157495437E-3</v>
      </c>
      <c r="CM811" s="37">
        <f t="shared" si="9863"/>
        <v>3.0098430000813471E-3</v>
      </c>
      <c r="CN811" s="37">
        <f t="shared" si="9863"/>
        <v>2.5927105196467677E-3</v>
      </c>
      <c r="CO811" s="37">
        <f t="shared" si="9863"/>
        <v>1.9202317480904469E-3</v>
      </c>
      <c r="CP811" s="37">
        <f t="shared" si="9863"/>
        <v>2.1686976835429139E-3</v>
      </c>
      <c r="CQ811" s="37">
        <f t="shared" si="9863"/>
        <v>3.5498577153144782E-3</v>
      </c>
      <c r="CR811" s="37">
        <f t="shared" si="9863"/>
        <v>2.1523250136427606E-3</v>
      </c>
      <c r="CS811" s="37">
        <f t="shared" si="9863"/>
        <v>1.2133760601608782E-3</v>
      </c>
      <c r="CT811" s="37">
        <f t="shared" si="9863"/>
        <v>1.3522155924915464E-3</v>
      </c>
      <c r="CU811" s="37">
        <f t="shared" si="9863"/>
        <v>4.5180250719039231E-3</v>
      </c>
      <c r="CV811" s="37">
        <f t="shared" si="9863"/>
        <v>-9.6611772323368296E-4</v>
      </c>
      <c r="CW811" s="37">
        <f t="shared" si="9863"/>
        <v>-3.7827804190134233E-4</v>
      </c>
      <c r="CX811" s="37">
        <f t="shared" si="9863"/>
        <v>3.7709000898787762E-4</v>
      </c>
      <c r="CY811" s="37">
        <f t="shared" si="9863"/>
        <v>5.9558737237413453E-4</v>
      </c>
      <c r="CZ811" s="36">
        <f t="shared" ref="CZ811" si="9864">-CZ472/CZ237*CZ$5</f>
        <v>5.7280534586153322E-4</v>
      </c>
      <c r="DA811" s="35">
        <f t="shared" ref="DA811:DF811" si="9865">-DA472/DA237*DA$5</f>
        <v>8.4540955378218199E-4</v>
      </c>
      <c r="DB811" s="35">
        <f t="shared" si="9865"/>
        <v>1.1755850998032731E-3</v>
      </c>
      <c r="DC811" s="35">
        <f t="shared" si="9865"/>
        <v>1.229588686563515E-3</v>
      </c>
      <c r="DD811" s="35">
        <f t="shared" si="9865"/>
        <v>1.0891295068738295E-3</v>
      </c>
      <c r="DE811" s="35">
        <f t="shared" si="9865"/>
        <v>1.1041004702105502E-3</v>
      </c>
      <c r="DF811" s="35">
        <f t="shared" si="9865"/>
        <v>7.5418287660093393E-4</v>
      </c>
      <c r="DG811" s="35">
        <f t="shared" ref="DG811:DH811" si="9866">-DG472/DG237*DG$5</f>
        <v>9.0424162598222956E-4</v>
      </c>
      <c r="DH811" s="35">
        <f t="shared" si="9866"/>
        <v>1.1464758281633778E-3</v>
      </c>
      <c r="DI811" s="35">
        <f t="shared" ref="DI811" si="9867">-DI472/DI237*DI$5</f>
        <v>1.2995635272868933E-3</v>
      </c>
    </row>
    <row r="812" spans="1:113" ht="12" outlineLevel="1">
      <c r="A812" s="1" t="s">
        <v>822</v>
      </c>
      <c r="B812" s="15" t="s">
        <v>625</v>
      </c>
      <c r="C812" s="345">
        <f t="shared" ref="C812:AF812" si="9868">C124/(C181-C176)</f>
        <v>1.4908795273156153E-2</v>
      </c>
      <c r="D812" s="345">
        <f t="shared" si="9868"/>
        <v>1.7561910997825222E-2</v>
      </c>
      <c r="E812" s="345">
        <f t="shared" si="9868"/>
        <v>1.451901436897686E-2</v>
      </c>
      <c r="F812" s="345">
        <f t="shared" si="9868"/>
        <v>1.3319073398238089E-2</v>
      </c>
      <c r="G812" s="345">
        <f t="shared" si="9868"/>
        <v>1.1299435028248588E-2</v>
      </c>
      <c r="H812" s="345">
        <f t="shared" si="9868"/>
        <v>8.9077703165684526E-3</v>
      </c>
      <c r="I812" s="345">
        <f t="shared" si="9868"/>
        <v>8.0443251353525501E-3</v>
      </c>
      <c r="J812" s="345">
        <f t="shared" si="9868"/>
        <v>6.3763860317026747E-3</v>
      </c>
      <c r="K812" s="345">
        <f t="shared" si="9868"/>
        <v>5.7823625776523445E-3</v>
      </c>
      <c r="L812" s="345">
        <f t="shared" si="9868"/>
        <v>6.3181943514397133E-3</v>
      </c>
      <c r="M812" s="35">
        <f t="shared" si="9868"/>
        <v>5.2635547847070356E-3</v>
      </c>
      <c r="N812" s="35">
        <f t="shared" si="9868"/>
        <v>5.4619703930576828E-3</v>
      </c>
      <c r="O812" s="35">
        <f t="shared" si="9868"/>
        <v>4.6800000000000001E-3</v>
      </c>
      <c r="P812" s="35">
        <f t="shared" si="9868"/>
        <v>6.5422042647654728E-3</v>
      </c>
      <c r="Q812" s="35">
        <f t="shared" si="9868"/>
        <v>1.488962294104868E-2</v>
      </c>
      <c r="R812" s="35">
        <f t="shared" si="9868"/>
        <v>2.3368346512451316E-2</v>
      </c>
      <c r="S812" s="35">
        <f t="shared" si="9868"/>
        <v>3.4112317625611982E-2</v>
      </c>
      <c r="T812" s="37">
        <f t="shared" si="9868"/>
        <v>4.0633186555933336E-2</v>
      </c>
      <c r="U812" s="35">
        <f t="shared" si="9868"/>
        <v>3.9187930045871559E-2</v>
      </c>
      <c r="V812" s="35">
        <f t="shared" si="9868"/>
        <v>3.4935307066804436E-2</v>
      </c>
      <c r="W812" s="35">
        <f t="shared" si="9868"/>
        <v>2.9625500968760782E-2</v>
      </c>
      <c r="X812" s="35">
        <f t="shared" si="9868"/>
        <v>2.7487254412725523E-2</v>
      </c>
      <c r="Y812" s="37">
        <f t="shared" si="9868"/>
        <v>2.5710171747509884E-2</v>
      </c>
      <c r="Z812" s="37">
        <f t="shared" si="9868"/>
        <v>2.124100034457119E-2</v>
      </c>
      <c r="AA812" s="37">
        <f t="shared" si="9868"/>
        <v>1.8194852188161397E-2</v>
      </c>
      <c r="AB812" s="37">
        <f t="shared" si="9868"/>
        <v>1.4551476854308363E-2</v>
      </c>
      <c r="AC812" s="37">
        <f t="shared" si="9868"/>
        <v>1.1367481683756581E-2</v>
      </c>
      <c r="AD812" s="37">
        <f t="shared" ref="AD812:AE812" si="9869">AD124/(AD181-AD176)</f>
        <v>9.9045389707764896E-3</v>
      </c>
      <c r="AE812" s="37">
        <f t="shared" si="9869"/>
        <v>9.949757202504456E-3</v>
      </c>
      <c r="AF812" s="37">
        <f t="shared" si="9868"/>
        <v>1.1433670434265318E-2</v>
      </c>
      <c r="AG812" s="37">
        <f t="shared" ref="AG812:AH812" si="9870">AG124/(AG181-AG176)</f>
        <v>1.2376594856672557E-2</v>
      </c>
      <c r="AH812" s="37">
        <f t="shared" si="9870"/>
        <v>1.1809031097115223E-2</v>
      </c>
      <c r="AI812" s="37">
        <f t="shared" ref="AI812:AJ812" si="9871">AI124/(AI181-AI176)</f>
        <v>9.6857415645885386E-3</v>
      </c>
      <c r="AJ812" s="37">
        <f t="shared" si="9871"/>
        <v>8.1416014217781836E-3</v>
      </c>
      <c r="AK812" s="37">
        <f t="shared" ref="AK812:AL812" si="9872">AK124/(AK181-AK176)</f>
        <v>8.1747618083077601E-3</v>
      </c>
      <c r="AL812" s="37">
        <f t="shared" si="9872"/>
        <v>8.0507560825202502E-3</v>
      </c>
      <c r="AM812" s="37">
        <f t="shared" ref="AM812:AN812" si="9873">AM124/(AM181-AM176)</f>
        <v>7.3919712044650566E-3</v>
      </c>
      <c r="AN812" s="37">
        <f t="shared" si="9873"/>
        <v>8.3474384380429929E-3</v>
      </c>
      <c r="AO812" s="37">
        <f t="shared" ref="AO812" si="9874">AO124/(AO181-AO176)</f>
        <v>9.3525836559892293E-3</v>
      </c>
      <c r="AP812" s="37">
        <f t="shared" ref="AP812:AQ812" si="9875">AP124/(AP181-AP176)</f>
        <v>9.928138423862861E-3</v>
      </c>
      <c r="AQ812" s="37">
        <f t="shared" si="9875"/>
        <v>7.5521153609642106E-3</v>
      </c>
      <c r="AR812" s="37">
        <f t="shared" ref="AR812:AS812" si="9876">AR124/(AR181-AR176)</f>
        <v>6.1074758506330833E-3</v>
      </c>
      <c r="AS812" s="37">
        <f t="shared" si="9876"/>
        <v>4.8327759197324413E-3</v>
      </c>
      <c r="AT812" s="37">
        <f t="shared" ref="AT812:AU812" si="9877">AT124/(AT181-AT176)</f>
        <v>4.0320565154367783E-3</v>
      </c>
      <c r="AU812" s="37">
        <f t="shared" si="9877"/>
        <v>5.0175002226701283E-3</v>
      </c>
      <c r="AV812" s="37">
        <f t="shared" ref="AV812:AW812" si="9878">AV124/(AV181-AV176)</f>
        <v>5.0503874292596425E-3</v>
      </c>
      <c r="AW812" s="37">
        <f t="shared" si="9878"/>
        <v>5.310856042235892E-3</v>
      </c>
      <c r="AX812" s="37">
        <f t="shared" ref="AX812" si="9879">AX124/(AX181-AX176)</f>
        <v>6.9303182961018501E-3</v>
      </c>
      <c r="AY812" s="36">
        <f t="shared" ref="AY812" si="9880">AY124/(AY181-AY176)</f>
        <v>7.797857893410841E-3</v>
      </c>
      <c r="AZ812" s="35">
        <f t="shared" ref="AZ812:BA812" si="9881">AZ124/(AZ181-AZ176)</f>
        <v>8.5031145843521283E-3</v>
      </c>
      <c r="BA812" s="35">
        <f t="shared" si="9881"/>
        <v>9.1144144383388873E-3</v>
      </c>
      <c r="BB812" s="35">
        <f t="shared" ref="BB812:BC812" si="9882">BB124/(BB181-BB176)</f>
        <v>9.7556097906923503E-3</v>
      </c>
      <c r="BC812" s="35">
        <f t="shared" si="9882"/>
        <v>1.0463231059527702E-2</v>
      </c>
      <c r="BD812" s="35">
        <f t="shared" ref="BD812:BE812" si="9883">BD124/(BD181-BD176)</f>
        <v>1.0665827565613245E-2</v>
      </c>
      <c r="BE812" s="35">
        <f t="shared" si="9883"/>
        <v>1.0857871968295367E-2</v>
      </c>
      <c r="BF812" s="35">
        <f t="shared" ref="BF812:BG812" si="9884">BF124/(BF181-BF176)</f>
        <v>1.0359365838465188E-2</v>
      </c>
      <c r="BG812" s="35">
        <f t="shared" si="9884"/>
        <v>9.8398727998431686E-3</v>
      </c>
      <c r="BH812" s="35">
        <f t="shared" ref="BH812:BI812" si="9885">BH124/(BH181-BH176)</f>
        <v>9.6538726872401164E-3</v>
      </c>
      <c r="BI812" s="35">
        <f t="shared" si="9885"/>
        <v>9.4543449804631429E-3</v>
      </c>
      <c r="BJ812" s="35">
        <f t="shared" ref="BJ812:BK812" si="9886">BJ124/(BJ181-BJ176)</f>
        <v>9.2543449804631424E-3</v>
      </c>
      <c r="BK812" s="35">
        <f t="shared" si="9886"/>
        <v>9.0543449804631419E-3</v>
      </c>
      <c r="BL812" s="35">
        <f t="shared" ref="BL812:BM812" si="9887">BL124/(BL181-BL176)</f>
        <v>8.8543449804631413E-3</v>
      </c>
      <c r="BM812" s="35">
        <f t="shared" si="9887"/>
        <v>8.6543449804631408E-3</v>
      </c>
      <c r="BN812" s="35">
        <f t="shared" ref="BN812:BO812" si="9888">BN124/(BN181-BN176)</f>
        <v>8.4543449804631403E-3</v>
      </c>
      <c r="BO812" s="35">
        <f t="shared" si="9888"/>
        <v>8.2543449804631398E-3</v>
      </c>
      <c r="BP812" s="35">
        <f t="shared" ref="BP812:BQ812" si="9889">BP124/(BP181-BP176)</f>
        <v>8.0543449804631392E-3</v>
      </c>
      <c r="BQ812" s="35">
        <f t="shared" si="9889"/>
        <v>7.8543449804631387E-3</v>
      </c>
      <c r="BR812" s="35"/>
      <c r="BS812" s="345">
        <f t="shared" ref="BS812:CY812" si="9890">BS124/(BS181-BS176)</f>
        <v>8.3287551167524607E-2</v>
      </c>
      <c r="BT812" s="345">
        <f t="shared" si="9890"/>
        <v>8.1401809341905482E-2</v>
      </c>
      <c r="BU812" s="345">
        <f t="shared" si="9890"/>
        <v>5.2650867334473495E-2</v>
      </c>
      <c r="BV812" s="345">
        <f t="shared" si="9890"/>
        <v>3.2000594367161371E-2</v>
      </c>
      <c r="BW812" s="345">
        <f t="shared" si="9890"/>
        <v>2.0490046528850676E-2</v>
      </c>
      <c r="BX812" s="345">
        <f t="shared" si="9890"/>
        <v>1.3556179734357439E-2</v>
      </c>
      <c r="BY812" s="345">
        <f t="shared" si="9890"/>
        <v>2.2182373228890585E-2</v>
      </c>
      <c r="BZ812" s="345">
        <f t="shared" si="9890"/>
        <v>1.9945062958821529E-2</v>
      </c>
      <c r="CA812" s="345">
        <f t="shared" si="9890"/>
        <v>1.7097308778563594E-2</v>
      </c>
      <c r="CB812" s="345">
        <f t="shared" si="9890"/>
        <v>1.4908795273156153E-2</v>
      </c>
      <c r="CC812" s="35">
        <f t="shared" si="9890"/>
        <v>1.451901436897686E-2</v>
      </c>
      <c r="CD812" s="35">
        <f t="shared" si="9890"/>
        <v>1.1299435028248588E-2</v>
      </c>
      <c r="CE812" s="35">
        <f t="shared" si="9890"/>
        <v>8.0443251353525501E-3</v>
      </c>
      <c r="CF812" s="35">
        <f t="shared" si="9890"/>
        <v>5.7823625776523445E-3</v>
      </c>
      <c r="CG812" s="35">
        <f t="shared" si="9890"/>
        <v>5.2635547847070356E-3</v>
      </c>
      <c r="CH812" s="35">
        <f t="shared" si="9890"/>
        <v>4.6800000000000001E-3</v>
      </c>
      <c r="CI812" s="35">
        <f t="shared" si="9890"/>
        <v>1.488962294104868E-2</v>
      </c>
      <c r="CJ812" s="35">
        <f t="shared" si="9890"/>
        <v>3.4112317625611982E-2</v>
      </c>
      <c r="CK812" s="35">
        <f t="shared" si="9890"/>
        <v>3.9187930045871559E-2</v>
      </c>
      <c r="CL812" s="35">
        <f t="shared" si="9890"/>
        <v>2.9625500968760782E-2</v>
      </c>
      <c r="CM812" s="37">
        <f t="shared" si="9890"/>
        <v>2.5710171747509884E-2</v>
      </c>
      <c r="CN812" s="37">
        <f t="shared" si="9890"/>
        <v>1.8194852188161397E-2</v>
      </c>
      <c r="CO812" s="37">
        <f t="shared" si="9890"/>
        <v>1.1367481683756581E-2</v>
      </c>
      <c r="CP812" s="37">
        <f t="shared" si="9890"/>
        <v>9.949757202504456E-3</v>
      </c>
      <c r="CQ812" s="37">
        <f t="shared" si="9890"/>
        <v>1.2376594856672557E-2</v>
      </c>
      <c r="CR812" s="37">
        <f t="shared" si="9890"/>
        <v>9.6857415645885386E-3</v>
      </c>
      <c r="CS812" s="37">
        <f t="shared" si="9890"/>
        <v>8.1747618083077601E-3</v>
      </c>
      <c r="CT812" s="37">
        <f t="shared" si="9890"/>
        <v>7.3919712044650566E-3</v>
      </c>
      <c r="CU812" s="37">
        <f t="shared" si="9890"/>
        <v>9.3525836559892293E-3</v>
      </c>
      <c r="CV812" s="37">
        <f t="shared" si="9890"/>
        <v>7.5521153609642106E-3</v>
      </c>
      <c r="CW812" s="37">
        <f t="shared" si="9890"/>
        <v>4.8327759197324413E-3</v>
      </c>
      <c r="CX812" s="37">
        <f t="shared" si="9890"/>
        <v>5.0175002226701283E-3</v>
      </c>
      <c r="CY812" s="37">
        <f t="shared" si="9890"/>
        <v>5.310856042235892E-3</v>
      </c>
      <c r="CZ812" s="36">
        <f t="shared" ref="CZ812" si="9891">CZ124/(CZ181-CZ176)</f>
        <v>7.797857893410841E-3</v>
      </c>
      <c r="DA812" s="35">
        <f t="shared" ref="DA812:DF812" si="9892">DA124/(DA181-DA176)</f>
        <v>9.1144144383388873E-3</v>
      </c>
      <c r="DB812" s="35">
        <f t="shared" si="9892"/>
        <v>1.0463231059527702E-2</v>
      </c>
      <c r="DC812" s="35">
        <f t="shared" si="9892"/>
        <v>1.0857871968295367E-2</v>
      </c>
      <c r="DD812" s="35">
        <f t="shared" si="9892"/>
        <v>9.8398727998431686E-3</v>
      </c>
      <c r="DE812" s="35">
        <f t="shared" si="9892"/>
        <v>9.4543449804631429E-3</v>
      </c>
      <c r="DF812" s="35">
        <f t="shared" si="9892"/>
        <v>9.0543449804631419E-3</v>
      </c>
      <c r="DG812" s="35">
        <f t="shared" ref="DG812" si="9893">DG124/(DG181-DG176)</f>
        <v>8.6543449804631408E-3</v>
      </c>
      <c r="DH812" s="35">
        <f>DH124/(DH181-DH176)</f>
        <v>8.2543449804631398E-3</v>
      </c>
      <c r="DI812" s="35">
        <f>DI124/(DI181-DI176)</f>
        <v>7.8543449804631387E-3</v>
      </c>
    </row>
    <row r="813" spans="1:113" ht="12" outlineLevel="1">
      <c r="A813" s="1" t="s">
        <v>823</v>
      </c>
      <c r="B813" s="15" t="s">
        <v>348</v>
      </c>
      <c r="C813" s="345">
        <f t="shared" ref="C813:AF813" si="9894">(C124+C125)/C181</f>
        <v>1.1722240344930291E-2</v>
      </c>
      <c r="D813" s="345">
        <f t="shared" si="9894"/>
        <v>1.244589879666338E-2</v>
      </c>
      <c r="E813" s="345">
        <f t="shared" si="9894"/>
        <v>9.8829997653290414E-3</v>
      </c>
      <c r="F813" s="345">
        <f t="shared" si="9894"/>
        <v>9.1490904505186158E-3</v>
      </c>
      <c r="G813" s="345">
        <f t="shared" si="9894"/>
        <v>7.585936793902329E-3</v>
      </c>
      <c r="H813" s="345">
        <f t="shared" si="9894"/>
        <v>5.980721767689527E-3</v>
      </c>
      <c r="I813" s="345">
        <f t="shared" si="9894"/>
        <v>5.3461677512653648E-3</v>
      </c>
      <c r="J813" s="345">
        <f t="shared" si="9894"/>
        <v>4.7678467544074125E-3</v>
      </c>
      <c r="K813" s="345">
        <f t="shared" si="9894"/>
        <v>4.3768228426944262E-3</v>
      </c>
      <c r="L813" s="345">
        <f t="shared" si="9894"/>
        <v>4.7410719448031302E-3</v>
      </c>
      <c r="M813" s="35">
        <f t="shared" si="9894"/>
        <v>4.3819509016495466E-3</v>
      </c>
      <c r="N813" s="35">
        <f t="shared" si="9894"/>
        <v>4.6680733874325947E-3</v>
      </c>
      <c r="O813" s="35">
        <f t="shared" si="9894"/>
        <v>4.1088670848189891E-3</v>
      </c>
      <c r="P813" s="35">
        <f t="shared" si="9894"/>
        <v>5.385975145752956E-3</v>
      </c>
      <c r="Q813" s="35">
        <f t="shared" si="9894"/>
        <v>1.0505224470728611E-2</v>
      </c>
      <c r="R813" s="35">
        <f t="shared" si="9894"/>
        <v>1.5831890896662735E-2</v>
      </c>
      <c r="S813" s="35">
        <f t="shared" si="9894"/>
        <v>2.0425609260821286E-2</v>
      </c>
      <c r="T813" s="37">
        <f t="shared" si="9894"/>
        <v>2.2816499908271122E-2</v>
      </c>
      <c r="U813" s="35">
        <f t="shared" si="9894"/>
        <v>2.1930274912046518E-2</v>
      </c>
      <c r="V813" s="35">
        <f t="shared" si="9894"/>
        <v>2.118974619473522E-2</v>
      </c>
      <c r="W813" s="35">
        <f t="shared" si="9894"/>
        <v>1.836455183311167E-2</v>
      </c>
      <c r="X813" s="35">
        <f t="shared" si="9894"/>
        <v>1.72323248719332E-2</v>
      </c>
      <c r="Y813" s="37">
        <f t="shared" si="9894"/>
        <v>1.5963309111493629E-2</v>
      </c>
      <c r="Z813" s="37">
        <f t="shared" si="9894"/>
        <v>1.3906626624183278E-2</v>
      </c>
      <c r="AA813" s="37">
        <f t="shared" si="9894"/>
        <v>1.2472596994846492E-2</v>
      </c>
      <c r="AB813" s="37">
        <f t="shared" si="9894"/>
        <v>1.1063614321742602E-2</v>
      </c>
      <c r="AC813" s="37">
        <f t="shared" si="9894"/>
        <v>9.268667678970343E-3</v>
      </c>
      <c r="AD813" s="37">
        <f t="shared" ref="AD813:AE813" si="9895">(AD124+AD125)/AD181</f>
        <v>8.8199648696314515E-3</v>
      </c>
      <c r="AE813" s="37">
        <f t="shared" si="9895"/>
        <v>8.8837994844363569E-3</v>
      </c>
      <c r="AF813" s="37">
        <f t="shared" si="9894"/>
        <v>9.6489350978245687E-3</v>
      </c>
      <c r="AG813" s="37">
        <f t="shared" ref="AG813:AH813" si="9896">(AG124+AG125)/AG181</f>
        <v>1.0139513213635541E-2</v>
      </c>
      <c r="AH813" s="37">
        <f t="shared" si="9896"/>
        <v>9.8503559995584498E-3</v>
      </c>
      <c r="AI813" s="37">
        <f t="shared" ref="AI813:AJ813" si="9897">(AI124+AI125)/AI181</f>
        <v>9.147407463269825E-3</v>
      </c>
      <c r="AJ813" s="37">
        <f t="shared" si="9897"/>
        <v>8.5252437644867795E-3</v>
      </c>
      <c r="AK813" s="37">
        <f t="shared" ref="AK813:AL813" si="9898">(AK124+AK125)/AK181</f>
        <v>8.3084764557520164E-3</v>
      </c>
      <c r="AL813" s="37">
        <f t="shared" si="9898"/>
        <v>8.896585348354474E-3</v>
      </c>
      <c r="AM813" s="37">
        <f t="shared" ref="AM813:AN813" si="9899">(AM124+AM125)/AM181</f>
        <v>9.3369669817805409E-3</v>
      </c>
      <c r="AN813" s="37">
        <f t="shared" si="9899"/>
        <v>9.4131035850001741E-3</v>
      </c>
      <c r="AO813" s="37">
        <f t="shared" ref="AO813" si="9900">(AO124+AO125)/AO181</f>
        <v>1.0145314773561339E-2</v>
      </c>
      <c r="AP813" s="37">
        <f t="shared" ref="AP813:AQ813" si="9901">(AP124+AP125)/AP181</f>
        <v>9.3302550884941417E-3</v>
      </c>
      <c r="AQ813" s="37">
        <f t="shared" si="9901"/>
        <v>7.9492512216244923E-3</v>
      </c>
      <c r="AR813" s="37">
        <f t="shared" ref="AR813:AS813" si="9902">(AR124+AR125)/AR181</f>
        <v>6.9299497074038225E-3</v>
      </c>
      <c r="AS813" s="37">
        <f t="shared" si="9902"/>
        <v>5.7108925589163112E-3</v>
      </c>
      <c r="AT813" s="37">
        <f t="shared" ref="AT813:AU813" si="9903">(AT124+AT125)/AT181</f>
        <v>5.3711008152150319E-3</v>
      </c>
      <c r="AU813" s="37">
        <f t="shared" si="9903"/>
        <v>6.1642383731611156E-3</v>
      </c>
      <c r="AV813" s="37">
        <f t="shared" ref="AV813:AW813" si="9904">(AV124+AV125)/AV181</f>
        <v>6.9991838012500142E-3</v>
      </c>
      <c r="AW813" s="37">
        <f t="shared" si="9904"/>
        <v>7.3020595392955618E-3</v>
      </c>
      <c r="AX813" s="37">
        <f t="shared" ref="AX813" si="9905">(AX124+AX125)/AX181</f>
        <v>8.3002930949559375E-3</v>
      </c>
      <c r="AY813" s="36">
        <f t="shared" ref="AY813" si="9906">(AY124+AY125)/AY181</f>
        <v>8.4234409641807846E-3</v>
      </c>
      <c r="AZ813" s="35">
        <f t="shared" ref="AZ813:BA813" si="9907">(AZ124+AZ125)/AZ181</f>
        <v>9.0499185201121136E-3</v>
      </c>
      <c r="BA813" s="35">
        <f t="shared" si="9907"/>
        <v>9.68052206639782E-3</v>
      </c>
      <c r="BB813" s="35">
        <f t="shared" ref="BB813:BC813" si="9908">(BB124+BB125)/BB181</f>
        <v>1.0301947642676369E-2</v>
      </c>
      <c r="BC813" s="35">
        <f t="shared" si="9908"/>
        <v>1.092356100030353E-2</v>
      </c>
      <c r="BD813" s="35">
        <f t="shared" ref="BD813:BE813" si="9909">(BD124+BD125)/BD181</f>
        <v>1.1006294693154582E-2</v>
      </c>
      <c r="BE813" s="35">
        <f t="shared" si="9909"/>
        <v>1.1088958961002359E-2</v>
      </c>
      <c r="BF813" s="35">
        <f t="shared" ref="BF813:BG813" si="9910">(BF124+BF125)/BF181</f>
        <v>1.0467098476984378E-2</v>
      </c>
      <c r="BG813" s="35">
        <f t="shared" si="9910"/>
        <v>9.8452927962441664E-3</v>
      </c>
      <c r="BH813" s="35">
        <f t="shared" ref="BH813:BI813" si="9911">(BH124+BH125)/BH181</f>
        <v>9.6379424317112449E-3</v>
      </c>
      <c r="BI813" s="35">
        <f t="shared" si="9911"/>
        <v>9.4306215875351353E-3</v>
      </c>
      <c r="BJ813" s="35">
        <f t="shared" ref="BJ813:BK813" si="9912">(BJ124+BJ125)/BJ181</f>
        <v>9.2314382214488348E-3</v>
      </c>
      <c r="BK813" s="35">
        <f t="shared" si="9912"/>
        <v>9.0101843834542172E-3</v>
      </c>
      <c r="BL813" s="35">
        <f t="shared" ref="BL813:BM813" si="9913">(BL124+BL125)/BL181</f>
        <v>8.7902761987866014E-3</v>
      </c>
      <c r="BM813" s="35">
        <f t="shared" si="9913"/>
        <v>8.5716807343571653E-3</v>
      </c>
      <c r="BN813" s="35">
        <f t="shared" ref="BN813:BO813" si="9914">(BN124+BN125)/BN181</f>
        <v>8.3689282523118722E-3</v>
      </c>
      <c r="BO813" s="35">
        <f t="shared" si="9914"/>
        <v>8.1664282979199108E-3</v>
      </c>
      <c r="BP813" s="35">
        <f t="shared" ref="BP813:BQ813" si="9915">(BP124+BP125)/BP181</f>
        <v>7.9752687060931342E-3</v>
      </c>
      <c r="BQ813" s="35">
        <f t="shared" si="9915"/>
        <v>7.7840111930812649E-3</v>
      </c>
      <c r="BR813" s="35"/>
      <c r="BS813" s="345">
        <f t="shared" ref="BS813:CY813" si="9916">(BS124+BS125)/BS181</f>
        <v>7.4925526424036951E-2</v>
      </c>
      <c r="BT813" s="345">
        <f t="shared" si="9916"/>
        <v>6.9829510158065475E-2</v>
      </c>
      <c r="BU813" s="345">
        <f t="shared" si="9916"/>
        <v>4.2067291752317548E-2</v>
      </c>
      <c r="BV813" s="345">
        <f t="shared" si="9916"/>
        <v>2.4279247081248512E-2</v>
      </c>
      <c r="BW813" s="345">
        <f t="shared" si="9916"/>
        <v>1.6700383075797357E-2</v>
      </c>
      <c r="BX813" s="345">
        <f t="shared" si="9916"/>
        <v>1.1903348373308004E-2</v>
      </c>
      <c r="BY813" s="345">
        <f t="shared" si="9916"/>
        <v>1.8078707984395776E-2</v>
      </c>
      <c r="BZ813" s="345">
        <f t="shared" si="9916"/>
        <v>1.6297821238634415E-2</v>
      </c>
      <c r="CA813" s="345">
        <f t="shared" si="9916"/>
        <v>1.3847565759284752E-2</v>
      </c>
      <c r="CB813" s="345">
        <f t="shared" si="9916"/>
        <v>1.1722240344930291E-2</v>
      </c>
      <c r="CC813" s="35">
        <f t="shared" si="9916"/>
        <v>9.8829997653290414E-3</v>
      </c>
      <c r="CD813" s="35">
        <f t="shared" si="9916"/>
        <v>7.585936793902329E-3</v>
      </c>
      <c r="CE813" s="35">
        <f t="shared" si="9916"/>
        <v>5.3461677512653648E-3</v>
      </c>
      <c r="CF813" s="35">
        <f t="shared" si="9916"/>
        <v>4.3768228426944262E-3</v>
      </c>
      <c r="CG813" s="35">
        <f t="shared" si="9916"/>
        <v>4.3819509016495466E-3</v>
      </c>
      <c r="CH813" s="35">
        <f t="shared" si="9916"/>
        <v>4.1088670848189891E-3</v>
      </c>
      <c r="CI813" s="35">
        <f t="shared" si="9916"/>
        <v>1.0505224470728611E-2</v>
      </c>
      <c r="CJ813" s="35">
        <f t="shared" si="9916"/>
        <v>2.0425609260821286E-2</v>
      </c>
      <c r="CK813" s="35">
        <f t="shared" si="9916"/>
        <v>2.1930274912046518E-2</v>
      </c>
      <c r="CL813" s="35">
        <f t="shared" si="9916"/>
        <v>1.836455183311167E-2</v>
      </c>
      <c r="CM813" s="37">
        <f t="shared" si="9916"/>
        <v>1.5963309111493629E-2</v>
      </c>
      <c r="CN813" s="37">
        <f t="shared" si="9916"/>
        <v>1.2472596994846492E-2</v>
      </c>
      <c r="CO813" s="37">
        <f t="shared" si="9916"/>
        <v>9.268667678970343E-3</v>
      </c>
      <c r="CP813" s="37">
        <f t="shared" si="9916"/>
        <v>8.8837994844363569E-3</v>
      </c>
      <c r="CQ813" s="37">
        <f t="shared" si="9916"/>
        <v>1.0139513213635541E-2</v>
      </c>
      <c r="CR813" s="37">
        <f t="shared" si="9916"/>
        <v>9.147407463269825E-3</v>
      </c>
      <c r="CS813" s="37">
        <f t="shared" si="9916"/>
        <v>8.3084764557520164E-3</v>
      </c>
      <c r="CT813" s="37">
        <f t="shared" si="9916"/>
        <v>9.3369669817805409E-3</v>
      </c>
      <c r="CU813" s="37">
        <f t="shared" si="9916"/>
        <v>1.0145314773561339E-2</v>
      </c>
      <c r="CV813" s="37">
        <f t="shared" si="9916"/>
        <v>7.9492512216244923E-3</v>
      </c>
      <c r="CW813" s="37">
        <f t="shared" si="9916"/>
        <v>5.7108925589163112E-3</v>
      </c>
      <c r="CX813" s="37">
        <f t="shared" si="9916"/>
        <v>6.1642383731611156E-3</v>
      </c>
      <c r="CY813" s="37">
        <f t="shared" si="9916"/>
        <v>7.3020595392955618E-3</v>
      </c>
      <c r="CZ813" s="36">
        <f t="shared" ref="CZ813" si="9917">(CZ124+CZ125)/CZ181</f>
        <v>8.4234409641807846E-3</v>
      </c>
      <c r="DA813" s="35">
        <f t="shared" ref="DA813:DF813" si="9918">(DA124+DA125)/DA181</f>
        <v>9.68052206639782E-3</v>
      </c>
      <c r="DB813" s="35">
        <f t="shared" si="9918"/>
        <v>1.092356100030353E-2</v>
      </c>
      <c r="DC813" s="35">
        <f t="shared" si="9918"/>
        <v>1.1088958961002359E-2</v>
      </c>
      <c r="DD813" s="35">
        <f t="shared" si="9918"/>
        <v>9.8452927962441664E-3</v>
      </c>
      <c r="DE813" s="35">
        <f t="shared" si="9918"/>
        <v>9.4306215875351353E-3</v>
      </c>
      <c r="DF813" s="35">
        <f t="shared" si="9918"/>
        <v>9.0101843834542172E-3</v>
      </c>
      <c r="DG813" s="35">
        <f t="shared" ref="DG813" si="9919">(DG124+DG125)/DG181</f>
        <v>8.5716807343571653E-3</v>
      </c>
      <c r="DH813" s="35">
        <f>(DH124+DH125)/DH181</f>
        <v>8.1664282979199108E-3</v>
      </c>
      <c r="DI813" s="35">
        <f>(DI124+DI125)/DI181</f>
        <v>7.7840111930812649E-3</v>
      </c>
    </row>
    <row r="814" spans="1:113" ht="12" outlineLevel="1">
      <c r="A814" s="1" t="s">
        <v>824</v>
      </c>
      <c r="B814" s="15" t="s">
        <v>296</v>
      </c>
      <c r="C814" s="345">
        <f t="shared" ref="C814:AF814" si="9920">(C124+C125)/C613</f>
        <v>1.1881060023431492E-2</v>
      </c>
      <c r="D814" s="345">
        <f t="shared" si="9920"/>
        <v>1.3144485961984375E-2</v>
      </c>
      <c r="E814" s="345">
        <f t="shared" si="9920"/>
        <v>1.0425065421882736E-2</v>
      </c>
      <c r="F814" s="345">
        <f t="shared" si="9920"/>
        <v>9.7642712462063345E-3</v>
      </c>
      <c r="G814" s="345">
        <f t="shared" si="9920"/>
        <v>8.2739675613154231E-3</v>
      </c>
      <c r="H814" s="345">
        <f t="shared" si="9920"/>
        <v>6.6126978840441129E-3</v>
      </c>
      <c r="I814" s="345">
        <f t="shared" si="9920"/>
        <v>6.0153358011634057E-3</v>
      </c>
      <c r="J814" s="345">
        <f t="shared" si="9920"/>
        <v>5.3979496382276018E-3</v>
      </c>
      <c r="K814" s="345">
        <f t="shared" si="9920"/>
        <v>4.9823976536277226E-3</v>
      </c>
      <c r="L814" s="345">
        <f t="shared" si="9920"/>
        <v>5.3326858961296837E-3</v>
      </c>
      <c r="M814" s="35">
        <f t="shared" si="9920"/>
        <v>4.982953055337005E-3</v>
      </c>
      <c r="N814" s="35">
        <f t="shared" si="9920"/>
        <v>5.3256682036848515E-3</v>
      </c>
      <c r="O814" s="35">
        <f t="shared" si="9920"/>
        <v>4.5924266775265619E-3</v>
      </c>
      <c r="P814" s="35">
        <f t="shared" si="9920"/>
        <v>6.8003559064773482E-3</v>
      </c>
      <c r="Q814" s="35">
        <f t="shared" si="9920"/>
        <v>1.3553156109993683E-2</v>
      </c>
      <c r="R814" s="35">
        <f t="shared" si="9920"/>
        <v>2.0449868628107177E-2</v>
      </c>
      <c r="S814" s="35">
        <f t="shared" si="9920"/>
        <v>2.8531870241878216E-2</v>
      </c>
      <c r="T814" s="37">
        <f t="shared" si="9920"/>
        <v>3.2470949265145946E-2</v>
      </c>
      <c r="U814" s="35">
        <f t="shared" si="9920"/>
        <v>3.0714269495386803E-2</v>
      </c>
      <c r="V814" s="35">
        <f t="shared" si="9920"/>
        <v>3.0942036664194129E-2</v>
      </c>
      <c r="W814" s="35">
        <f t="shared" si="9920"/>
        <v>2.6485548141903958E-2</v>
      </c>
      <c r="X814" s="35">
        <f t="shared" si="9920"/>
        <v>2.5344408712381861E-2</v>
      </c>
      <c r="Y814" s="37">
        <f t="shared" si="9920"/>
        <v>2.3020868388872413E-2</v>
      </c>
      <c r="Z814" s="37">
        <f t="shared" si="9920"/>
        <v>1.9781016919728937E-2</v>
      </c>
      <c r="AA814" s="37">
        <f t="shared" si="9920"/>
        <v>1.7926989226710682E-2</v>
      </c>
      <c r="AB814" s="37">
        <f t="shared" si="9920"/>
        <v>1.5748184287852747E-2</v>
      </c>
      <c r="AC814" s="37">
        <f t="shared" si="9920"/>
        <v>1.3473331323351654E-2</v>
      </c>
      <c r="AD814" s="37">
        <f t="shared" ref="AD814:AE814" si="9921">(AD124+AD125)/AD613</f>
        <v>1.2810736617355498E-2</v>
      </c>
      <c r="AE814" s="37">
        <f t="shared" si="9921"/>
        <v>1.2681091812896051E-2</v>
      </c>
      <c r="AF814" s="37">
        <f t="shared" si="9920"/>
        <v>1.4049725108475929E-2</v>
      </c>
      <c r="AG814" s="37">
        <f t="shared" ref="AG814:AH814" si="9922">(AG124+AG125)/AG613</f>
        <v>1.4381446074472198E-2</v>
      </c>
      <c r="AH814" s="37">
        <f t="shared" si="9922"/>
        <v>1.4383941164618174E-2</v>
      </c>
      <c r="AI814" s="37">
        <f t="shared" ref="AI814:AJ814" si="9923">(AI124+AI125)/AI613</f>
        <v>1.3645672733966909E-2</v>
      </c>
      <c r="AJ814" s="37">
        <f t="shared" si="9923"/>
        <v>1.2815297503392062E-2</v>
      </c>
      <c r="AK814" s="37">
        <f t="shared" ref="AK814:AL814" si="9924">(AK124+AK125)/AK613</f>
        <v>1.2921549562458421E-2</v>
      </c>
      <c r="AL814" s="37">
        <f t="shared" si="9924"/>
        <v>1.3767660633221547E-2</v>
      </c>
      <c r="AM814" s="37">
        <f t="shared" ref="AM814:AN814" si="9925">(AM124+AM125)/AM613</f>
        <v>1.384541959559767E-2</v>
      </c>
      <c r="AN814" s="37">
        <f t="shared" si="9925"/>
        <v>1.3852636455150419E-2</v>
      </c>
      <c r="AO814" s="37">
        <f t="shared" ref="AO814" si="9926">(AO124+AO125)/AO613</f>
        <v>1.4679168296909061E-2</v>
      </c>
      <c r="AP814" s="37">
        <f t="shared" ref="AP814:AQ814" si="9927">(AP124+AP125)/AP613</f>
        <v>1.4119255400988814E-2</v>
      </c>
      <c r="AQ814" s="37">
        <f t="shared" si="9927"/>
        <v>1.2088847017203174E-2</v>
      </c>
      <c r="AR814" s="37">
        <f t="shared" ref="AR814:AS814" si="9928">(AR124+AR125)/AR613</f>
        <v>1.0349158502888721E-2</v>
      </c>
      <c r="AS814" s="37">
        <f t="shared" si="9928"/>
        <v>8.4601885124406771E-3</v>
      </c>
      <c r="AT814" s="37">
        <f t="shared" ref="AT814:AU814" si="9929">(AT124+AT125)/AT613</f>
        <v>8.5232621683803498E-3</v>
      </c>
      <c r="AU814" s="37">
        <f t="shared" si="9929"/>
        <v>1.0066300969014163E-2</v>
      </c>
      <c r="AV814" s="37">
        <f t="shared" ref="AV814:AW814" si="9930">(AV124+AV125)/AV613</f>
        <v>1.1571725984856012E-2</v>
      </c>
      <c r="AW814" s="37">
        <f t="shared" si="9930"/>
        <v>1.3135325651280168E-2</v>
      </c>
      <c r="AX814" s="37">
        <f t="shared" ref="AX814" si="9931">(AX124+AX125)/AX613</f>
        <v>1.4516022422222649E-2</v>
      </c>
      <c r="AY814" s="36">
        <f t="shared" ref="AY814" si="9932">(AY124+AY125)/AY613</f>
        <v>1.5237260302651637E-2</v>
      </c>
      <c r="AZ814" s="35">
        <f t="shared" ref="AZ814:BA814" si="9933">(AZ124+AZ125)/AZ613</f>
        <v>1.620091449926345E-2</v>
      </c>
      <c r="BA814" s="35">
        <f t="shared" si="9933"/>
        <v>1.7406098858731876E-2</v>
      </c>
      <c r="BB814" s="35">
        <f t="shared" ref="BB814:BC814" si="9934">(BB124+BB125)/BB613</f>
        <v>1.8632830535446902E-2</v>
      </c>
      <c r="BC814" s="35">
        <f t="shared" si="9934"/>
        <v>1.9931060961069998E-2</v>
      </c>
      <c r="BD814" s="35">
        <f t="shared" ref="BD814:BE814" si="9935">(BD124+BD125)/BD613</f>
        <v>2.0256353650436269E-2</v>
      </c>
      <c r="BE814" s="35">
        <f t="shared" si="9935"/>
        <v>2.0565752214712164E-2</v>
      </c>
      <c r="BF814" s="35">
        <f t="shared" ref="BF814:BG814" si="9936">(BF124+BF125)/BF613</f>
        <v>1.9559039295523988E-2</v>
      </c>
      <c r="BG814" s="35">
        <f t="shared" si="9936"/>
        <v>1.8526461362216643E-2</v>
      </c>
      <c r="BH814" s="35">
        <f t="shared" ref="BH814:BI814" si="9937">(BH124+BH125)/BH613</f>
        <v>1.8217612990335228E-2</v>
      </c>
      <c r="BI814" s="35">
        <f t="shared" si="9937"/>
        <v>1.7891825933856336E-2</v>
      </c>
      <c r="BJ814" s="35">
        <f t="shared" ref="BJ814:BK814" si="9938">(BJ124+BJ125)/BJ613</f>
        <v>1.7575687205452058E-2</v>
      </c>
      <c r="BK814" s="35">
        <f t="shared" si="9938"/>
        <v>1.7228890265329512E-2</v>
      </c>
      <c r="BL814" s="35">
        <f t="shared" ref="BL814:BM814" si="9939">(BL124+BL125)/BL613</f>
        <v>1.6880236914552458E-2</v>
      </c>
      <c r="BM814" s="35">
        <f t="shared" si="9939"/>
        <v>1.6529751916667744E-2</v>
      </c>
      <c r="BN814" s="35">
        <f t="shared" ref="BN814:BO814" si="9940">(BN124+BN125)/BN613</f>
        <v>1.6196846080293408E-2</v>
      </c>
      <c r="BO814" s="35">
        <f t="shared" si="9940"/>
        <v>1.5860831591118639E-2</v>
      </c>
      <c r="BP814" s="35">
        <f t="shared" ref="BP814:BQ814" si="9941">(BP124+BP125)/BP613</f>
        <v>1.5536503331039913E-2</v>
      </c>
      <c r="BQ814" s="35">
        <f t="shared" si="9941"/>
        <v>1.520870276003836E-2</v>
      </c>
      <c r="BR814" s="35"/>
      <c r="BS814" s="345">
        <f t="shared" ref="BS814:CY814" si="9942">(BS124+BS125)/BS613</f>
        <v>7.085551891338765E-2</v>
      </c>
      <c r="BT814" s="345">
        <f t="shared" si="9942"/>
        <v>6.7128545407233925E-2</v>
      </c>
      <c r="BU814" s="345">
        <f t="shared" si="9942"/>
        <v>4.1722019808752155E-2</v>
      </c>
      <c r="BV814" s="345">
        <f t="shared" si="9942"/>
        <v>2.4531754056526554E-2</v>
      </c>
      <c r="BW814" s="345">
        <f t="shared" si="9942"/>
        <v>1.6595913042548413E-2</v>
      </c>
      <c r="BX814" s="345">
        <f t="shared" si="9942"/>
        <v>1.1333339613931624E-2</v>
      </c>
      <c r="BY814" s="345">
        <f t="shared" si="9942"/>
        <v>1.7683641124586549E-2</v>
      </c>
      <c r="BZ814" s="345">
        <f t="shared" si="9942"/>
        <v>1.6901480044392861E-2</v>
      </c>
      <c r="CA814" s="345">
        <f t="shared" si="9942"/>
        <v>1.4426932329899451E-2</v>
      </c>
      <c r="CB814" s="345">
        <f t="shared" si="9942"/>
        <v>1.1881060023431492E-2</v>
      </c>
      <c r="CC814" s="35">
        <f t="shared" si="9942"/>
        <v>1.0425065421882736E-2</v>
      </c>
      <c r="CD814" s="35">
        <f t="shared" si="9942"/>
        <v>8.3106150119147421E-3</v>
      </c>
      <c r="CE814" s="35">
        <f t="shared" si="9942"/>
        <v>6.0457700052127519E-3</v>
      </c>
      <c r="CF814" s="35">
        <f t="shared" si="9942"/>
        <v>5.016438695359106E-3</v>
      </c>
      <c r="CG814" s="35">
        <f t="shared" si="9942"/>
        <v>5.0179632183715303E-3</v>
      </c>
      <c r="CH814" s="35">
        <f t="shared" si="9942"/>
        <v>4.6251707431400621E-3</v>
      </c>
      <c r="CI814" s="35">
        <f t="shared" si="9942"/>
        <v>1.4887337986041874E-2</v>
      </c>
      <c r="CJ814" s="35">
        <f t="shared" si="9942"/>
        <v>3.1295281775023824E-2</v>
      </c>
      <c r="CK814" s="35">
        <f t="shared" si="9942"/>
        <v>3.4755499599600885E-2</v>
      </c>
      <c r="CL814" s="35">
        <f t="shared" si="9942"/>
        <v>2.9799700998279936E-2</v>
      </c>
      <c r="CM814" s="37">
        <f t="shared" si="9942"/>
        <v>2.7107405590975967E-2</v>
      </c>
      <c r="CN814" s="37">
        <f t="shared" si="9942"/>
        <v>2.1143677581513708E-2</v>
      </c>
      <c r="CO814" s="37">
        <f t="shared" si="9942"/>
        <v>1.5769622998850704E-2</v>
      </c>
      <c r="CP814" s="37">
        <f t="shared" si="9942"/>
        <v>1.4573224951465472E-2</v>
      </c>
      <c r="CQ814" s="37">
        <f t="shared" si="9942"/>
        <v>1.6691616979090027E-2</v>
      </c>
      <c r="CR814" s="37">
        <f t="shared" si="9942"/>
        <v>1.5844600010687757E-2</v>
      </c>
      <c r="CS814" s="37">
        <f t="shared" si="9942"/>
        <v>1.4959417027075064E-2</v>
      </c>
      <c r="CT814" s="37">
        <f t="shared" si="9942"/>
        <v>1.384541959559767E-2</v>
      </c>
      <c r="CU814" s="37">
        <f t="shared" si="9942"/>
        <v>1.4679168296909061E-2</v>
      </c>
      <c r="CV814" s="37">
        <f t="shared" si="9942"/>
        <v>1.2088847017203174E-2</v>
      </c>
      <c r="CW814" s="37">
        <f t="shared" si="9942"/>
        <v>8.4601885124406771E-3</v>
      </c>
      <c r="CX814" s="37">
        <f t="shared" si="9942"/>
        <v>1.0066300969014163E-2</v>
      </c>
      <c r="CY814" s="37">
        <f t="shared" si="9942"/>
        <v>1.3135325651280168E-2</v>
      </c>
      <c r="CZ814" s="36">
        <f t="shared" ref="CZ814" si="9943">(CZ124+CZ125)/CZ613</f>
        <v>1.5237260302651637E-2</v>
      </c>
      <c r="DA814" s="35">
        <f t="shared" ref="DA814:DF814" si="9944">(DA124+DA125)/DA613</f>
        <v>1.7406098858731876E-2</v>
      </c>
      <c r="DB814" s="35">
        <f t="shared" si="9944"/>
        <v>1.9931060961069998E-2</v>
      </c>
      <c r="DC814" s="35">
        <f t="shared" si="9944"/>
        <v>2.0565752214712164E-2</v>
      </c>
      <c r="DD814" s="35">
        <f t="shared" si="9944"/>
        <v>1.8526461362216643E-2</v>
      </c>
      <c r="DE814" s="35">
        <f t="shared" si="9944"/>
        <v>1.7891825933856336E-2</v>
      </c>
      <c r="DF814" s="35">
        <f t="shared" si="9944"/>
        <v>1.7228890265329512E-2</v>
      </c>
      <c r="DG814" s="35">
        <f t="shared" ref="DG814" si="9945">(DG124+DG125)/DG613</f>
        <v>1.6529751916667744E-2</v>
      </c>
      <c r="DH814" s="35">
        <f>(DH124+DH125)/DH613</f>
        <v>1.5860831591118639E-2</v>
      </c>
      <c r="DI814" s="35">
        <f>(DI124+DI125)/DI613</f>
        <v>1.520870276003836E-2</v>
      </c>
    </row>
    <row r="815" spans="1:113" ht="12" outlineLevel="1">
      <c r="A815" s="1" t="s">
        <v>825</v>
      </c>
      <c r="B815" s="15" t="s">
        <v>515</v>
      </c>
      <c r="C815" s="207">
        <f t="shared" ref="C815:AF815" si="9946">C120/C124</f>
        <v>0.38402457757296465</v>
      </c>
      <c r="D815" s="207">
        <f t="shared" si="9946"/>
        <v>0.39214380825565914</v>
      </c>
      <c r="E815" s="207">
        <f t="shared" si="9946"/>
        <v>0.46502384737678853</v>
      </c>
      <c r="F815" s="207">
        <f t="shared" si="9946"/>
        <v>0.46192052980132453</v>
      </c>
      <c r="G815" s="207">
        <f t="shared" si="9946"/>
        <v>0.4627151051625239</v>
      </c>
      <c r="H815" s="207">
        <f t="shared" si="9946"/>
        <v>0.42974358974358973</v>
      </c>
      <c r="I815" s="207">
        <f t="shared" si="9946"/>
        <v>0.43146067415730338</v>
      </c>
      <c r="J815" s="207">
        <f t="shared" si="9946"/>
        <v>0.42971887550200805</v>
      </c>
      <c r="K815" s="207">
        <f t="shared" si="9946"/>
        <v>0.38288920056100983</v>
      </c>
      <c r="L815" s="207">
        <f t="shared" si="9946"/>
        <v>0.3940149625935162</v>
      </c>
      <c r="M815" s="30">
        <f t="shared" si="9946"/>
        <v>0.40974212034383956</v>
      </c>
      <c r="N815" s="30">
        <f t="shared" si="9946"/>
        <v>0.40320427236315087</v>
      </c>
      <c r="O815" s="30">
        <f t="shared" si="9946"/>
        <v>0.38461538461538464</v>
      </c>
      <c r="P815" s="30">
        <f t="shared" si="9946"/>
        <v>0.28366247755834828</v>
      </c>
      <c r="Q815" s="30">
        <f t="shared" si="9946"/>
        <v>0.25252525252525254</v>
      </c>
      <c r="R815" s="30">
        <f t="shared" si="9946"/>
        <v>0.32251082251082253</v>
      </c>
      <c r="S815" s="30">
        <f t="shared" si="9946"/>
        <v>0.27274352100089366</v>
      </c>
      <c r="T815" s="32">
        <f t="shared" si="9946"/>
        <v>0.24279835390946503</v>
      </c>
      <c r="U815" s="30">
        <f t="shared" si="9946"/>
        <v>0.28577960676726111</v>
      </c>
      <c r="V815" s="30">
        <f t="shared" si="9946"/>
        <v>0.27600064298344318</v>
      </c>
      <c r="W815" s="30">
        <f t="shared" si="9946"/>
        <v>0.30406737143881024</v>
      </c>
      <c r="X815" s="30">
        <f t="shared" si="9946"/>
        <v>0.32079356166947409</v>
      </c>
      <c r="Y815" s="32">
        <f t="shared" si="9946"/>
        <v>0.34122401847575057</v>
      </c>
      <c r="Z815" s="32">
        <f t="shared" si="9946"/>
        <v>0.32934898612593383</v>
      </c>
      <c r="AA815" s="32">
        <f t="shared" si="9946"/>
        <v>0.34404315196998125</v>
      </c>
      <c r="AB815" s="32">
        <f t="shared" si="9946"/>
        <v>0.40607734806629836</v>
      </c>
      <c r="AC815" s="32">
        <f t="shared" si="9946"/>
        <v>0.40706126687435101</v>
      </c>
      <c r="AD815" s="32">
        <f t="shared" ref="AD815:AE815" si="9947">AD120/AD124</f>
        <v>0.41137370753323488</v>
      </c>
      <c r="AE815" s="32">
        <f t="shared" si="9947"/>
        <v>0.3902169915410077</v>
      </c>
      <c r="AF815" s="32">
        <f t="shared" si="9946"/>
        <v>0.42941380506416926</v>
      </c>
      <c r="AG815" s="32">
        <f t="shared" ref="AG815:AH815" si="9948">AG120/AG124</f>
        <v>0.41191301607311692</v>
      </c>
      <c r="AH815" s="32">
        <f t="shared" si="9948"/>
        <v>0.4316326530612245</v>
      </c>
      <c r="AI815" s="32">
        <f t="shared" ref="AI815:AJ815" si="9949">AI120/AI124</f>
        <v>0.47651006711409394</v>
      </c>
      <c r="AJ815" s="32">
        <f t="shared" si="9949"/>
        <v>0.49950835791543757</v>
      </c>
      <c r="AK815" s="32">
        <f t="shared" ref="AK815:AL815" si="9950">AK120/AK124</f>
        <v>0.43010752688172044</v>
      </c>
      <c r="AL815" s="32">
        <f t="shared" si="9950"/>
        <v>0.41870300751879697</v>
      </c>
      <c r="AM815" s="32">
        <f t="shared" ref="AM815:AN815" si="9951">AM120/AM124</f>
        <v>0.40118284869393789</v>
      </c>
      <c r="AN815" s="32">
        <f t="shared" si="9951"/>
        <v>0.42054636398614853</v>
      </c>
      <c r="AO815" s="32">
        <f t="shared" ref="AO815" si="9952">AO120/AO124</f>
        <v>0.36234241561610409</v>
      </c>
      <c r="AP815" s="32">
        <f t="shared" ref="AP815:AQ815" si="9953">AP120/AP124</f>
        <v>0.32713303679741207</v>
      </c>
      <c r="AQ815" s="32">
        <f t="shared" si="9953"/>
        <v>0.34961832061068704</v>
      </c>
      <c r="AR815" s="32">
        <f t="shared" ref="AR815:AS815" si="9954">AR120/AR124</f>
        <v>0.37214745465184318</v>
      </c>
      <c r="AS815" s="32">
        <f t="shared" si="9954"/>
        <v>0.37508650519031139</v>
      </c>
      <c r="AT815" s="32">
        <f t="shared" ref="AT815:AU815" si="9955">AT120/AT124</f>
        <v>0.34793388429752065</v>
      </c>
      <c r="AU815" s="32">
        <f t="shared" si="9955"/>
        <v>0.24720578566732412</v>
      </c>
      <c r="AV815" s="32">
        <f t="shared" ref="AV815:AW815" si="9956">AV120/AV124</f>
        <v>0.21409749670619235</v>
      </c>
      <c r="AW815" s="32">
        <f t="shared" si="9956"/>
        <v>0.18192557590076786</v>
      </c>
      <c r="AX815" s="32">
        <f t="shared" ref="AX815" si="9957">AX120/AX124</f>
        <v>0.16163410301953818</v>
      </c>
      <c r="AY815" s="31">
        <f t="shared" ref="AY815" si="9958">AY120/AY124</f>
        <v>0.15721040189125296</v>
      </c>
      <c r="AZ815" s="30">
        <f t="shared" ref="AZ815:BA815" si="9959">AZ120/AZ124</f>
        <v>0.17141510788429806</v>
      </c>
      <c r="BA815" s="30">
        <f t="shared" si="9959"/>
        <v>0.17931610828082717</v>
      </c>
      <c r="BB815" s="30">
        <f t="shared" ref="BB815:BC815" si="9960">BB120/BB124</f>
        <v>0.18600043545045966</v>
      </c>
      <c r="BC815" s="30">
        <f t="shared" si="9960"/>
        <v>0.19529881679376551</v>
      </c>
      <c r="BD815" s="30">
        <f t="shared" ref="BD815:BE815" si="9961">BD120/BD124</f>
        <v>0.22559568846964637</v>
      </c>
      <c r="BE815" s="30">
        <f t="shared" si="9961"/>
        <v>0.25635893652208175</v>
      </c>
      <c r="BF815" s="30">
        <f t="shared" ref="BF815:BG815" si="9962">BF120/BF124</f>
        <v>0.31395183880247113</v>
      </c>
      <c r="BG815" s="30">
        <f t="shared" si="9962"/>
        <v>0.38601764043014702</v>
      </c>
      <c r="BH815" s="30">
        <f t="shared" ref="BH815:BI815" si="9963">BH120/BH124</f>
        <v>0.44410699338656695</v>
      </c>
      <c r="BI815" s="30">
        <f t="shared" si="9963"/>
        <v>0.50385312328757281</v>
      </c>
      <c r="BJ815" s="30">
        <f t="shared" ref="BJ815:BK815" si="9964">BJ120/BJ124</f>
        <v>0.50385312328757281</v>
      </c>
      <c r="BK815" s="30">
        <f t="shared" si="9964"/>
        <v>0.50385312328757281</v>
      </c>
      <c r="BL815" s="30">
        <f t="shared" ref="BL815:BM815" si="9965">BL120/BL124</f>
        <v>0.50385312328757281</v>
      </c>
      <c r="BM815" s="30">
        <f t="shared" si="9965"/>
        <v>0.50385312328757281</v>
      </c>
      <c r="BN815" s="30">
        <f t="shared" ref="BN815:BO815" si="9966">BN120/BN124</f>
        <v>0.50385312328757281</v>
      </c>
      <c r="BO815" s="30">
        <f t="shared" si="9966"/>
        <v>0.50385312328757281</v>
      </c>
      <c r="BP815" s="30">
        <f t="shared" ref="BP815:BQ815" si="9967">BP120/BP124</f>
        <v>0.50385312328757281</v>
      </c>
      <c r="BQ815" s="30">
        <f t="shared" si="9967"/>
        <v>0.50385312328757281</v>
      </c>
      <c r="BR815" s="30"/>
      <c r="BS815" s="207">
        <f t="shared" ref="BS815:CY815" si="9968">BS120/BS124</f>
        <v>0.45845884012658716</v>
      </c>
      <c r="BT815" s="207">
        <f t="shared" si="9968"/>
        <v>0.44087382266296005</v>
      </c>
      <c r="BU815" s="207">
        <f t="shared" si="9968"/>
        <v>0.35962877030162416</v>
      </c>
      <c r="BV815" s="207">
        <f t="shared" si="9968"/>
        <v>0.3724137931034483</v>
      </c>
      <c r="BW815" s="207">
        <f t="shared" si="9968"/>
        <v>0.37985074626865672</v>
      </c>
      <c r="BX815" s="207">
        <f t="shared" si="9968"/>
        <v>0.47187499999999999</v>
      </c>
      <c r="BY815" s="207">
        <f t="shared" si="9968"/>
        <v>0.46271186440677964</v>
      </c>
      <c r="BZ815" s="207">
        <f t="shared" si="9968"/>
        <v>0.55271176112126752</v>
      </c>
      <c r="CA815" s="207">
        <f t="shared" si="9968"/>
        <v>0.48395904436860065</v>
      </c>
      <c r="CB815" s="207">
        <f t="shared" si="9968"/>
        <v>0.38402457757296465</v>
      </c>
      <c r="CC815" s="30">
        <f t="shared" si="9968"/>
        <v>0.46502384737678853</v>
      </c>
      <c r="CD815" s="30">
        <f t="shared" si="9968"/>
        <v>0.4627151051625239</v>
      </c>
      <c r="CE815" s="30">
        <f t="shared" si="9968"/>
        <v>0.43146067415730338</v>
      </c>
      <c r="CF815" s="30">
        <f t="shared" si="9968"/>
        <v>0.38288920056100983</v>
      </c>
      <c r="CG815" s="30">
        <f t="shared" si="9968"/>
        <v>0.40974212034383956</v>
      </c>
      <c r="CH815" s="30">
        <f t="shared" si="9968"/>
        <v>0.38461538461538464</v>
      </c>
      <c r="CI815" s="30">
        <f t="shared" si="9968"/>
        <v>0.25252525252525254</v>
      </c>
      <c r="CJ815" s="30">
        <f t="shared" si="9968"/>
        <v>0.27274352100089366</v>
      </c>
      <c r="CK815" s="30">
        <f t="shared" si="9968"/>
        <v>0.28577960676726111</v>
      </c>
      <c r="CL815" s="30">
        <f t="shared" si="9968"/>
        <v>0.30406737143881024</v>
      </c>
      <c r="CM815" s="32">
        <f t="shared" si="9968"/>
        <v>0.34122401847575057</v>
      </c>
      <c r="CN815" s="32">
        <f t="shared" si="9968"/>
        <v>0.34404315196998125</v>
      </c>
      <c r="CO815" s="32">
        <f t="shared" si="9968"/>
        <v>0.40706126687435101</v>
      </c>
      <c r="CP815" s="32">
        <f t="shared" si="9968"/>
        <v>0.3902169915410077</v>
      </c>
      <c r="CQ815" s="32">
        <f t="shared" si="9968"/>
        <v>0.41191301607311692</v>
      </c>
      <c r="CR815" s="32">
        <f t="shared" si="9968"/>
        <v>0.47651006711409394</v>
      </c>
      <c r="CS815" s="32">
        <f t="shared" si="9968"/>
        <v>0.43010752688172044</v>
      </c>
      <c r="CT815" s="32">
        <f t="shared" si="9968"/>
        <v>0.40118284869393789</v>
      </c>
      <c r="CU815" s="32">
        <f t="shared" si="9968"/>
        <v>0.36234241561610409</v>
      </c>
      <c r="CV815" s="32">
        <f t="shared" si="9968"/>
        <v>0.34961832061068704</v>
      </c>
      <c r="CW815" s="32">
        <f t="shared" si="9968"/>
        <v>0.37508650519031139</v>
      </c>
      <c r="CX815" s="32">
        <f t="shared" si="9968"/>
        <v>0.24720578566732412</v>
      </c>
      <c r="CY815" s="32">
        <f t="shared" si="9968"/>
        <v>0.18192557590076786</v>
      </c>
      <c r="CZ815" s="31">
        <f t="shared" ref="CZ815" si="9969">CZ120/CZ124</f>
        <v>0.15721040189125296</v>
      </c>
      <c r="DA815" s="30">
        <f t="shared" ref="DA815:DF815" si="9970">DA120/DA124</f>
        <v>0.17931610828082717</v>
      </c>
      <c r="DB815" s="30">
        <f t="shared" si="9970"/>
        <v>0.19529881679376551</v>
      </c>
      <c r="DC815" s="30">
        <f t="shared" si="9970"/>
        <v>0.25635893652208175</v>
      </c>
      <c r="DD815" s="30">
        <f t="shared" si="9970"/>
        <v>0.38601764043014702</v>
      </c>
      <c r="DE815" s="30">
        <f t="shared" si="9970"/>
        <v>0.50385312328757281</v>
      </c>
      <c r="DF815" s="30">
        <f t="shared" si="9970"/>
        <v>0.50385312328757281</v>
      </c>
      <c r="DG815" s="30">
        <f t="shared" ref="DG815" si="9971">DG120/DG124</f>
        <v>0.50385312328757281</v>
      </c>
      <c r="DH815" s="30">
        <f>DH120/DH124</f>
        <v>0.50385312328757281</v>
      </c>
      <c r="DI815" s="30">
        <f>DI120/DI124</f>
        <v>0.50385312328757281</v>
      </c>
    </row>
    <row r="816" spans="1:113" ht="12" outlineLevel="1">
      <c r="A816" s="1" t="s">
        <v>826</v>
      </c>
      <c r="B816" s="15" t="s">
        <v>351</v>
      </c>
      <c r="C816" s="345">
        <f t="shared" ref="C816:AF816" si="9972">C121/(C181-C176)</f>
        <v>1.5870653032714614E-2</v>
      </c>
      <c r="D816" s="345">
        <f t="shared" si="9972"/>
        <v>1.8076374435844072E-2</v>
      </c>
      <c r="E816" s="345">
        <f t="shared" si="9972"/>
        <v>1.7265854925269778E-2</v>
      </c>
      <c r="F816" s="345">
        <f t="shared" si="9972"/>
        <v>1.6869356208033343E-2</v>
      </c>
      <c r="G816" s="345">
        <f t="shared" si="9972"/>
        <v>1.6571064372211598E-2</v>
      </c>
      <c r="H816" s="345">
        <f t="shared" si="9972"/>
        <v>1.6700927321730393E-2</v>
      </c>
      <c r="I816" s="345">
        <f t="shared" si="9972"/>
        <v>1.8004826595081212E-2</v>
      </c>
      <c r="J816" s="345">
        <f t="shared" si="9972"/>
        <v>1.7754863381447876E-2</v>
      </c>
      <c r="K816" s="345">
        <f t="shared" si="9972"/>
        <v>1.7574165085235106E-2</v>
      </c>
      <c r="L816" s="345">
        <f t="shared" si="9972"/>
        <v>1.4991925000984755E-2</v>
      </c>
      <c r="M816" s="35">
        <f t="shared" si="9972"/>
        <v>1.4629364301334741E-2</v>
      </c>
      <c r="N816" s="35">
        <f t="shared" si="9972"/>
        <v>1.4701378254211332E-2</v>
      </c>
      <c r="O816" s="35">
        <f t="shared" si="9972"/>
        <v>1.328E-2</v>
      </c>
      <c r="P816" s="35">
        <f t="shared" si="9972"/>
        <v>1.3742152584875411E-2</v>
      </c>
      <c r="Q816" s="35">
        <f t="shared" si="9972"/>
        <v>1.5714039026074943E-2</v>
      </c>
      <c r="R816" s="35">
        <f t="shared" si="9972"/>
        <v>1.5410294886277419E-2</v>
      </c>
      <c r="S816" s="35">
        <f t="shared" si="9972"/>
        <v>1.8290786930623044E-2</v>
      </c>
      <c r="T816" s="37">
        <f t="shared" si="9972"/>
        <v>1.8808563872941556E-2</v>
      </c>
      <c r="U816" s="35">
        <f t="shared" si="9972"/>
        <v>1.8832425458715597E-2</v>
      </c>
      <c r="V816" s="35">
        <f t="shared" si="9972"/>
        <v>1.7841097982838401E-2</v>
      </c>
      <c r="W816" s="35">
        <f t="shared" si="9972"/>
        <v>1.6859091753589722E-2</v>
      </c>
      <c r="X816" s="35">
        <f t="shared" si="9972"/>
        <v>1.540273997973053E-2</v>
      </c>
      <c r="Y816" s="37">
        <f t="shared" si="9972"/>
        <v>1.3681413564639113E-2</v>
      </c>
      <c r="Z816" s="37">
        <f t="shared" si="9972"/>
        <v>1.255417928583087E-2</v>
      </c>
      <c r="AA816" s="37">
        <f t="shared" si="9972"/>
        <v>1.2319075578616782E-2</v>
      </c>
      <c r="AB816" s="37">
        <f t="shared" si="9972"/>
        <v>1.1428134999115656E-2</v>
      </c>
      <c r="AC816" s="37">
        <f t="shared" si="9972"/>
        <v>1.0848095189379334E-2</v>
      </c>
      <c r="AD816" s="37">
        <f t="shared" ref="AD816:AE816" si="9973">AD121/(AD181-AD176)</f>
        <v>1.0657986174609561E-2</v>
      </c>
      <c r="AE816" s="37">
        <f t="shared" si="9973"/>
        <v>1.0817021806032796E-2</v>
      </c>
      <c r="AF816" s="37">
        <f t="shared" si="9972"/>
        <v>1.1350386674598454E-2</v>
      </c>
      <c r="AG816" s="37">
        <f t="shared" ref="AG816:AH816" si="9974">AG121/(AG181-AG176)</f>
        <v>1.12181174937883E-2</v>
      </c>
      <c r="AH816" s="37">
        <f t="shared" si="9974"/>
        <v>1.1186446124308127E-2</v>
      </c>
      <c r="AI816" s="37">
        <f t="shared" ref="AI816:AJ816" si="9975">AI121/(AI181-AI176)</f>
        <v>1.0815203038982672E-2</v>
      </c>
      <c r="AJ816" s="37">
        <f t="shared" si="9975"/>
        <v>1.0323102294378533E-2</v>
      </c>
      <c r="AK816" s="37">
        <f t="shared" ref="AK816:AL816" si="9976">AK121/(AK181-AK176)</f>
        <v>9.6423207304163049E-3</v>
      </c>
      <c r="AL816" s="37">
        <f t="shared" si="9976"/>
        <v>1.2779818630993141E-2</v>
      </c>
      <c r="AM816" s="37">
        <f t="shared" ref="AM816:AN816" si="9977">AM121/(AM181-AM176)</f>
        <v>1.2299307435324806E-2</v>
      </c>
      <c r="AN816" s="37">
        <f t="shared" si="9977"/>
        <v>1.4456260257649678E-2</v>
      </c>
      <c r="AO816" s="37">
        <f t="shared" ref="AO816" si="9978">AO121/(AO181-AO176)</f>
        <v>1.9047474155833289E-2</v>
      </c>
      <c r="AP816" s="37">
        <f t="shared" ref="AP816:AQ816" si="9979">AP121/(AP181-AP176)</f>
        <v>1.7202617527801195E-2</v>
      </c>
      <c r="AQ816" s="37">
        <f t="shared" si="9979"/>
        <v>1.6122709383839626E-2</v>
      </c>
      <c r="AR816" s="37">
        <f t="shared" ref="AR816:AS816" si="9980">AR121/(AR181-AR176)</f>
        <v>1.3426440474446164E-2</v>
      </c>
      <c r="AS816" s="37">
        <f t="shared" si="9980"/>
        <v>1.2886287625418061E-2</v>
      </c>
      <c r="AT816" s="37">
        <f t="shared" ref="AT816:AU816" si="9981">AT121/(AT181-AT176)</f>
        <v>1.3462403572202136E-2</v>
      </c>
      <c r="AU816" s="37">
        <f t="shared" si="9981"/>
        <v>1.330082899264034E-2</v>
      </c>
      <c r="AV816" s="37">
        <f t="shared" ref="AV816:AW816" si="9982">AV121/(AV181-AV176)</f>
        <v>1.3461045809475963E-2</v>
      </c>
      <c r="AW816" s="37">
        <f t="shared" si="9982"/>
        <v>1.3322625877953831E-2</v>
      </c>
      <c r="AX816" s="37">
        <f t="shared" ref="AX816" si="9983">AX121/(AX181-AX176)</f>
        <v>1.3171297649785044E-2</v>
      </c>
      <c r="AY816" s="36">
        <f t="shared" ref="AY816" si="9984">AY121/(AY181-AY176)</f>
        <v>1.3454223686070162E-2</v>
      </c>
      <c r="AZ816" s="35">
        <f t="shared" ref="AZ816:BA816" si="9985">AZ121/(AZ181-AZ176)</f>
        <v>1.3601744855901488E-2</v>
      </c>
      <c r="BA816" s="35">
        <f t="shared" si="9985"/>
        <v>1.3671042685966471E-2</v>
      </c>
      <c r="BB816" s="35">
        <f t="shared" ref="BB816:BC816" si="9986">BB121/(BB181-BB176)</f>
        <v>1.3758563540608964E-2</v>
      </c>
      <c r="BC816" s="35">
        <f t="shared" si="9986"/>
        <v>1.3891076542769014E-2</v>
      </c>
      <c r="BD816" s="35">
        <f t="shared" ref="BD816:BE816" si="9987">BD121/(BD181-BD176)</f>
        <v>1.3986788756023513E-2</v>
      </c>
      <c r="BE816" s="35">
        <f t="shared" si="9987"/>
        <v>1.4074911582097832E-2</v>
      </c>
      <c r="BF816" s="35">
        <f t="shared" ref="BF816:BG816" si="9988">BF121/(BF181-BF176)</f>
        <v>1.4165051215595421E-2</v>
      </c>
      <c r="BG816" s="35">
        <f t="shared" si="9988"/>
        <v>1.4248963667496957E-2</v>
      </c>
      <c r="BH816" s="35">
        <f t="shared" ref="BH816:BI816" si="9989">BH121/(BH181-BH176)</f>
        <v>1.42817462313606E-2</v>
      </c>
      <c r="BI816" s="35">
        <f t="shared" si="9989"/>
        <v>1.4303688687792467E-2</v>
      </c>
      <c r="BJ816" s="35">
        <f t="shared" ref="BJ816:BK816" si="9990">BJ121/(BJ181-BJ176)</f>
        <v>1.4303430185367595E-2</v>
      </c>
      <c r="BK816" s="35">
        <f t="shared" si="9990"/>
        <v>1.4321728549783322E-2</v>
      </c>
      <c r="BL816" s="35">
        <f t="shared" ref="BL816:BM816" si="9991">BL121/(BL181-BL176)</f>
        <v>1.4339781977095099E-2</v>
      </c>
      <c r="BM816" s="35">
        <f t="shared" si="9991"/>
        <v>1.4357592446765592E-2</v>
      </c>
      <c r="BN816" s="35">
        <f t="shared" ref="BN816:BO816" si="9992">BN121/(BN181-BN176)</f>
        <v>1.4361846285048682E-2</v>
      </c>
      <c r="BO816" s="35">
        <f t="shared" si="9992"/>
        <v>1.4366074995086749E-2</v>
      </c>
      <c r="BP816" s="35">
        <f t="shared" ref="BP816:BQ816" si="9993">BP121/(BP181-BP176)</f>
        <v>1.435964405777535E-2</v>
      </c>
      <c r="BQ816" s="35">
        <f t="shared" si="9993"/>
        <v>1.4352993248550022E-2</v>
      </c>
      <c r="BR816" s="35"/>
      <c r="BS816" s="345">
        <f t="shared" ref="BS816:CY816" si="9994">BS121/(BS181-BS176)</f>
        <v>1.4811192231110489E-2</v>
      </c>
      <c r="BT816" s="345">
        <f t="shared" si="9994"/>
        <v>9.5364511296987739E-3</v>
      </c>
      <c r="BU816" s="345">
        <f t="shared" si="9994"/>
        <v>9.8949425849010498E-3</v>
      </c>
      <c r="BV816" s="345">
        <f t="shared" si="9994"/>
        <v>1.1510028106597034E-2</v>
      </c>
      <c r="BW816" s="345">
        <f t="shared" si="9994"/>
        <v>1.0841375364891888E-2</v>
      </c>
      <c r="BX816" s="345">
        <f t="shared" si="9994"/>
        <v>2.0193059395969937E-2</v>
      </c>
      <c r="BY816" s="345">
        <f t="shared" si="9994"/>
        <v>1.7557912369308312E-2</v>
      </c>
      <c r="BZ816" s="345">
        <f t="shared" si="9994"/>
        <v>1.6955126646895816E-2</v>
      </c>
      <c r="CA816" s="345">
        <f t="shared" si="9994"/>
        <v>1.6023621128305673E-2</v>
      </c>
      <c r="CB816" s="345">
        <f t="shared" si="9994"/>
        <v>1.5870653032714614E-2</v>
      </c>
      <c r="CC816" s="35">
        <f t="shared" si="9994"/>
        <v>1.7265854925269778E-2</v>
      </c>
      <c r="CD816" s="35">
        <f t="shared" si="9994"/>
        <v>1.6571064372211598E-2</v>
      </c>
      <c r="CE816" s="35">
        <f t="shared" si="9994"/>
        <v>1.8004826595081212E-2</v>
      </c>
      <c r="CF816" s="35">
        <f t="shared" si="9994"/>
        <v>1.7574165085235106E-2</v>
      </c>
      <c r="CG816" s="35">
        <f t="shared" si="9994"/>
        <v>1.4629364301334741E-2</v>
      </c>
      <c r="CH816" s="35">
        <f t="shared" si="9994"/>
        <v>1.328E-2</v>
      </c>
      <c r="CI816" s="35">
        <f t="shared" si="9994"/>
        <v>1.5714039026074943E-2</v>
      </c>
      <c r="CJ816" s="35">
        <f t="shared" si="9994"/>
        <v>1.8290786930623044E-2</v>
      </c>
      <c r="CK816" s="35">
        <f t="shared" si="9994"/>
        <v>1.8832425458715597E-2</v>
      </c>
      <c r="CL816" s="35">
        <f t="shared" si="9994"/>
        <v>1.6859091753589722E-2</v>
      </c>
      <c r="CM816" s="37">
        <f t="shared" si="9994"/>
        <v>1.3681413564639113E-2</v>
      </c>
      <c r="CN816" s="37">
        <f t="shared" si="9994"/>
        <v>1.2319075578616782E-2</v>
      </c>
      <c r="CO816" s="37">
        <f t="shared" si="9994"/>
        <v>1.0848095189379334E-2</v>
      </c>
      <c r="CP816" s="37">
        <f t="shared" si="9994"/>
        <v>1.0817021806032796E-2</v>
      </c>
      <c r="CQ816" s="37">
        <f t="shared" si="9994"/>
        <v>1.12181174937883E-2</v>
      </c>
      <c r="CR816" s="37">
        <f t="shared" si="9994"/>
        <v>1.0815203038982672E-2</v>
      </c>
      <c r="CS816" s="37">
        <f t="shared" si="9994"/>
        <v>9.6423207304163049E-3</v>
      </c>
      <c r="CT816" s="37">
        <f t="shared" si="9994"/>
        <v>1.2299307435324806E-2</v>
      </c>
      <c r="CU816" s="37">
        <f t="shared" si="9994"/>
        <v>1.9047474155833289E-2</v>
      </c>
      <c r="CV816" s="37">
        <f t="shared" si="9994"/>
        <v>1.6122709383839626E-2</v>
      </c>
      <c r="CW816" s="37">
        <f t="shared" si="9994"/>
        <v>1.2886287625418061E-2</v>
      </c>
      <c r="CX816" s="37">
        <f t="shared" si="9994"/>
        <v>1.330082899264034E-2</v>
      </c>
      <c r="CY816" s="37">
        <f t="shared" si="9994"/>
        <v>1.3322625877953831E-2</v>
      </c>
      <c r="CZ816" s="36">
        <f t="shared" ref="CZ816" si="9995">CZ121/(CZ181-CZ176)</f>
        <v>1.3454223686070162E-2</v>
      </c>
      <c r="DA816" s="35">
        <f t="shared" ref="DA816:DF816" si="9996">DA121/(DA181-DA176)</f>
        <v>1.3671042685966471E-2</v>
      </c>
      <c r="DB816" s="35">
        <f t="shared" si="9996"/>
        <v>1.3891076542769014E-2</v>
      </c>
      <c r="DC816" s="35">
        <f t="shared" si="9996"/>
        <v>1.4074911582097832E-2</v>
      </c>
      <c r="DD816" s="35">
        <f t="shared" si="9996"/>
        <v>1.4248963667496957E-2</v>
      </c>
      <c r="DE816" s="35">
        <f t="shared" si="9996"/>
        <v>1.4303688687792467E-2</v>
      </c>
      <c r="DF816" s="35">
        <f t="shared" si="9996"/>
        <v>1.4321728549783322E-2</v>
      </c>
      <c r="DG816" s="35">
        <f t="shared" ref="DG816" si="9997">DG121/(DG181-DG176)</f>
        <v>1.4357592446765592E-2</v>
      </c>
      <c r="DH816" s="35">
        <f>DH121/(DH181-DH176)</f>
        <v>1.4366074995086749E-2</v>
      </c>
      <c r="DI816" s="35">
        <f>DI121/(DI181-DI176)</f>
        <v>1.4352993248550022E-2</v>
      </c>
    </row>
    <row r="817" spans="1:113" ht="12" outlineLevel="1">
      <c r="A817" s="1" t="s">
        <v>827</v>
      </c>
      <c r="B817" s="15" t="s">
        <v>297</v>
      </c>
      <c r="C817" s="345">
        <f t="shared" ref="C817:AF817" si="9998">C121/(C613-C612)</f>
        <v>9.9619777328953697E-3</v>
      </c>
      <c r="D817" s="345">
        <f t="shared" si="9998"/>
        <v>1.1416502975970699E-2</v>
      </c>
      <c r="E817" s="345">
        <f t="shared" si="9998"/>
        <v>1.0580663413254119E-2</v>
      </c>
      <c r="F817" s="345">
        <f t="shared" si="9998"/>
        <v>1.0295889046654509E-2</v>
      </c>
      <c r="G817" s="345">
        <f t="shared" si="9998"/>
        <v>1.0125880403715024E-2</v>
      </c>
      <c r="H817" s="345">
        <f t="shared" si="9998"/>
        <v>9.8657225508397735E-3</v>
      </c>
      <c r="I817" s="345">
        <f t="shared" si="9998"/>
        <v>1.0180197675725953E-2</v>
      </c>
      <c r="J817" s="345">
        <f t="shared" si="9998"/>
        <v>9.9824826626352791E-3</v>
      </c>
      <c r="K817" s="345">
        <f t="shared" si="9998"/>
        <v>9.9365837777359994E-3</v>
      </c>
      <c r="L817" s="345">
        <f t="shared" si="9998"/>
        <v>8.3100436681222706E-3</v>
      </c>
      <c r="M817" s="35">
        <f t="shared" si="9998"/>
        <v>8.132705633785103E-3</v>
      </c>
      <c r="N817" s="35">
        <f t="shared" si="9998"/>
        <v>8.119374131577357E-3</v>
      </c>
      <c r="O817" s="35">
        <f t="shared" si="9998"/>
        <v>7.2948061126959654E-3</v>
      </c>
      <c r="P817" s="35">
        <f t="shared" si="9998"/>
        <v>9.3905757145264987E-3</v>
      </c>
      <c r="Q817" s="35">
        <f t="shared" si="9998"/>
        <v>1.125024925224327E-2</v>
      </c>
      <c r="R817" s="35">
        <f t="shared" si="9998"/>
        <v>1.0637389921247624E-2</v>
      </c>
      <c r="S817" s="35">
        <f t="shared" si="9998"/>
        <v>1.3054205412273564E-2</v>
      </c>
      <c r="T817" s="37">
        <f t="shared" si="9998"/>
        <v>1.3781055019852525E-2</v>
      </c>
      <c r="U817" s="35">
        <f t="shared" si="9998"/>
        <v>1.3502228959775948E-2</v>
      </c>
      <c r="V817" s="35">
        <f t="shared" si="9998"/>
        <v>1.3620812361198048E-2</v>
      </c>
      <c r="W817" s="35">
        <f t="shared" si="9998"/>
        <v>1.2763836867233591E-2</v>
      </c>
      <c r="X817" s="35">
        <f t="shared" si="9998"/>
        <v>1.1968101053304819E-2</v>
      </c>
      <c r="Y817" s="37">
        <f t="shared" si="9998"/>
        <v>1.0848455125061305E-2</v>
      </c>
      <c r="Z817" s="37">
        <f t="shared" si="9998"/>
        <v>1.0069896500810974E-2</v>
      </c>
      <c r="AA817" s="37">
        <f t="shared" si="9998"/>
        <v>1.0036467802997382E-2</v>
      </c>
      <c r="AB817" s="37">
        <f t="shared" si="9998"/>
        <v>9.3112980139391077E-3</v>
      </c>
      <c r="AC817" s="37">
        <f t="shared" si="9998"/>
        <v>8.9256519416611359E-3</v>
      </c>
      <c r="AD817" s="37">
        <f t="shared" ref="AD817:AE817" si="9999">AD121/(AD613-AD612)</f>
        <v>8.5782329546625381E-3</v>
      </c>
      <c r="AE817" s="37">
        <f t="shared" si="9999"/>
        <v>8.4517270858410695E-3</v>
      </c>
      <c r="AF817" s="37">
        <f t="shared" si="9998"/>
        <v>8.5609677303564377E-3</v>
      </c>
      <c r="AG817" s="37">
        <f t="shared" ref="AG817:AH817" si="10000">AG121/(AG613-AG612)</f>
        <v>8.1696886371448139E-3</v>
      </c>
      <c r="AH817" s="37">
        <f t="shared" si="10000"/>
        <v>8.1478252474335086E-3</v>
      </c>
      <c r="AI817" s="37">
        <f t="shared" ref="AI817:AJ817" si="10001">AI121/(AI613-AI612)</f>
        <v>7.9030026660016506E-3</v>
      </c>
      <c r="AJ817" s="37">
        <f t="shared" si="10001"/>
        <v>7.5228544259119895E-3</v>
      </c>
      <c r="AK817" s="37">
        <f t="shared" ref="AK817:AL817" si="10002">AK121/(AK613-AK612)</f>
        <v>7.4737839919426508E-3</v>
      </c>
      <c r="AL817" s="37">
        <f t="shared" si="10002"/>
        <v>9.7764837651907396E-3</v>
      </c>
      <c r="AM817" s="37">
        <f t="shared" ref="AM817:AN817" si="10003">AM121/(AM613-AM612)</f>
        <v>9.4273762517243492E-3</v>
      </c>
      <c r="AN817" s="37">
        <f t="shared" si="10003"/>
        <v>1.1660712388956392E-2</v>
      </c>
      <c r="AO817" s="37">
        <f t="shared" ref="AO817" si="10004">AO121/(AO613-AO612)</f>
        <v>1.3909681504956434E-2</v>
      </c>
      <c r="AP817" s="37">
        <f t="shared" ref="AP817:AQ817" si="10005">AP121/(AP613-AP612)</f>
        <v>1.2534297465059E-2</v>
      </c>
      <c r="AQ817" s="37">
        <f t="shared" si="10005"/>
        <v>1.2248246705090249E-2</v>
      </c>
      <c r="AR817" s="37">
        <f t="shared" ref="AR817:AS817" si="10006">AR121/(AR613-AR612)</f>
        <v>1.0770690648678246E-2</v>
      </c>
      <c r="AS817" s="37">
        <f t="shared" si="10006"/>
        <v>1.0719392836674623E-2</v>
      </c>
      <c r="AT817" s="37">
        <f t="shared" ref="AT817:AU817" si="10007">AT121/(AT613-AT612)</f>
        <v>1.1700174344182059E-2</v>
      </c>
      <c r="AU817" s="37">
        <f t="shared" si="10007"/>
        <v>1.155165152517899E-2</v>
      </c>
      <c r="AV817" s="37">
        <f t="shared" ref="AV817:AW817" si="10008">AV121/(AV613-AV612)</f>
        <v>1.16115219818222E-2</v>
      </c>
      <c r="AW817" s="37">
        <f t="shared" si="10008"/>
        <v>1.1758517103423453E-2</v>
      </c>
      <c r="AX817" s="37">
        <f t="shared" ref="AX817" si="10009">AX121/(AX613-AX612)</f>
        <v>1.1320325538707314E-2</v>
      </c>
      <c r="AY817" s="36">
        <f t="shared" ref="AY817" si="10010">AY121/(AY613-AY612)</f>
        <v>1.1848488702131862E-2</v>
      </c>
      <c r="AZ817" s="35">
        <f t="shared" ref="AZ817:BA817" si="10011">AZ121/(AZ613-AZ612)</f>
        <v>1.1580907575544299E-2</v>
      </c>
      <c r="BA817" s="35">
        <f t="shared" si="10011"/>
        <v>1.1627562159803116E-2</v>
      </c>
      <c r="BB817" s="35">
        <f t="shared" ref="BB817:BC817" si="10012">BB121/(BB613-BB612)</f>
        <v>1.1667286278605818E-2</v>
      </c>
      <c r="BC817" s="35">
        <f t="shared" si="10012"/>
        <v>1.1710190359235935E-2</v>
      </c>
      <c r="BD817" s="35">
        <f t="shared" ref="BD817:BE817" si="10013">BD121/(BD613-BD612)</f>
        <v>1.1719758618025322E-2</v>
      </c>
      <c r="BE817" s="35">
        <f t="shared" si="10013"/>
        <v>1.172987308944845E-2</v>
      </c>
      <c r="BF817" s="35">
        <f t="shared" ref="BF817:BG817" si="10014">BF121/(BF613-BF612)</f>
        <v>1.1738723249840337E-2</v>
      </c>
      <c r="BG817" s="35">
        <f t="shared" si="10014"/>
        <v>1.1747347591905939E-2</v>
      </c>
      <c r="BH817" s="35">
        <f t="shared" ref="BH817:BI817" si="10015">BH121/(BH613-BH612)</f>
        <v>1.1760652894993921E-2</v>
      </c>
      <c r="BI817" s="35">
        <f t="shared" si="10015"/>
        <v>1.1773349856813086E-2</v>
      </c>
      <c r="BJ817" s="35">
        <f t="shared" ref="BJ817:BK817" si="10016">BJ121/(BJ613-BJ612)</f>
        <v>1.1773349856813086E-2</v>
      </c>
      <c r="BK817" s="35">
        <f t="shared" si="10016"/>
        <v>1.1773349856813086E-2</v>
      </c>
      <c r="BL817" s="35">
        <f t="shared" ref="BL817:BM817" si="10017">BL121/(BL613-BL612)</f>
        <v>1.1773349856813086E-2</v>
      </c>
      <c r="BM817" s="35">
        <f t="shared" si="10017"/>
        <v>1.1773349856813086E-2</v>
      </c>
      <c r="BN817" s="35">
        <f t="shared" ref="BN817:BO817" si="10018">BN121/(BN613-BN612)</f>
        <v>1.1773349856813086E-2</v>
      </c>
      <c r="BO817" s="35">
        <f t="shared" si="10018"/>
        <v>1.1773349856813086E-2</v>
      </c>
      <c r="BP817" s="35">
        <f t="shared" ref="BP817:BQ817" si="10019">BP121/(BP613-BP612)</f>
        <v>1.1773349856813086E-2</v>
      </c>
      <c r="BQ817" s="35">
        <f t="shared" si="10019"/>
        <v>1.1773349856813086E-2</v>
      </c>
      <c r="BR817" s="35"/>
      <c r="BS817" s="345">
        <f t="shared" ref="BS817:CY817" si="10020">BS121/(BS613-BS612)</f>
        <v>1.155591013941918E-2</v>
      </c>
      <c r="BT817" s="345">
        <f t="shared" si="10020"/>
        <v>7.34712464220661E-3</v>
      </c>
      <c r="BU817" s="345">
        <f t="shared" si="10020"/>
        <v>7.4578768069238563E-3</v>
      </c>
      <c r="BV817" s="345">
        <f t="shared" si="10020"/>
        <v>8.161201791131013E-3</v>
      </c>
      <c r="BW817" s="345">
        <f t="shared" si="10020"/>
        <v>7.5815092443085215E-3</v>
      </c>
      <c r="BX817" s="345">
        <f t="shared" si="10020"/>
        <v>1.3471883331606168E-2</v>
      </c>
      <c r="BY817" s="345">
        <f t="shared" si="10020"/>
        <v>1.2067599228224918E-2</v>
      </c>
      <c r="BZ817" s="345">
        <f t="shared" si="10020"/>
        <v>1.1818328151342376E-2</v>
      </c>
      <c r="CA817" s="345">
        <f t="shared" si="10020"/>
        <v>1.0586947134661649E-2</v>
      </c>
      <c r="CB817" s="345">
        <f t="shared" si="10020"/>
        <v>9.9619777328953697E-3</v>
      </c>
      <c r="CC817" s="35">
        <f t="shared" si="10020"/>
        <v>1.0580663413254119E-2</v>
      </c>
      <c r="CD817" s="35">
        <f t="shared" si="10020"/>
        <v>1.0125880403715024E-2</v>
      </c>
      <c r="CE817" s="35">
        <f t="shared" si="10020"/>
        <v>1.0180197675725953E-2</v>
      </c>
      <c r="CF817" s="35">
        <f t="shared" si="10020"/>
        <v>9.9365837777359994E-3</v>
      </c>
      <c r="CG817" s="35">
        <f t="shared" si="10020"/>
        <v>8.132705633785103E-3</v>
      </c>
      <c r="CH817" s="35">
        <f t="shared" si="10020"/>
        <v>7.2948061126959654E-3</v>
      </c>
      <c r="CI817" s="35">
        <f t="shared" si="10020"/>
        <v>1.125024925224327E-2</v>
      </c>
      <c r="CJ817" s="35">
        <f t="shared" si="10020"/>
        <v>1.3054205412273564E-2</v>
      </c>
      <c r="CK817" s="35">
        <f t="shared" si="10020"/>
        <v>1.3502228959775948E-2</v>
      </c>
      <c r="CL817" s="35">
        <f t="shared" si="10020"/>
        <v>1.2763836867233591E-2</v>
      </c>
      <c r="CM817" s="37">
        <f t="shared" si="10020"/>
        <v>1.0848455125061305E-2</v>
      </c>
      <c r="CN817" s="37">
        <f t="shared" si="10020"/>
        <v>1.0036467802997382E-2</v>
      </c>
      <c r="CO817" s="37">
        <f t="shared" si="10020"/>
        <v>8.9256519416611359E-3</v>
      </c>
      <c r="CP817" s="37">
        <f t="shared" si="10020"/>
        <v>8.4517270858410695E-3</v>
      </c>
      <c r="CQ817" s="37">
        <f t="shared" si="10020"/>
        <v>8.1696886371448139E-3</v>
      </c>
      <c r="CR817" s="37">
        <f t="shared" si="10020"/>
        <v>7.9030026660016506E-3</v>
      </c>
      <c r="CS817" s="37">
        <f t="shared" si="10020"/>
        <v>7.4737839919426508E-3</v>
      </c>
      <c r="CT817" s="37">
        <f t="shared" si="10020"/>
        <v>9.4273762517243492E-3</v>
      </c>
      <c r="CU817" s="37">
        <f t="shared" si="10020"/>
        <v>1.3909681504956434E-2</v>
      </c>
      <c r="CV817" s="37">
        <f t="shared" si="10020"/>
        <v>1.2248246705090249E-2</v>
      </c>
      <c r="CW817" s="37">
        <f t="shared" si="10020"/>
        <v>1.0719392836674623E-2</v>
      </c>
      <c r="CX817" s="37">
        <f t="shared" si="10020"/>
        <v>1.155165152517899E-2</v>
      </c>
      <c r="CY817" s="37">
        <f t="shared" si="10020"/>
        <v>1.1758517103423453E-2</v>
      </c>
      <c r="CZ817" s="36">
        <f t="shared" ref="CZ817" si="10021">CZ121/(CZ613-CZ612)</f>
        <v>1.1848488702131862E-2</v>
      </c>
      <c r="DA817" s="35">
        <f t="shared" ref="DA817:DF817" si="10022">DA121/(DA613-DA612)</f>
        <v>1.1627562159803116E-2</v>
      </c>
      <c r="DB817" s="35">
        <f t="shared" si="10022"/>
        <v>1.1710190359235935E-2</v>
      </c>
      <c r="DC817" s="35">
        <f t="shared" si="10022"/>
        <v>1.172987308944845E-2</v>
      </c>
      <c r="DD817" s="35">
        <f t="shared" si="10022"/>
        <v>1.1747347591905939E-2</v>
      </c>
      <c r="DE817" s="35">
        <f t="shared" si="10022"/>
        <v>1.1773349856813086E-2</v>
      </c>
      <c r="DF817" s="35">
        <f t="shared" si="10022"/>
        <v>1.1773349856813086E-2</v>
      </c>
      <c r="DG817" s="35">
        <f t="shared" ref="DG817" si="10023">DG121/(DG613-DG612)</f>
        <v>1.1773349856813086E-2</v>
      </c>
      <c r="DH817" s="35">
        <f>DH121/(DH613-DH612)</f>
        <v>1.1773349856813086E-2</v>
      </c>
      <c r="DI817" s="35">
        <f>DI121/(DI613-DI612)</f>
        <v>1.1773349856813086E-2</v>
      </c>
    </row>
    <row r="818" spans="1:113" ht="12" outlineLevel="1">
      <c r="A818" s="1" t="s">
        <v>828</v>
      </c>
      <c r="B818" s="15" t="s">
        <v>263</v>
      </c>
      <c r="C818" s="345">
        <f t="shared" ref="C818:AF818" si="10024">C121/(C613)</f>
        <v>9.9619777328953697E-3</v>
      </c>
      <c r="D818" s="345">
        <f t="shared" si="10024"/>
        <v>1.1416502975970699E-2</v>
      </c>
      <c r="E818" s="345">
        <f t="shared" si="10024"/>
        <v>1.0580663413254119E-2</v>
      </c>
      <c r="F818" s="345">
        <f t="shared" si="10024"/>
        <v>1.0295889046654509E-2</v>
      </c>
      <c r="G818" s="345">
        <f t="shared" si="10024"/>
        <v>1.0081228148576536E-2</v>
      </c>
      <c r="H818" s="345">
        <f t="shared" si="10024"/>
        <v>9.8196683444619331E-3</v>
      </c>
      <c r="I818" s="345">
        <f t="shared" si="10024"/>
        <v>1.0128950901029167E-2</v>
      </c>
      <c r="J818" s="345">
        <f t="shared" si="10024"/>
        <v>9.9272637024875425E-3</v>
      </c>
      <c r="K818" s="345">
        <f t="shared" si="10024"/>
        <v>9.8691551329170707E-3</v>
      </c>
      <c r="L818" s="345">
        <f t="shared" si="10024"/>
        <v>8.2504888295404782E-3</v>
      </c>
      <c r="M818" s="35">
        <f t="shared" si="10024"/>
        <v>8.0759640161685801E-3</v>
      </c>
      <c r="N818" s="35">
        <f t="shared" si="10024"/>
        <v>8.0483861309060423E-3</v>
      </c>
      <c r="O818" s="35">
        <f t="shared" si="10024"/>
        <v>7.2431622657426059E-3</v>
      </c>
      <c r="P818" s="35">
        <f t="shared" si="10024"/>
        <v>8.7481213970076934E-3</v>
      </c>
      <c r="Q818" s="35">
        <f t="shared" si="10024"/>
        <v>1.0242018051511433E-2</v>
      </c>
      <c r="R818" s="35">
        <f t="shared" si="10024"/>
        <v>9.7621065073589617E-3</v>
      </c>
      <c r="S818" s="35">
        <f t="shared" si="10024"/>
        <v>1.190150315984909E-2</v>
      </c>
      <c r="T818" s="37">
        <f t="shared" si="10024"/>
        <v>1.2198697788006956E-2</v>
      </c>
      <c r="U818" s="35">
        <f t="shared" si="10024"/>
        <v>1.1932243927914563E-2</v>
      </c>
      <c r="V818" s="35">
        <f t="shared" si="10024"/>
        <v>1.2023342769342558E-2</v>
      </c>
      <c r="W818" s="35">
        <f t="shared" si="10024"/>
        <v>1.1344315697732565E-2</v>
      </c>
      <c r="X818" s="35">
        <f t="shared" si="10024"/>
        <v>1.0511311772388322E-2</v>
      </c>
      <c r="Y818" s="37">
        <f t="shared" si="10024"/>
        <v>9.2130121718385048E-3</v>
      </c>
      <c r="Z818" s="37">
        <f t="shared" si="10024"/>
        <v>8.5838639477714192E-3</v>
      </c>
      <c r="AA818" s="37">
        <f t="shared" si="10024"/>
        <v>8.5095721633531313E-3</v>
      </c>
      <c r="AB818" s="37">
        <f t="shared" si="10024"/>
        <v>7.88102234296169E-3</v>
      </c>
      <c r="AC818" s="37">
        <f t="shared" si="10024"/>
        <v>7.6259442534347176E-3</v>
      </c>
      <c r="AD818" s="37">
        <f t="shared" ref="AD818:AE818" si="10025">AD121/(AD613)</f>
        <v>7.5323822645225833E-3</v>
      </c>
      <c r="AE818" s="37">
        <f t="shared" si="10025"/>
        <v>7.3543863839357912E-3</v>
      </c>
      <c r="AF818" s="37">
        <f t="shared" si="10024"/>
        <v>7.3699254509637302E-3</v>
      </c>
      <c r="AG818" s="37">
        <f t="shared" ref="AG818:AH818" si="10026">AG121/(AG613)</f>
        <v>7.038978711739626E-3</v>
      </c>
      <c r="AH818" s="37">
        <f t="shared" si="10026"/>
        <v>7.0144066089059039E-3</v>
      </c>
      <c r="AI818" s="37">
        <f t="shared" ref="AI818:AJ818" si="10027">AI121/(AI613)</f>
        <v>6.8062171290650016E-3</v>
      </c>
      <c r="AJ818" s="37">
        <f t="shared" si="10027"/>
        <v>6.5162957928328324E-3</v>
      </c>
      <c r="AK818" s="37">
        <f t="shared" ref="AK818:AL818" si="10028">AK121/(AK613)</f>
        <v>6.4556573358579396E-3</v>
      </c>
      <c r="AL818" s="37">
        <f t="shared" si="10028"/>
        <v>8.5240391530466246E-3</v>
      </c>
      <c r="AM818" s="37">
        <f t="shared" ref="AM818:AN818" si="10029">AM121/(AM613)</f>
        <v>8.0966805048913442E-3</v>
      </c>
      <c r="AN818" s="37">
        <f t="shared" si="10029"/>
        <v>1.0024230978236662E-2</v>
      </c>
      <c r="AO818" s="37">
        <f t="shared" ref="AO818" si="10030">AO121/(AO613)</f>
        <v>1.1663219868462728E-2</v>
      </c>
      <c r="AP818" s="37">
        <f t="shared" ref="AP818:AQ818" si="10031">AP121/(AP613)</f>
        <v>1.0498179662196263E-2</v>
      </c>
      <c r="AQ818" s="37">
        <f t="shared" si="10031"/>
        <v>1.0082050345361296E-2</v>
      </c>
      <c r="AR818" s="37">
        <f t="shared" ref="AR818:AS818" si="10032">AR121/(AR613)</f>
        <v>8.5793884588157392E-3</v>
      </c>
      <c r="AS818" s="37">
        <f t="shared" si="10032"/>
        <v>8.4733835036220253E-3</v>
      </c>
      <c r="AT818" s="37">
        <f t="shared" ref="AT818:AU818" si="10033">AT121/(AT613)</f>
        <v>9.27639524791396E-3</v>
      </c>
      <c r="AU818" s="37">
        <f t="shared" si="10033"/>
        <v>9.304751377135512E-3</v>
      </c>
      <c r="AV818" s="37">
        <f t="shared" ref="AV818:AW818" si="10034">AV121/(AV613)</f>
        <v>9.3488824550174571E-3</v>
      </c>
      <c r="AW818" s="37">
        <f t="shared" si="10034"/>
        <v>9.510011599213582E-3</v>
      </c>
      <c r="AX818" s="37">
        <f t="shared" ref="AX818" si="10035">AX121/(AX613)</f>
        <v>9.1258190315970829E-3</v>
      </c>
      <c r="AY818" s="36">
        <f t="shared" ref="AY818" si="10036">AY121/(AY613)</f>
        <v>9.5497299077302866E-3</v>
      </c>
      <c r="AZ818" s="35">
        <f t="shared" ref="AZ818:BA818" si="10037">AZ121/(AZ613)</f>
        <v>9.4136272377544489E-3</v>
      </c>
      <c r="BA818" s="35">
        <f t="shared" si="10037"/>
        <v>9.4836427846757207E-3</v>
      </c>
      <c r="BB818" s="35">
        <f t="shared" ref="BB818:BC818" si="10038">BB121/(BB613)</f>
        <v>9.5454933975393473E-3</v>
      </c>
      <c r="BC818" s="35">
        <f t="shared" si="10038"/>
        <v>9.611725966062943E-3</v>
      </c>
      <c r="BD818" s="35">
        <f t="shared" ref="BD818:BE818" si="10039">BD121/(BD613)</f>
        <v>9.6490732364679609E-3</v>
      </c>
      <c r="BE818" s="35">
        <f t="shared" si="10039"/>
        <v>9.6838138484535031E-3</v>
      </c>
      <c r="BF818" s="35">
        <f t="shared" ref="BF818:BG818" si="10040">BF121/(BF613)</f>
        <v>9.7147890020856092E-3</v>
      </c>
      <c r="BG818" s="35">
        <f t="shared" si="10040"/>
        <v>9.7451189445855527E-3</v>
      </c>
      <c r="BH818" s="35">
        <f t="shared" ref="BH818:BI818" si="10041">BH121/(BH613)</f>
        <v>9.7897610385899551E-3</v>
      </c>
      <c r="BI818" s="35">
        <f t="shared" si="10041"/>
        <v>9.8326853765908651E-3</v>
      </c>
      <c r="BJ818" s="35">
        <f t="shared" ref="BJ818:BK818" si="10042">BJ121/(BJ613)</f>
        <v>9.8675129476911271E-3</v>
      </c>
      <c r="BK818" s="35">
        <f t="shared" si="10042"/>
        <v>9.8991197917567986E-3</v>
      </c>
      <c r="BL818" s="35">
        <f t="shared" ref="BL818:BM818" si="10043">BL121/(BL613)</f>
        <v>9.9303720880413952E-3</v>
      </c>
      <c r="BM818" s="35">
        <f t="shared" si="10043"/>
        <v>9.9612680855759063E-3</v>
      </c>
      <c r="BN818" s="35">
        <f t="shared" ref="BN818:BO818" si="10044">BN121/(BN613)</f>
        <v>9.9945130285222904E-3</v>
      </c>
      <c r="BO818" s="35">
        <f t="shared" si="10044"/>
        <v>1.0027261519589057E-2</v>
      </c>
      <c r="BP818" s="35">
        <f t="shared" ref="BP818:BQ818" si="10045">BP121/(BP613)</f>
        <v>1.0061612899230526E-2</v>
      </c>
      <c r="BQ818" s="35">
        <f t="shared" si="10045"/>
        <v>1.0095447034724432E-2</v>
      </c>
      <c r="BR818" s="35"/>
      <c r="BS818" s="345">
        <f t="shared" ref="BS818:CY818" si="10046">BS121/(BS613)</f>
        <v>1.155591013941918E-2</v>
      </c>
      <c r="BT818" s="345">
        <f t="shared" si="10046"/>
        <v>7.34712464220661E-3</v>
      </c>
      <c r="BU818" s="345">
        <f t="shared" si="10046"/>
        <v>7.4578768069238563E-3</v>
      </c>
      <c r="BV818" s="345">
        <f t="shared" si="10046"/>
        <v>8.161201791131013E-3</v>
      </c>
      <c r="BW818" s="345">
        <f t="shared" si="10046"/>
        <v>7.5815092443085215E-3</v>
      </c>
      <c r="BX818" s="345">
        <f t="shared" si="10046"/>
        <v>1.3471883331606168E-2</v>
      </c>
      <c r="BY818" s="345">
        <f t="shared" si="10046"/>
        <v>1.2067599228224918E-2</v>
      </c>
      <c r="BZ818" s="345">
        <f t="shared" si="10046"/>
        <v>1.1818328151342376E-2</v>
      </c>
      <c r="CA818" s="345">
        <f t="shared" si="10046"/>
        <v>1.0586947134661649E-2</v>
      </c>
      <c r="CB818" s="345">
        <f t="shared" si="10046"/>
        <v>9.9619777328953697E-3</v>
      </c>
      <c r="CC818" s="35">
        <f t="shared" si="10046"/>
        <v>1.0580663413254119E-2</v>
      </c>
      <c r="CD818" s="35">
        <f t="shared" si="10046"/>
        <v>1.0125880403715024E-2</v>
      </c>
      <c r="CE818" s="35">
        <f t="shared" si="10046"/>
        <v>1.0180197675725953E-2</v>
      </c>
      <c r="CF818" s="35">
        <f t="shared" si="10046"/>
        <v>9.9365837777359994E-3</v>
      </c>
      <c r="CG818" s="35">
        <f t="shared" si="10046"/>
        <v>8.132705633785103E-3</v>
      </c>
      <c r="CH818" s="35">
        <f t="shared" si="10046"/>
        <v>7.2948061126959654E-3</v>
      </c>
      <c r="CI818" s="35">
        <f t="shared" si="10046"/>
        <v>1.125024925224327E-2</v>
      </c>
      <c r="CJ818" s="35">
        <f t="shared" si="10046"/>
        <v>1.3054205412273564E-2</v>
      </c>
      <c r="CK818" s="35">
        <f t="shared" si="10046"/>
        <v>1.3502228959775948E-2</v>
      </c>
      <c r="CL818" s="35">
        <f t="shared" si="10046"/>
        <v>1.2763836867233591E-2</v>
      </c>
      <c r="CM818" s="37">
        <f t="shared" si="10046"/>
        <v>1.0848455125061305E-2</v>
      </c>
      <c r="CN818" s="37">
        <f t="shared" si="10046"/>
        <v>1.0036467802997382E-2</v>
      </c>
      <c r="CO818" s="37">
        <f t="shared" si="10046"/>
        <v>8.9256519416611359E-3</v>
      </c>
      <c r="CP818" s="37">
        <f t="shared" si="10046"/>
        <v>8.4517270858410695E-3</v>
      </c>
      <c r="CQ818" s="37">
        <f t="shared" si="10046"/>
        <v>8.1696886371448139E-3</v>
      </c>
      <c r="CR818" s="37">
        <f t="shared" si="10046"/>
        <v>7.9030026660016506E-3</v>
      </c>
      <c r="CS818" s="37">
        <f t="shared" si="10046"/>
        <v>7.4737839919426508E-3</v>
      </c>
      <c r="CT818" s="37">
        <f t="shared" si="10046"/>
        <v>8.0966805048913442E-3</v>
      </c>
      <c r="CU818" s="37">
        <f t="shared" si="10046"/>
        <v>1.1663219868462728E-2</v>
      </c>
      <c r="CV818" s="37">
        <f t="shared" si="10046"/>
        <v>1.0082050345361296E-2</v>
      </c>
      <c r="CW818" s="37">
        <f t="shared" si="10046"/>
        <v>8.4733835036220253E-3</v>
      </c>
      <c r="CX818" s="37">
        <f t="shared" si="10046"/>
        <v>9.304751377135512E-3</v>
      </c>
      <c r="CY818" s="37">
        <f t="shared" si="10046"/>
        <v>9.510011599213582E-3</v>
      </c>
      <c r="CZ818" s="36">
        <f t="shared" ref="CZ818" si="10047">CZ121/(CZ613)</f>
        <v>9.5497299077302866E-3</v>
      </c>
      <c r="DA818" s="35">
        <f t="shared" ref="DA818:DF818" si="10048">DA121/(DA613)</f>
        <v>9.4836427846757207E-3</v>
      </c>
      <c r="DB818" s="35">
        <f t="shared" si="10048"/>
        <v>9.611725966062943E-3</v>
      </c>
      <c r="DC818" s="35">
        <f t="shared" si="10048"/>
        <v>9.6838138484535031E-3</v>
      </c>
      <c r="DD818" s="35">
        <f t="shared" si="10048"/>
        <v>9.7451189445855527E-3</v>
      </c>
      <c r="DE818" s="35">
        <f t="shared" si="10048"/>
        <v>9.8326853765908651E-3</v>
      </c>
      <c r="DF818" s="35">
        <f t="shared" si="10048"/>
        <v>9.8991197917567986E-3</v>
      </c>
      <c r="DG818" s="35">
        <f t="shared" ref="DG818" si="10049">DG121/(DG613)</f>
        <v>9.9612680855759063E-3</v>
      </c>
      <c r="DH818" s="35">
        <f>DH121/(DH613)</f>
        <v>1.0027261519589057E-2</v>
      </c>
      <c r="DI818" s="35">
        <f>DI121/(DI613)</f>
        <v>1.0095447034724432E-2</v>
      </c>
    </row>
    <row r="819" spans="1:113" ht="12" outlineLevel="1">
      <c r="A819" s="1" t="s">
        <v>2198</v>
      </c>
      <c r="B819" s="15" t="s">
        <v>2201</v>
      </c>
      <c r="C819" s="189">
        <f t="shared" ref="C819:AF819" si="10050">(C121+C123)/(C181-C176)</f>
        <v>1.5870653032714614E-2</v>
      </c>
      <c r="D819" s="189">
        <f t="shared" si="10050"/>
        <v>1.8076374435844072E-2</v>
      </c>
      <c r="E819" s="189">
        <f t="shared" si="10050"/>
        <v>1.7265854925269778E-2</v>
      </c>
      <c r="F819" s="189">
        <f t="shared" si="10050"/>
        <v>1.6869356208033343E-2</v>
      </c>
      <c r="G819" s="189">
        <f t="shared" si="10050"/>
        <v>1.6571064372211598E-2</v>
      </c>
      <c r="H819" s="189">
        <f t="shared" si="10050"/>
        <v>1.6700927321730393E-2</v>
      </c>
      <c r="I819" s="189">
        <f t="shared" si="10050"/>
        <v>1.8004826595081212E-2</v>
      </c>
      <c r="J819" s="189">
        <f t="shared" si="10050"/>
        <v>1.7754863381447876E-2</v>
      </c>
      <c r="K819" s="189">
        <f t="shared" si="10050"/>
        <v>1.7574165085235106E-2</v>
      </c>
      <c r="L819" s="189">
        <f t="shared" si="10050"/>
        <v>1.4991925000984755E-2</v>
      </c>
      <c r="M819" s="189">
        <f t="shared" si="10050"/>
        <v>1.4629364301334741E-2</v>
      </c>
      <c r="N819" s="189">
        <f t="shared" si="10050"/>
        <v>1.4701378254211332E-2</v>
      </c>
      <c r="O819" s="189">
        <f t="shared" si="10050"/>
        <v>1.328E-2</v>
      </c>
      <c r="P819" s="189">
        <f t="shared" si="10050"/>
        <v>1.3742152584875411E-2</v>
      </c>
      <c r="Q819" s="189">
        <f t="shared" si="10050"/>
        <v>1.5714039026074943E-2</v>
      </c>
      <c r="R819" s="189">
        <f t="shared" si="10050"/>
        <v>1.5410294886277419E-2</v>
      </c>
      <c r="S819" s="189">
        <f t="shared" si="10050"/>
        <v>1.8290786930623044E-2</v>
      </c>
      <c r="T819" s="189">
        <f t="shared" si="10050"/>
        <v>1.8808563872941556E-2</v>
      </c>
      <c r="U819" s="189">
        <f t="shared" si="10050"/>
        <v>1.8832425458715597E-2</v>
      </c>
      <c r="V819" s="189">
        <f t="shared" si="10050"/>
        <v>1.7841097982838401E-2</v>
      </c>
      <c r="W819" s="189">
        <f t="shared" si="10050"/>
        <v>1.6859091753589722E-2</v>
      </c>
      <c r="X819" s="189">
        <f t="shared" si="10050"/>
        <v>1.540273997973053E-2</v>
      </c>
      <c r="Y819" s="189">
        <f t="shared" si="10050"/>
        <v>1.3681413564639113E-2</v>
      </c>
      <c r="Z819" s="189">
        <f t="shared" si="10050"/>
        <v>1.255417928583087E-2</v>
      </c>
      <c r="AA819" s="189">
        <f t="shared" si="10050"/>
        <v>1.2319075578616782E-2</v>
      </c>
      <c r="AB819" s="189">
        <f t="shared" si="10050"/>
        <v>1.1428134999115656E-2</v>
      </c>
      <c r="AC819" s="189">
        <f t="shared" si="10050"/>
        <v>1.0848095189379334E-2</v>
      </c>
      <c r="AD819" s="189">
        <f t="shared" ref="AD819:AE819" si="10051">(AD121+AD123)/(AD181-AD176)</f>
        <v>1.0657986174609561E-2</v>
      </c>
      <c r="AE819" s="189">
        <f t="shared" si="10051"/>
        <v>1.0817021806032796E-2</v>
      </c>
      <c r="AF819" s="189">
        <f t="shared" si="10050"/>
        <v>1.1350386674598454E-2</v>
      </c>
      <c r="AG819" s="189">
        <f t="shared" ref="AG819:AH819" si="10052">(AG121+AG123)/(AG181-AG176)</f>
        <v>1.12181174937883E-2</v>
      </c>
      <c r="AH819" s="189">
        <f t="shared" si="10052"/>
        <v>1.1186446124308127E-2</v>
      </c>
      <c r="AI819" s="189">
        <f t="shared" ref="AI819:AJ819" si="10053">(AI121+AI123)/(AI181-AI176)</f>
        <v>1.0815203038982672E-2</v>
      </c>
      <c r="AJ819" s="189">
        <f t="shared" si="10053"/>
        <v>1.0323102294378533E-2</v>
      </c>
      <c r="AK819" s="189">
        <f t="shared" ref="AK819:AL819" si="10054">(AK121+AK123)/(AK181-AK176)</f>
        <v>9.6423207304163049E-3</v>
      </c>
      <c r="AL819" s="189">
        <f t="shared" si="10054"/>
        <v>1.2779818630993141E-2</v>
      </c>
      <c r="AM819" s="189">
        <f t="shared" ref="AM819:AN819" si="10055">(AM121+AM123)/(AM181-AM176)</f>
        <v>1.2299307435324806E-2</v>
      </c>
      <c r="AN819" s="189">
        <f t="shared" si="10055"/>
        <v>1.4456260257649678E-2</v>
      </c>
      <c r="AO819" s="189">
        <f t="shared" ref="AO819" si="10056">(AO121+AO123)/(AO181-AO176)</f>
        <v>1.9047474155833289E-2</v>
      </c>
      <c r="AP819" s="189">
        <f t="shared" ref="AP819:AQ819" si="10057">(AP121+AP123)/(AP181-AP176)</f>
        <v>1.7202617527801195E-2</v>
      </c>
      <c r="AQ819" s="189">
        <f t="shared" si="10057"/>
        <v>1.6122709383839626E-2</v>
      </c>
      <c r="AR819" s="189">
        <f t="shared" ref="AR819:AS819" si="10058">(AR121+AR123)/(AR181-AR176)</f>
        <v>1.3426440474446164E-2</v>
      </c>
      <c r="AS819" s="189">
        <f t="shared" si="10058"/>
        <v>1.2886287625418061E-2</v>
      </c>
      <c r="AT819" s="189">
        <f t="shared" ref="AT819:AU819" si="10059">(AT121+AT123)/(AT181-AT176)</f>
        <v>1.3462403572202136E-2</v>
      </c>
      <c r="AU819" s="189">
        <f t="shared" si="10059"/>
        <v>1.330082899264034E-2</v>
      </c>
      <c r="AV819" s="189">
        <f t="shared" ref="AV819:AW819" si="10060">(AV121+AV123)/(AV181-AV176)</f>
        <v>1.3461045809475963E-2</v>
      </c>
      <c r="AW819" s="189">
        <f t="shared" si="10060"/>
        <v>1.3322625877953831E-2</v>
      </c>
      <c r="AX819" s="189">
        <f t="shared" ref="AX819" si="10061">(AX121+AX123)/(AX181-AX176)</f>
        <v>1.3171297649785044E-2</v>
      </c>
      <c r="AY819" s="235">
        <f t="shared" ref="AY819" si="10062">(AY121+AY123)/(AY181-AY176)</f>
        <v>1.3454223686070162E-2</v>
      </c>
      <c r="AZ819" s="189">
        <f t="shared" ref="AZ819:BA819" si="10063">(AZ121+AZ123)/(AZ181-AZ176)</f>
        <v>1.3601744855901488E-2</v>
      </c>
      <c r="BA819" s="189">
        <f t="shared" si="10063"/>
        <v>1.3671042685966471E-2</v>
      </c>
      <c r="BB819" s="189">
        <f t="shared" ref="BB819:BC819" si="10064">(BB121+BB123)/(BB181-BB176)</f>
        <v>1.3758563540608964E-2</v>
      </c>
      <c r="BC819" s="189">
        <f t="shared" si="10064"/>
        <v>1.3891076542769014E-2</v>
      </c>
      <c r="BD819" s="189">
        <f t="shared" ref="BD819:BE819" si="10065">(BD121+BD123)/(BD181-BD176)</f>
        <v>1.3986788756023513E-2</v>
      </c>
      <c r="BE819" s="189">
        <f t="shared" si="10065"/>
        <v>1.4074911582097832E-2</v>
      </c>
      <c r="BF819" s="189">
        <f t="shared" ref="BF819:BG819" si="10066">(BF121+BF123)/(BF181-BF176)</f>
        <v>1.4165051215595421E-2</v>
      </c>
      <c r="BG819" s="189">
        <f t="shared" si="10066"/>
        <v>1.4248963667496957E-2</v>
      </c>
      <c r="BH819" s="189">
        <f t="shared" ref="BH819:BI819" si="10067">(BH121+BH123)/(BH181-BH176)</f>
        <v>1.42817462313606E-2</v>
      </c>
      <c r="BI819" s="189">
        <f t="shared" si="10067"/>
        <v>1.4303688687792467E-2</v>
      </c>
      <c r="BJ819" s="189">
        <f t="shared" ref="BJ819:BK819" si="10068">(BJ121+BJ123)/(BJ181-BJ176)</f>
        <v>1.4303430185367595E-2</v>
      </c>
      <c r="BK819" s="189">
        <f t="shared" si="10068"/>
        <v>1.4321728549783322E-2</v>
      </c>
      <c r="BL819" s="189">
        <f t="shared" ref="BL819:BM819" si="10069">(BL121+BL123)/(BL181-BL176)</f>
        <v>1.4339781977095099E-2</v>
      </c>
      <c r="BM819" s="189">
        <f t="shared" si="10069"/>
        <v>1.4357592446765592E-2</v>
      </c>
      <c r="BN819" s="189">
        <f t="shared" ref="BN819:BO819" si="10070">(BN121+BN123)/(BN181-BN176)</f>
        <v>1.4361846285048682E-2</v>
      </c>
      <c r="BO819" s="189">
        <f t="shared" si="10070"/>
        <v>1.4366074995086749E-2</v>
      </c>
      <c r="BP819" s="189">
        <f t="shared" ref="BP819:BQ819" si="10071">(BP121+BP123)/(BP181-BP176)</f>
        <v>1.435964405777535E-2</v>
      </c>
      <c r="BQ819" s="189">
        <f t="shared" si="10071"/>
        <v>1.4352993248550022E-2</v>
      </c>
      <c r="BS819" s="189">
        <f t="shared" ref="BS819:CY819" si="10072">(BS121+BS123)/(BS181-BS176)</f>
        <v>1.4811192231110489E-2</v>
      </c>
      <c r="BT819" s="189">
        <f t="shared" si="10072"/>
        <v>9.5364511296987739E-3</v>
      </c>
      <c r="BU819" s="189">
        <f t="shared" si="10072"/>
        <v>9.8949425849010498E-3</v>
      </c>
      <c r="BV819" s="189">
        <f t="shared" si="10072"/>
        <v>1.1510028106597034E-2</v>
      </c>
      <c r="BW819" s="189">
        <f t="shared" si="10072"/>
        <v>1.0841375364891888E-2</v>
      </c>
      <c r="BX819" s="189">
        <f t="shared" si="10072"/>
        <v>2.0193059395969937E-2</v>
      </c>
      <c r="BY819" s="189">
        <f t="shared" si="10072"/>
        <v>1.7557912369308312E-2</v>
      </c>
      <c r="BZ819" s="189">
        <f t="shared" si="10072"/>
        <v>1.6955126646895816E-2</v>
      </c>
      <c r="CA819" s="189">
        <f t="shared" si="10072"/>
        <v>1.6023621128305673E-2</v>
      </c>
      <c r="CB819" s="189">
        <f t="shared" si="10072"/>
        <v>1.5870653032714614E-2</v>
      </c>
      <c r="CC819" s="189">
        <f t="shared" si="10072"/>
        <v>1.7265854925269778E-2</v>
      </c>
      <c r="CD819" s="189">
        <f t="shared" si="10072"/>
        <v>1.6571064372211598E-2</v>
      </c>
      <c r="CE819" s="189">
        <f t="shared" si="10072"/>
        <v>1.8004826595081212E-2</v>
      </c>
      <c r="CF819" s="189">
        <f t="shared" si="10072"/>
        <v>1.7574165085235106E-2</v>
      </c>
      <c r="CG819" s="189">
        <f t="shared" si="10072"/>
        <v>1.4629364301334741E-2</v>
      </c>
      <c r="CH819" s="189">
        <f t="shared" si="10072"/>
        <v>1.328E-2</v>
      </c>
      <c r="CI819" s="189">
        <f t="shared" si="10072"/>
        <v>1.5714039026074943E-2</v>
      </c>
      <c r="CJ819" s="189">
        <f t="shared" si="10072"/>
        <v>1.8290786930623044E-2</v>
      </c>
      <c r="CK819" s="189">
        <f t="shared" si="10072"/>
        <v>1.8832425458715597E-2</v>
      </c>
      <c r="CL819" s="189">
        <f t="shared" si="10072"/>
        <v>1.6859091753589722E-2</v>
      </c>
      <c r="CM819" s="189">
        <f t="shared" si="10072"/>
        <v>1.3681413564639113E-2</v>
      </c>
      <c r="CN819" s="189">
        <f t="shared" si="10072"/>
        <v>1.2319075578616782E-2</v>
      </c>
      <c r="CO819" s="189">
        <f t="shared" si="10072"/>
        <v>1.0848095189379334E-2</v>
      </c>
      <c r="CP819" s="189">
        <f t="shared" si="10072"/>
        <v>1.0817021806032796E-2</v>
      </c>
      <c r="CQ819" s="189">
        <f t="shared" si="10072"/>
        <v>1.12181174937883E-2</v>
      </c>
      <c r="CR819" s="189">
        <f t="shared" si="10072"/>
        <v>1.0815203038982672E-2</v>
      </c>
      <c r="CS819" s="189">
        <f t="shared" si="10072"/>
        <v>9.6423207304163049E-3</v>
      </c>
      <c r="CT819" s="189">
        <f t="shared" si="10072"/>
        <v>1.2299307435324806E-2</v>
      </c>
      <c r="CU819" s="189">
        <f t="shared" si="10072"/>
        <v>1.9047474155833289E-2</v>
      </c>
      <c r="CV819" s="189">
        <f t="shared" si="10072"/>
        <v>1.6122709383839626E-2</v>
      </c>
      <c r="CW819" s="189">
        <f t="shared" si="10072"/>
        <v>1.2886287625418061E-2</v>
      </c>
      <c r="CX819" s="189">
        <f t="shared" si="10072"/>
        <v>1.330082899264034E-2</v>
      </c>
      <c r="CY819" s="189">
        <f t="shared" si="10072"/>
        <v>1.3322625877953831E-2</v>
      </c>
      <c r="CZ819" s="235">
        <f t="shared" ref="CZ819" si="10073">(CZ121+CZ123)/(CZ181-CZ176)</f>
        <v>1.3454223686070162E-2</v>
      </c>
      <c r="DA819" s="189">
        <f t="shared" ref="DA819:DF819" si="10074">(DA121+DA123)/(DA181-DA176)</f>
        <v>1.3671042685966471E-2</v>
      </c>
      <c r="DB819" s="189">
        <f t="shared" si="10074"/>
        <v>1.3891076542769014E-2</v>
      </c>
      <c r="DC819" s="189">
        <f t="shared" si="10074"/>
        <v>1.4074911582097832E-2</v>
      </c>
      <c r="DD819" s="189">
        <f t="shared" si="10074"/>
        <v>1.4248963667496957E-2</v>
      </c>
      <c r="DE819" s="189">
        <f t="shared" si="10074"/>
        <v>1.4303688687792467E-2</v>
      </c>
      <c r="DF819" s="189">
        <f t="shared" si="10074"/>
        <v>1.4321728549783322E-2</v>
      </c>
      <c r="DG819" s="189">
        <f t="shared" ref="DG819" si="10075">(DG121+DG123)/(DG181-DG176)</f>
        <v>1.4357592446765592E-2</v>
      </c>
      <c r="DH819" s="189">
        <f>(DH121+DH123)/(DH181-DH176)</f>
        <v>1.4366074995086749E-2</v>
      </c>
      <c r="DI819" s="189">
        <f>(DI121+DI123)/(DI181-DI176)</f>
        <v>1.4352993248550022E-2</v>
      </c>
    </row>
    <row r="820" spans="1:113" ht="12" outlineLevel="1">
      <c r="A820" s="1" t="s">
        <v>2199</v>
      </c>
      <c r="B820" s="15" t="s">
        <v>2202</v>
      </c>
      <c r="C820" s="189">
        <f t="shared" ref="C820:AF820" si="10076">(C121+C123)/(C613-C612)</f>
        <v>9.9619777328953697E-3</v>
      </c>
      <c r="D820" s="189">
        <f t="shared" si="10076"/>
        <v>1.1416502975970699E-2</v>
      </c>
      <c r="E820" s="189">
        <f t="shared" si="10076"/>
        <v>1.0580663413254119E-2</v>
      </c>
      <c r="F820" s="189">
        <f t="shared" si="10076"/>
        <v>1.0295889046654509E-2</v>
      </c>
      <c r="G820" s="189">
        <f t="shared" si="10076"/>
        <v>1.0125880403715024E-2</v>
      </c>
      <c r="H820" s="189">
        <f t="shared" si="10076"/>
        <v>9.8657225508397735E-3</v>
      </c>
      <c r="I820" s="189">
        <f t="shared" si="10076"/>
        <v>1.0180197675725953E-2</v>
      </c>
      <c r="J820" s="189">
        <f t="shared" si="10076"/>
        <v>9.9824826626352791E-3</v>
      </c>
      <c r="K820" s="189">
        <f t="shared" si="10076"/>
        <v>9.9365837777359994E-3</v>
      </c>
      <c r="L820" s="189">
        <f t="shared" si="10076"/>
        <v>8.3100436681222706E-3</v>
      </c>
      <c r="M820" s="189">
        <f t="shared" si="10076"/>
        <v>8.132705633785103E-3</v>
      </c>
      <c r="N820" s="189">
        <f t="shared" si="10076"/>
        <v>8.119374131577357E-3</v>
      </c>
      <c r="O820" s="189">
        <f t="shared" si="10076"/>
        <v>7.2948061126959654E-3</v>
      </c>
      <c r="P820" s="189">
        <f t="shared" si="10076"/>
        <v>9.3905757145264987E-3</v>
      </c>
      <c r="Q820" s="189">
        <f t="shared" si="10076"/>
        <v>1.125024925224327E-2</v>
      </c>
      <c r="R820" s="189">
        <f t="shared" si="10076"/>
        <v>1.0637389921247624E-2</v>
      </c>
      <c r="S820" s="189">
        <f t="shared" si="10076"/>
        <v>1.3054205412273564E-2</v>
      </c>
      <c r="T820" s="189">
        <f t="shared" si="10076"/>
        <v>1.3781055019852525E-2</v>
      </c>
      <c r="U820" s="189">
        <f t="shared" si="10076"/>
        <v>1.3502228959775948E-2</v>
      </c>
      <c r="V820" s="189">
        <f t="shared" si="10076"/>
        <v>1.3620812361198048E-2</v>
      </c>
      <c r="W820" s="189">
        <f t="shared" si="10076"/>
        <v>1.2763836867233591E-2</v>
      </c>
      <c r="X820" s="189">
        <f t="shared" si="10076"/>
        <v>1.1968101053304819E-2</v>
      </c>
      <c r="Y820" s="189">
        <f t="shared" si="10076"/>
        <v>1.0848455125061305E-2</v>
      </c>
      <c r="Z820" s="189">
        <f t="shared" si="10076"/>
        <v>1.0069896500810974E-2</v>
      </c>
      <c r="AA820" s="189">
        <f t="shared" si="10076"/>
        <v>1.0036467802997382E-2</v>
      </c>
      <c r="AB820" s="189">
        <f t="shared" si="10076"/>
        <v>9.3112980139391077E-3</v>
      </c>
      <c r="AC820" s="189">
        <f t="shared" si="10076"/>
        <v>8.9256519416611359E-3</v>
      </c>
      <c r="AD820" s="189">
        <f t="shared" ref="AD820:AE820" si="10077">(AD121+AD123)/(AD613-AD612)</f>
        <v>8.5782329546625381E-3</v>
      </c>
      <c r="AE820" s="189">
        <f t="shared" si="10077"/>
        <v>8.4517270858410695E-3</v>
      </c>
      <c r="AF820" s="189">
        <f t="shared" si="10076"/>
        <v>8.5609677303564377E-3</v>
      </c>
      <c r="AG820" s="189">
        <f t="shared" ref="AG820:AH820" si="10078">(AG121+AG123)/(AG613-AG612)</f>
        <v>8.1696886371448139E-3</v>
      </c>
      <c r="AH820" s="189">
        <f t="shared" si="10078"/>
        <v>8.1478252474335086E-3</v>
      </c>
      <c r="AI820" s="189">
        <f t="shared" ref="AI820:AJ820" si="10079">(AI121+AI123)/(AI613-AI612)</f>
        <v>7.9030026660016506E-3</v>
      </c>
      <c r="AJ820" s="189">
        <f t="shared" si="10079"/>
        <v>7.5228544259119895E-3</v>
      </c>
      <c r="AK820" s="189">
        <f t="shared" ref="AK820:AL820" si="10080">(AK121+AK123)/(AK613-AK612)</f>
        <v>7.4737839919426508E-3</v>
      </c>
      <c r="AL820" s="189">
        <f t="shared" si="10080"/>
        <v>9.7764837651907396E-3</v>
      </c>
      <c r="AM820" s="189">
        <f t="shared" ref="AM820:AN820" si="10081">(AM121+AM123)/(AM613-AM612)</f>
        <v>9.4273762517243492E-3</v>
      </c>
      <c r="AN820" s="189">
        <f t="shared" si="10081"/>
        <v>1.1660712388956392E-2</v>
      </c>
      <c r="AO820" s="189">
        <f t="shared" ref="AO820" si="10082">(AO121+AO123)/(AO613-AO612)</f>
        <v>1.3909681504956434E-2</v>
      </c>
      <c r="AP820" s="189">
        <f t="shared" ref="AP820:AQ820" si="10083">(AP121+AP123)/(AP613-AP612)</f>
        <v>1.2534297465059E-2</v>
      </c>
      <c r="AQ820" s="189">
        <f t="shared" si="10083"/>
        <v>1.2248246705090249E-2</v>
      </c>
      <c r="AR820" s="189">
        <f t="shared" ref="AR820:AS820" si="10084">(AR121+AR123)/(AR613-AR612)</f>
        <v>1.0770690648678246E-2</v>
      </c>
      <c r="AS820" s="189">
        <f t="shared" si="10084"/>
        <v>1.0719392836674623E-2</v>
      </c>
      <c r="AT820" s="189">
        <f t="shared" ref="AT820:AU820" si="10085">(AT121+AT123)/(AT613-AT612)</f>
        <v>1.1700174344182059E-2</v>
      </c>
      <c r="AU820" s="189">
        <f t="shared" si="10085"/>
        <v>1.155165152517899E-2</v>
      </c>
      <c r="AV820" s="189">
        <f t="shared" ref="AV820:AW820" si="10086">(AV121+AV123)/(AV613-AV612)</f>
        <v>1.16115219818222E-2</v>
      </c>
      <c r="AW820" s="189">
        <f t="shared" si="10086"/>
        <v>1.1758517103423453E-2</v>
      </c>
      <c r="AX820" s="189">
        <f t="shared" ref="AX820" si="10087">(AX121+AX123)/(AX613-AX612)</f>
        <v>1.1320325538707314E-2</v>
      </c>
      <c r="AY820" s="235">
        <f t="shared" ref="AY820" si="10088">(AY121+AY123)/(AY613-AY612)</f>
        <v>1.1848488702131862E-2</v>
      </c>
      <c r="AZ820" s="189">
        <f t="shared" ref="AZ820:BA820" si="10089">(AZ121+AZ123)/(AZ613-AZ612)</f>
        <v>1.1580907575544299E-2</v>
      </c>
      <c r="BA820" s="189">
        <f t="shared" si="10089"/>
        <v>1.1627562159803116E-2</v>
      </c>
      <c r="BB820" s="189">
        <f t="shared" ref="BB820:BC820" si="10090">(BB121+BB123)/(BB613-BB612)</f>
        <v>1.1667286278605818E-2</v>
      </c>
      <c r="BC820" s="189">
        <f t="shared" si="10090"/>
        <v>1.1710190359235935E-2</v>
      </c>
      <c r="BD820" s="189">
        <f t="shared" ref="BD820:BE820" si="10091">(BD121+BD123)/(BD613-BD612)</f>
        <v>1.1719758618025322E-2</v>
      </c>
      <c r="BE820" s="189">
        <f t="shared" si="10091"/>
        <v>1.172987308944845E-2</v>
      </c>
      <c r="BF820" s="189">
        <f t="shared" ref="BF820:BG820" si="10092">(BF121+BF123)/(BF613-BF612)</f>
        <v>1.1738723249840337E-2</v>
      </c>
      <c r="BG820" s="189">
        <f t="shared" si="10092"/>
        <v>1.1747347591905939E-2</v>
      </c>
      <c r="BH820" s="189">
        <f t="shared" ref="BH820:BI820" si="10093">(BH121+BH123)/(BH613-BH612)</f>
        <v>1.1760652894993921E-2</v>
      </c>
      <c r="BI820" s="189">
        <f t="shared" si="10093"/>
        <v>1.1773349856813086E-2</v>
      </c>
      <c r="BJ820" s="189">
        <f t="shared" ref="BJ820:BK820" si="10094">(BJ121+BJ123)/(BJ613-BJ612)</f>
        <v>1.1773349856813086E-2</v>
      </c>
      <c r="BK820" s="189">
        <f t="shared" si="10094"/>
        <v>1.1773349856813086E-2</v>
      </c>
      <c r="BL820" s="189">
        <f t="shared" ref="BL820:BM820" si="10095">(BL121+BL123)/(BL613-BL612)</f>
        <v>1.1773349856813086E-2</v>
      </c>
      <c r="BM820" s="189">
        <f t="shared" si="10095"/>
        <v>1.1773349856813086E-2</v>
      </c>
      <c r="BN820" s="189">
        <f t="shared" ref="BN820:BO820" si="10096">(BN121+BN123)/(BN613-BN612)</f>
        <v>1.1773349856813086E-2</v>
      </c>
      <c r="BO820" s="189">
        <f t="shared" si="10096"/>
        <v>1.1773349856813086E-2</v>
      </c>
      <c r="BP820" s="189">
        <f t="shared" ref="BP820:BQ820" si="10097">(BP121+BP123)/(BP613-BP612)</f>
        <v>1.1773349856813086E-2</v>
      </c>
      <c r="BQ820" s="189">
        <f t="shared" si="10097"/>
        <v>1.1773349856813086E-2</v>
      </c>
      <c r="BS820" s="189">
        <f t="shared" ref="BS820:CY820" si="10098">(BS121+BS123)/(BS613-BS612)</f>
        <v>1.155591013941918E-2</v>
      </c>
      <c r="BT820" s="189">
        <f t="shared" si="10098"/>
        <v>7.34712464220661E-3</v>
      </c>
      <c r="BU820" s="189">
        <f t="shared" si="10098"/>
        <v>7.4578768069238563E-3</v>
      </c>
      <c r="BV820" s="189">
        <f t="shared" si="10098"/>
        <v>8.161201791131013E-3</v>
      </c>
      <c r="BW820" s="189">
        <f t="shared" si="10098"/>
        <v>7.5815092443085215E-3</v>
      </c>
      <c r="BX820" s="189">
        <f t="shared" si="10098"/>
        <v>1.3471883331606168E-2</v>
      </c>
      <c r="BY820" s="189">
        <f t="shared" si="10098"/>
        <v>1.2067599228224918E-2</v>
      </c>
      <c r="BZ820" s="189">
        <f t="shared" si="10098"/>
        <v>1.1818328151342376E-2</v>
      </c>
      <c r="CA820" s="189">
        <f t="shared" si="10098"/>
        <v>1.0586947134661649E-2</v>
      </c>
      <c r="CB820" s="189">
        <f t="shared" si="10098"/>
        <v>9.9619777328953697E-3</v>
      </c>
      <c r="CC820" s="189">
        <f t="shared" si="10098"/>
        <v>1.0580663413254119E-2</v>
      </c>
      <c r="CD820" s="189">
        <f t="shared" si="10098"/>
        <v>1.0125880403715024E-2</v>
      </c>
      <c r="CE820" s="189">
        <f t="shared" si="10098"/>
        <v>1.0180197675725953E-2</v>
      </c>
      <c r="CF820" s="189">
        <f t="shared" si="10098"/>
        <v>9.9365837777359994E-3</v>
      </c>
      <c r="CG820" s="189">
        <f t="shared" si="10098"/>
        <v>8.132705633785103E-3</v>
      </c>
      <c r="CH820" s="189">
        <f t="shared" si="10098"/>
        <v>7.2948061126959654E-3</v>
      </c>
      <c r="CI820" s="189">
        <f t="shared" si="10098"/>
        <v>1.125024925224327E-2</v>
      </c>
      <c r="CJ820" s="189">
        <f t="shared" si="10098"/>
        <v>1.3054205412273564E-2</v>
      </c>
      <c r="CK820" s="189">
        <f t="shared" si="10098"/>
        <v>1.3502228959775948E-2</v>
      </c>
      <c r="CL820" s="189">
        <f t="shared" si="10098"/>
        <v>1.2763836867233591E-2</v>
      </c>
      <c r="CM820" s="189">
        <f t="shared" si="10098"/>
        <v>1.0848455125061305E-2</v>
      </c>
      <c r="CN820" s="189">
        <f t="shared" si="10098"/>
        <v>1.0036467802997382E-2</v>
      </c>
      <c r="CO820" s="189">
        <f t="shared" si="10098"/>
        <v>8.9256519416611359E-3</v>
      </c>
      <c r="CP820" s="189">
        <f t="shared" si="10098"/>
        <v>8.4517270858410695E-3</v>
      </c>
      <c r="CQ820" s="189">
        <f t="shared" si="10098"/>
        <v>8.1696886371448139E-3</v>
      </c>
      <c r="CR820" s="189">
        <f t="shared" si="10098"/>
        <v>7.9030026660016506E-3</v>
      </c>
      <c r="CS820" s="189">
        <f t="shared" si="10098"/>
        <v>7.4737839919426508E-3</v>
      </c>
      <c r="CT820" s="189">
        <f t="shared" si="10098"/>
        <v>9.4273762517243492E-3</v>
      </c>
      <c r="CU820" s="189">
        <f t="shared" si="10098"/>
        <v>1.3909681504956434E-2</v>
      </c>
      <c r="CV820" s="189">
        <f t="shared" si="10098"/>
        <v>1.2248246705090249E-2</v>
      </c>
      <c r="CW820" s="189">
        <f t="shared" si="10098"/>
        <v>1.0719392836674623E-2</v>
      </c>
      <c r="CX820" s="189">
        <f t="shared" si="10098"/>
        <v>1.155165152517899E-2</v>
      </c>
      <c r="CY820" s="189">
        <f t="shared" si="10098"/>
        <v>1.1758517103423453E-2</v>
      </c>
      <c r="CZ820" s="235">
        <f t="shared" ref="CZ820" si="10099">(CZ121+CZ123)/(CZ613-CZ612)</f>
        <v>1.1848488702131862E-2</v>
      </c>
      <c r="DA820" s="189">
        <f t="shared" ref="DA820:DF820" si="10100">(DA121+DA123)/(DA613-DA612)</f>
        <v>1.1627562159803116E-2</v>
      </c>
      <c r="DB820" s="189">
        <f t="shared" si="10100"/>
        <v>1.1710190359235935E-2</v>
      </c>
      <c r="DC820" s="189">
        <f t="shared" si="10100"/>
        <v>1.172987308944845E-2</v>
      </c>
      <c r="DD820" s="189">
        <f t="shared" si="10100"/>
        <v>1.1747347591905939E-2</v>
      </c>
      <c r="DE820" s="189">
        <f t="shared" si="10100"/>
        <v>1.1773349856813086E-2</v>
      </c>
      <c r="DF820" s="189">
        <f t="shared" si="10100"/>
        <v>1.1773349856813086E-2</v>
      </c>
      <c r="DG820" s="189">
        <f t="shared" ref="DG820" si="10101">(DG121+DG123)/(DG613-DG612)</f>
        <v>1.1773349856813086E-2</v>
      </c>
      <c r="DH820" s="189">
        <f>(DH121+DH123)/(DH613-DH612)</f>
        <v>1.1773349856813086E-2</v>
      </c>
      <c r="DI820" s="189">
        <f>(DI121+DI123)/(DI613-DI612)</f>
        <v>1.1773349856813086E-2</v>
      </c>
    </row>
    <row r="821" spans="1:113" ht="12" outlineLevel="1">
      <c r="A821" s="1" t="s">
        <v>2200</v>
      </c>
      <c r="B821" s="15" t="s">
        <v>2203</v>
      </c>
      <c r="C821" s="189">
        <f t="shared" ref="C821:AF821" si="10102">(C121+C123)/(C613)</f>
        <v>9.9619777328953697E-3</v>
      </c>
      <c r="D821" s="189">
        <f t="shared" si="10102"/>
        <v>1.1416502975970699E-2</v>
      </c>
      <c r="E821" s="189">
        <f t="shared" si="10102"/>
        <v>1.0580663413254119E-2</v>
      </c>
      <c r="F821" s="189">
        <f t="shared" si="10102"/>
        <v>1.0295889046654509E-2</v>
      </c>
      <c r="G821" s="189">
        <f t="shared" si="10102"/>
        <v>1.0081228148576536E-2</v>
      </c>
      <c r="H821" s="189">
        <f t="shared" si="10102"/>
        <v>9.8196683444619331E-3</v>
      </c>
      <c r="I821" s="189">
        <f t="shared" si="10102"/>
        <v>1.0128950901029167E-2</v>
      </c>
      <c r="J821" s="189">
        <f t="shared" si="10102"/>
        <v>9.9272637024875425E-3</v>
      </c>
      <c r="K821" s="189">
        <f t="shared" si="10102"/>
        <v>9.8691551329170707E-3</v>
      </c>
      <c r="L821" s="189">
        <f t="shared" si="10102"/>
        <v>8.2504888295404782E-3</v>
      </c>
      <c r="M821" s="189">
        <f t="shared" si="10102"/>
        <v>8.0759640161685801E-3</v>
      </c>
      <c r="N821" s="189">
        <f t="shared" si="10102"/>
        <v>8.0483861309060423E-3</v>
      </c>
      <c r="O821" s="189">
        <f t="shared" si="10102"/>
        <v>7.2431622657426059E-3</v>
      </c>
      <c r="P821" s="189">
        <f t="shared" si="10102"/>
        <v>8.7481213970076934E-3</v>
      </c>
      <c r="Q821" s="189">
        <f t="shared" si="10102"/>
        <v>1.0242018051511433E-2</v>
      </c>
      <c r="R821" s="189">
        <f t="shared" si="10102"/>
        <v>9.7621065073589617E-3</v>
      </c>
      <c r="S821" s="189">
        <f t="shared" si="10102"/>
        <v>1.190150315984909E-2</v>
      </c>
      <c r="T821" s="189">
        <f t="shared" si="10102"/>
        <v>1.2198697788006956E-2</v>
      </c>
      <c r="U821" s="189">
        <f t="shared" si="10102"/>
        <v>1.1932243927914563E-2</v>
      </c>
      <c r="V821" s="189">
        <f t="shared" si="10102"/>
        <v>1.2023342769342558E-2</v>
      </c>
      <c r="W821" s="189">
        <f t="shared" si="10102"/>
        <v>1.1344315697732565E-2</v>
      </c>
      <c r="X821" s="189">
        <f t="shared" si="10102"/>
        <v>1.0511311772388322E-2</v>
      </c>
      <c r="Y821" s="189">
        <f t="shared" si="10102"/>
        <v>9.2130121718385048E-3</v>
      </c>
      <c r="Z821" s="189">
        <f t="shared" si="10102"/>
        <v>8.5838639477714192E-3</v>
      </c>
      <c r="AA821" s="189">
        <f t="shared" si="10102"/>
        <v>8.5095721633531313E-3</v>
      </c>
      <c r="AB821" s="189">
        <f t="shared" si="10102"/>
        <v>7.88102234296169E-3</v>
      </c>
      <c r="AC821" s="189">
        <f t="shared" si="10102"/>
        <v>7.6259442534347176E-3</v>
      </c>
      <c r="AD821" s="189">
        <f t="shared" ref="AD821:AE821" si="10103">(AD121+AD123)/(AD613)</f>
        <v>7.5323822645225833E-3</v>
      </c>
      <c r="AE821" s="189">
        <f t="shared" si="10103"/>
        <v>7.3543863839357912E-3</v>
      </c>
      <c r="AF821" s="189">
        <f t="shared" si="10102"/>
        <v>7.3699254509637302E-3</v>
      </c>
      <c r="AG821" s="189">
        <f t="shared" ref="AG821:AH821" si="10104">(AG121+AG123)/(AG613)</f>
        <v>7.038978711739626E-3</v>
      </c>
      <c r="AH821" s="189">
        <f t="shared" si="10104"/>
        <v>7.0144066089059039E-3</v>
      </c>
      <c r="AI821" s="189">
        <f t="shared" ref="AI821:AJ821" si="10105">(AI121+AI123)/(AI613)</f>
        <v>6.8062171290650016E-3</v>
      </c>
      <c r="AJ821" s="189">
        <f t="shared" si="10105"/>
        <v>6.5162957928328324E-3</v>
      </c>
      <c r="AK821" s="189">
        <f t="shared" ref="AK821:AL821" si="10106">(AK121+AK123)/(AK613)</f>
        <v>6.4556573358579396E-3</v>
      </c>
      <c r="AL821" s="189">
        <f t="shared" si="10106"/>
        <v>8.5240391530466246E-3</v>
      </c>
      <c r="AM821" s="189">
        <f t="shared" ref="AM821:AN821" si="10107">(AM121+AM123)/(AM613)</f>
        <v>8.0966805048913442E-3</v>
      </c>
      <c r="AN821" s="189">
        <f t="shared" si="10107"/>
        <v>1.0024230978236662E-2</v>
      </c>
      <c r="AO821" s="189">
        <f t="shared" ref="AO821" si="10108">(AO121+AO123)/(AO613)</f>
        <v>1.1663219868462728E-2</v>
      </c>
      <c r="AP821" s="189">
        <f t="shared" ref="AP821:AQ821" si="10109">(AP121+AP123)/(AP613)</f>
        <v>1.0498179662196263E-2</v>
      </c>
      <c r="AQ821" s="189">
        <f t="shared" si="10109"/>
        <v>1.0082050345361296E-2</v>
      </c>
      <c r="AR821" s="189">
        <f t="shared" ref="AR821:AS821" si="10110">(AR121+AR123)/(AR613)</f>
        <v>8.5793884588157392E-3</v>
      </c>
      <c r="AS821" s="189">
        <f t="shared" si="10110"/>
        <v>8.4733835036220253E-3</v>
      </c>
      <c r="AT821" s="189">
        <f t="shared" ref="AT821:AU821" si="10111">(AT121+AT123)/(AT613)</f>
        <v>9.27639524791396E-3</v>
      </c>
      <c r="AU821" s="189">
        <f t="shared" si="10111"/>
        <v>9.304751377135512E-3</v>
      </c>
      <c r="AV821" s="189">
        <f t="shared" ref="AV821:AW821" si="10112">(AV121+AV123)/(AV613)</f>
        <v>9.3488824550174571E-3</v>
      </c>
      <c r="AW821" s="189">
        <f t="shared" si="10112"/>
        <v>9.510011599213582E-3</v>
      </c>
      <c r="AX821" s="189">
        <f t="shared" ref="AX821" si="10113">(AX121+AX123)/(AX613)</f>
        <v>9.1258190315970829E-3</v>
      </c>
      <c r="AY821" s="235">
        <f t="shared" ref="AY821" si="10114">(AY121+AY123)/(AY613)</f>
        <v>9.5497299077302866E-3</v>
      </c>
      <c r="AZ821" s="189">
        <f t="shared" ref="AZ821:BA821" si="10115">(AZ121+AZ123)/(AZ613)</f>
        <v>9.4136272377544489E-3</v>
      </c>
      <c r="BA821" s="189">
        <f t="shared" si="10115"/>
        <v>9.4836427846757207E-3</v>
      </c>
      <c r="BB821" s="189">
        <f t="shared" ref="BB821:BC821" si="10116">(BB121+BB123)/(BB613)</f>
        <v>9.5454933975393473E-3</v>
      </c>
      <c r="BC821" s="189">
        <f t="shared" si="10116"/>
        <v>9.611725966062943E-3</v>
      </c>
      <c r="BD821" s="189">
        <f t="shared" ref="BD821:BE821" si="10117">(BD121+BD123)/(BD613)</f>
        <v>9.6490732364679609E-3</v>
      </c>
      <c r="BE821" s="189">
        <f t="shared" si="10117"/>
        <v>9.6838138484535031E-3</v>
      </c>
      <c r="BF821" s="189">
        <f t="shared" ref="BF821:BG821" si="10118">(BF121+BF123)/(BF613)</f>
        <v>9.7147890020856092E-3</v>
      </c>
      <c r="BG821" s="189">
        <f t="shared" si="10118"/>
        <v>9.7451189445855527E-3</v>
      </c>
      <c r="BH821" s="189">
        <f t="shared" ref="BH821:BI821" si="10119">(BH121+BH123)/(BH613)</f>
        <v>9.7897610385899551E-3</v>
      </c>
      <c r="BI821" s="189">
        <f t="shared" si="10119"/>
        <v>9.8326853765908651E-3</v>
      </c>
      <c r="BJ821" s="189">
        <f t="shared" ref="BJ821:BK821" si="10120">(BJ121+BJ123)/(BJ613)</f>
        <v>9.8675129476911271E-3</v>
      </c>
      <c r="BK821" s="189">
        <f t="shared" si="10120"/>
        <v>9.8991197917567986E-3</v>
      </c>
      <c r="BL821" s="189">
        <f t="shared" ref="BL821:BM821" si="10121">(BL121+BL123)/(BL613)</f>
        <v>9.9303720880413952E-3</v>
      </c>
      <c r="BM821" s="189">
        <f t="shared" si="10121"/>
        <v>9.9612680855759063E-3</v>
      </c>
      <c r="BN821" s="189">
        <f t="shared" ref="BN821:BO821" si="10122">(BN121+BN123)/(BN613)</f>
        <v>9.9945130285222904E-3</v>
      </c>
      <c r="BO821" s="189">
        <f t="shared" si="10122"/>
        <v>1.0027261519589057E-2</v>
      </c>
      <c r="BP821" s="189">
        <f t="shared" ref="BP821:BQ821" si="10123">(BP121+BP123)/(BP613)</f>
        <v>1.0061612899230526E-2</v>
      </c>
      <c r="BQ821" s="189">
        <f t="shared" si="10123"/>
        <v>1.0095447034724432E-2</v>
      </c>
      <c r="BS821" s="189">
        <f t="shared" ref="BS821:CY821" si="10124">(BS121+BS123)/(BS613)</f>
        <v>1.155591013941918E-2</v>
      </c>
      <c r="BT821" s="189">
        <f t="shared" si="10124"/>
        <v>7.34712464220661E-3</v>
      </c>
      <c r="BU821" s="189">
        <f t="shared" si="10124"/>
        <v>7.4578768069238563E-3</v>
      </c>
      <c r="BV821" s="189">
        <f t="shared" si="10124"/>
        <v>8.161201791131013E-3</v>
      </c>
      <c r="BW821" s="189">
        <f t="shared" si="10124"/>
        <v>7.5815092443085215E-3</v>
      </c>
      <c r="BX821" s="189">
        <f t="shared" si="10124"/>
        <v>1.3471883331606168E-2</v>
      </c>
      <c r="BY821" s="189">
        <f t="shared" si="10124"/>
        <v>1.2067599228224918E-2</v>
      </c>
      <c r="BZ821" s="189">
        <f t="shared" si="10124"/>
        <v>1.1818328151342376E-2</v>
      </c>
      <c r="CA821" s="189">
        <f t="shared" si="10124"/>
        <v>1.0586947134661649E-2</v>
      </c>
      <c r="CB821" s="189">
        <f t="shared" si="10124"/>
        <v>9.9619777328953697E-3</v>
      </c>
      <c r="CC821" s="189">
        <f t="shared" si="10124"/>
        <v>1.0580663413254119E-2</v>
      </c>
      <c r="CD821" s="189">
        <f t="shared" si="10124"/>
        <v>1.0125880403715024E-2</v>
      </c>
      <c r="CE821" s="189">
        <f t="shared" si="10124"/>
        <v>1.0180197675725953E-2</v>
      </c>
      <c r="CF821" s="189">
        <f t="shared" si="10124"/>
        <v>9.9365837777359994E-3</v>
      </c>
      <c r="CG821" s="189">
        <f t="shared" si="10124"/>
        <v>8.132705633785103E-3</v>
      </c>
      <c r="CH821" s="189">
        <f t="shared" si="10124"/>
        <v>7.2948061126959654E-3</v>
      </c>
      <c r="CI821" s="189">
        <f t="shared" si="10124"/>
        <v>1.125024925224327E-2</v>
      </c>
      <c r="CJ821" s="189">
        <f t="shared" si="10124"/>
        <v>1.3054205412273564E-2</v>
      </c>
      <c r="CK821" s="189">
        <f t="shared" si="10124"/>
        <v>1.3502228959775948E-2</v>
      </c>
      <c r="CL821" s="189">
        <f t="shared" si="10124"/>
        <v>1.2763836867233591E-2</v>
      </c>
      <c r="CM821" s="189">
        <f t="shared" si="10124"/>
        <v>1.0848455125061305E-2</v>
      </c>
      <c r="CN821" s="189">
        <f t="shared" si="10124"/>
        <v>1.0036467802997382E-2</v>
      </c>
      <c r="CO821" s="189">
        <f t="shared" si="10124"/>
        <v>8.9256519416611359E-3</v>
      </c>
      <c r="CP821" s="189">
        <f t="shared" si="10124"/>
        <v>8.4517270858410695E-3</v>
      </c>
      <c r="CQ821" s="189">
        <f t="shared" si="10124"/>
        <v>8.1696886371448139E-3</v>
      </c>
      <c r="CR821" s="189">
        <f t="shared" si="10124"/>
        <v>7.9030026660016506E-3</v>
      </c>
      <c r="CS821" s="189">
        <f t="shared" si="10124"/>
        <v>7.4737839919426508E-3</v>
      </c>
      <c r="CT821" s="189">
        <f t="shared" si="10124"/>
        <v>8.0966805048913442E-3</v>
      </c>
      <c r="CU821" s="189">
        <f t="shared" si="10124"/>
        <v>1.1663219868462728E-2</v>
      </c>
      <c r="CV821" s="189">
        <f t="shared" si="10124"/>
        <v>1.0082050345361296E-2</v>
      </c>
      <c r="CW821" s="189">
        <f t="shared" si="10124"/>
        <v>8.4733835036220253E-3</v>
      </c>
      <c r="CX821" s="189">
        <f t="shared" si="10124"/>
        <v>9.304751377135512E-3</v>
      </c>
      <c r="CY821" s="189">
        <f t="shared" si="10124"/>
        <v>9.510011599213582E-3</v>
      </c>
      <c r="CZ821" s="235">
        <f t="shared" ref="CZ821" si="10125">(CZ121+CZ123)/(CZ613)</f>
        <v>9.5497299077302866E-3</v>
      </c>
      <c r="DA821" s="189">
        <f t="shared" ref="DA821:DF821" si="10126">(DA121+DA123)/(DA613)</f>
        <v>9.4836427846757207E-3</v>
      </c>
      <c r="DB821" s="189">
        <f t="shared" si="10126"/>
        <v>9.611725966062943E-3</v>
      </c>
      <c r="DC821" s="189">
        <f t="shared" si="10126"/>
        <v>9.6838138484535031E-3</v>
      </c>
      <c r="DD821" s="189">
        <f t="shared" si="10126"/>
        <v>9.7451189445855527E-3</v>
      </c>
      <c r="DE821" s="189">
        <f t="shared" si="10126"/>
        <v>9.8326853765908651E-3</v>
      </c>
      <c r="DF821" s="189">
        <f t="shared" si="10126"/>
        <v>9.8991197917567986E-3</v>
      </c>
      <c r="DG821" s="189">
        <f t="shared" ref="DG821" si="10127">(DG121+DG123)/(DG613)</f>
        <v>9.9612680855759063E-3</v>
      </c>
      <c r="DH821" s="189">
        <f>(DH121+DH123)/(DH613)</f>
        <v>1.0027261519589057E-2</v>
      </c>
      <c r="DI821" s="189">
        <f>(DI121+DI123)/(DI613)</f>
        <v>1.0095447034724432E-2</v>
      </c>
    </row>
    <row r="822" spans="1:113" ht="12" outlineLevel="1">
      <c r="A822" s="1" t="s">
        <v>829</v>
      </c>
      <c r="B822" s="15" t="s">
        <v>264</v>
      </c>
      <c r="C822" s="345">
        <f t="shared" ref="C822:AF822" si="10128">(C121+C120)/(C181-C176)</f>
        <v>2.1595996839610217E-2</v>
      </c>
      <c r="D822" s="345">
        <f t="shared" si="10128"/>
        <v>2.4963169094778196E-2</v>
      </c>
      <c r="E822" s="345">
        <f t="shared" si="10128"/>
        <v>2.4017542847250273E-2</v>
      </c>
      <c r="F822" s="345">
        <f t="shared" si="10128"/>
        <v>2.3021709648610209E-2</v>
      </c>
      <c r="G822" s="345">
        <f t="shared" si="10128"/>
        <v>2.1799483639584751E-2</v>
      </c>
      <c r="H822" s="345">
        <f t="shared" si="10128"/>
        <v>2.0528984514183911E-2</v>
      </c>
      <c r="I822" s="345">
        <f t="shared" si="10128"/>
        <v>2.1475636541120963E-2</v>
      </c>
      <c r="J822" s="345">
        <f t="shared" si="10128"/>
        <v>2.0494916816757861E-2</v>
      </c>
      <c r="K822" s="345">
        <f t="shared" si="10128"/>
        <v>1.9788169269946313E-2</v>
      </c>
      <c r="L822" s="345">
        <f t="shared" si="10128"/>
        <v>1.748138811202584E-2</v>
      </c>
      <c r="M822" s="35">
        <f t="shared" si="10128"/>
        <v>1.6786064399366564E-2</v>
      </c>
      <c r="N822" s="35">
        <f t="shared" si="10128"/>
        <v>1.6903668052213227E-2</v>
      </c>
      <c r="O822" s="35">
        <f t="shared" si="10128"/>
        <v>1.508E-2</v>
      </c>
      <c r="P822" s="35">
        <f t="shared" si="10128"/>
        <v>1.5597930455311576E-2</v>
      </c>
      <c r="Q822" s="35">
        <f t="shared" si="10128"/>
        <v>1.9474044819269055E-2</v>
      </c>
      <c r="R822" s="35">
        <f t="shared" si="10128"/>
        <v>2.2946839540726002E-2</v>
      </c>
      <c r="S822" s="35">
        <f t="shared" si="10128"/>
        <v>2.7594700549333301E-2</v>
      </c>
      <c r="T822" s="37">
        <f t="shared" si="10128"/>
        <v>2.8674234682818375E-2</v>
      </c>
      <c r="U822" s="35">
        <f t="shared" si="10128"/>
        <v>3.0031536697247705E-2</v>
      </c>
      <c r="V822" s="35">
        <f t="shared" si="10128"/>
        <v>2.7483265196100455E-2</v>
      </c>
      <c r="W822" s="35">
        <f t="shared" si="10128"/>
        <v>2.5867239960718741E-2</v>
      </c>
      <c r="X822" s="35">
        <f t="shared" si="10128"/>
        <v>2.4220474223303718E-2</v>
      </c>
      <c r="Y822" s="37">
        <f t="shared" si="10128"/>
        <v>2.2454341684026144E-2</v>
      </c>
      <c r="Z822" s="37">
        <f t="shared" si="10128"/>
        <v>1.9549881213616001E-2</v>
      </c>
      <c r="AA822" s="37">
        <f t="shared" si="10128"/>
        <v>1.8578889875059738E-2</v>
      </c>
      <c r="AB822" s="37">
        <f t="shared" si="10128"/>
        <v>1.7337160130561316E-2</v>
      </c>
      <c r="AC822" s="37">
        <f t="shared" si="10128"/>
        <v>1.5475356684740267E-2</v>
      </c>
      <c r="AD822" s="37">
        <f t="shared" ref="AD822:AE822" si="10129">(AD121+AD120)/(AD181-AD176)</f>
        <v>1.4732453092425296E-2</v>
      </c>
      <c r="AE822" s="37">
        <f t="shared" si="10129"/>
        <v>1.4699586128157556E-2</v>
      </c>
      <c r="AF822" s="37">
        <f t="shared" si="10128"/>
        <v>1.6260162601626018E-2</v>
      </c>
      <c r="AG822" s="37">
        <f t="shared" ref="AG822:AH822" si="10130">(AG121+AG120)/(AG181-AG176)</f>
        <v>1.6316198009915319E-2</v>
      </c>
      <c r="AH822" s="37">
        <f t="shared" si="10130"/>
        <v>1.6283609546838475E-2</v>
      </c>
      <c r="AI822" s="37">
        <f t="shared" ref="AI822:AJ822" si="10131">(AI121+AI120)/(AI181-AI176)</f>
        <v>1.5430556401974526E-2</v>
      </c>
      <c r="AJ822" s="37">
        <f t="shared" si="10131"/>
        <v>1.4389900251372944E-2</v>
      </c>
      <c r="AK822" s="37">
        <f t="shared" ref="AK822:AL822" si="10132">(AK121+AK120)/(AK181-AK176)</f>
        <v>1.3158347314634696E-2</v>
      </c>
      <c r="AL822" s="37">
        <f t="shared" si="10132"/>
        <v>1.6150694415544616E-2</v>
      </c>
      <c r="AM822" s="37">
        <f t="shared" ref="AM822:AN822" si="10133">(AM121+AM120)/(AM181-AM176)</f>
        <v>1.5264839500595657E-2</v>
      </c>
      <c r="AN822" s="37">
        <f t="shared" si="10133"/>
        <v>1.7966745141366872E-2</v>
      </c>
      <c r="AO822" s="37">
        <f t="shared" ref="AO822" si="10134">(AO121+AO120)/(AO181-AO176)</f>
        <v>2.2436311909996121E-2</v>
      </c>
      <c r="AP822" s="37">
        <f t="shared" ref="AP822:AQ822" si="10135">(AP121+AP120)/(AP181-AP176)</f>
        <v>2.0450439600144525E-2</v>
      </c>
      <c r="AQ822" s="37">
        <f t="shared" si="10135"/>
        <v>1.8763067273398108E-2</v>
      </c>
      <c r="AR822" s="37">
        <f t="shared" ref="AR822:AS822" si="10136">(AR121+AR120)/(AR181-AR176)</f>
        <v>1.5699322066606868E-2</v>
      </c>
      <c r="AS822" s="37">
        <f t="shared" si="10136"/>
        <v>1.4698996655518395E-2</v>
      </c>
      <c r="AT822" s="37">
        <f t="shared" ref="AT822:AU822" si="10137">(AT121+AT120)/(AT181-AT176)</f>
        <v>1.4865292657325181E-2</v>
      </c>
      <c r="AU822" s="37">
        <f t="shared" si="10137"/>
        <v>1.4541184077271483E-2</v>
      </c>
      <c r="AV822" s="37">
        <f t="shared" ref="AV822:AW822" si="10138">(AV121+AV120)/(AV181-AV176)</f>
        <v>1.4542321115476875E-2</v>
      </c>
      <c r="AW822" s="37">
        <f t="shared" si="10138"/>
        <v>1.4288806421963668E-2</v>
      </c>
      <c r="AX822" s="37">
        <f t="shared" ref="AX822" si="10139">(AX121+AX120)/(AX181-AX176)</f>
        <v>1.4291473431215359E-2</v>
      </c>
      <c r="AY822" s="36">
        <f t="shared" ref="AY822" si="10140">(AY121+AY120)/(AY181-AY176)</f>
        <v>1.468012805938416E-2</v>
      </c>
      <c r="AZ822" s="35">
        <f t="shared" ref="AZ822:BA822" si="10141">(AZ121+AZ120)/(AZ181-AZ176)</f>
        <v>1.5059307159730757E-2</v>
      </c>
      <c r="BA822" s="35">
        <f t="shared" si="10141"/>
        <v>1.5305404012307983E-2</v>
      </c>
      <c r="BB822" s="35">
        <f t="shared" ref="BB822:BC822" si="10142">(BB121+BB120)/(BB181-BB176)</f>
        <v>1.557311120976251E-2</v>
      </c>
      <c r="BC822" s="35">
        <f t="shared" si="10142"/>
        <v>1.593453318853455E-2</v>
      </c>
      <c r="BD822" s="35">
        <f t="shared" ref="BD822:BE822" si="10143">(BD121+BD120)/(BD181-BD176)</f>
        <v>1.6392953468786563E-2</v>
      </c>
      <c r="BE822" s="35">
        <f t="shared" si="10143"/>
        <v>1.6858424092782955E-2</v>
      </c>
      <c r="BF822" s="35">
        <f t="shared" ref="BF822:BG822" si="10144">(BF121+BF120)/(BF181-BF176)</f>
        <v>1.741739316940907E-2</v>
      </c>
      <c r="BG822" s="35">
        <f t="shared" si="10144"/>
        <v>1.8047328147825201E-2</v>
      </c>
      <c r="BH822" s="35">
        <f t="shared" ref="BH822:BI822" si="10145">(BH121+BH120)/(BH181-BH176)</f>
        <v>1.8569098605027506E-2</v>
      </c>
      <c r="BI822" s="35">
        <f t="shared" si="10145"/>
        <v>1.9067289934837008E-2</v>
      </c>
      <c r="BJ822" s="35">
        <f t="shared" ref="BJ822:BK822" si="10146">(BJ121+BJ120)/(BJ181-BJ176)</f>
        <v>1.8966260807754622E-2</v>
      </c>
      <c r="BK822" s="35">
        <f t="shared" si="10146"/>
        <v>1.8883788547512836E-2</v>
      </c>
      <c r="BL822" s="35">
        <f t="shared" ref="BL822:BM822" si="10147">(BL121+BL120)/(BL181-BL176)</f>
        <v>1.8801071350167096E-2</v>
      </c>
      <c r="BM822" s="35">
        <f t="shared" si="10147"/>
        <v>1.8718111195180073E-2</v>
      </c>
      <c r="BN822" s="35">
        <f t="shared" ref="BN822:BO822" si="10148">(BN121+BN120)/(BN181-BN176)</f>
        <v>1.8621594408805651E-2</v>
      </c>
      <c r="BO822" s="35">
        <f t="shared" si="10148"/>
        <v>1.8525052494186199E-2</v>
      </c>
      <c r="BP822" s="35">
        <f t="shared" ref="BP822:BQ822" si="10149">(BP121+BP120)/(BP181-BP176)</f>
        <v>1.8417850932217289E-2</v>
      </c>
      <c r="BQ822" s="35">
        <f t="shared" si="10149"/>
        <v>1.8310429498334446E-2</v>
      </c>
      <c r="BR822" s="35"/>
      <c r="BS822" s="345">
        <f t="shared" ref="BS822:CY822" si="10150">(BS121+BS120)/(BS181-BS176)</f>
        <v>5.2995106336357609E-2</v>
      </c>
      <c r="BT822" s="345">
        <f t="shared" si="10150"/>
        <v>4.5424377985946104E-2</v>
      </c>
      <c r="BU822" s="345">
        <f t="shared" si="10150"/>
        <v>2.8829709259711702E-2</v>
      </c>
      <c r="BV822" s="345">
        <f t="shared" si="10150"/>
        <v>2.342749083643644E-2</v>
      </c>
      <c r="BW822" s="345">
        <f t="shared" si="10150"/>
        <v>1.8624534829955314E-2</v>
      </c>
      <c r="BX822" s="345">
        <f t="shared" si="10150"/>
        <v>2.6589881708119854E-2</v>
      </c>
      <c r="BY822" s="345">
        <f t="shared" si="10150"/>
        <v>2.7821959643015311E-2</v>
      </c>
      <c r="BZ822" s="345">
        <f t="shared" si="10150"/>
        <v>2.797899752054062E-2</v>
      </c>
      <c r="CA822" s="345">
        <f t="shared" si="10150"/>
        <v>2.4298018346054197E-2</v>
      </c>
      <c r="CB822" s="345">
        <f t="shared" si="10150"/>
        <v>2.1595996839610217E-2</v>
      </c>
      <c r="CC822" s="35">
        <f t="shared" si="10150"/>
        <v>2.4017542847250273E-2</v>
      </c>
      <c r="CD822" s="35">
        <f t="shared" si="10150"/>
        <v>2.1799483639584751E-2</v>
      </c>
      <c r="CE822" s="35">
        <f t="shared" si="10150"/>
        <v>2.1475636541120963E-2</v>
      </c>
      <c r="CF822" s="35">
        <f t="shared" si="10150"/>
        <v>1.9788169269946313E-2</v>
      </c>
      <c r="CG822" s="35">
        <f t="shared" si="10150"/>
        <v>1.6786064399366564E-2</v>
      </c>
      <c r="CH822" s="35">
        <f t="shared" si="10150"/>
        <v>1.508E-2</v>
      </c>
      <c r="CI822" s="35">
        <f t="shared" si="10150"/>
        <v>1.9474044819269055E-2</v>
      </c>
      <c r="CJ822" s="35">
        <f t="shared" si="10150"/>
        <v>2.7594700549333301E-2</v>
      </c>
      <c r="CK822" s="35">
        <f t="shared" si="10150"/>
        <v>3.0031536697247705E-2</v>
      </c>
      <c r="CL822" s="35">
        <f t="shared" si="10150"/>
        <v>2.5867239960718741E-2</v>
      </c>
      <c r="CM822" s="35">
        <f t="shared" si="10150"/>
        <v>2.2454341684026144E-2</v>
      </c>
      <c r="CN822" s="37">
        <f t="shared" si="10150"/>
        <v>1.8578889875059738E-2</v>
      </c>
      <c r="CO822" s="37">
        <f t="shared" si="10150"/>
        <v>1.5475356684740267E-2</v>
      </c>
      <c r="CP822" s="37">
        <f t="shared" si="10150"/>
        <v>1.4699586128157556E-2</v>
      </c>
      <c r="CQ822" s="37">
        <f t="shared" si="10150"/>
        <v>1.6316198009915319E-2</v>
      </c>
      <c r="CR822" s="37">
        <f t="shared" si="10150"/>
        <v>1.5430556401974526E-2</v>
      </c>
      <c r="CS822" s="37">
        <f t="shared" si="10150"/>
        <v>1.3158347314634696E-2</v>
      </c>
      <c r="CT822" s="37">
        <f t="shared" si="10150"/>
        <v>1.5264839500595657E-2</v>
      </c>
      <c r="CU822" s="37">
        <f t="shared" si="10150"/>
        <v>2.2436311909996121E-2</v>
      </c>
      <c r="CV822" s="37">
        <f t="shared" si="10150"/>
        <v>1.8763067273398108E-2</v>
      </c>
      <c r="CW822" s="37">
        <f t="shared" si="10150"/>
        <v>1.4698996655518395E-2</v>
      </c>
      <c r="CX822" s="37">
        <f t="shared" si="10150"/>
        <v>1.4541184077271483E-2</v>
      </c>
      <c r="CY822" s="37">
        <f t="shared" si="10150"/>
        <v>1.4288806421963668E-2</v>
      </c>
      <c r="CZ822" s="36">
        <f t="shared" ref="CZ822" si="10151">(CZ121+CZ120)/(CZ181-CZ176)</f>
        <v>1.468012805938416E-2</v>
      </c>
      <c r="DA822" s="35">
        <f t="shared" ref="DA822:DF822" si="10152">(DA121+DA120)/(DA181-DA176)</f>
        <v>1.5305404012307983E-2</v>
      </c>
      <c r="DB822" s="35">
        <f t="shared" si="10152"/>
        <v>1.593453318853455E-2</v>
      </c>
      <c r="DC822" s="35">
        <f t="shared" si="10152"/>
        <v>1.6858424092782955E-2</v>
      </c>
      <c r="DD822" s="35">
        <f t="shared" si="10152"/>
        <v>1.8047328147825201E-2</v>
      </c>
      <c r="DE822" s="35">
        <f t="shared" si="10152"/>
        <v>1.9067289934837008E-2</v>
      </c>
      <c r="DF822" s="35">
        <f t="shared" si="10152"/>
        <v>1.8883788547512836E-2</v>
      </c>
      <c r="DG822" s="35">
        <f t="shared" ref="DG822" si="10153">(DG121+DG120)/(DG181-DG176)</f>
        <v>1.8718111195180073E-2</v>
      </c>
      <c r="DH822" s="35">
        <f>(DH121+DH120)/(DH181-DH176)</f>
        <v>1.8525052494186199E-2</v>
      </c>
      <c r="DI822" s="35">
        <f>(DI121+DI120)/(DI181-DI176)</f>
        <v>1.8310429498334446E-2</v>
      </c>
    </row>
    <row r="823" spans="1:113" ht="12" outlineLevel="1">
      <c r="A823" s="1" t="s">
        <v>830</v>
      </c>
      <c r="B823" s="15" t="s">
        <v>372</v>
      </c>
      <c r="C823" s="345">
        <f t="shared" ref="C823:AF823" si="10154">(C121+C120)/(C613-C612)</f>
        <v>1.3555764793824436E-2</v>
      </c>
      <c r="D823" s="345">
        <f t="shared" si="10154"/>
        <v>1.5765998611705977E-2</v>
      </c>
      <c r="E823" s="345">
        <f t="shared" si="10154"/>
        <v>1.4718155456538652E-2</v>
      </c>
      <c r="F823" s="345">
        <f t="shared" si="10154"/>
        <v>1.4050860346022624E-2</v>
      </c>
      <c r="G823" s="345">
        <f t="shared" si="10154"/>
        <v>1.3320747493283517E-2</v>
      </c>
      <c r="H823" s="345">
        <f t="shared" si="10154"/>
        <v>1.2127067052372523E-2</v>
      </c>
      <c r="I823" s="345">
        <f t="shared" si="10154"/>
        <v>1.2142645420444208E-2</v>
      </c>
      <c r="J823" s="345">
        <f t="shared" si="10154"/>
        <v>1.1523048496628512E-2</v>
      </c>
      <c r="K823" s="345">
        <f t="shared" si="10154"/>
        <v>1.1188400746504771E-2</v>
      </c>
      <c r="L823" s="345">
        <f t="shared" si="10154"/>
        <v>9.6899563318777297E-3</v>
      </c>
      <c r="M823" s="35">
        <f t="shared" si="10154"/>
        <v>9.3316508973224944E-3</v>
      </c>
      <c r="N823" s="35">
        <f t="shared" si="10154"/>
        <v>9.3356692643830931E-3</v>
      </c>
      <c r="O823" s="35">
        <f t="shared" si="10154"/>
        <v>8.2835599532722261E-3</v>
      </c>
      <c r="P823" s="35">
        <f t="shared" si="10154"/>
        <v>1.0658704742642043E-2</v>
      </c>
      <c r="Q823" s="35">
        <f t="shared" si="10154"/>
        <v>1.3942173479561316E-2</v>
      </c>
      <c r="R823" s="35">
        <f t="shared" si="10154"/>
        <v>1.5839702059975948E-2</v>
      </c>
      <c r="S823" s="35">
        <f t="shared" si="10154"/>
        <v>1.9694444565316716E-2</v>
      </c>
      <c r="T823" s="37">
        <f t="shared" si="10154"/>
        <v>2.100964265456608E-2</v>
      </c>
      <c r="U823" s="35">
        <f t="shared" si="10154"/>
        <v>2.1531622965351559E-2</v>
      </c>
      <c r="V823" s="35">
        <f t="shared" si="10154"/>
        <v>2.0982139029179493E-2</v>
      </c>
      <c r="W823" s="35">
        <f t="shared" si="10154"/>
        <v>1.9583808896104941E-2</v>
      </c>
      <c r="X823" s="35">
        <f t="shared" si="10154"/>
        <v>1.8819579077808648E-2</v>
      </c>
      <c r="Y823" s="37">
        <f t="shared" si="10154"/>
        <v>1.7804806277587053E-2</v>
      </c>
      <c r="Z823" s="37">
        <f t="shared" si="10154"/>
        <v>1.568125450036003E-2</v>
      </c>
      <c r="AA823" s="37">
        <f t="shared" si="10154"/>
        <v>1.5136397926654175E-2</v>
      </c>
      <c r="AB823" s="37">
        <f t="shared" si="10154"/>
        <v>1.4125792590263586E-2</v>
      </c>
      <c r="AC823" s="37">
        <f t="shared" si="10154"/>
        <v>1.2732894119170566E-2</v>
      </c>
      <c r="AD823" s="37">
        <f t="shared" ref="AD823:AE823" si="10155">(AD121+AD120)/(AD613-AD612)</f>
        <v>1.1857626060871894E-2</v>
      </c>
      <c r="AE823" s="37">
        <f t="shared" si="10155"/>
        <v>1.1485313837558721E-2</v>
      </c>
      <c r="AF823" s="37">
        <f t="shared" si="10154"/>
        <v>1.2264139655646888E-2</v>
      </c>
      <c r="AG823" s="37">
        <f t="shared" ref="AG823:AH823" si="10156">(AG121+AG120)/(AG613-AG612)</f>
        <v>1.1882408751452279E-2</v>
      </c>
      <c r="AH823" s="37">
        <f t="shared" si="10156"/>
        <v>1.1860424974181487E-2</v>
      </c>
      <c r="AI823" s="37">
        <f t="shared" ref="AI823:AJ823" si="10157">(AI121+AI120)/(AI613-AI612)</f>
        <v>1.1275583818735639E-2</v>
      </c>
      <c r="AJ823" s="37">
        <f t="shared" si="10157"/>
        <v>1.0486491532048701E-2</v>
      </c>
      <c r="AK823" s="37">
        <f t="shared" ref="AK823:AL823" si="10158">(AK121+AK120)/(AK613-AK612)</f>
        <v>1.0199063925588009E-2</v>
      </c>
      <c r="AL823" s="37">
        <f t="shared" si="10158"/>
        <v>1.2355183301835189E-2</v>
      </c>
      <c r="AM823" s="37">
        <f t="shared" ref="AM823:AN823" si="10159">(AM121+AM120)/(AM613-AM612)</f>
        <v>1.1700446236589166E-2</v>
      </c>
      <c r="AN823" s="37">
        <f t="shared" si="10159"/>
        <v>1.4492340614046223E-2</v>
      </c>
      <c r="AO823" s="37">
        <f t="shared" ref="AO823" si="10160">(AO121+AO120)/(AO613-AO612)</f>
        <v>1.6384427156097846E-2</v>
      </c>
      <c r="AP823" s="37">
        <f t="shared" ref="AP823:AQ823" si="10161">(AP121+AP120)/(AP613-AP612)</f>
        <v>1.4900749425206663E-2</v>
      </c>
      <c r="AQ823" s="37">
        <f t="shared" si="10161"/>
        <v>1.4254097834147937E-2</v>
      </c>
      <c r="AR823" s="37">
        <f t="shared" ref="AR823:AS823" si="10162">(AR121+AR120)/(AR613-AR612)</f>
        <v>1.2593996278851088E-2</v>
      </c>
      <c r="AS823" s="37">
        <f t="shared" si="10162"/>
        <v>1.2227285626053717E-2</v>
      </c>
      <c r="AT823" s="37">
        <f t="shared" ref="AT823:AU823" si="10163">(AT121+AT120)/(AT613-AT612)</f>
        <v>1.2919425185494101E-2</v>
      </c>
      <c r="AU823" s="37">
        <f t="shared" si="10163"/>
        <v>1.2628888869788937E-2</v>
      </c>
      <c r="AV823" s="37">
        <f t="shared" ref="AV823:AW823" si="10164">(AV121+AV120)/(AV613-AV612)</f>
        <v>1.2544231977890468E-2</v>
      </c>
      <c r="AW823" s="37">
        <f t="shared" si="10164"/>
        <v>1.2611265694865512E-2</v>
      </c>
      <c r="AX823" s="37">
        <f t="shared" ref="AX823" si="10165">(AX121+AX120)/(AX613-AX612)</f>
        <v>1.2283082196672141E-2</v>
      </c>
      <c r="AY823" s="36">
        <f t="shared" ref="AY823" si="10166">(AY121+AY120)/(AY613-AY612)</f>
        <v>1.2928083813378862E-2</v>
      </c>
      <c r="AZ823" s="35">
        <f t="shared" ref="AZ823:BA823" si="10167">(AZ121+AZ120)/(AZ613-AZ612)</f>
        <v>1.2821917056686005E-2</v>
      </c>
      <c r="BA823" s="35">
        <f t="shared" si="10167"/>
        <v>1.3017627157048841E-2</v>
      </c>
      <c r="BB823" s="35">
        <f t="shared" ref="BB823:BC823" si="10168">(BB121+BB120)/(BB613-BB612)</f>
        <v>1.3206025919535971E-2</v>
      </c>
      <c r="BC823" s="35">
        <f t="shared" si="10168"/>
        <v>1.3432826199524104E-2</v>
      </c>
      <c r="BD823" s="35">
        <f t="shared" ref="BD823:BE823" si="10169">(BD121+BD120)/(BD613-BD612)</f>
        <v>1.3735923308912558E-2</v>
      </c>
      <c r="BE823" s="35">
        <f t="shared" si="10169"/>
        <v>1.4049621125006774E-2</v>
      </c>
      <c r="BF823" s="35">
        <f t="shared" ref="BF823:BG823" si="10170">(BF121+BF120)/(BF613-BF612)</f>
        <v>1.4433972390036165E-2</v>
      </c>
      <c r="BG823" s="35">
        <f t="shared" si="10170"/>
        <v>1.4878853073455345E-2</v>
      </c>
      <c r="BH823" s="35">
        <f t="shared" ref="BH823:BI823" si="10171">(BH121+BH120)/(BH613-BH612)</f>
        <v>1.5291177964435737E-2</v>
      </c>
      <c r="BI823" s="35">
        <f t="shared" si="10171"/>
        <v>1.56942646141142E-2</v>
      </c>
      <c r="BJ823" s="35">
        <f t="shared" ref="BJ823:BK823" si="10172">(BJ121+BJ120)/(BJ613-BJ612)</f>
        <v>1.5611389790519599E-2</v>
      </c>
      <c r="BK823" s="35">
        <f t="shared" si="10172"/>
        <v>1.5523646354497654E-2</v>
      </c>
      <c r="BL823" s="35">
        <f t="shared" ref="BL823:BM823" si="10173">(BL121+BL120)/(BL613-BL612)</f>
        <v>1.5436189409433617E-2</v>
      </c>
      <c r="BM823" s="35">
        <f t="shared" si="10173"/>
        <v>1.5349012905658129E-2</v>
      </c>
      <c r="BN823" s="35">
        <f t="shared" ref="BN823:BO823" si="10174">(BN121+BN120)/(BN613-BN612)</f>
        <v>1.5265345521402802E-2</v>
      </c>
      <c r="BO823" s="35">
        <f t="shared" si="10174"/>
        <v>1.5181733647114726E-2</v>
      </c>
      <c r="BP823" s="35">
        <f t="shared" ref="BP823:BQ823" si="10175">(BP121+BP120)/(BP613-BP612)</f>
        <v>1.5100639107987668E-2</v>
      </c>
      <c r="BQ823" s="35">
        <f t="shared" si="10175"/>
        <v>1.5019521627252208E-2</v>
      </c>
      <c r="BR823" s="35"/>
      <c r="BS823" s="345">
        <f t="shared" ref="BS823:CY823" si="10176">(BS121+BS120)/(BS613-BS612)</f>
        <v>4.1347561836755427E-2</v>
      </c>
      <c r="BT823" s="345">
        <f t="shared" si="10176"/>
        <v>3.4996096799375494E-2</v>
      </c>
      <c r="BU823" s="345">
        <f t="shared" si="10176"/>
        <v>2.1729122548568271E-2</v>
      </c>
      <c r="BV823" s="345">
        <f t="shared" si="10176"/>
        <v>1.6611295681063124E-2</v>
      </c>
      <c r="BW823" s="345">
        <f t="shared" si="10176"/>
        <v>1.3024369900659773E-2</v>
      </c>
      <c r="BX823" s="345">
        <f t="shared" si="10176"/>
        <v>1.773954986952057E-2</v>
      </c>
      <c r="BY823" s="345">
        <f t="shared" si="10176"/>
        <v>1.9122105843439912E-2</v>
      </c>
      <c r="BZ823" s="345">
        <f t="shared" si="10176"/>
        <v>1.9502359429670359E-2</v>
      </c>
      <c r="CA823" s="345">
        <f t="shared" si="10176"/>
        <v>1.6053914009006229E-2</v>
      </c>
      <c r="CB823" s="345">
        <f t="shared" si="10176"/>
        <v>1.3555764793824436E-2</v>
      </c>
      <c r="CC823" s="35">
        <f t="shared" si="10176"/>
        <v>1.4718155456538652E-2</v>
      </c>
      <c r="CD823" s="35">
        <f t="shared" si="10176"/>
        <v>1.3320747493283517E-2</v>
      </c>
      <c r="CE823" s="35">
        <f t="shared" si="10176"/>
        <v>1.2142645420444208E-2</v>
      </c>
      <c r="CF823" s="35">
        <f t="shared" si="10176"/>
        <v>1.1188400746504771E-2</v>
      </c>
      <c r="CG823" s="35">
        <f t="shared" si="10176"/>
        <v>9.3316508973224944E-3</v>
      </c>
      <c r="CH823" s="35">
        <f t="shared" si="10176"/>
        <v>8.2835599532722261E-3</v>
      </c>
      <c r="CI823" s="35">
        <f t="shared" si="10176"/>
        <v>1.3942173479561316E-2</v>
      </c>
      <c r="CJ823" s="35">
        <f t="shared" si="10176"/>
        <v>1.9694444565316716E-2</v>
      </c>
      <c r="CK823" s="35">
        <f t="shared" si="10176"/>
        <v>2.1531622965351559E-2</v>
      </c>
      <c r="CL823" s="35">
        <f t="shared" si="10176"/>
        <v>1.9583808896104941E-2</v>
      </c>
      <c r="CM823" s="35">
        <f t="shared" si="10176"/>
        <v>1.7804806277587053E-2</v>
      </c>
      <c r="CN823" s="37">
        <f t="shared" si="10176"/>
        <v>1.5136397926654175E-2</v>
      </c>
      <c r="CO823" s="37">
        <f t="shared" si="10176"/>
        <v>1.2732894119170566E-2</v>
      </c>
      <c r="CP823" s="37">
        <f t="shared" si="10176"/>
        <v>1.1485313837558721E-2</v>
      </c>
      <c r="CQ823" s="37">
        <f t="shared" si="10176"/>
        <v>1.1882408751452279E-2</v>
      </c>
      <c r="CR823" s="37">
        <f t="shared" si="10176"/>
        <v>1.1275583818735639E-2</v>
      </c>
      <c r="CS823" s="37">
        <f t="shared" si="10176"/>
        <v>1.0199063925588009E-2</v>
      </c>
      <c r="CT823" s="37">
        <f t="shared" si="10176"/>
        <v>1.1700446236589166E-2</v>
      </c>
      <c r="CU823" s="37">
        <f t="shared" si="10176"/>
        <v>1.6384427156097846E-2</v>
      </c>
      <c r="CV823" s="37">
        <f t="shared" si="10176"/>
        <v>1.4254097834147937E-2</v>
      </c>
      <c r="CW823" s="37">
        <f t="shared" si="10176"/>
        <v>1.2227285626053717E-2</v>
      </c>
      <c r="CX823" s="37">
        <f t="shared" si="10176"/>
        <v>1.2628888869788937E-2</v>
      </c>
      <c r="CY823" s="37">
        <f t="shared" si="10176"/>
        <v>1.2611265694865512E-2</v>
      </c>
      <c r="CZ823" s="36">
        <f t="shared" ref="CZ823" si="10177">(CZ121+CZ120)/(CZ613-CZ612)</f>
        <v>1.2928083813378862E-2</v>
      </c>
      <c r="DA823" s="35">
        <f t="shared" ref="DA823:DF823" si="10178">(DA121+DA120)/(DA613-DA612)</f>
        <v>1.3017627157048841E-2</v>
      </c>
      <c r="DB823" s="35">
        <f t="shared" si="10178"/>
        <v>1.3432826199524104E-2</v>
      </c>
      <c r="DC823" s="35">
        <f t="shared" si="10178"/>
        <v>1.4049621125006774E-2</v>
      </c>
      <c r="DD823" s="35">
        <f t="shared" si="10178"/>
        <v>1.4878853073455345E-2</v>
      </c>
      <c r="DE823" s="35">
        <f t="shared" si="10178"/>
        <v>1.56942646141142E-2</v>
      </c>
      <c r="DF823" s="35">
        <f t="shared" si="10178"/>
        <v>1.5523646354497654E-2</v>
      </c>
      <c r="DG823" s="35">
        <f t="shared" ref="DG823" si="10179">(DG121+DG120)/(DG613-DG612)</f>
        <v>1.5349012905658129E-2</v>
      </c>
      <c r="DH823" s="35">
        <f>(DH121+DH120)/(DH613-DH612)</f>
        <v>1.5181733647114726E-2</v>
      </c>
      <c r="DI823" s="35">
        <f>(DI121+DI120)/(DI613-DI612)</f>
        <v>1.5019521627252208E-2</v>
      </c>
    </row>
    <row r="824" spans="1:113" ht="12" outlineLevel="1">
      <c r="A824" s="1" t="s">
        <v>831</v>
      </c>
      <c r="B824" s="15" t="s">
        <v>373</v>
      </c>
      <c r="C824" s="345">
        <f t="shared" ref="C824:AF824" si="10180">(C121+C120)/(C613)</f>
        <v>1.3555764793824436E-2</v>
      </c>
      <c r="D824" s="345">
        <f t="shared" si="10180"/>
        <v>1.5765998611705977E-2</v>
      </c>
      <c r="E824" s="345">
        <f t="shared" si="10180"/>
        <v>1.4718155456538652E-2</v>
      </c>
      <c r="F824" s="345">
        <f t="shared" si="10180"/>
        <v>1.4050860346022624E-2</v>
      </c>
      <c r="G824" s="345">
        <f t="shared" si="10180"/>
        <v>1.3262006782156095E-2</v>
      </c>
      <c r="H824" s="345">
        <f t="shared" si="10180"/>
        <v>1.2070456657552495E-2</v>
      </c>
      <c r="I824" s="345">
        <f t="shared" si="10180"/>
        <v>1.2081519749420332E-2</v>
      </c>
      <c r="J824" s="345">
        <f t="shared" si="10180"/>
        <v>1.1459307764265668E-2</v>
      </c>
      <c r="K824" s="345">
        <f t="shared" si="10180"/>
        <v>1.1112477399315946E-2</v>
      </c>
      <c r="L824" s="345">
        <f t="shared" si="10180"/>
        <v>9.6205121979770474E-3</v>
      </c>
      <c r="M824" s="35">
        <f t="shared" si="10180"/>
        <v>9.2665442783460093E-3</v>
      </c>
      <c r="N824" s="35">
        <f t="shared" si="10180"/>
        <v>9.2540471485318479E-3</v>
      </c>
      <c r="O824" s="35">
        <f t="shared" si="10180"/>
        <v>8.2249161873041033E-3</v>
      </c>
      <c r="P824" s="35">
        <f t="shared" si="10180"/>
        <v>9.9294916369454846E-3</v>
      </c>
      <c r="Q824" s="35">
        <f t="shared" si="10180"/>
        <v>1.2692695890848624E-2</v>
      </c>
      <c r="R824" s="35">
        <f t="shared" si="10180"/>
        <v>1.4536353344108913E-2</v>
      </c>
      <c r="S824" s="35">
        <f t="shared" si="10180"/>
        <v>1.7955401100492326E-2</v>
      </c>
      <c r="T824" s="37">
        <f t="shared" si="10180"/>
        <v>1.8597290338647418E-2</v>
      </c>
      <c r="U824" s="35">
        <f t="shared" si="10180"/>
        <v>1.9028012200937021E-2</v>
      </c>
      <c r="V824" s="35">
        <f t="shared" si="10180"/>
        <v>1.8521321848650449E-2</v>
      </c>
      <c r="W824" s="35">
        <f t="shared" si="10180"/>
        <v>1.7405809318340931E-2</v>
      </c>
      <c r="X824" s="35">
        <f t="shared" si="10180"/>
        <v>1.6528809560589251E-2</v>
      </c>
      <c r="Y824" s="37">
        <f t="shared" si="10180"/>
        <v>1.5120668801375454E-2</v>
      </c>
      <c r="Z824" s="37">
        <f t="shared" si="10180"/>
        <v>1.3367143857995796E-2</v>
      </c>
      <c r="AA824" s="37">
        <f t="shared" si="10180"/>
        <v>1.2833625631880683E-2</v>
      </c>
      <c r="AB824" s="37">
        <f t="shared" si="10180"/>
        <v>1.1955979375727671E-2</v>
      </c>
      <c r="AC824" s="37">
        <f t="shared" si="10180"/>
        <v>1.0878795338686523E-2</v>
      </c>
      <c r="AD824" s="37">
        <f t="shared" ref="AD824:AE824" si="10181">(AD121+AD120)/(AD613)</f>
        <v>1.0411954619594016E-2</v>
      </c>
      <c r="AE824" s="37">
        <f t="shared" si="10181"/>
        <v>9.9941035535419734E-3</v>
      </c>
      <c r="AF824" s="37">
        <f t="shared" si="10180"/>
        <v>1.0557894601310723E-2</v>
      </c>
      <c r="AG824" s="37">
        <f t="shared" ref="AG824:AH824" si="10182">(AG121+AG120)/(AG613)</f>
        <v>1.0237846992770118E-2</v>
      </c>
      <c r="AH824" s="37">
        <f t="shared" si="10182"/>
        <v>1.0210558130163208E-2</v>
      </c>
      <c r="AI824" s="37">
        <f t="shared" ref="AI824:AJ824" si="10183">(AI121+AI120)/(AI613)</f>
        <v>9.7107485560439053E-3</v>
      </c>
      <c r="AJ824" s="37">
        <f t="shared" si="10183"/>
        <v>9.0833979741116837E-3</v>
      </c>
      <c r="AK824" s="37">
        <f t="shared" ref="AK824:AL824" si="10184">(AK121+AK120)/(AK613)</f>
        <v>8.8096822066424437E-3</v>
      </c>
      <c r="AL824" s="37">
        <f t="shared" si="10184"/>
        <v>1.0772386958068692E-2</v>
      </c>
      <c r="AM824" s="37">
        <f t="shared" ref="AM824:AN824" si="10185">(AM121+AM120)/(AM613)</f>
        <v>1.0048901456011474E-2</v>
      </c>
      <c r="AN824" s="37">
        <f t="shared" si="10185"/>
        <v>1.2458464361754252E-2</v>
      </c>
      <c r="AO824" s="37">
        <f t="shared" ref="AO824" si="10186">(AO121+AO120)/(AO613)</f>
        <v>1.3738285543942019E-2</v>
      </c>
      <c r="AP824" s="37">
        <f t="shared" ref="AP824:AQ824" si="10187">(AP121+AP120)/(AP613)</f>
        <v>1.2480216382550237E-2</v>
      </c>
      <c r="AQ824" s="37">
        <f t="shared" si="10187"/>
        <v>1.1733151319679105E-2</v>
      </c>
      <c r="AR824" s="37">
        <f t="shared" ref="AR824:AS824" si="10188">(AR121+AR120)/(AR613)</f>
        <v>1.0031741682080793E-2</v>
      </c>
      <c r="AS824" s="37">
        <f t="shared" si="10188"/>
        <v>9.6653310403370888E-3</v>
      </c>
      <c r="AT824" s="37">
        <f t="shared" ref="AT824:AU824" si="10189">(AT121+AT120)/(AT613)</f>
        <v>1.0243069109144597E-2</v>
      </c>
      <c r="AU824" s="37">
        <f t="shared" si="10189"/>
        <v>1.0172456366669974E-2</v>
      </c>
      <c r="AV824" s="37">
        <f t="shared" ref="AV824:AW824" si="10190">(AV121+AV120)/(AV613)</f>
        <v>1.0099843106989942E-2</v>
      </c>
      <c r="AW824" s="37">
        <f t="shared" si="10190"/>
        <v>1.0199694568970536E-2</v>
      </c>
      <c r="AX824" s="37">
        <f t="shared" ref="AX824" si="10191">(AX121+AX120)/(AX613)</f>
        <v>9.901940089424497E-3</v>
      </c>
      <c r="AY824" s="36">
        <f t="shared" ref="AY824" si="10192">(AY121+AY120)/(AY613)</f>
        <v>1.0419869718916491E-2</v>
      </c>
      <c r="AZ824" s="35">
        <f t="shared" ref="AZ824:BA824" si="10193">(AZ121+AZ120)/(AZ613)</f>
        <v>1.0422391065440727E-2</v>
      </c>
      <c r="BA824" s="35">
        <f t="shared" si="10193"/>
        <v>1.0617404075321269E-2</v>
      </c>
      <c r="BB824" s="35">
        <f t="shared" ref="BB824:BC824" si="10194">(BB121+BB120)/(BB613)</f>
        <v>1.0804400458898092E-2</v>
      </c>
      <c r="BC824" s="35">
        <f t="shared" si="10194"/>
        <v>1.1025665716675914E-2</v>
      </c>
      <c r="BD824" s="35">
        <f t="shared" ref="BD824:BE824" si="10195">(BD121+BD120)/(BD613)</f>
        <v>1.1309015338793407E-2</v>
      </c>
      <c r="BE824" s="35">
        <f t="shared" si="10195"/>
        <v>1.1598924777647603E-2</v>
      </c>
      <c r="BF824" s="35">
        <f t="shared" ref="BF824:BG824" si="10196">(BF121+BF120)/(BF613)</f>
        <v>1.1945336238592889E-2</v>
      </c>
      <c r="BG824" s="35">
        <f t="shared" si="10196"/>
        <v>1.2342887773214335E-2</v>
      </c>
      <c r="BH824" s="35">
        <f t="shared" ref="BH824:BI824" si="10197">(BH121+BH120)/(BH613)</f>
        <v>1.2728628215368786E-2</v>
      </c>
      <c r="BI824" s="35">
        <f t="shared" si="10197"/>
        <v>1.3107294698988923E-2</v>
      </c>
      <c r="BJ824" s="35">
        <f t="shared" ref="BJ824:BK824" si="10198">(BJ121+BJ120)/(BJ613)</f>
        <v>1.3084261723545149E-2</v>
      </c>
      <c r="BK824" s="35">
        <f t="shared" si="10198"/>
        <v>1.3052396874039541E-2</v>
      </c>
      <c r="BL824" s="35">
        <f t="shared" ref="BL824:BM824" si="10199">(BL121+BL120)/(BL613)</f>
        <v>1.3019837711562992E-2</v>
      </c>
      <c r="BM824" s="35">
        <f t="shared" si="10199"/>
        <v>1.2986587017436357E-2</v>
      </c>
      <c r="BN824" s="35">
        <f t="shared" ref="BN824:BO824" si="10200">(BN121+BN120)/(BN613)</f>
        <v>1.2958902653373933E-2</v>
      </c>
      <c r="BO824" s="35">
        <f t="shared" si="10200"/>
        <v>1.2930152883571168E-2</v>
      </c>
      <c r="BP824" s="35">
        <f t="shared" ref="BP824:BQ824" si="10201">(BP121+BP120)/(BP613)</f>
        <v>1.290514484691286E-2</v>
      </c>
      <c r="BQ824" s="35">
        <f t="shared" si="10201"/>
        <v>1.2878984054574504E-2</v>
      </c>
      <c r="BR824" s="35"/>
      <c r="BS824" s="345">
        <f t="shared" ref="BS824:CY824" si="10202">(BS121+BS120)/(BS613)</f>
        <v>4.1347561836755427E-2</v>
      </c>
      <c r="BT824" s="345">
        <f t="shared" si="10202"/>
        <v>3.4996096799375494E-2</v>
      </c>
      <c r="BU824" s="345">
        <f t="shared" si="10202"/>
        <v>2.1729122548568271E-2</v>
      </c>
      <c r="BV824" s="345">
        <f t="shared" si="10202"/>
        <v>1.6611295681063124E-2</v>
      </c>
      <c r="BW824" s="345">
        <f t="shared" si="10202"/>
        <v>1.3024369900659773E-2</v>
      </c>
      <c r="BX824" s="345">
        <f t="shared" si="10202"/>
        <v>1.773954986952057E-2</v>
      </c>
      <c r="BY824" s="345">
        <f t="shared" si="10202"/>
        <v>1.9122105843439912E-2</v>
      </c>
      <c r="BZ824" s="345">
        <f t="shared" si="10202"/>
        <v>1.9502359429670359E-2</v>
      </c>
      <c r="CA824" s="345">
        <f t="shared" si="10202"/>
        <v>1.6053914009006229E-2</v>
      </c>
      <c r="CB824" s="345">
        <f t="shared" si="10202"/>
        <v>1.3555764793824436E-2</v>
      </c>
      <c r="CC824" s="35">
        <f t="shared" si="10202"/>
        <v>1.4718155456538652E-2</v>
      </c>
      <c r="CD824" s="35">
        <f t="shared" si="10202"/>
        <v>1.3320747493283517E-2</v>
      </c>
      <c r="CE824" s="35">
        <f t="shared" si="10202"/>
        <v>1.2142645420444208E-2</v>
      </c>
      <c r="CF824" s="35">
        <f t="shared" si="10202"/>
        <v>1.1188400746504771E-2</v>
      </c>
      <c r="CG824" s="35">
        <f t="shared" si="10202"/>
        <v>9.3316508973224944E-3</v>
      </c>
      <c r="CH824" s="35">
        <f t="shared" si="10202"/>
        <v>8.2835599532722261E-3</v>
      </c>
      <c r="CI824" s="35">
        <f t="shared" si="10202"/>
        <v>1.3942173479561316E-2</v>
      </c>
      <c r="CJ824" s="35">
        <f t="shared" si="10202"/>
        <v>1.9694444565316716E-2</v>
      </c>
      <c r="CK824" s="35">
        <f t="shared" si="10202"/>
        <v>2.1531622965351559E-2</v>
      </c>
      <c r="CL824" s="35">
        <f t="shared" si="10202"/>
        <v>1.9583808896104941E-2</v>
      </c>
      <c r="CM824" s="35">
        <f t="shared" si="10202"/>
        <v>1.7804806277587053E-2</v>
      </c>
      <c r="CN824" s="37">
        <f t="shared" si="10202"/>
        <v>1.5136397926654175E-2</v>
      </c>
      <c r="CO824" s="37">
        <f t="shared" si="10202"/>
        <v>1.2732894119170566E-2</v>
      </c>
      <c r="CP824" s="37">
        <f t="shared" si="10202"/>
        <v>1.1485313837558721E-2</v>
      </c>
      <c r="CQ824" s="37">
        <f t="shared" si="10202"/>
        <v>1.1882408751452279E-2</v>
      </c>
      <c r="CR824" s="37">
        <f t="shared" si="10202"/>
        <v>1.1275583818735639E-2</v>
      </c>
      <c r="CS824" s="37">
        <f t="shared" si="10202"/>
        <v>1.0199063925588009E-2</v>
      </c>
      <c r="CT824" s="37">
        <f t="shared" si="10202"/>
        <v>1.0048901456011474E-2</v>
      </c>
      <c r="CU824" s="37">
        <f t="shared" si="10202"/>
        <v>1.3738285543942019E-2</v>
      </c>
      <c r="CV824" s="37">
        <f t="shared" si="10202"/>
        <v>1.1733151319679105E-2</v>
      </c>
      <c r="CW824" s="37">
        <f t="shared" si="10202"/>
        <v>9.6653310403370888E-3</v>
      </c>
      <c r="CX824" s="37">
        <f t="shared" si="10202"/>
        <v>1.0172456366669974E-2</v>
      </c>
      <c r="CY824" s="37">
        <f t="shared" si="10202"/>
        <v>1.0199694568970536E-2</v>
      </c>
      <c r="CZ824" s="36">
        <f t="shared" ref="CZ824" si="10203">(CZ121+CZ120)/(CZ613)</f>
        <v>1.0419869718916491E-2</v>
      </c>
      <c r="DA824" s="35">
        <f t="shared" ref="DA824:DF824" si="10204">(DA121+DA120)/(DA613)</f>
        <v>1.0617404075321269E-2</v>
      </c>
      <c r="DB824" s="35">
        <f t="shared" si="10204"/>
        <v>1.1025665716675914E-2</v>
      </c>
      <c r="DC824" s="35">
        <f t="shared" si="10204"/>
        <v>1.1598924777647603E-2</v>
      </c>
      <c r="DD824" s="35">
        <f t="shared" si="10204"/>
        <v>1.2342887773214335E-2</v>
      </c>
      <c r="DE824" s="35">
        <f t="shared" si="10204"/>
        <v>1.3107294698988923E-2</v>
      </c>
      <c r="DF824" s="35">
        <f t="shared" si="10204"/>
        <v>1.3052396874039541E-2</v>
      </c>
      <c r="DG824" s="35">
        <f t="shared" ref="DG824" si="10205">(DG121+DG120)/(DG613)</f>
        <v>1.2986587017436357E-2</v>
      </c>
      <c r="DH824" s="35">
        <f>(DH121+DH120)/(DH613)</f>
        <v>1.2930152883571168E-2</v>
      </c>
      <c r="DI824" s="35">
        <f>(DI121+DI120)/(DI613)</f>
        <v>1.2878984054574504E-2</v>
      </c>
    </row>
    <row r="825" spans="1:113" ht="12" outlineLevel="1">
      <c r="A825" s="1" t="s">
        <v>2207</v>
      </c>
      <c r="B825" s="15" t="s">
        <v>2204</v>
      </c>
      <c r="C825" s="189">
        <f t="shared" ref="C825:AF825" si="10206">(C121+C120+C123)/(C181-C176)</f>
        <v>2.1595996839610217E-2</v>
      </c>
      <c r="D825" s="189">
        <f t="shared" si="10206"/>
        <v>2.4963169094778196E-2</v>
      </c>
      <c r="E825" s="189">
        <f t="shared" si="10206"/>
        <v>2.4017542847250273E-2</v>
      </c>
      <c r="F825" s="189">
        <f t="shared" si="10206"/>
        <v>2.3021709648610209E-2</v>
      </c>
      <c r="G825" s="189">
        <f t="shared" si="10206"/>
        <v>2.1799483639584751E-2</v>
      </c>
      <c r="H825" s="189">
        <f t="shared" si="10206"/>
        <v>2.0528984514183911E-2</v>
      </c>
      <c r="I825" s="189">
        <f t="shared" si="10206"/>
        <v>2.1475636541120963E-2</v>
      </c>
      <c r="J825" s="189">
        <f t="shared" si="10206"/>
        <v>2.0494916816757861E-2</v>
      </c>
      <c r="K825" s="189">
        <f t="shared" si="10206"/>
        <v>1.9788169269946313E-2</v>
      </c>
      <c r="L825" s="189">
        <f t="shared" si="10206"/>
        <v>1.748138811202584E-2</v>
      </c>
      <c r="M825" s="189">
        <f t="shared" si="10206"/>
        <v>1.6786064399366564E-2</v>
      </c>
      <c r="N825" s="189">
        <f t="shared" si="10206"/>
        <v>1.6903668052213227E-2</v>
      </c>
      <c r="O825" s="189">
        <f t="shared" si="10206"/>
        <v>1.508E-2</v>
      </c>
      <c r="P825" s="189">
        <f t="shared" si="10206"/>
        <v>1.5597930455311576E-2</v>
      </c>
      <c r="Q825" s="189">
        <f t="shared" si="10206"/>
        <v>1.9474044819269055E-2</v>
      </c>
      <c r="R825" s="189">
        <f t="shared" si="10206"/>
        <v>2.2946839540726002E-2</v>
      </c>
      <c r="S825" s="189">
        <f t="shared" si="10206"/>
        <v>2.7594700549333301E-2</v>
      </c>
      <c r="T825" s="189">
        <f t="shared" si="10206"/>
        <v>2.8674234682818375E-2</v>
      </c>
      <c r="U825" s="189">
        <f t="shared" si="10206"/>
        <v>3.0031536697247705E-2</v>
      </c>
      <c r="V825" s="189">
        <f t="shared" si="10206"/>
        <v>2.7483265196100455E-2</v>
      </c>
      <c r="W825" s="189">
        <f t="shared" si="10206"/>
        <v>2.5867239960718741E-2</v>
      </c>
      <c r="X825" s="189">
        <f t="shared" si="10206"/>
        <v>2.4220474223303718E-2</v>
      </c>
      <c r="Y825" s="189">
        <f t="shared" si="10206"/>
        <v>2.2454341684026144E-2</v>
      </c>
      <c r="Z825" s="189">
        <f t="shared" si="10206"/>
        <v>1.9549881213616001E-2</v>
      </c>
      <c r="AA825" s="189">
        <f t="shared" si="10206"/>
        <v>1.8578889875059738E-2</v>
      </c>
      <c r="AB825" s="189">
        <f t="shared" si="10206"/>
        <v>1.7337160130561316E-2</v>
      </c>
      <c r="AC825" s="189">
        <f t="shared" si="10206"/>
        <v>1.5475356684740267E-2</v>
      </c>
      <c r="AD825" s="189">
        <f t="shared" ref="AD825:AE825" si="10207">(AD121+AD120+AD123)/(AD181-AD176)</f>
        <v>1.4732453092425296E-2</v>
      </c>
      <c r="AE825" s="189">
        <f t="shared" si="10207"/>
        <v>1.4699586128157556E-2</v>
      </c>
      <c r="AF825" s="189">
        <f t="shared" si="10206"/>
        <v>1.6260162601626018E-2</v>
      </c>
      <c r="AG825" s="189">
        <f t="shared" ref="AG825:AH825" si="10208">(AG121+AG120+AG123)/(AG181-AG176)</f>
        <v>1.6316198009915319E-2</v>
      </c>
      <c r="AH825" s="189">
        <f t="shared" si="10208"/>
        <v>1.6283609546838475E-2</v>
      </c>
      <c r="AI825" s="189">
        <f t="shared" ref="AI825:AJ825" si="10209">(AI121+AI120+AI123)/(AI181-AI176)</f>
        <v>1.5430556401974526E-2</v>
      </c>
      <c r="AJ825" s="189">
        <f t="shared" si="10209"/>
        <v>1.4389900251372944E-2</v>
      </c>
      <c r="AK825" s="189">
        <f t="shared" ref="AK825:AL825" si="10210">(AK121+AK120+AK123)/(AK181-AK176)</f>
        <v>1.3158347314634696E-2</v>
      </c>
      <c r="AL825" s="189">
        <f t="shared" si="10210"/>
        <v>1.6150694415544616E-2</v>
      </c>
      <c r="AM825" s="189">
        <f t="shared" ref="AM825:AN825" si="10211">(AM121+AM120+AM123)/(AM181-AM176)</f>
        <v>1.5264839500595657E-2</v>
      </c>
      <c r="AN825" s="189">
        <f t="shared" si="10211"/>
        <v>1.7966745141366872E-2</v>
      </c>
      <c r="AO825" s="189">
        <f t="shared" ref="AO825" si="10212">(AO121+AO120+AO123)/(AO181-AO176)</f>
        <v>2.2436311909996121E-2</v>
      </c>
      <c r="AP825" s="189">
        <f t="shared" ref="AP825:AQ825" si="10213">(AP121+AP120+AP123)/(AP181-AP176)</f>
        <v>2.0450439600144525E-2</v>
      </c>
      <c r="AQ825" s="189">
        <f t="shared" si="10213"/>
        <v>1.8763067273398108E-2</v>
      </c>
      <c r="AR825" s="189">
        <f t="shared" ref="AR825:AS825" si="10214">(AR121+AR120+AR123)/(AR181-AR176)</f>
        <v>1.5699322066606868E-2</v>
      </c>
      <c r="AS825" s="189">
        <f t="shared" si="10214"/>
        <v>1.4698996655518395E-2</v>
      </c>
      <c r="AT825" s="189">
        <f t="shared" ref="AT825:AU825" si="10215">(AT121+AT120+AT123)/(AT181-AT176)</f>
        <v>1.4865292657325181E-2</v>
      </c>
      <c r="AU825" s="189">
        <f t="shared" si="10215"/>
        <v>1.4541184077271483E-2</v>
      </c>
      <c r="AV825" s="189">
        <f t="shared" ref="AV825:AW825" si="10216">(AV121+AV120+AV123)/(AV181-AV176)</f>
        <v>1.4542321115476875E-2</v>
      </c>
      <c r="AW825" s="189">
        <f t="shared" si="10216"/>
        <v>1.4288806421963668E-2</v>
      </c>
      <c r="AX825" s="189">
        <f t="shared" ref="AX825" si="10217">(AX121+AX120+AX123)/(AX181-AX176)</f>
        <v>1.4291473431215359E-2</v>
      </c>
      <c r="AY825" s="235">
        <f t="shared" ref="AY825" si="10218">(AY121+AY120+AY123)/(AY181-AY176)</f>
        <v>1.468012805938416E-2</v>
      </c>
      <c r="AZ825" s="189">
        <f t="shared" ref="AZ825:BA825" si="10219">(AZ121+AZ120+AZ123)/(AZ181-AZ176)</f>
        <v>1.5059307159730757E-2</v>
      </c>
      <c r="BA825" s="189">
        <f t="shared" si="10219"/>
        <v>1.5305404012307983E-2</v>
      </c>
      <c r="BB825" s="189">
        <f t="shared" ref="BB825:BC825" si="10220">(BB121+BB120+BB123)/(BB181-BB176)</f>
        <v>1.557311120976251E-2</v>
      </c>
      <c r="BC825" s="189">
        <f t="shared" si="10220"/>
        <v>1.593453318853455E-2</v>
      </c>
      <c r="BD825" s="189">
        <f t="shared" ref="BD825:BE825" si="10221">(BD121+BD120+BD123)/(BD181-BD176)</f>
        <v>1.6392953468786563E-2</v>
      </c>
      <c r="BE825" s="189">
        <f t="shared" si="10221"/>
        <v>1.6858424092782955E-2</v>
      </c>
      <c r="BF825" s="189">
        <f t="shared" ref="BF825:BG825" si="10222">(BF121+BF120+BF123)/(BF181-BF176)</f>
        <v>1.741739316940907E-2</v>
      </c>
      <c r="BG825" s="189">
        <f t="shared" si="10222"/>
        <v>1.8047328147825201E-2</v>
      </c>
      <c r="BH825" s="189">
        <f t="shared" ref="BH825:BI825" si="10223">(BH121+BH120+BH123)/(BH181-BH176)</f>
        <v>1.8569098605027506E-2</v>
      </c>
      <c r="BI825" s="189">
        <f t="shared" si="10223"/>
        <v>1.9067289934837008E-2</v>
      </c>
      <c r="BJ825" s="189">
        <f t="shared" ref="BJ825:BK825" si="10224">(BJ121+BJ120+BJ123)/(BJ181-BJ176)</f>
        <v>1.8966260807754622E-2</v>
      </c>
      <c r="BK825" s="189">
        <f t="shared" si="10224"/>
        <v>1.8883788547512836E-2</v>
      </c>
      <c r="BL825" s="189">
        <f t="shared" ref="BL825:BM825" si="10225">(BL121+BL120+BL123)/(BL181-BL176)</f>
        <v>1.8801071350167096E-2</v>
      </c>
      <c r="BM825" s="189">
        <f t="shared" si="10225"/>
        <v>1.8718111195180073E-2</v>
      </c>
      <c r="BN825" s="189">
        <f t="shared" ref="BN825:BO825" si="10226">(BN121+BN120+BN123)/(BN181-BN176)</f>
        <v>1.8621594408805651E-2</v>
      </c>
      <c r="BO825" s="189">
        <f t="shared" si="10226"/>
        <v>1.8525052494186199E-2</v>
      </c>
      <c r="BP825" s="189">
        <f t="shared" ref="BP825:BQ825" si="10227">(BP121+BP120+BP123)/(BP181-BP176)</f>
        <v>1.8417850932217289E-2</v>
      </c>
      <c r="BQ825" s="189">
        <f t="shared" si="10227"/>
        <v>1.8310429498334446E-2</v>
      </c>
      <c r="BS825" s="189">
        <f t="shared" ref="BS825:CY825" si="10228">(BS121+BS120+BS123)/(BS181-BS176)</f>
        <v>5.2995106336357609E-2</v>
      </c>
      <c r="BT825" s="189">
        <f t="shared" si="10228"/>
        <v>4.5424377985946104E-2</v>
      </c>
      <c r="BU825" s="189">
        <f t="shared" si="10228"/>
        <v>2.8829709259711702E-2</v>
      </c>
      <c r="BV825" s="189">
        <f t="shared" si="10228"/>
        <v>2.342749083643644E-2</v>
      </c>
      <c r="BW825" s="189">
        <f t="shared" si="10228"/>
        <v>1.8624534829955314E-2</v>
      </c>
      <c r="BX825" s="189">
        <f t="shared" si="10228"/>
        <v>2.6589881708119854E-2</v>
      </c>
      <c r="BY825" s="189">
        <f t="shared" si="10228"/>
        <v>2.7821959643015311E-2</v>
      </c>
      <c r="BZ825" s="189">
        <f t="shared" si="10228"/>
        <v>2.797899752054062E-2</v>
      </c>
      <c r="CA825" s="189">
        <f t="shared" si="10228"/>
        <v>2.4298018346054197E-2</v>
      </c>
      <c r="CB825" s="189">
        <f t="shared" si="10228"/>
        <v>2.1595996839610217E-2</v>
      </c>
      <c r="CC825" s="189">
        <f t="shared" si="10228"/>
        <v>2.4017542847250273E-2</v>
      </c>
      <c r="CD825" s="189">
        <f t="shared" si="10228"/>
        <v>2.1799483639584751E-2</v>
      </c>
      <c r="CE825" s="189">
        <f t="shared" si="10228"/>
        <v>2.1475636541120963E-2</v>
      </c>
      <c r="CF825" s="189">
        <f t="shared" si="10228"/>
        <v>1.9788169269946313E-2</v>
      </c>
      <c r="CG825" s="189">
        <f t="shared" si="10228"/>
        <v>1.6786064399366564E-2</v>
      </c>
      <c r="CH825" s="189">
        <f t="shared" si="10228"/>
        <v>1.508E-2</v>
      </c>
      <c r="CI825" s="189">
        <f t="shared" si="10228"/>
        <v>1.9474044819269055E-2</v>
      </c>
      <c r="CJ825" s="189">
        <f t="shared" si="10228"/>
        <v>2.7594700549333301E-2</v>
      </c>
      <c r="CK825" s="189">
        <f t="shared" si="10228"/>
        <v>3.0031536697247705E-2</v>
      </c>
      <c r="CL825" s="189">
        <f t="shared" si="10228"/>
        <v>2.5867239960718741E-2</v>
      </c>
      <c r="CM825" s="189">
        <f t="shared" si="10228"/>
        <v>2.2454341684026144E-2</v>
      </c>
      <c r="CN825" s="189">
        <f t="shared" si="10228"/>
        <v>1.8578889875059738E-2</v>
      </c>
      <c r="CO825" s="189">
        <f t="shared" si="10228"/>
        <v>1.5475356684740267E-2</v>
      </c>
      <c r="CP825" s="189">
        <f t="shared" si="10228"/>
        <v>1.4699586128157556E-2</v>
      </c>
      <c r="CQ825" s="189">
        <f t="shared" si="10228"/>
        <v>1.6316198009915319E-2</v>
      </c>
      <c r="CR825" s="189">
        <f t="shared" si="10228"/>
        <v>1.5430556401974526E-2</v>
      </c>
      <c r="CS825" s="189">
        <f t="shared" si="10228"/>
        <v>1.3158347314634696E-2</v>
      </c>
      <c r="CT825" s="189">
        <f t="shared" si="10228"/>
        <v>1.5264839500595657E-2</v>
      </c>
      <c r="CU825" s="189">
        <f t="shared" si="10228"/>
        <v>2.2436311909996121E-2</v>
      </c>
      <c r="CV825" s="189">
        <f t="shared" si="10228"/>
        <v>1.8763067273398108E-2</v>
      </c>
      <c r="CW825" s="189">
        <f t="shared" si="10228"/>
        <v>1.4698996655518395E-2</v>
      </c>
      <c r="CX825" s="189">
        <f t="shared" si="10228"/>
        <v>1.4541184077271483E-2</v>
      </c>
      <c r="CY825" s="189">
        <f t="shared" si="10228"/>
        <v>1.4288806421963668E-2</v>
      </c>
      <c r="CZ825" s="235">
        <f t="shared" ref="CZ825" si="10229">(CZ121+CZ120+CZ123)/(CZ181-CZ176)</f>
        <v>1.468012805938416E-2</v>
      </c>
      <c r="DA825" s="189">
        <f t="shared" ref="DA825:DF825" si="10230">(DA121+DA120+DA123)/(DA181-DA176)</f>
        <v>1.5305404012307983E-2</v>
      </c>
      <c r="DB825" s="189">
        <f t="shared" si="10230"/>
        <v>1.593453318853455E-2</v>
      </c>
      <c r="DC825" s="189">
        <f t="shared" si="10230"/>
        <v>1.6858424092782955E-2</v>
      </c>
      <c r="DD825" s="189">
        <f t="shared" si="10230"/>
        <v>1.8047328147825201E-2</v>
      </c>
      <c r="DE825" s="189">
        <f t="shared" si="10230"/>
        <v>1.9067289934837008E-2</v>
      </c>
      <c r="DF825" s="189">
        <f t="shared" si="10230"/>
        <v>1.8883788547512836E-2</v>
      </c>
      <c r="DG825" s="189">
        <f t="shared" ref="DG825" si="10231">(DG121+DG120+DG123)/(DG181-DG176)</f>
        <v>1.8718111195180073E-2</v>
      </c>
      <c r="DH825" s="189">
        <f>(DH121+DH120+DH123)/(DH181-DH176)</f>
        <v>1.8525052494186199E-2</v>
      </c>
      <c r="DI825" s="189">
        <f>(DI121+DI120+DI123)/(DI181-DI176)</f>
        <v>1.8310429498334446E-2</v>
      </c>
    </row>
    <row r="826" spans="1:113" ht="12" outlineLevel="1">
      <c r="A826" s="1" t="s">
        <v>2208</v>
      </c>
      <c r="B826" s="15" t="s">
        <v>2205</v>
      </c>
      <c r="C826" s="189">
        <f t="shared" ref="C826:AF826" si="10232">(C121+C120+C123)/(C613-C612)</f>
        <v>1.3555764793824436E-2</v>
      </c>
      <c r="D826" s="189">
        <f t="shared" si="10232"/>
        <v>1.5765998611705977E-2</v>
      </c>
      <c r="E826" s="189">
        <f t="shared" si="10232"/>
        <v>1.4718155456538652E-2</v>
      </c>
      <c r="F826" s="189">
        <f t="shared" si="10232"/>
        <v>1.4050860346022624E-2</v>
      </c>
      <c r="G826" s="189">
        <f t="shared" si="10232"/>
        <v>1.3320747493283517E-2</v>
      </c>
      <c r="H826" s="189">
        <f t="shared" si="10232"/>
        <v>1.2127067052372523E-2</v>
      </c>
      <c r="I826" s="189">
        <f t="shared" si="10232"/>
        <v>1.2142645420444208E-2</v>
      </c>
      <c r="J826" s="189">
        <f t="shared" si="10232"/>
        <v>1.1523048496628512E-2</v>
      </c>
      <c r="K826" s="189">
        <f t="shared" si="10232"/>
        <v>1.1188400746504771E-2</v>
      </c>
      <c r="L826" s="189">
        <f t="shared" si="10232"/>
        <v>9.6899563318777297E-3</v>
      </c>
      <c r="M826" s="189">
        <f t="shared" si="10232"/>
        <v>9.3316508973224944E-3</v>
      </c>
      <c r="N826" s="189">
        <f t="shared" si="10232"/>
        <v>9.3356692643830931E-3</v>
      </c>
      <c r="O826" s="189">
        <f t="shared" si="10232"/>
        <v>8.2835599532722261E-3</v>
      </c>
      <c r="P826" s="189">
        <f t="shared" si="10232"/>
        <v>1.0658704742642043E-2</v>
      </c>
      <c r="Q826" s="189">
        <f t="shared" si="10232"/>
        <v>1.3942173479561316E-2</v>
      </c>
      <c r="R826" s="189">
        <f t="shared" si="10232"/>
        <v>1.5839702059975948E-2</v>
      </c>
      <c r="S826" s="189">
        <f t="shared" si="10232"/>
        <v>1.9694444565316716E-2</v>
      </c>
      <c r="T826" s="189">
        <f t="shared" si="10232"/>
        <v>2.100964265456608E-2</v>
      </c>
      <c r="U826" s="189">
        <f t="shared" si="10232"/>
        <v>2.1531622965351559E-2</v>
      </c>
      <c r="V826" s="189">
        <f t="shared" si="10232"/>
        <v>2.0982139029179493E-2</v>
      </c>
      <c r="W826" s="189">
        <f t="shared" si="10232"/>
        <v>1.9583808896104941E-2</v>
      </c>
      <c r="X826" s="189">
        <f t="shared" si="10232"/>
        <v>1.8819579077808648E-2</v>
      </c>
      <c r="Y826" s="189">
        <f t="shared" si="10232"/>
        <v>1.7804806277587053E-2</v>
      </c>
      <c r="Z826" s="189">
        <f t="shared" si="10232"/>
        <v>1.568125450036003E-2</v>
      </c>
      <c r="AA826" s="189">
        <f t="shared" si="10232"/>
        <v>1.5136397926654175E-2</v>
      </c>
      <c r="AB826" s="189">
        <f t="shared" si="10232"/>
        <v>1.4125792590263586E-2</v>
      </c>
      <c r="AC826" s="189">
        <f t="shared" si="10232"/>
        <v>1.2732894119170566E-2</v>
      </c>
      <c r="AD826" s="189">
        <f t="shared" ref="AD826:AE826" si="10233">(AD121+AD120+AD123)/(AD613-AD612)</f>
        <v>1.1857626060871894E-2</v>
      </c>
      <c r="AE826" s="189">
        <f t="shared" si="10233"/>
        <v>1.1485313837558721E-2</v>
      </c>
      <c r="AF826" s="189">
        <f t="shared" si="10232"/>
        <v>1.2264139655646888E-2</v>
      </c>
      <c r="AG826" s="189">
        <f t="shared" ref="AG826:AH826" si="10234">(AG121+AG120+AG123)/(AG613-AG612)</f>
        <v>1.1882408751452279E-2</v>
      </c>
      <c r="AH826" s="189">
        <f t="shared" si="10234"/>
        <v>1.1860424974181487E-2</v>
      </c>
      <c r="AI826" s="189">
        <f t="shared" ref="AI826:AJ826" si="10235">(AI121+AI120+AI123)/(AI613-AI612)</f>
        <v>1.1275583818735639E-2</v>
      </c>
      <c r="AJ826" s="189">
        <f t="shared" si="10235"/>
        <v>1.0486491532048701E-2</v>
      </c>
      <c r="AK826" s="189">
        <f t="shared" ref="AK826:AL826" si="10236">(AK121+AK120+AK123)/(AK613-AK612)</f>
        <v>1.0199063925588009E-2</v>
      </c>
      <c r="AL826" s="189">
        <f t="shared" si="10236"/>
        <v>1.2355183301835189E-2</v>
      </c>
      <c r="AM826" s="189">
        <f t="shared" ref="AM826:AN826" si="10237">(AM121+AM120+AM123)/(AM613-AM612)</f>
        <v>1.1700446236589166E-2</v>
      </c>
      <c r="AN826" s="189">
        <f t="shared" si="10237"/>
        <v>1.4492340614046223E-2</v>
      </c>
      <c r="AO826" s="189">
        <f t="shared" ref="AO826" si="10238">(AO121+AO120+AO123)/(AO613-AO612)</f>
        <v>1.6384427156097846E-2</v>
      </c>
      <c r="AP826" s="189">
        <f t="shared" ref="AP826:AQ826" si="10239">(AP121+AP120+AP123)/(AP613-AP612)</f>
        <v>1.4900749425206663E-2</v>
      </c>
      <c r="AQ826" s="189">
        <f t="shared" si="10239"/>
        <v>1.4254097834147937E-2</v>
      </c>
      <c r="AR826" s="189">
        <f t="shared" ref="AR826:AS826" si="10240">(AR121+AR120+AR123)/(AR613-AR612)</f>
        <v>1.2593996278851088E-2</v>
      </c>
      <c r="AS826" s="189">
        <f t="shared" si="10240"/>
        <v>1.2227285626053717E-2</v>
      </c>
      <c r="AT826" s="189">
        <f t="shared" ref="AT826:AU826" si="10241">(AT121+AT120+AT123)/(AT613-AT612)</f>
        <v>1.2919425185494101E-2</v>
      </c>
      <c r="AU826" s="189">
        <f t="shared" si="10241"/>
        <v>1.2628888869788937E-2</v>
      </c>
      <c r="AV826" s="189">
        <f t="shared" ref="AV826:AW826" si="10242">(AV121+AV120+AV123)/(AV613-AV612)</f>
        <v>1.2544231977890468E-2</v>
      </c>
      <c r="AW826" s="189">
        <f t="shared" si="10242"/>
        <v>1.2611265694865512E-2</v>
      </c>
      <c r="AX826" s="189">
        <f t="shared" ref="AX826" si="10243">(AX121+AX120+AX123)/(AX613-AX612)</f>
        <v>1.2283082196672141E-2</v>
      </c>
      <c r="AY826" s="235">
        <f t="shared" ref="AY826" si="10244">(AY121+AY120+AY123)/(AY613-AY612)</f>
        <v>1.2928083813378862E-2</v>
      </c>
      <c r="AZ826" s="189">
        <f t="shared" ref="AZ826:BA826" si="10245">(AZ121+AZ120+AZ123)/(AZ613-AZ612)</f>
        <v>1.2821917056686005E-2</v>
      </c>
      <c r="BA826" s="189">
        <f t="shared" si="10245"/>
        <v>1.3017627157048841E-2</v>
      </c>
      <c r="BB826" s="189">
        <f t="shared" ref="BB826:BC826" si="10246">(BB121+BB120+BB123)/(BB613-BB612)</f>
        <v>1.3206025919535971E-2</v>
      </c>
      <c r="BC826" s="189">
        <f t="shared" si="10246"/>
        <v>1.3432826199524104E-2</v>
      </c>
      <c r="BD826" s="189">
        <f t="shared" ref="BD826:BE826" si="10247">(BD121+BD120+BD123)/(BD613-BD612)</f>
        <v>1.3735923308912558E-2</v>
      </c>
      <c r="BE826" s="189">
        <f t="shared" si="10247"/>
        <v>1.4049621125006774E-2</v>
      </c>
      <c r="BF826" s="189">
        <f t="shared" ref="BF826:BG826" si="10248">(BF121+BF120+BF123)/(BF613-BF612)</f>
        <v>1.4433972390036165E-2</v>
      </c>
      <c r="BG826" s="189">
        <f t="shared" si="10248"/>
        <v>1.4878853073455345E-2</v>
      </c>
      <c r="BH826" s="189">
        <f t="shared" ref="BH826:BI826" si="10249">(BH121+BH120+BH123)/(BH613-BH612)</f>
        <v>1.5291177964435737E-2</v>
      </c>
      <c r="BI826" s="189">
        <f t="shared" si="10249"/>
        <v>1.56942646141142E-2</v>
      </c>
      <c r="BJ826" s="189">
        <f t="shared" ref="BJ826:BK826" si="10250">(BJ121+BJ120+BJ123)/(BJ613-BJ612)</f>
        <v>1.5611389790519599E-2</v>
      </c>
      <c r="BK826" s="189">
        <f t="shared" si="10250"/>
        <v>1.5523646354497654E-2</v>
      </c>
      <c r="BL826" s="189">
        <f t="shared" ref="BL826:BM826" si="10251">(BL121+BL120+BL123)/(BL613-BL612)</f>
        <v>1.5436189409433617E-2</v>
      </c>
      <c r="BM826" s="189">
        <f t="shared" si="10251"/>
        <v>1.5349012905658129E-2</v>
      </c>
      <c r="BN826" s="189">
        <f t="shared" ref="BN826:BO826" si="10252">(BN121+BN120+BN123)/(BN613-BN612)</f>
        <v>1.5265345521402802E-2</v>
      </c>
      <c r="BO826" s="189">
        <f t="shared" si="10252"/>
        <v>1.5181733647114726E-2</v>
      </c>
      <c r="BP826" s="189">
        <f t="shared" ref="BP826:BQ826" si="10253">(BP121+BP120+BP123)/(BP613-BP612)</f>
        <v>1.5100639107987668E-2</v>
      </c>
      <c r="BQ826" s="189">
        <f t="shared" si="10253"/>
        <v>1.5019521627252208E-2</v>
      </c>
      <c r="BS826" s="189">
        <f t="shared" ref="BS826:CY826" si="10254">(BS121+BS120+BS123)/(BS613-BS612)</f>
        <v>4.1347561836755427E-2</v>
      </c>
      <c r="BT826" s="189">
        <f t="shared" si="10254"/>
        <v>3.4996096799375494E-2</v>
      </c>
      <c r="BU826" s="189">
        <f t="shared" si="10254"/>
        <v>2.1729122548568271E-2</v>
      </c>
      <c r="BV826" s="189">
        <f t="shared" si="10254"/>
        <v>1.6611295681063124E-2</v>
      </c>
      <c r="BW826" s="189">
        <f t="shared" si="10254"/>
        <v>1.3024369900659773E-2</v>
      </c>
      <c r="BX826" s="189">
        <f t="shared" si="10254"/>
        <v>1.773954986952057E-2</v>
      </c>
      <c r="BY826" s="189">
        <f t="shared" si="10254"/>
        <v>1.9122105843439912E-2</v>
      </c>
      <c r="BZ826" s="189">
        <f t="shared" si="10254"/>
        <v>1.9502359429670359E-2</v>
      </c>
      <c r="CA826" s="189">
        <f t="shared" si="10254"/>
        <v>1.6053914009006229E-2</v>
      </c>
      <c r="CB826" s="189">
        <f t="shared" si="10254"/>
        <v>1.3555764793824436E-2</v>
      </c>
      <c r="CC826" s="189">
        <f t="shared" si="10254"/>
        <v>1.4718155456538652E-2</v>
      </c>
      <c r="CD826" s="189">
        <f t="shared" si="10254"/>
        <v>1.3320747493283517E-2</v>
      </c>
      <c r="CE826" s="189">
        <f t="shared" si="10254"/>
        <v>1.2142645420444208E-2</v>
      </c>
      <c r="CF826" s="189">
        <f t="shared" si="10254"/>
        <v>1.1188400746504771E-2</v>
      </c>
      <c r="CG826" s="189">
        <f t="shared" si="10254"/>
        <v>9.3316508973224944E-3</v>
      </c>
      <c r="CH826" s="189">
        <f t="shared" si="10254"/>
        <v>8.2835599532722261E-3</v>
      </c>
      <c r="CI826" s="189">
        <f t="shared" si="10254"/>
        <v>1.3942173479561316E-2</v>
      </c>
      <c r="CJ826" s="189">
        <f t="shared" si="10254"/>
        <v>1.9694444565316716E-2</v>
      </c>
      <c r="CK826" s="189">
        <f t="shared" si="10254"/>
        <v>2.1531622965351559E-2</v>
      </c>
      <c r="CL826" s="189">
        <f t="shared" si="10254"/>
        <v>1.9583808896104941E-2</v>
      </c>
      <c r="CM826" s="189">
        <f t="shared" si="10254"/>
        <v>1.7804806277587053E-2</v>
      </c>
      <c r="CN826" s="189">
        <f t="shared" si="10254"/>
        <v>1.5136397926654175E-2</v>
      </c>
      <c r="CO826" s="189">
        <f t="shared" si="10254"/>
        <v>1.2732894119170566E-2</v>
      </c>
      <c r="CP826" s="189">
        <f t="shared" si="10254"/>
        <v>1.1485313837558721E-2</v>
      </c>
      <c r="CQ826" s="189">
        <f t="shared" si="10254"/>
        <v>1.1882408751452279E-2</v>
      </c>
      <c r="CR826" s="189">
        <f t="shared" si="10254"/>
        <v>1.1275583818735639E-2</v>
      </c>
      <c r="CS826" s="189">
        <f t="shared" si="10254"/>
        <v>1.0199063925588009E-2</v>
      </c>
      <c r="CT826" s="189">
        <f t="shared" si="10254"/>
        <v>1.1700446236589166E-2</v>
      </c>
      <c r="CU826" s="189">
        <f t="shared" si="10254"/>
        <v>1.6384427156097846E-2</v>
      </c>
      <c r="CV826" s="189">
        <f t="shared" si="10254"/>
        <v>1.4254097834147937E-2</v>
      </c>
      <c r="CW826" s="189">
        <f t="shared" si="10254"/>
        <v>1.2227285626053717E-2</v>
      </c>
      <c r="CX826" s="189">
        <f t="shared" si="10254"/>
        <v>1.2628888869788937E-2</v>
      </c>
      <c r="CY826" s="189">
        <f t="shared" si="10254"/>
        <v>1.2611265694865512E-2</v>
      </c>
      <c r="CZ826" s="235">
        <f t="shared" ref="CZ826" si="10255">(CZ121+CZ120+CZ123)/(CZ613-CZ612)</f>
        <v>1.2928083813378862E-2</v>
      </c>
      <c r="DA826" s="189">
        <f t="shared" ref="DA826:DF826" si="10256">(DA121+DA120+DA123)/(DA613-DA612)</f>
        <v>1.3017627157048841E-2</v>
      </c>
      <c r="DB826" s="189">
        <f t="shared" si="10256"/>
        <v>1.3432826199524104E-2</v>
      </c>
      <c r="DC826" s="189">
        <f t="shared" si="10256"/>
        <v>1.4049621125006774E-2</v>
      </c>
      <c r="DD826" s="189">
        <f t="shared" si="10256"/>
        <v>1.4878853073455345E-2</v>
      </c>
      <c r="DE826" s="189">
        <f t="shared" si="10256"/>
        <v>1.56942646141142E-2</v>
      </c>
      <c r="DF826" s="189">
        <f t="shared" si="10256"/>
        <v>1.5523646354497654E-2</v>
      </c>
      <c r="DG826" s="189">
        <f t="shared" ref="DG826" si="10257">(DG121+DG120+DG123)/(DG613-DG612)</f>
        <v>1.5349012905658129E-2</v>
      </c>
      <c r="DH826" s="189">
        <f>(DH121+DH120+DH123)/(DH613-DH612)</f>
        <v>1.5181733647114726E-2</v>
      </c>
      <c r="DI826" s="189">
        <f>(DI121+DI120+DI123)/(DI613-DI612)</f>
        <v>1.5019521627252208E-2</v>
      </c>
    </row>
    <row r="827" spans="1:113" ht="12" outlineLevel="1">
      <c r="A827" s="1" t="s">
        <v>2209</v>
      </c>
      <c r="B827" s="15" t="s">
        <v>2206</v>
      </c>
      <c r="C827" s="189">
        <f t="shared" ref="C827:AF827" si="10258">(C121+C120+C123)/(C613)</f>
        <v>1.3555764793824436E-2</v>
      </c>
      <c r="D827" s="189">
        <f t="shared" si="10258"/>
        <v>1.5765998611705977E-2</v>
      </c>
      <c r="E827" s="189">
        <f t="shared" si="10258"/>
        <v>1.4718155456538652E-2</v>
      </c>
      <c r="F827" s="189">
        <f t="shared" si="10258"/>
        <v>1.4050860346022624E-2</v>
      </c>
      <c r="G827" s="189">
        <f t="shared" si="10258"/>
        <v>1.3262006782156095E-2</v>
      </c>
      <c r="H827" s="189">
        <f t="shared" si="10258"/>
        <v>1.2070456657552495E-2</v>
      </c>
      <c r="I827" s="189">
        <f t="shared" si="10258"/>
        <v>1.2081519749420332E-2</v>
      </c>
      <c r="J827" s="189">
        <f t="shared" si="10258"/>
        <v>1.1459307764265668E-2</v>
      </c>
      <c r="K827" s="189">
        <f t="shared" si="10258"/>
        <v>1.1112477399315946E-2</v>
      </c>
      <c r="L827" s="189">
        <f t="shared" si="10258"/>
        <v>9.6205121979770474E-3</v>
      </c>
      <c r="M827" s="189">
        <f t="shared" si="10258"/>
        <v>9.2665442783460093E-3</v>
      </c>
      <c r="N827" s="189">
        <f t="shared" si="10258"/>
        <v>9.2540471485318479E-3</v>
      </c>
      <c r="O827" s="189">
        <f t="shared" si="10258"/>
        <v>8.2249161873041033E-3</v>
      </c>
      <c r="P827" s="189">
        <f t="shared" si="10258"/>
        <v>9.9294916369454846E-3</v>
      </c>
      <c r="Q827" s="189">
        <f t="shared" si="10258"/>
        <v>1.2692695890848624E-2</v>
      </c>
      <c r="R827" s="189">
        <f t="shared" si="10258"/>
        <v>1.4536353344108913E-2</v>
      </c>
      <c r="S827" s="189">
        <f t="shared" si="10258"/>
        <v>1.7955401100492326E-2</v>
      </c>
      <c r="T827" s="189">
        <f t="shared" si="10258"/>
        <v>1.8597290338647418E-2</v>
      </c>
      <c r="U827" s="189">
        <f t="shared" si="10258"/>
        <v>1.9028012200937021E-2</v>
      </c>
      <c r="V827" s="189">
        <f t="shared" si="10258"/>
        <v>1.8521321848650449E-2</v>
      </c>
      <c r="W827" s="189">
        <f t="shared" si="10258"/>
        <v>1.7405809318340931E-2</v>
      </c>
      <c r="X827" s="189">
        <f t="shared" si="10258"/>
        <v>1.6528809560589251E-2</v>
      </c>
      <c r="Y827" s="189">
        <f t="shared" si="10258"/>
        <v>1.5120668801375454E-2</v>
      </c>
      <c r="Z827" s="189">
        <f t="shared" si="10258"/>
        <v>1.3367143857995796E-2</v>
      </c>
      <c r="AA827" s="189">
        <f t="shared" si="10258"/>
        <v>1.2833625631880683E-2</v>
      </c>
      <c r="AB827" s="189">
        <f t="shared" si="10258"/>
        <v>1.1955979375727671E-2</v>
      </c>
      <c r="AC827" s="189">
        <f t="shared" si="10258"/>
        <v>1.0878795338686523E-2</v>
      </c>
      <c r="AD827" s="189">
        <f t="shared" ref="AD827:AE827" si="10259">(AD121+AD120+AD123)/(AD613)</f>
        <v>1.0411954619594016E-2</v>
      </c>
      <c r="AE827" s="189">
        <f t="shared" si="10259"/>
        <v>9.9941035535419734E-3</v>
      </c>
      <c r="AF827" s="189">
        <f t="shared" si="10258"/>
        <v>1.0557894601310723E-2</v>
      </c>
      <c r="AG827" s="189">
        <f t="shared" ref="AG827:AH827" si="10260">(AG121+AG120+AG123)/(AG613)</f>
        <v>1.0237846992770118E-2</v>
      </c>
      <c r="AH827" s="189">
        <f t="shared" si="10260"/>
        <v>1.0210558130163208E-2</v>
      </c>
      <c r="AI827" s="189">
        <f t="shared" ref="AI827:AJ827" si="10261">(AI121+AI120+AI123)/(AI613)</f>
        <v>9.7107485560439053E-3</v>
      </c>
      <c r="AJ827" s="189">
        <f t="shared" si="10261"/>
        <v>9.0833979741116837E-3</v>
      </c>
      <c r="AK827" s="189">
        <f t="shared" ref="AK827:AL827" si="10262">(AK121+AK120+AK123)/(AK613)</f>
        <v>8.8096822066424437E-3</v>
      </c>
      <c r="AL827" s="189">
        <f t="shared" si="10262"/>
        <v>1.0772386958068692E-2</v>
      </c>
      <c r="AM827" s="189">
        <f t="shared" ref="AM827:AN827" si="10263">(AM121+AM120+AM123)/(AM613)</f>
        <v>1.0048901456011474E-2</v>
      </c>
      <c r="AN827" s="189">
        <f t="shared" si="10263"/>
        <v>1.2458464361754252E-2</v>
      </c>
      <c r="AO827" s="189">
        <f t="shared" ref="AO827" si="10264">(AO121+AO120+AO123)/(AO613)</f>
        <v>1.3738285543942019E-2</v>
      </c>
      <c r="AP827" s="189">
        <f t="shared" ref="AP827:AQ827" si="10265">(AP121+AP120+AP123)/(AP613)</f>
        <v>1.2480216382550237E-2</v>
      </c>
      <c r="AQ827" s="189">
        <f t="shared" si="10265"/>
        <v>1.1733151319679105E-2</v>
      </c>
      <c r="AR827" s="189">
        <f t="shared" ref="AR827:AS827" si="10266">(AR121+AR120+AR123)/(AR613)</f>
        <v>1.0031741682080793E-2</v>
      </c>
      <c r="AS827" s="189">
        <f t="shared" si="10266"/>
        <v>9.6653310403370888E-3</v>
      </c>
      <c r="AT827" s="189">
        <f t="shared" ref="AT827:AU827" si="10267">(AT121+AT120+AT123)/(AT613)</f>
        <v>1.0243069109144597E-2</v>
      </c>
      <c r="AU827" s="189">
        <f t="shared" si="10267"/>
        <v>1.0172456366669974E-2</v>
      </c>
      <c r="AV827" s="189">
        <f t="shared" ref="AV827:AW827" si="10268">(AV121+AV120+AV123)/(AV613)</f>
        <v>1.0099843106989942E-2</v>
      </c>
      <c r="AW827" s="189">
        <f t="shared" si="10268"/>
        <v>1.0199694568970536E-2</v>
      </c>
      <c r="AX827" s="189">
        <f t="shared" ref="AX827" si="10269">(AX121+AX120+AX123)/(AX613)</f>
        <v>9.901940089424497E-3</v>
      </c>
      <c r="AY827" s="235">
        <f t="shared" ref="AY827" si="10270">(AY121+AY120+AY123)/(AY613)</f>
        <v>1.0419869718916491E-2</v>
      </c>
      <c r="AZ827" s="189">
        <f t="shared" ref="AZ827:BA827" si="10271">(AZ121+AZ120+AZ123)/(AZ613)</f>
        <v>1.0422391065440727E-2</v>
      </c>
      <c r="BA827" s="189">
        <f t="shared" si="10271"/>
        <v>1.0617404075321269E-2</v>
      </c>
      <c r="BB827" s="189">
        <f t="shared" ref="BB827:BC827" si="10272">(BB121+BB120+BB123)/(BB613)</f>
        <v>1.0804400458898092E-2</v>
      </c>
      <c r="BC827" s="189">
        <f t="shared" si="10272"/>
        <v>1.1025665716675914E-2</v>
      </c>
      <c r="BD827" s="189">
        <f t="shared" ref="BD827:BE827" si="10273">(BD121+BD120+BD123)/(BD613)</f>
        <v>1.1309015338793407E-2</v>
      </c>
      <c r="BE827" s="189">
        <f t="shared" si="10273"/>
        <v>1.1598924777647603E-2</v>
      </c>
      <c r="BF827" s="189">
        <f t="shared" ref="BF827:BG827" si="10274">(BF121+BF120+BF123)/(BF613)</f>
        <v>1.1945336238592889E-2</v>
      </c>
      <c r="BG827" s="189">
        <f t="shared" si="10274"/>
        <v>1.2342887773214335E-2</v>
      </c>
      <c r="BH827" s="189">
        <f t="shared" ref="BH827:BI827" si="10275">(BH121+BH120+BH123)/(BH613)</f>
        <v>1.2728628215368786E-2</v>
      </c>
      <c r="BI827" s="189">
        <f t="shared" si="10275"/>
        <v>1.3107294698988923E-2</v>
      </c>
      <c r="BJ827" s="189">
        <f t="shared" ref="BJ827:BK827" si="10276">(BJ121+BJ120+BJ123)/(BJ613)</f>
        <v>1.3084261723545149E-2</v>
      </c>
      <c r="BK827" s="189">
        <f t="shared" si="10276"/>
        <v>1.3052396874039541E-2</v>
      </c>
      <c r="BL827" s="189">
        <f t="shared" ref="BL827:BM827" si="10277">(BL121+BL120+BL123)/(BL613)</f>
        <v>1.3019837711562992E-2</v>
      </c>
      <c r="BM827" s="189">
        <f t="shared" si="10277"/>
        <v>1.2986587017436357E-2</v>
      </c>
      <c r="BN827" s="189">
        <f t="shared" ref="BN827:BO827" si="10278">(BN121+BN120+BN123)/(BN613)</f>
        <v>1.2958902653373933E-2</v>
      </c>
      <c r="BO827" s="189">
        <f t="shared" si="10278"/>
        <v>1.2930152883571168E-2</v>
      </c>
      <c r="BP827" s="189">
        <f t="shared" ref="BP827:BQ827" si="10279">(BP121+BP120+BP123)/(BP613)</f>
        <v>1.290514484691286E-2</v>
      </c>
      <c r="BQ827" s="189">
        <f t="shared" si="10279"/>
        <v>1.2878984054574504E-2</v>
      </c>
      <c r="BS827" s="189">
        <f t="shared" ref="BS827:CY827" si="10280">(BS121+BS120+BS123)/(BS613)</f>
        <v>4.1347561836755427E-2</v>
      </c>
      <c r="BT827" s="189">
        <f t="shared" si="10280"/>
        <v>3.4996096799375494E-2</v>
      </c>
      <c r="BU827" s="189">
        <f t="shared" si="10280"/>
        <v>2.1729122548568271E-2</v>
      </c>
      <c r="BV827" s="189">
        <f t="shared" si="10280"/>
        <v>1.6611295681063124E-2</v>
      </c>
      <c r="BW827" s="189">
        <f t="shared" si="10280"/>
        <v>1.3024369900659773E-2</v>
      </c>
      <c r="BX827" s="189">
        <f t="shared" si="10280"/>
        <v>1.773954986952057E-2</v>
      </c>
      <c r="BY827" s="189">
        <f t="shared" si="10280"/>
        <v>1.9122105843439912E-2</v>
      </c>
      <c r="BZ827" s="189">
        <f t="shared" si="10280"/>
        <v>1.9502359429670359E-2</v>
      </c>
      <c r="CA827" s="189">
        <f t="shared" si="10280"/>
        <v>1.6053914009006229E-2</v>
      </c>
      <c r="CB827" s="189">
        <f t="shared" si="10280"/>
        <v>1.3555764793824436E-2</v>
      </c>
      <c r="CC827" s="189">
        <f t="shared" si="10280"/>
        <v>1.4718155456538652E-2</v>
      </c>
      <c r="CD827" s="189">
        <f t="shared" si="10280"/>
        <v>1.3320747493283517E-2</v>
      </c>
      <c r="CE827" s="189">
        <f t="shared" si="10280"/>
        <v>1.2142645420444208E-2</v>
      </c>
      <c r="CF827" s="189">
        <f t="shared" si="10280"/>
        <v>1.1188400746504771E-2</v>
      </c>
      <c r="CG827" s="189">
        <f t="shared" si="10280"/>
        <v>9.3316508973224944E-3</v>
      </c>
      <c r="CH827" s="189">
        <f t="shared" si="10280"/>
        <v>8.2835599532722261E-3</v>
      </c>
      <c r="CI827" s="189">
        <f t="shared" si="10280"/>
        <v>1.3942173479561316E-2</v>
      </c>
      <c r="CJ827" s="189">
        <f t="shared" si="10280"/>
        <v>1.9694444565316716E-2</v>
      </c>
      <c r="CK827" s="189">
        <f t="shared" si="10280"/>
        <v>2.1531622965351559E-2</v>
      </c>
      <c r="CL827" s="189">
        <f t="shared" si="10280"/>
        <v>1.9583808896104941E-2</v>
      </c>
      <c r="CM827" s="189">
        <f t="shared" si="10280"/>
        <v>1.7804806277587053E-2</v>
      </c>
      <c r="CN827" s="189">
        <f t="shared" si="10280"/>
        <v>1.5136397926654175E-2</v>
      </c>
      <c r="CO827" s="189">
        <f t="shared" si="10280"/>
        <v>1.2732894119170566E-2</v>
      </c>
      <c r="CP827" s="189">
        <f t="shared" si="10280"/>
        <v>1.1485313837558721E-2</v>
      </c>
      <c r="CQ827" s="189">
        <f t="shared" si="10280"/>
        <v>1.1882408751452279E-2</v>
      </c>
      <c r="CR827" s="189">
        <f t="shared" si="10280"/>
        <v>1.1275583818735639E-2</v>
      </c>
      <c r="CS827" s="189">
        <f t="shared" si="10280"/>
        <v>1.0199063925588009E-2</v>
      </c>
      <c r="CT827" s="189">
        <f t="shared" si="10280"/>
        <v>1.0048901456011474E-2</v>
      </c>
      <c r="CU827" s="189">
        <f t="shared" si="10280"/>
        <v>1.3738285543942019E-2</v>
      </c>
      <c r="CV827" s="189">
        <f t="shared" si="10280"/>
        <v>1.1733151319679105E-2</v>
      </c>
      <c r="CW827" s="189">
        <f t="shared" si="10280"/>
        <v>9.6653310403370888E-3</v>
      </c>
      <c r="CX827" s="189">
        <f t="shared" si="10280"/>
        <v>1.0172456366669974E-2</v>
      </c>
      <c r="CY827" s="189">
        <f t="shared" si="10280"/>
        <v>1.0199694568970536E-2</v>
      </c>
      <c r="CZ827" s="235">
        <f t="shared" ref="CZ827" si="10281">(CZ121+CZ120+CZ123)/(CZ613)</f>
        <v>1.0419869718916491E-2</v>
      </c>
      <c r="DA827" s="189">
        <f t="shared" ref="DA827:DF827" si="10282">(DA121+DA120+DA123)/(DA613)</f>
        <v>1.0617404075321269E-2</v>
      </c>
      <c r="DB827" s="189">
        <f t="shared" si="10282"/>
        <v>1.1025665716675914E-2</v>
      </c>
      <c r="DC827" s="189">
        <f t="shared" si="10282"/>
        <v>1.1598924777647603E-2</v>
      </c>
      <c r="DD827" s="189">
        <f t="shared" si="10282"/>
        <v>1.2342887773214335E-2</v>
      </c>
      <c r="DE827" s="189">
        <f t="shared" si="10282"/>
        <v>1.3107294698988923E-2</v>
      </c>
      <c r="DF827" s="189">
        <f t="shared" si="10282"/>
        <v>1.3052396874039541E-2</v>
      </c>
      <c r="DG827" s="189">
        <f t="shared" ref="DG827" si="10283">(DG121+DG120+DG123)/(DG613)</f>
        <v>1.2986587017436357E-2</v>
      </c>
      <c r="DH827" s="189">
        <f>(DH121+DH120+DH123)/(DH613)</f>
        <v>1.2930152883571168E-2</v>
      </c>
      <c r="DI827" s="189">
        <f>(DI121+DI120+DI123)/(DI613)</f>
        <v>1.2878984054574504E-2</v>
      </c>
    </row>
    <row r="828" spans="1:113" ht="12" hidden="1" outlineLevel="2">
      <c r="A828" s="1" t="s">
        <v>182</v>
      </c>
      <c r="B828" s="15" t="s">
        <v>804</v>
      </c>
      <c r="AY828" s="200"/>
      <c r="CZ828" s="200"/>
      <c r="DB828" s="15"/>
      <c r="DC828" s="15"/>
      <c r="DD828" s="15"/>
      <c r="DE828" s="15"/>
      <c r="DF828" s="15"/>
      <c r="DG828" s="15"/>
      <c r="DH828" s="15"/>
      <c r="DI828" s="15"/>
    </row>
    <row r="829" spans="1:113" ht="12" hidden="1" outlineLevel="2">
      <c r="A829" s="1" t="s">
        <v>183</v>
      </c>
      <c r="B829" s="15" t="s">
        <v>804</v>
      </c>
      <c r="AY829" s="200"/>
      <c r="CZ829" s="200"/>
      <c r="DB829" s="15"/>
      <c r="DC829" s="15"/>
      <c r="DD829" s="15"/>
      <c r="DE829" s="15"/>
      <c r="DF829" s="15"/>
      <c r="DG829" s="15"/>
      <c r="DH829" s="15"/>
      <c r="DI829" s="15"/>
    </row>
    <row r="830" spans="1:113" ht="12" hidden="1" outlineLevel="2">
      <c r="A830" s="1" t="s">
        <v>184</v>
      </c>
      <c r="B830" s="15" t="s">
        <v>804</v>
      </c>
      <c r="AY830" s="200"/>
      <c r="CZ830" s="200"/>
      <c r="DB830" s="15"/>
      <c r="DC830" s="15"/>
      <c r="DD830" s="15"/>
      <c r="DE830" s="15"/>
      <c r="DF830" s="15"/>
      <c r="DG830" s="15"/>
      <c r="DH830" s="15"/>
      <c r="DI830" s="15"/>
    </row>
    <row r="831" spans="1:113" ht="12" hidden="1" outlineLevel="2">
      <c r="A831" s="1" t="s">
        <v>185</v>
      </c>
      <c r="B831" s="15" t="s">
        <v>804</v>
      </c>
      <c r="AY831" s="200"/>
      <c r="CZ831" s="200"/>
      <c r="DB831" s="15"/>
      <c r="DC831" s="15"/>
      <c r="DD831" s="15"/>
      <c r="DE831" s="15"/>
      <c r="DF831" s="15"/>
      <c r="DG831" s="15"/>
      <c r="DH831" s="15"/>
      <c r="DI831" s="15"/>
    </row>
    <row r="832" spans="1:113" ht="12" outlineLevel="1" collapsed="1">
      <c r="AJ832" s="15"/>
      <c r="AK832" s="15"/>
      <c r="AL832" s="15"/>
      <c r="AM832" s="15"/>
      <c r="AN832" s="15"/>
      <c r="AO832" s="15"/>
      <c r="AP832" s="15"/>
      <c r="AQ832" s="15"/>
      <c r="AR832" s="15"/>
      <c r="AS832" s="15"/>
      <c r="AT832" s="15"/>
      <c r="AU832" s="15"/>
      <c r="AV832" s="15"/>
      <c r="AW832" s="15"/>
      <c r="AX832" s="15"/>
      <c r="AY832" s="247"/>
      <c r="CZ832" s="200"/>
      <c r="DB832" s="15"/>
      <c r="DC832" s="15"/>
      <c r="DD832" s="15"/>
      <c r="DE832" s="15"/>
      <c r="DF832" s="15"/>
      <c r="DG832" s="15"/>
      <c r="DH832" s="15"/>
      <c r="DI832" s="15"/>
    </row>
    <row r="833" spans="1:113" s="17" customFormat="1" ht="12" outlineLevel="1">
      <c r="A833" s="1"/>
      <c r="B833" s="17" t="s">
        <v>623</v>
      </c>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411"/>
      <c r="AG833" s="411"/>
      <c r="AH833" s="411"/>
      <c r="AI833" s="411"/>
      <c r="AJ833" s="490"/>
      <c r="AK833" s="495"/>
      <c r="AL833" s="503"/>
      <c r="AM833" s="503"/>
      <c r="AN833" s="503"/>
      <c r="AO833" s="503"/>
      <c r="AP833" s="503"/>
      <c r="AQ833" s="503"/>
      <c r="AR833" s="503"/>
      <c r="AS833" s="503"/>
      <c r="AT833" s="503"/>
      <c r="AU833" s="503"/>
      <c r="AV833" s="503"/>
      <c r="AW833" s="503"/>
      <c r="AX833" s="503"/>
      <c r="AY833" s="499"/>
      <c r="AZ833" s="70"/>
      <c r="BA833" s="70"/>
      <c r="BB833" s="70"/>
      <c r="BC833" s="70"/>
      <c r="BD833" s="70"/>
      <c r="BE833" s="70"/>
      <c r="BF833" s="70"/>
      <c r="BG833" s="70"/>
      <c r="BH833" s="70"/>
      <c r="BI833" s="70"/>
      <c r="BJ833" s="70"/>
      <c r="BK833" s="70"/>
      <c r="BL833" s="70"/>
      <c r="BM833" s="70"/>
      <c r="BN833" s="70"/>
      <c r="BO833" s="70"/>
      <c r="BP833" s="70"/>
      <c r="BQ833" s="70"/>
      <c r="BR833" s="70"/>
      <c r="BS833" s="10"/>
      <c r="BT833" s="10"/>
      <c r="BU833" s="10"/>
      <c r="BV833" s="10"/>
      <c r="BW833" s="10"/>
      <c r="BX833" s="10"/>
      <c r="BY833" s="10"/>
      <c r="BZ833" s="10"/>
      <c r="CA833" s="10"/>
      <c r="CB833" s="10"/>
      <c r="CC833" s="10"/>
      <c r="CD833" s="10"/>
      <c r="CE833" s="10"/>
      <c r="CF833" s="10"/>
      <c r="CG833" s="10"/>
      <c r="CH833" s="10"/>
      <c r="CI833" s="10"/>
      <c r="CJ833" s="10"/>
      <c r="CK833" s="10"/>
      <c r="CL833" s="10"/>
      <c r="CM833" s="10"/>
      <c r="CN833" s="10"/>
      <c r="CO833" s="10"/>
      <c r="CP833" s="10"/>
      <c r="CQ833" s="411"/>
      <c r="CR833" s="10"/>
      <c r="CS833" s="10"/>
      <c r="CT833" s="10"/>
      <c r="CU833" s="10"/>
      <c r="CV833" s="10"/>
      <c r="CW833" s="10"/>
      <c r="CX833" s="10"/>
      <c r="CY833" s="10"/>
      <c r="CZ833" s="201"/>
      <c r="DA833" s="10"/>
    </row>
    <row r="834" spans="1:113" ht="12" outlineLevel="1">
      <c r="A834" s="1" t="s">
        <v>957</v>
      </c>
      <c r="B834" s="15" t="s">
        <v>546</v>
      </c>
      <c r="C834" s="207">
        <f>C590/C613</f>
        <v>6.6463497904822144E-2</v>
      </c>
      <c r="D834" s="207">
        <f>D590/D613</f>
        <v>6.7406105539883909E-2</v>
      </c>
      <c r="E834" s="207">
        <f>E590/E613</f>
        <v>6.9142089256665956E-2</v>
      </c>
      <c r="F834" s="207">
        <f t="shared" ref="F834:L834" si="10284">F590/F613</f>
        <v>6.8820952470676905E-2</v>
      </c>
      <c r="G834" s="207">
        <f t="shared" si="10284"/>
        <v>6.3083252280434265E-2</v>
      </c>
      <c r="H834" s="207">
        <f t="shared" si="10284"/>
        <v>5.6806888808908607E-2</v>
      </c>
      <c r="I834" s="207">
        <f t="shared" si="10284"/>
        <v>5.6090591058861813E-2</v>
      </c>
      <c r="J834" s="207">
        <f t="shared" si="10284"/>
        <v>5.4490177736202058E-2</v>
      </c>
      <c r="K834" s="207">
        <f t="shared" si="10284"/>
        <v>5.3995709855036822E-2</v>
      </c>
      <c r="L834" s="207">
        <f t="shared" si="10284"/>
        <v>5.3777752728124066E-2</v>
      </c>
      <c r="M834" s="30">
        <f t="shared" ref="M834:AF834" si="10285">M590/M613</f>
        <v>5.4179727665172199E-2</v>
      </c>
      <c r="N834" s="30">
        <f t="shared" si="10285"/>
        <v>5.4146954907479491E-2</v>
      </c>
      <c r="O834" s="30">
        <f t="shared" si="10285"/>
        <v>5.1909329571155342E-2</v>
      </c>
      <c r="P834" s="30">
        <f t="shared" si="10285"/>
        <v>5.3292508766813962E-2</v>
      </c>
      <c r="Q834" s="30">
        <f t="shared" si="10285"/>
        <v>5.9132133287829389E-2</v>
      </c>
      <c r="R834" s="30">
        <f t="shared" si="10285"/>
        <v>6.3542697645274523E-2</v>
      </c>
      <c r="S834" s="30">
        <f t="shared" si="10285"/>
        <v>8.9642121799983335E-2</v>
      </c>
      <c r="T834" s="32">
        <f t="shared" si="10285"/>
        <v>8.4941014857748798E-2</v>
      </c>
      <c r="U834" s="30">
        <f t="shared" si="10285"/>
        <v>8.044898237221941E-2</v>
      </c>
      <c r="V834" s="30">
        <f t="shared" si="10285"/>
        <v>8.4855962094491283E-2</v>
      </c>
      <c r="W834" s="30">
        <f t="shared" si="10285"/>
        <v>8.5239530796816732E-2</v>
      </c>
      <c r="X834" s="30">
        <f t="shared" si="10285"/>
        <v>8.9226783131345758E-2</v>
      </c>
      <c r="Y834" s="32">
        <f>Y590/Y613</f>
        <v>8.8378276616941948E-2</v>
      </c>
      <c r="Z834" s="32">
        <f t="shared" si="10285"/>
        <v>8.1762156598942287E-2</v>
      </c>
      <c r="AA834" s="32">
        <f t="shared" si="10285"/>
        <v>8.482749473125728E-2</v>
      </c>
      <c r="AB834" s="32">
        <f t="shared" si="10285"/>
        <v>8.3217830016078062E-2</v>
      </c>
      <c r="AC834" s="32">
        <f>AC590/AC613</f>
        <v>8.7893364017824299E-2</v>
      </c>
      <c r="AD834" s="32">
        <f>AD590/AD613</f>
        <v>8.7203997280691101E-2</v>
      </c>
      <c r="AE834" s="32">
        <f>AE590/AE613</f>
        <v>9.5850842296180738E-2</v>
      </c>
      <c r="AF834" s="32">
        <f t="shared" si="10285"/>
        <v>9.811631709735151E-2</v>
      </c>
      <c r="AG834" s="32">
        <f t="shared" ref="AG834" si="10286">AG590/AG613</f>
        <v>9.610555531080664E-2</v>
      </c>
      <c r="AH834" s="32">
        <f>AH590/AH613</f>
        <v>0.10129206125327422</v>
      </c>
      <c r="AI834" s="32">
        <f t="shared" ref="AI834:AJ834" si="10287">AI590/AI613</f>
        <v>0.10568812593802814</v>
      </c>
      <c r="AJ834" s="32">
        <f t="shared" si="10287"/>
        <v>0.11043340062712083</v>
      </c>
      <c r="AK834" s="32">
        <f t="shared" ref="AK834" si="10288">AK590/AK613</f>
        <v>0.11440816744281254</v>
      </c>
      <c r="AL834" s="32">
        <f t="shared" ref="AL834:AQ834" si="10289">AL590/AL613</f>
        <v>0.11488527370038684</v>
      </c>
      <c r="AM834" s="32">
        <f t="shared" si="10289"/>
        <v>0.11357177289962371</v>
      </c>
      <c r="AN834" s="32">
        <f t="shared" si="10289"/>
        <v>0.10698600482837875</v>
      </c>
      <c r="AO834" s="32">
        <f t="shared" si="10289"/>
        <v>0.11250535651072234</v>
      </c>
      <c r="AP834" s="32">
        <f t="shared" si="10289"/>
        <v>0.12442486635339543</v>
      </c>
      <c r="AQ834" s="32">
        <f t="shared" si="10289"/>
        <v>0.12343361708877491</v>
      </c>
      <c r="AR834" s="32">
        <f t="shared" ref="AR834:AS834" si="10290">AR590/AR613</f>
        <v>0.11534561896280057</v>
      </c>
      <c r="AS834" s="32">
        <f t="shared" si="10290"/>
        <v>0.12287175788070848</v>
      </c>
      <c r="AT834" s="32">
        <f t="shared" ref="AT834:AU834" si="10291">AT590/AT613</f>
        <v>0.13175466230706706</v>
      </c>
      <c r="AU834" s="32">
        <f t="shared" si="10291"/>
        <v>0.13337271852434765</v>
      </c>
      <c r="AV834" s="32">
        <f t="shared" ref="AV834:AW834" si="10292">AV590/AV613</f>
        <v>0.1349695803169747</v>
      </c>
      <c r="AW834" s="32">
        <f t="shared" si="10292"/>
        <v>0.12196864181718027</v>
      </c>
      <c r="AX834" s="32">
        <f t="shared" ref="AX834" si="10293">AX590/AX613</f>
        <v>0.11775931291964375</v>
      </c>
      <c r="AY834" s="31">
        <f t="shared" ref="AY834" si="10294">AY590/AY613</f>
        <v>0.12034535173057506</v>
      </c>
      <c r="AZ834" s="30">
        <f t="shared" ref="AZ834:BA834" si="10295">AZ590/AZ613</f>
        <v>0.12222691222660555</v>
      </c>
      <c r="BA834" s="30">
        <f t="shared" si="10295"/>
        <v>0.12491240172017685</v>
      </c>
      <c r="BB834" s="30">
        <f t="shared" ref="BB834:BC834" si="10296">BB590/BB613</f>
        <v>0.12596089185690604</v>
      </c>
      <c r="BC834" s="30">
        <f t="shared" si="10296"/>
        <v>0.12409317790658439</v>
      </c>
      <c r="BD834" s="30">
        <f t="shared" ref="BD834:BE834" si="10297">BD590/BD613</f>
        <v>0.12312120437641005</v>
      </c>
      <c r="BE834" s="30">
        <f t="shared" si="10297"/>
        <v>0.12124542651726326</v>
      </c>
      <c r="BF834" s="30">
        <f t="shared" ref="BF834:BG834" si="10298">BF590/BF613</f>
        <v>0.12030922746360177</v>
      </c>
      <c r="BG834" s="30">
        <f t="shared" si="10298"/>
        <v>0.11884835474899448</v>
      </c>
      <c r="BH834" s="30">
        <f t="shared" ref="BH834:BI834" si="10299">BH590/BH613</f>
        <v>0.11936219990587769</v>
      </c>
      <c r="BI834" s="30">
        <f t="shared" si="10299"/>
        <v>0.11923978192458752</v>
      </c>
      <c r="BJ834" s="30">
        <f t="shared" ref="BJ834:BK834" si="10300">BJ590/BJ613</f>
        <v>0.119800858135588</v>
      </c>
      <c r="BK834" s="30">
        <f t="shared" si="10300"/>
        <v>0.12036923255572936</v>
      </c>
      <c r="BL834" s="30">
        <f t="shared" ref="BL834:BM834" si="10301">BL590/BL613</f>
        <v>0.12120248299569437</v>
      </c>
      <c r="BM834" s="30">
        <f t="shared" si="10301"/>
        <v>0.12152176365177289</v>
      </c>
      <c r="BN834" s="30">
        <f t="shared" ref="BN834:BO834" si="10302">BN590/BN613</f>
        <v>0.12188686656296453</v>
      </c>
      <c r="BO834" s="30">
        <f t="shared" si="10302"/>
        <v>0.12183370505084869</v>
      </c>
      <c r="BP834" s="30">
        <f t="shared" ref="BP834:BQ834" si="10303">BP590/BP613</f>
        <v>0.1218842794889623</v>
      </c>
      <c r="BQ834" s="30">
        <f t="shared" si="10303"/>
        <v>0.12159865768367244</v>
      </c>
      <c r="BR834" s="30"/>
      <c r="BS834" s="207">
        <f t="shared" ref="BS834:CB834" si="10304">BS590/BS613</f>
        <v>4.7954301628085012E-2</v>
      </c>
      <c r="BT834" s="207">
        <f t="shared" si="10304"/>
        <v>5.4811345303148587E-2</v>
      </c>
      <c r="BU834" s="207">
        <f t="shared" si="10304"/>
        <v>6.5147907980059719E-2</v>
      </c>
      <c r="BV834" s="207">
        <f t="shared" si="10304"/>
        <v>6.6240550820935051E-2</v>
      </c>
      <c r="BW834" s="207">
        <f t="shared" si="10304"/>
        <v>6.7078712961279763E-2</v>
      </c>
      <c r="BX834" s="207">
        <f t="shared" si="10304"/>
        <v>6.5682496914656094E-2</v>
      </c>
      <c r="BY834" s="207">
        <f t="shared" si="10304"/>
        <v>7.1570079933847855E-2</v>
      </c>
      <c r="BZ834" s="207">
        <f t="shared" si="10304"/>
        <v>7.9034540017113283E-2</v>
      </c>
      <c r="CA834" s="207">
        <f t="shared" si="10304"/>
        <v>7.4332243538338172E-2</v>
      </c>
      <c r="CB834" s="207">
        <f t="shared" si="10304"/>
        <v>7.4657332403740409E-2</v>
      </c>
      <c r="CC834" s="30">
        <f t="shared" ref="CC834:CO834" si="10305">CC590/CC613</f>
        <v>6.9142089256665956E-2</v>
      </c>
      <c r="CD834" s="30">
        <f t="shared" si="10305"/>
        <v>6.3362663621421456E-2</v>
      </c>
      <c r="CE834" s="30">
        <f t="shared" si="10305"/>
        <v>5.6374377791633019E-2</v>
      </c>
      <c r="CF834" s="30">
        <f t="shared" si="10305"/>
        <v>5.4364622643672367E-2</v>
      </c>
      <c r="CG834" s="30">
        <f t="shared" si="10305"/>
        <v>5.1558838448413913E-2</v>
      </c>
      <c r="CH834" s="30">
        <f t="shared" si="10305"/>
        <v>4.965741510449663E-2</v>
      </c>
      <c r="CI834" s="30">
        <f t="shared" si="10305"/>
        <v>6.4953140578265206E-2</v>
      </c>
      <c r="CJ834" s="30">
        <f t="shared" si="10305"/>
        <v>9.8324275165244487E-2</v>
      </c>
      <c r="CK834" s="30">
        <f t="shared" si="10305"/>
        <v>9.1034057477614047E-2</v>
      </c>
      <c r="CL834" s="30">
        <f t="shared" si="10305"/>
        <v>9.5905605478483133E-2</v>
      </c>
      <c r="CM834" s="32">
        <f t="shared" si="10305"/>
        <v>0.10406669936243257</v>
      </c>
      <c r="CN834" s="32">
        <f t="shared" si="10305"/>
        <v>0.10004832244629777</v>
      </c>
      <c r="CO834" s="32">
        <f t="shared" si="10305"/>
        <v>0.10287323761270376</v>
      </c>
      <c r="CP834" s="32">
        <f t="shared" ref="CP834:CX834" si="10306">CP590/CP613</f>
        <v>0.11015265145775137</v>
      </c>
      <c r="CQ834" s="32">
        <f t="shared" si="10306"/>
        <v>0.11154352006772092</v>
      </c>
      <c r="CR834" s="32">
        <f t="shared" si="10306"/>
        <v>0.12271920293082052</v>
      </c>
      <c r="CS834" s="32">
        <f t="shared" si="10306"/>
        <v>0.13245156703596184</v>
      </c>
      <c r="CT834" s="32">
        <f t="shared" si="10306"/>
        <v>0.11357177289962371</v>
      </c>
      <c r="CU834" s="32">
        <f t="shared" si="10306"/>
        <v>0.11250535651072234</v>
      </c>
      <c r="CV834" s="32">
        <f t="shared" si="10306"/>
        <v>0.12343361708877491</v>
      </c>
      <c r="CW834" s="32">
        <f t="shared" si="10306"/>
        <v>0.12287175788070848</v>
      </c>
      <c r="CX834" s="32">
        <f t="shared" si="10306"/>
        <v>0.13337271852434765</v>
      </c>
      <c r="CY834" s="32">
        <f t="shared" ref="CY834:DD834" si="10307">CY590/CY613</f>
        <v>0.12196864181718027</v>
      </c>
      <c r="CZ834" s="31">
        <f t="shared" si="10307"/>
        <v>0.12034535173057506</v>
      </c>
      <c r="DA834" s="30">
        <f t="shared" si="10307"/>
        <v>0.12491240172017685</v>
      </c>
      <c r="DB834" s="30">
        <f t="shared" si="10307"/>
        <v>0.12409317790658436</v>
      </c>
      <c r="DC834" s="30">
        <f t="shared" si="10307"/>
        <v>0.12124542651726324</v>
      </c>
      <c r="DD834" s="30">
        <f t="shared" si="10307"/>
        <v>0.11884835474899448</v>
      </c>
      <c r="DE834" s="30">
        <f t="shared" ref="DE834" si="10308">DE590/DE613</f>
        <v>0.11923978192458749</v>
      </c>
      <c r="DF834" s="30">
        <f t="shared" ref="DF834" si="10309">DF590/DF613</f>
        <v>0.1203692325557293</v>
      </c>
      <c r="DG834" s="30">
        <f>DG590/DG613</f>
        <v>0.12152176365177281</v>
      </c>
      <c r="DH834" s="30">
        <f>DH590/DH613</f>
        <v>0.12183370505084863</v>
      </c>
      <c r="DI834" s="30">
        <f>DI590/DI613</f>
        <v>0.12159865768367237</v>
      </c>
    </row>
    <row r="835" spans="1:113" ht="12" outlineLevel="1">
      <c r="A835" s="1" t="s">
        <v>2301</v>
      </c>
      <c r="B835" s="15" t="s">
        <v>2302</v>
      </c>
      <c r="C835" s="207"/>
      <c r="D835" s="207"/>
      <c r="E835" s="207"/>
      <c r="F835" s="207"/>
      <c r="G835" s="207"/>
      <c r="H835" s="207"/>
      <c r="I835" s="207"/>
      <c r="J835" s="207"/>
      <c r="K835" s="207"/>
      <c r="L835" s="207"/>
      <c r="M835" s="207"/>
      <c r="N835" s="207"/>
      <c r="O835" s="207"/>
      <c r="P835" s="207"/>
      <c r="Q835" s="207"/>
      <c r="R835" s="207"/>
      <c r="S835" s="207"/>
      <c r="T835" s="209"/>
      <c r="U835" s="207"/>
      <c r="V835" s="207"/>
      <c r="W835" s="207"/>
      <c r="X835" s="207"/>
      <c r="Y835" s="209"/>
      <c r="Z835" s="209">
        <f t="shared" ref="Z835:AF835" si="10310">Z593/Z616</f>
        <v>0.1029621565989423</v>
      </c>
      <c r="AA835" s="209">
        <f t="shared" si="10310"/>
        <v>0.10782749473125727</v>
      </c>
      <c r="AB835" s="209">
        <f t="shared" si="10310"/>
        <v>0.10521783001607805</v>
      </c>
      <c r="AC835" s="209">
        <f t="shared" ref="AC835:AD835" si="10311">AC593/AC616</f>
        <v>0.12689336401782431</v>
      </c>
      <c r="AD835" s="209">
        <f t="shared" si="10311"/>
        <v>0.12420399728069108</v>
      </c>
      <c r="AE835" s="209">
        <f t="shared" ref="AE835" si="10312">AE593/AE616</f>
        <v>0.13185084229618074</v>
      </c>
      <c r="AF835" s="209">
        <f t="shared" si="10310"/>
        <v>0.14011631709735153</v>
      </c>
      <c r="AG835" s="209">
        <f t="shared" ref="AG835:AL835" si="10313">AG593/AG616</f>
        <v>0.14510555531080666</v>
      </c>
      <c r="AH835" s="209">
        <f t="shared" si="10313"/>
        <v>0.15229206125327421</v>
      </c>
      <c r="AI835" s="209">
        <f t="shared" si="10313"/>
        <v>0.15768812593802817</v>
      </c>
      <c r="AJ835" s="209">
        <f t="shared" si="10313"/>
        <v>0.16343340062712083</v>
      </c>
      <c r="AK835" s="209">
        <f t="shared" si="10313"/>
        <v>0.16940816744281256</v>
      </c>
      <c r="AL835" s="209">
        <f t="shared" si="10313"/>
        <v>0.16888527370038683</v>
      </c>
      <c r="AM835" s="209">
        <f t="shared" ref="AM835:AN835" si="10314">AM593/AM616</f>
        <v>0.16357177289962371</v>
      </c>
      <c r="AN835" s="209">
        <f t="shared" si="10314"/>
        <v>0.15398600482837876</v>
      </c>
      <c r="AO835" s="209">
        <f t="shared" ref="AO835" si="10315">AO593/AO616</f>
        <v>0.16650535651072235</v>
      </c>
      <c r="AP835" s="209">
        <f t="shared" ref="AP835:AQ835" si="10316">AP593/AP616</f>
        <v>0.18142486635339544</v>
      </c>
      <c r="AQ835" s="209">
        <f t="shared" si="10316"/>
        <v>0.18343361708877493</v>
      </c>
      <c r="AR835" s="209">
        <f t="shared" ref="AR835:AS835" si="10317">AR593/AR616</f>
        <v>0.1803456189628006</v>
      </c>
      <c r="AS835" s="209">
        <f t="shared" si="10317"/>
        <v>0.19187175788070848</v>
      </c>
      <c r="AT835" s="209">
        <f t="shared" ref="AT835:AU835" si="10318">AT593/AT616</f>
        <v>0.18875466230706706</v>
      </c>
      <c r="AU835" s="209">
        <f t="shared" si="10318"/>
        <v>0.19737271852434768</v>
      </c>
      <c r="AV835" s="209">
        <f t="shared" ref="AV835:AW835" si="10319">AV593/AV616</f>
        <v>0.19676958031697472</v>
      </c>
      <c r="AW835" s="209">
        <f t="shared" si="10319"/>
        <v>0.17606864181718021</v>
      </c>
      <c r="AX835" s="209">
        <f t="shared" ref="AX835" si="10320">AX593/AX616</f>
        <v>0.17015931291964376</v>
      </c>
      <c r="AY835" s="208">
        <f t="shared" ref="AY835" si="10321">AY593/AY616</f>
        <v>0.17274535173057506</v>
      </c>
      <c r="AZ835" s="207">
        <f t="shared" ref="AZ835:BA835" si="10322">AZ593/AZ616</f>
        <v>0.17566233728534508</v>
      </c>
      <c r="BA835" s="207">
        <f t="shared" si="10322"/>
        <v>0.17958930135402831</v>
      </c>
      <c r="BB835" s="207">
        <f t="shared" ref="BB835:BC835" si="10323">BB593/BB616</f>
        <v>0.18165565474163362</v>
      </c>
      <c r="BC835" s="207">
        <f t="shared" si="10323"/>
        <v>0.18032689921557871</v>
      </c>
      <c r="BD835" s="207">
        <f t="shared" ref="BD835:BE835" si="10324">BD593/BD616</f>
        <v>0.18018642517652625</v>
      </c>
      <c r="BE835" s="207">
        <f t="shared" si="10324"/>
        <v>0.1786730535107586</v>
      </c>
      <c r="BF835" s="207">
        <f t="shared" ref="BF835:BG835" si="10325">BF593/BF616</f>
        <v>0.17842784625160762</v>
      </c>
      <c r="BG835" s="207">
        <f t="shared" si="10325"/>
        <v>0.17739094816897985</v>
      </c>
      <c r="BH835" s="207">
        <f t="shared" ref="BH835:BI835" si="10326">BH593/BH616</f>
        <v>0.17850534482946756</v>
      </c>
      <c r="BI835" s="207">
        <f t="shared" si="10326"/>
        <v>0.17863791253586789</v>
      </c>
      <c r="BJ835" s="207">
        <f t="shared" ref="BJ835:BK835" si="10327">BJ593/BJ616</f>
        <v>0.17965300697868067</v>
      </c>
      <c r="BK835" s="207">
        <f t="shared" si="10327"/>
        <v>0.18086478877983803</v>
      </c>
      <c r="BL835" s="207">
        <f t="shared" ref="BL835:BM835" si="10328">BL593/BL616</f>
        <v>0.18244690671310884</v>
      </c>
      <c r="BM835" s="207">
        <f t="shared" si="10328"/>
        <v>0.18332013257974786</v>
      </c>
      <c r="BN835" s="207">
        <f t="shared" ref="BN835:BO835" si="10329">BN593/BN616</f>
        <v>0.1841258448933891</v>
      </c>
      <c r="BO835" s="207">
        <f t="shared" si="10329"/>
        <v>0.18434679918655181</v>
      </c>
      <c r="BP835" s="207">
        <f t="shared" ref="BP835:BQ835" si="10330">BP593/BP616</f>
        <v>0.18460234614927268</v>
      </c>
      <c r="BQ835" s="207">
        <f t="shared" si="10330"/>
        <v>0.18437902092448291</v>
      </c>
      <c r="BR835" s="207"/>
      <c r="BS835" s="207"/>
      <c r="BT835" s="207"/>
      <c r="BU835" s="207"/>
      <c r="BV835" s="207"/>
      <c r="BW835" s="207"/>
      <c r="BX835" s="207"/>
      <c r="BY835" s="207"/>
      <c r="BZ835" s="207"/>
      <c r="CA835" s="207"/>
      <c r="CB835" s="207"/>
      <c r="CC835" s="207"/>
      <c r="CD835" s="207"/>
      <c r="CE835" s="207"/>
      <c r="CF835" s="207"/>
      <c r="CG835" s="207"/>
      <c r="CH835" s="207"/>
      <c r="CI835" s="207"/>
      <c r="CJ835" s="207"/>
      <c r="CK835" s="207"/>
      <c r="CL835" s="207"/>
      <c r="CM835" s="209"/>
      <c r="CN835" s="209">
        <f t="shared" ref="CN835:CS835" si="10331">CN593/CN616</f>
        <v>0.12955147527597516</v>
      </c>
      <c r="CO835" s="209">
        <f>CO593/CO616</f>
        <v>0.15569219461660663</v>
      </c>
      <c r="CP835" s="209">
        <f t="shared" si="10331"/>
        <v>0.15728881200248931</v>
      </c>
      <c r="CQ835" s="209">
        <f t="shared" si="10331"/>
        <v>0.17747704600077549</v>
      </c>
      <c r="CR835" s="209">
        <f t="shared" si="10331"/>
        <v>0.19192149705157835</v>
      </c>
      <c r="CS835" s="209">
        <f t="shared" si="10331"/>
        <v>0.20516749984529351</v>
      </c>
      <c r="CT835" s="209">
        <f t="shared" ref="CT835:CU835" si="10332">CT593/CT616</f>
        <v>0.16357177289962371</v>
      </c>
      <c r="CU835" s="209">
        <f t="shared" si="10332"/>
        <v>0.16650535651072235</v>
      </c>
      <c r="CV835" s="209">
        <f t="shared" ref="CV835:CW835" si="10333">CV593/CV616</f>
        <v>0.18343361708877493</v>
      </c>
      <c r="CW835" s="209">
        <f t="shared" si="10333"/>
        <v>0.19187175788070848</v>
      </c>
      <c r="CX835" s="209">
        <f t="shared" ref="CX835" si="10334">CX593/CX616</f>
        <v>0.19737271852434768</v>
      </c>
      <c r="CY835" s="209">
        <f t="shared" ref="CY835:CZ835" si="10335">CY593/CY616</f>
        <v>0.17606864181718021</v>
      </c>
      <c r="CZ835" s="208">
        <f t="shared" si="10335"/>
        <v>0.17274535173057506</v>
      </c>
      <c r="DA835" s="207">
        <f t="shared" ref="DA835:DB835" si="10336">DA593/DA616</f>
        <v>0.17958930135402831</v>
      </c>
      <c r="DB835" s="207">
        <f t="shared" si="10336"/>
        <v>0.18032689921557871</v>
      </c>
      <c r="DC835" s="207">
        <f t="shared" ref="DC835" si="10337">DC593/DC616</f>
        <v>0.17867305351075852</v>
      </c>
      <c r="DD835" s="207">
        <f t="shared" ref="DD835:DI835" si="10338">DD593/DD616</f>
        <v>0.17739094816897985</v>
      </c>
      <c r="DE835" s="207">
        <f t="shared" si="10338"/>
        <v>0.1786379125358678</v>
      </c>
      <c r="DF835" s="207">
        <f t="shared" si="10338"/>
        <v>0.18086478877983794</v>
      </c>
      <c r="DG835" s="207">
        <f t="shared" si="10338"/>
        <v>0.18332013257974775</v>
      </c>
      <c r="DH835" s="207">
        <f t="shared" si="10338"/>
        <v>0.18434679918655172</v>
      </c>
      <c r="DI835" s="207">
        <f t="shared" si="10338"/>
        <v>0.18437902092448283</v>
      </c>
    </row>
    <row r="836" spans="1:113" ht="12" outlineLevel="1">
      <c r="A836" s="1" t="s">
        <v>958</v>
      </c>
      <c r="B836" s="15" t="s">
        <v>547</v>
      </c>
      <c r="C836" s="207">
        <f>C587/C613</f>
        <v>7.4657332403740409E-2</v>
      </c>
      <c r="D836" s="207">
        <f>D587/D613</f>
        <v>7.8194922388456489E-2</v>
      </c>
      <c r="E836" s="207">
        <f>E587/E613</f>
        <v>7.9220595515948788E-2</v>
      </c>
      <c r="F836" s="207">
        <f t="shared" ref="F836:L836" si="10339">F587/F613</f>
        <v>7.7461424062771275E-2</v>
      </c>
      <c r="G836" s="207">
        <f t="shared" si="10339"/>
        <v>7.7153597434347146E-2</v>
      </c>
      <c r="H836" s="207">
        <f t="shared" si="10339"/>
        <v>6.9967822859199488E-2</v>
      </c>
      <c r="I836" s="207">
        <f t="shared" si="10339"/>
        <v>6.8980596347069115E-2</v>
      </c>
      <c r="J836" s="207">
        <f t="shared" si="10339"/>
        <v>7.0063572669479393E-2</v>
      </c>
      <c r="K836" s="207">
        <f t="shared" si="10339"/>
        <v>6.9029434402226142E-2</v>
      </c>
      <c r="L836" s="207">
        <f t="shared" si="10339"/>
        <v>6.84534777349525E-2</v>
      </c>
      <c r="M836" s="30">
        <f t="shared" ref="M836:AF836" si="10340">M587/M613</f>
        <v>6.8092032686839929E-2</v>
      </c>
      <c r="N836" s="30">
        <f t="shared" si="10340"/>
        <v>6.6874263927979724E-2</v>
      </c>
      <c r="O836" s="30">
        <f t="shared" si="10340"/>
        <v>6.7006523209389934E-2</v>
      </c>
      <c r="P836" s="30">
        <f t="shared" si="10340"/>
        <v>6.8444703648041394E-2</v>
      </c>
      <c r="Q836" s="30">
        <f t="shared" si="10340"/>
        <v>7.7074725705613689E-2</v>
      </c>
      <c r="R836" s="30">
        <f t="shared" si="10340"/>
        <v>8.1681987453806226E-2</v>
      </c>
      <c r="S836" s="30">
        <f t="shared" si="10340"/>
        <v>0.10560203753734097</v>
      </c>
      <c r="T836" s="32">
        <f t="shared" si="10340"/>
        <v>0.10695651126079989</v>
      </c>
      <c r="U836" s="30">
        <f t="shared" si="10340"/>
        <v>0.10100968052012928</v>
      </c>
      <c r="V836" s="30">
        <f t="shared" si="10340"/>
        <v>0.10509544498100183</v>
      </c>
      <c r="W836" s="30">
        <f t="shared" si="10340"/>
        <v>0.10935691731794088</v>
      </c>
      <c r="X836" s="30">
        <f t="shared" si="10340"/>
        <v>0.11265429931609769</v>
      </c>
      <c r="Y836" s="32">
        <f>Y587/Y613</f>
        <v>0.10829371016163589</v>
      </c>
      <c r="Z836" s="32">
        <f t="shared" si="10340"/>
        <v>9.8393586746935657E-2</v>
      </c>
      <c r="AA836" s="32">
        <f t="shared" si="10340"/>
        <v>0.1036947518901154</v>
      </c>
      <c r="AB836" s="32">
        <f t="shared" si="10340"/>
        <v>0.10339579752730499</v>
      </c>
      <c r="AC836" s="32">
        <f t="shared" ref="AC836:AD836" si="10341">AC587/AC613</f>
        <v>0.10677151763758924</v>
      </c>
      <c r="AD836" s="32">
        <f t="shared" si="10341"/>
        <v>0.1062081408664049</v>
      </c>
      <c r="AE836" s="32">
        <f t="shared" ref="AE836" si="10342">AE587/AE613</f>
        <v>0.1131620129522786</v>
      </c>
      <c r="AF836" s="32">
        <f t="shared" si="10340"/>
        <v>0.11603898695713752</v>
      </c>
      <c r="AG836" s="32">
        <f t="shared" ref="AG836:AH836" si="10343">AG587/AG613</f>
        <v>0.11817701220318076</v>
      </c>
      <c r="AH836" s="32">
        <f t="shared" si="10343"/>
        <v>0.12112381624017732</v>
      </c>
      <c r="AI836" s="32">
        <f t="shared" ref="AI836:AJ836" si="10344">AI587/AI613</f>
        <v>0.12611189093689038</v>
      </c>
      <c r="AJ836" s="32">
        <f t="shared" si="10344"/>
        <v>0.12917627856090677</v>
      </c>
      <c r="AK836" s="32">
        <f t="shared" ref="AK836:AL836" si="10345">AK587/AK613</f>
        <v>0.13366767309758967</v>
      </c>
      <c r="AL836" s="32">
        <f t="shared" si="10345"/>
        <v>0.13392935999051203</v>
      </c>
      <c r="AM836" s="32">
        <f t="shared" ref="AM836:AN836" si="10346">AM587/AM613</f>
        <v>0.13243684661155361</v>
      </c>
      <c r="AN836" s="32">
        <f t="shared" si="10346"/>
        <v>0.12472272455969996</v>
      </c>
      <c r="AO836" s="32">
        <f t="shared" ref="AO836" si="10347">AO587/AO613</f>
        <v>0.13062200734074861</v>
      </c>
      <c r="AP836" s="32">
        <f t="shared" ref="AP836:AQ836" si="10348">AP587/AP613</f>
        <v>0.14315499086156122</v>
      </c>
      <c r="AQ836" s="32">
        <f t="shared" si="10348"/>
        <v>0.14293439337060126</v>
      </c>
      <c r="AR836" s="32">
        <f t="shared" ref="AR836:AS836" si="10349">AR587/AR613</f>
        <v>0.13244959009842205</v>
      </c>
      <c r="AS836" s="32">
        <f t="shared" si="10349"/>
        <v>0.1397745415840147</v>
      </c>
      <c r="AT836" s="32">
        <f t="shared" ref="AT836:AU836" si="10350">AT587/AT613</f>
        <v>0.15054625109640563</v>
      </c>
      <c r="AU836" s="32">
        <f t="shared" si="10350"/>
        <v>0.15236991925266599</v>
      </c>
      <c r="AV836" s="32">
        <f t="shared" ref="AV836:AW836" si="10351">AV587/AV613</f>
        <v>0.15414102809979227</v>
      </c>
      <c r="AW836" s="32">
        <f t="shared" si="10351"/>
        <v>0.14034600588469753</v>
      </c>
      <c r="AX836" s="32">
        <f t="shared" ref="AX836" si="10352">AX587/AX613</f>
        <v>0.13362928279164774</v>
      </c>
      <c r="AY836" s="31">
        <f t="shared" ref="AY836" si="10353">AY587/AY613</f>
        <v>0.13638950859999083</v>
      </c>
      <c r="AZ836" s="30">
        <f t="shared" ref="AZ836:BA836" si="10354">AZ587/AZ613</f>
        <v>0.13778068926855858</v>
      </c>
      <c r="BA836" s="30">
        <f t="shared" si="10354"/>
        <v>0.14031379718085368</v>
      </c>
      <c r="BB836" s="30">
        <f t="shared" ref="BB836:BC836" si="10355">BB587/BB613</f>
        <v>0.14122777375949447</v>
      </c>
      <c r="BC836" s="30">
        <f t="shared" si="10355"/>
        <v>0.13921248127236993</v>
      </c>
      <c r="BD836" s="30">
        <f t="shared" ref="BD836:BE836" si="10356">BD587/BD613</f>
        <v>0.13810309083538799</v>
      </c>
      <c r="BE836" s="30">
        <f t="shared" si="10356"/>
        <v>0.13607344221744963</v>
      </c>
      <c r="BF836" s="30">
        <f t="shared" ref="BF836:BG836" si="10357">BF587/BF613</f>
        <v>0.13500257590252529</v>
      </c>
      <c r="BG836" s="30">
        <f t="shared" si="10357"/>
        <v>0.13340985725819815</v>
      </c>
      <c r="BH836" s="30">
        <f t="shared" ref="BH836:BI836" si="10358">BH587/BH613</f>
        <v>0.13371546797781458</v>
      </c>
      <c r="BI836" s="30">
        <f t="shared" si="10358"/>
        <v>0.13339305664185339</v>
      </c>
      <c r="BJ836" s="30">
        <f t="shared" ref="BJ836:BK836" si="10359">BJ587/BJ613</f>
        <v>0.13373497050226824</v>
      </c>
      <c r="BK836" s="30">
        <f t="shared" si="10359"/>
        <v>0.13410660177416556</v>
      </c>
      <c r="BL836" s="30">
        <f t="shared" ref="BL836:BM836" si="10360">BL587/BL613</f>
        <v>0.1347446405682198</v>
      </c>
      <c r="BM836" s="30">
        <f t="shared" si="10360"/>
        <v>0.13487026942091088</v>
      </c>
      <c r="BN836" s="30">
        <f t="shared" ref="BN836:BO836" si="10361">BN587/BN613</f>
        <v>0.13502331815903826</v>
      </c>
      <c r="BO836" s="30">
        <f t="shared" si="10361"/>
        <v>0.1347606311123549</v>
      </c>
      <c r="BP836" s="30">
        <f t="shared" ref="BP836:BQ836" si="10362">BP587/BP613</f>
        <v>0.13458865074022919</v>
      </c>
      <c r="BQ836" s="30">
        <f t="shared" si="10362"/>
        <v>0.13408312592800309</v>
      </c>
      <c r="BR836" s="30"/>
      <c r="BS836" s="207">
        <f t="shared" ref="BS836:CB836" si="10363">BS587/BS613</f>
        <v>4.7950585104669687E-2</v>
      </c>
      <c r="BT836" s="207">
        <f t="shared" si="10363"/>
        <v>5.9143897996357019E-2</v>
      </c>
      <c r="BU836" s="207">
        <f t="shared" si="10363"/>
        <v>6.7923237797098399E-2</v>
      </c>
      <c r="BV836" s="207">
        <f t="shared" si="10363"/>
        <v>6.6240550820935051E-2</v>
      </c>
      <c r="BW836" s="207">
        <f t="shared" si="10363"/>
        <v>6.7078712961279763E-2</v>
      </c>
      <c r="BX836" s="207">
        <f t="shared" si="10363"/>
        <v>6.5682496914656094E-2</v>
      </c>
      <c r="BY836" s="207">
        <f t="shared" si="10363"/>
        <v>7.1570079933847855E-2</v>
      </c>
      <c r="BZ836" s="207">
        <f t="shared" si="10363"/>
        <v>7.9034540017113283E-2</v>
      </c>
      <c r="CA836" s="207">
        <f t="shared" si="10363"/>
        <v>7.4332243538338172E-2</v>
      </c>
      <c r="CB836" s="207">
        <f t="shared" si="10363"/>
        <v>7.4657332403740409E-2</v>
      </c>
      <c r="CC836" s="30">
        <f t="shared" ref="CC836:CO836" si="10364">CC587/CC613</f>
        <v>7.9220595515948788E-2</v>
      </c>
      <c r="CD836" s="30">
        <f t="shared" si="10364"/>
        <v>7.749532981721928E-2</v>
      </c>
      <c r="CE836" s="30">
        <f t="shared" si="10364"/>
        <v>6.9329599231374633E-2</v>
      </c>
      <c r="CF836" s="30">
        <f t="shared" si="10364"/>
        <v>6.9501061522447879E-2</v>
      </c>
      <c r="CG836" s="30">
        <f t="shared" si="10364"/>
        <v>6.5568891143315877E-2</v>
      </c>
      <c r="CH836" s="30">
        <f t="shared" si="10364"/>
        <v>6.4862251941802687E-2</v>
      </c>
      <c r="CI836" s="30">
        <f t="shared" si="10364"/>
        <v>8.4662013958125629E-2</v>
      </c>
      <c r="CJ836" s="30">
        <f t="shared" si="10364"/>
        <v>0.11582996462310333</v>
      </c>
      <c r="CK836" s="30">
        <f t="shared" si="10364"/>
        <v>0.11430002954816994</v>
      </c>
      <c r="CL836" s="30">
        <f t="shared" si="10364"/>
        <v>0.12304081534232482</v>
      </c>
      <c r="CM836" s="32">
        <f t="shared" si="10364"/>
        <v>0.12751741049534085</v>
      </c>
      <c r="CN836" s="32">
        <f t="shared" si="10364"/>
        <v>0.12230098278817039</v>
      </c>
      <c r="CO836" s="32">
        <f t="shared" si="10364"/>
        <v>0.12496883953574955</v>
      </c>
      <c r="CP836" s="32">
        <f t="shared" ref="CP836:CX836" si="10365">CP587/CP613</f>
        <v>0.13004680472679134</v>
      </c>
      <c r="CQ836" s="32">
        <f t="shared" si="10365"/>
        <v>0.13716043666360825</v>
      </c>
      <c r="CR836" s="32">
        <f t="shared" si="10365"/>
        <v>0.14643414857170001</v>
      </c>
      <c r="CS836" s="32">
        <f t="shared" si="10365"/>
        <v>0.15474850405829729</v>
      </c>
      <c r="CT836" s="32">
        <f t="shared" si="10365"/>
        <v>0.13243684661155361</v>
      </c>
      <c r="CU836" s="32">
        <f t="shared" si="10365"/>
        <v>0.13062200734074861</v>
      </c>
      <c r="CV836" s="32">
        <f t="shared" si="10365"/>
        <v>0.14293439337060126</v>
      </c>
      <c r="CW836" s="32">
        <f t="shared" si="10365"/>
        <v>0.1397745415840147</v>
      </c>
      <c r="CX836" s="32">
        <f t="shared" si="10365"/>
        <v>0.15236991925266599</v>
      </c>
      <c r="CY836" s="32">
        <f t="shared" ref="CY836:DD836" si="10366">CY587/CY613</f>
        <v>0.14034600588469753</v>
      </c>
      <c r="CZ836" s="31">
        <f t="shared" si="10366"/>
        <v>0.13638950859999083</v>
      </c>
      <c r="DA836" s="30">
        <f t="shared" si="10366"/>
        <v>0.14031379718085368</v>
      </c>
      <c r="DB836" s="30">
        <f t="shared" si="10366"/>
        <v>0.1392124812723699</v>
      </c>
      <c r="DC836" s="30">
        <f t="shared" si="10366"/>
        <v>0.1360734422174496</v>
      </c>
      <c r="DD836" s="30">
        <f t="shared" si="10366"/>
        <v>0.13340985725819815</v>
      </c>
      <c r="DE836" s="30">
        <f t="shared" ref="DE836" si="10367">DE587/DE613</f>
        <v>0.13339305664185336</v>
      </c>
      <c r="DF836" s="30">
        <f t="shared" ref="DF836" si="10368">DF587/DF613</f>
        <v>0.1341066017741655</v>
      </c>
      <c r="DG836" s="30">
        <f>DG587/DG613</f>
        <v>0.13487026942091079</v>
      </c>
      <c r="DH836" s="30">
        <f>DH587/DH613</f>
        <v>0.13476063111235484</v>
      </c>
      <c r="DI836" s="30">
        <f>DI587/DI613</f>
        <v>0.13408312592800301</v>
      </c>
    </row>
    <row r="837" spans="1:113" ht="12" outlineLevel="1">
      <c r="A837" s="1" t="s">
        <v>959</v>
      </c>
      <c r="B837" s="15" t="s">
        <v>655</v>
      </c>
      <c r="C837" s="207">
        <f>C607/C613</f>
        <v>0.1030698129074456</v>
      </c>
      <c r="D837" s="207">
        <f>D607/D613</f>
        <v>0.10395959178248092</v>
      </c>
      <c r="E837" s="207">
        <f>E607/E613</f>
        <v>9.502086427611571E-2</v>
      </c>
      <c r="F837" s="207">
        <f t="shared" ref="F837:L837" si="10369">F607/F613</f>
        <v>9.939234066607E-2</v>
      </c>
      <c r="G837" s="207">
        <f t="shared" si="10369"/>
        <v>0.11096580005783234</v>
      </c>
      <c r="H837" s="207">
        <f t="shared" si="10369"/>
        <v>0.10155943638971406</v>
      </c>
      <c r="I837" s="207">
        <f t="shared" si="10369"/>
        <v>0.10368445673839645</v>
      </c>
      <c r="J837" s="207">
        <f t="shared" si="10369"/>
        <v>0.10257536129512609</v>
      </c>
      <c r="K837" s="207">
        <f t="shared" si="10369"/>
        <v>0.10450738478774713</v>
      </c>
      <c r="L837" s="207">
        <f t="shared" si="10369"/>
        <v>0.10403940117839351</v>
      </c>
      <c r="M837" s="30">
        <f t="shared" ref="M837:AF837" si="10370">M607/M613</f>
        <v>0.10576598853546139</v>
      </c>
      <c r="N837" s="30">
        <f t="shared" si="10370"/>
        <v>0.10243727169291575</v>
      </c>
      <c r="O837" s="30">
        <f t="shared" si="10370"/>
        <v>0.10076794973419921</v>
      </c>
      <c r="P837" s="30">
        <f t="shared" si="10370"/>
        <v>0.10084639943772758</v>
      </c>
      <c r="Q837" s="30">
        <f t="shared" si="10370"/>
        <v>0.1109775844666962</v>
      </c>
      <c r="R837" s="30">
        <f t="shared" si="10370"/>
        <v>0.11033814911599889</v>
      </c>
      <c r="S837" s="30">
        <f t="shared" si="10370"/>
        <v>0.13658958459786805</v>
      </c>
      <c r="T837" s="32">
        <f t="shared" si="10370"/>
        <v>0.12957852836388029</v>
      </c>
      <c r="U837" s="30">
        <f t="shared" si="10370"/>
        <v>0.11923539785499655</v>
      </c>
      <c r="V837" s="30">
        <f t="shared" si="10370"/>
        <v>0.12131957795304198</v>
      </c>
      <c r="W837" s="30">
        <f t="shared" si="10370"/>
        <v>0.12069408924004515</v>
      </c>
      <c r="X837" s="30">
        <f t="shared" si="10370"/>
        <v>0.12568987066241627</v>
      </c>
      <c r="Y837" s="32">
        <f>Y607/Y613</f>
        <v>0.12186499355255749</v>
      </c>
      <c r="Z837" s="32">
        <f t="shared" si="10370"/>
        <v>0.11718570782002716</v>
      </c>
      <c r="AA837" s="32">
        <f t="shared" si="10370"/>
        <v>0.12194007634150296</v>
      </c>
      <c r="AB837" s="32">
        <f t="shared" si="10370"/>
        <v>0.12095692188279647</v>
      </c>
      <c r="AC837" s="32">
        <f t="shared" ref="AC837:AD837" si="10371">AC607/AC613</f>
        <v>0.1265154385955207</v>
      </c>
      <c r="AD837" s="32">
        <f t="shared" si="10371"/>
        <v>0.12615318601158548</v>
      </c>
      <c r="AE837" s="32">
        <f t="shared" ref="AE837" si="10372">AE607/AE613</f>
        <v>0.13294372003572699</v>
      </c>
      <c r="AF837" s="32">
        <f t="shared" si="10370"/>
        <v>0.13683546422547543</v>
      </c>
      <c r="AG837" s="32">
        <f t="shared" ref="AG837:AH837" si="10373">AG607/AG613</f>
        <v>0.14345467984394811</v>
      </c>
      <c r="AH837" s="32">
        <f t="shared" si="10373"/>
        <v>0.14542363489824703</v>
      </c>
      <c r="AI837" s="32">
        <f t="shared" ref="AI837:AJ837" si="10374">AI607/AI613</f>
        <v>0.14827684070843977</v>
      </c>
      <c r="AJ837" s="32">
        <f t="shared" si="10374"/>
        <v>0.14949074857811342</v>
      </c>
      <c r="AK837" s="32">
        <f t="shared" ref="AK837:AL837" si="10375">AK607/AK613</f>
        <v>0.15232332019855688</v>
      </c>
      <c r="AL837" s="32">
        <f t="shared" si="10375"/>
        <v>0.15302896104125505</v>
      </c>
      <c r="AM837" s="32">
        <f t="shared" ref="AM837:AN837" si="10376">AM607/AM613</f>
        <v>0.15293996320998846</v>
      </c>
      <c r="AN837" s="32">
        <f t="shared" si="10376"/>
        <v>0.1539246167140299</v>
      </c>
      <c r="AO837" s="32">
        <f t="shared" ref="AO837" si="10377">AO607/AO613</f>
        <v>0.16312671175451343</v>
      </c>
      <c r="AP837" s="32">
        <f t="shared" ref="AP837:AQ837" si="10378">AP607/AP613</f>
        <v>0.18349152060681193</v>
      </c>
      <c r="AQ837" s="32">
        <f t="shared" si="10378"/>
        <v>0.18409175026316674</v>
      </c>
      <c r="AR837" s="32">
        <f t="shared" ref="AR837:AS837" si="10379">AR607/AR613</f>
        <v>0.16620081751958166</v>
      </c>
      <c r="AS837" s="32">
        <f t="shared" si="10379"/>
        <v>0.18216784908448752</v>
      </c>
      <c r="AT837" s="32">
        <f t="shared" ref="AT837:AU837" si="10380">AT607/AT613</f>
        <v>0.20580968694462176</v>
      </c>
      <c r="AU837" s="32">
        <f t="shared" si="10380"/>
        <v>0.20996845338508793</v>
      </c>
      <c r="AV837" s="32">
        <f t="shared" ref="AV837:AW837" si="10381">AV607/AV613</f>
        <v>0.21935445111708285</v>
      </c>
      <c r="AW837" s="32">
        <f t="shared" si="10381"/>
        <v>0.20570690265169667</v>
      </c>
      <c r="AX837" s="32">
        <f t="shared" ref="AX837" si="10382">AX607/AX613</f>
        <v>0.20363156424640563</v>
      </c>
      <c r="AY837" s="31">
        <f t="shared" ref="AY837" si="10383">AY607/AY613</f>
        <v>0.21012240838997964</v>
      </c>
      <c r="AZ837" s="30">
        <f t="shared" ref="AZ837:BA837" si="10384">AZ607/AZ613</f>
        <v>0.20932081984645937</v>
      </c>
      <c r="BA837" s="30">
        <f t="shared" si="10384"/>
        <v>0.21121639881485504</v>
      </c>
      <c r="BB837" s="30">
        <f t="shared" ref="BB837:BC837" si="10385">BB607/BB613</f>
        <v>0.21156761964913604</v>
      </c>
      <c r="BC837" s="30">
        <f t="shared" si="10385"/>
        <v>0.20893427756752364</v>
      </c>
      <c r="BD837" s="30">
        <f t="shared" ref="BD837:BE837" si="10386">BD607/BD613</f>
        <v>0.20723989496164777</v>
      </c>
      <c r="BE837" s="30">
        <f t="shared" si="10386"/>
        <v>0.20455244496698546</v>
      </c>
      <c r="BF837" s="30">
        <f t="shared" ref="BF837:BG837" si="10387">BF607/BF613</f>
        <v>0.20290609540095889</v>
      </c>
      <c r="BG837" s="30">
        <f t="shared" si="10387"/>
        <v>0.2007499515603676</v>
      </c>
      <c r="BH837" s="30">
        <f t="shared" ref="BH837:BI837" si="10388">BH607/BH613</f>
        <v>0.20016442829229342</v>
      </c>
      <c r="BI837" s="30">
        <f t="shared" si="10388"/>
        <v>0.19898616960640936</v>
      </c>
      <c r="BJ837" s="30">
        <f t="shared" ref="BJ837:BK837" si="10389">BJ607/BJ613</f>
        <v>0.19838543632811359</v>
      </c>
      <c r="BK837" s="30">
        <f t="shared" si="10389"/>
        <v>0.1979109820405289</v>
      </c>
      <c r="BL837" s="30">
        <f t="shared" ref="BL837:BM837" si="10390">BL607/BL613</f>
        <v>0.19770947906214298</v>
      </c>
      <c r="BM837" s="30">
        <f t="shared" si="10390"/>
        <v>0.19700223289935903</v>
      </c>
      <c r="BN837" s="30">
        <f t="shared" ref="BN837:BO837" si="10391">BN607/BN613</f>
        <v>0.19624303082217265</v>
      </c>
      <c r="BO837" s="30">
        <f t="shared" si="10391"/>
        <v>0.19507893202970161</v>
      </c>
      <c r="BP837" s="30">
        <f t="shared" ref="BP837:BQ837" si="10392">BP607/BP613</f>
        <v>0.19394931661485912</v>
      </c>
      <c r="BQ837" s="30">
        <f t="shared" si="10392"/>
        <v>0.19249752510169776</v>
      </c>
      <c r="BR837" s="30"/>
      <c r="BS837" s="207">
        <f t="shared" ref="BS837:CB837" si="10393">BS607/BS613</f>
        <v>0.15686206494996319</v>
      </c>
      <c r="BT837" s="207">
        <f t="shared" si="10393"/>
        <v>0.10771012230028625</v>
      </c>
      <c r="BU837" s="207">
        <f t="shared" si="10393"/>
        <v>0.11264419219487813</v>
      </c>
      <c r="BV837" s="207">
        <f t="shared" si="10393"/>
        <v>0.10875583802782994</v>
      </c>
      <c r="BW837" s="207">
        <f t="shared" si="10393"/>
        <v>0.10500764566870195</v>
      </c>
      <c r="BX837" s="207">
        <f t="shared" si="10393"/>
        <v>9.8118646782292485E-2</v>
      </c>
      <c r="BY837" s="207">
        <f t="shared" si="10393"/>
        <v>0.10677370452039692</v>
      </c>
      <c r="BZ837" s="207">
        <f t="shared" si="10393"/>
        <v>0.10727144878300872</v>
      </c>
      <c r="CA837" s="207">
        <f t="shared" si="10393"/>
        <v>0.10225309974708531</v>
      </c>
      <c r="CB837" s="207">
        <f t="shared" si="10393"/>
        <v>0.1030698129074456</v>
      </c>
      <c r="CC837" s="30">
        <f t="shared" ref="CC837:CO837" si="10394">CC607/CC613</f>
        <v>9.502086427611571E-2</v>
      </c>
      <c r="CD837" s="30">
        <f t="shared" si="10394"/>
        <v>0.11145729505653726</v>
      </c>
      <c r="CE837" s="30">
        <f t="shared" si="10394"/>
        <v>0.10420904156914051</v>
      </c>
      <c r="CF837" s="30">
        <f t="shared" si="10394"/>
        <v>0.10522140652870696</v>
      </c>
      <c r="CG837" s="30">
        <f t="shared" si="10394"/>
        <v>0.10350754371329278</v>
      </c>
      <c r="CH837" s="30">
        <f t="shared" si="10394"/>
        <v>9.8864397903841855E-2</v>
      </c>
      <c r="CI837" s="30">
        <f t="shared" si="10394"/>
        <v>0.12190229312063809</v>
      </c>
      <c r="CJ837" s="30">
        <f t="shared" si="10394"/>
        <v>0.14981876411485961</v>
      </c>
      <c r="CK837" s="30">
        <f t="shared" si="10394"/>
        <v>0.13492379569795776</v>
      </c>
      <c r="CL837" s="30">
        <f t="shared" si="10394"/>
        <v>0.13579661452891154</v>
      </c>
      <c r="CM837" s="32">
        <f t="shared" si="10394"/>
        <v>0.14349779303580187</v>
      </c>
      <c r="CN837" s="32">
        <f t="shared" si="10394"/>
        <v>0.14382011534811281</v>
      </c>
      <c r="CO837" s="32">
        <f t="shared" si="10394"/>
        <v>0.14807776356896579</v>
      </c>
      <c r="CP837" s="32">
        <f t="shared" ref="CP837:CX837" si="10395">CP607/CP613</f>
        <v>0.15278012071445113</v>
      </c>
      <c r="CQ837" s="32">
        <f t="shared" si="10395"/>
        <v>0.16649859530214497</v>
      </c>
      <c r="CR837" s="32">
        <f t="shared" si="10395"/>
        <v>0.17217086161135753</v>
      </c>
      <c r="CS837" s="32">
        <f t="shared" si="10395"/>
        <v>0.17634634753243675</v>
      </c>
      <c r="CT837" s="32">
        <f t="shared" si="10395"/>
        <v>0.15293996320998846</v>
      </c>
      <c r="CU837" s="32">
        <f t="shared" si="10395"/>
        <v>0.16312671175451343</v>
      </c>
      <c r="CV837" s="32">
        <f t="shared" si="10395"/>
        <v>0.18409175026316674</v>
      </c>
      <c r="CW837" s="32">
        <f t="shared" si="10395"/>
        <v>0.18216784908448752</v>
      </c>
      <c r="CX837" s="32">
        <f t="shared" si="10395"/>
        <v>0.20996845338508793</v>
      </c>
      <c r="CY837" s="32">
        <f t="shared" ref="CY837:DD837" si="10396">CY607/CY613</f>
        <v>0.20570690265169667</v>
      </c>
      <c r="CZ837" s="31">
        <f t="shared" si="10396"/>
        <v>0.21012240838997964</v>
      </c>
      <c r="DA837" s="30">
        <f t="shared" si="10396"/>
        <v>0.21121639881485504</v>
      </c>
      <c r="DB837" s="30">
        <f t="shared" si="10396"/>
        <v>0.20893427756752364</v>
      </c>
      <c r="DC837" s="30">
        <f t="shared" si="10396"/>
        <v>0.20455244496698546</v>
      </c>
      <c r="DD837" s="30">
        <f t="shared" si="10396"/>
        <v>0.2007499515603676</v>
      </c>
      <c r="DE837" s="30">
        <f t="shared" ref="DE837" si="10397">DE607/DE613</f>
        <v>0.1989861696064093</v>
      </c>
      <c r="DF837" s="30">
        <f t="shared" ref="DF837" si="10398">DF607/DF613</f>
        <v>0.19791098204052884</v>
      </c>
      <c r="DG837" s="30">
        <f>DG607/DG613</f>
        <v>0.19700223289935892</v>
      </c>
      <c r="DH837" s="30">
        <f>DH607/DH613</f>
        <v>0.19507893202970156</v>
      </c>
      <c r="DI837" s="30">
        <f>DI607/DI613</f>
        <v>0.19249752510169768</v>
      </c>
    </row>
    <row r="838" spans="1:113" ht="12" outlineLevel="1">
      <c r="A838" s="1" t="s">
        <v>1013</v>
      </c>
      <c r="B838" s="15" t="s">
        <v>656</v>
      </c>
      <c r="C838" s="207">
        <f t="shared" ref="C838:AF838" si="10399">C136</f>
        <v>0.65062295081967214</v>
      </c>
      <c r="D838" s="207">
        <f t="shared" si="10399"/>
        <v>0.57984393638170972</v>
      </c>
      <c r="E838" s="207">
        <f t="shared" si="10399"/>
        <v>0.66200382775119637</v>
      </c>
      <c r="F838" s="207">
        <f t="shared" si="10399"/>
        <v>0.61259981600735969</v>
      </c>
      <c r="G838" s="207">
        <f t="shared" si="10399"/>
        <v>0.66960051768766193</v>
      </c>
      <c r="H838" s="207">
        <f t="shared" si="10399"/>
        <v>0.68097275641025645</v>
      </c>
      <c r="I838" s="207">
        <f t="shared" si="10399"/>
        <v>0.70897906137184086</v>
      </c>
      <c r="J838" s="207">
        <f t="shared" si="10399"/>
        <v>0.5951197183098591</v>
      </c>
      <c r="K838" s="207">
        <f t="shared" si="10399"/>
        <v>0.68591725015913452</v>
      </c>
      <c r="L838" s="207">
        <f t="shared" si="10399"/>
        <v>0.59573705642815611</v>
      </c>
      <c r="M838" s="30">
        <f t="shared" si="10399"/>
        <v>0.68835089625203694</v>
      </c>
      <c r="N838" s="30">
        <f t="shared" si="10399"/>
        <v>0.59599478895257973</v>
      </c>
      <c r="O838" s="30">
        <f t="shared" si="10399"/>
        <v>0.70115752032520329</v>
      </c>
      <c r="P838" s="30">
        <f t="shared" si="10399"/>
        <v>0.62731332280147434</v>
      </c>
      <c r="Q838" s="30">
        <f t="shared" si="10399"/>
        <v>1.1337222222222219</v>
      </c>
      <c r="R838" s="30">
        <f t="shared" si="10399"/>
        <v>1.067447311827957</v>
      </c>
      <c r="S838" s="30">
        <f t="shared" si="10399"/>
        <v>0.57955371900826458</v>
      </c>
      <c r="T838" s="32">
        <f t="shared" si="10399"/>
        <v>0.55587341772151899</v>
      </c>
      <c r="U838" s="30">
        <f t="shared" si="10399"/>
        <v>0.68829142441860458</v>
      </c>
      <c r="V838" s="30">
        <f t="shared" si="10399"/>
        <v>0.61159219727640779</v>
      </c>
      <c r="W838" s="30">
        <f t="shared" si="10399"/>
        <v>0.72974433893352819</v>
      </c>
      <c r="X838" s="30">
        <f t="shared" si="10399"/>
        <v>0.61213914849428874</v>
      </c>
      <c r="Y838" s="32">
        <f t="shared" si="10399"/>
        <v>0.73267781569965873</v>
      </c>
      <c r="Z838" s="32">
        <f t="shared" si="10399"/>
        <v>0.63063633501259431</v>
      </c>
      <c r="AA838" s="32">
        <f t="shared" si="10399"/>
        <v>0.75431027190332323</v>
      </c>
      <c r="AB838" s="32">
        <f t="shared" si="10399"/>
        <v>0.64852021640091106</v>
      </c>
      <c r="AC838" s="32">
        <f t="shared" si="10399"/>
        <v>0.72763823284245621</v>
      </c>
      <c r="AD838" s="32">
        <f t="shared" ref="AD838:AE838" si="10400">AD136</f>
        <v>0.64728163265306127</v>
      </c>
      <c r="AE838" s="32">
        <f t="shared" si="10400"/>
        <v>0.77897316384180781</v>
      </c>
      <c r="AF838" s="32">
        <f t="shared" si="10399"/>
        <v>0.83899352983465125</v>
      </c>
      <c r="AG838" s="32">
        <f t="shared" ref="AG838:AH838" si="10401">AG136</f>
        <v>0.75378178307048604</v>
      </c>
      <c r="AH838" s="32">
        <f t="shared" si="10401"/>
        <v>0.70009824357675121</v>
      </c>
      <c r="AI838" s="32">
        <f t="shared" ref="AI838:AJ838" si="10402">AI136</f>
        <v>0.68035097324840776</v>
      </c>
      <c r="AJ838" s="32">
        <f t="shared" si="10402"/>
        <v>0.66390128325221875</v>
      </c>
      <c r="AK838" s="32">
        <f t="shared" ref="AK838:AL838" si="10403">AK136</f>
        <v>0.76783383246492987</v>
      </c>
      <c r="AL838" s="32">
        <f t="shared" si="10403"/>
        <v>0.63595411425364767</v>
      </c>
      <c r="AM838" s="32">
        <f t="shared" ref="AM838:AN838" si="10404">AM136</f>
        <v>0.78033996503785286</v>
      </c>
      <c r="AN838" s="32">
        <f t="shared" si="10404"/>
        <v>0.50180067622080682</v>
      </c>
      <c r="AO838" s="32">
        <f t="shared" ref="AO838" si="10405">AO136</f>
        <v>0.4239358544776119</v>
      </c>
      <c r="AP838" s="32">
        <f t="shared" ref="AP838:AQ838" si="10406">AP136</f>
        <v>0.6661803545150502</v>
      </c>
      <c r="AQ838" s="32">
        <f t="shared" si="10406"/>
        <v>0.63371752788029923</v>
      </c>
      <c r="AR838" s="32">
        <f t="shared" ref="AR838:AS838" si="10407">AR136</f>
        <v>0.64624317548345656</v>
      </c>
      <c r="AS838" s="32">
        <f t="shared" si="10407"/>
        <v>0.65036554254556145</v>
      </c>
      <c r="AT838" s="32">
        <f t="shared" ref="AT838:AU838" si="10408">AT136</f>
        <v>0.63534267260903632</v>
      </c>
      <c r="AU838" s="32">
        <f t="shared" si="10408"/>
        <v>0.78821698460937495</v>
      </c>
      <c r="AV838" s="32">
        <f t="shared" ref="AV838:AW838" si="10409">AV136</f>
        <v>0.70276854243806308</v>
      </c>
      <c r="AW838" s="32">
        <f t="shared" si="10409"/>
        <v>0.77936195896627791</v>
      </c>
      <c r="AX838" s="32">
        <f t="shared" ref="AX838" si="10410">AX136</f>
        <v>0.69120893112668147</v>
      </c>
      <c r="AY838" s="31">
        <f t="shared" ref="AY838" si="10411">AY136</f>
        <v>1.1159629334835512</v>
      </c>
      <c r="AZ838" s="30">
        <f t="shared" ref="AZ838:BA838" si="10412">AZ136</f>
        <v>0.67623989344120761</v>
      </c>
      <c r="BA838" s="30">
        <f t="shared" si="10412"/>
        <v>0.71929926329966465</v>
      </c>
      <c r="BB838" s="30">
        <f t="shared" ref="BB838:BC838" si="10413">BB136</f>
        <v>0.6953956374335114</v>
      </c>
      <c r="BC838" s="30">
        <f t="shared" si="10413"/>
        <v>0.76247508335320069</v>
      </c>
      <c r="BD838" s="30">
        <f t="shared" ref="BD838:BE838" si="10414">BD136</f>
        <v>0.68987729255584129</v>
      </c>
      <c r="BE838" s="30">
        <f t="shared" si="10414"/>
        <v>0.75440887549891289</v>
      </c>
      <c r="BF838" s="30">
        <f t="shared" ref="BF838:BG838" si="10415">BF136</f>
        <v>0.68809562986529049</v>
      </c>
      <c r="BG838" s="30">
        <f t="shared" si="10415"/>
        <v>0.73908429554173194</v>
      </c>
      <c r="BH838" s="30">
        <f t="shared" ref="BH838:BI838" si="10416">BH136</f>
        <v>0.69397953706336957</v>
      </c>
      <c r="BI838" s="30">
        <f t="shared" si="10416"/>
        <v>0.75617759704655618</v>
      </c>
      <c r="BJ838" s="30">
        <f t="shared" ref="BJ838:BK838" si="10417">BJ136</f>
        <v>0.69763954692523811</v>
      </c>
      <c r="BK838" s="30">
        <f t="shared" si="10417"/>
        <v>0.72583979844410773</v>
      </c>
      <c r="BL838" s="30">
        <f t="shared" ref="BL838:BM838" si="10418">BL136</f>
        <v>0.70396844310994078</v>
      </c>
      <c r="BM838" s="30">
        <f t="shared" si="10418"/>
        <v>0.74616378037013764</v>
      </c>
      <c r="BN838" s="30">
        <f t="shared" ref="BN838:BO838" si="10419">BN136</f>
        <v>0.726241909233861</v>
      </c>
      <c r="BO838" s="30">
        <f t="shared" si="10419"/>
        <v>0.76209715267814815</v>
      </c>
      <c r="BP838" s="30">
        <f t="shared" ref="BP838:BQ838" si="10420">BP136</f>
        <v>0.73938883616695161</v>
      </c>
      <c r="BQ838" s="30">
        <f t="shared" si="10420"/>
        <v>0.76821626123031483</v>
      </c>
      <c r="BR838" s="30"/>
      <c r="BS838" s="207">
        <f t="shared" ref="BS838:CY838" si="10421">BS136</f>
        <v>-0.15382332421340633</v>
      </c>
      <c r="BT838" s="207">
        <f t="shared" si="10421"/>
        <v>0.36333267403314912</v>
      </c>
      <c r="BU838" s="207">
        <f t="shared" si="10421"/>
        <v>0.44918097694118253</v>
      </c>
      <c r="BV838" s="207">
        <f t="shared" si="10421"/>
        <v>0.4805506911791993</v>
      </c>
      <c r="BW838" s="207">
        <f t="shared" si="10421"/>
        <v>0.53385260211149999</v>
      </c>
      <c r="BX838" s="207">
        <f t="shared" si="10421"/>
        <v>0.5934440667807207</v>
      </c>
      <c r="BY838" s="207">
        <f t="shared" si="10421"/>
        <v>0.65382862401088349</v>
      </c>
      <c r="BZ838" s="207">
        <f t="shared" si="10421"/>
        <v>0.59752226772131245</v>
      </c>
      <c r="CA838" s="207">
        <f t="shared" si="10421"/>
        <v>0.57354004314941109</v>
      </c>
      <c r="CB838" s="207">
        <f t="shared" si="10421"/>
        <v>0.58974813478506771</v>
      </c>
      <c r="CC838" s="30">
        <f t="shared" si="10421"/>
        <v>0.62170502194051691</v>
      </c>
      <c r="CD838" s="30">
        <f t="shared" si="10421"/>
        <v>0.6420138023152272</v>
      </c>
      <c r="CE838" s="30">
        <f t="shared" si="10421"/>
        <v>0.69570451955943768</v>
      </c>
      <c r="CF838" s="30">
        <f t="shared" si="10421"/>
        <v>0.64064889881902343</v>
      </c>
      <c r="CG838" s="30">
        <f t="shared" si="10421"/>
        <v>0.64363089887640457</v>
      </c>
      <c r="CH838" s="30">
        <f t="shared" si="10421"/>
        <v>0.6492390018008749</v>
      </c>
      <c r="CI838" s="30">
        <f t="shared" si="10421"/>
        <v>0.83608356545960993</v>
      </c>
      <c r="CJ838" s="30">
        <f t="shared" si="10421"/>
        <v>0.71499880597014931</v>
      </c>
      <c r="CK838" s="30">
        <f t="shared" si="10421"/>
        <v>0.62702030456852786</v>
      </c>
      <c r="CL838" s="30">
        <f t="shared" si="10421"/>
        <v>0.67089569202566446</v>
      </c>
      <c r="CM838" s="32">
        <f t="shared" si="10421"/>
        <v>0.67283313284069435</v>
      </c>
      <c r="CN838" s="32">
        <f t="shared" si="10421"/>
        <v>0.6937508479802651</v>
      </c>
      <c r="CO838" s="32">
        <f t="shared" si="10421"/>
        <v>0.68856321192518632</v>
      </c>
      <c r="CP838" s="32">
        <f t="shared" si="10421"/>
        <v>0.71189535689535688</v>
      </c>
      <c r="CQ838" s="32">
        <f t="shared" si="10421"/>
        <v>0.79403633893700121</v>
      </c>
      <c r="CR838" s="32">
        <f t="shared" si="10421"/>
        <v>0.69008104990453811</v>
      </c>
      <c r="CS838" s="32">
        <f t="shared" si="10421"/>
        <v>0.7118701521196239</v>
      </c>
      <c r="CT838" s="32">
        <f t="shared" si="10421"/>
        <v>0.70080500797527057</v>
      </c>
      <c r="CU838" s="32">
        <f t="shared" si="10421"/>
        <v>0.45321286169505054</v>
      </c>
      <c r="CV838" s="32">
        <f t="shared" si="10421"/>
        <v>0.64937803959987095</v>
      </c>
      <c r="CW838" s="32">
        <f t="shared" si="10421"/>
        <v>0.64839579140752124</v>
      </c>
      <c r="CX838" s="32">
        <f t="shared" si="10421"/>
        <v>0.70925357699446923</v>
      </c>
      <c r="CY838" s="32">
        <f t="shared" si="10421"/>
        <v>0.73890696781263943</v>
      </c>
      <c r="CZ838" s="31">
        <f t="shared" ref="CZ838" si="10422">CZ136</f>
        <v>0.85407900737169518</v>
      </c>
      <c r="DA838" s="30">
        <f t="shared" ref="DA838:DC839" si="10423">DA136</f>
        <v>0.69767245005218914</v>
      </c>
      <c r="DB838" s="30">
        <f t="shared" si="10423"/>
        <v>0.72743175619283651</v>
      </c>
      <c r="DC838" s="30">
        <f t="shared" si="10423"/>
        <v>0.72091212655667436</v>
      </c>
      <c r="DD838" s="30">
        <f t="shared" ref="DD838" si="10424">DD136</f>
        <v>0.71284199729284503</v>
      </c>
      <c r="DE838" s="30">
        <f t="shared" ref="DE838:DG839" si="10425">DE136</f>
        <v>0.72404621450746831</v>
      </c>
      <c r="DF838" s="30">
        <f t="shared" si="10425"/>
        <v>0.7115920875942372</v>
      </c>
      <c r="DG838" s="30">
        <f t="shared" si="10425"/>
        <v>0.72464217861237878</v>
      </c>
      <c r="DH838" s="30">
        <f t="shared" ref="DH838" si="10426">DH136</f>
        <v>0.74389347516421145</v>
      </c>
      <c r="DI838" s="30">
        <f t="shared" ref="DI838" si="10427">DI136</f>
        <v>0.75364803805194114</v>
      </c>
    </row>
    <row r="839" spans="1:113" ht="12" outlineLevel="1">
      <c r="A839" s="1" t="s">
        <v>1075</v>
      </c>
      <c r="B839" s="15" t="s">
        <v>772</v>
      </c>
      <c r="C839" s="392">
        <f t="shared" ref="C839:AF839" si="10428">C137</f>
        <v>0</v>
      </c>
      <c r="D839" s="392">
        <f t="shared" si="10428"/>
        <v>0</v>
      </c>
      <c r="E839" s="392">
        <f t="shared" si="10428"/>
        <v>0</v>
      </c>
      <c r="F839" s="392">
        <f t="shared" si="10428"/>
        <v>12.410550883562451</v>
      </c>
      <c r="G839" s="392">
        <f t="shared" si="10428"/>
        <v>0</v>
      </c>
      <c r="H839" s="392">
        <f t="shared" si="10428"/>
        <v>63.689610798135448</v>
      </c>
      <c r="I839" s="392">
        <f t="shared" si="10428"/>
        <v>111</v>
      </c>
      <c r="J839" s="392">
        <f t="shared" si="10428"/>
        <v>116.99520889299248</v>
      </c>
      <c r="K839" s="392">
        <f t="shared" si="10428"/>
        <v>78</v>
      </c>
      <c r="L839" s="392">
        <f t="shared" si="10428"/>
        <v>250.06756336374167</v>
      </c>
      <c r="M839" s="90">
        <f t="shared" si="10428"/>
        <v>341</v>
      </c>
      <c r="N839" s="90">
        <f t="shared" si="10428"/>
        <v>556.13925369300296</v>
      </c>
      <c r="O839" s="90">
        <f t="shared" si="10428"/>
        <v>580</v>
      </c>
      <c r="P839" s="90">
        <f t="shared" si="10428"/>
        <v>484.62629529472594</v>
      </c>
      <c r="Q839" s="90">
        <f t="shared" si="10428"/>
        <v>35</v>
      </c>
      <c r="R839" s="90">
        <f t="shared" si="10428"/>
        <v>97.557105393779921</v>
      </c>
      <c r="S839" s="90">
        <f t="shared" si="10428"/>
        <v>49</v>
      </c>
      <c r="T839" s="90">
        <f t="shared" si="10428"/>
        <v>163.21150812701455</v>
      </c>
      <c r="U839" s="90">
        <f t="shared" si="10428"/>
        <v>397</v>
      </c>
      <c r="V839" s="90">
        <f t="shared" si="10428"/>
        <v>506.00945332421168</v>
      </c>
      <c r="W839" s="90">
        <f t="shared" si="10428"/>
        <v>363</v>
      </c>
      <c r="X839" s="90">
        <f t="shared" si="10428"/>
        <v>498.5556377991611</v>
      </c>
      <c r="Y839" s="233">
        <f t="shared" si="10428"/>
        <v>386</v>
      </c>
      <c r="Z839" s="233">
        <f t="shared" si="10428"/>
        <v>478.9138571428573</v>
      </c>
      <c r="AA839" s="233">
        <f t="shared" si="10428"/>
        <v>265</v>
      </c>
      <c r="AB839" s="233">
        <f t="shared" si="10428"/>
        <v>212.88442857142866</v>
      </c>
      <c r="AC839" s="233">
        <f t="shared" si="10428"/>
        <v>0</v>
      </c>
      <c r="AD839" s="233">
        <f t="shared" ref="AD839:AE839" si="10429">AD137</f>
        <v>0</v>
      </c>
      <c r="AE839" s="233">
        <f t="shared" si="10429"/>
        <v>0</v>
      </c>
      <c r="AF839" s="233">
        <f t="shared" si="10428"/>
        <v>0</v>
      </c>
      <c r="AG839" s="233">
        <f t="shared" ref="AG839:AH839" si="10430">AG137</f>
        <v>0</v>
      </c>
      <c r="AH839" s="233">
        <f t="shared" si="10430"/>
        <v>0</v>
      </c>
      <c r="AI839" s="233">
        <f t="shared" ref="AI839:AJ839" si="10431">AI137</f>
        <v>0</v>
      </c>
      <c r="AJ839" s="233">
        <f t="shared" si="10431"/>
        <v>0</v>
      </c>
      <c r="AK839" s="233">
        <f t="shared" ref="AK839:AL839" si="10432">AK137</f>
        <v>0</v>
      </c>
      <c r="AL839" s="233">
        <f t="shared" si="10432"/>
        <v>0</v>
      </c>
      <c r="AM839" s="233">
        <f t="shared" ref="AM839:AN839" si="10433">AM137</f>
        <v>0</v>
      </c>
      <c r="AN839" s="233">
        <f t="shared" si="10433"/>
        <v>0</v>
      </c>
      <c r="AO839" s="233">
        <f t="shared" ref="AO839" si="10434">AO137</f>
        <v>0</v>
      </c>
      <c r="AP839" s="233">
        <f t="shared" ref="AP839:AQ839" si="10435">AP137</f>
        <v>0</v>
      </c>
      <c r="AQ839" s="233">
        <f t="shared" si="10435"/>
        <v>0</v>
      </c>
      <c r="AR839" s="233">
        <f t="shared" ref="AR839:AS839" si="10436">AR137</f>
        <v>0</v>
      </c>
      <c r="AS839" s="233">
        <f t="shared" si="10436"/>
        <v>0</v>
      </c>
      <c r="AT839" s="233">
        <f t="shared" ref="AT839:AU839" si="10437">AT137</f>
        <v>0</v>
      </c>
      <c r="AU839" s="233">
        <f t="shared" si="10437"/>
        <v>0</v>
      </c>
      <c r="AV839" s="233">
        <f t="shared" ref="AV839:AW839" si="10438">AV137</f>
        <v>0</v>
      </c>
      <c r="AW839" s="233">
        <f t="shared" si="10438"/>
        <v>0</v>
      </c>
      <c r="AX839" s="233">
        <f t="shared" ref="AX839" si="10439">AX137</f>
        <v>0</v>
      </c>
      <c r="AY839" s="91">
        <f t="shared" ref="AY839" si="10440">AY137</f>
        <v>0</v>
      </c>
      <c r="AZ839" s="90">
        <f t="shared" ref="AZ839:BA839" si="10441">AZ137</f>
        <v>88.817103900414281</v>
      </c>
      <c r="BA839" s="90">
        <f t="shared" si="10441"/>
        <v>127.94743012710944</v>
      </c>
      <c r="BB839" s="90">
        <f t="shared" ref="BB839:BC839" si="10442">BB137</f>
        <v>197.07434314555132</v>
      </c>
      <c r="BC839" s="90">
        <f t="shared" si="10442"/>
        <v>187.77616553131986</v>
      </c>
      <c r="BD839" s="90">
        <f t="shared" ref="BD839:BE839" si="10443">BD137</f>
        <v>265.15977630357941</v>
      </c>
      <c r="BE839" s="90">
        <f t="shared" si="10443"/>
        <v>264.43568471765093</v>
      </c>
      <c r="BF839" s="90">
        <f t="shared" ref="BF839:BG839" si="10444">BF137</f>
        <v>346.16474176633949</v>
      </c>
      <c r="BG839" s="90">
        <f t="shared" si="10444"/>
        <v>363.28760466037158</v>
      </c>
      <c r="BH839" s="90">
        <f t="shared" ref="BH839:BI839" si="10445">BH137</f>
        <v>439.35200568878702</v>
      </c>
      <c r="BI839" s="90">
        <f t="shared" si="10445"/>
        <v>436.16769738759433</v>
      </c>
      <c r="BJ839" s="90">
        <f t="shared" ref="BJ839:BK839" si="10446">BJ137</f>
        <v>509.79552909841937</v>
      </c>
      <c r="BK839" s="90">
        <f t="shared" si="10446"/>
        <v>545.37448204573013</v>
      </c>
      <c r="BL839" s="90">
        <f t="shared" ref="BL839:BM839" si="10447">BL137</f>
        <v>612.33601159303259</v>
      </c>
      <c r="BM839" s="90">
        <f t="shared" si="10447"/>
        <v>621.5664410385366</v>
      </c>
      <c r="BN839" s="90">
        <f t="shared" ref="BN839:BO839" si="10448">BN137</f>
        <v>658.30308829989781</v>
      </c>
      <c r="BO839" s="90">
        <f t="shared" si="10448"/>
        <v>646.43599076113151</v>
      </c>
      <c r="BP839" s="90">
        <f t="shared" ref="BP839:BQ839" si="10449">BP137</f>
        <v>665.40094611774998</v>
      </c>
      <c r="BQ839" s="90">
        <f t="shared" si="10449"/>
        <v>644.76314807390645</v>
      </c>
      <c r="BR839" s="90"/>
      <c r="BS839" s="392">
        <f t="shared" ref="BS839:CY839" si="10450">BS137</f>
        <v>0</v>
      </c>
      <c r="BT839" s="392">
        <f t="shared" si="10450"/>
        <v>0</v>
      </c>
      <c r="BU839" s="392">
        <f t="shared" si="10450"/>
        <v>0</v>
      </c>
      <c r="BV839" s="392">
        <f t="shared" si="10450"/>
        <v>0</v>
      </c>
      <c r="BW839" s="392">
        <f t="shared" si="10450"/>
        <v>0</v>
      </c>
      <c r="BX839" s="392">
        <f t="shared" si="10450"/>
        <v>0</v>
      </c>
      <c r="BY839" s="392">
        <f t="shared" si="10450"/>
        <v>0</v>
      </c>
      <c r="BZ839" s="392">
        <f t="shared" si="10450"/>
        <v>0</v>
      </c>
      <c r="CA839" s="392">
        <f t="shared" si="10450"/>
        <v>0</v>
      </c>
      <c r="CB839" s="392">
        <f t="shared" si="10450"/>
        <v>0</v>
      </c>
      <c r="CC839" s="90">
        <f t="shared" si="10450"/>
        <v>0</v>
      </c>
      <c r="CD839" s="90">
        <f t="shared" si="10450"/>
        <v>0</v>
      </c>
      <c r="CE839" s="90">
        <f t="shared" si="10450"/>
        <v>111</v>
      </c>
      <c r="CF839" s="90">
        <f t="shared" si="10450"/>
        <v>78</v>
      </c>
      <c r="CG839" s="90">
        <f t="shared" si="10450"/>
        <v>341</v>
      </c>
      <c r="CH839" s="90">
        <f t="shared" si="10450"/>
        <v>580</v>
      </c>
      <c r="CI839" s="90">
        <f t="shared" si="10450"/>
        <v>35</v>
      </c>
      <c r="CJ839" s="90">
        <f t="shared" si="10450"/>
        <v>49</v>
      </c>
      <c r="CK839" s="90">
        <f t="shared" si="10450"/>
        <v>397</v>
      </c>
      <c r="CL839" s="90">
        <f t="shared" si="10450"/>
        <v>363</v>
      </c>
      <c r="CM839" s="233">
        <f t="shared" si="10450"/>
        <v>386</v>
      </c>
      <c r="CN839" s="233">
        <f t="shared" si="10450"/>
        <v>265</v>
      </c>
      <c r="CO839" s="233">
        <f t="shared" si="10450"/>
        <v>0</v>
      </c>
      <c r="CP839" s="233">
        <f t="shared" si="10450"/>
        <v>0</v>
      </c>
      <c r="CQ839" s="233">
        <f t="shared" si="10450"/>
        <v>0</v>
      </c>
      <c r="CR839" s="233">
        <f t="shared" si="10450"/>
        <v>0</v>
      </c>
      <c r="CS839" s="233">
        <f t="shared" si="10450"/>
        <v>0</v>
      </c>
      <c r="CT839" s="233">
        <f t="shared" si="10450"/>
        <v>0</v>
      </c>
      <c r="CU839" s="233">
        <f t="shared" si="10450"/>
        <v>0</v>
      </c>
      <c r="CV839" s="233">
        <f t="shared" si="10450"/>
        <v>0</v>
      </c>
      <c r="CW839" s="233">
        <f t="shared" si="10450"/>
        <v>0</v>
      </c>
      <c r="CX839" s="233">
        <f t="shared" si="10450"/>
        <v>0</v>
      </c>
      <c r="CY839" s="233">
        <f t="shared" si="10450"/>
        <v>0</v>
      </c>
      <c r="CZ839" s="91">
        <f t="shared" ref="CZ839" si="10451">CZ137</f>
        <v>0</v>
      </c>
      <c r="DA839" s="90">
        <f t="shared" si="10423"/>
        <v>127.94743012710944</v>
      </c>
      <c r="DB839" s="90">
        <f t="shared" si="10423"/>
        <v>187.77616553131986</v>
      </c>
      <c r="DC839" s="90">
        <f t="shared" si="10423"/>
        <v>264.43568471765093</v>
      </c>
      <c r="DD839" s="90">
        <f t="shared" ref="DD839" si="10452">DD137</f>
        <v>363.28760466037158</v>
      </c>
      <c r="DE839" s="90">
        <f t="shared" si="10425"/>
        <v>436.16769738759433</v>
      </c>
      <c r="DF839" s="90">
        <f t="shared" si="10425"/>
        <v>545.37448204573013</v>
      </c>
      <c r="DG839" s="90">
        <f t="shared" si="10425"/>
        <v>621.5664410385366</v>
      </c>
      <c r="DH839" s="90">
        <f t="shared" ref="DH839" si="10453">DH137</f>
        <v>646.43599076113151</v>
      </c>
      <c r="DI839" s="90">
        <f t="shared" ref="DI839" si="10454">DI137</f>
        <v>644.76314807390645</v>
      </c>
    </row>
    <row r="840" spans="1:113" ht="12" outlineLevel="1">
      <c r="A840" s="1" t="s">
        <v>1014</v>
      </c>
      <c r="B840" s="15" t="s">
        <v>657</v>
      </c>
      <c r="C840" s="207" t="e">
        <f>C738/C730</f>
        <v>#VALUE!</v>
      </c>
      <c r="D840" s="207">
        <f>D738/D730</f>
        <v>0.47713717693836977</v>
      </c>
      <c r="E840" s="207">
        <f>E738/E730</f>
        <v>0.54162679425837335</v>
      </c>
      <c r="F840" s="207">
        <f t="shared" ref="F840:L840" si="10455">F738/F730</f>
        <v>0.49126034958601639</v>
      </c>
      <c r="G840" s="207">
        <f t="shared" si="10455"/>
        <v>0.55910267471958586</v>
      </c>
      <c r="H840" s="207">
        <f t="shared" si="10455"/>
        <v>-2.2868589743589745</v>
      </c>
      <c r="I840" s="207">
        <f t="shared" si="10455"/>
        <v>0.59638989169675061</v>
      </c>
      <c r="J840" s="207">
        <f t="shared" si="10455"/>
        <v>0.57362355953905242</v>
      </c>
      <c r="K840" s="207">
        <f t="shared" si="10455"/>
        <v>0.61425843411839609</v>
      </c>
      <c r="L840" s="207">
        <f t="shared" si="10455"/>
        <v>0.57707969749854582</v>
      </c>
      <c r="M840" s="30">
        <f t="shared" ref="M840:AF840" si="10456">M738/M730</f>
        <v>0.56925583921781642</v>
      </c>
      <c r="N840" s="30">
        <f t="shared" si="10456"/>
        <v>0.51172485669619594</v>
      </c>
      <c r="O840" s="30">
        <f t="shared" si="10456"/>
        <v>0.41666666666666674</v>
      </c>
      <c r="P840" s="30">
        <f t="shared" si="10456"/>
        <v>-0.14744602422327535</v>
      </c>
      <c r="Q840" s="30">
        <f t="shared" si="10456"/>
        <v>-0.54579579579579562</v>
      </c>
      <c r="R840" s="30">
        <f t="shared" si="10456"/>
        <v>-0.63548387096774195</v>
      </c>
      <c r="S840" s="30">
        <f t="shared" si="10456"/>
        <v>-1.4987603305785124</v>
      </c>
      <c r="T840" s="32">
        <f t="shared" si="10456"/>
        <v>0.48354430379746838</v>
      </c>
      <c r="U840" s="30">
        <f t="shared" si="10456"/>
        <v>0.46438953488372098</v>
      </c>
      <c r="V840" s="30">
        <f t="shared" si="10456"/>
        <v>0.33824070666175932</v>
      </c>
      <c r="W840" s="30">
        <f t="shared" si="10456"/>
        <v>0.44521548575602626</v>
      </c>
      <c r="X840" s="30">
        <f t="shared" si="10456"/>
        <v>0.30218068535825543</v>
      </c>
      <c r="Y840" s="32">
        <f>Y738/Y730</f>
        <v>0.39396825396825397</v>
      </c>
      <c r="Z840" s="32">
        <f t="shared" si="10456"/>
        <v>-0.19049118387909322</v>
      </c>
      <c r="AA840" s="32">
        <f t="shared" si="10456"/>
        <v>0.5785498489425982</v>
      </c>
      <c r="AB840" s="32">
        <f t="shared" si="10456"/>
        <v>0.73092255125284744</v>
      </c>
      <c r="AC840" s="32">
        <f t="shared" ref="AC840:AD840" si="10457">AC738/AC730</f>
        <v>0.48263406501806061</v>
      </c>
      <c r="AD840" s="32">
        <f t="shared" si="10457"/>
        <v>0.66857142857142859</v>
      </c>
      <c r="AE840" s="32">
        <f t="shared" ref="AE840" si="10458">AE738/AE730</f>
        <v>0.37316384180790957</v>
      </c>
      <c r="AF840" s="32">
        <f t="shared" si="10456"/>
        <v>0.88173975557153128</v>
      </c>
      <c r="AG840" s="32">
        <f t="shared" ref="AG840:AH840" si="10459">AG738/AG730</f>
        <v>0.69198583842935313</v>
      </c>
      <c r="AH840" s="32">
        <f t="shared" si="10459"/>
        <v>0.60476900149031299</v>
      </c>
      <c r="AI840" s="32">
        <f t="shared" ref="AI840:AJ840" si="10460">AI738/AI730</f>
        <v>0.65344528083381581</v>
      </c>
      <c r="AJ840" s="32">
        <f t="shared" si="10460"/>
        <v>0.99141139421700542</v>
      </c>
      <c r="AK840" s="32">
        <f t="shared" ref="AK840:AL840" si="10461">AK738/AK730</f>
        <v>1.0323981295925182</v>
      </c>
      <c r="AL840" s="32">
        <f t="shared" si="10461"/>
        <v>0.95707070707070707</v>
      </c>
      <c r="AM840" s="32">
        <f t="shared" ref="AM840:AN840" si="10462">AM738/AM730</f>
        <v>0.75361321403991743</v>
      </c>
      <c r="AN840" s="32">
        <f t="shared" si="10462"/>
        <v>1.6121726822363764</v>
      </c>
      <c r="AO840" s="32">
        <f t="shared" ref="AO840" si="10463">AO738/AO730</f>
        <v>0.25756929637526654</v>
      </c>
      <c r="AP840" s="32">
        <f t="shared" ref="AP840:AQ840" si="10464">AP738/AP730</f>
        <v>0.29732441471571902</v>
      </c>
      <c r="AQ840" s="32">
        <f t="shared" si="10464"/>
        <v>0.80610972568578554</v>
      </c>
      <c r="AR840" s="32">
        <f t="shared" ref="AR840:AS840" si="10465">AR738/AR730</f>
        <v>0.92740122068743991</v>
      </c>
      <c r="AS840" s="32">
        <f t="shared" si="10465"/>
        <v>0.5185185185185186</v>
      </c>
      <c r="AT840" s="32">
        <f t="shared" ref="AT840:AU840" si="10466">AT738/AT730</f>
        <v>0.50300339514233472</v>
      </c>
      <c r="AU840" s="32">
        <f t="shared" si="10466"/>
        <v>0.6626674107142857</v>
      </c>
      <c r="AV840" s="32">
        <f t="shared" ref="AV840:AW840" si="10467">AV738/AV730</f>
        <v>0.7975788288288288</v>
      </c>
      <c r="AW840" s="32">
        <f t="shared" si="10467"/>
        <v>0.95745351402458256</v>
      </c>
      <c r="AX840" s="32">
        <f t="shared" ref="AX840" si="10468">AX738/AX730</f>
        <v>0.70263452914798208</v>
      </c>
      <c r="AY840" s="31">
        <f t="shared" ref="AY840" si="10469">AY738/AY730</f>
        <v>1.0666967102298333</v>
      </c>
      <c r="AZ840" s="30">
        <f t="shared" ref="AZ840:BA840" si="10470">AZ738/AZ730</f>
        <v>0.45352945115069071</v>
      </c>
      <c r="BA840" s="30">
        <f t="shared" si="10470"/>
        <v>0.47765835434287868</v>
      </c>
      <c r="BB840" s="30">
        <f t="shared" ref="BB840:BC840" si="10471">BB738/BB730</f>
        <v>0.6877539271320442</v>
      </c>
      <c r="BC840" s="30">
        <f t="shared" si="10471"/>
        <v>1.0367982856766211</v>
      </c>
      <c r="BD840" s="30">
        <f t="shared" ref="BD840:BE840" si="10472">BD738/BD730</f>
        <v>0.92734907786460985</v>
      </c>
      <c r="BE840" s="30">
        <f t="shared" si="10472"/>
        <v>1.0107099621911633</v>
      </c>
      <c r="BF840" s="30">
        <f t="shared" ref="BF840:BG840" si="10473">BF738/BF730</f>
        <v>0.91885160519892173</v>
      </c>
      <c r="BG840" s="30">
        <f t="shared" si="10473"/>
        <v>0.98377205716369986</v>
      </c>
      <c r="BH840" s="30">
        <f t="shared" ref="BH840:BI840" si="10474">BH738/BH730</f>
        <v>0.68037209516016617</v>
      </c>
      <c r="BI840" s="30">
        <f t="shared" si="10474"/>
        <v>0.74163572018027613</v>
      </c>
      <c r="BJ840" s="30">
        <f t="shared" ref="BJ840:BK840" si="10475">BJ738/BJ730</f>
        <v>0.68447653660589391</v>
      </c>
      <c r="BK840" s="30">
        <f t="shared" si="10475"/>
        <v>0.71239832069514275</v>
      </c>
      <c r="BL840" s="30">
        <f t="shared" ref="BL840:BM840" si="10476">BL738/BL730</f>
        <v>0.69116901687157828</v>
      </c>
      <c r="BM840" s="30">
        <f t="shared" si="10476"/>
        <v>0.73283942714924233</v>
      </c>
      <c r="BN840" s="30">
        <f t="shared" ref="BN840:BO840" si="10477">BN738/BN730</f>
        <v>0.71350082310695118</v>
      </c>
      <c r="BO840" s="30">
        <f t="shared" si="10477"/>
        <v>0.74895754659749036</v>
      </c>
      <c r="BP840" s="30">
        <f t="shared" ref="BP840:BQ840" si="10478">BP738/BP730</f>
        <v>0.72685682199463042</v>
      </c>
      <c r="BQ840" s="30">
        <f t="shared" si="10478"/>
        <v>0.7554126568764763</v>
      </c>
      <c r="BR840" s="30"/>
      <c r="BS840" s="207">
        <f t="shared" ref="BS840:CB840" si="10479">BS738/BS730</f>
        <v>-9.7127222982216196E-2</v>
      </c>
      <c r="BT840" s="207">
        <f t="shared" si="10479"/>
        <v>0.19573796369376481</v>
      </c>
      <c r="BU840" s="207">
        <f t="shared" si="10479"/>
        <v>0.37067773167358226</v>
      </c>
      <c r="BV840" s="207">
        <f t="shared" si="10479"/>
        <v>0.35466946484784889</v>
      </c>
      <c r="BW840" s="207">
        <f t="shared" si="10479"/>
        <v>0.38620071684587814</v>
      </c>
      <c r="BX840" s="207">
        <f t="shared" si="10479"/>
        <v>0.40563620836891545</v>
      </c>
      <c r="BY840" s="207">
        <f t="shared" si="10479"/>
        <v>0.42638297872340425</v>
      </c>
      <c r="BZ840" s="207">
        <f t="shared" si="10479"/>
        <v>0.44389204545454547</v>
      </c>
      <c r="CA840" s="207">
        <f t="shared" si="10479"/>
        <v>1.0433973961562306</v>
      </c>
      <c r="CB840" s="207">
        <f t="shared" si="10479"/>
        <v>0.76753393665158376</v>
      </c>
      <c r="CC840" s="30">
        <f t="shared" ref="CC840:CO840" si="10480">CC738/CC730</f>
        <v>0.50999512432959526</v>
      </c>
      <c r="CD840" s="30">
        <f t="shared" si="10480"/>
        <v>0.52626892252894031</v>
      </c>
      <c r="CE840" s="30">
        <f t="shared" si="10480"/>
        <v>-0.77022407899734135</v>
      </c>
      <c r="CF840" s="30">
        <f t="shared" si="10480"/>
        <v>0.59399936163421652</v>
      </c>
      <c r="CG840" s="30">
        <f t="shared" si="10480"/>
        <v>0.57303370786516872</v>
      </c>
      <c r="CH840" s="30">
        <f t="shared" si="10480"/>
        <v>0.46359660406483155</v>
      </c>
      <c r="CI840" s="30">
        <f t="shared" si="10480"/>
        <v>-0.31166821417517804</v>
      </c>
      <c r="CJ840" s="30">
        <f t="shared" si="10480"/>
        <v>-1.2591044776119404</v>
      </c>
      <c r="CK840" s="30">
        <f t="shared" si="10480"/>
        <v>0.47325263568918385</v>
      </c>
      <c r="CL840" s="30">
        <f t="shared" si="10480"/>
        <v>0.39193400549954172</v>
      </c>
      <c r="CM840" s="32">
        <f t="shared" si="10480"/>
        <v>0.35005795661533368</v>
      </c>
      <c r="CN840" s="32">
        <f t="shared" si="10480"/>
        <v>0.20197348134443416</v>
      </c>
      <c r="CO840" s="32">
        <f t="shared" si="10480"/>
        <v>0.60525945717901841</v>
      </c>
      <c r="CP840" s="32">
        <f t="shared" ref="CP840:CX840" si="10481">CP738/CP730</f>
        <v>0.5236313236313237</v>
      </c>
      <c r="CQ840" s="32">
        <f t="shared" si="10481"/>
        <v>0.78162676175921197</v>
      </c>
      <c r="CR840" s="32">
        <f t="shared" si="10481"/>
        <v>0.62946100749008671</v>
      </c>
      <c r="CS840" s="32">
        <f t="shared" si="10481"/>
        <v>1.0103283490057036</v>
      </c>
      <c r="CT840" s="32">
        <f t="shared" si="10481"/>
        <v>0.86568778979907268</v>
      </c>
      <c r="CU840" s="32">
        <f t="shared" si="10481"/>
        <v>0.76689728579031402</v>
      </c>
      <c r="CV840" s="32">
        <f t="shared" si="10481"/>
        <v>0.56066473055824462</v>
      </c>
      <c r="CW840" s="32">
        <f t="shared" si="10481"/>
        <v>0.7138910207214122</v>
      </c>
      <c r="CX840" s="32">
        <f t="shared" si="10481"/>
        <v>0.58019695130176718</v>
      </c>
      <c r="CY840" s="32">
        <f t="shared" ref="CY840:DD840" si="10482">CY738/CY730</f>
        <v>0.87301115241635685</v>
      </c>
      <c r="CZ840" s="31">
        <f t="shared" si="10482"/>
        <v>0.84223259028857789</v>
      </c>
      <c r="DA840" s="30">
        <f t="shared" si="10482"/>
        <v>0.4655394755734214</v>
      </c>
      <c r="DB840" s="30">
        <f t="shared" si="10482"/>
        <v>0.85445218125886202</v>
      </c>
      <c r="DC840" s="30">
        <f t="shared" si="10482"/>
        <v>0.96743938851946354</v>
      </c>
      <c r="DD840" s="30">
        <f t="shared" si="10482"/>
        <v>0.95035949693466437</v>
      </c>
      <c r="DE840" s="30">
        <f t="shared" ref="DE840" si="10483">DE738/DE730</f>
        <v>0.70998706471120676</v>
      </c>
      <c r="DF840" s="30">
        <f t="shared" ref="DF840" si="10484">DF738/DF730</f>
        <v>0.69829130091023284</v>
      </c>
      <c r="DG840" s="30">
        <f>DG738/DG730</f>
        <v>0.71158556278152529</v>
      </c>
      <c r="DH840" s="30">
        <f>DH738/DH730</f>
        <v>0.73095619733526829</v>
      </c>
      <c r="DI840" s="30">
        <f>DI738/DI730</f>
        <v>0.74098168447123625</v>
      </c>
    </row>
    <row r="841" spans="1:113" ht="12" outlineLevel="1">
      <c r="A841" s="1" t="s">
        <v>1015</v>
      </c>
      <c r="B841" s="15" t="s">
        <v>548</v>
      </c>
      <c r="C841" s="207">
        <f t="shared" ref="C841:L841" si="10485">C838*(1-C785)</f>
        <v>0.51258680977736781</v>
      </c>
      <c r="D841" s="207">
        <f t="shared" si="10485"/>
        <v>0.45027797432294669</v>
      </c>
      <c r="E841" s="207">
        <f t="shared" si="10485"/>
        <v>0.51838605987005848</v>
      </c>
      <c r="F841" s="207">
        <f t="shared" si="10485"/>
        <v>0.48623838635974942</v>
      </c>
      <c r="G841" s="207">
        <f t="shared" si="10485"/>
        <v>0.52776763211279487</v>
      </c>
      <c r="H841" s="207">
        <f t="shared" si="10485"/>
        <v>0.54242466381162591</v>
      </c>
      <c r="I841" s="207">
        <f t="shared" si="10485"/>
        <v>0.55532347886655964</v>
      </c>
      <c r="J841" s="207">
        <f t="shared" si="10485"/>
        <v>0.45621340984297387</v>
      </c>
      <c r="K841" s="207">
        <f t="shared" si="10485"/>
        <v>0.53303180368329317</v>
      </c>
      <c r="L841" s="207">
        <f t="shared" si="10485"/>
        <v>0.45168860689417262</v>
      </c>
      <c r="M841" s="30">
        <f t="shared" ref="M841:AF841" si="10486">M838*(1-M785)</f>
        <v>0.52293315313985766</v>
      </c>
      <c r="N841" s="30">
        <f t="shared" si="10486"/>
        <v>0.45823016281623069</v>
      </c>
      <c r="O841" s="30">
        <f t="shared" si="10486"/>
        <v>0.53879449259467949</v>
      </c>
      <c r="P841" s="30">
        <f t="shared" si="10486"/>
        <v>0.49972417240117439</v>
      </c>
      <c r="Q841" s="30">
        <f t="shared" si="10486"/>
        <v>0.98380481926381824</v>
      </c>
      <c r="R841" s="30">
        <f t="shared" si="10486"/>
        <v>0.98372366168974812</v>
      </c>
      <c r="S841" s="30">
        <f t="shared" si="10486"/>
        <v>0.47313498862254744</v>
      </c>
      <c r="T841" s="32">
        <f t="shared" si="10486"/>
        <v>0.45925854666202065</v>
      </c>
      <c r="U841" s="30">
        <f t="shared" si="10486"/>
        <v>0.55221574005949037</v>
      </c>
      <c r="V841" s="30">
        <f t="shared" si="10486"/>
        <v>0.49427671674194568</v>
      </c>
      <c r="W841" s="30">
        <f t="shared" si="10486"/>
        <v>0.60022140118541722</v>
      </c>
      <c r="X841" s="30">
        <f t="shared" si="10486"/>
        <v>0.50175465314443535</v>
      </c>
      <c r="Y841" s="32">
        <f t="shared" si="10486"/>
        <v>0.59912641638225261</v>
      </c>
      <c r="Z841" s="32">
        <f t="shared" si="10486"/>
        <v>0.51756487867824907</v>
      </c>
      <c r="AA841" s="32">
        <f t="shared" si="10486"/>
        <v>0.62357360275625773</v>
      </c>
      <c r="AB841" s="32">
        <f t="shared" si="10486"/>
        <v>0.53336276519209214</v>
      </c>
      <c r="AC841" s="32">
        <f t="shared" ref="AC841:AD841" si="10487">AC838*(1-AC785)</f>
        <v>0.60044403385497869</v>
      </c>
      <c r="AD841" s="32">
        <f t="shared" si="10487"/>
        <v>0.54092581702737608</v>
      </c>
      <c r="AE841" s="32">
        <f t="shared" ref="AE841" si="10488">AE838*(1-AE785)</f>
        <v>0.6627112320382289</v>
      </c>
      <c r="AF841" s="32">
        <f t="shared" si="10486"/>
        <v>0.74919359139205355</v>
      </c>
      <c r="AG841" s="32">
        <f t="shared" ref="AG841:AH841" si="10489">AG838*(1-AG785)</f>
        <v>0.66248641800597119</v>
      </c>
      <c r="AH841" s="32">
        <f t="shared" si="10489"/>
        <v>0.6101727931141504</v>
      </c>
      <c r="AI841" s="32">
        <f t="shared" ref="AI841:AJ841" si="10490">AI838*(1-AI785)</f>
        <v>0.59271767082807014</v>
      </c>
      <c r="AJ841" s="32">
        <f t="shared" si="10490"/>
        <v>0.58062826984107818</v>
      </c>
      <c r="AK841" s="32">
        <f t="shared" ref="AK841:AL841" si="10491">AK838*(1-AK785)</f>
        <v>0.68730649274235733</v>
      </c>
      <c r="AL841" s="32">
        <f t="shared" si="10491"/>
        <v>0.5580115150076288</v>
      </c>
      <c r="AM841" s="32">
        <f t="shared" ref="AM841:AN841" si="10492">AM838*(1-AM785)</f>
        <v>0.70803763994159818</v>
      </c>
      <c r="AN841" s="32">
        <f t="shared" si="10492"/>
        <v>0.47683256735750656</v>
      </c>
      <c r="AO841" s="32">
        <f t="shared" ref="AO841" si="10493">AO838*(1-AO785)</f>
        <v>0.38942914828439607</v>
      </c>
      <c r="AP841" s="32">
        <f t="shared" ref="AP841:AQ841" si="10494">AP838*(1-AP785)</f>
        <v>0.59811299925986883</v>
      </c>
      <c r="AQ841" s="32">
        <f t="shared" si="10494"/>
        <v>0.56578275890234953</v>
      </c>
      <c r="AR841" s="32">
        <f t="shared" ref="AR841:AS841" si="10495">AR838*(1-AR785)</f>
        <v>0.57829835215085112</v>
      </c>
      <c r="AS841" s="32">
        <f t="shared" si="10495"/>
        <v>0.57657701381221071</v>
      </c>
      <c r="AT841" s="32">
        <f t="shared" ref="AT841:AU841" si="10496">AT838*(1-AT785)</f>
        <v>0.55914800410125987</v>
      </c>
      <c r="AU841" s="32">
        <f t="shared" si="10496"/>
        <v>0.70156299520666754</v>
      </c>
      <c r="AV841" s="32">
        <f t="shared" ref="AV841:AW841" si="10497">AV838*(1-AV785)</f>
        <v>0.62838953517546658</v>
      </c>
      <c r="AW841" s="32">
        <f t="shared" si="10497"/>
        <v>0.70344102946954379</v>
      </c>
      <c r="AX841" s="32">
        <f t="shared" ref="AX841" si="10498">AX838*(1-AX785)</f>
        <v>0.61604263174139706</v>
      </c>
      <c r="AY841" s="31">
        <f t="shared" ref="AY841" si="10499">AY838*(1-AY785)</f>
        <v>1.0430899576073434</v>
      </c>
      <c r="AZ841" s="30">
        <f t="shared" ref="AZ841:BA841" si="10500">AZ838*(1-AZ785)</f>
        <v>0.60105914050130227</v>
      </c>
      <c r="BA841" s="30">
        <f t="shared" si="10500"/>
        <v>0.64300621566654292</v>
      </c>
      <c r="BB841" s="30">
        <f t="shared" ref="BB841:BC841" si="10501">BB838*(1-BB785)</f>
        <v>0.61940087693545187</v>
      </c>
      <c r="BC841" s="30">
        <f t="shared" si="10501"/>
        <v>0.6870950259680092</v>
      </c>
      <c r="BD841" s="30">
        <f t="shared" ref="BD841:BE841" si="10502">BD838*(1-BD785)</f>
        <v>0.61315914008136385</v>
      </c>
      <c r="BE841" s="30">
        <f t="shared" si="10502"/>
        <v>0.6765681699332361</v>
      </c>
      <c r="BF841" s="30">
        <f t="shared" ref="BF841:BG841" si="10503">BF838*(1-BF785)</f>
        <v>0.60891913037969647</v>
      </c>
      <c r="BG841" s="30">
        <f t="shared" si="10503"/>
        <v>0.65928626041903415</v>
      </c>
      <c r="BH841" s="30">
        <f t="shared" ref="BH841:BI841" si="10504">BH838*(1-BH785)</f>
        <v>0.61270472605497417</v>
      </c>
      <c r="BI841" s="30">
        <f t="shared" si="10504"/>
        <v>0.67489427783112843</v>
      </c>
      <c r="BJ841" s="30">
        <f t="shared" ref="BJ841:BK841" si="10505">BJ838*(1-BJ785)</f>
        <v>0.61554559581732626</v>
      </c>
      <c r="BK841" s="30">
        <f t="shared" si="10505"/>
        <v>0.64407136167915102</v>
      </c>
      <c r="BL841" s="30">
        <f t="shared" ref="BL841:BM841" si="10506">BL838*(1-BL785)</f>
        <v>0.62191566591729297</v>
      </c>
      <c r="BM841" s="30">
        <f t="shared" si="10506"/>
        <v>0.66401107445702301</v>
      </c>
      <c r="BN841" s="30">
        <f t="shared" ref="BN841:BO841" si="10507">BN838*(1-BN785)</f>
        <v>0.6437163165637404</v>
      </c>
      <c r="BO841" s="30">
        <f t="shared" si="10507"/>
        <v>0.67985228950643062</v>
      </c>
      <c r="BP841" s="30">
        <f t="shared" ref="BP841:BQ841" si="10508">BP838*(1-BP785)</f>
        <v>0.65650542973347581</v>
      </c>
      <c r="BQ841" s="30">
        <f t="shared" si="10508"/>
        <v>0.68560544911107679</v>
      </c>
      <c r="BR841" s="30"/>
      <c r="BS841" s="207">
        <f t="shared" ref="BS841:CB841" si="10509">BS838*(1-BS785)</f>
        <v>-0.17495383522386623</v>
      </c>
      <c r="BT841" s="207">
        <f t="shared" si="10509"/>
        <v>0.33432168793160083</v>
      </c>
      <c r="BU841" s="207">
        <f t="shared" si="10509"/>
        <v>0.38858275363765549</v>
      </c>
      <c r="BV841" s="207">
        <f t="shared" si="10509"/>
        <v>0.40379693501357455</v>
      </c>
      <c r="BW841" s="207">
        <f t="shared" si="10509"/>
        <v>0.43755700092640193</v>
      </c>
      <c r="BX841" s="207">
        <f t="shared" si="10509"/>
        <v>0.49409539144144554</v>
      </c>
      <c r="BY841" s="207">
        <f t="shared" si="10509"/>
        <v>0.55349613177470813</v>
      </c>
      <c r="BZ841" s="207">
        <f t="shared" si="10509"/>
        <v>0.49493940125873637</v>
      </c>
      <c r="CA841" s="207">
        <f t="shared" si="10509"/>
        <v>0.46240115684474986</v>
      </c>
      <c r="CB841" s="207">
        <f t="shared" si="10509"/>
        <v>0.44337701071684288</v>
      </c>
      <c r="CC841" s="30">
        <f t="shared" ref="CC841:CR841" si="10510">CC838*(1-CC785)</f>
        <v>0.46092217502818839</v>
      </c>
      <c r="CD841" s="30">
        <f t="shared" si="10510"/>
        <v>0.50776582885279398</v>
      </c>
      <c r="CE841" s="30">
        <f t="shared" si="10510"/>
        <v>0.55764637323268018</v>
      </c>
      <c r="CF841" s="30">
        <f t="shared" si="10510"/>
        <v>0.49475917635487782</v>
      </c>
      <c r="CG841" s="30">
        <f t="shared" si="10510"/>
        <v>0.4878696399117195</v>
      </c>
      <c r="CH841" s="30">
        <f t="shared" si="10510"/>
        <v>0.49852730542295975</v>
      </c>
      <c r="CI841" s="30">
        <f t="shared" si="10510"/>
        <v>0.69709835721738522</v>
      </c>
      <c r="CJ841" s="30">
        <f t="shared" si="10510"/>
        <v>0.61937256834638688</v>
      </c>
      <c r="CK841" s="30">
        <f t="shared" si="10510"/>
        <v>0.51268990817116933</v>
      </c>
      <c r="CL841" s="30">
        <f t="shared" si="10510"/>
        <v>0.54699434627873256</v>
      </c>
      <c r="CM841" s="32">
        <f t="shared" si="10510"/>
        <v>0.55077178164658969</v>
      </c>
      <c r="CN841" s="32">
        <f t="shared" si="10510"/>
        <v>0.5713358850475303</v>
      </c>
      <c r="CO841" s="32">
        <f t="shared" si="10510"/>
        <v>0.56750669351838234</v>
      </c>
      <c r="CP841" s="32">
        <f t="shared" si="10510"/>
        <v>0.60034160880930787</v>
      </c>
      <c r="CQ841" s="32">
        <f t="shared" si="10510"/>
        <v>0.70339531081085027</v>
      </c>
      <c r="CR841" s="32">
        <f t="shared" si="10510"/>
        <v>0.60118951917117891</v>
      </c>
      <c r="CS841" s="32">
        <f t="shared" ref="CS841:CX841" si="10511">CS838*(1-CS785)</f>
        <v>0.63000915433016602</v>
      </c>
      <c r="CT841" s="32">
        <f t="shared" si="10511"/>
        <v>0.62565259013775076</v>
      </c>
      <c r="CU841" s="32">
        <f t="shared" si="10511"/>
        <v>0.42355866544976245</v>
      </c>
      <c r="CV841" s="32">
        <f t="shared" si="10511"/>
        <v>0.581369538810942</v>
      </c>
      <c r="CW841" s="32">
        <f t="shared" si="10511"/>
        <v>0.57751651456296982</v>
      </c>
      <c r="CX841" s="32">
        <f t="shared" si="10511"/>
        <v>0.62774774404207645</v>
      </c>
      <c r="CY841" s="32">
        <f t="shared" ref="CY841:DD841" si="10512">CY838*(1-CY785)</f>
        <v>0.66264213838595132</v>
      </c>
      <c r="CZ841" s="31">
        <f t="shared" si="10512"/>
        <v>0.78006206691913738</v>
      </c>
      <c r="DA841" s="30">
        <f t="shared" si="10512"/>
        <v>0.62191822580181821</v>
      </c>
      <c r="DB841" s="30">
        <f t="shared" si="10512"/>
        <v>0.65174492035213272</v>
      </c>
      <c r="DC841" s="30">
        <f t="shared" si="10512"/>
        <v>0.64363310264867313</v>
      </c>
      <c r="DD841" s="30">
        <f t="shared" si="10512"/>
        <v>0.63335406832028729</v>
      </c>
      <c r="DE841" s="30">
        <f t="shared" ref="DE841" si="10513">DE838*(1-DE785)</f>
        <v>0.64276402773060826</v>
      </c>
      <c r="DF841" s="30">
        <f t="shared" ref="DF841" si="10514">DF838*(1-DF785)</f>
        <v>0.62965888047259122</v>
      </c>
      <c r="DG841" s="30">
        <f>DG838*(1-DG785)</f>
        <v>0.64253901733408492</v>
      </c>
      <c r="DH841" s="30">
        <f>DH838*(1-DH785)</f>
        <v>0.66150624911116851</v>
      </c>
      <c r="DI841" s="30">
        <f>DI838*(1-DI785)</f>
        <v>0.67089898379751833</v>
      </c>
    </row>
    <row r="842" spans="1:113" ht="12" hidden="1" outlineLevel="2">
      <c r="A842" s="1" t="s">
        <v>1016</v>
      </c>
      <c r="B842" s="15" t="s">
        <v>804</v>
      </c>
      <c r="AY842" s="200"/>
      <c r="CZ842" s="200"/>
      <c r="DB842" s="15"/>
      <c r="DC842" s="15"/>
      <c r="DD842" s="15"/>
      <c r="DE842" s="15"/>
      <c r="DF842" s="15"/>
      <c r="DG842" s="15"/>
      <c r="DH842" s="15"/>
      <c r="DI842" s="15"/>
    </row>
    <row r="843" spans="1:113" ht="12" hidden="1" outlineLevel="2">
      <c r="A843" s="1" t="s">
        <v>186</v>
      </c>
      <c r="B843" s="15" t="s">
        <v>804</v>
      </c>
      <c r="AY843" s="200"/>
      <c r="CZ843" s="200"/>
      <c r="DB843" s="15"/>
      <c r="DC843" s="15"/>
      <c r="DD843" s="15"/>
      <c r="DE843" s="15"/>
      <c r="DF843" s="15"/>
      <c r="DG843" s="15"/>
      <c r="DH843" s="15"/>
      <c r="DI843" s="15"/>
    </row>
    <row r="844" spans="1:113" ht="12" hidden="1" outlineLevel="2">
      <c r="A844" s="1" t="s">
        <v>187</v>
      </c>
      <c r="B844" s="15" t="s">
        <v>804</v>
      </c>
      <c r="AY844" s="200"/>
      <c r="CZ844" s="200"/>
      <c r="DB844" s="15"/>
      <c r="DC844" s="15"/>
      <c r="DD844" s="15"/>
      <c r="DE844" s="15"/>
      <c r="DF844" s="15"/>
      <c r="DG844" s="15"/>
      <c r="DH844" s="15"/>
      <c r="DI844" s="15"/>
    </row>
    <row r="845" spans="1:113" ht="12" hidden="1" outlineLevel="2">
      <c r="A845" s="1" t="s">
        <v>188</v>
      </c>
      <c r="B845" s="15" t="s">
        <v>804</v>
      </c>
      <c r="AY845" s="200"/>
      <c r="CZ845" s="200"/>
      <c r="DB845" s="15"/>
      <c r="DC845" s="15"/>
      <c r="DD845" s="15"/>
      <c r="DE845" s="15"/>
      <c r="DF845" s="15"/>
      <c r="DG845" s="15"/>
      <c r="DH845" s="15"/>
      <c r="DI845" s="15"/>
    </row>
    <row r="846" spans="1:113" ht="12" hidden="1" outlineLevel="2">
      <c r="A846" s="1" t="s">
        <v>189</v>
      </c>
      <c r="B846" s="15" t="s">
        <v>804</v>
      </c>
      <c r="AY846" s="200"/>
      <c r="CZ846" s="200"/>
      <c r="DB846" s="15"/>
      <c r="DC846" s="15"/>
      <c r="DD846" s="15"/>
      <c r="DE846" s="15"/>
      <c r="DF846" s="15"/>
      <c r="DG846" s="15"/>
      <c r="DH846" s="15"/>
      <c r="DI846" s="15"/>
    </row>
    <row r="847" spans="1:113" ht="12" hidden="1" outlineLevel="2">
      <c r="A847" s="1" t="s">
        <v>190</v>
      </c>
      <c r="B847" s="15" t="s">
        <v>804</v>
      </c>
      <c r="AY847" s="200"/>
      <c r="CZ847" s="200"/>
      <c r="DB847" s="15"/>
      <c r="DC847" s="15"/>
      <c r="DD847" s="15"/>
      <c r="DE847" s="15"/>
      <c r="DF847" s="15"/>
      <c r="DG847" s="15"/>
      <c r="DH847" s="15"/>
      <c r="DI847" s="15"/>
    </row>
    <row r="848" spans="1:113" ht="12" hidden="1" outlineLevel="2">
      <c r="A848" s="1" t="s">
        <v>7</v>
      </c>
      <c r="B848" s="15" t="s">
        <v>804</v>
      </c>
      <c r="AY848" s="200"/>
      <c r="CZ848" s="200"/>
      <c r="DB848" s="15"/>
      <c r="DC848" s="15"/>
      <c r="DD848" s="15"/>
      <c r="DE848" s="15"/>
      <c r="DF848" s="15"/>
      <c r="DG848" s="15"/>
      <c r="DH848" s="15"/>
      <c r="DI848" s="15"/>
    </row>
    <row r="849" spans="1:113" ht="12" hidden="1" outlineLevel="2">
      <c r="A849" s="1" t="s">
        <v>8</v>
      </c>
      <c r="B849" s="15" t="s">
        <v>804</v>
      </c>
      <c r="AY849" s="200"/>
      <c r="CZ849" s="200"/>
      <c r="DB849" s="15"/>
      <c r="DC849" s="15"/>
      <c r="DD849" s="15"/>
      <c r="DE849" s="15"/>
      <c r="DF849" s="15"/>
      <c r="DG849" s="15"/>
      <c r="DH849" s="15"/>
      <c r="DI849" s="15"/>
    </row>
    <row r="850" spans="1:113" ht="12" hidden="1" outlineLevel="2">
      <c r="A850" s="1" t="s">
        <v>9</v>
      </c>
      <c r="B850" s="15" t="s">
        <v>804</v>
      </c>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247"/>
      <c r="AZ850" s="15"/>
      <c r="BA850" s="15"/>
      <c r="BB850" s="15"/>
      <c r="BC850" s="15"/>
      <c r="BD850" s="15"/>
      <c r="BE850" s="15"/>
      <c r="BF850" s="15"/>
      <c r="BG850" s="15"/>
      <c r="BH850" s="15"/>
      <c r="BI850" s="15"/>
      <c r="BJ850" s="15"/>
      <c r="BK850" s="15"/>
      <c r="BL850" s="15"/>
      <c r="BM850" s="15"/>
      <c r="BN850" s="15"/>
      <c r="BO850" s="15"/>
      <c r="BP850" s="15"/>
      <c r="BQ850" s="15"/>
      <c r="BR850" s="15"/>
      <c r="BS850" s="15"/>
      <c r="BT850" s="15"/>
      <c r="BU850" s="15"/>
      <c r="BV850" s="15"/>
      <c r="BW850" s="15"/>
      <c r="BX850" s="15"/>
      <c r="BY850" s="15"/>
      <c r="BZ850" s="15"/>
      <c r="CA850" s="15"/>
      <c r="CB850" s="15"/>
      <c r="CC850" s="15"/>
      <c r="CD850" s="15"/>
      <c r="CE850" s="15"/>
      <c r="CF850" s="15"/>
      <c r="CG850" s="15"/>
      <c r="CH850" s="15"/>
      <c r="CI850" s="15"/>
      <c r="CJ850" s="15"/>
      <c r="CK850" s="15"/>
      <c r="CL850" s="15"/>
      <c r="CM850" s="15"/>
      <c r="CN850" s="15"/>
      <c r="CO850" s="15"/>
      <c r="CP850" s="15"/>
      <c r="CQ850" s="15"/>
      <c r="CR850" s="15"/>
      <c r="CS850" s="15"/>
      <c r="CT850" s="15"/>
      <c r="CU850" s="15"/>
      <c r="CV850" s="15"/>
      <c r="CW850" s="15"/>
      <c r="CX850" s="15"/>
      <c r="CY850" s="15"/>
      <c r="CZ850" s="247"/>
      <c r="DA850" s="15"/>
      <c r="DB850" s="15"/>
      <c r="DC850" s="15"/>
      <c r="DD850" s="15"/>
      <c r="DE850" s="15"/>
      <c r="DF850" s="15"/>
      <c r="DG850" s="15"/>
      <c r="DH850" s="15"/>
      <c r="DI850" s="15"/>
    </row>
    <row r="851" spans="1:113" ht="12" hidden="1" outlineLevel="2">
      <c r="A851" s="1" t="s">
        <v>10</v>
      </c>
      <c r="B851" s="15" t="s">
        <v>804</v>
      </c>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c r="AA851" s="15"/>
      <c r="AB851" s="15"/>
      <c r="AC851" s="15"/>
      <c r="AD851" s="15"/>
      <c r="AE851" s="15"/>
      <c r="AF851" s="15"/>
      <c r="AG851" s="15"/>
      <c r="AH851" s="15"/>
      <c r="AI851" s="15"/>
      <c r="AJ851" s="15"/>
      <c r="AK851" s="15"/>
      <c r="AL851" s="15"/>
      <c r="AM851" s="15"/>
      <c r="AN851" s="15"/>
      <c r="AO851" s="15"/>
      <c r="AP851" s="15"/>
      <c r="AQ851" s="15"/>
      <c r="AR851" s="15"/>
      <c r="AS851" s="15"/>
      <c r="AT851" s="15"/>
      <c r="AU851" s="15"/>
      <c r="AV851" s="15"/>
      <c r="AW851" s="15"/>
      <c r="AX851" s="15"/>
      <c r="AY851" s="247"/>
      <c r="AZ851" s="15"/>
      <c r="BA851" s="15"/>
      <c r="BB851" s="15"/>
      <c r="BC851" s="15"/>
      <c r="BD851" s="15"/>
      <c r="BE851" s="15"/>
      <c r="BF851" s="15"/>
      <c r="BG851" s="15"/>
      <c r="BH851" s="15"/>
      <c r="BI851" s="15"/>
      <c r="BJ851" s="15"/>
      <c r="BK851" s="15"/>
      <c r="BL851" s="15"/>
      <c r="BM851" s="15"/>
      <c r="BN851" s="15"/>
      <c r="BO851" s="15"/>
      <c r="BP851" s="15"/>
      <c r="BQ851" s="15"/>
      <c r="BR851" s="15"/>
      <c r="BS851" s="15"/>
      <c r="BT851" s="15"/>
      <c r="BU851" s="15"/>
      <c r="BV851" s="15"/>
      <c r="BW851" s="15"/>
      <c r="BX851" s="15"/>
      <c r="BY851" s="15"/>
      <c r="BZ851" s="15"/>
      <c r="CA851" s="15"/>
      <c r="CB851" s="15"/>
      <c r="CC851" s="15"/>
      <c r="CD851" s="15"/>
      <c r="CE851" s="15"/>
      <c r="CF851" s="15"/>
      <c r="CG851" s="15"/>
      <c r="CH851" s="15"/>
      <c r="CI851" s="15"/>
      <c r="CJ851" s="15"/>
      <c r="CK851" s="15"/>
      <c r="CL851" s="15"/>
      <c r="CM851" s="15"/>
      <c r="CN851" s="15"/>
      <c r="CO851" s="15"/>
      <c r="CP851" s="15"/>
      <c r="CQ851" s="15"/>
      <c r="CR851" s="15"/>
      <c r="CS851" s="15"/>
      <c r="CT851" s="15"/>
      <c r="CU851" s="15"/>
      <c r="CV851" s="15"/>
      <c r="CW851" s="15"/>
      <c r="CX851" s="15"/>
      <c r="CY851" s="15"/>
      <c r="CZ851" s="247"/>
      <c r="DA851" s="15"/>
      <c r="DB851" s="15"/>
      <c r="DC851" s="15"/>
      <c r="DD851" s="15"/>
      <c r="DE851" s="15"/>
      <c r="DF851" s="15"/>
      <c r="DG851" s="15"/>
      <c r="DH851" s="15"/>
      <c r="DI851" s="15"/>
    </row>
    <row r="852" spans="1:113" ht="12" outlineLevel="1" collapsed="1">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c r="AA852" s="15"/>
      <c r="AB852" s="403"/>
      <c r="AC852" s="403"/>
      <c r="AD852" s="403"/>
      <c r="AE852" s="403"/>
      <c r="AF852" s="403"/>
      <c r="AG852" s="403"/>
      <c r="AH852" s="403"/>
      <c r="AI852" s="403"/>
      <c r="AJ852" s="403"/>
      <c r="AK852" s="403"/>
      <c r="AL852" s="403"/>
      <c r="AM852" s="403"/>
      <c r="AN852" s="403"/>
      <c r="AO852" s="403"/>
      <c r="AP852" s="403"/>
      <c r="AQ852" s="403"/>
      <c r="AR852" s="403"/>
      <c r="AS852" s="403"/>
      <c r="AT852" s="403"/>
      <c r="AU852" s="403"/>
      <c r="AV852" s="403"/>
      <c r="AW852" s="403"/>
      <c r="AX852" s="403"/>
      <c r="AY852" s="363"/>
      <c r="AZ852" s="84"/>
      <c r="BA852" s="84"/>
      <c r="BB852" s="84"/>
      <c r="BC852" s="84"/>
      <c r="BD852" s="84"/>
      <c r="BE852" s="84"/>
      <c r="BF852" s="84"/>
      <c r="BG852" s="84"/>
      <c r="BH852" s="84"/>
      <c r="BI852" s="84"/>
      <c r="BJ852" s="84"/>
      <c r="BK852" s="84"/>
      <c r="BL852" s="84"/>
      <c r="BM852" s="84"/>
      <c r="BN852" s="84"/>
      <c r="BO852" s="84"/>
      <c r="BP852" s="84"/>
      <c r="BQ852" s="84"/>
      <c r="BR852" s="15"/>
      <c r="BS852" s="15"/>
      <c r="BT852" s="15"/>
      <c r="BU852" s="15"/>
      <c r="BV852" s="15"/>
      <c r="BW852" s="15"/>
      <c r="BX852" s="15"/>
      <c r="BY852" s="15"/>
      <c r="BZ852" s="15"/>
      <c r="CA852" s="15"/>
      <c r="CB852" s="15"/>
      <c r="CC852" s="15"/>
      <c r="CD852" s="15"/>
      <c r="CE852" s="15"/>
      <c r="CF852" s="15"/>
      <c r="CG852" s="15"/>
      <c r="CH852" s="15"/>
      <c r="CI852" s="15"/>
      <c r="CJ852" s="15"/>
      <c r="CK852" s="15"/>
      <c r="CL852" s="15"/>
      <c r="CM852" s="15"/>
      <c r="CN852" s="15"/>
      <c r="CO852" s="15"/>
      <c r="CP852" s="15"/>
      <c r="CQ852" s="15"/>
      <c r="CR852" s="15"/>
      <c r="CS852" s="15"/>
      <c r="CT852" s="15"/>
      <c r="CU852" s="15"/>
      <c r="CV852" s="15"/>
      <c r="CW852" s="15"/>
      <c r="CX852" s="15"/>
      <c r="CY852" s="15"/>
      <c r="CZ852" s="247"/>
      <c r="DA852" s="15"/>
      <c r="DB852" s="15"/>
      <c r="DC852" s="15"/>
      <c r="DD852" s="15"/>
      <c r="DE852" s="15"/>
      <c r="DF852" s="15"/>
      <c r="DG852" s="15"/>
      <c r="DH852" s="15"/>
      <c r="DI852" s="15"/>
    </row>
    <row r="853" spans="1:113" ht="12">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c r="AA853" s="15"/>
      <c r="AB853" s="15"/>
      <c r="AC853" s="15"/>
      <c r="AD853" s="15"/>
      <c r="AE853" s="15"/>
      <c r="AF853" s="15"/>
      <c r="AG853" s="15"/>
      <c r="AH853" s="15"/>
      <c r="AI853" s="15"/>
      <c r="AJ853" s="15"/>
      <c r="AK853" s="15"/>
      <c r="AL853" s="15"/>
      <c r="AM853" s="15"/>
      <c r="AN853" s="15"/>
      <c r="AO853" s="15"/>
      <c r="AP853" s="15"/>
      <c r="AQ853" s="15"/>
      <c r="AR853" s="15"/>
      <c r="AS853" s="15"/>
      <c r="AT853" s="15"/>
      <c r="AU853" s="15"/>
      <c r="AV853" s="15"/>
      <c r="AW853" s="15"/>
      <c r="AX853" s="15"/>
      <c r="AY853" s="247"/>
      <c r="AZ853" s="15"/>
      <c r="BA853" s="15"/>
      <c r="BB853" s="15"/>
      <c r="BC853" s="15"/>
      <c r="BD853" s="15"/>
      <c r="BE853" s="15"/>
      <c r="BF853" s="15"/>
      <c r="BG853" s="15"/>
      <c r="BH853" s="15"/>
      <c r="BI853" s="15"/>
      <c r="BJ853" s="15"/>
      <c r="BK853" s="15"/>
      <c r="BL853" s="15"/>
      <c r="BM853" s="15"/>
      <c r="BN853" s="15"/>
      <c r="BO853" s="15"/>
      <c r="BP853" s="15"/>
      <c r="BQ853" s="15"/>
      <c r="BR853" s="15"/>
      <c r="BS853" s="15"/>
      <c r="BT853" s="15"/>
      <c r="BU853" s="15"/>
      <c r="BV853" s="15"/>
      <c r="BW853" s="15"/>
      <c r="BX853" s="15"/>
      <c r="BY853" s="15"/>
      <c r="BZ853" s="15"/>
      <c r="CA853" s="15"/>
      <c r="CB853" s="15"/>
      <c r="CC853" s="15"/>
      <c r="CD853" s="15"/>
      <c r="CE853" s="15"/>
      <c r="CF853" s="15"/>
      <c r="CG853" s="15"/>
      <c r="CH853" s="15"/>
      <c r="CI853" s="15"/>
      <c r="CJ853" s="15"/>
      <c r="CK853" s="15"/>
      <c r="CL853" s="15"/>
      <c r="CM853" s="15"/>
      <c r="CN853" s="15"/>
      <c r="CO853" s="15"/>
      <c r="CP853" s="15"/>
      <c r="CQ853" s="15"/>
      <c r="CR853" s="15"/>
      <c r="CS853" s="15"/>
      <c r="CT853" s="15"/>
      <c r="CU853" s="15"/>
      <c r="CV853" s="15"/>
      <c r="CW853" s="15"/>
      <c r="CX853" s="15"/>
      <c r="CY853" s="15"/>
      <c r="CZ853" s="247"/>
      <c r="DA853" s="15"/>
      <c r="DB853" s="15"/>
      <c r="DC853" s="15"/>
      <c r="DD853" s="15"/>
      <c r="DE853" s="15"/>
      <c r="DF853" s="15"/>
      <c r="DG853" s="15"/>
      <c r="DH853" s="15"/>
      <c r="DI853" s="15"/>
    </row>
    <row r="854" spans="1:113">
      <c r="AY854" s="200"/>
      <c r="CZ854" s="200"/>
    </row>
    <row r="855" spans="1:113">
      <c r="AY855" s="200"/>
      <c r="CZ855" s="200"/>
    </row>
    <row r="856" spans="1:113">
      <c r="AY856" s="200"/>
      <c r="CZ856" s="200"/>
    </row>
    <row r="857" spans="1:113" ht="12" outlineLevel="1">
      <c r="B857" s="510" t="s">
        <v>2448</v>
      </c>
      <c r="C857" s="329">
        <f t="shared" ref="C857:G857" si="10515">D857</f>
        <v>0.99208600000000002</v>
      </c>
      <c r="D857" s="329">
        <f t="shared" si="10515"/>
        <v>0.99208600000000002</v>
      </c>
      <c r="E857" s="329">
        <f t="shared" si="10515"/>
        <v>0.99208600000000002</v>
      </c>
      <c r="F857" s="329">
        <f t="shared" si="10515"/>
        <v>0.99208600000000002</v>
      </c>
      <c r="G857" s="329">
        <f t="shared" si="10515"/>
        <v>0.99208600000000002</v>
      </c>
      <c r="H857" s="329">
        <f t="shared" ref="H857" si="10516">I857</f>
        <v>0.99208600000000002</v>
      </c>
      <c r="I857" s="329">
        <f t="shared" ref="I857" si="10517">J857</f>
        <v>0.99208600000000002</v>
      </c>
      <c r="J857" s="329">
        <f t="shared" ref="J857" si="10518">K857</f>
        <v>0.99208600000000002</v>
      </c>
      <c r="K857" s="329">
        <f t="shared" ref="K857" si="10519">L857</f>
        <v>0.99208600000000002</v>
      </c>
      <c r="L857" s="329">
        <f t="shared" ref="L857" si="10520">M857</f>
        <v>0.99208600000000002</v>
      </c>
      <c r="M857" s="329">
        <f t="shared" ref="M857" si="10521">N857</f>
        <v>0.99208600000000002</v>
      </c>
      <c r="N857" s="329">
        <f t="shared" ref="N857" si="10522">O857</f>
        <v>0.99208600000000002</v>
      </c>
      <c r="O857" s="329">
        <f t="shared" ref="O857" si="10523">P857</f>
        <v>0.99208600000000002</v>
      </c>
      <c r="P857" s="329">
        <f t="shared" ref="P857" si="10524">Q857</f>
        <v>0.99208600000000002</v>
      </c>
      <c r="Q857" s="329">
        <f t="shared" ref="Q857" si="10525">R857</f>
        <v>0.99208600000000002</v>
      </c>
      <c r="R857" s="329">
        <f t="shared" ref="R857" si="10526">S857</f>
        <v>0.99208600000000002</v>
      </c>
      <c r="S857" s="329">
        <f t="shared" ref="S857" si="10527">T857</f>
        <v>0.99208600000000002</v>
      </c>
      <c r="T857" s="329">
        <f t="shared" ref="T857" si="10528">U857</f>
        <v>0.99208600000000002</v>
      </c>
      <c r="U857" s="329">
        <f t="shared" ref="U857" si="10529">V857</f>
        <v>0.99208600000000002</v>
      </c>
      <c r="V857" s="329">
        <f t="shared" ref="V857" si="10530">W857</f>
        <v>0.99208600000000002</v>
      </c>
      <c r="W857" s="329">
        <f t="shared" ref="W857" si="10531">X857</f>
        <v>0.99208600000000002</v>
      </c>
      <c r="X857" s="329">
        <f t="shared" ref="X857" si="10532">Y857</f>
        <v>0.99208600000000002</v>
      </c>
      <c r="Y857" s="329">
        <f t="shared" ref="Y857" si="10533">Z857</f>
        <v>0.99208600000000002</v>
      </c>
      <c r="Z857" s="329">
        <f t="shared" ref="Z857" si="10534">AA857</f>
        <v>0.99208600000000002</v>
      </c>
      <c r="AA857" s="329">
        <f t="shared" ref="AA857" si="10535">AB857</f>
        <v>0.99208600000000002</v>
      </c>
      <c r="AB857" s="329">
        <f t="shared" ref="AB857" si="10536">AC857</f>
        <v>0.99208600000000002</v>
      </c>
      <c r="AC857" s="329">
        <f t="shared" ref="AC857" si="10537">AD857</f>
        <v>0.99208600000000002</v>
      </c>
      <c r="AD857" s="329">
        <f t="shared" ref="AD857" si="10538">AE857</f>
        <v>0.99208600000000002</v>
      </c>
      <c r="AE857" s="329">
        <f t="shared" ref="AE857" si="10539">AF857</f>
        <v>0.99208600000000002</v>
      </c>
      <c r="AF857" s="329">
        <f t="shared" ref="AF857" si="10540">AG857</f>
        <v>0.99208600000000002</v>
      </c>
      <c r="AG857" s="329">
        <f t="shared" ref="AG857" si="10541">AH857</f>
        <v>0.99208600000000002</v>
      </c>
      <c r="AH857" s="329">
        <f t="shared" ref="AH857" si="10542">AI857</f>
        <v>0.99208600000000002</v>
      </c>
      <c r="AI857" s="329">
        <f t="shared" ref="AI857" si="10543">AJ857</f>
        <v>0.99208600000000002</v>
      </c>
      <c r="AJ857" s="329">
        <f t="shared" ref="AJ857" si="10544">AK857</f>
        <v>0.99208600000000002</v>
      </c>
      <c r="AK857" s="329">
        <f t="shared" ref="AK857" si="10545">AL857</f>
        <v>0.99208600000000002</v>
      </c>
      <c r="AL857" s="329">
        <f t="shared" ref="AL857" si="10546">AM857</f>
        <v>0.99208600000000002</v>
      </c>
      <c r="AM857" s="329">
        <f t="shared" ref="AM857" si="10547">AN857</f>
        <v>0.99208600000000002</v>
      </c>
      <c r="AN857" s="329">
        <f t="shared" ref="AN857" si="10548">AO857</f>
        <v>0.99208600000000002</v>
      </c>
      <c r="AO857" s="329">
        <f t="shared" ref="AO857" si="10549">AP857</f>
        <v>0.99208600000000002</v>
      </c>
      <c r="AP857" s="329">
        <f t="shared" ref="AP857" si="10550">AQ857</f>
        <v>0.99208600000000002</v>
      </c>
      <c r="AQ857" s="329">
        <f t="shared" ref="AQ857" si="10551">AR857</f>
        <v>0.99208600000000002</v>
      </c>
      <c r="AR857" s="329">
        <v>0.99208600000000002</v>
      </c>
      <c r="AS857" s="546">
        <v>1</v>
      </c>
      <c r="AT857" s="546">
        <v>1</v>
      </c>
      <c r="AU857" s="546">
        <v>1</v>
      </c>
      <c r="AV857" s="546">
        <v>1</v>
      </c>
      <c r="AW857" s="546">
        <v>1</v>
      </c>
      <c r="AX857" s="546">
        <v>1</v>
      </c>
      <c r="AY857" s="537">
        <v>1</v>
      </c>
      <c r="AZ857" s="527">
        <v>1</v>
      </c>
      <c r="BA857" s="527">
        <v>1</v>
      </c>
      <c r="BB857" s="527">
        <v>1</v>
      </c>
      <c r="BC857" s="527">
        <v>1</v>
      </c>
      <c r="BD857" s="527">
        <v>1</v>
      </c>
      <c r="BE857" s="527">
        <v>1</v>
      </c>
      <c r="BF857" s="527">
        <v>1</v>
      </c>
      <c r="BG857" s="527">
        <v>1</v>
      </c>
      <c r="BH857" s="527">
        <v>1</v>
      </c>
      <c r="BI857" s="527">
        <v>1</v>
      </c>
      <c r="BJ857" s="527">
        <v>1</v>
      </c>
      <c r="BK857" s="527">
        <v>1</v>
      </c>
      <c r="BL857" s="527">
        <v>1</v>
      </c>
      <c r="BM857" s="527">
        <v>1</v>
      </c>
      <c r="BN857" s="527">
        <v>1</v>
      </c>
      <c r="BO857" s="527">
        <v>1</v>
      </c>
      <c r="BP857" s="527">
        <v>1</v>
      </c>
      <c r="BQ857" s="527">
        <v>1</v>
      </c>
      <c r="BR857" s="15"/>
      <c r="BS857" s="528">
        <f t="shared" ref="BS857:CA857" si="10552">BT857</f>
        <v>0.99208600000000002</v>
      </c>
      <c r="BT857" s="528">
        <f t="shared" si="10552"/>
        <v>0.99208600000000002</v>
      </c>
      <c r="BU857" s="528">
        <f t="shared" si="10552"/>
        <v>0.99208600000000002</v>
      </c>
      <c r="BV857" s="528">
        <f t="shared" si="10552"/>
        <v>0.99208600000000002</v>
      </c>
      <c r="BW857" s="528">
        <f t="shared" si="10552"/>
        <v>0.99208600000000002</v>
      </c>
      <c r="BX857" s="528">
        <f t="shared" si="10552"/>
        <v>0.99208600000000002</v>
      </c>
      <c r="BY857" s="528">
        <f t="shared" si="10552"/>
        <v>0.99208600000000002</v>
      </c>
      <c r="BZ857" s="528">
        <f t="shared" si="10552"/>
        <v>0.99208600000000002</v>
      </c>
      <c r="CA857" s="528">
        <f t="shared" si="10552"/>
        <v>0.99208600000000002</v>
      </c>
      <c r="CB857" s="528">
        <f>CC857</f>
        <v>0.99208600000000002</v>
      </c>
      <c r="CC857" s="529">
        <f>E857</f>
        <v>0.99208600000000002</v>
      </c>
      <c r="CD857" s="529">
        <f>G857</f>
        <v>0.99208600000000002</v>
      </c>
      <c r="CE857" s="529">
        <f>I857</f>
        <v>0.99208600000000002</v>
      </c>
      <c r="CF857" s="529">
        <f>K857</f>
        <v>0.99208600000000002</v>
      </c>
      <c r="CG857" s="529">
        <f>M857</f>
        <v>0.99208600000000002</v>
      </c>
      <c r="CH857" s="529">
        <f>O857</f>
        <v>0.99208600000000002</v>
      </c>
      <c r="CI857" s="529">
        <f>Q857</f>
        <v>0.99208600000000002</v>
      </c>
      <c r="CJ857" s="529">
        <f>S857</f>
        <v>0.99208600000000002</v>
      </c>
      <c r="CK857" s="529">
        <f>U857</f>
        <v>0.99208600000000002</v>
      </c>
      <c r="CL857" s="529">
        <f>W857</f>
        <v>0.99208600000000002</v>
      </c>
      <c r="CM857" s="529">
        <f>Y857</f>
        <v>0.99208600000000002</v>
      </c>
      <c r="CN857" s="529">
        <f>AA857</f>
        <v>0.99208600000000002</v>
      </c>
      <c r="CO857" s="529">
        <f>AC857</f>
        <v>0.99208600000000002</v>
      </c>
      <c r="CP857" s="529">
        <f>AE857</f>
        <v>0.99208600000000002</v>
      </c>
      <c r="CQ857" s="529">
        <f>AG857</f>
        <v>0.99208600000000002</v>
      </c>
      <c r="CR857" s="529">
        <f>AI857</f>
        <v>0.99208600000000002</v>
      </c>
      <c r="CS857" s="529">
        <f>AK857</f>
        <v>0.99208600000000002</v>
      </c>
      <c r="CT857" s="529">
        <f>AM857</f>
        <v>0.99208600000000002</v>
      </c>
      <c r="CU857" s="529">
        <f>AO857</f>
        <v>0.99208600000000002</v>
      </c>
      <c r="CV857" s="529">
        <f>AQ857</f>
        <v>0.99208600000000002</v>
      </c>
      <c r="CW857" s="529">
        <f>AS857</f>
        <v>1</v>
      </c>
      <c r="CX857" s="529">
        <f>AU857</f>
        <v>1</v>
      </c>
      <c r="CY857" s="529">
        <f>AW857</f>
        <v>1</v>
      </c>
      <c r="CZ857" s="530">
        <f>AY857</f>
        <v>1</v>
      </c>
      <c r="DA857" s="529">
        <f>BA857</f>
        <v>1</v>
      </c>
      <c r="DB857" s="529">
        <f t="shared" ref="DB857" si="10553">BC857</f>
        <v>1</v>
      </c>
      <c r="DC857" s="529">
        <f t="shared" ref="DC857" si="10554">BE857</f>
        <v>1</v>
      </c>
      <c r="DD857" s="529">
        <f t="shared" ref="DD857" si="10555">BG857</f>
        <v>1</v>
      </c>
      <c r="DE857" s="529">
        <f t="shared" ref="DE857" si="10556">BI857</f>
        <v>1</v>
      </c>
      <c r="DF857" s="529">
        <f t="shared" ref="DF857" si="10557">BK857</f>
        <v>1</v>
      </c>
      <c r="DG857" s="529">
        <f>BM857</f>
        <v>1</v>
      </c>
      <c r="DH857" s="529">
        <f>BO857</f>
        <v>1</v>
      </c>
      <c r="DI857" s="529">
        <f>BQ857</f>
        <v>1</v>
      </c>
    </row>
  </sheetData>
  <phoneticPr fontId="12" type="noConversion"/>
  <pageMargins left="0.75" right="0.75" top="1" bottom="1" header="0.5" footer="0.5"/>
  <pageSetup paperSize="9" scale="41" fitToWidth="2" fitToHeight="11" orientation="landscape" r:id="rId1"/>
  <headerFooter alignWithMargins="0"/>
  <rowBreaks count="10" manualBreakCount="10">
    <brk id="90" min="1" max="95" man="1"/>
    <brk id="153" min="1" max="95" man="1"/>
    <brk id="211" min="1" max="95" man="1"/>
    <brk id="268" min="1" max="95" man="1"/>
    <brk id="326" min="1" max="95" man="1"/>
    <brk id="392" min="1" max="95" man="1"/>
    <brk id="530" min="1" max="95" man="1"/>
    <brk id="617" min="1" max="95" man="1"/>
    <brk id="656" min="1" max="95" man="1"/>
    <brk id="724" min="1" max="95" man="1"/>
  </rowBreaks>
  <colBreaks count="1" manualBreakCount="1">
    <brk id="92" max="852" man="1"/>
  </colBreaks>
  <customProperties>
    <customPr name="Qube.Worksheet.Visibility" r:id="rId2"/>
    <customPr name="QXL_SHEET_ID" r:id="rId3"/>
    <customPr name="SHEET_UNIQUE_ID" r:id="rId4"/>
  </customProperties>
  <legacyDrawing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Y84"/>
  <sheetViews>
    <sheetView topLeftCell="A3" workbookViewId="0"/>
  </sheetViews>
  <sheetFormatPr defaultColWidth="9" defaultRowHeight="12" outlineLevelRow="1" outlineLevelCol="1"/>
  <cols>
    <col min="1" max="1" width="3.625" style="15" customWidth="1"/>
    <col min="2" max="4" width="3.625" style="15" hidden="1" customWidth="1" outlineLevel="1"/>
    <col min="5" max="5" width="32.125" style="15" bestFit="1" customWidth="1" collapsed="1"/>
    <col min="6" max="6" width="9.625" style="15" hidden="1" customWidth="1" outlineLevel="1"/>
    <col min="7" max="7" width="9.625" style="15" customWidth="1" collapsed="1"/>
    <col min="8" max="10" width="9.625" style="15" customWidth="1"/>
    <col min="11" max="11" width="1.5" style="15" customWidth="1"/>
    <col min="12" max="12" width="32.125" style="15" customWidth="1"/>
    <col min="13" max="13" width="9.625" style="15" hidden="1" customWidth="1" outlineLevel="1"/>
    <col min="14" max="14" width="9.625" style="15" customWidth="1" collapsed="1"/>
    <col min="15" max="17" width="9.625" style="15" customWidth="1"/>
    <col min="18" max="19" width="3.5" style="162" hidden="1" customWidth="1" outlineLevel="1"/>
    <col min="20" max="20" width="3.5" style="15" hidden="1" customWidth="1" outlineLevel="1"/>
    <col min="21" max="21" width="3.5" style="15" customWidth="1" collapsed="1"/>
    <col min="22" max="24" width="9" style="15"/>
    <col min="25" max="25" width="10.25" style="15" bestFit="1" customWidth="1"/>
    <col min="26" max="16384" width="9" style="15"/>
  </cols>
  <sheetData>
    <row r="1" spans="4:25" hidden="1" outlineLevel="1">
      <c r="F1" s="441" t="e">
        <f>DATE("20"&amp;MID(F2,3,2),9,30)</f>
        <v>#REF!</v>
      </c>
      <c r="G1" s="441" t="e">
        <f>EOMONTH(F1,12)</f>
        <v>#REF!</v>
      </c>
      <c r="H1" s="441" t="e">
        <f>EOMONTH(G1,12)</f>
        <v>#REF!</v>
      </c>
      <c r="I1" s="441" t="e">
        <f>EOMONTH(H1,12)</f>
        <v>#REF!</v>
      </c>
      <c r="J1" s="441" t="e">
        <f>EOMONTH(I1,12)</f>
        <v>#REF!</v>
      </c>
    </row>
    <row r="2" spans="4:25" hidden="1" outlineLevel="1">
      <c r="F2" s="15" t="e">
        <f>LEFT(G2,2)&amp;TEXT(MID(G2,3,2)-1,"00")&amp;"A"</f>
        <v>#REF!</v>
      </c>
      <c r="G2" s="15" t="e">
        <f>LEFT(H2,2)&amp;TEXT(MID(H2,3,2)-1,"00")&amp;"A"</f>
        <v>#REF!</v>
      </c>
      <c r="H2" s="510" t="e">
        <f>Summary!#REF!</f>
        <v>#REF!</v>
      </c>
      <c r="I2" s="15" t="e">
        <f>LEFT(H2,2)&amp;TEXT(MID(H2,3,2)+1,"00")&amp;"E"</f>
        <v>#REF!</v>
      </c>
      <c r="J2" s="15" t="e">
        <f>LEFT(I2,2)&amp;TEXT(MID(I2,3,2)+1,"00")&amp;"E"</f>
        <v>#REF!</v>
      </c>
    </row>
    <row r="3" spans="4:25" collapsed="1">
      <c r="J3" s="442"/>
    </row>
    <row r="4" spans="4:25">
      <c r="E4" s="17"/>
    </row>
    <row r="5" spans="4:25">
      <c r="E5" s="484" t="s">
        <v>2094</v>
      </c>
      <c r="F5" s="485"/>
      <c r="G5" s="486"/>
      <c r="H5" s="486"/>
      <c r="I5" s="486"/>
      <c r="J5" s="486"/>
      <c r="L5" s="484" t="s">
        <v>2105</v>
      </c>
      <c r="M5" s="485" t="e">
        <f>TEXT(F$1,"mm/yy")</f>
        <v>#REF!</v>
      </c>
      <c r="N5" s="486" t="e">
        <f>TEXT(G$1,"mm/yy")</f>
        <v>#REF!</v>
      </c>
      <c r="O5" s="486" t="e">
        <f>TEXT(H$1,"mm/yy")&amp;"E"</f>
        <v>#REF!</v>
      </c>
      <c r="P5" s="486" t="e">
        <f>TEXT(I$1,"mm/yy")&amp;"E"</f>
        <v>#REF!</v>
      </c>
      <c r="Q5" s="486" t="e">
        <f>TEXT(J$1,"mm/yy")&amp;"E"</f>
        <v>#REF!</v>
      </c>
      <c r="Y5" s="443"/>
    </row>
    <row r="6" spans="4:25">
      <c r="E6" s="15" t="s">
        <v>298</v>
      </c>
      <c r="G6" s="444" t="str">
        <f>Summary!C2</f>
        <v>ANZ</v>
      </c>
      <c r="H6" s="15" t="s">
        <v>2106</v>
      </c>
      <c r="J6" s="445" t="e">
        <f>IF(INDEX(#REF!,MATCH("Australia/NZ Investment List",#REF!,0))="","Neutral",IF(INDEX(#REF!,MATCH("Australia/NZ Conviction List",#REF!,0))="",INDEX(#REF!,MATCH("Australia/NZ Investment List",#REF!,0)),INDEX(#REF!,MATCH("Australia/NZ Conviction List",#REF!,0))&amp;" (CL)"))&amp;"  "</f>
        <v>#REF!</v>
      </c>
      <c r="L6" s="17" t="s">
        <v>472</v>
      </c>
      <c r="M6" s="446" t="e">
        <f>VLOOKUP($R6,Model!$1:$1048576,MATCH(FinSum!F$2,Model!$1:$1,0),FALSE)</f>
        <v>#REF!</v>
      </c>
      <c r="N6" s="446" t="e">
        <f>VLOOKUP($R6,Model!$1:$1048576,MATCH(FinSum!G$2,Model!$1:$1,0),FALSE)</f>
        <v>#REF!</v>
      </c>
      <c r="O6" s="446" t="e">
        <f>VLOOKUP($R6,Model!$1:$1048576,MATCH(FinSum!H$2,Model!$1:$1,0),FALSE)</f>
        <v>#REF!</v>
      </c>
      <c r="P6" s="446" t="e">
        <f>VLOOKUP($R6,Model!$1:$1048576,MATCH(FinSum!I$2,Model!$1:$1,0),FALSE)</f>
        <v>#REF!</v>
      </c>
      <c r="Q6" s="446" t="e">
        <f>VLOOKUP($R6,Model!$1:$1048576,MATCH(FinSum!J$2,Model!$1:$1,0),FALSE)</f>
        <v>#REF!</v>
      </c>
      <c r="R6" s="162" t="s">
        <v>1061</v>
      </c>
    </row>
    <row r="7" spans="4:25">
      <c r="E7" s="15" t="s">
        <v>301</v>
      </c>
      <c r="G7" s="444" t="str">
        <f>$G$6&amp;" AU"</f>
        <v>ANZ AU</v>
      </c>
      <c r="H7" s="15" t="s">
        <v>2107</v>
      </c>
      <c r="J7" s="447" t="str">
        <f>Summary!G3&amp;"  "</f>
        <v xml:space="preserve">FY34E  </v>
      </c>
      <c r="L7" s="15" t="s">
        <v>1095</v>
      </c>
      <c r="M7" s="448" t="e">
        <f>VLOOKUP($R7,Model!$1:$1048576,MATCH(FinSum!F$2,Model!$1:$1,0),FALSE)</f>
        <v>#REF!</v>
      </c>
      <c r="N7" s="448" t="e">
        <f>VLOOKUP($R7,Model!$1:$1048576,MATCH(FinSum!G$2,Model!$1:$1,0),FALSE)</f>
        <v>#REF!</v>
      </c>
      <c r="O7" s="448" t="e">
        <f>VLOOKUP($R7,Model!$1:$1048576,MATCH(FinSum!H$2,Model!$1:$1,0),FALSE)</f>
        <v>#REF!</v>
      </c>
      <c r="P7" s="448" t="e">
        <f>VLOOKUP($R7,Model!$1:$1048576,MATCH(FinSum!I$2,Model!$1:$1,0),FALSE)</f>
        <v>#REF!</v>
      </c>
      <c r="Q7" s="448" t="e">
        <f>VLOOKUP($R7,Model!$1:$1048576,MATCH(FinSum!J$2,Model!$1:$1,0),FALSE)</f>
        <v>#REF!</v>
      </c>
      <c r="R7" s="162" t="s">
        <v>927</v>
      </c>
    </row>
    <row r="8" spans="4:25">
      <c r="E8" s="15" t="s">
        <v>206</v>
      </c>
      <c r="G8" s="444" t="str">
        <f>$G$6&amp;".AX"</f>
        <v>ANZ.AX</v>
      </c>
      <c r="H8" s="15" t="s">
        <v>2108</v>
      </c>
      <c r="J8" s="449">
        <f>Summary!G2</f>
        <v>46265</v>
      </c>
      <c r="L8" s="450" t="s">
        <v>485</v>
      </c>
      <c r="M8" s="451" t="e">
        <f>VLOOKUP($R8,Model!$1:$1048576,MATCH(FinSum!F$2,Model!$1:$1,0),FALSE)</f>
        <v>#REF!</v>
      </c>
      <c r="N8" s="451" t="e">
        <f>VLOOKUP($R8,Model!$1:$1048576,MATCH(FinSum!G$2,Model!$1:$1,0),FALSE)</f>
        <v>#REF!</v>
      </c>
      <c r="O8" s="451" t="e">
        <f>VLOOKUP($R8,Model!$1:$1048576,MATCH(FinSum!H$2,Model!$1:$1,0),FALSE)</f>
        <v>#REF!</v>
      </c>
      <c r="P8" s="451" t="e">
        <f>VLOOKUP($R8,Model!$1:$1048576,MATCH(FinSum!I$2,Model!$1:$1,0),FALSE)</f>
        <v>#REF!</v>
      </c>
      <c r="Q8" s="451" t="e">
        <f>VLOOKUP($R8,Model!$1:$1048576,MATCH(FinSum!J$2,Model!$1:$1,0),FALSE)</f>
        <v>#REF!</v>
      </c>
      <c r="R8" s="162" t="s">
        <v>241</v>
      </c>
    </row>
    <row r="9" spans="4:25">
      <c r="E9" s="15" t="s">
        <v>2109</v>
      </c>
      <c r="G9" s="452" t="e">
        <f ca="1">Summary!C5</f>
        <v>#NAME?</v>
      </c>
      <c r="H9" s="15" t="s">
        <v>859</v>
      </c>
      <c r="J9" s="453">
        <f ca="1">Summary!G9</f>
        <v>40.564236991099477</v>
      </c>
      <c r="L9" s="15" t="s">
        <v>536</v>
      </c>
      <c r="M9" s="454" t="e">
        <f>VLOOKUP($R9,Model!$1:$1048576,MATCH(FinSum!F$2,Model!$1:$1,0),FALSE)</f>
        <v>#REF!</v>
      </c>
      <c r="N9" s="454" t="e">
        <f>VLOOKUP($R9,Model!$1:$1048576,MATCH(FinSum!G$2,Model!$1:$1,0),FALSE)</f>
        <v>#REF!</v>
      </c>
      <c r="O9" s="454" t="e">
        <f>VLOOKUP($R9,Model!$1:$1048576,MATCH(FinSum!H$2,Model!$1:$1,0),FALSE)</f>
        <v>#REF!</v>
      </c>
      <c r="P9" s="454" t="e">
        <f>VLOOKUP($R9,Model!$1:$1048576,MATCH(FinSum!I$2,Model!$1:$1,0),FALSE)</f>
        <v>#REF!</v>
      </c>
      <c r="Q9" s="454" t="e">
        <f>VLOOKUP($R9,Model!$1:$1048576,MATCH(FinSum!J$2,Model!$1:$1,0),FALSE)</f>
        <v>#REF!</v>
      </c>
      <c r="R9" s="162" t="s">
        <v>996</v>
      </c>
      <c r="Y9" s="443"/>
    </row>
    <row r="10" spans="4:25">
      <c r="E10" s="15" t="s">
        <v>2110</v>
      </c>
      <c r="G10" s="455" t="e">
        <f ca="1">Summary!C6</f>
        <v>#NAME?</v>
      </c>
      <c r="H10" s="15" t="s">
        <v>2111</v>
      </c>
      <c r="J10" s="453">
        <f>Summary!G10</f>
        <v>40.564236991099477</v>
      </c>
      <c r="L10" s="15" t="s">
        <v>537</v>
      </c>
      <c r="M10" s="454" t="e">
        <f>VLOOKUP($R10,Model!$1:$1048576,MATCH(FinSum!F$2,Model!$1:$1,0),FALSE)</f>
        <v>#REF!</v>
      </c>
      <c r="N10" s="454" t="e">
        <f>VLOOKUP($R10,Model!$1:$1048576,MATCH(FinSum!G$2,Model!$1:$1,0),FALSE)</f>
        <v>#REF!</v>
      </c>
      <c r="O10" s="454" t="e">
        <f>VLOOKUP($R10,Model!$1:$1048576,MATCH(FinSum!H$2,Model!$1:$1,0),FALSE)</f>
        <v>#REF!</v>
      </c>
      <c r="P10" s="454" t="e">
        <f>VLOOKUP($R10,Model!$1:$1048576,MATCH(FinSum!I$2,Model!$1:$1,0),FALSE)</f>
        <v>#REF!</v>
      </c>
      <c r="Q10" s="454" t="e">
        <f>VLOOKUP($R10,Model!$1:$1048576,MATCH(FinSum!J$2,Model!$1:$1,0),FALSE)</f>
        <v>#REF!</v>
      </c>
      <c r="R10" s="162" t="s">
        <v>997</v>
      </c>
    </row>
    <row r="11" spans="4:25">
      <c r="E11" s="15" t="s">
        <v>2112</v>
      </c>
      <c r="G11" s="455" t="e">
        <f ca="1">G10/G9</f>
        <v>#NAME?</v>
      </c>
      <c r="H11" s="15" t="s">
        <v>2113</v>
      </c>
      <c r="J11" s="456" t="e">
        <f ca="1">J10/G9-1</f>
        <v>#NAME?</v>
      </c>
      <c r="L11" s="15" t="s">
        <v>538</v>
      </c>
      <c r="M11" s="454" t="e">
        <f>VLOOKUP($R11,Model!$1:$1048576,MATCH(FinSum!F$2,Model!$1:$1,0),FALSE)</f>
        <v>#REF!</v>
      </c>
      <c r="N11" s="454" t="e">
        <f>VLOOKUP($R11,Model!$1:$1048576,MATCH(FinSum!G$2,Model!$1:$1,0),FALSE)</f>
        <v>#REF!</v>
      </c>
      <c r="O11" s="454" t="e">
        <f>VLOOKUP($R11,Model!$1:$1048576,MATCH(FinSum!H$2,Model!$1:$1,0),FALSE)</f>
        <v>#REF!</v>
      </c>
      <c r="P11" s="454" t="e">
        <f>VLOOKUP($R11,Model!$1:$1048576,MATCH(FinSum!I$2,Model!$1:$1,0),FALSE)</f>
        <v>#REF!</v>
      </c>
      <c r="Q11" s="454" t="e">
        <f>VLOOKUP($R11,Model!$1:$1048576,MATCH(FinSum!J$2,Model!$1:$1,0),FALSE)</f>
        <v>#REF!</v>
      </c>
      <c r="R11" s="162" t="s">
        <v>998</v>
      </c>
    </row>
    <row r="12" spans="4:25">
      <c r="E12" s="15" t="s">
        <v>2114</v>
      </c>
      <c r="G12" s="444" t="s">
        <v>2115</v>
      </c>
      <c r="H12" s="15" t="s">
        <v>2116</v>
      </c>
      <c r="J12" s="457">
        <f ca="1">$J$10/Summary!$E$122</f>
        <v>16.170329226308002</v>
      </c>
      <c r="L12" s="15" t="s">
        <v>434</v>
      </c>
      <c r="M12" s="454" t="e">
        <f>VLOOKUP($R12,Model!$1:$1048576,MATCH(FinSum!F$2,Model!$1:$1,0),FALSE)</f>
        <v>#REF!</v>
      </c>
      <c r="N12" s="454" t="e">
        <f>VLOOKUP($R12,Model!$1:$1048576,MATCH(FinSum!G$2,Model!$1:$1,0),FALSE)</f>
        <v>#REF!</v>
      </c>
      <c r="O12" s="454" t="e">
        <f>VLOOKUP($R12,Model!$1:$1048576,MATCH(FinSum!H$2,Model!$1:$1,0),FALSE)</f>
        <v>#REF!</v>
      </c>
      <c r="P12" s="454" t="e">
        <f>VLOOKUP($R12,Model!$1:$1048576,MATCH(FinSum!I$2,Model!$1:$1,0),FALSE)</f>
        <v>#REF!</v>
      </c>
      <c r="Q12" s="454" t="e">
        <f>VLOOKUP($R12,Model!$1:$1048576,MATCH(FinSum!J$2,Model!$1:$1,0),FALSE)</f>
        <v>#REF!</v>
      </c>
      <c r="R12" s="162" t="s">
        <v>999</v>
      </c>
    </row>
    <row r="13" spans="4:25">
      <c r="J13" s="16"/>
      <c r="L13" s="15" t="s">
        <v>783</v>
      </c>
      <c r="M13" s="454" t="e">
        <f>VLOOKUP($R13,Model!$1:$1048576,MATCH(FinSum!F$2,Model!$1:$1,0),FALSE)+VLOOKUP($S13,Model!$1:$1048576,MATCH(FinSum!F$2,Model!$1:$1,0),FALSE)</f>
        <v>#REF!</v>
      </c>
      <c r="N13" s="454" t="e">
        <f>VLOOKUP($R13,Model!$1:$1048576,MATCH(FinSum!G$2,Model!$1:$1,0),FALSE)+VLOOKUP($S13,Model!$1:$1048576,MATCH(FinSum!G$2,Model!$1:$1,0),FALSE)</f>
        <v>#REF!</v>
      </c>
      <c r="O13" s="454" t="e">
        <f>VLOOKUP($R13,Model!$1:$1048576,MATCH(FinSum!H$2,Model!$1:$1,0),FALSE)+VLOOKUP($S13,Model!$1:$1048576,MATCH(FinSum!H$2,Model!$1:$1,0),FALSE)</f>
        <v>#REF!</v>
      </c>
      <c r="P13" s="454" t="e">
        <f>VLOOKUP($R13,Model!$1:$1048576,MATCH(FinSum!I$2,Model!$1:$1,0),FALSE)+VLOOKUP($S13,Model!$1:$1048576,MATCH(FinSum!I$2,Model!$1:$1,0),FALSE)</f>
        <v>#REF!</v>
      </c>
      <c r="Q13" s="454" t="e">
        <f>VLOOKUP($R13,Model!$1:$1048576,MATCH(FinSum!J$2,Model!$1:$1,0),FALSE)+VLOOKUP($S13,Model!$1:$1048576,MATCH(FinSum!J$2,Model!$1:$1,0),FALSE)</f>
        <v>#REF!</v>
      </c>
      <c r="R13" s="162" t="s">
        <v>1000</v>
      </c>
      <c r="S13" s="162" t="s">
        <v>807</v>
      </c>
    </row>
    <row r="14" spans="4:25">
      <c r="E14" s="484" t="s">
        <v>2117</v>
      </c>
      <c r="F14" s="485" t="e">
        <f>TEXT(F$1,"mm/yy")</f>
        <v>#REF!</v>
      </c>
      <c r="G14" s="486" t="e">
        <f>TEXT(G$1,"mm/yy")</f>
        <v>#REF!</v>
      </c>
      <c r="H14" s="486" t="e">
        <f>TEXT(H$1,"mm/yy")&amp;RIGHT(H$2,1)</f>
        <v>#REF!</v>
      </c>
      <c r="I14" s="486" t="e">
        <f>TEXT(I$1,"mm/yy")&amp;RIGHT(I$2,1)</f>
        <v>#REF!</v>
      </c>
      <c r="J14" s="486" t="e">
        <f>TEXT(J$1,"mm/yy")&amp;RIGHT(J$2,1)</f>
        <v>#REF!</v>
      </c>
      <c r="L14" s="15" t="s">
        <v>658</v>
      </c>
      <c r="M14" s="454" t="e">
        <f>VLOOKUP($R14,Model!$1:$1048576,MATCH(FinSum!F$2,Model!$1:$1,0),FALSE)-SUM(M9:M13)</f>
        <v>#REF!</v>
      </c>
      <c r="N14" s="454" t="e">
        <f>VLOOKUP($R14,Model!$1:$1048576,MATCH(FinSum!G$2,Model!$1:$1,0),FALSE)-SUM(N9:N13)</f>
        <v>#REF!</v>
      </c>
      <c r="O14" s="454" t="e">
        <f>VLOOKUP($R14,Model!$1:$1048576,MATCH(FinSum!H$2,Model!$1:$1,0),FALSE)-SUM(O9:O13)</f>
        <v>#REF!</v>
      </c>
      <c r="P14" s="454" t="e">
        <f>VLOOKUP($R14,Model!$1:$1048576,MATCH(FinSum!I$2,Model!$1:$1,0),FALSE)-SUM(P9:P13)</f>
        <v>#REF!</v>
      </c>
      <c r="Q14" s="454" t="e">
        <f>VLOOKUP($R14,Model!$1:$1048576,MATCH(FinSum!J$2,Model!$1:$1,0),FALSE)-SUM(Q9:Q13)</f>
        <v>#REF!</v>
      </c>
      <c r="R14" s="162" t="s">
        <v>995</v>
      </c>
    </row>
    <row r="15" spans="4:25">
      <c r="E15" s="15" t="s">
        <v>2118</v>
      </c>
      <c r="F15" s="454" t="e">
        <f>M17</f>
        <v>#REF!</v>
      </c>
      <c r="G15" s="454" t="e">
        <f>N17</f>
        <v>#REF!</v>
      </c>
      <c r="H15" s="454" t="e">
        <f>O17</f>
        <v>#REF!</v>
      </c>
      <c r="I15" s="454" t="e">
        <f>P17</f>
        <v>#REF!</v>
      </c>
      <c r="J15" s="454" t="e">
        <f>Q17</f>
        <v>#REF!</v>
      </c>
      <c r="L15" s="450" t="s">
        <v>2119</v>
      </c>
      <c r="M15" s="451" t="e">
        <f>VLOOKUP($R15,Model!$1:$1048576,MATCH(FinSum!F$2,Model!$1:$1,0),FALSE)</f>
        <v>#REF!</v>
      </c>
      <c r="N15" s="451" t="e">
        <f>VLOOKUP($R15,Model!$1:$1048576,MATCH(FinSum!G$2,Model!$1:$1,0),FALSE)</f>
        <v>#REF!</v>
      </c>
      <c r="O15" s="451" t="e">
        <f>VLOOKUP($R15,Model!$1:$1048576,MATCH(FinSum!H$2,Model!$1:$1,0),FALSE)</f>
        <v>#REF!</v>
      </c>
      <c r="P15" s="451" t="e">
        <f>VLOOKUP($R15,Model!$1:$1048576,MATCH(FinSum!I$2,Model!$1:$1,0),FALSE)</f>
        <v>#REF!</v>
      </c>
      <c r="Q15" s="451" t="e">
        <f>VLOOKUP($R15,Model!$1:$1048576,MATCH(FinSum!J$2,Model!$1:$1,0),FALSE)</f>
        <v>#REF!</v>
      </c>
      <c r="R15" s="162" t="s">
        <v>813</v>
      </c>
    </row>
    <row r="16" spans="4:25">
      <c r="D16" s="162" t="s">
        <v>954</v>
      </c>
      <c r="E16" s="17" t="s">
        <v>2120</v>
      </c>
      <c r="F16" s="458" t="e">
        <f>VLOOKUP($D16,Model!$1:$1048576,MATCH(FinSum!F$2,Model!$1:$1,0),FALSE)*100</f>
        <v>#REF!</v>
      </c>
      <c r="G16" s="458" t="e">
        <f>VLOOKUP($D16,Model!$1:$1048576,MATCH(FinSum!G$2,Model!$1:$1,0),FALSE)*100</f>
        <v>#REF!</v>
      </c>
      <c r="H16" s="458" t="e">
        <f>VLOOKUP($D16,Model!$1:$1048576,MATCH(FinSum!H$2,Model!$1:$1,0),FALSE)*100</f>
        <v>#REF!</v>
      </c>
      <c r="I16" s="458" t="e">
        <f>VLOOKUP($D16,Model!$1:$1048576,MATCH(FinSum!I$2,Model!$1:$1,0),FALSE)*100</f>
        <v>#REF!</v>
      </c>
      <c r="J16" s="458" t="e">
        <f>VLOOKUP($D16,Model!$1:$1048576,MATCH(FinSum!J$2,Model!$1:$1,0),FALSE)*100</f>
        <v>#REF!</v>
      </c>
      <c r="L16" s="15" t="s">
        <v>2121</v>
      </c>
      <c r="M16" s="454" t="e">
        <f>VLOOKUP($R16,Model!$1:$1048576,MATCH(FinSum!F$2,Model!$1:$1,0),FALSE)</f>
        <v>#REF!</v>
      </c>
      <c r="N16" s="454" t="e">
        <f>VLOOKUP($R16,Model!$1:$1048576,MATCH(FinSum!G$2,Model!$1:$1,0),FALSE)</f>
        <v>#REF!</v>
      </c>
      <c r="O16" s="454" t="e">
        <f>VLOOKUP($R16,Model!$1:$1048576,MATCH(FinSum!H$2,Model!$1:$1,0),FALSE)</f>
        <v>#REF!</v>
      </c>
      <c r="P16" s="454" t="e">
        <f>VLOOKUP($R16,Model!$1:$1048576,MATCH(FinSum!I$2,Model!$1:$1,0),FALSE)</f>
        <v>#REF!</v>
      </c>
      <c r="Q16" s="454" t="e">
        <f>VLOOKUP($R16,Model!$1:$1048576,MATCH(FinSum!J$2,Model!$1:$1,0),FALSE)</f>
        <v>#REF!</v>
      </c>
      <c r="R16" s="162" t="s">
        <v>671</v>
      </c>
    </row>
    <row r="17" spans="1:19">
      <c r="E17" s="80" t="s">
        <v>2122</v>
      </c>
      <c r="F17" s="459"/>
      <c r="G17" s="459" t="e">
        <f>G16/F16-1</f>
        <v>#REF!</v>
      </c>
      <c r="H17" s="459" t="e">
        <f>H16/G16-1</f>
        <v>#REF!</v>
      </c>
      <c r="I17" s="459" t="e">
        <f>I16/H16-1</f>
        <v>#REF!</v>
      </c>
      <c r="J17" s="459" t="e">
        <f>J16/I16-1</f>
        <v>#REF!</v>
      </c>
      <c r="L17" s="450" t="s">
        <v>2123</v>
      </c>
      <c r="M17" s="451" t="e">
        <f>M15+M16</f>
        <v>#REF!</v>
      </c>
      <c r="N17" s="451" t="e">
        <f>N15+N16</f>
        <v>#REF!</v>
      </c>
      <c r="O17" s="451" t="e">
        <f>O15+O16</f>
        <v>#REF!</v>
      </c>
      <c r="P17" s="451" t="e">
        <f>P15+P16</f>
        <v>#REF!</v>
      </c>
      <c r="Q17" s="451" t="e">
        <f>Q15+Q16</f>
        <v>#REF!</v>
      </c>
      <c r="R17" s="162" t="s">
        <v>100</v>
      </c>
    </row>
    <row r="18" spans="1:19">
      <c r="A18" s="17"/>
      <c r="B18" s="17"/>
      <c r="C18" s="17"/>
      <c r="D18" s="17"/>
      <c r="E18" s="17" t="s">
        <v>2124</v>
      </c>
      <c r="F18" s="446" t="e">
        <f>M24</f>
        <v>#REF!</v>
      </c>
      <c r="G18" s="446" t="e">
        <f>N24</f>
        <v>#REF!</v>
      </c>
      <c r="H18" s="446" t="e">
        <f>O24</f>
        <v>#REF!</v>
      </c>
      <c r="I18" s="446" t="e">
        <f>P24</f>
        <v>#REF!</v>
      </c>
      <c r="J18" s="446" t="e">
        <f>Q24</f>
        <v>#REF!</v>
      </c>
      <c r="L18" s="15" t="s">
        <v>2125</v>
      </c>
      <c r="M18" s="454" t="e">
        <f>VLOOKUP($R18,Model!$1:$1048576,MATCH(FinSum!F$2,Model!$1:$1,0),FALSE)</f>
        <v>#REF!</v>
      </c>
      <c r="N18" s="454" t="e">
        <f>VLOOKUP($R18,Model!$1:$1048576,MATCH(FinSum!G$2,Model!$1:$1,0),FALSE)</f>
        <v>#REF!</v>
      </c>
      <c r="O18" s="454" t="e">
        <f>VLOOKUP($R18,Model!$1:$1048576,MATCH(FinSum!H$2,Model!$1:$1,0),FALSE)</f>
        <v>#REF!</v>
      </c>
      <c r="P18" s="454" t="e">
        <f>VLOOKUP($R18,Model!$1:$1048576,MATCH(FinSum!I$2,Model!$1:$1,0),FALSE)</f>
        <v>#REF!</v>
      </c>
      <c r="Q18" s="454" t="e">
        <f>VLOOKUP($R18,Model!$1:$1048576,MATCH(FinSum!J$2,Model!$1:$1,0),FALSE)</f>
        <v>#REF!</v>
      </c>
      <c r="R18" s="162" t="s">
        <v>686</v>
      </c>
    </row>
    <row r="19" spans="1:19">
      <c r="E19" s="80" t="s">
        <v>2122</v>
      </c>
      <c r="F19" s="459"/>
      <c r="G19" s="459" t="e">
        <f>G18/F18-1</f>
        <v>#REF!</v>
      </c>
      <c r="H19" s="459" t="e">
        <f>H18/G18-1</f>
        <v>#REF!</v>
      </c>
      <c r="I19" s="459" t="e">
        <f>I18/H18-1</f>
        <v>#REF!</v>
      </c>
      <c r="J19" s="459" t="e">
        <f>J18/I18-1</f>
        <v>#REF!</v>
      </c>
      <c r="L19" s="15" t="s">
        <v>481</v>
      </c>
      <c r="M19" s="454" t="e">
        <f>VLOOKUP($R19,Model!$1:$1048576,MATCH(FinSum!F$2,Model!$1:$1,0),FALSE)</f>
        <v>#REF!</v>
      </c>
      <c r="N19" s="454" t="e">
        <f>VLOOKUP($R19,Model!$1:$1048576,MATCH(FinSum!G$2,Model!$1:$1,0),FALSE)</f>
        <v>#REF!</v>
      </c>
      <c r="O19" s="454" t="e">
        <f>VLOOKUP($R19,Model!$1:$1048576,MATCH(FinSum!H$2,Model!$1:$1,0),FALSE)</f>
        <v>#REF!</v>
      </c>
      <c r="P19" s="454" t="e">
        <f>VLOOKUP($R19,Model!$1:$1048576,MATCH(FinSum!I$2,Model!$1:$1,0),FALSE)</f>
        <v>#REF!</v>
      </c>
      <c r="Q19" s="454" t="e">
        <f>VLOOKUP($R19,Model!$1:$1048576,MATCH(FinSum!J$2,Model!$1:$1,0),FALSE)</f>
        <v>#REF!</v>
      </c>
      <c r="R19" s="162" t="s">
        <v>687</v>
      </c>
    </row>
    <row r="20" spans="1:19">
      <c r="D20" s="162" t="s">
        <v>952</v>
      </c>
      <c r="E20" s="17" t="s">
        <v>2126</v>
      </c>
      <c r="F20" s="458" t="e">
        <f>VLOOKUP($D20,Model!$1:$1048576,MATCH(FinSum!F$2,Model!$1:$1,0),FALSE)*100</f>
        <v>#REF!</v>
      </c>
      <c r="G20" s="458" t="e">
        <f>VLOOKUP($D20,Model!$1:$1048576,MATCH(FinSum!G$2,Model!$1:$1,0),FALSE)*100</f>
        <v>#REF!</v>
      </c>
      <c r="H20" s="458" t="e">
        <f>VLOOKUP($D20,Model!$1:$1048576,MATCH(FinSum!H$2,Model!$1:$1,0),FALSE)*100</f>
        <v>#REF!</v>
      </c>
      <c r="I20" s="458" t="e">
        <f>VLOOKUP($D20,Model!$1:$1048576,MATCH(FinSum!I$2,Model!$1:$1,0),FALSE)*100</f>
        <v>#REF!</v>
      </c>
      <c r="J20" s="458" t="e">
        <f>VLOOKUP($D20,Model!$1:$1048576,MATCH(FinSum!J$2,Model!$1:$1,0),FALSE)*100</f>
        <v>#REF!</v>
      </c>
      <c r="L20" s="450" t="s">
        <v>1313</v>
      </c>
      <c r="M20" s="451" t="e">
        <f>M17+M18+M19</f>
        <v>#REF!</v>
      </c>
      <c r="N20" s="451" t="e">
        <f>N17+N18+N19</f>
        <v>#REF!</v>
      </c>
      <c r="O20" s="451" t="e">
        <f>O17+O18+O19</f>
        <v>#REF!</v>
      </c>
      <c r="P20" s="451" t="e">
        <f>P17+P18+P19</f>
        <v>#REF!</v>
      </c>
      <c r="Q20" s="451" t="e">
        <f>Q17+Q18+Q19</f>
        <v>#REF!</v>
      </c>
      <c r="R20" s="162" t="s">
        <v>288</v>
      </c>
    </row>
    <row r="21" spans="1:19">
      <c r="E21" s="80" t="s">
        <v>2122</v>
      </c>
      <c r="F21" s="459"/>
      <c r="G21" s="459" t="e">
        <f>G20/F20-1</f>
        <v>#REF!</v>
      </c>
      <c r="H21" s="459" t="e">
        <f>H20/G20-1</f>
        <v>#REF!</v>
      </c>
      <c r="I21" s="459" t="e">
        <f>I20/H20-1</f>
        <v>#REF!</v>
      </c>
      <c r="J21" s="459" t="e">
        <f>J20/I20-1</f>
        <v>#REF!</v>
      </c>
      <c r="L21" s="15" t="s">
        <v>77</v>
      </c>
      <c r="M21" s="454" t="e">
        <f>VLOOKUP($R21,Model!$1:$1048576,MATCH(FinSum!F$2,Model!$1:$1,0),FALSE)</f>
        <v>#REF!</v>
      </c>
      <c r="N21" s="454" t="e">
        <f>VLOOKUP($R21,Model!$1:$1048576,MATCH(FinSum!G$2,Model!$1:$1,0),FALSE)</f>
        <v>#REF!</v>
      </c>
      <c r="O21" s="454" t="e">
        <f>VLOOKUP($R21,Model!$1:$1048576,MATCH(FinSum!H$2,Model!$1:$1,0),FALSE)</f>
        <v>#REF!</v>
      </c>
      <c r="P21" s="454" t="e">
        <f>VLOOKUP($R21,Model!$1:$1048576,MATCH(FinSum!I$2,Model!$1:$1,0),FALSE)</f>
        <v>#REF!</v>
      </c>
      <c r="Q21" s="454" t="e">
        <f>VLOOKUP($R21,Model!$1:$1048576,MATCH(FinSum!J$2,Model!$1:$1,0),FALSE)</f>
        <v>#REF!</v>
      </c>
      <c r="R21" s="162" t="s">
        <v>691</v>
      </c>
    </row>
    <row r="22" spans="1:19">
      <c r="D22" s="162" t="s">
        <v>109</v>
      </c>
      <c r="E22" s="17" t="s">
        <v>2127</v>
      </c>
      <c r="F22" s="458" t="e">
        <f>VLOOKUP($D22,Model!$1:$1048576,MATCH(FinSum!F$2,Model!$1:$1,0),FALSE)*100</f>
        <v>#REF!</v>
      </c>
      <c r="G22" s="458" t="e">
        <f>VLOOKUP($D22,Model!$1:$1048576,MATCH(FinSum!G$2,Model!$1:$1,0),FALSE)*100</f>
        <v>#REF!</v>
      </c>
      <c r="H22" s="458" t="e">
        <f>VLOOKUP($D22,Model!$1:$1048576,MATCH(FinSum!H$2,Model!$1:$1,0),FALSE)*100</f>
        <v>#REF!</v>
      </c>
      <c r="I22" s="458" t="e">
        <f>VLOOKUP($D22,Model!$1:$1048576,MATCH(FinSum!I$2,Model!$1:$1,0),FALSE)*100</f>
        <v>#REF!</v>
      </c>
      <c r="J22" s="458" t="e">
        <f>VLOOKUP($D22,Model!$1:$1048576,MATCH(FinSum!J$2,Model!$1:$1,0),FALSE)*100</f>
        <v>#REF!</v>
      </c>
      <c r="L22" s="15" t="s">
        <v>2128</v>
      </c>
      <c r="M22" s="454" t="e">
        <f>VLOOKUP($R22,Model!$1:$1048576,MATCH(FinSum!F$2,Model!$1:$1,0),FALSE)</f>
        <v>#REF!</v>
      </c>
      <c r="N22" s="454" t="e">
        <f>VLOOKUP($R22,Model!$1:$1048576,MATCH(FinSum!G$2,Model!$1:$1,0),FALSE)</f>
        <v>#REF!</v>
      </c>
      <c r="O22" s="454" t="e">
        <f>VLOOKUP($R22,Model!$1:$1048576,MATCH(FinSum!H$2,Model!$1:$1,0),FALSE)</f>
        <v>#REF!</v>
      </c>
      <c r="P22" s="454" t="e">
        <f>VLOOKUP($R22,Model!$1:$1048576,MATCH(FinSum!I$2,Model!$1:$1,0),FALSE)</f>
        <v>#REF!</v>
      </c>
      <c r="Q22" s="454" t="e">
        <f>VLOOKUP($R22,Model!$1:$1048576,MATCH(FinSum!J$2,Model!$1:$1,0),FALSE)</f>
        <v>#REF!</v>
      </c>
      <c r="R22" s="162" t="s">
        <v>692</v>
      </c>
    </row>
    <row r="23" spans="1:19">
      <c r="E23" s="80" t="s">
        <v>2122</v>
      </c>
      <c r="F23" s="459"/>
      <c r="G23" s="459" t="e">
        <f>G22/F22-1</f>
        <v>#REF!</v>
      </c>
      <c r="H23" s="459" t="e">
        <f>H22/G22-1</f>
        <v>#REF!</v>
      </c>
      <c r="I23" s="459" t="e">
        <f>I22/H22-1</f>
        <v>#REF!</v>
      </c>
      <c r="J23" s="459" t="e">
        <f>J22/I22-1</f>
        <v>#REF!</v>
      </c>
      <c r="L23" s="15" t="s">
        <v>2129</v>
      </c>
      <c r="M23" s="454" t="e">
        <f>VLOOKUP($R23,Model!$1:$1048576,MATCH(FinSum!F$2,Model!$1:$1,0),FALSE)</f>
        <v>#REF!</v>
      </c>
      <c r="N23" s="454" t="e">
        <f>VLOOKUP($R23,Model!$1:$1048576,MATCH(FinSum!G$2,Model!$1:$1,0),FALSE)</f>
        <v>#REF!</v>
      </c>
      <c r="O23" s="454" t="e">
        <f>VLOOKUP($R23,Model!$1:$1048576,MATCH(FinSum!H$2,Model!$1:$1,0),FALSE)</f>
        <v>#REF!</v>
      </c>
      <c r="P23" s="454" t="e">
        <f>VLOOKUP($R23,Model!$1:$1048576,MATCH(FinSum!I$2,Model!$1:$1,0),FALSE)</f>
        <v>#REF!</v>
      </c>
      <c r="Q23" s="454" t="e">
        <f>VLOOKUP($R23,Model!$1:$1048576,MATCH(FinSum!J$2,Model!$1:$1,0),FALSE)</f>
        <v>#REF!</v>
      </c>
      <c r="R23" s="162" t="s">
        <v>693</v>
      </c>
    </row>
    <row r="24" spans="1:19">
      <c r="E24" s="17" t="s">
        <v>2463</v>
      </c>
      <c r="F24" s="446" t="e">
        <f>M28</f>
        <v>#REF!</v>
      </c>
      <c r="G24" s="446" t="e">
        <f>N28</f>
        <v>#REF!</v>
      </c>
      <c r="H24" s="446" t="e">
        <f>O28</f>
        <v>#REF!</v>
      </c>
      <c r="I24" s="446" t="e">
        <f>P28</f>
        <v>#REF!</v>
      </c>
      <c r="J24" s="446" t="e">
        <f>Q28</f>
        <v>#REF!</v>
      </c>
      <c r="L24" s="450" t="s">
        <v>2130</v>
      </c>
      <c r="M24" s="451" t="e">
        <f>M20+M21+M22+M23</f>
        <v>#REF!</v>
      </c>
      <c r="N24" s="451" t="e">
        <f>N20+N21+N22+N23</f>
        <v>#REF!</v>
      </c>
      <c r="O24" s="451" t="e">
        <f>O20+O21+O22+O23</f>
        <v>#REF!</v>
      </c>
      <c r="P24" s="451" t="e">
        <f>P20+P21+P22+P23</f>
        <v>#REF!</v>
      </c>
      <c r="Q24" s="451" t="e">
        <f>Q20+Q21+Q22+Q23</f>
        <v>#REF!</v>
      </c>
    </row>
    <row r="25" spans="1:19">
      <c r="E25" s="80" t="s">
        <v>2122</v>
      </c>
      <c r="F25" s="459"/>
      <c r="G25" s="459" t="e">
        <f>G24/F24-1</f>
        <v>#REF!</v>
      </c>
      <c r="H25" s="459" t="e">
        <f>H24/G24-1</f>
        <v>#REF!</v>
      </c>
      <c r="I25" s="459" t="e">
        <f>I24/H24-1</f>
        <v>#REF!</v>
      </c>
      <c r="J25" s="459" t="e">
        <f>J24/I24-1</f>
        <v>#REF!</v>
      </c>
      <c r="L25" s="15" t="s">
        <v>2129</v>
      </c>
      <c r="M25" s="454" t="e">
        <f>VLOOKUP($R25,Model!$1:$1048576,MATCH(FinSum!F$2,Model!$1:$1,0),FALSE)</f>
        <v>#REF!</v>
      </c>
      <c r="N25" s="454" t="e">
        <f>VLOOKUP($R25,Model!$1:$1048576,MATCH(FinSum!G$2,Model!$1:$1,0),FALSE)</f>
        <v>#REF!</v>
      </c>
      <c r="O25" s="454" t="e">
        <f>VLOOKUP($R25,Model!$1:$1048576,MATCH(FinSum!H$2,Model!$1:$1,0),FALSE)</f>
        <v>#REF!</v>
      </c>
      <c r="P25" s="454" t="e">
        <f>VLOOKUP($R25,Model!$1:$1048576,MATCH(FinSum!I$2,Model!$1:$1,0),FALSE)</f>
        <v>#REF!</v>
      </c>
      <c r="Q25" s="454" t="e">
        <f>VLOOKUP($R25,Model!$1:$1048576,MATCH(FinSum!J$2,Model!$1:$1,0),FALSE)</f>
        <v>#REF!</v>
      </c>
      <c r="R25" s="162" t="s">
        <v>961</v>
      </c>
    </row>
    <row r="26" spans="1:19">
      <c r="D26" s="162" t="s">
        <v>950</v>
      </c>
      <c r="E26" s="17" t="s">
        <v>2131</v>
      </c>
      <c r="F26" s="458" t="e">
        <f>VLOOKUP($D26,Model!$1:$1048576,MATCH(FinSum!F$2,Model!$1:$1,0),FALSE)*100</f>
        <v>#REF!</v>
      </c>
      <c r="G26" s="458" t="e">
        <f>VLOOKUP($D26,Model!$1:$1048576,MATCH(FinSum!G$2,Model!$1:$1,0),FALSE)*100</f>
        <v>#REF!</v>
      </c>
      <c r="H26" s="458" t="e">
        <f>VLOOKUP($D26,Model!$1:$1048576,MATCH(FinSum!H$2,Model!$1:$1,0),FALSE)*100</f>
        <v>#REF!</v>
      </c>
      <c r="I26" s="458" t="e">
        <f>VLOOKUP($D26,Model!$1:$1048576,MATCH(FinSum!I$2,Model!$1:$1,0),FALSE)*100</f>
        <v>#REF!</v>
      </c>
      <c r="J26" s="458" t="e">
        <f>VLOOKUP($D26,Model!$1:$1048576,MATCH(FinSum!J$2,Model!$1:$1,0),FALSE)*100</f>
        <v>#REF!</v>
      </c>
      <c r="L26" s="15" t="s">
        <v>2132</v>
      </c>
      <c r="M26" s="454" t="e">
        <f>VLOOKUP($R26,Model!$1:$1048576,MATCH(FinSum!F$2,Model!$1:$1,0),FALSE)</f>
        <v>#REF!</v>
      </c>
      <c r="N26" s="454" t="e">
        <f>VLOOKUP($R26,Model!$1:$1048576,MATCH(FinSum!G$2,Model!$1:$1,0),FALSE)</f>
        <v>#REF!</v>
      </c>
      <c r="O26" s="454" t="e">
        <f>VLOOKUP($R26,Model!$1:$1048576,MATCH(FinSum!H$2,Model!$1:$1,0),FALSE)</f>
        <v>#REF!</v>
      </c>
      <c r="P26" s="454" t="e">
        <f>VLOOKUP($R26,Model!$1:$1048576,MATCH(FinSum!I$2,Model!$1:$1,0),FALSE)</f>
        <v>#REF!</v>
      </c>
      <c r="Q26" s="454" t="e">
        <f>VLOOKUP($R26,Model!$1:$1048576,MATCH(FinSum!J$2,Model!$1:$1,0),FALSE)</f>
        <v>#REF!</v>
      </c>
      <c r="R26" s="162" t="s">
        <v>835</v>
      </c>
    </row>
    <row r="27" spans="1:19">
      <c r="E27" s="80" t="s">
        <v>2122</v>
      </c>
      <c r="F27" s="459"/>
      <c r="G27" s="459" t="e">
        <f>G26/F26-1</f>
        <v>#REF!</v>
      </c>
      <c r="H27" s="459" t="e">
        <f>H26/G26-1</f>
        <v>#REF!</v>
      </c>
      <c r="I27" s="459" t="e">
        <f>I26/H26-1</f>
        <v>#REF!</v>
      </c>
      <c r="J27" s="459" t="e">
        <f>J26/I26-1</f>
        <v>#REF!</v>
      </c>
      <c r="L27" s="460" t="s">
        <v>280</v>
      </c>
      <c r="M27" s="461" t="e">
        <f>VLOOKUP($R27,Model!$1:$1048576,MATCH(FinSum!F$2,Model!$1:$1,0),FALSE)</f>
        <v>#REF!</v>
      </c>
      <c r="N27" s="461" t="e">
        <f>VLOOKUP($R27,Model!$1:$1048576,MATCH(FinSum!G$2,Model!$1:$1,0),FALSE)</f>
        <v>#REF!</v>
      </c>
      <c r="O27" s="461" t="e">
        <f>VLOOKUP($R27,Model!$1:$1048576,MATCH(FinSum!H$2,Model!$1:$1,0),FALSE)</f>
        <v>#REF!</v>
      </c>
      <c r="P27" s="461" t="e">
        <f>VLOOKUP($R27,Model!$1:$1048576,MATCH(FinSum!I$2,Model!$1:$1,0),FALSE)</f>
        <v>#REF!</v>
      </c>
      <c r="Q27" s="461" t="e">
        <f>VLOOKUP($R27,Model!$1:$1048576,MATCH(FinSum!J$2,Model!$1:$1,0),FALSE)</f>
        <v>#REF!</v>
      </c>
      <c r="R27" s="162" t="s">
        <v>834</v>
      </c>
    </row>
    <row r="28" spans="1:19">
      <c r="D28" s="162" t="s">
        <v>769</v>
      </c>
      <c r="E28" s="17" t="s">
        <v>2133</v>
      </c>
      <c r="F28" s="458" t="e">
        <f>VLOOKUP($D28,Model!$1:$1048576,MATCH(FinSum!F$2,Model!$1:$1,0),FALSE)*100</f>
        <v>#REF!</v>
      </c>
      <c r="G28" s="458" t="e">
        <f>VLOOKUP($D28,Model!$1:$1048576,MATCH(FinSum!G$2,Model!$1:$1,0),FALSE)*100</f>
        <v>#REF!</v>
      </c>
      <c r="H28" s="458" t="e">
        <f>VLOOKUP($D28,Model!$1:$1048576,MATCH(FinSum!H$2,Model!$1:$1,0),FALSE)*100</f>
        <v>#REF!</v>
      </c>
      <c r="I28" s="458" t="e">
        <f>VLOOKUP($D28,Model!$1:$1048576,MATCH(FinSum!I$2,Model!$1:$1,0),FALSE)*100</f>
        <v>#REF!</v>
      </c>
      <c r="J28" s="458" t="e">
        <f>VLOOKUP($D28,Model!$1:$1048576,MATCH(FinSum!J$2,Model!$1:$1,0),FALSE)*100</f>
        <v>#REF!</v>
      </c>
      <c r="L28" s="450" t="s">
        <v>2134</v>
      </c>
      <c r="M28" s="451" t="e">
        <f>+M24+M25+M26+M27</f>
        <v>#REF!</v>
      </c>
      <c r="N28" s="451" t="e">
        <f>+N24+N25+N26+N27</f>
        <v>#REF!</v>
      </c>
      <c r="O28" s="451" t="e">
        <f>+O24+O25+O26+O27</f>
        <v>#REF!</v>
      </c>
      <c r="P28" s="451" t="e">
        <f>+P24+P25+P26+P27</f>
        <v>#REF!</v>
      </c>
      <c r="Q28" s="451" t="e">
        <f>+Q24+Q25+Q26+Q27</f>
        <v>#REF!</v>
      </c>
    </row>
    <row r="29" spans="1:19">
      <c r="E29" s="80" t="s">
        <v>2122</v>
      </c>
      <c r="F29" s="459"/>
      <c r="G29" s="459" t="e">
        <f>G28/F28-1</f>
        <v>#REF!</v>
      </c>
      <c r="H29" s="459" t="e">
        <f>H28/G28-1</f>
        <v>#REF!</v>
      </c>
      <c r="I29" s="459" t="e">
        <f>I28/H28-1</f>
        <v>#REF!</v>
      </c>
      <c r="J29" s="459" t="e">
        <f>J28/I28-1</f>
        <v>#REF!</v>
      </c>
    </row>
    <row r="30" spans="1:19">
      <c r="D30" s="162" t="s">
        <v>907</v>
      </c>
      <c r="E30" s="15" t="s">
        <v>2135</v>
      </c>
      <c r="F30" s="462" t="e">
        <f>VLOOKUP($D30,Model!$1:$1048576,MATCH(FinSum!F$2,Model!$1:$1,0),FALSE)</f>
        <v>#REF!</v>
      </c>
      <c r="G30" s="462" t="e">
        <f>VLOOKUP($D30,Model!$1:$1048576,MATCH(FinSum!G$2,Model!$1:$1,0),FALSE)</f>
        <v>#REF!</v>
      </c>
      <c r="H30" s="462" t="e">
        <f>VLOOKUP($D30,Model!$1:$1048576,MATCH(FinSum!H$2,Model!$1:$1,0),FALSE)</f>
        <v>#REF!</v>
      </c>
      <c r="I30" s="462" t="e">
        <f>VLOOKUP($D30,Model!$1:$1048576,MATCH(FinSum!I$2,Model!$1:$1,0),FALSE)</f>
        <v>#REF!</v>
      </c>
      <c r="J30" s="462" t="e">
        <f>VLOOKUP($D30,Model!$1:$1048576,MATCH(FinSum!J$2,Model!$1:$1,0),FALSE)</f>
        <v>#REF!</v>
      </c>
    </row>
    <row r="31" spans="1:19">
      <c r="D31" s="162" t="s">
        <v>770</v>
      </c>
      <c r="E31" s="15" t="s">
        <v>2136</v>
      </c>
      <c r="F31" s="459" t="e">
        <f>VLOOKUP($D31,Model!$1:$1048576,MATCH(FinSum!F$2,Model!$1:$1,0),FALSE)</f>
        <v>#REF!</v>
      </c>
      <c r="G31" s="462" t="e">
        <f>VLOOKUP($D31,Model!$1:$1048576,MATCH(FinSum!G$2,Model!$1:$1,0),FALSE)</f>
        <v>#REF!</v>
      </c>
      <c r="H31" s="462" t="e">
        <f>VLOOKUP($D31,Model!$1:$1048576,MATCH(FinSum!H$2,Model!$1:$1,0),FALSE)</f>
        <v>#REF!</v>
      </c>
      <c r="I31" s="462" t="e">
        <f>VLOOKUP($D31,Model!$1:$1048576,MATCH(FinSum!I$2,Model!$1:$1,0),FALSE)</f>
        <v>#REF!</v>
      </c>
      <c r="J31" s="462" t="e">
        <f>VLOOKUP($D31,Model!$1:$1048576,MATCH(FinSum!J$2,Model!$1:$1,0),FALSE)</f>
        <v>#REF!</v>
      </c>
      <c r="R31" s="15"/>
      <c r="S31" s="15"/>
    </row>
    <row r="32" spans="1:19">
      <c r="D32" s="1" t="s">
        <v>771</v>
      </c>
      <c r="E32" s="15" t="s">
        <v>2212</v>
      </c>
      <c r="F32" s="454" t="e">
        <f>VLOOKUP($D32,Model!$1:$1048576,MATCH(FinSum!F$2,Model!$1:$1,0),FALSE)</f>
        <v>#REF!</v>
      </c>
      <c r="G32" s="454" t="e">
        <f>VLOOKUP($D32,Model!$1:$1048576,MATCH(FinSum!G$2,Model!$1:$1,0),FALSE)</f>
        <v>#REF!</v>
      </c>
      <c r="H32" s="454" t="e">
        <f>VLOOKUP($D32,Model!$1:$1048576,MATCH(FinSum!H$2,Model!$1:$1,0),FALSE)</f>
        <v>#REF!</v>
      </c>
      <c r="I32" s="454" t="e">
        <f>VLOOKUP($D32,Model!$1:$1048576,MATCH(FinSum!I$2,Model!$1:$1,0),FALSE)</f>
        <v>#REF!</v>
      </c>
      <c r="J32" s="454" t="e">
        <f>VLOOKUP($D32,Model!$1:$1048576,MATCH(FinSum!J$2,Model!$1:$1,0),FALSE)</f>
        <v>#REF!</v>
      </c>
      <c r="L32" s="484" t="s">
        <v>2137</v>
      </c>
      <c r="M32" s="485" t="e">
        <f>M$5</f>
        <v>#REF!</v>
      </c>
      <c r="N32" s="486" t="e">
        <f>N$5</f>
        <v>#REF!</v>
      </c>
      <c r="O32" s="486" t="e">
        <f>O$5</f>
        <v>#REF!</v>
      </c>
      <c r="P32" s="486" t="e">
        <f>P$5</f>
        <v>#REF!</v>
      </c>
      <c r="Q32" s="486" t="e">
        <f>Q$5</f>
        <v>#REF!</v>
      </c>
    </row>
    <row r="33" spans="4:18">
      <c r="D33" s="162" t="s">
        <v>966</v>
      </c>
      <c r="E33" s="17" t="s">
        <v>2138</v>
      </c>
      <c r="F33" s="463" t="e">
        <f>VLOOKUP($D33,Model!$1:$1048576,MATCH(FinSum!F$2,Model!$1:$1,0),FALSE)</f>
        <v>#REF!</v>
      </c>
      <c r="G33" s="463" t="e">
        <f>VLOOKUP($D33,Model!$1:$1048576,MATCH(FinSum!G$2,Model!$1:$1,0),FALSE)</f>
        <v>#REF!</v>
      </c>
      <c r="H33" s="463" t="e">
        <f>VLOOKUP($D33,Model!$1:$1048576,MATCH(FinSum!H$2,Model!$1:$1,0),FALSE)</f>
        <v>#REF!</v>
      </c>
      <c r="I33" s="463" t="e">
        <f>VLOOKUP($D33,Model!$1:$1048576,MATCH(FinSum!I$2,Model!$1:$1,0),FALSE)</f>
        <v>#REF!</v>
      </c>
      <c r="J33" s="463" t="e">
        <f>VLOOKUP($D33,Model!$1:$1048576,MATCH(FinSum!J$2,Model!$1:$1,0),FALSE)</f>
        <v>#REF!</v>
      </c>
      <c r="L33" s="17" t="s">
        <v>647</v>
      </c>
    </row>
    <row r="34" spans="4:18">
      <c r="D34" s="162" t="s">
        <v>965</v>
      </c>
      <c r="E34" s="17" t="s">
        <v>2139</v>
      </c>
      <c r="F34" s="463" t="e">
        <f>VLOOKUP($D34,Model!$1:$1048576,MATCH(FinSum!F$2,Model!$1:$1,0),FALSE)</f>
        <v>#REF!</v>
      </c>
      <c r="G34" s="463" t="e">
        <f>VLOOKUP($D34,Model!$1:$1048576,MATCH(FinSum!G$2,Model!$1:$1,0),FALSE)</f>
        <v>#REF!</v>
      </c>
      <c r="H34" s="463" t="e">
        <f>VLOOKUP($D34,Model!$1:$1048576,MATCH(FinSum!H$2,Model!$1:$1,0),FALSE)</f>
        <v>#REF!</v>
      </c>
      <c r="I34" s="463" t="e">
        <f>VLOOKUP($D34,Model!$1:$1048576,MATCH(FinSum!I$2,Model!$1:$1,0),FALSE)</f>
        <v>#REF!</v>
      </c>
      <c r="J34" s="463" t="e">
        <f>VLOOKUP($D34,Model!$1:$1048576,MATCH(FinSum!J$2,Model!$1:$1,0),FALSE)</f>
        <v>#REF!</v>
      </c>
      <c r="L34" s="15" t="s">
        <v>2140</v>
      </c>
      <c r="M34" s="422" t="e">
        <f>VLOOKUP($R34,Model!$1:$1048576,MATCH(FinSum!F$2,Model!$1:$1,0),FALSE)/1000</f>
        <v>#REF!</v>
      </c>
      <c r="N34" s="422" t="e">
        <f>VLOOKUP($R34,Model!$1:$1048576,MATCH(FinSum!G$2,Model!$1:$1,0),FALSE)/1000</f>
        <v>#REF!</v>
      </c>
      <c r="O34" s="422" t="e">
        <f>VLOOKUP($R34,Model!$1:$1048576,MATCH(FinSum!H$2,Model!$1:$1,0),FALSE)/1000</f>
        <v>#REF!</v>
      </c>
      <c r="P34" s="422" t="e">
        <f>VLOOKUP($R34,Model!$1:$1048576,MATCH(FinSum!I$2,Model!$1:$1,0),FALSE)/1000</f>
        <v>#REF!</v>
      </c>
      <c r="Q34" s="422" t="e">
        <f>VLOOKUP($R34,Model!$1:$1048576,MATCH(FinSum!J$2,Model!$1:$1,0),FALSE)/1000</f>
        <v>#REF!</v>
      </c>
      <c r="R34" s="162" t="s">
        <v>889</v>
      </c>
    </row>
    <row r="35" spans="4:18">
      <c r="D35" s="162" t="s">
        <v>1010</v>
      </c>
      <c r="E35" s="15" t="s">
        <v>2141</v>
      </c>
      <c r="F35" s="454" t="e">
        <f>VLOOKUP($D35,Model!$1:$1048576,MATCH(FinSum!F$2,Model!$1:$1,0),FALSE)</f>
        <v>#REF!</v>
      </c>
      <c r="G35" s="454" t="e">
        <f>VLOOKUP($D35,Model!$1:$1048576,MATCH(FinSum!G$2,Model!$1:$1,0),FALSE)</f>
        <v>#REF!</v>
      </c>
      <c r="H35" s="454" t="e">
        <f>VLOOKUP($D35,Model!$1:$1048576,MATCH(FinSum!H$2,Model!$1:$1,0),FALSE)</f>
        <v>#REF!</v>
      </c>
      <c r="I35" s="454" t="e">
        <f>VLOOKUP($D35,Model!$1:$1048576,MATCH(FinSum!I$2,Model!$1:$1,0),FALSE)</f>
        <v>#REF!</v>
      </c>
      <c r="J35" s="454" t="e">
        <f>VLOOKUP($D35,Model!$1:$1048576,MATCH(FinSum!J$2,Model!$1:$1,0),FALSE)</f>
        <v>#REF!</v>
      </c>
      <c r="L35" s="15" t="s">
        <v>2142</v>
      </c>
      <c r="M35" s="422" t="e">
        <f>M37-M34-M36</f>
        <v>#REF!</v>
      </c>
      <c r="N35" s="422" t="e">
        <f>N37-N34-N36</f>
        <v>#REF!</v>
      </c>
      <c r="O35" s="422" t="e">
        <f>O37-O34-O36</f>
        <v>#REF!</v>
      </c>
      <c r="P35" s="422" t="e">
        <f>P37-P34-P36</f>
        <v>#REF!</v>
      </c>
      <c r="Q35" s="422" t="e">
        <f>Q37-Q34-Q36</f>
        <v>#REF!</v>
      </c>
    </row>
    <row r="36" spans="4:18">
      <c r="D36" s="162" t="s">
        <v>1018</v>
      </c>
      <c r="E36" s="15" t="s">
        <v>2143</v>
      </c>
      <c r="F36" s="454" t="e">
        <f>VLOOKUP($D36,Model!$1:$1048576,MATCH(FinSum!F$2,Model!$1:$1,0),FALSE)</f>
        <v>#REF!</v>
      </c>
      <c r="G36" s="454" t="e">
        <f>VLOOKUP($D36,Model!$1:$1048576,MATCH(FinSum!G$2,Model!$1:$1,0),FALSE)</f>
        <v>#REF!</v>
      </c>
      <c r="H36" s="454" t="e">
        <f>VLOOKUP($D36,Model!$1:$1048576,MATCH(FinSum!H$2,Model!$1:$1,0),FALSE)</f>
        <v>#REF!</v>
      </c>
      <c r="I36" s="454" t="e">
        <f>VLOOKUP($D36,Model!$1:$1048576,MATCH(FinSum!I$2,Model!$1:$1,0),FALSE)</f>
        <v>#REF!</v>
      </c>
      <c r="J36" s="454" t="e">
        <f>VLOOKUP($D36,Model!$1:$1048576,MATCH(FinSum!J$2,Model!$1:$1,0),FALSE)</f>
        <v>#REF!</v>
      </c>
      <c r="L36" s="15" t="s">
        <v>2144</v>
      </c>
      <c r="M36" s="422" t="e">
        <f>VLOOKUP($R36,Model!$1:$1048576,MATCH(FinSum!F$2,Model!$1:$1,0),FALSE)/1000</f>
        <v>#REF!</v>
      </c>
      <c r="N36" s="422" t="e">
        <f>VLOOKUP($R36,Model!$1:$1048576,MATCH(FinSum!G$2,Model!$1:$1,0),FALSE)/1000</f>
        <v>#REF!</v>
      </c>
      <c r="O36" s="422" t="e">
        <f>VLOOKUP($R36,Model!$1:$1048576,MATCH(FinSum!H$2,Model!$1:$1,0),FALSE)/1000</f>
        <v>#REF!</v>
      </c>
      <c r="P36" s="422" t="e">
        <f>VLOOKUP($R36,Model!$1:$1048576,MATCH(FinSum!I$2,Model!$1:$1,0),FALSE)/1000</f>
        <v>#REF!</v>
      </c>
      <c r="Q36" s="422" t="e">
        <f>VLOOKUP($R36,Model!$1:$1048576,MATCH(FinSum!J$2,Model!$1:$1,0),FALSE)/1000</f>
        <v>#REF!</v>
      </c>
      <c r="R36" s="162" t="s">
        <v>738</v>
      </c>
    </row>
    <row r="37" spans="4:18">
      <c r="L37" s="17" t="s">
        <v>2145</v>
      </c>
      <c r="M37" s="464" t="e">
        <f>M46-M40-M43</f>
        <v>#REF!</v>
      </c>
      <c r="N37" s="464" t="e">
        <f>N46-N40-N43</f>
        <v>#REF!</v>
      </c>
      <c r="O37" s="464" t="e">
        <f>O46-O40-O43</f>
        <v>#REF!</v>
      </c>
      <c r="P37" s="464" t="e">
        <f>P46-P40-P43</f>
        <v>#REF!</v>
      </c>
      <c r="Q37" s="464" t="e">
        <f>Q46-Q40-Q43</f>
        <v>#REF!</v>
      </c>
    </row>
    <row r="38" spans="4:18">
      <c r="E38" s="484" t="s">
        <v>2146</v>
      </c>
      <c r="F38" s="485" t="e">
        <f>TEXT(F$1,"mm/yy")</f>
        <v>#REF!</v>
      </c>
      <c r="G38" s="486" t="e">
        <f>TEXT(G$1,"mm/yy")</f>
        <v>#REF!</v>
      </c>
      <c r="H38" s="486" t="e">
        <f>TEXT(H$1,"mm/yy")&amp;RIGHT(H$2,1)</f>
        <v>#REF!</v>
      </c>
      <c r="I38" s="486" t="e">
        <f>TEXT(I$1,"mm/yy")&amp;RIGHT(I$2,1)</f>
        <v>#REF!</v>
      </c>
      <c r="J38" s="486" t="e">
        <f>TEXT(J$1,"mm/yy")&amp;RIGHT(J$2,1)</f>
        <v>#REF!</v>
      </c>
      <c r="L38" s="80" t="s">
        <v>2122</v>
      </c>
      <c r="N38" s="465" t="e">
        <f>N37/M37-1</f>
        <v>#REF!</v>
      </c>
      <c r="O38" s="465" t="e">
        <f>O37/N37-1</f>
        <v>#REF!</v>
      </c>
      <c r="P38" s="465" t="e">
        <f>P37/O37-1</f>
        <v>#REF!</v>
      </c>
      <c r="Q38" s="465" t="e">
        <f>Q37/P37-1</f>
        <v>#REF!</v>
      </c>
    </row>
    <row r="39" spans="4:18">
      <c r="E39" s="15" t="s">
        <v>861</v>
      </c>
      <c r="F39" s="466" t="e">
        <f ca="1">$G$9/F22*100</f>
        <v>#NAME?</v>
      </c>
      <c r="G39" s="466" t="e">
        <f ca="1">$G$9/G22*100</f>
        <v>#NAME?</v>
      </c>
      <c r="H39" s="466" t="e">
        <f ca="1">$G$9/H22*100</f>
        <v>#NAME?</v>
      </c>
      <c r="I39" s="466" t="e">
        <f ca="1">$G$9/I22*100</f>
        <v>#NAME?</v>
      </c>
      <c r="J39" s="466" t="e">
        <f ca="1">$G$9/J22*100</f>
        <v>#NAME?</v>
      </c>
      <c r="L39" s="15" t="s">
        <v>2147</v>
      </c>
      <c r="M39" s="422" t="e">
        <f>VLOOKUP($R39,Model!$1:$1048576,MATCH(FinSum!F$2,Model!$1:$1,0),FALSE)/1000</f>
        <v>#REF!</v>
      </c>
      <c r="N39" s="422" t="e">
        <f>VLOOKUP($R39,Model!$1:$1048576,MATCH(FinSum!G$2,Model!$1:$1,0),FALSE)/1000</f>
        <v>#REF!</v>
      </c>
      <c r="O39" s="422" t="e">
        <f>VLOOKUP($R39,Model!$1:$1048576,MATCH(FinSum!H$2,Model!$1:$1,0),FALSE)/1000</f>
        <v>#REF!</v>
      </c>
      <c r="P39" s="422" t="e">
        <f>VLOOKUP($R39,Model!$1:$1048576,MATCH(FinSum!I$2,Model!$1:$1,0),FALSE)/1000</f>
        <v>#REF!</v>
      </c>
      <c r="Q39" s="422" t="e">
        <f>VLOOKUP($R39,Model!$1:$1048576,MATCH(FinSum!J$2,Model!$1:$1,0),FALSE)/1000</f>
        <v>#REF!</v>
      </c>
      <c r="R39" s="162" t="s">
        <v>615</v>
      </c>
    </row>
    <row r="40" spans="4:18">
      <c r="E40" s="15" t="s">
        <v>2148</v>
      </c>
      <c r="F40" s="466" t="e">
        <f ca="1">$G$9/F16*100</f>
        <v>#NAME?</v>
      </c>
      <c r="G40" s="466" t="e">
        <f ca="1">$G$9/G16*100</f>
        <v>#NAME?</v>
      </c>
      <c r="H40" s="466" t="e">
        <f ca="1">$G$9/H16*100</f>
        <v>#NAME?</v>
      </c>
      <c r="I40" s="466" t="e">
        <f ca="1">$G$9/I16*100</f>
        <v>#NAME?</v>
      </c>
      <c r="J40" s="466" t="e">
        <f ca="1">$G$9/J16*100</f>
        <v>#NAME?</v>
      </c>
      <c r="L40" s="450" t="s">
        <v>2149</v>
      </c>
      <c r="M40" s="467" t="e">
        <f>VLOOKUP($R40,Model!$1:$1048576,MATCH(FinSum!F$2,Model!$1:$1,0),FALSE)/1000</f>
        <v>#REF!</v>
      </c>
      <c r="N40" s="467" t="e">
        <f>VLOOKUP($R40,Model!$1:$1048576,MATCH(FinSum!G$2,Model!$1:$1,0),FALSE)/1000</f>
        <v>#REF!</v>
      </c>
      <c r="O40" s="467" t="e">
        <f>VLOOKUP($R40,Model!$1:$1048576,MATCH(FinSum!H$2,Model!$1:$1,0),FALSE)/1000</f>
        <v>#REF!</v>
      </c>
      <c r="P40" s="467" t="e">
        <f>VLOOKUP($R40,Model!$1:$1048576,MATCH(FinSum!I$2,Model!$1:$1,0),FALSE)/1000</f>
        <v>#REF!</v>
      </c>
      <c r="Q40" s="467" t="e">
        <f>VLOOKUP($R40,Model!$1:$1048576,MATCH(FinSum!J$2,Model!$1:$1,0),FALSE)/1000</f>
        <v>#REF!</v>
      </c>
      <c r="R40" s="162" t="s">
        <v>605</v>
      </c>
    </row>
    <row r="41" spans="4:18">
      <c r="E41" s="15" t="s">
        <v>588</v>
      </c>
      <c r="F41" s="466" t="e">
        <f ca="1">$G$9/F33</f>
        <v>#NAME?</v>
      </c>
      <c r="G41" s="466" t="e">
        <f t="shared" ref="G41:J42" ca="1" si="0">$G$9/G33</f>
        <v>#NAME?</v>
      </c>
      <c r="H41" s="466" t="e">
        <f t="shared" ca="1" si="0"/>
        <v>#NAME?</v>
      </c>
      <c r="I41" s="466" t="e">
        <f t="shared" ca="1" si="0"/>
        <v>#NAME?</v>
      </c>
      <c r="J41" s="466" t="e">
        <f t="shared" ca="1" si="0"/>
        <v>#NAME?</v>
      </c>
      <c r="L41" s="80" t="s">
        <v>2122</v>
      </c>
      <c r="N41" s="465" t="e">
        <f>N40/M40-1</f>
        <v>#REF!</v>
      </c>
      <c r="O41" s="465" t="e">
        <f>O40/N40-1</f>
        <v>#REF!</v>
      </c>
      <c r="P41" s="465" t="e">
        <f>P40/O40-1</f>
        <v>#REF!</v>
      </c>
      <c r="Q41" s="465" t="e">
        <f>Q40/P40-1</f>
        <v>#REF!</v>
      </c>
    </row>
    <row r="42" spans="4:18">
      <c r="E42" s="15" t="s">
        <v>587</v>
      </c>
      <c r="F42" s="466" t="e">
        <f ca="1">$G$9/F34</f>
        <v>#NAME?</v>
      </c>
      <c r="G42" s="466" t="e">
        <f t="shared" ca="1" si="0"/>
        <v>#NAME?</v>
      </c>
      <c r="H42" s="466" t="e">
        <f t="shared" ca="1" si="0"/>
        <v>#NAME?</v>
      </c>
      <c r="I42" s="466" t="e">
        <f t="shared" ca="1" si="0"/>
        <v>#NAME?</v>
      </c>
      <c r="J42" s="466" t="e">
        <f t="shared" ca="1" si="0"/>
        <v>#NAME?</v>
      </c>
      <c r="L42" s="15" t="s">
        <v>2150</v>
      </c>
      <c r="M42" s="422" t="e">
        <f>VLOOKUP($R42,Model!$1:$1048576,MATCH(FinSum!F$2,Model!$1:$1,0),FALSE)/1000</f>
        <v>#REF!</v>
      </c>
      <c r="N42" s="422" t="e">
        <f>VLOOKUP($R42,Model!$1:$1048576,MATCH(FinSum!G$2,Model!$1:$1,0),FALSE)/1000</f>
        <v>#REF!</v>
      </c>
      <c r="O42" s="422" t="e">
        <f>VLOOKUP($R42,Model!$1:$1048576,MATCH(FinSum!H$2,Model!$1:$1,0),FALSE)/1000</f>
        <v>#REF!</v>
      </c>
      <c r="P42" s="422" t="e">
        <f>VLOOKUP($R42,Model!$1:$1048576,MATCH(FinSum!I$2,Model!$1:$1,0),FALSE)/1000</f>
        <v>#REF!</v>
      </c>
      <c r="Q42" s="422" t="e">
        <f>VLOOKUP($R42,Model!$1:$1048576,MATCH(FinSum!J$2,Model!$1:$1,0),FALSE)/1000</f>
        <v>#REF!</v>
      </c>
      <c r="R42" s="162" t="s">
        <v>250</v>
      </c>
    </row>
    <row r="43" spans="4:18">
      <c r="E43" s="15" t="s">
        <v>2151</v>
      </c>
      <c r="F43" s="459" t="e">
        <f ca="1">F28/$G$9/100</f>
        <v>#REF!</v>
      </c>
      <c r="G43" s="459" t="e">
        <f ca="1">G28/$G$9/100</f>
        <v>#REF!</v>
      </c>
      <c r="H43" s="459" t="e">
        <f ca="1">H28/$G$9/100</f>
        <v>#REF!</v>
      </c>
      <c r="I43" s="459" t="e">
        <f ca="1">I28/$G$9/100</f>
        <v>#REF!</v>
      </c>
      <c r="J43" s="459" t="e">
        <f ca="1">J28/$G$9/100</f>
        <v>#REF!</v>
      </c>
      <c r="L43" s="450" t="s">
        <v>2152</v>
      </c>
      <c r="M43" s="467" t="e">
        <f>VLOOKUP($R43,Model!$1:$1048576,MATCH(FinSum!F$2,Model!$1:$1,0),FALSE)/1000</f>
        <v>#REF!</v>
      </c>
      <c r="N43" s="467" t="e">
        <f>VLOOKUP($R43,Model!$1:$1048576,MATCH(FinSum!G$2,Model!$1:$1,0),FALSE)/1000</f>
        <v>#REF!</v>
      </c>
      <c r="O43" s="467" t="e">
        <f>VLOOKUP($R43,Model!$1:$1048576,MATCH(FinSum!H$2,Model!$1:$1,0),FALSE)/1000</f>
        <v>#REF!</v>
      </c>
      <c r="P43" s="467" t="e">
        <f>VLOOKUP($R43,Model!$1:$1048576,MATCH(FinSum!I$2,Model!$1:$1,0),FALSE)/1000</f>
        <v>#REF!</v>
      </c>
      <c r="Q43" s="467" t="e">
        <f>VLOOKUP($R43,Model!$1:$1048576,MATCH(FinSum!J$2,Model!$1:$1,0),FALSE)/1000</f>
        <v>#REF!</v>
      </c>
      <c r="R43" s="162" t="s">
        <v>600</v>
      </c>
    </row>
    <row r="44" spans="4:18">
      <c r="D44" s="162" t="s">
        <v>1002</v>
      </c>
      <c r="E44" s="15" t="s">
        <v>2153</v>
      </c>
      <c r="F44" s="459" t="e">
        <f>VLOOKUP($D44,Model!$1:$1048576,MATCH(FinSum!F$2,Model!$1:$1,0),FALSE)</f>
        <v>#REF!</v>
      </c>
      <c r="G44" s="459" t="e">
        <f>VLOOKUP($D44,Model!$1:$1048576,MATCH(FinSum!G$2,Model!$1:$1,0),FALSE)</f>
        <v>#REF!</v>
      </c>
      <c r="H44" s="459" t="e">
        <f>VLOOKUP($D44,Model!$1:$1048576,MATCH(FinSum!H$2,Model!$1:$1,0),FALSE)</f>
        <v>#REF!</v>
      </c>
      <c r="I44" s="459" t="e">
        <f>VLOOKUP($D44,Model!$1:$1048576,MATCH(FinSum!I$2,Model!$1:$1,0),FALSE)</f>
        <v>#REF!</v>
      </c>
      <c r="J44" s="459" t="e">
        <f>VLOOKUP($D44,Model!$1:$1048576,MATCH(FinSum!J$2,Model!$1:$1,0),FALSE)</f>
        <v>#REF!</v>
      </c>
      <c r="L44" s="80" t="s">
        <v>2122</v>
      </c>
      <c r="N44" s="465" t="e">
        <f>N43/M43-1</f>
        <v>#REF!</v>
      </c>
      <c r="O44" s="465" t="e">
        <f>O43/N43-1</f>
        <v>#REF!</v>
      </c>
      <c r="P44" s="465" t="e">
        <f>P43/O43-1</f>
        <v>#REF!</v>
      </c>
      <c r="Q44" s="465" t="e">
        <f>Q43/P43-1</f>
        <v>#REF!</v>
      </c>
    </row>
    <row r="45" spans="4:18">
      <c r="D45" s="162" t="s">
        <v>1003</v>
      </c>
      <c r="E45" s="15" t="s">
        <v>2154</v>
      </c>
      <c r="F45" s="459" t="e">
        <f>VLOOKUP($D45,Model!$1:$1048576,MATCH(FinSum!F$2,Model!$1:$1,0),FALSE)</f>
        <v>#REF!</v>
      </c>
      <c r="G45" s="459" t="e">
        <f>VLOOKUP($D45,Model!$1:$1048576,MATCH(FinSum!G$2,Model!$1:$1,0),FALSE)</f>
        <v>#REF!</v>
      </c>
      <c r="H45" s="459" t="e">
        <f>VLOOKUP($D45,Model!$1:$1048576,MATCH(FinSum!H$2,Model!$1:$1,0),FALSE)</f>
        <v>#REF!</v>
      </c>
      <c r="I45" s="459" t="e">
        <f>VLOOKUP($D45,Model!$1:$1048576,MATCH(FinSum!I$2,Model!$1:$1,0),FALSE)</f>
        <v>#REF!</v>
      </c>
      <c r="J45" s="459" t="e">
        <f>VLOOKUP($D45,Model!$1:$1048576,MATCH(FinSum!J$2,Model!$1:$1,0),FALSE)</f>
        <v>#REF!</v>
      </c>
      <c r="L45" s="15" t="s">
        <v>2155</v>
      </c>
      <c r="M45" s="422" t="e">
        <f>M48-M39-M42</f>
        <v>#REF!</v>
      </c>
      <c r="N45" s="422" t="e">
        <f>N48-N39-N42</f>
        <v>#REF!</v>
      </c>
      <c r="O45" s="422" t="e">
        <f>O48-O39-O42</f>
        <v>#REF!</v>
      </c>
      <c r="P45" s="422" t="e">
        <f>P48-P39-P42</f>
        <v>#REF!</v>
      </c>
      <c r="Q45" s="422" t="e">
        <f>Q48-Q39-Q42</f>
        <v>#REF!</v>
      </c>
    </row>
    <row r="46" spans="4:18">
      <c r="L46" s="450" t="s">
        <v>590</v>
      </c>
      <c r="M46" s="467" t="e">
        <f>VLOOKUP($R46,Model!$1:$1048576,MATCH(FinSum!F$2,Model!$1:$1,0),FALSE)/1000</f>
        <v>#REF!</v>
      </c>
      <c r="N46" s="467" t="e">
        <f>VLOOKUP($R46,Model!$1:$1048576,MATCH(FinSum!G$2,Model!$1:$1,0),FALSE)/1000</f>
        <v>#REF!</v>
      </c>
      <c r="O46" s="467" t="e">
        <f>VLOOKUP($R46,Model!$1:$1048576,MATCH(FinSum!H$2,Model!$1:$1,0),FALSE)/1000</f>
        <v>#REF!</v>
      </c>
      <c r="P46" s="467" t="e">
        <f>VLOOKUP($R46,Model!$1:$1048576,MATCH(FinSum!I$2,Model!$1:$1,0),FALSE)/1000</f>
        <v>#REF!</v>
      </c>
      <c r="Q46" s="467" t="e">
        <f>VLOOKUP($R46,Model!$1:$1048576,MATCH(FinSum!J$2,Model!$1:$1,0),FALSE)/1000</f>
        <v>#REF!</v>
      </c>
      <c r="R46" s="162" t="s">
        <v>612</v>
      </c>
    </row>
    <row r="47" spans="4:18">
      <c r="E47" s="484" t="s">
        <v>1104</v>
      </c>
      <c r="F47" s="485" t="e">
        <f>TEXT(F$1,"mm/yy")</f>
        <v>#REF!</v>
      </c>
      <c r="G47" s="486" t="e">
        <f>TEXT(G$1,"mm/yy")</f>
        <v>#REF!</v>
      </c>
      <c r="H47" s="486" t="e">
        <f>TEXT(H$1,"mm/yy")&amp;RIGHT(H$2,1)</f>
        <v>#REF!</v>
      </c>
      <c r="I47" s="486" t="e">
        <f>TEXT(I$1,"mm/yy")&amp;RIGHT(I$2,1)</f>
        <v>#REF!</v>
      </c>
      <c r="J47" s="486" t="e">
        <f>TEXT(J$1,"mm/yy")&amp;RIGHT(J$2,1)</f>
        <v>#REF!</v>
      </c>
      <c r="L47" s="80" t="s">
        <v>2122</v>
      </c>
      <c r="N47" s="465" t="e">
        <f>N46/M46-1</f>
        <v>#REF!</v>
      </c>
      <c r="O47" s="465" t="e">
        <f>O46/N46-1</f>
        <v>#REF!</v>
      </c>
      <c r="P47" s="465" t="e">
        <f>P46/O46-1</f>
        <v>#REF!</v>
      </c>
      <c r="Q47" s="465" t="e">
        <f>Q46/P46-1</f>
        <v>#REF!</v>
      </c>
    </row>
    <row r="48" spans="4:18">
      <c r="E48" s="17" t="s">
        <v>2156</v>
      </c>
      <c r="L48" s="15" t="s">
        <v>1842</v>
      </c>
      <c r="M48" s="422" t="e">
        <f>VLOOKUP($R48,Model!$1:$1048576,MATCH(FinSum!F$2,Model!$1:$1,0),FALSE)/1000</f>
        <v>#REF!</v>
      </c>
      <c r="N48" s="422" t="e">
        <f>VLOOKUP($R48,Model!$1:$1048576,MATCH(FinSum!G$2,Model!$1:$1,0),FALSE)/1000</f>
        <v>#REF!</v>
      </c>
      <c r="O48" s="422" t="e">
        <f>VLOOKUP($R48,Model!$1:$1048576,MATCH(FinSum!H$2,Model!$1:$1,0),FALSE)/1000</f>
        <v>#REF!</v>
      </c>
      <c r="P48" s="422" t="e">
        <f>VLOOKUP($R48,Model!$1:$1048576,MATCH(FinSum!I$2,Model!$1:$1,0),FALSE)/1000</f>
        <v>#REF!</v>
      </c>
      <c r="Q48" s="422" t="e">
        <f>VLOOKUP($R48,Model!$1:$1048576,MATCH(FinSum!J$2,Model!$1:$1,0),FALSE)/1000</f>
        <v>#REF!</v>
      </c>
      <c r="R48" s="162" t="s">
        <v>1056</v>
      </c>
    </row>
    <row r="49" spans="4:19">
      <c r="D49" s="162" t="s">
        <v>927</v>
      </c>
      <c r="E49" s="15" t="s">
        <v>531</v>
      </c>
      <c r="F49" s="469" t="e">
        <f>VLOOKUP($D49,Model!$1:$1048576,MATCH(FinSum!F$2,Model!$1:$1,0),FALSE)</f>
        <v>#REF!</v>
      </c>
      <c r="G49" s="469" t="e">
        <f>VLOOKUP($D49,Model!$1:$1048576,MATCH(FinSum!G$2,Model!$1:$1,0),FALSE)</f>
        <v>#REF!</v>
      </c>
      <c r="H49" s="469" t="e">
        <f>VLOOKUP($D49,Model!$1:$1048576,MATCH(FinSum!H$2,Model!$1:$1,0),FALSE)</f>
        <v>#REF!</v>
      </c>
      <c r="I49" s="469" t="e">
        <f>VLOOKUP($D49,Model!$1:$1048576,MATCH(FinSum!I$2,Model!$1:$1,0),FALSE)</f>
        <v>#REF!</v>
      </c>
      <c r="J49" s="469" t="e">
        <f>VLOOKUP($D49,Model!$1:$1048576,MATCH(FinSum!J$2,Model!$1:$1,0),FALSE)</f>
        <v>#REF!</v>
      </c>
      <c r="L49" s="468" t="s">
        <v>2122</v>
      </c>
      <c r="M49" s="460"/>
      <c r="N49" s="465" t="e">
        <f>N48/M48-1</f>
        <v>#REF!</v>
      </c>
      <c r="O49" s="465" t="e">
        <f>O48/N48-1</f>
        <v>#REF!</v>
      </c>
      <c r="P49" s="465" t="e">
        <f>P48/O48-1</f>
        <v>#REF!</v>
      </c>
      <c r="Q49" s="465" t="e">
        <f>Q48/P48-1</f>
        <v>#REF!</v>
      </c>
    </row>
    <row r="50" spans="4:19">
      <c r="E50" s="15" t="s">
        <v>2157</v>
      </c>
      <c r="F50" s="459" t="e">
        <f>SUM(M9:M14)/M15</f>
        <v>#REF!</v>
      </c>
      <c r="G50" s="459" t="e">
        <f>SUM(N9:N14)/N15</f>
        <v>#REF!</v>
      </c>
      <c r="H50" s="459" t="e">
        <f>SUM(O9:O14)/O15</f>
        <v>#REF!</v>
      </c>
      <c r="I50" s="459" t="e">
        <f>SUM(P9:P14)/P15</f>
        <v>#REF!</v>
      </c>
      <c r="J50" s="459" t="e">
        <f>SUM(Q9:Q14)/Q15</f>
        <v>#REF!</v>
      </c>
      <c r="L50" s="450" t="s">
        <v>723</v>
      </c>
      <c r="M50" s="467" t="e">
        <f>VLOOKUP($R50,Model!$1:$1048576,MATCH(FinSum!F$2,Model!$1:$1,0),FALSE)/1000</f>
        <v>#REF!</v>
      </c>
      <c r="N50" s="467" t="e">
        <f>VLOOKUP($R50,Model!$1:$1048576,MATCH(FinSum!G$2,Model!$1:$1,0),FALSE)/1000</f>
        <v>#REF!</v>
      </c>
      <c r="O50" s="467" t="e">
        <f>VLOOKUP($R50,Model!$1:$1048576,MATCH(FinSum!H$2,Model!$1:$1,0),FALSE)/1000</f>
        <v>#REF!</v>
      </c>
      <c r="P50" s="467" t="e">
        <f>VLOOKUP($R50,Model!$1:$1048576,MATCH(FinSum!I$2,Model!$1:$1,0),FALSE)/1000</f>
        <v>#REF!</v>
      </c>
      <c r="Q50" s="467" t="e">
        <f>VLOOKUP($R50,Model!$1:$1048576,MATCH(FinSum!J$2,Model!$1:$1,0),FALSE)/1000</f>
        <v>#REF!</v>
      </c>
      <c r="R50" s="162" t="s">
        <v>895</v>
      </c>
    </row>
    <row r="51" spans="4:19">
      <c r="E51" s="15" t="s">
        <v>2158</v>
      </c>
      <c r="F51" s="459" t="e">
        <f>-M16/M15</f>
        <v>#REF!</v>
      </c>
      <c r="G51" s="459" t="e">
        <f>-N16/N15</f>
        <v>#REF!</v>
      </c>
      <c r="H51" s="459" t="e">
        <f>-O16/O15</f>
        <v>#REF!</v>
      </c>
      <c r="I51" s="459" t="e">
        <f>-P16/P15</f>
        <v>#REF!</v>
      </c>
      <c r="J51" s="459" t="e">
        <f>-Q16/Q15</f>
        <v>#REF!</v>
      </c>
      <c r="L51" s="80" t="s">
        <v>2122</v>
      </c>
      <c r="N51" s="465" t="e">
        <f>N50/M50-1</f>
        <v>#REF!</v>
      </c>
      <c r="O51" s="465" t="e">
        <f>O50/N50-1</f>
        <v>#REF!</v>
      </c>
      <c r="P51" s="465" t="e">
        <f>P50/O50-1</f>
        <v>#REF!</v>
      </c>
      <c r="Q51" s="465" t="e">
        <f>Q50/P50-1</f>
        <v>#REF!</v>
      </c>
    </row>
    <row r="52" spans="4:19">
      <c r="D52" s="162" t="s">
        <v>1055</v>
      </c>
      <c r="E52" s="15" t="s">
        <v>2159</v>
      </c>
      <c r="F52" s="470" t="e">
        <f>-M16/VLOOKUP($D52,Model!$1:$1048576,MATCH(FinSum!F$2,Model!$1:$1,0),FALSE)*10000</f>
        <v>#REF!</v>
      </c>
      <c r="G52" s="470" t="e">
        <f>-N16/VLOOKUP($D52,Model!$1:$1048576,MATCH(FinSum!G$2,Model!$1:$1,0),FALSE)*10000</f>
        <v>#REF!</v>
      </c>
      <c r="H52" s="470" t="e">
        <f>-O16/VLOOKUP($D52,Model!$1:$1048576,MATCH(FinSum!H$2,Model!$1:$1,0),FALSE)*10000</f>
        <v>#REF!</v>
      </c>
      <c r="I52" s="470" t="e">
        <f>-P16/VLOOKUP($D52,Model!$1:$1048576,MATCH(FinSum!I$2,Model!$1:$1,0),FALSE)*10000</f>
        <v>#REF!</v>
      </c>
      <c r="J52" s="470" t="e">
        <f>-Q16/VLOOKUP($D52,Model!$1:$1048576,MATCH(FinSum!J$2,Model!$1:$1,0),FALSE)*10000</f>
        <v>#REF!</v>
      </c>
      <c r="L52" s="17" t="s">
        <v>2160</v>
      </c>
      <c r="M52" s="464" t="e">
        <f>VLOOKUP($R52,Model!$1:$1048576,MATCH(FinSum!F$2,Model!$1:$1,0),FALSE)/1000</f>
        <v>#REF!</v>
      </c>
      <c r="N52" s="464" t="e">
        <f>VLOOKUP($R52,Model!$1:$1048576,MATCH(FinSum!G$2,Model!$1:$1,0),FALSE)/1000</f>
        <v>#REF!</v>
      </c>
      <c r="O52" s="464" t="e">
        <f>VLOOKUP($R52,Model!$1:$1048576,MATCH(FinSum!H$2,Model!$1:$1,0),FALSE)/1000</f>
        <v>#REF!</v>
      </c>
      <c r="P52" s="464" t="e">
        <f>VLOOKUP($R52,Model!$1:$1048576,MATCH(FinSum!I$2,Model!$1:$1,0),FALSE)/1000</f>
        <v>#REF!</v>
      </c>
      <c r="Q52" s="464" t="e">
        <f>VLOOKUP($R52,Model!$1:$1048576,MATCH(FinSum!J$2,Model!$1:$1,0),FALSE)/1000</f>
        <v>#REF!</v>
      </c>
      <c r="R52" s="162" t="s">
        <v>982</v>
      </c>
    </row>
    <row r="53" spans="4:19">
      <c r="E53" s="15" t="s">
        <v>2161</v>
      </c>
      <c r="F53" s="459"/>
      <c r="G53" s="459" t="e">
        <f>(N15/M15-1)-(N16/M16-1)</f>
        <v>#REF!</v>
      </c>
      <c r="H53" s="459" t="e">
        <f>(O15/N15-1)-(O16/N16-1)</f>
        <v>#REF!</v>
      </c>
      <c r="I53" s="459" t="e">
        <f>(P15/O15-1)-(P16/O16-1)</f>
        <v>#REF!</v>
      </c>
      <c r="J53" s="459" t="e">
        <f>(Q15/P15-1)-(Q16/P16-1)</f>
        <v>#REF!</v>
      </c>
      <c r="L53" s="471" t="s">
        <v>2162</v>
      </c>
      <c r="M53" s="472" t="e">
        <f>VLOOKUP($R53,Model!$1:$1048576,MATCH(FinSum!F$2,Model!$1:$1,0),FALSE)/1000</f>
        <v>#REF!</v>
      </c>
      <c r="N53" s="472" t="e">
        <f>VLOOKUP($R53,Model!$1:$1048576,MATCH(FinSum!G$2,Model!$1:$1,0),FALSE)/1000</f>
        <v>#REF!</v>
      </c>
      <c r="O53" s="472" t="e">
        <f>VLOOKUP($R53,Model!$1:$1048576,MATCH(FinSum!H$2,Model!$1:$1,0),FALSE)/1000</f>
        <v>#REF!</v>
      </c>
      <c r="P53" s="472" t="e">
        <f>VLOOKUP($R53,Model!$1:$1048576,MATCH(FinSum!I$2,Model!$1:$1,0),FALSE)/1000</f>
        <v>#REF!</v>
      </c>
      <c r="Q53" s="472" t="e">
        <f>VLOOKUP($R53,Model!$1:$1048576,MATCH(FinSum!J$2,Model!$1:$1,0),FALSE)/1000</f>
        <v>#REF!</v>
      </c>
      <c r="R53" s="162" t="s">
        <v>1007</v>
      </c>
    </row>
    <row r="54" spans="4:19">
      <c r="E54" s="15" t="s">
        <v>2211</v>
      </c>
      <c r="F54" s="459" t="e">
        <f>-M21/M20</f>
        <v>#REF!</v>
      </c>
      <c r="G54" s="459" t="e">
        <f>-N21/N20</f>
        <v>#REF!</v>
      </c>
      <c r="H54" s="459" t="e">
        <f>-O21/O20</f>
        <v>#REF!</v>
      </c>
      <c r="I54" s="459" t="e">
        <f>-P21/P20</f>
        <v>#REF!</v>
      </c>
      <c r="J54" s="459" t="e">
        <f>-Q21/Q20</f>
        <v>#REF!</v>
      </c>
      <c r="L54" s="17" t="s">
        <v>728</v>
      </c>
    </row>
    <row r="55" spans="4:19">
      <c r="D55" s="162" t="s">
        <v>2102</v>
      </c>
      <c r="E55" s="15" t="s">
        <v>2210</v>
      </c>
      <c r="F55" s="462" t="e">
        <f>M46/M48</f>
        <v>#REF!</v>
      </c>
      <c r="G55" s="462" t="e">
        <f>VLOOKUP($D55,Model!$1:$1048576,MATCH(FinSum!G$2,Model!$1:$1,0),FALSE)</f>
        <v>#REF!</v>
      </c>
      <c r="H55" s="462" t="e">
        <f>VLOOKUP($D55,Model!$1:$1048576,MATCH(FinSum!H$2,Model!$1:$1,0),FALSE)</f>
        <v>#REF!</v>
      </c>
      <c r="I55" s="462" t="e">
        <f>VLOOKUP($D55,Model!$1:$1048576,MATCH(FinSum!I$2,Model!$1:$1,0),FALSE)</f>
        <v>#REF!</v>
      </c>
      <c r="J55" s="462" t="e">
        <f>VLOOKUP($D55,Model!$1:$1048576,MATCH(FinSum!J$2,Model!$1:$1,0),FALSE)</f>
        <v>#REF!</v>
      </c>
      <c r="L55" s="17" t="s">
        <v>584</v>
      </c>
      <c r="M55" s="464" t="e">
        <f>VLOOKUP($R55,Model!$1:$1048576,MATCH(FinSum!F$2,Model!$1:$1,0),FALSE)/1000</f>
        <v>#REF!</v>
      </c>
      <c r="N55" s="464" t="e">
        <f>VLOOKUP($R55,Model!$1:$1048576,MATCH(FinSum!G$2,Model!$1:$1,0),FALSE)/1000</f>
        <v>#REF!</v>
      </c>
      <c r="O55" s="464" t="e">
        <f>VLOOKUP($R55,Model!$1:$1048576,MATCH(FinSum!H$2,Model!$1:$1,0),FALSE)/1000</f>
        <v>#REF!</v>
      </c>
      <c r="P55" s="464" t="e">
        <f>VLOOKUP($R55,Model!$1:$1048576,MATCH(FinSum!I$2,Model!$1:$1,0),FALSE)/1000</f>
        <v>#REF!</v>
      </c>
      <c r="Q55" s="464" t="e">
        <f>VLOOKUP($R55,Model!$1:$1048576,MATCH(FinSum!J$2,Model!$1:$1,0),FALSE)/1000</f>
        <v>#REF!</v>
      </c>
      <c r="R55" s="162" t="s">
        <v>336</v>
      </c>
    </row>
    <row r="56" spans="4:19">
      <c r="E56" s="17" t="s">
        <v>724</v>
      </c>
      <c r="L56" s="80" t="s">
        <v>2122</v>
      </c>
      <c r="N56" s="465" t="e">
        <f>N55/M55-1</f>
        <v>#REF!</v>
      </c>
      <c r="O56" s="465" t="e">
        <f>O55/N55-1</f>
        <v>#REF!</v>
      </c>
      <c r="P56" s="465" t="e">
        <f>P55/O55-1</f>
        <v>#REF!</v>
      </c>
      <c r="Q56" s="465" t="e">
        <f>Q55/P55-1</f>
        <v>#REF!</v>
      </c>
    </row>
    <row r="57" spans="4:19">
      <c r="D57" s="162" t="s">
        <v>1001</v>
      </c>
      <c r="E57" s="15" t="s">
        <v>2163</v>
      </c>
      <c r="F57" s="459" t="e">
        <f>VLOOKUP($D57,Model!$1:$1048576,MATCH(FinSum!F$2,Model!$1:$1,0),FALSE)</f>
        <v>#REF!</v>
      </c>
      <c r="G57" s="459" t="e">
        <f>VLOOKUP($D57,Model!$1:$1048576,MATCH(FinSum!G$2,Model!$1:$1,0),FALSE)</f>
        <v>#REF!</v>
      </c>
      <c r="H57" s="459" t="e">
        <f>VLOOKUP($D57,Model!$1:$1048576,MATCH(FinSum!H$2,Model!$1:$1,0),FALSE)</f>
        <v>#REF!</v>
      </c>
      <c r="I57" s="459" t="e">
        <f>VLOOKUP($D57,Model!$1:$1048576,MATCH(FinSum!I$2,Model!$1:$1,0),FALSE)</f>
        <v>#REF!</v>
      </c>
      <c r="J57" s="459" t="e">
        <f>VLOOKUP($D57,Model!$1:$1048576,MATCH(FinSum!J$2,Model!$1:$1,0),FALSE)</f>
        <v>#REF!</v>
      </c>
      <c r="L57" s="17" t="s">
        <v>472</v>
      </c>
      <c r="M57" s="464" t="e">
        <f>VLOOKUP($R57,Model!$1:$1048576,MATCH(FinSum!F$2,Model!$1:$1,0),FALSE)/1000</f>
        <v>#REF!</v>
      </c>
      <c r="N57" s="464" t="e">
        <f>VLOOKUP($R57,Model!$1:$1048576,MATCH(FinSum!G$2,Model!$1:$1,0),FALSE)/1000</f>
        <v>#REF!</v>
      </c>
      <c r="O57" s="464" t="e">
        <f>VLOOKUP($R57,Model!$1:$1048576,MATCH(FinSum!H$2,Model!$1:$1,0),FALSE)/1000</f>
        <v>#REF!</v>
      </c>
      <c r="P57" s="464" t="e">
        <f>VLOOKUP($R57,Model!$1:$1048576,MATCH(FinSum!I$2,Model!$1:$1,0),FALSE)/1000</f>
        <v>#REF!</v>
      </c>
      <c r="Q57" s="464" t="e">
        <f>VLOOKUP($R57,Model!$1:$1048576,MATCH(FinSum!J$2,Model!$1:$1,0),FALSE)/1000</f>
        <v>#REF!</v>
      </c>
      <c r="R57" s="162" t="s">
        <v>923</v>
      </c>
    </row>
    <row r="58" spans="4:19">
      <c r="D58" s="162" t="s">
        <v>1002</v>
      </c>
      <c r="E58" s="15" t="s">
        <v>2164</v>
      </c>
      <c r="F58" s="459" t="e">
        <f>VLOOKUP($D58,Model!$1:$1048576,MATCH(FinSum!F$2,Model!$1:$1,0),FALSE)</f>
        <v>#REF!</v>
      </c>
      <c r="G58" s="459" t="e">
        <f>VLOOKUP($D58,Model!$1:$1048576,MATCH(FinSum!G$2,Model!$1:$1,0),FALSE)</f>
        <v>#REF!</v>
      </c>
      <c r="H58" s="459" t="e">
        <f>VLOOKUP($D58,Model!$1:$1048576,MATCH(FinSum!H$2,Model!$1:$1,0),FALSE)</f>
        <v>#REF!</v>
      </c>
      <c r="I58" s="459" t="e">
        <f>VLOOKUP($D58,Model!$1:$1048576,MATCH(FinSum!I$2,Model!$1:$1,0),FALSE)</f>
        <v>#REF!</v>
      </c>
      <c r="J58" s="459" t="e">
        <f>VLOOKUP($D58,Model!$1:$1048576,MATCH(FinSum!J$2,Model!$1:$1,0),FALSE)</f>
        <v>#REF!</v>
      </c>
      <c r="L58" s="80" t="s">
        <v>2122</v>
      </c>
      <c r="N58" s="465" t="e">
        <f>N57/M57-1</f>
        <v>#REF!</v>
      </c>
      <c r="O58" s="465" t="e">
        <f>O57/N57-1</f>
        <v>#REF!</v>
      </c>
      <c r="P58" s="465" t="e">
        <f>P57/O57-1</f>
        <v>#REF!</v>
      </c>
      <c r="Q58" s="465" t="e">
        <f>Q57/P57-1</f>
        <v>#REF!</v>
      </c>
    </row>
    <row r="59" spans="4:19">
      <c r="D59" s="162" t="s">
        <v>891</v>
      </c>
      <c r="E59" s="15" t="s">
        <v>2165</v>
      </c>
      <c r="F59" s="459" t="e">
        <f>VLOOKUP($D59,Model!$1:$1048576,MATCH(FinSum!F$2,Model!$1:$1,0),FALSE)</f>
        <v>#REF!</v>
      </c>
      <c r="G59" s="459" t="e">
        <f>VLOOKUP($D59,Model!$1:$1048576,MATCH(FinSum!G$2,Model!$1:$1,0),FALSE)</f>
        <v>#REF!</v>
      </c>
      <c r="H59" s="459" t="e">
        <f>VLOOKUP($D59,Model!$1:$1048576,MATCH(FinSum!H$2,Model!$1:$1,0),FALSE)</f>
        <v>#REF!</v>
      </c>
      <c r="I59" s="459" t="e">
        <f>VLOOKUP($D59,Model!$1:$1048576,MATCH(FinSum!I$2,Model!$1:$1,0),FALSE)</f>
        <v>#REF!</v>
      </c>
      <c r="J59" s="459" t="e">
        <f>VLOOKUP($D59,Model!$1:$1048576,MATCH(FinSum!J$2,Model!$1:$1,0),FALSE)</f>
        <v>#REF!</v>
      </c>
      <c r="L59" s="17" t="s">
        <v>2166</v>
      </c>
      <c r="M59" s="464" t="e">
        <f>VLOOKUP($R59,Model!$1:$1048576,MATCH(FinSum!F$2,Model!$1:$1,0),FALSE)/1000</f>
        <v>#REF!</v>
      </c>
      <c r="N59" s="464" t="e">
        <f>VLOOKUP($R59,Model!$1:$1048576,MATCH(FinSum!G$2,Model!$1:$1,0),FALSE)/1000</f>
        <v>#REF!</v>
      </c>
      <c r="O59" s="464" t="e">
        <f>VLOOKUP($R59,Model!$1:$1048576,MATCH(FinSum!H$2,Model!$1:$1,0),FALSE)/1000</f>
        <v>#REF!</v>
      </c>
      <c r="P59" s="464" t="e">
        <f>VLOOKUP($R59,Model!$1:$1048576,MATCH(FinSum!I$2,Model!$1:$1,0),FALSE)/1000</f>
        <v>#REF!</v>
      </c>
      <c r="Q59" s="464" t="e">
        <f>VLOOKUP($R59,Model!$1:$1048576,MATCH(FinSum!J$2,Model!$1:$1,0),FALSE)/1000</f>
        <v>#REF!</v>
      </c>
      <c r="R59" s="162" t="s">
        <v>947</v>
      </c>
    </row>
    <row r="60" spans="4:19">
      <c r="E60" s="15" t="s">
        <v>2167</v>
      </c>
      <c r="F60" s="466" t="e">
        <f>F58/F59</f>
        <v>#REF!</v>
      </c>
      <c r="G60" s="466" t="e">
        <f>G58/G59</f>
        <v>#REF!</v>
      </c>
      <c r="H60" s="466" t="e">
        <f>H58/H59</f>
        <v>#REF!</v>
      </c>
      <c r="I60" s="466" t="e">
        <f>I58/I59</f>
        <v>#REF!</v>
      </c>
      <c r="J60" s="466" t="e">
        <f>J58/J59</f>
        <v>#REF!</v>
      </c>
      <c r="L60" s="80" t="s">
        <v>2122</v>
      </c>
      <c r="N60" s="465" t="e">
        <f>N59/M59-1</f>
        <v>#REF!</v>
      </c>
      <c r="O60" s="465" t="e">
        <f>O59/N59-1</f>
        <v>#REF!</v>
      </c>
      <c r="P60" s="465" t="e">
        <f>P59/O59-1</f>
        <v>#REF!</v>
      </c>
      <c r="Q60" s="465" t="e">
        <f>Q59/P59-1</f>
        <v>#REF!</v>
      </c>
    </row>
    <row r="61" spans="4:19">
      <c r="D61" s="162" t="s">
        <v>890</v>
      </c>
      <c r="E61" s="15" t="s">
        <v>2168</v>
      </c>
      <c r="F61" s="459" t="e">
        <f>VLOOKUP($D61,Model!$1:$1048576,MATCH(FinSum!F$2,Model!$1:$1,0),FALSE)</f>
        <v>#REF!</v>
      </c>
      <c r="G61" s="459" t="e">
        <f>VLOOKUP($D61,Model!$1:$1048576,MATCH(FinSum!G$2,Model!$1:$1,0),FALSE)</f>
        <v>#REF!</v>
      </c>
      <c r="H61" s="459" t="e">
        <f>VLOOKUP($D61,Model!$1:$1048576,MATCH(FinSum!H$2,Model!$1:$1,0),FALSE)</f>
        <v>#REF!</v>
      </c>
      <c r="I61" s="459" t="e">
        <f>VLOOKUP($D61,Model!$1:$1048576,MATCH(FinSum!I$2,Model!$1:$1,0),FALSE)</f>
        <v>#REF!</v>
      </c>
      <c r="J61" s="459" t="e">
        <f>VLOOKUP($D61,Model!$1:$1048576,MATCH(FinSum!J$2,Model!$1:$1,0),FALSE)</f>
        <v>#REF!</v>
      </c>
      <c r="R61" s="15"/>
      <c r="S61" s="15"/>
    </row>
    <row r="62" spans="4:19">
      <c r="D62" s="162" t="s">
        <v>1003</v>
      </c>
      <c r="E62" s="15" t="s">
        <v>2169</v>
      </c>
      <c r="F62" s="459" t="e">
        <f>VLOOKUP($D62,Model!$1:$1048576,MATCH(FinSum!F$2,Model!$1:$1,0),FALSE)</f>
        <v>#REF!</v>
      </c>
      <c r="G62" s="459" t="e">
        <f>VLOOKUP($D62,Model!$1:$1048576,MATCH(FinSum!G$2,Model!$1:$1,0),FALSE)</f>
        <v>#REF!</v>
      </c>
      <c r="H62" s="459" t="e">
        <f>VLOOKUP($D62,Model!$1:$1048576,MATCH(FinSum!H$2,Model!$1:$1,0),FALSE)</f>
        <v>#REF!</v>
      </c>
      <c r="I62" s="459" t="e">
        <f>VLOOKUP($D62,Model!$1:$1048576,MATCH(FinSum!I$2,Model!$1:$1,0),FALSE)</f>
        <v>#REF!</v>
      </c>
      <c r="J62" s="459" t="e">
        <f>VLOOKUP($D62,Model!$1:$1048576,MATCH(FinSum!J$2,Model!$1:$1,0),FALSE)</f>
        <v>#REF!</v>
      </c>
      <c r="R62" s="15"/>
      <c r="S62" s="15"/>
    </row>
    <row r="63" spans="4:19">
      <c r="D63" s="162" t="s">
        <v>892</v>
      </c>
      <c r="E63" s="15" t="s">
        <v>2170</v>
      </c>
      <c r="F63" s="459" t="e">
        <f>VLOOKUP($D63,Model!$1:$1048576,MATCH(FinSum!F$2,Model!$1:$1,0),FALSE)</f>
        <v>#REF!</v>
      </c>
      <c r="G63" s="459" t="e">
        <f>VLOOKUP($D63,Model!$1:$1048576,MATCH(FinSum!G$2,Model!$1:$1,0),FALSE)</f>
        <v>#REF!</v>
      </c>
      <c r="H63" s="459" t="e">
        <f>VLOOKUP($D63,Model!$1:$1048576,MATCH(FinSum!H$2,Model!$1:$1,0),FALSE)</f>
        <v>#REF!</v>
      </c>
      <c r="I63" s="459" t="e">
        <f>VLOOKUP($D63,Model!$1:$1048576,MATCH(FinSum!I$2,Model!$1:$1,0),FALSE)</f>
        <v>#REF!</v>
      </c>
      <c r="J63" s="459" t="e">
        <f>VLOOKUP($D63,Model!$1:$1048576,MATCH(FinSum!J$2,Model!$1:$1,0),FALSE)</f>
        <v>#REF!</v>
      </c>
      <c r="R63" s="15"/>
      <c r="S63" s="15"/>
    </row>
    <row r="64" spans="4:19">
      <c r="E64" s="17" t="s">
        <v>573</v>
      </c>
      <c r="R64" s="15"/>
      <c r="S64" s="15"/>
    </row>
    <row r="65" spans="4:17">
      <c r="D65" s="162" t="s">
        <v>818</v>
      </c>
      <c r="E65" s="15" t="s">
        <v>2172</v>
      </c>
      <c r="F65" s="469" t="e">
        <f>VLOOKUP($D65,Model!$1:$1048576,MATCH(FinSum!F$2,Model!$1:$1,0),FALSE)</f>
        <v>#REF!</v>
      </c>
      <c r="G65" s="469" t="e">
        <f>VLOOKUP($D65,Model!$1:$1048576,MATCH(FinSum!G$2,Model!$1:$1,0),FALSE)</f>
        <v>#REF!</v>
      </c>
      <c r="H65" s="469" t="e">
        <f>VLOOKUP($D65,Model!$1:$1048576,MATCH(FinSum!H$2,Model!$1:$1,0),FALSE)</f>
        <v>#REF!</v>
      </c>
      <c r="I65" s="469" t="e">
        <f>VLOOKUP($D65,Model!$1:$1048576,MATCH(FinSum!I$2,Model!$1:$1,0),FALSE)</f>
        <v>#REF!</v>
      </c>
      <c r="J65" s="469" t="e">
        <f>VLOOKUP($D65,Model!$1:$1048576,MATCH(FinSum!J$2,Model!$1:$1,0),FALSE)</f>
        <v>#REF!</v>
      </c>
      <c r="L65" s="484" t="s">
        <v>2171</v>
      </c>
      <c r="M65" s="485"/>
      <c r="N65" s="486"/>
      <c r="O65" s="486"/>
      <c r="P65" s="486"/>
      <c r="Q65" s="486"/>
    </row>
    <row r="66" spans="4:17">
      <c r="D66" s="162" t="s">
        <v>819</v>
      </c>
      <c r="E66" s="15" t="s">
        <v>2173</v>
      </c>
      <c r="F66" s="469" t="e">
        <f>VLOOKUP($D66,Model!$1:$1048576,MATCH(FinSum!F$2,Model!$1:$1,0),FALSE)</f>
        <v>#REF!</v>
      </c>
      <c r="G66" s="469" t="e">
        <f>VLOOKUP($D66,Model!$1:$1048576,MATCH(FinSum!G$2,Model!$1:$1,0),FALSE)</f>
        <v>#REF!</v>
      </c>
      <c r="H66" s="469" t="e">
        <f>VLOOKUP($D66,Model!$1:$1048576,MATCH(FinSum!H$2,Model!$1:$1,0),FALSE)</f>
        <v>#REF!</v>
      </c>
      <c r="I66" s="469" t="e">
        <f>VLOOKUP($D66,Model!$1:$1048576,MATCH(FinSum!I$2,Model!$1:$1,0),FALSE)</f>
        <v>#REF!</v>
      </c>
      <c r="J66" s="469" t="e">
        <f>VLOOKUP($D66,Model!$1:$1048576,MATCH(FinSum!J$2,Model!$1:$1,0),FALSE)</f>
        <v>#REF!</v>
      </c>
    </row>
    <row r="67" spans="4:17">
      <c r="D67" s="162" t="s">
        <v>820</v>
      </c>
      <c r="E67" s="15" t="s">
        <v>2174</v>
      </c>
      <c r="F67" s="469" t="e">
        <f>VLOOKUP($D67,Model!$1:$1048576,MATCH(FinSum!F$2,Model!$1:$1,0),FALSE)</f>
        <v>#REF!</v>
      </c>
      <c r="G67" s="469" t="e">
        <f>VLOOKUP($D67,Model!$1:$1048576,MATCH(FinSum!G$2,Model!$1:$1,0),FALSE)</f>
        <v>#REF!</v>
      </c>
      <c r="H67" s="469" t="e">
        <f>VLOOKUP($D67,Model!$1:$1048576,MATCH(FinSum!H$2,Model!$1:$1,0),FALSE)</f>
        <v>#REF!</v>
      </c>
      <c r="I67" s="469" t="e">
        <f>VLOOKUP($D67,Model!$1:$1048576,MATCH(FinSum!I$2,Model!$1:$1,0),FALSE)</f>
        <v>#REF!</v>
      </c>
      <c r="J67" s="469" t="e">
        <f>VLOOKUP($D67,Model!$1:$1048576,MATCH(FinSum!J$2,Model!$1:$1,0),FALSE)</f>
        <v>#REF!</v>
      </c>
      <c r="L67" s="17" t="s">
        <v>2380</v>
      </c>
      <c r="N67" s="473" t="s">
        <v>2373</v>
      </c>
      <c r="O67" s="10"/>
    </row>
    <row r="68" spans="4:17">
      <c r="D68" s="162" t="s">
        <v>821</v>
      </c>
      <c r="E68" s="15" t="s">
        <v>2179</v>
      </c>
      <c r="F68" s="469" t="e">
        <f>VLOOKUP($D68,Model!$1:$1048576,MATCH(FinSum!F$2,Model!$1:$1,0),FALSE)</f>
        <v>#REF!</v>
      </c>
      <c r="G68" s="469" t="e">
        <f>VLOOKUP($D68,Model!$1:$1048576,MATCH(FinSum!G$2,Model!$1:$1,0),FALSE)</f>
        <v>#REF!</v>
      </c>
      <c r="H68" s="469" t="e">
        <f>VLOOKUP($D68,Model!$1:$1048576,MATCH(FinSum!H$2,Model!$1:$1,0),FALSE)</f>
        <v>#REF!</v>
      </c>
      <c r="I68" s="469" t="e">
        <f>VLOOKUP($D68,Model!$1:$1048576,MATCH(FinSum!I$2,Model!$1:$1,0),FALSE)</f>
        <v>#REF!</v>
      </c>
      <c r="J68" s="469" t="e">
        <f>VLOOKUP($D68,Model!$1:$1048576,MATCH(FinSum!J$2,Model!$1:$1,0),FALSE)</f>
        <v>#REF!</v>
      </c>
      <c r="N68" s="83"/>
    </row>
    <row r="69" spans="4:17">
      <c r="D69" s="162" t="s">
        <v>822</v>
      </c>
      <c r="E69" s="15" t="s">
        <v>2180</v>
      </c>
      <c r="F69" s="469" t="e">
        <f>VLOOKUP($D69,Model!$1:$1048576,MATCH(FinSum!F$2,Model!$1:$1,0),FALSE)</f>
        <v>#REF!</v>
      </c>
      <c r="G69" s="469" t="e">
        <f>VLOOKUP($D69,Model!$1:$1048576,MATCH(FinSum!G$2,Model!$1:$1,0),FALSE)</f>
        <v>#REF!</v>
      </c>
      <c r="H69" s="469" t="e">
        <f>VLOOKUP($D69,Model!$1:$1048576,MATCH(FinSum!H$2,Model!$1:$1,0),FALSE)</f>
        <v>#REF!</v>
      </c>
      <c r="I69" s="469" t="e">
        <f>VLOOKUP($D69,Model!$1:$1048576,MATCH(FinSum!I$2,Model!$1:$1,0),FALSE)</f>
        <v>#REF!</v>
      </c>
      <c r="J69" s="469" t="e">
        <f>VLOOKUP($D69,Model!$1:$1048576,MATCH(FinSum!J$2,Model!$1:$1,0),FALSE)</f>
        <v>#REF!</v>
      </c>
      <c r="L69" s="17" t="s">
        <v>2175</v>
      </c>
      <c r="N69" s="10" t="s">
        <v>2176</v>
      </c>
      <c r="O69" s="474" t="s">
        <v>2177</v>
      </c>
      <c r="P69" s="17" t="s">
        <v>2178</v>
      </c>
    </row>
    <row r="70" spans="4:17">
      <c r="D70" s="162" t="s">
        <v>823</v>
      </c>
      <c r="E70" s="15" t="s">
        <v>2181</v>
      </c>
      <c r="F70" s="469" t="e">
        <f>VLOOKUP($D70,Model!$1:$1048576,MATCH(FinSum!F$2,Model!$1:$1,0),FALSE)</f>
        <v>#REF!</v>
      </c>
      <c r="G70" s="469" t="e">
        <f>VLOOKUP($D70,Model!$1:$1048576,MATCH(FinSum!G$2,Model!$1:$1,0),FALSE)</f>
        <v>#REF!</v>
      </c>
      <c r="H70" s="469" t="e">
        <f>VLOOKUP($D70,Model!$1:$1048576,MATCH(FinSum!H$2,Model!$1:$1,0),FALSE)</f>
        <v>#REF!</v>
      </c>
      <c r="I70" s="469" t="e">
        <f>VLOOKUP($D70,Model!$1:$1048576,MATCH(FinSum!I$2,Model!$1:$1,0),FALSE)</f>
        <v>#REF!</v>
      </c>
      <c r="J70" s="469" t="e">
        <f>VLOOKUP($D70,Model!$1:$1048576,MATCH(FinSum!J$2,Model!$1:$1,0),FALSE)</f>
        <v>#REF!</v>
      </c>
      <c r="L70" s="15" t="s">
        <v>732</v>
      </c>
      <c r="N70" s="475">
        <f ca="1">Summary!C148</f>
        <v>30.653836446069768</v>
      </c>
      <c r="O70" s="476">
        <f>Summary!D148</f>
        <v>0</v>
      </c>
      <c r="P70" s="15" t="str">
        <f>Summary!K125</f>
        <v>Sustainable ROTE = 12.0%</v>
      </c>
    </row>
    <row r="71" spans="4:17">
      <c r="D71" s="162" t="s">
        <v>824</v>
      </c>
      <c r="E71" s="15" t="s">
        <v>2182</v>
      </c>
      <c r="F71" s="469" t="e">
        <f>VLOOKUP($D71,Model!$1:$1048576,MATCH(FinSum!F$2,Model!$1:$1,0),FALSE)</f>
        <v>#REF!</v>
      </c>
      <c r="G71" s="469" t="e">
        <f>VLOOKUP($D71,Model!$1:$1048576,MATCH(FinSum!G$2,Model!$1:$1,0),FALSE)</f>
        <v>#REF!</v>
      </c>
      <c r="H71" s="469" t="e">
        <f>VLOOKUP($D71,Model!$1:$1048576,MATCH(FinSum!H$2,Model!$1:$1,0),FALSE)</f>
        <v>#REF!</v>
      </c>
      <c r="I71" s="469" t="e">
        <f>VLOOKUP($D71,Model!$1:$1048576,MATCH(FinSum!I$2,Model!$1:$1,0),FALSE)</f>
        <v>#REF!</v>
      </c>
      <c r="J71" s="469" t="e">
        <f>VLOOKUP($D71,Model!$1:$1048576,MATCH(FinSum!J$2,Model!$1:$1,0),FALSE)</f>
        <v>#REF!</v>
      </c>
      <c r="L71" s="15" t="s">
        <v>727</v>
      </c>
      <c r="N71" s="475">
        <f ca="1">Summary!C149</f>
        <v>37.259982607077717</v>
      </c>
      <c r="O71" s="476">
        <f>Summary!D149</f>
        <v>0.5</v>
      </c>
      <c r="P71" s="15" t="str">
        <f>TEXT($N$82,"0.0%")&amp;" cost of equity"</f>
        <v>9.2% cost of equity</v>
      </c>
    </row>
    <row r="72" spans="4:17">
      <c r="D72" s="162" t="s">
        <v>825</v>
      </c>
      <c r="E72" s="15" t="s">
        <v>2183</v>
      </c>
      <c r="F72" s="459" t="e">
        <f>VLOOKUP($D72,Model!$1:$1048576,MATCH(FinSum!F$2,Model!$1:$1,0),FALSE)</f>
        <v>#REF!</v>
      </c>
      <c r="G72" s="459" t="e">
        <f>VLOOKUP($D72,Model!$1:$1048576,MATCH(FinSum!G$2,Model!$1:$1,0),FALSE)</f>
        <v>#REF!</v>
      </c>
      <c r="H72" s="459" t="e">
        <f>VLOOKUP($D72,Model!$1:$1048576,MATCH(FinSum!H$2,Model!$1:$1,0),FALSE)</f>
        <v>#REF!</v>
      </c>
      <c r="I72" s="459" t="e">
        <f>VLOOKUP($D72,Model!$1:$1048576,MATCH(FinSum!I$2,Model!$1:$1,0),FALSE)</f>
        <v>#REF!</v>
      </c>
      <c r="J72" s="459" t="e">
        <f>VLOOKUP($D72,Model!$1:$1048576,MATCH(FinSum!J$2,Model!$1:$1,0),FALSE)</f>
        <v>#REF!</v>
      </c>
      <c r="L72" s="15" t="s">
        <v>2360</v>
      </c>
      <c r="N72" s="475">
        <f ca="1">Summary!C150</f>
        <v>36.115451046695632</v>
      </c>
      <c r="O72" s="476">
        <f>Summary!D150</f>
        <v>0</v>
      </c>
      <c r="P72" s="15" t="str">
        <f>TEXT($N$82,"0.0%")&amp;" cost of equity"</f>
        <v>9.2% cost of equity</v>
      </c>
    </row>
    <row r="73" spans="4:17">
      <c r="D73" s="162" t="s">
        <v>826</v>
      </c>
      <c r="E73" s="15" t="s">
        <v>2185</v>
      </c>
      <c r="F73" s="469" t="e">
        <f>VLOOKUP($D73,Model!$1:$1048576,MATCH(FinSum!F$2,Model!$1:$1,0),FALSE)</f>
        <v>#REF!</v>
      </c>
      <c r="G73" s="469" t="e">
        <f>VLOOKUP($D73,Model!$1:$1048576,MATCH(FinSum!G$2,Model!$1:$1,0),FALSE)</f>
        <v>#REF!</v>
      </c>
      <c r="H73" s="469" t="e">
        <f>VLOOKUP($D73,Model!$1:$1048576,MATCH(FinSum!H$2,Model!$1:$1,0),FALSE)</f>
        <v>#REF!</v>
      </c>
      <c r="I73" s="469" t="e">
        <f>VLOOKUP($D73,Model!$1:$1048576,MATCH(FinSum!I$2,Model!$1:$1,0),FALSE)</f>
        <v>#REF!</v>
      </c>
      <c r="J73" s="469" t="e">
        <f>VLOOKUP($D73,Model!$1:$1048576,MATCH(FinSum!J$2,Model!$1:$1,0),FALSE)</f>
        <v>#REF!</v>
      </c>
      <c r="L73" s="15" t="s">
        <v>861</v>
      </c>
      <c r="N73" s="475">
        <f ca="1">Summary!C151</f>
        <v>43.868491375121238</v>
      </c>
      <c r="O73" s="476">
        <f>Summary!D151</f>
        <v>0.5</v>
      </c>
      <c r="P73" s="15" t="str">
        <f>Summary!K122</f>
        <v>Based on 20y premium/discount to sector avg, applied to current sector PE (updated 12/02/26)</v>
      </c>
    </row>
    <row r="74" spans="4:17">
      <c r="D74" s="162" t="s">
        <v>827</v>
      </c>
      <c r="E74" s="15" t="s">
        <v>2186</v>
      </c>
      <c r="F74" s="469" t="e">
        <f>VLOOKUP($D74,Model!$1:$1048576,MATCH(FinSum!F$2,Model!$1:$1,0),FALSE)</f>
        <v>#REF!</v>
      </c>
      <c r="G74" s="469" t="e">
        <f>VLOOKUP($D74,Model!$1:$1048576,MATCH(FinSum!G$2,Model!$1:$1,0),FALSE)</f>
        <v>#REF!</v>
      </c>
      <c r="H74" s="469" t="e">
        <f>VLOOKUP($D74,Model!$1:$1048576,MATCH(FinSum!H$2,Model!$1:$1,0),FALSE)</f>
        <v>#REF!</v>
      </c>
      <c r="I74" s="469" t="e">
        <f>VLOOKUP($D74,Model!$1:$1048576,MATCH(FinSum!I$2,Model!$1:$1,0),FALSE)</f>
        <v>#REF!</v>
      </c>
      <c r="J74" s="469" t="e">
        <f>VLOOKUP($D74,Model!$1:$1048576,MATCH(FinSum!J$2,Model!$1:$1,0),FALSE)</f>
        <v>#REF!</v>
      </c>
      <c r="L74" s="15" t="s">
        <v>731</v>
      </c>
      <c r="N74" s="475">
        <f ca="1">Summary!C152</f>
        <v>14.858647053747113</v>
      </c>
      <c r="O74" s="476">
        <f>Summary!D152</f>
        <v>0</v>
      </c>
      <c r="P74" s="15" t="str">
        <f>Summary!K123</f>
        <v>GFC trough</v>
      </c>
    </row>
    <row r="75" spans="4:17">
      <c r="D75" s="162" t="s">
        <v>828</v>
      </c>
      <c r="E75" s="15" t="s">
        <v>2188</v>
      </c>
      <c r="F75" s="469" t="e">
        <f>VLOOKUP($D75,Model!$1:$1048576,MATCH(FinSum!F$2,Model!$1:$1,0),FALSE)</f>
        <v>#REF!</v>
      </c>
      <c r="G75" s="469" t="e">
        <f>VLOOKUP($D75,Model!$1:$1048576,MATCH(FinSum!G$2,Model!$1:$1,0),FALSE)</f>
        <v>#REF!</v>
      </c>
      <c r="H75" s="469" t="e">
        <f>VLOOKUP($D75,Model!$1:$1048576,MATCH(FinSum!H$2,Model!$1:$1,0),FALSE)</f>
        <v>#REF!</v>
      </c>
      <c r="I75" s="469" t="e">
        <f>VLOOKUP($D75,Model!$1:$1048576,MATCH(FinSum!I$2,Model!$1:$1,0),FALSE)</f>
        <v>#REF!</v>
      </c>
      <c r="J75" s="469" t="e">
        <f>VLOOKUP($D75,Model!$1:$1048576,MATCH(FinSum!J$2,Model!$1:$1,0),FALSE)</f>
        <v>#REF!</v>
      </c>
      <c r="L75" s="17" t="s">
        <v>859</v>
      </c>
      <c r="M75" s="17"/>
      <c r="N75" s="477">
        <f ca="1">Summary!C153</f>
        <v>40.564236991099477</v>
      </c>
      <c r="O75" s="478">
        <f>Summary!D153</f>
        <v>1</v>
      </c>
      <c r="P75" s="17" t="s">
        <v>2184</v>
      </c>
      <c r="Q75" s="17"/>
    </row>
    <row r="76" spans="4:17">
      <c r="D76" s="162" t="s">
        <v>829</v>
      </c>
      <c r="E76" s="15" t="s">
        <v>2189</v>
      </c>
      <c r="F76" s="469" t="e">
        <f>VLOOKUP($D76,Model!$1:$1048576,MATCH(FinSum!F$2,Model!$1:$1,0),FALSE)</f>
        <v>#REF!</v>
      </c>
      <c r="G76" s="469" t="e">
        <f>VLOOKUP($D76,Model!$1:$1048576,MATCH(FinSum!G$2,Model!$1:$1,0),FALSE)</f>
        <v>#REF!</v>
      </c>
      <c r="H76" s="469" t="e">
        <f>VLOOKUP($D76,Model!$1:$1048576,MATCH(FinSum!H$2,Model!$1:$1,0),FALSE)</f>
        <v>#REF!</v>
      </c>
      <c r="I76" s="469" t="e">
        <f>VLOOKUP($D76,Model!$1:$1048576,MATCH(FinSum!I$2,Model!$1:$1,0),FALSE)</f>
        <v>#REF!</v>
      </c>
      <c r="J76" s="469" t="e">
        <f>VLOOKUP($D76,Model!$1:$1048576,MATCH(FinSum!J$2,Model!$1:$1,0),FALSE)</f>
        <v>#REF!</v>
      </c>
      <c r="N76" s="83"/>
    </row>
    <row r="77" spans="4:17">
      <c r="D77" s="162" t="s">
        <v>830</v>
      </c>
      <c r="E77" s="15" t="s">
        <v>2190</v>
      </c>
      <c r="F77" s="469" t="e">
        <f>VLOOKUP($D77,Model!$1:$1048576,MATCH(FinSum!F$2,Model!$1:$1,0),FALSE)</f>
        <v>#REF!</v>
      </c>
      <c r="G77" s="469" t="e">
        <f>VLOOKUP($D77,Model!$1:$1048576,MATCH(FinSum!G$2,Model!$1:$1,0),FALSE)</f>
        <v>#REF!</v>
      </c>
      <c r="H77" s="469" t="e">
        <f>VLOOKUP($D77,Model!$1:$1048576,MATCH(FinSum!H$2,Model!$1:$1,0),FALSE)</f>
        <v>#REF!</v>
      </c>
      <c r="I77" s="469" t="e">
        <f>VLOOKUP($D77,Model!$1:$1048576,MATCH(FinSum!I$2,Model!$1:$1,0),FALSE)</f>
        <v>#REF!</v>
      </c>
      <c r="J77" s="469" t="e">
        <f>VLOOKUP($D77,Model!$1:$1048576,MATCH(FinSum!J$2,Model!$1:$1,0),FALSE)</f>
        <v>#REF!</v>
      </c>
      <c r="L77" s="17" t="s">
        <v>2187</v>
      </c>
      <c r="N77" s="83"/>
    </row>
    <row r="78" spans="4:17">
      <c r="D78" s="162" t="s">
        <v>831</v>
      </c>
      <c r="E78" s="15" t="s">
        <v>2192</v>
      </c>
      <c r="F78" s="469" t="e">
        <f>VLOOKUP($D78,Model!$1:$1048576,MATCH(FinSum!F$2,Model!$1:$1,0),FALSE)</f>
        <v>#REF!</v>
      </c>
      <c r="G78" s="469" t="e">
        <f>VLOOKUP($D78,Model!$1:$1048576,MATCH(FinSum!G$2,Model!$1:$1,0),FALSE)</f>
        <v>#REF!</v>
      </c>
      <c r="H78" s="469" t="e">
        <f>VLOOKUP($D78,Model!$1:$1048576,MATCH(FinSum!H$2,Model!$1:$1,0),FALSE)</f>
        <v>#REF!</v>
      </c>
      <c r="I78" s="469" t="e">
        <f>VLOOKUP($D78,Model!$1:$1048576,MATCH(FinSum!I$2,Model!$1:$1,0),FALSE)</f>
        <v>#REF!</v>
      </c>
      <c r="J78" s="469" t="e">
        <f>VLOOKUP($D78,Model!$1:$1048576,MATCH(FinSum!J$2,Model!$1:$1,0),FALSE)</f>
        <v>#REF!</v>
      </c>
      <c r="L78" s="15" t="s">
        <v>207</v>
      </c>
      <c r="N78" s="479">
        <f>Summary!G4</f>
        <v>2.5000000000000001E-2</v>
      </c>
      <c r="O78" s="15" t="s">
        <v>662</v>
      </c>
      <c r="Q78" s="480">
        <f ca="1">SUMPRODUCT(Summary!$C$132:$G$132,Summary!$C$143:$G$143)</f>
        <v>97623.965387813281</v>
      </c>
    </row>
    <row r="79" spans="4:17">
      <c r="E79" s="17" t="s">
        <v>623</v>
      </c>
      <c r="F79" s="469"/>
      <c r="G79" s="469"/>
      <c r="H79" s="469"/>
      <c r="I79" s="469"/>
      <c r="J79" s="469"/>
      <c r="L79" s="15" t="s">
        <v>131</v>
      </c>
      <c r="N79" s="479">
        <f>Summary!G5</f>
        <v>3.5000000000000003E-2</v>
      </c>
      <c r="O79" s="15" t="s">
        <v>664</v>
      </c>
      <c r="Q79" s="481">
        <f ca="1">SUMPRODUCT(Summary!$C$137:$G$137,Summary!$C$143:$G$143)</f>
        <v>15171.287189391318</v>
      </c>
    </row>
    <row r="80" spans="4:17">
      <c r="D80" s="162" t="s">
        <v>957</v>
      </c>
      <c r="E80" s="15" t="s">
        <v>2195</v>
      </c>
      <c r="F80" s="469" t="e">
        <f>VLOOKUP($D80,Model!$1:$1048576,MATCH(FinSum!F$2,Model!$1:$1,0),FALSE)</f>
        <v>#REF!</v>
      </c>
      <c r="G80" s="469" t="e">
        <f>VLOOKUP($D80,Model!$1:$1048576,MATCH(FinSum!G$2,Model!$1:$1,0),FALSE)</f>
        <v>#REF!</v>
      </c>
      <c r="H80" s="469" t="e">
        <f>VLOOKUP($D80,Model!$1:$1048576,MATCH(FinSum!H$2,Model!$1:$1,0),FALSE)</f>
        <v>#REF!</v>
      </c>
      <c r="I80" s="469" t="e">
        <f>VLOOKUP($D80,Model!$1:$1048576,MATCH(FinSum!I$2,Model!$1:$1,0),FALSE)</f>
        <v>#REF!</v>
      </c>
      <c r="J80" s="469" t="e">
        <f>VLOOKUP($D80,Model!$1:$1048576,MATCH(FinSum!J$2,Model!$1:$1,0),FALSE)</f>
        <v>#REF!</v>
      </c>
      <c r="L80" s="15" t="s">
        <v>2191</v>
      </c>
      <c r="N80" s="479">
        <f>Summary!G6</f>
        <v>0.06</v>
      </c>
      <c r="O80" s="15" t="s">
        <v>550</v>
      </c>
      <c r="Q80" s="480">
        <f ca="1">SUMPRODUCT(Summary!$C$140:$G$140,Summary!$C$143:$G$143)</f>
        <v>112795.25257720461</v>
      </c>
    </row>
    <row r="81" spans="4:17">
      <c r="D81" s="162" t="s">
        <v>958</v>
      </c>
      <c r="E81" s="15" t="s">
        <v>547</v>
      </c>
      <c r="F81" s="469" t="e">
        <f>VLOOKUP($D81,Model!$1:$1048576,MATCH(FinSum!F$2,Model!$1:$1,0),FALSE)</f>
        <v>#REF!</v>
      </c>
      <c r="G81" s="469" t="e">
        <f>VLOOKUP($D81,Model!$1:$1048576,MATCH(FinSum!G$2,Model!$1:$1,0),FALSE)</f>
        <v>#REF!</v>
      </c>
      <c r="H81" s="469" t="e">
        <f>VLOOKUP($D81,Model!$1:$1048576,MATCH(FinSum!H$2,Model!$1:$1,0),FALSE)</f>
        <v>#REF!</v>
      </c>
      <c r="I81" s="469" t="e">
        <f>VLOOKUP($D81,Model!$1:$1048576,MATCH(FinSum!I$2,Model!$1:$1,0),FALSE)</f>
        <v>#REF!</v>
      </c>
      <c r="J81" s="469" t="e">
        <f>VLOOKUP($D81,Model!$1:$1048576,MATCH(FinSum!J$2,Model!$1:$1,0),FALSE)</f>
        <v>#REF!</v>
      </c>
      <c r="L81" s="15" t="s">
        <v>2193</v>
      </c>
      <c r="N81" s="482">
        <f>Summary!G7</f>
        <v>0.95</v>
      </c>
      <c r="O81" s="15" t="s">
        <v>2194</v>
      </c>
      <c r="Q81" s="481">
        <f ca="1">SUMPRODUCT(Summary!$C$128:$G$128,Summary!$C$143:$G$143)</f>
        <v>3027.2492010175706</v>
      </c>
    </row>
    <row r="82" spans="4:17">
      <c r="D82" s="162" t="s">
        <v>959</v>
      </c>
      <c r="E82" s="15" t="s">
        <v>655</v>
      </c>
      <c r="F82" s="469" t="e">
        <f>VLOOKUP($D82,Model!$1:$1048576,MATCH(FinSum!F$2,Model!$1:$1,0),FALSE)</f>
        <v>#REF!</v>
      </c>
      <c r="G82" s="469" t="e">
        <f>VLOOKUP($D82,Model!$1:$1048576,MATCH(FinSum!G$2,Model!$1:$1,0),FALSE)</f>
        <v>#REF!</v>
      </c>
      <c r="H82" s="469" t="e">
        <f>VLOOKUP($D82,Model!$1:$1048576,MATCH(FinSum!H$2,Model!$1:$1,0),FALSE)</f>
        <v>#REF!</v>
      </c>
      <c r="I82" s="469" t="e">
        <f>VLOOKUP($D82,Model!$1:$1048576,MATCH(FinSum!I$2,Model!$1:$1,0),FALSE)</f>
        <v>#REF!</v>
      </c>
      <c r="J82" s="469" t="e">
        <f>VLOOKUP($D82,Model!$1:$1048576,MATCH(FinSum!J$2,Model!$1:$1,0),FALSE)</f>
        <v>#REF!</v>
      </c>
      <c r="L82" s="15" t="s">
        <v>235</v>
      </c>
      <c r="N82" s="479">
        <f>Summary!G8</f>
        <v>9.1999999999999998E-2</v>
      </c>
      <c r="O82" s="15" t="s">
        <v>551</v>
      </c>
      <c r="Q82" s="483">
        <f ca="1">SUMPRODUCT(Summary!$C$141:$G$141,Summary!$C$143:$G$143)</f>
        <v>37.259982607077717</v>
      </c>
    </row>
    <row r="84" spans="4:17">
      <c r="E84" s="63" t="s">
        <v>2364</v>
      </c>
    </row>
  </sheetData>
  <printOptions horizontalCentered="1" verticalCentered="1"/>
  <pageMargins left="0.7" right="0.7" top="0.75" bottom="0.75" header="0.3" footer="0.3"/>
  <pageSetup paperSize="9" scale="17" orientation="landscape" r:id="rId1"/>
  <customProperties>
    <customPr name="Qube.Worksheet.Visibility" r:id="rId2"/>
    <customPr name="SHEET_UNIQUE_ID" r:id="rId3"/>
  </customProperties>
  <ignoredErrors>
    <ignoredError sqref="G17:Q30 G60:K60 G31:K59 N35:Z70"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F1E97-521F-4057-9A49-AB811BB23DC0}">
  <dimension ref="B2:O57"/>
  <sheetViews>
    <sheetView zoomScale="70" zoomScaleNormal="70" workbookViewId="0">
      <selection activeCell="I2" sqref="I2:O2"/>
    </sheetView>
  </sheetViews>
  <sheetFormatPr defaultRowHeight="12.75"/>
  <cols>
    <col min="2" max="2" width="42.25" customWidth="1"/>
    <col min="3" max="7" width="11.875" customWidth="1"/>
    <col min="8" max="8" width="13.875" customWidth="1"/>
    <col min="9" max="9" width="34.75" customWidth="1"/>
    <col min="10" max="10" width="12.625" customWidth="1"/>
    <col min="11" max="15" width="11.875" customWidth="1"/>
  </cols>
  <sheetData>
    <row r="2" spans="2:15" ht="33" customHeight="1">
      <c r="B2" s="683" t="s">
        <v>2526</v>
      </c>
      <c r="C2" s="683"/>
      <c r="D2" s="683"/>
      <c r="E2" s="683"/>
      <c r="F2" s="683"/>
      <c r="G2" s="683"/>
      <c r="H2" s="683"/>
      <c r="I2" s="684" t="s">
        <v>2525</v>
      </c>
      <c r="J2" s="684"/>
      <c r="K2" s="684"/>
      <c r="L2" s="684"/>
      <c r="M2" s="684"/>
      <c r="N2" s="684"/>
      <c r="O2" s="684"/>
    </row>
    <row r="3" spans="2:15" ht="33" customHeight="1">
      <c r="B3" s="622"/>
      <c r="C3" s="622"/>
      <c r="D3" s="622"/>
      <c r="E3" s="622"/>
      <c r="F3" s="622"/>
      <c r="G3" s="622"/>
      <c r="H3" s="622"/>
      <c r="I3" s="622"/>
      <c r="J3" s="622"/>
      <c r="K3" s="622"/>
      <c r="L3" s="622"/>
      <c r="M3" s="622"/>
      <c r="N3" s="622"/>
      <c r="O3" s="622"/>
    </row>
    <row r="4" spans="2:15" ht="33" customHeight="1">
      <c r="B4" s="666" t="s">
        <v>2524</v>
      </c>
      <c r="C4" s="667" t="s">
        <v>2487</v>
      </c>
      <c r="D4" s="668" t="s">
        <v>2558</v>
      </c>
      <c r="E4" s="668" t="s">
        <v>2401</v>
      </c>
      <c r="F4" s="668" t="s">
        <v>2408</v>
      </c>
      <c r="G4" s="668" t="s">
        <v>2414</v>
      </c>
      <c r="H4" s="623"/>
      <c r="I4" s="679" t="s">
        <v>2523</v>
      </c>
      <c r="J4" s="679"/>
      <c r="K4" s="679"/>
      <c r="L4" s="679"/>
      <c r="M4" s="679"/>
      <c r="N4" s="679"/>
      <c r="O4" s="679"/>
    </row>
    <row r="5" spans="2:15" ht="33" customHeight="1">
      <c r="B5" s="624" t="s">
        <v>472</v>
      </c>
      <c r="C5" s="625">
        <f>Model!CY239</f>
        <v>1023616</v>
      </c>
      <c r="D5" s="625">
        <f>Model!CZ239</f>
        <v>1159688</v>
      </c>
      <c r="E5" s="625">
        <f>Model!DA239</f>
        <v>1203846.9764706534</v>
      </c>
      <c r="F5" s="625">
        <f>Model!DB239</f>
        <v>1239335.1949786616</v>
      </c>
      <c r="G5" s="625">
        <f>Model!DC239</f>
        <v>1281397.9752238763</v>
      </c>
      <c r="H5" s="623"/>
      <c r="I5" s="623" t="s">
        <v>2114</v>
      </c>
      <c r="J5" s="626" t="s">
        <v>2115</v>
      </c>
      <c r="K5" s="623"/>
      <c r="L5" s="623"/>
      <c r="M5" s="678" t="s">
        <v>2522</v>
      </c>
      <c r="N5" s="678"/>
      <c r="O5" s="626" t="str">
        <f>Summary!$C$7</f>
        <v>Buy</v>
      </c>
    </row>
    <row r="6" spans="2:15" ht="33" customHeight="1">
      <c r="B6" s="627" t="s">
        <v>1095</v>
      </c>
      <c r="C6" s="628">
        <f>Model!CY269</f>
        <v>1.5698269663623858E-2</v>
      </c>
      <c r="D6" s="628">
        <f>Model!CZ269</f>
        <v>1.54884207648836E-2</v>
      </c>
      <c r="E6" s="628">
        <f>Model!DA269</f>
        <v>1.5612862066963083E-2</v>
      </c>
      <c r="F6" s="628">
        <f>Model!DB269</f>
        <v>1.5482062526312431E-2</v>
      </c>
      <c r="G6" s="628">
        <f>Model!DC269</f>
        <v>1.5336831657607306E-2</v>
      </c>
      <c r="H6" s="623"/>
      <c r="I6" s="629" t="s">
        <v>2521</v>
      </c>
      <c r="J6" s="630" t="e">
        <f ca="1">Summary!C5</f>
        <v>#NAME?</v>
      </c>
      <c r="K6" s="623"/>
      <c r="L6" s="623"/>
      <c r="M6" s="681" t="s">
        <v>2520</v>
      </c>
      <c r="N6" s="681"/>
      <c r="O6" s="630">
        <f>Summary!$G$10</f>
        <v>40.564236991099477</v>
      </c>
    </row>
    <row r="7" spans="2:15" ht="33" customHeight="1">
      <c r="B7" s="631" t="s">
        <v>485</v>
      </c>
      <c r="C7" s="625">
        <f>Model!CY327</f>
        <v>16069</v>
      </c>
      <c r="D7" s="625">
        <f>Model!CZ327</f>
        <v>17961</v>
      </c>
      <c r="E7" s="625">
        <f>Model!DA327</f>
        <v>18795.035248912111</v>
      </c>
      <c r="F7" s="625">
        <f>Model!DB327</f>
        <v>19187.058196233578</v>
      </c>
      <c r="G7" s="625">
        <f>Model!DC327</f>
        <v>19652.584719995742</v>
      </c>
      <c r="H7" s="623"/>
      <c r="I7" s="623" t="s">
        <v>2469</v>
      </c>
      <c r="J7" s="632">
        <f>D55</f>
        <v>2983.52018</v>
      </c>
      <c r="K7" s="623"/>
      <c r="L7" s="623"/>
      <c r="M7" s="678" t="s">
        <v>2519</v>
      </c>
      <c r="N7" s="678"/>
      <c r="O7" s="633" t="e">
        <f ca="1">O6/J6-1</f>
        <v>#NAME?</v>
      </c>
    </row>
    <row r="8" spans="2:15" ht="33" customHeight="1">
      <c r="B8" s="627" t="s">
        <v>2518</v>
      </c>
      <c r="C8" s="632">
        <f>SUM(Model!CY395,Model!CY396, Model!CY397, Model!CY398)</f>
        <v>4190</v>
      </c>
      <c r="D8" s="632">
        <f>SUM(Model!CZ395,Model!CZ396, Model!CZ397, Model!CZ398)</f>
        <v>3664</v>
      </c>
      <c r="E8" s="632">
        <f>SUM(Model!DA395,Model!DA396, Model!DA397, Model!DA398)</f>
        <v>3698.044998826972</v>
      </c>
      <c r="F8" s="632">
        <f>SUM(Model!DB395,Model!DB396, Model!DB397, Model!DB398)</f>
        <v>3669.1492531060712</v>
      </c>
      <c r="G8" s="632">
        <f>SUM(Model!DC395,Model!DC396, Model!DC397, Model!DC398)</f>
        <v>3745.2241163232666</v>
      </c>
      <c r="H8" s="623"/>
      <c r="I8" s="623" t="s">
        <v>2517</v>
      </c>
      <c r="J8" s="634" t="e">
        <f ca="1">Summary!C6</f>
        <v>#NAME?</v>
      </c>
      <c r="K8" s="623"/>
      <c r="L8" s="623"/>
      <c r="M8" s="680"/>
      <c r="N8" s="680"/>
      <c r="O8" s="623"/>
    </row>
    <row r="9" spans="2:15" ht="33" customHeight="1">
      <c r="B9" s="627" t="s">
        <v>658</v>
      </c>
      <c r="C9" s="635">
        <f>Model!CY405</f>
        <v>560</v>
      </c>
      <c r="D9" s="635">
        <f>Model!CZ405</f>
        <v>559</v>
      </c>
      <c r="E9" s="635">
        <f>Model!DA405</f>
        <v>564.59</v>
      </c>
      <c r="F9" s="635">
        <f>Model!DB405</f>
        <v>570.23590000000002</v>
      </c>
      <c r="G9" s="635">
        <f>Model!DC405</f>
        <v>575.93825900000002</v>
      </c>
      <c r="H9" s="623"/>
      <c r="I9" s="623"/>
      <c r="J9" s="623"/>
      <c r="K9" s="623"/>
      <c r="L9" s="623"/>
      <c r="M9" s="680"/>
      <c r="N9" s="680"/>
      <c r="O9" s="623"/>
    </row>
    <row r="10" spans="2:15" ht="33" customHeight="1">
      <c r="B10" s="631" t="s">
        <v>2119</v>
      </c>
      <c r="C10" s="625">
        <f>SUM(C7:C9)</f>
        <v>20819</v>
      </c>
      <c r="D10" s="625">
        <f>SUM(D7:D9)</f>
        <v>22184</v>
      </c>
      <c r="E10" s="625">
        <f>SUM(E7:E9)</f>
        <v>23057.670247739083</v>
      </c>
      <c r="F10" s="625">
        <f>SUM(F7:F9)</f>
        <v>23426.44334933965</v>
      </c>
      <c r="G10" s="625">
        <f>SUM(G7:G9)</f>
        <v>23973.74709531901</v>
      </c>
      <c r="H10" s="623"/>
      <c r="I10" s="629" t="s">
        <v>2516</v>
      </c>
      <c r="J10" s="636" t="s">
        <v>2177</v>
      </c>
      <c r="K10" s="636" t="s">
        <v>2515</v>
      </c>
      <c r="L10" s="623"/>
      <c r="M10" s="681" t="s">
        <v>2514</v>
      </c>
      <c r="N10" s="681"/>
      <c r="O10" s="623"/>
    </row>
    <row r="11" spans="2:15" ht="33" customHeight="1">
      <c r="B11" s="627" t="s">
        <v>2513</v>
      </c>
      <c r="C11" s="637">
        <f>Model!CY430</f>
        <v>-10741</v>
      </c>
      <c r="D11" s="637">
        <f>Model!CZ430</f>
        <v>-12880</v>
      </c>
      <c r="E11" s="637">
        <f>Model!DA430</f>
        <v>-11498.202890185723</v>
      </c>
      <c r="F11" s="637">
        <f>Model!DB430</f>
        <v>-11615.165949481501</v>
      </c>
      <c r="G11" s="637">
        <f>Model!DC430</f>
        <v>-11755.534728337954</v>
      </c>
      <c r="H11" s="623"/>
      <c r="I11" s="623" t="s">
        <v>750</v>
      </c>
      <c r="J11" s="638">
        <f>Summary!$D$149</f>
        <v>0.5</v>
      </c>
      <c r="K11" s="639">
        <f ca="1">Summary!C149</f>
        <v>37.259982607077717</v>
      </c>
      <c r="L11" s="623"/>
      <c r="M11" s="678" t="s">
        <v>2512</v>
      </c>
      <c r="N11" s="678"/>
      <c r="O11" s="633">
        <f>Summary!$G$4</f>
        <v>2.5000000000000001E-2</v>
      </c>
    </row>
    <row r="12" spans="2:15" ht="33" customHeight="1">
      <c r="B12" s="631" t="s">
        <v>2511</v>
      </c>
      <c r="C12" s="625">
        <f>SUM(C10:C11)</f>
        <v>10078</v>
      </c>
      <c r="D12" s="625">
        <f>SUM(D10:D11)</f>
        <v>9304</v>
      </c>
      <c r="E12" s="625">
        <f>SUM(E10:E11)</f>
        <v>11559.46735755336</v>
      </c>
      <c r="F12" s="625">
        <f>SUM(F10:F11)</f>
        <v>11811.277399858149</v>
      </c>
      <c r="G12" s="625">
        <f>SUM(G10:G11)</f>
        <v>12218.212366981055</v>
      </c>
      <c r="H12" s="623"/>
      <c r="I12" s="623" t="s">
        <v>2498</v>
      </c>
      <c r="J12" s="638">
        <f>Summary!$D$151</f>
        <v>0.5</v>
      </c>
      <c r="K12" s="639">
        <f ca="1">Summary!C151</f>
        <v>43.868491375121238</v>
      </c>
      <c r="L12" s="623"/>
      <c r="M12" s="623" t="s">
        <v>2510</v>
      </c>
      <c r="N12" s="682" t="s">
        <v>2509</v>
      </c>
      <c r="O12" s="682" t="s">
        <v>2509</v>
      </c>
    </row>
    <row r="13" spans="2:15" ht="33" customHeight="1">
      <c r="B13" s="627" t="s">
        <v>2508</v>
      </c>
      <c r="C13" s="637">
        <f>Model!CY465</f>
        <v>-406</v>
      </c>
      <c r="D13" s="637">
        <f>Model!CZ465</f>
        <v>-441</v>
      </c>
      <c r="E13" s="637">
        <f>Model!DA465</f>
        <v>-671.94604846724155</v>
      </c>
      <c r="F13" s="637">
        <f>Model!DB465</f>
        <v>-961.91970758992466</v>
      </c>
      <c r="G13" s="637">
        <f>Model!DC465</f>
        <v>-1040.2551117600296</v>
      </c>
      <c r="H13" s="623"/>
      <c r="I13" s="629" t="s">
        <v>2507</v>
      </c>
      <c r="J13" s="640">
        <f>Summary!$D$153</f>
        <v>1</v>
      </c>
      <c r="K13" s="641">
        <f ca="1">Summary!$C$153</f>
        <v>40.564236991099477</v>
      </c>
      <c r="L13" s="623"/>
      <c r="M13" s="678" t="s">
        <v>2506</v>
      </c>
      <c r="N13" s="678"/>
      <c r="O13" s="642">
        <f>Summary!$G$7</f>
        <v>0.95</v>
      </c>
    </row>
    <row r="14" spans="2:15" ht="33" customHeight="1">
      <c r="B14" s="631" t="s">
        <v>1313</v>
      </c>
      <c r="C14" s="625">
        <f>SUM(C12:C13)</f>
        <v>9672</v>
      </c>
      <c r="D14" s="625">
        <f>SUM(D12:D13)</f>
        <v>8863</v>
      </c>
      <c r="E14" s="625">
        <f>SUM(E12:E13)</f>
        <v>10887.521309086118</v>
      </c>
      <c r="F14" s="625">
        <f>SUM(F12:F13)</f>
        <v>10849.357692268224</v>
      </c>
      <c r="G14" s="625">
        <f>SUM(G12:G13)</f>
        <v>11177.957255221027</v>
      </c>
      <c r="H14" s="623"/>
      <c r="I14" s="622"/>
      <c r="J14" s="622"/>
      <c r="K14" s="622"/>
      <c r="L14" s="623"/>
      <c r="M14" s="678" t="s">
        <v>2557</v>
      </c>
      <c r="N14" s="678"/>
      <c r="O14" s="633">
        <f>Summary!$G$8</f>
        <v>9.1999999999999998E-2</v>
      </c>
    </row>
    <row r="15" spans="2:15" ht="33" customHeight="1">
      <c r="B15" s="627" t="s">
        <v>2505</v>
      </c>
      <c r="C15" s="632">
        <f>Model!CY495</f>
        <v>-2937</v>
      </c>
      <c r="D15" s="632">
        <f>Model!CZ495</f>
        <v>-2791</v>
      </c>
      <c r="E15" s="632">
        <f>Model!DA495</f>
        <v>-3277.694766738804</v>
      </c>
      <c r="F15" s="632">
        <f>Model!DB495</f>
        <v>-3266.3457976811724</v>
      </c>
      <c r="G15" s="632">
        <f>Model!DC495</f>
        <v>-3364.0636395224619</v>
      </c>
      <c r="H15" s="623"/>
      <c r="I15" s="622"/>
      <c r="J15" s="622"/>
      <c r="K15" s="622"/>
      <c r="L15" s="623"/>
      <c r="M15" s="678" t="s">
        <v>1452</v>
      </c>
      <c r="N15" s="678"/>
      <c r="O15" s="638">
        <f>C52</f>
        <v>0.67499999999999993</v>
      </c>
    </row>
    <row r="16" spans="2:15" ht="33" customHeight="1">
      <c r="B16" s="627" t="s">
        <v>2504</v>
      </c>
      <c r="C16" s="632">
        <f>Model!CY499</f>
        <v>0</v>
      </c>
      <c r="D16" s="632">
        <f>Model!CZ499</f>
        <v>0</v>
      </c>
      <c r="E16" s="632">
        <f>Model!DA499</f>
        <v>0</v>
      </c>
      <c r="F16" s="632">
        <f>Model!DB499</f>
        <v>0</v>
      </c>
      <c r="G16" s="632">
        <f>Model!DC499</f>
        <v>0</v>
      </c>
      <c r="H16" s="623"/>
      <c r="I16" s="623"/>
      <c r="J16" s="623"/>
      <c r="K16" s="623"/>
      <c r="L16" s="623"/>
      <c r="M16" s="623"/>
      <c r="N16" s="623"/>
      <c r="O16" s="623"/>
    </row>
    <row r="17" spans="2:15" ht="33" customHeight="1">
      <c r="B17" s="631" t="s">
        <v>2130</v>
      </c>
      <c r="C17" s="643">
        <f>SUM(C14:C16)</f>
        <v>6735</v>
      </c>
      <c r="D17" s="643">
        <f>SUM(D14:D16)</f>
        <v>6072</v>
      </c>
      <c r="E17" s="643">
        <f>SUM(E14:E16)</f>
        <v>7609.826542347314</v>
      </c>
      <c r="F17" s="643">
        <f>SUM(F14:F16)</f>
        <v>7583.0118945870518</v>
      </c>
      <c r="G17" s="643">
        <f>SUM(G14:G16)</f>
        <v>7813.8936156985646</v>
      </c>
      <c r="H17" s="623"/>
      <c r="I17" s="623"/>
      <c r="J17" s="623"/>
      <c r="K17" s="623"/>
      <c r="L17" s="623"/>
      <c r="M17" s="623"/>
      <c r="N17" s="623"/>
      <c r="O17" s="623"/>
    </row>
    <row r="18" spans="2:15" ht="33" customHeight="1">
      <c r="B18" s="627" t="s">
        <v>2132</v>
      </c>
      <c r="C18" s="632">
        <f>Model!CY524</f>
        <v>0</v>
      </c>
      <c r="D18" s="632">
        <f>Model!CZ524</f>
        <v>0</v>
      </c>
      <c r="E18" s="632">
        <f>Model!DA524</f>
        <v>0</v>
      </c>
      <c r="F18" s="632">
        <f>Model!DB524</f>
        <v>0</v>
      </c>
      <c r="G18" s="632">
        <f>Model!DC524</f>
        <v>0</v>
      </c>
      <c r="H18" s="623"/>
      <c r="I18" s="679" t="s">
        <v>2503</v>
      </c>
      <c r="J18" s="679"/>
      <c r="K18" s="667" t="s">
        <v>2487</v>
      </c>
      <c r="L18" s="668" t="str">
        <f>D22</f>
        <v>FY25A</v>
      </c>
      <c r="M18" s="668" t="str">
        <f t="shared" ref="M18:O18" si="0">E22</f>
        <v>FY26E</v>
      </c>
      <c r="N18" s="668" t="str">
        <f t="shared" si="0"/>
        <v>FY27E</v>
      </c>
      <c r="O18" s="668" t="str">
        <f t="shared" si="0"/>
        <v>FY28E</v>
      </c>
    </row>
    <row r="19" spans="2:15" ht="33" customHeight="1">
      <c r="B19" s="644" t="s">
        <v>280</v>
      </c>
      <c r="C19" s="637">
        <f>Model!CY523</f>
        <v>-190</v>
      </c>
      <c r="D19" s="637">
        <f>Model!CZ523</f>
        <v>104</v>
      </c>
      <c r="E19" s="637">
        <f>Model!DA523</f>
        <v>0</v>
      </c>
      <c r="F19" s="637">
        <f>Model!DB523</f>
        <v>0</v>
      </c>
      <c r="G19" s="637">
        <f>Model!DC523</f>
        <v>0</v>
      </c>
      <c r="H19" s="623"/>
      <c r="I19" s="629" t="s">
        <v>2502</v>
      </c>
      <c r="J19" s="623"/>
      <c r="K19" s="623"/>
      <c r="L19" s="623"/>
      <c r="M19" s="623"/>
      <c r="N19" s="623"/>
      <c r="O19" s="623"/>
    </row>
    <row r="20" spans="2:15" ht="33" customHeight="1">
      <c r="B20" s="631" t="s">
        <v>2501</v>
      </c>
      <c r="C20" s="625">
        <f>SUM(C17:C19)</f>
        <v>6545</v>
      </c>
      <c r="D20" s="625">
        <f>SUM(D17:D19)</f>
        <v>6176</v>
      </c>
      <c r="E20" s="625">
        <f>SUM(E17:E19)</f>
        <v>7609.826542347314</v>
      </c>
      <c r="F20" s="625">
        <f>SUM(F17:F19)</f>
        <v>7583.0118945870518</v>
      </c>
      <c r="G20" s="625">
        <f>SUM(G17:G19)</f>
        <v>7813.8936156985646</v>
      </c>
      <c r="H20" s="623"/>
      <c r="I20" s="623" t="s">
        <v>2498</v>
      </c>
      <c r="J20" s="623"/>
      <c r="K20" s="645" t="e">
        <f ca="1">$J$6/C41</f>
        <v>#NAME?</v>
      </c>
      <c r="L20" s="645" t="e">
        <f ca="1">$J$6/D41</f>
        <v>#NAME?</v>
      </c>
      <c r="M20" s="645" t="e">
        <f ca="1">$J$6/E41</f>
        <v>#NAME?</v>
      </c>
      <c r="N20" s="645" t="e">
        <f ca="1">$J$6/F41</f>
        <v>#NAME?</v>
      </c>
      <c r="O20" s="645" t="e">
        <f ca="1">$J$6/G41</f>
        <v>#NAME?</v>
      </c>
    </row>
    <row r="21" spans="2:15" ht="33" customHeight="1">
      <c r="B21" s="623"/>
      <c r="C21" s="623"/>
      <c r="D21" s="623"/>
      <c r="E21" s="623"/>
      <c r="F21" s="623"/>
      <c r="G21" s="623"/>
      <c r="H21" s="623"/>
      <c r="I21" s="623" t="s">
        <v>2497</v>
      </c>
      <c r="J21" s="623"/>
      <c r="K21" s="645" t="e">
        <f ca="1">$J$8/C12</f>
        <v>#NAME?</v>
      </c>
      <c r="L21" s="645" t="e">
        <f ca="1">$J$8/D12</f>
        <v>#NAME?</v>
      </c>
      <c r="M21" s="645" t="e">
        <f ca="1">$J$8/E12</f>
        <v>#NAME?</v>
      </c>
      <c r="N21" s="645" t="e">
        <f ca="1">$J$8/F12</f>
        <v>#NAME?</v>
      </c>
      <c r="O21" s="645" t="e">
        <f ca="1">$J$8/G12</f>
        <v>#NAME?</v>
      </c>
    </row>
    <row r="22" spans="2:15" ht="33" customHeight="1">
      <c r="B22" s="666" t="s">
        <v>2500</v>
      </c>
      <c r="C22" s="667" t="s">
        <v>2487</v>
      </c>
      <c r="D22" s="668" t="str">
        <f>D4</f>
        <v>FY25A</v>
      </c>
      <c r="E22" s="668" t="str">
        <f t="shared" ref="E22:G22" si="1">E4</f>
        <v>FY26E</v>
      </c>
      <c r="F22" s="668" t="str">
        <f t="shared" si="1"/>
        <v>FY27E</v>
      </c>
      <c r="G22" s="668" t="str">
        <f t="shared" si="1"/>
        <v>FY28E</v>
      </c>
      <c r="H22" s="623"/>
      <c r="I22" s="623" t="s">
        <v>2496</v>
      </c>
      <c r="J22" s="623"/>
      <c r="K22" s="645" t="e">
        <f t="shared" ref="K22:O23" ca="1" si="2">$J$6/C53</f>
        <v>#NAME?</v>
      </c>
      <c r="L22" s="645" t="e">
        <f t="shared" ca="1" si="2"/>
        <v>#NAME?</v>
      </c>
      <c r="M22" s="645" t="e">
        <f t="shared" ca="1" si="2"/>
        <v>#NAME?</v>
      </c>
      <c r="N22" s="645" t="e">
        <f t="shared" ca="1" si="2"/>
        <v>#NAME?</v>
      </c>
      <c r="O22" s="645" t="e">
        <f t="shared" ca="1" si="2"/>
        <v>#NAME?</v>
      </c>
    </row>
    <row r="23" spans="2:15" ht="33" customHeight="1">
      <c r="B23" s="631" t="s">
        <v>590</v>
      </c>
      <c r="C23" s="625">
        <f>Model!CY181</f>
        <v>803335</v>
      </c>
      <c r="D23" s="625">
        <f>Model!CZ181</f>
        <v>829471</v>
      </c>
      <c r="E23" s="625">
        <f>Model!DA181</f>
        <v>858901.47828137933</v>
      </c>
      <c r="F23" s="625">
        <f>Model!DB181</f>
        <v>887840.91310022969</v>
      </c>
      <c r="G23" s="625">
        <f>Model!DC181</f>
        <v>920177.35549081059</v>
      </c>
      <c r="H23" s="623"/>
      <c r="I23" s="623" t="s">
        <v>2494</v>
      </c>
      <c r="J23" s="623"/>
      <c r="K23" s="645" t="e">
        <f t="shared" ca="1" si="2"/>
        <v>#NAME?</v>
      </c>
      <c r="L23" s="645" t="e">
        <f t="shared" ca="1" si="2"/>
        <v>#NAME?</v>
      </c>
      <c r="M23" s="645" t="e">
        <f t="shared" ca="1" si="2"/>
        <v>#NAME?</v>
      </c>
      <c r="N23" s="645" t="e">
        <f t="shared" ca="1" si="2"/>
        <v>#NAME?</v>
      </c>
      <c r="O23" s="645" t="e">
        <f t="shared" ca="1" si="2"/>
        <v>#NAME?</v>
      </c>
    </row>
    <row r="24" spans="2:15" ht="33" customHeight="1">
      <c r="B24" s="646" t="s">
        <v>2122</v>
      </c>
      <c r="C24" s="647"/>
      <c r="D24" s="633">
        <f>(D23/C23)-1</f>
        <v>3.2534372335327078E-2</v>
      </c>
      <c r="E24" s="633">
        <f>(E23/D23)-1</f>
        <v>3.5481021375526556E-2</v>
      </c>
      <c r="F24" s="633">
        <f>(F23/E23)-1</f>
        <v>3.3693544079999471E-2</v>
      </c>
      <c r="G24" s="633">
        <f>(G23/F23)-1</f>
        <v>3.6421437572262905E-2</v>
      </c>
      <c r="H24" s="623"/>
      <c r="I24" s="648" t="s">
        <v>1087</v>
      </c>
      <c r="J24" s="648"/>
      <c r="K24" s="649" t="e">
        <f ca="1">(C49/$J$6)*100</f>
        <v>#NAME?</v>
      </c>
      <c r="L24" s="649" t="e">
        <f ca="1">(D49/$J$6)*100</f>
        <v>#NAME?</v>
      </c>
      <c r="M24" s="649" t="e">
        <f ca="1">(E49/$J$6)*100</f>
        <v>#NAME?</v>
      </c>
      <c r="N24" s="649" t="e">
        <f ca="1">(F49/$J$6)*100</f>
        <v>#NAME?</v>
      </c>
      <c r="O24" s="649" t="e">
        <f ca="1">(G49/$J$6)*100</f>
        <v>#NAME?</v>
      </c>
    </row>
    <row r="25" spans="2:15" ht="33" customHeight="1">
      <c r="B25" s="624" t="s">
        <v>1842</v>
      </c>
      <c r="C25" s="625">
        <f>Model!CY204</f>
        <v>757417</v>
      </c>
      <c r="D25" s="625">
        <f>Model!CZ204</f>
        <v>793818</v>
      </c>
      <c r="E25" s="625">
        <f>Model!DA204</f>
        <v>867711.62859999994</v>
      </c>
      <c r="F25" s="625">
        <f>Model!DB204</f>
        <v>918833.50937321503</v>
      </c>
      <c r="G25" s="625">
        <f>Model!DC204</f>
        <v>972981.54871671204</v>
      </c>
      <c r="H25" s="623"/>
      <c r="I25" s="629" t="s">
        <v>2499</v>
      </c>
      <c r="J25" s="623"/>
      <c r="K25" s="623"/>
      <c r="L25" s="623"/>
      <c r="M25" s="623"/>
      <c r="N25" s="623"/>
      <c r="O25" s="623"/>
    </row>
    <row r="26" spans="2:15" ht="33" customHeight="1">
      <c r="B26" s="650" t="s">
        <v>2122</v>
      </c>
      <c r="C26" s="648"/>
      <c r="D26" s="651">
        <f>(D25/C25)-1</f>
        <v>4.8059391326046308E-2</v>
      </c>
      <c r="E26" s="651">
        <f>(E25/D25)-1</f>
        <v>9.3086360601548401E-2</v>
      </c>
      <c r="F26" s="651">
        <f>(F25/E25)-1</f>
        <v>5.8915749297606013E-2</v>
      </c>
      <c r="G26" s="651">
        <f>(G25/F25)-1</f>
        <v>5.8931284929338634E-2</v>
      </c>
      <c r="H26" s="623"/>
      <c r="I26" s="623" t="s">
        <v>2498</v>
      </c>
      <c r="J26" s="623"/>
      <c r="K26" s="645">
        <f>$O$6/C41</f>
        <v>18.085919434068799</v>
      </c>
      <c r="L26" s="645">
        <f>$O$6/D41</f>
        <v>20.836573506089909</v>
      </c>
      <c r="M26" s="645">
        <f>$O$6/E41</f>
        <v>15.997809709253479</v>
      </c>
      <c r="N26" s="645">
        <f>$O$6/F41</f>
        <v>16.136933642608472</v>
      </c>
      <c r="O26" s="645">
        <f>$O$6/G41</f>
        <v>15.433048253256102</v>
      </c>
    </row>
    <row r="27" spans="2:15" ht="33" customHeight="1">
      <c r="B27" s="631" t="s">
        <v>723</v>
      </c>
      <c r="C27" s="625">
        <f>Model!CY613</f>
        <v>446582</v>
      </c>
      <c r="D27" s="625">
        <f>Model!CZ613</f>
        <v>458547</v>
      </c>
      <c r="E27" s="625">
        <f>Model!DA613</f>
        <v>477683.98771293456</v>
      </c>
      <c r="F27" s="625">
        <f>Model!DB613</f>
        <v>486596.49337076169</v>
      </c>
      <c r="G27" s="625">
        <f>Model!DC613</f>
        <v>496155.39589073515</v>
      </c>
      <c r="H27" s="623"/>
      <c r="I27" s="623" t="s">
        <v>2497</v>
      </c>
      <c r="J27" s="623"/>
      <c r="K27" s="645">
        <f>($O$6*$J$7)/C12</f>
        <v>12.00875368617263</v>
      </c>
      <c r="L27" s="645">
        <f>($O$6*$J$7)/D12</f>
        <v>13.007762215095418</v>
      </c>
      <c r="M27" s="645">
        <f>($O$6*$J$7)/E12</f>
        <v>10.469705558722506</v>
      </c>
      <c r="N27" s="645">
        <f>($O$6*$J$7)/F12</f>
        <v>10.246497102057839</v>
      </c>
      <c r="O27" s="645">
        <f>($O$6*$J$7)/G12</f>
        <v>9.9052313066932811</v>
      </c>
    </row>
    <row r="28" spans="2:15" ht="33" customHeight="1">
      <c r="B28" s="646" t="s">
        <v>2122</v>
      </c>
      <c r="C28" s="647"/>
      <c r="D28" s="633">
        <f>(D27/C27)-1</f>
        <v>2.6792391990720699E-2</v>
      </c>
      <c r="E28" s="633">
        <f>(E27/D27)-1</f>
        <v>4.1733972118309648E-2</v>
      </c>
      <c r="F28" s="633">
        <f>(F27/E27)-1</f>
        <v>1.8657744213907312E-2</v>
      </c>
      <c r="G28" s="633">
        <f>(G27/F27)-1</f>
        <v>1.9644413081888024E-2</v>
      </c>
      <c r="H28" s="623"/>
      <c r="I28" s="623" t="s">
        <v>2496</v>
      </c>
      <c r="J28" s="623"/>
      <c r="K28" s="645">
        <f t="shared" ref="K28:O29" si="3">$O$6/C53</f>
        <v>1.7493811664559427</v>
      </c>
      <c r="L28" s="645">
        <f t="shared" si="3"/>
        <v>1.7193626795273091</v>
      </c>
      <c r="M28" s="645">
        <f t="shared" si="3"/>
        <v>1.6411467144498995</v>
      </c>
      <c r="N28" s="645">
        <f t="shared" si="3"/>
        <v>1.6118579609481503</v>
      </c>
      <c r="O28" s="645">
        <f t="shared" si="3"/>
        <v>1.5902128133475535</v>
      </c>
    </row>
    <row r="29" spans="2:15" ht="33" customHeight="1">
      <c r="B29" s="652" t="s">
        <v>2495</v>
      </c>
      <c r="C29" s="653">
        <f>Model!CY550</f>
        <v>69857</v>
      </c>
      <c r="D29" s="653">
        <f>Model!CZ550</f>
        <v>71128</v>
      </c>
      <c r="E29" s="653">
        <f>Model!DA550</f>
        <v>75563.543680334085</v>
      </c>
      <c r="F29" s="653">
        <f>Model!DB550</f>
        <v>76273.704939225194</v>
      </c>
      <c r="G29" s="653">
        <f>Model!DC550</f>
        <v>76069.044065305978</v>
      </c>
      <c r="H29" s="623"/>
      <c r="I29" s="623" t="s">
        <v>2494</v>
      </c>
      <c r="J29" s="623"/>
      <c r="K29" s="645">
        <f t="shared" si="3"/>
        <v>1.8710077756138286</v>
      </c>
      <c r="L29" s="645">
        <f t="shared" si="3"/>
        <v>1.8442628942922765</v>
      </c>
      <c r="M29" s="645">
        <f t="shared" si="3"/>
        <v>1.752817006852383</v>
      </c>
      <c r="N29" s="645">
        <f t="shared" si="3"/>
        <v>1.7204347037779277</v>
      </c>
      <c r="O29" s="645">
        <f t="shared" si="3"/>
        <v>1.6976421991066486</v>
      </c>
    </row>
    <row r="30" spans="2:15" ht="33" customHeight="1">
      <c r="B30" s="631" t="s">
        <v>2493</v>
      </c>
      <c r="C30" s="625">
        <f>Model!CY590</f>
        <v>54469</v>
      </c>
      <c r="D30" s="625">
        <f>Model!CZ590</f>
        <v>55184</v>
      </c>
      <c r="E30" s="625">
        <f>Model!DA590</f>
        <v>59668.654168494104</v>
      </c>
      <c r="F30" s="625">
        <f>Model!DB590</f>
        <v>60383.305220578026</v>
      </c>
      <c r="G30" s="625">
        <f>Model!DC590</f>
        <v>60156.572593613775</v>
      </c>
      <c r="H30" s="623"/>
      <c r="I30" s="648" t="s">
        <v>1087</v>
      </c>
      <c r="J30" s="648"/>
      <c r="K30" s="649">
        <f>(C49/$O$6)*100</f>
        <v>4.0922746811784814</v>
      </c>
      <c r="L30" s="649">
        <f>(D49/$O$6)*100</f>
        <v>4.0922746811784814</v>
      </c>
      <c r="M30" s="649">
        <f>(E49/$O$6)*100</f>
        <v>4.3387972523338121</v>
      </c>
      <c r="N30" s="649">
        <f>(F49/$O$6)*100</f>
        <v>4.5113630521425439</v>
      </c>
      <c r="O30" s="649">
        <f>(G49/$O$6)*100</f>
        <v>4.6839288519512756</v>
      </c>
    </row>
    <row r="31" spans="2:15" ht="33" customHeight="1">
      <c r="B31" s="650" t="s">
        <v>2122</v>
      </c>
      <c r="C31" s="648"/>
      <c r="D31" s="654">
        <f>(D30/C30)-1</f>
        <v>1.3126732636912664E-2</v>
      </c>
      <c r="E31" s="654">
        <f>(E30/D30)-1</f>
        <v>8.1267290672914383E-2</v>
      </c>
      <c r="F31" s="654">
        <f>(F30/E30)-1</f>
        <v>1.1976992979695344E-2</v>
      </c>
      <c r="G31" s="654">
        <f>(G30/F30)-1</f>
        <v>-3.7548893048501286E-3</v>
      </c>
      <c r="H31" s="623"/>
      <c r="I31" s="623"/>
      <c r="J31" s="623"/>
      <c r="K31" s="623"/>
      <c r="L31" s="623"/>
      <c r="M31" s="623"/>
      <c r="N31" s="623"/>
      <c r="O31" s="623"/>
    </row>
    <row r="32" spans="2:15" ht="33" customHeight="1">
      <c r="B32" s="624" t="s">
        <v>2492</v>
      </c>
      <c r="C32" s="632"/>
      <c r="D32" s="623"/>
      <c r="E32" s="623"/>
      <c r="F32" s="623"/>
      <c r="G32" s="623"/>
      <c r="H32" s="623"/>
      <c r="I32" s="669" t="s">
        <v>1104</v>
      </c>
      <c r="J32" s="669"/>
      <c r="K32" s="667" t="s">
        <v>2487</v>
      </c>
      <c r="L32" s="668" t="str">
        <f>L18</f>
        <v>FY25A</v>
      </c>
      <c r="M32" s="668" t="str">
        <f t="shared" ref="M32:O32" si="4">M18</f>
        <v>FY26E</v>
      </c>
      <c r="N32" s="668" t="str">
        <f t="shared" si="4"/>
        <v>FY27E</v>
      </c>
      <c r="O32" s="668" t="str">
        <f t="shared" si="4"/>
        <v>FY28E</v>
      </c>
    </row>
    <row r="33" spans="2:15" ht="33" customHeight="1">
      <c r="B33" s="624" t="s">
        <v>584</v>
      </c>
      <c r="C33" s="625">
        <f>Model!CY237</f>
        <v>681680</v>
      </c>
      <c r="D33" s="625">
        <f>Model!CZ237</f>
        <v>769895.04931506852</v>
      </c>
      <c r="E33" s="625">
        <f>Model!DA237</f>
        <v>794817.19299373694</v>
      </c>
      <c r="F33" s="625">
        <f>Model!DB237</f>
        <v>818247.61793161207</v>
      </c>
      <c r="G33" s="625">
        <f>Model!DC237</f>
        <v>846018.77288523247</v>
      </c>
      <c r="H33" s="623"/>
      <c r="I33" s="629" t="s">
        <v>2491</v>
      </c>
      <c r="J33" s="623"/>
      <c r="K33" s="623"/>
      <c r="L33" s="623"/>
      <c r="M33" s="623"/>
      <c r="N33" s="623"/>
      <c r="O33" s="623"/>
    </row>
    <row r="34" spans="2:15" ht="33" customHeight="1">
      <c r="B34" s="646" t="s">
        <v>2122</v>
      </c>
      <c r="C34" s="623"/>
      <c r="D34" s="655">
        <f>(D33/C33)-1</f>
        <v>0.12940829907738016</v>
      </c>
      <c r="E34" s="655">
        <f>(E33/D33)-1</f>
        <v>3.2370832493130441E-2</v>
      </c>
      <c r="F34" s="655">
        <f>(F33/E33)-1</f>
        <v>2.9479011204605055E-2</v>
      </c>
      <c r="G34" s="655">
        <f>(G33/F33)-1</f>
        <v>3.3939793217878211E-2</v>
      </c>
      <c r="H34" s="623"/>
      <c r="I34" s="623" t="s">
        <v>2489</v>
      </c>
      <c r="J34" s="623"/>
      <c r="K34" s="655">
        <f>C17/C37</f>
        <v>9.6701245557988438E-2</v>
      </c>
      <c r="L34" s="655">
        <f>D17/D37</f>
        <v>8.487203499993011E-2</v>
      </c>
      <c r="M34" s="655">
        <f>E17/E37</f>
        <v>0.10166620055431072</v>
      </c>
      <c r="N34" s="655">
        <f>F17/F37</f>
        <v>9.7658961224029867E-2</v>
      </c>
      <c r="O34" s="655">
        <f>G17/G37</f>
        <v>0.10061619300922893</v>
      </c>
    </row>
    <row r="35" spans="2:15" ht="33" customHeight="1">
      <c r="B35" s="624" t="s">
        <v>472</v>
      </c>
      <c r="C35" s="625">
        <f>Model!CY239</f>
        <v>1023616</v>
      </c>
      <c r="D35" s="625">
        <f>Model!CZ239</f>
        <v>1159688</v>
      </c>
      <c r="E35" s="625">
        <f>Model!DA239</f>
        <v>1203846.9764706534</v>
      </c>
      <c r="F35" s="625">
        <f>Model!DB239</f>
        <v>1239335.1949786616</v>
      </c>
      <c r="G35" s="625">
        <f>Model!DC239</f>
        <v>1281397.9752238763</v>
      </c>
      <c r="H35" s="623"/>
      <c r="I35" s="623" t="s">
        <v>2486</v>
      </c>
      <c r="J35" s="623"/>
      <c r="K35" s="655">
        <f>C17/Model!CY702</f>
        <v>0.10336650986471035</v>
      </c>
      <c r="L35" s="655">
        <f>D17/Model!CZ702</f>
        <v>9.0930873367677009E-2</v>
      </c>
      <c r="M35" s="655">
        <f>E17/Model!DA702</f>
        <v>0.10858136113115002</v>
      </c>
      <c r="N35" s="655">
        <f>F17/Model!DB702</f>
        <v>0.1040466479451302</v>
      </c>
      <c r="O35" s="655">
        <f>G17/Model!DC702</f>
        <v>0.10719617698361178</v>
      </c>
    </row>
    <row r="36" spans="2:15" ht="33" customHeight="1">
      <c r="B36" s="646" t="s">
        <v>2122</v>
      </c>
      <c r="C36" s="623"/>
      <c r="D36" s="655">
        <f>(D35/C35)-1</f>
        <v>0.1329326622483431</v>
      </c>
      <c r="E36" s="655">
        <f>(E35/D35)-1</f>
        <v>3.807832492071439E-2</v>
      </c>
      <c r="F36" s="655">
        <f>(F35/E35)-1</f>
        <v>2.9479011204604832E-2</v>
      </c>
      <c r="G36" s="655">
        <f>(G35/F35)-1</f>
        <v>3.3939793217878433E-2</v>
      </c>
      <c r="H36" s="623"/>
      <c r="I36" s="623" t="s">
        <v>2484</v>
      </c>
      <c r="J36" s="623"/>
      <c r="K36" s="656">
        <f>C17/C35</f>
        <v>6.5796157934225339E-3</v>
      </c>
      <c r="L36" s="656">
        <f>D17/D35</f>
        <v>5.2358910327605359E-3</v>
      </c>
      <c r="M36" s="656">
        <f>E17/E35</f>
        <v>6.3212573450632586E-3</v>
      </c>
      <c r="N36" s="656">
        <f>F17/F35</f>
        <v>6.1186125636637093E-3</v>
      </c>
      <c r="O36" s="656">
        <f>G17/G35</f>
        <v>6.0979444066418002E-3</v>
      </c>
    </row>
    <row r="37" spans="2:15" ht="33" customHeight="1">
      <c r="B37" s="624" t="s">
        <v>2166</v>
      </c>
      <c r="C37" s="625">
        <f>Model!CY701</f>
        <v>69647.5</v>
      </c>
      <c r="D37" s="625">
        <f>Model!CZ701</f>
        <v>71543</v>
      </c>
      <c r="E37" s="625">
        <f>Model!DA701</f>
        <v>74851.096046242994</v>
      </c>
      <c r="F37" s="625">
        <f>Model!DB701</f>
        <v>77647.886067430169</v>
      </c>
      <c r="G37" s="625">
        <f>Model!DC701</f>
        <v>77660.398212262342</v>
      </c>
      <c r="H37" s="623"/>
      <c r="I37" s="657" t="s">
        <v>2483</v>
      </c>
      <c r="J37" s="657"/>
      <c r="K37" s="658">
        <f>C17/Model!CY703</f>
        <v>1.5434264870089209E-2</v>
      </c>
      <c r="L37" s="658">
        <f>D17/Model!CZ703</f>
        <v>1.3177839606502104E-2</v>
      </c>
      <c r="M37" s="658">
        <f>E17/Model!DA703</f>
        <v>1.6172309519097972E-2</v>
      </c>
      <c r="N37" s="658">
        <f>F17/Model!DB703</f>
        <v>1.5732050359406828E-2</v>
      </c>
      <c r="O37" s="658">
        <f>G17/Model!DC703</f>
        <v>1.5907187435803476E-2</v>
      </c>
    </row>
    <row r="38" spans="2:15" ht="33" customHeight="1">
      <c r="B38" s="646" t="s">
        <v>2122</v>
      </c>
      <c r="C38" s="623"/>
      <c r="D38" s="655">
        <f>(D37/C37)-1</f>
        <v>2.7215621522667766E-2</v>
      </c>
      <c r="E38" s="655">
        <f>(E37/D37)-1</f>
        <v>4.6239269337922551E-2</v>
      </c>
      <c r="F38" s="655">
        <f>(F37/E37)-1</f>
        <v>3.7364717003733894E-2</v>
      </c>
      <c r="G38" s="655">
        <f>(G37/F37)-1</f>
        <v>1.6113954243790474E-4</v>
      </c>
      <c r="H38" s="623"/>
      <c r="I38" s="629" t="s">
        <v>2490</v>
      </c>
      <c r="J38" s="623"/>
      <c r="K38" s="623"/>
      <c r="L38" s="623"/>
      <c r="M38" s="623"/>
      <c r="N38" s="623"/>
      <c r="O38" s="623"/>
    </row>
    <row r="39" spans="2:15" ht="33" customHeight="1">
      <c r="B39" s="623"/>
      <c r="C39" s="623"/>
      <c r="D39" s="623"/>
      <c r="E39" s="623"/>
      <c r="F39" s="623"/>
      <c r="G39" s="623"/>
      <c r="H39" s="623"/>
      <c r="I39" s="623" t="s">
        <v>2489</v>
      </c>
      <c r="J39" s="623"/>
      <c r="K39" s="655">
        <f>C20/C37</f>
        <v>9.3973222298000647E-2</v>
      </c>
      <c r="L39" s="655">
        <f>D20/D37</f>
        <v>8.6325706218637749E-2</v>
      </c>
      <c r="M39" s="655">
        <f>E20/E37</f>
        <v>0.10166620055431072</v>
      </c>
      <c r="N39" s="655">
        <f>F20/F37</f>
        <v>9.7658961224029867E-2</v>
      </c>
      <c r="O39" s="655">
        <f>G20/G37</f>
        <v>0.10061619300922893</v>
      </c>
    </row>
    <row r="40" spans="2:15" ht="33" customHeight="1">
      <c r="B40" s="666" t="s">
        <v>2488</v>
      </c>
      <c r="C40" s="667" t="s">
        <v>2487</v>
      </c>
      <c r="D40" s="668" t="str">
        <f>D22</f>
        <v>FY25A</v>
      </c>
      <c r="E40" s="668" t="str">
        <f t="shared" ref="E40:G40" si="5">E22</f>
        <v>FY26E</v>
      </c>
      <c r="F40" s="668" t="str">
        <f t="shared" si="5"/>
        <v>FY27E</v>
      </c>
      <c r="G40" s="668" t="str">
        <f t="shared" si="5"/>
        <v>FY28E</v>
      </c>
      <c r="H40" s="623"/>
      <c r="I40" s="623" t="s">
        <v>2486</v>
      </c>
      <c r="J40" s="623"/>
      <c r="K40" s="655">
        <f>C20/Model!CY702</f>
        <v>0.1004504539071313</v>
      </c>
      <c r="L40" s="655">
        <f>D20/Model!CZ702</f>
        <v>9.2488319156583204E-2</v>
      </c>
      <c r="M40" s="655">
        <f>E20/Model!DA702</f>
        <v>0.10858136113115002</v>
      </c>
      <c r="N40" s="655">
        <f>F20/Model!DB702</f>
        <v>0.1040466479451302</v>
      </c>
      <c r="O40" s="655">
        <f>G20/Model!DC702</f>
        <v>0.10719617698361178</v>
      </c>
    </row>
    <row r="41" spans="2:15" ht="33" customHeight="1">
      <c r="B41" s="629" t="s">
        <v>2485</v>
      </c>
      <c r="C41" s="659">
        <f>Model!CY730</f>
        <v>2.2428628601921026</v>
      </c>
      <c r="D41" s="659">
        <f>Model!CZ730</f>
        <v>1.9467805961111486</v>
      </c>
      <c r="E41" s="659">
        <f>Model!DA730</f>
        <v>2.5356119199015255</v>
      </c>
      <c r="F41" s="659">
        <f>Model!DB730</f>
        <v>2.5137512423049428</v>
      </c>
      <c r="G41" s="659">
        <f>Model!DC730</f>
        <v>2.6284008399015493</v>
      </c>
      <c r="H41" s="623"/>
      <c r="I41" s="623" t="s">
        <v>2484</v>
      </c>
      <c r="J41" s="623"/>
      <c r="K41" s="656">
        <f>C20/C35</f>
        <v>6.3939993122420907E-3</v>
      </c>
      <c r="L41" s="656">
        <f>D20/D35</f>
        <v>5.3255703258117699E-3</v>
      </c>
      <c r="M41" s="656">
        <f>E20/E35</f>
        <v>6.3212573450632586E-3</v>
      </c>
      <c r="N41" s="656">
        <f>F20/F35</f>
        <v>6.1186125636637093E-3</v>
      </c>
      <c r="O41" s="656">
        <f>G20/G35</f>
        <v>6.0979444066418002E-3</v>
      </c>
    </row>
    <row r="42" spans="2:15" ht="33" customHeight="1">
      <c r="B42" s="646" t="s">
        <v>2122</v>
      </c>
      <c r="C42" s="623"/>
      <c r="D42" s="633">
        <f>(D41/C41)-1</f>
        <v>-0.13201086403276319</v>
      </c>
      <c r="E42" s="633">
        <f>(E41/D41)-1</f>
        <v>0.30246414257806697</v>
      </c>
      <c r="F42" s="633">
        <f>(F41/E41)-1</f>
        <v>-8.621460336655784E-3</v>
      </c>
      <c r="G42" s="633">
        <f>(G41/F41)-1</f>
        <v>4.5608967055738026E-2</v>
      </c>
      <c r="H42" s="623"/>
      <c r="I42" s="648" t="s">
        <v>2483</v>
      </c>
      <c r="J42" s="648"/>
      <c r="K42" s="658">
        <f>C20/Model!CY703</f>
        <v>1.4998851310279714E-2</v>
      </c>
      <c r="L42" s="658">
        <f>D20/Model!CZ703</f>
        <v>1.3403547004241928E-2</v>
      </c>
      <c r="M42" s="658">
        <f>E20/Model!DA703</f>
        <v>1.6172309519097972E-2</v>
      </c>
      <c r="N42" s="658">
        <f>F20/Model!DB703</f>
        <v>1.5732050359406828E-2</v>
      </c>
      <c r="O42" s="658">
        <f>G20/Model!DC703</f>
        <v>1.5907187435803476E-2</v>
      </c>
    </row>
    <row r="43" spans="2:15" ht="33" customHeight="1">
      <c r="B43" s="629" t="s">
        <v>2482</v>
      </c>
      <c r="C43" s="659">
        <f>Model!CY732</f>
        <v>2.2093382807668522</v>
      </c>
      <c r="D43" s="659">
        <f>Model!CZ732</f>
        <v>1.8821346583225886</v>
      </c>
      <c r="E43" s="659">
        <f>Model!DA732</f>
        <v>2.5285348049597367</v>
      </c>
      <c r="F43" s="659">
        <f>Model!DB732</f>
        <v>2.5067709357212138</v>
      </c>
      <c r="G43" s="659">
        <f>Model!DC732</f>
        <v>2.6209950805601165</v>
      </c>
      <c r="H43" s="623"/>
      <c r="I43" s="629" t="s">
        <v>2481</v>
      </c>
      <c r="J43" s="623"/>
      <c r="K43" s="623"/>
      <c r="L43" s="623"/>
      <c r="M43" s="623"/>
      <c r="N43" s="623"/>
      <c r="O43" s="623"/>
    </row>
    <row r="44" spans="2:15" ht="33" customHeight="1">
      <c r="B44" s="646" t="s">
        <v>2122</v>
      </c>
      <c r="C44" s="623"/>
      <c r="D44" s="655">
        <f>(D43/C43)-1</f>
        <v>-0.14810028201326075</v>
      </c>
      <c r="E44" s="655">
        <f>(E43/D43)-1</f>
        <v>0.34343990414226688</v>
      </c>
      <c r="F44" s="655">
        <f>(F43/E43)-1</f>
        <v>-8.6073045923009683E-3</v>
      </c>
      <c r="G44" s="655">
        <f>(G43/F43)-1</f>
        <v>4.5566247482456745E-2</v>
      </c>
      <c r="H44" s="623"/>
      <c r="I44" s="623" t="s">
        <v>531</v>
      </c>
      <c r="J44" s="623"/>
      <c r="K44" s="656">
        <f>C6</f>
        <v>1.5698269663623858E-2</v>
      </c>
      <c r="L44" s="656">
        <f>D6</f>
        <v>1.54884207648836E-2</v>
      </c>
      <c r="M44" s="656">
        <f>E6</f>
        <v>1.5612862066963083E-2</v>
      </c>
      <c r="N44" s="656">
        <f>F6</f>
        <v>1.5482062526312431E-2</v>
      </c>
      <c r="O44" s="656">
        <f>G6</f>
        <v>1.5336831657607306E-2</v>
      </c>
    </row>
    <row r="45" spans="2:15" ht="33" customHeight="1">
      <c r="B45" s="629" t="s">
        <v>2480</v>
      </c>
      <c r="C45" s="659">
        <f>Model!CY728</f>
        <v>2.1794957310565635</v>
      </c>
      <c r="D45" s="659">
        <f>Model!CZ728</f>
        <v>1.9817668034717084</v>
      </c>
      <c r="E45" s="659">
        <f>Model!DA728</f>
        <v>2.5356119199015255</v>
      </c>
      <c r="F45" s="659">
        <f>Model!DB728</f>
        <v>2.513751242304942</v>
      </c>
      <c r="G45" s="659">
        <f>Model!DC728</f>
        <v>2.6284008399015484</v>
      </c>
      <c r="H45" s="623"/>
      <c r="I45" s="623" t="s">
        <v>2479</v>
      </c>
      <c r="J45" s="623"/>
      <c r="K45" s="655">
        <f>-C11/C10</f>
        <v>0.5159229549930352</v>
      </c>
      <c r="L45" s="655">
        <f>-D11/D10</f>
        <v>0.58059862964298592</v>
      </c>
      <c r="M45" s="655">
        <f>-E11/E10</f>
        <v>0.49867149484944939</v>
      </c>
      <c r="N45" s="655">
        <f>-F11/F10</f>
        <v>0.49581431445968566</v>
      </c>
      <c r="O45" s="655">
        <f>-G11/G10</f>
        <v>0.49035032703057418</v>
      </c>
    </row>
    <row r="46" spans="2:15" ht="33" customHeight="1">
      <c r="B46" s="646" t="s">
        <v>2122</v>
      </c>
      <c r="C46" s="623"/>
      <c r="D46" s="655">
        <f>(D45/C45)-1</f>
        <v>-9.0722328457602086E-2</v>
      </c>
      <c r="E46" s="655">
        <f>(E45/D45)-1</f>
        <v>0.27947037737213964</v>
      </c>
      <c r="F46" s="655">
        <f>(F45/E45)-1</f>
        <v>-8.6214603366561171E-3</v>
      </c>
      <c r="G46" s="655">
        <f>(G45/F45)-1</f>
        <v>4.5608967055738026E-2</v>
      </c>
      <c r="H46" s="623"/>
      <c r="I46" s="623" t="s">
        <v>2478</v>
      </c>
      <c r="J46" s="623"/>
      <c r="K46" s="660">
        <f>-(C11/Model!CY697)*10000</f>
        <v>91.618693591297557</v>
      </c>
      <c r="L46" s="660">
        <f>-(D11/Model!CZ697)*10000</f>
        <v>96.579597560015443</v>
      </c>
      <c r="M46" s="660">
        <f>-(E11/Model!DA697)*10000</f>
        <v>83.337909369712918</v>
      </c>
      <c r="N46" s="660">
        <f>-(F11/Model!DB697)*10000</f>
        <v>81.77483436434666</v>
      </c>
      <c r="O46" s="660">
        <f>-(G11/Model!DC697)*10000</f>
        <v>80.04293114881014</v>
      </c>
    </row>
    <row r="47" spans="2:15" ht="33" customHeight="1">
      <c r="B47" s="629" t="s">
        <v>2477</v>
      </c>
      <c r="C47" s="659">
        <f>Model!CY729</f>
        <v>2.1505875077303647</v>
      </c>
      <c r="D47" s="659">
        <f>Model!CZ729</f>
        <v>1.9148400893109845</v>
      </c>
      <c r="E47" s="659">
        <f>Model!DA729</f>
        <v>2.5285348049597363</v>
      </c>
      <c r="F47" s="659">
        <f>Model!DB729</f>
        <v>2.5067709357212133</v>
      </c>
      <c r="G47" s="659">
        <f>Model!DC729</f>
        <v>2.6209950805601157</v>
      </c>
      <c r="H47" s="623"/>
      <c r="I47" s="623" t="s">
        <v>2476</v>
      </c>
      <c r="J47" s="623"/>
      <c r="K47" s="655">
        <f>-C15/C14</f>
        <v>0.30366004962779158</v>
      </c>
      <c r="L47" s="655">
        <f>-D15/D14</f>
        <v>0.31490465982173077</v>
      </c>
      <c r="M47" s="655">
        <f>-E15/E14</f>
        <v>0.30105059486803692</v>
      </c>
      <c r="N47" s="655">
        <f>-F15/F14</f>
        <v>0.30106351825868255</v>
      </c>
      <c r="O47" s="655">
        <f>-G15/G14</f>
        <v>0.30095513542522873</v>
      </c>
    </row>
    <row r="48" spans="2:15" ht="33" customHeight="1">
      <c r="B48" s="646" t="s">
        <v>2122</v>
      </c>
      <c r="C48" s="623"/>
      <c r="D48" s="655">
        <f>(D47/C47)-1</f>
        <v>-0.10962000735704902</v>
      </c>
      <c r="E48" s="655">
        <f>(E47/D47)-1</f>
        <v>0.32049397705558635</v>
      </c>
      <c r="F48" s="655">
        <f>(F47/E47)-1</f>
        <v>-8.6073045923010794E-3</v>
      </c>
      <c r="G48" s="655">
        <f>(G47/F47)-1</f>
        <v>4.5566247482456745E-2</v>
      </c>
      <c r="H48" s="623"/>
      <c r="I48" s="657" t="s">
        <v>2475</v>
      </c>
      <c r="J48" s="657"/>
      <c r="K48" s="661">
        <f>C23/C25</f>
        <v>1.0606244644627729</v>
      </c>
      <c r="L48" s="661">
        <f>D23/D25</f>
        <v>1.0449133176622349</v>
      </c>
      <c r="M48" s="661">
        <f>E23/E25</f>
        <v>0.98984668405005094</v>
      </c>
      <c r="N48" s="661">
        <f>F23/F25</f>
        <v>0.96626962778694581</v>
      </c>
      <c r="O48" s="661">
        <f>G23/G25</f>
        <v>0.94572950196687067</v>
      </c>
    </row>
    <row r="49" spans="2:15" ht="33" customHeight="1">
      <c r="B49" s="629" t="s">
        <v>2474</v>
      </c>
      <c r="C49" s="659">
        <f>Model!CY735</f>
        <v>1.66</v>
      </c>
      <c r="D49" s="659">
        <f>Model!CZ735</f>
        <v>1.66</v>
      </c>
      <c r="E49" s="659">
        <f>Model!DA735</f>
        <v>1.76</v>
      </c>
      <c r="F49" s="659">
        <f>Model!DB735</f>
        <v>1.83</v>
      </c>
      <c r="G49" s="659">
        <f>Model!DC735</f>
        <v>1.9000000000000001</v>
      </c>
      <c r="H49" s="623"/>
      <c r="I49" s="629" t="s">
        <v>573</v>
      </c>
      <c r="J49" s="623"/>
      <c r="K49" s="623"/>
      <c r="L49" s="623"/>
      <c r="M49" s="623"/>
      <c r="N49" s="623"/>
      <c r="O49" s="623"/>
    </row>
    <row r="50" spans="2:15" ht="33" customHeight="1">
      <c r="B50" s="646" t="s">
        <v>2122</v>
      </c>
      <c r="C50" s="623"/>
      <c r="D50" s="655">
        <f>IFERROR((D49/C49)-1,0)</f>
        <v>0</v>
      </c>
      <c r="E50" s="655">
        <f>IFERROR((E49/D49)-1,0)</f>
        <v>6.024096385542177E-2</v>
      </c>
      <c r="F50" s="655">
        <f>IFERROR((F49/E49)-1,0)</f>
        <v>3.9772727272727293E-2</v>
      </c>
      <c r="G50" s="655">
        <f>IFERROR((G49/F49)-1,0)</f>
        <v>3.8251366120218622E-2</v>
      </c>
      <c r="H50" s="623"/>
      <c r="I50" s="623" t="s">
        <v>2473</v>
      </c>
      <c r="J50" s="623"/>
      <c r="K50" s="662">
        <f>(Model!CY811)*10000</f>
        <v>5.9558737237413455</v>
      </c>
      <c r="L50" s="662">
        <f>(Model!CZ811)*10000</f>
        <v>5.7280534586153324</v>
      </c>
      <c r="M50" s="662">
        <f>(Model!DA811)*10000</f>
        <v>8.4540955378218197</v>
      </c>
      <c r="N50" s="662">
        <f>(Model!DB811)*10000</f>
        <v>11.755850998032731</v>
      </c>
      <c r="O50" s="662">
        <f>(Model!DC811)*10000</f>
        <v>12.295886865635151</v>
      </c>
    </row>
    <row r="51" spans="2:15" ht="33" customHeight="1">
      <c r="B51" s="623" t="s">
        <v>2472</v>
      </c>
      <c r="C51" s="633">
        <f>Model!CY838</f>
        <v>0.73890696781263943</v>
      </c>
      <c r="D51" s="633">
        <f>Model!CZ838</f>
        <v>0.85407900737169518</v>
      </c>
      <c r="E51" s="633">
        <f>Model!DA838</f>
        <v>0.69767245005218914</v>
      </c>
      <c r="F51" s="633">
        <f>Model!DB838</f>
        <v>0.72743175619283651</v>
      </c>
      <c r="G51" s="633">
        <f>Model!DC838</f>
        <v>0.72091212655667436</v>
      </c>
      <c r="H51" s="623"/>
      <c r="I51" s="623" t="s">
        <v>2471</v>
      </c>
      <c r="J51" s="623"/>
      <c r="K51" s="656">
        <f>Model!CY813</f>
        <v>7.3020595392955618E-3</v>
      </c>
      <c r="L51" s="656">
        <f>Model!CZ813</f>
        <v>8.4234409641807846E-3</v>
      </c>
      <c r="M51" s="656">
        <f>Model!DA813</f>
        <v>9.68052206639782E-3</v>
      </c>
      <c r="N51" s="656">
        <f>Model!DB813</f>
        <v>1.092356100030353E-2</v>
      </c>
      <c r="O51" s="656">
        <f>Model!DC813</f>
        <v>1.1088958961002359E-2</v>
      </c>
    </row>
    <row r="52" spans="2:15" ht="33" customHeight="1">
      <c r="B52" s="627" t="s">
        <v>2135</v>
      </c>
      <c r="C52" s="638">
        <f>Model!CY138</f>
        <v>0.67499999999999993</v>
      </c>
      <c r="D52" s="638">
        <f>Model!CZ138</f>
        <v>0.7</v>
      </c>
      <c r="E52" s="638">
        <f>Model!DA138</f>
        <v>0.7</v>
      </c>
      <c r="F52" s="638">
        <f>Model!DB138</f>
        <v>0.70000000000000007</v>
      </c>
      <c r="G52" s="638">
        <f>Model!DC138</f>
        <v>0.7</v>
      </c>
      <c r="H52" s="623"/>
      <c r="I52" s="623" t="s">
        <v>2186</v>
      </c>
      <c r="J52" s="623"/>
      <c r="K52" s="656">
        <f>Model!CY817</f>
        <v>1.1758517103423453E-2</v>
      </c>
      <c r="L52" s="656">
        <f>Model!CZ817</f>
        <v>1.1848488702131862E-2</v>
      </c>
      <c r="M52" s="656">
        <f>Model!DA817</f>
        <v>1.1627562159803116E-2</v>
      </c>
      <c r="N52" s="656">
        <f>Model!DB817</f>
        <v>1.1710190359235935E-2</v>
      </c>
      <c r="O52" s="656">
        <f>Model!DC817</f>
        <v>1.172987308944845E-2</v>
      </c>
    </row>
    <row r="53" spans="2:15" ht="33" customHeight="1">
      <c r="B53" s="629" t="s">
        <v>404</v>
      </c>
      <c r="C53" s="659">
        <f>Model!CY742</f>
        <v>23.187763632598287</v>
      </c>
      <c r="D53" s="659">
        <f>Model!CZ742</f>
        <v>23.592600603760623</v>
      </c>
      <c r="E53" s="659">
        <f>Model!DA742</f>
        <v>24.717008317380277</v>
      </c>
      <c r="F53" s="659">
        <f>Model!DB742</f>
        <v>25.166136206715262</v>
      </c>
      <c r="G53" s="659">
        <f>Model!DC742</f>
        <v>25.508684529907537</v>
      </c>
      <c r="H53" s="623"/>
      <c r="I53" s="648" t="s">
        <v>2190</v>
      </c>
      <c r="J53" s="648"/>
      <c r="K53" s="628">
        <f>Model!CY823</f>
        <v>1.2611265694865512E-2</v>
      </c>
      <c r="L53" s="628">
        <f>Model!CZ823</f>
        <v>1.2928083813378862E-2</v>
      </c>
      <c r="M53" s="628">
        <f>Model!DA823</f>
        <v>1.3017627157048841E-2</v>
      </c>
      <c r="N53" s="628">
        <f>Model!DB823</f>
        <v>1.3432826199524104E-2</v>
      </c>
      <c r="O53" s="628">
        <f>Model!DC823</f>
        <v>1.4049621125006774E-2</v>
      </c>
    </row>
    <row r="54" spans="2:15" ht="33" customHeight="1">
      <c r="B54" s="629" t="s">
        <v>2470</v>
      </c>
      <c r="C54" s="659">
        <f>Model!CY743</f>
        <v>21.680421385630755</v>
      </c>
      <c r="D54" s="659">
        <f>Model!CZ743</f>
        <v>21.994823577831472</v>
      </c>
      <c r="E54" s="659">
        <f>Model!DA743</f>
        <v>23.142311395039812</v>
      </c>
      <c r="F54" s="659">
        <f>Model!DB743</f>
        <v>23.577899761045202</v>
      </c>
      <c r="G54" s="659">
        <f>Model!DC743</f>
        <v>23.894456094721033</v>
      </c>
      <c r="H54" s="623"/>
      <c r="I54" s="629" t="s">
        <v>623</v>
      </c>
      <c r="J54" s="623"/>
      <c r="K54" s="623"/>
      <c r="L54" s="623"/>
      <c r="M54" s="623"/>
      <c r="N54" s="623"/>
      <c r="O54" s="623"/>
    </row>
    <row r="55" spans="2:15" ht="33" customHeight="1">
      <c r="B55" s="623" t="s">
        <v>2469</v>
      </c>
      <c r="C55" s="632">
        <f>Model!CY543</f>
        <v>2979.41626</v>
      </c>
      <c r="D55" s="632">
        <f>Model!CZ543</f>
        <v>2983.52018</v>
      </c>
      <c r="E55" s="632">
        <f>Model!DA543</f>
        <v>3027.2492010175706</v>
      </c>
      <c r="F55" s="632">
        <f>Model!DB543</f>
        <v>3001.4422682441705</v>
      </c>
      <c r="G55" s="632">
        <f>Model!DC543</f>
        <v>2953.1136337895286</v>
      </c>
      <c r="H55" s="623"/>
      <c r="I55" s="623" t="s">
        <v>2468</v>
      </c>
      <c r="J55" s="623"/>
      <c r="K55" s="655">
        <f>Model!CY834</f>
        <v>0.12196864181718027</v>
      </c>
      <c r="L55" s="655">
        <f>Model!CZ834</f>
        <v>0.12034535173057506</v>
      </c>
      <c r="M55" s="655">
        <f>Model!DA834</f>
        <v>0.12491240172017685</v>
      </c>
      <c r="N55" s="655">
        <f>Model!DB834</f>
        <v>0.12409317790658436</v>
      </c>
      <c r="O55" s="655">
        <f>Model!DC834</f>
        <v>0.12124542651726324</v>
      </c>
    </row>
    <row r="56" spans="2:15" ht="33" customHeight="1">
      <c r="B56" s="623" t="s">
        <v>2467</v>
      </c>
      <c r="C56" s="632">
        <f>Model!CY544</f>
        <v>2998.4</v>
      </c>
      <c r="D56" s="632">
        <f>Model!CZ544</f>
        <v>2972.6</v>
      </c>
      <c r="E56" s="632">
        <f>Model!DA544</f>
        <v>3001.1795111938318</v>
      </c>
      <c r="F56" s="632">
        <f>Model!DB544</f>
        <v>3016.6118934003725</v>
      </c>
      <c r="G56" s="632">
        <f>Model!DC544</f>
        <v>2972.8698519177333</v>
      </c>
      <c r="H56" s="623"/>
      <c r="I56" s="623" t="s">
        <v>547</v>
      </c>
      <c r="J56" s="623"/>
      <c r="K56" s="655">
        <f>Model!CY836</f>
        <v>0.14034600588469753</v>
      </c>
      <c r="L56" s="655">
        <f>Model!CZ836</f>
        <v>0.13638950859999083</v>
      </c>
      <c r="M56" s="655">
        <f>Model!DA836</f>
        <v>0.14031379718085368</v>
      </c>
      <c r="N56" s="655">
        <f>Model!DB836</f>
        <v>0.1392124812723699</v>
      </c>
      <c r="O56" s="655">
        <f>Model!DC836</f>
        <v>0.1360734422174496</v>
      </c>
    </row>
    <row r="57" spans="2:15" ht="33" customHeight="1">
      <c r="B57" s="663" t="s">
        <v>2466</v>
      </c>
      <c r="C57" s="664">
        <f>Model!CY545</f>
        <v>3234</v>
      </c>
      <c r="D57" s="664">
        <f>Model!CZ545</f>
        <v>3179.9</v>
      </c>
      <c r="E57" s="664">
        <f>Model!DA545</f>
        <v>3009.5795111938314</v>
      </c>
      <c r="F57" s="664">
        <f>Model!DB545</f>
        <v>3025.0118934003722</v>
      </c>
      <c r="G57" s="664">
        <f>Model!DC545</f>
        <v>2981.2698519177329</v>
      </c>
      <c r="H57" s="663"/>
      <c r="I57" s="663" t="s">
        <v>655</v>
      </c>
      <c r="J57" s="663"/>
      <c r="K57" s="665">
        <f>Model!CY837</f>
        <v>0.20570690265169667</v>
      </c>
      <c r="L57" s="665">
        <f>Model!CZ837</f>
        <v>0.21012240838997964</v>
      </c>
      <c r="M57" s="665">
        <f>Model!DA837</f>
        <v>0.21121639881485504</v>
      </c>
      <c r="N57" s="665">
        <f>Model!DB837</f>
        <v>0.20893427756752364</v>
      </c>
      <c r="O57" s="665">
        <f>Model!DC837</f>
        <v>0.20455244496698546</v>
      </c>
    </row>
  </sheetData>
  <mergeCells count="15">
    <mergeCell ref="B2:H2"/>
    <mergeCell ref="I2:O2"/>
    <mergeCell ref="I4:O4"/>
    <mergeCell ref="M5:N5"/>
    <mergeCell ref="M6:N6"/>
    <mergeCell ref="M7:N7"/>
    <mergeCell ref="M14:N14"/>
    <mergeCell ref="M15:N15"/>
    <mergeCell ref="I18:J18"/>
    <mergeCell ref="M8:N8"/>
    <mergeCell ref="M9:N9"/>
    <mergeCell ref="M10:N10"/>
    <mergeCell ref="M11:N11"/>
    <mergeCell ref="N12:O12"/>
    <mergeCell ref="M13:N13"/>
  </mergeCells>
  <pageMargins left="0.7" right="0.7" top="0.75" bottom="0.75" header="0.3" footer="0.3"/>
  <pageSetup paperSize="9" orientation="portrait" r:id="rId1"/>
  <customProperties>
    <customPr name="Qube.Worksheet.Visibility" r:id="rId2"/>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pageSetUpPr fitToPage="1"/>
  </sheetPr>
  <dimension ref="A1:AG59"/>
  <sheetViews>
    <sheetView topLeftCell="C1" workbookViewId="0">
      <selection activeCell="Q60" sqref="Q60"/>
    </sheetView>
  </sheetViews>
  <sheetFormatPr defaultColWidth="9" defaultRowHeight="12.75" outlineLevelCol="1"/>
  <cols>
    <col min="1" max="2" width="9" style="249" hidden="1" customWidth="1" outlineLevel="1"/>
    <col min="3" max="3" width="34.25" style="251" customWidth="1" collapsed="1"/>
    <col min="4" max="12" width="9.25" style="251" hidden="1" customWidth="1" outlineLevel="1"/>
    <col min="13" max="13" width="9" style="251" hidden="1" customWidth="1" outlineLevel="1"/>
    <col min="14" max="14" width="9.375" style="251" hidden="1" customWidth="1" outlineLevel="1"/>
    <col min="15" max="15" width="9" style="251" hidden="1" customWidth="1" outlineLevel="1"/>
    <col min="16" max="16" width="7.875" style="251" customWidth="1" collapsed="1"/>
    <col min="17" max="19" width="9" style="252" customWidth="1"/>
    <col min="20" max="22" width="7.875" style="252" customWidth="1"/>
    <col min="23" max="27" width="7.875" style="252" hidden="1" customWidth="1" outlineLevel="1"/>
    <col min="28" max="28" width="11.625" style="252" customWidth="1" collapsed="1"/>
    <col min="29" max="30" width="13.75" style="249" customWidth="1"/>
    <col min="31" max="31" width="46.25" style="249" customWidth="1"/>
    <col min="32" max="16384" width="9" style="249"/>
  </cols>
  <sheetData>
    <row r="1" spans="1:33">
      <c r="C1" s="250" t="s">
        <v>2309</v>
      </c>
    </row>
    <row r="2" spans="1:33">
      <c r="C2" s="251" t="s">
        <v>1130</v>
      </c>
      <c r="P2" s="253" t="s">
        <v>2093</v>
      </c>
      <c r="R2" s="254" t="s">
        <v>237</v>
      </c>
      <c r="S2" s="255">
        <f ca="1">Summary!$C$10</f>
        <v>46295</v>
      </c>
    </row>
    <row r="3" spans="1:33">
      <c r="C3" s="251" t="s">
        <v>2310</v>
      </c>
      <c r="O3" s="249"/>
      <c r="P3" s="256">
        <v>2014</v>
      </c>
      <c r="Q3" s="249"/>
      <c r="R3" s="254" t="s">
        <v>2108</v>
      </c>
      <c r="S3" s="255">
        <f>Summary!$G$2</f>
        <v>46265</v>
      </c>
    </row>
    <row r="4" spans="1:33" s="257" customFormat="1" ht="25.5">
      <c r="C4" s="258" t="s">
        <v>2311</v>
      </c>
      <c r="D4" s="258">
        <f t="shared" ref="D4:S4" si="0">+E4-1</f>
        <v>2012</v>
      </c>
      <c r="E4" s="258">
        <f t="shared" si="0"/>
        <v>2013</v>
      </c>
      <c r="F4" s="258">
        <f t="shared" si="0"/>
        <v>2014</v>
      </c>
      <c r="G4" s="258">
        <f t="shared" si="0"/>
        <v>2015</v>
      </c>
      <c r="H4" s="258">
        <f t="shared" si="0"/>
        <v>2016</v>
      </c>
      <c r="I4" s="258">
        <f t="shared" si="0"/>
        <v>2017</v>
      </c>
      <c r="J4" s="258">
        <f t="shared" si="0"/>
        <v>2018</v>
      </c>
      <c r="K4" s="258">
        <f t="shared" si="0"/>
        <v>2019</v>
      </c>
      <c r="L4" s="258">
        <f t="shared" si="0"/>
        <v>2020</v>
      </c>
      <c r="M4" s="258">
        <f t="shared" si="0"/>
        <v>2021</v>
      </c>
      <c r="N4" s="258">
        <f t="shared" si="0"/>
        <v>2022</v>
      </c>
      <c r="O4" s="258">
        <f t="shared" si="0"/>
        <v>2023</v>
      </c>
      <c r="P4" s="259">
        <f t="shared" si="0"/>
        <v>2024</v>
      </c>
      <c r="Q4" s="259">
        <f t="shared" si="0"/>
        <v>2025</v>
      </c>
      <c r="R4" s="259">
        <f t="shared" si="0"/>
        <v>2026</v>
      </c>
      <c r="S4" s="259">
        <f t="shared" si="0"/>
        <v>2027</v>
      </c>
      <c r="T4" s="259">
        <f>+U4-1</f>
        <v>2028</v>
      </c>
      <c r="U4" s="259">
        <f>MID(Summary!$G$3,3,2)+2000-5</f>
        <v>2029</v>
      </c>
      <c r="V4" s="259">
        <f t="shared" ref="V4:AA4" si="1">+U4+1</f>
        <v>2030</v>
      </c>
      <c r="W4" s="259">
        <f t="shared" si="1"/>
        <v>2031</v>
      </c>
      <c r="X4" s="259">
        <f t="shared" si="1"/>
        <v>2032</v>
      </c>
      <c r="Y4" s="259">
        <f t="shared" si="1"/>
        <v>2033</v>
      </c>
      <c r="Z4" s="259">
        <f t="shared" si="1"/>
        <v>2034</v>
      </c>
      <c r="AA4" s="259">
        <f t="shared" si="1"/>
        <v>2035</v>
      </c>
      <c r="AB4" s="260" t="s">
        <v>2312</v>
      </c>
      <c r="AC4" s="261" t="str">
        <f>"CAGR FY"&amp;D4&amp;"-FY"&amp;P4&amp;"/Avg"</f>
        <v>CAGR FY2012-FY2024/Avg</v>
      </c>
      <c r="AD4" s="261" t="str">
        <f>"CAGR FY"&amp;Q4&amp;"-FY"&amp;AA4&amp;"/Avg"</f>
        <v>CAGR FY2025-FY2035/Avg</v>
      </c>
    </row>
    <row r="5" spans="1:33">
      <c r="C5" s="262"/>
      <c r="D5" s="250"/>
      <c r="E5" s="250"/>
      <c r="F5" s="250"/>
      <c r="G5" s="250"/>
      <c r="H5" s="250"/>
      <c r="I5" s="250"/>
      <c r="J5" s="250"/>
      <c r="K5" s="250"/>
      <c r="L5" s="263"/>
      <c r="M5" s="263"/>
      <c r="N5" s="263"/>
      <c r="O5" s="263"/>
      <c r="P5" s="263"/>
      <c r="Q5" s="263"/>
      <c r="R5" s="263"/>
      <c r="S5" s="263"/>
      <c r="T5" s="263"/>
      <c r="U5" s="263"/>
      <c r="V5" s="264"/>
      <c r="W5" s="264"/>
      <c r="X5" s="264"/>
      <c r="Y5" s="264"/>
      <c r="Z5" s="264"/>
      <c r="AA5" s="264"/>
      <c r="AB5" s="264"/>
    </row>
    <row r="6" spans="1:33">
      <c r="C6" s="265" t="s">
        <v>2311</v>
      </c>
      <c r="D6" s="265"/>
      <c r="E6" s="265"/>
      <c r="F6" s="265"/>
      <c r="G6" s="265"/>
      <c r="H6" s="265"/>
      <c r="I6" s="265"/>
      <c r="J6" s="265"/>
      <c r="K6" s="265"/>
      <c r="L6" s="265"/>
      <c r="M6" s="265"/>
      <c r="N6" s="265"/>
      <c r="O6" s="265"/>
      <c r="P6" s="266">
        <f ca="1">MAX(0,(EOMONTH((DATE(P4,MONTH($S$2),15)),0)-$S$3)/365)</f>
        <v>0</v>
      </c>
      <c r="Q6" s="266">
        <f ca="1">MAX(0,(EOMONTH((DATE(Q4,MONTH($S$2),15)),0)-$S$3)/365)</f>
        <v>0</v>
      </c>
      <c r="R6" s="266">
        <f ca="1">MAX(0,(EOMONTH((DATE(R4,MONTH($S$2),15)),0)-$S$3)/365)</f>
        <v>8.2191780821917804E-2</v>
      </c>
      <c r="S6" s="266">
        <f t="shared" ref="S6:AA6" ca="1" si="2">MAX(0,(EOMONTH((DATE(S4,MONTH($S$2),15)),0)-$S$3)/365)</f>
        <v>1.0821917808219179</v>
      </c>
      <c r="T6" s="266">
        <f t="shared" ca="1" si="2"/>
        <v>2.0849315068493151</v>
      </c>
      <c r="U6" s="266">
        <f t="shared" ca="1" si="2"/>
        <v>3.0849315068493151</v>
      </c>
      <c r="V6" s="266">
        <f t="shared" ca="1" si="2"/>
        <v>4.0849315068493155</v>
      </c>
      <c r="W6" s="266">
        <f t="shared" ca="1" si="2"/>
        <v>5.0849315068493155</v>
      </c>
      <c r="X6" s="266">
        <f t="shared" ca="1" si="2"/>
        <v>6.087671232876712</v>
      </c>
      <c r="Y6" s="266">
        <f t="shared" ca="1" si="2"/>
        <v>7.087671232876712</v>
      </c>
      <c r="Z6" s="266">
        <f t="shared" ca="1" si="2"/>
        <v>8.087671232876712</v>
      </c>
      <c r="AA6" s="266">
        <f t="shared" ca="1" si="2"/>
        <v>9.087671232876712</v>
      </c>
      <c r="AB6" s="267">
        <f ca="1">AA6</f>
        <v>9.087671232876712</v>
      </c>
      <c r="AC6" s="268"/>
      <c r="AD6" s="268"/>
    </row>
    <row r="7" spans="1:33">
      <c r="A7" s="249" t="s">
        <v>1123</v>
      </c>
      <c r="C7" s="269" t="s">
        <v>2313</v>
      </c>
      <c r="D7" s="270"/>
      <c r="E7" s="270"/>
      <c r="F7" s="271"/>
      <c r="G7" s="271"/>
      <c r="H7" s="271"/>
      <c r="I7" s="271"/>
      <c r="J7" s="271"/>
      <c r="K7" s="271"/>
      <c r="L7" s="271"/>
      <c r="M7" s="271"/>
      <c r="N7" s="272"/>
      <c r="O7" s="272"/>
      <c r="P7" s="272">
        <f>VLOOKUP($A7,Summary!$A$2:$G$7,7,FALSE)*100</f>
        <v>3.5000000000000004</v>
      </c>
      <c r="Q7" s="270">
        <f t="shared" ref="Q7:AA9" si="3">+P7</f>
        <v>3.5000000000000004</v>
      </c>
      <c r="R7" s="270">
        <f t="shared" si="3"/>
        <v>3.5000000000000004</v>
      </c>
      <c r="S7" s="270">
        <f t="shared" si="3"/>
        <v>3.5000000000000004</v>
      </c>
      <c r="T7" s="270">
        <f t="shared" si="3"/>
        <v>3.5000000000000004</v>
      </c>
      <c r="U7" s="270">
        <f t="shared" si="3"/>
        <v>3.5000000000000004</v>
      </c>
      <c r="V7" s="270">
        <f t="shared" si="3"/>
        <v>3.5000000000000004</v>
      </c>
      <c r="W7" s="270">
        <f t="shared" si="3"/>
        <v>3.5000000000000004</v>
      </c>
      <c r="X7" s="270">
        <f t="shared" si="3"/>
        <v>3.5000000000000004</v>
      </c>
      <c r="Y7" s="270">
        <f t="shared" si="3"/>
        <v>3.5000000000000004</v>
      </c>
      <c r="Z7" s="270">
        <f t="shared" si="3"/>
        <v>3.5000000000000004</v>
      </c>
      <c r="AA7" s="270">
        <f t="shared" si="3"/>
        <v>3.5000000000000004</v>
      </c>
      <c r="AB7" s="273"/>
      <c r="AC7" s="274"/>
      <c r="AD7" s="274"/>
    </row>
    <row r="8" spans="1:33">
      <c r="A8" s="249" t="s">
        <v>1125</v>
      </c>
      <c r="C8" s="269" t="s">
        <v>2314</v>
      </c>
      <c r="D8" s="270"/>
      <c r="E8" s="270"/>
      <c r="F8" s="271"/>
      <c r="G8" s="271"/>
      <c r="H8" s="271"/>
      <c r="I8" s="271"/>
      <c r="J8" s="271"/>
      <c r="K8" s="271"/>
      <c r="L8" s="271"/>
      <c r="M8" s="271"/>
      <c r="N8" s="272"/>
      <c r="O8" s="272"/>
      <c r="P8" s="272">
        <f>VLOOKUP($A8,Summary!$A$2:$G$7,7,FALSE)</f>
        <v>0.95</v>
      </c>
      <c r="Q8" s="270">
        <f t="shared" si="3"/>
        <v>0.95</v>
      </c>
      <c r="R8" s="270">
        <f t="shared" si="3"/>
        <v>0.95</v>
      </c>
      <c r="S8" s="270">
        <f t="shared" si="3"/>
        <v>0.95</v>
      </c>
      <c r="T8" s="270">
        <f t="shared" si="3"/>
        <v>0.95</v>
      </c>
      <c r="U8" s="270">
        <f t="shared" si="3"/>
        <v>0.95</v>
      </c>
      <c r="V8" s="270">
        <f t="shared" si="3"/>
        <v>0.95</v>
      </c>
      <c r="W8" s="270">
        <f t="shared" si="3"/>
        <v>0.95</v>
      </c>
      <c r="X8" s="270">
        <f t="shared" si="3"/>
        <v>0.95</v>
      </c>
      <c r="Y8" s="270">
        <f t="shared" si="3"/>
        <v>0.95</v>
      </c>
      <c r="Z8" s="270">
        <f t="shared" si="3"/>
        <v>0.95</v>
      </c>
      <c r="AA8" s="270">
        <f t="shared" si="3"/>
        <v>0.95</v>
      </c>
      <c r="AB8" s="273"/>
      <c r="AC8" s="274"/>
      <c r="AD8" s="274"/>
      <c r="AE8" s="249" t="s">
        <v>2315</v>
      </c>
    </row>
    <row r="9" spans="1:33">
      <c r="A9" s="249" t="s">
        <v>1124</v>
      </c>
      <c r="C9" s="269" t="s">
        <v>2316</v>
      </c>
      <c r="D9" s="270"/>
      <c r="E9" s="270"/>
      <c r="F9" s="271"/>
      <c r="G9" s="271"/>
      <c r="H9" s="271"/>
      <c r="I9" s="271"/>
      <c r="J9" s="271"/>
      <c r="K9" s="271"/>
      <c r="L9" s="271"/>
      <c r="M9" s="271"/>
      <c r="N9" s="272"/>
      <c r="O9" s="272"/>
      <c r="P9" s="272">
        <f>VLOOKUP($A9,Summary!$A$2:$G$7,7,FALSE)*100</f>
        <v>6</v>
      </c>
      <c r="Q9" s="270">
        <f t="shared" si="3"/>
        <v>6</v>
      </c>
      <c r="R9" s="270">
        <f t="shared" si="3"/>
        <v>6</v>
      </c>
      <c r="S9" s="270">
        <f t="shared" si="3"/>
        <v>6</v>
      </c>
      <c r="T9" s="270">
        <f t="shared" si="3"/>
        <v>6</v>
      </c>
      <c r="U9" s="270">
        <f t="shared" si="3"/>
        <v>6</v>
      </c>
      <c r="V9" s="270">
        <f t="shared" si="3"/>
        <v>6</v>
      </c>
      <c r="W9" s="270">
        <f t="shared" si="3"/>
        <v>6</v>
      </c>
      <c r="X9" s="270">
        <f t="shared" si="3"/>
        <v>6</v>
      </c>
      <c r="Y9" s="270">
        <f t="shared" si="3"/>
        <v>6</v>
      </c>
      <c r="Z9" s="270">
        <f t="shared" si="3"/>
        <v>6</v>
      </c>
      <c r="AA9" s="270">
        <f t="shared" si="3"/>
        <v>6</v>
      </c>
      <c r="AB9" s="273"/>
      <c r="AC9" s="274"/>
      <c r="AD9" s="274"/>
    </row>
    <row r="10" spans="1:33">
      <c r="C10" s="265" t="s">
        <v>2317</v>
      </c>
      <c r="D10" s="275"/>
      <c r="E10" s="275"/>
      <c r="F10" s="276"/>
      <c r="G10" s="276"/>
      <c r="H10" s="276"/>
      <c r="I10" s="276"/>
      <c r="J10" s="276"/>
      <c r="K10" s="276"/>
      <c r="L10" s="276"/>
      <c r="M10" s="276"/>
      <c r="N10" s="277"/>
      <c r="O10" s="277"/>
      <c r="P10" s="277">
        <f t="shared" ref="P10:AA10" si="4">+P7+P9*P8</f>
        <v>9.1999999999999993</v>
      </c>
      <c r="Q10" s="277">
        <f t="shared" si="4"/>
        <v>9.1999999999999993</v>
      </c>
      <c r="R10" s="277">
        <f t="shared" si="4"/>
        <v>9.1999999999999993</v>
      </c>
      <c r="S10" s="277">
        <f t="shared" si="4"/>
        <v>9.1999999999999993</v>
      </c>
      <c r="T10" s="277">
        <f t="shared" si="4"/>
        <v>9.1999999999999993</v>
      </c>
      <c r="U10" s="277">
        <f t="shared" si="4"/>
        <v>9.1999999999999993</v>
      </c>
      <c r="V10" s="277">
        <f t="shared" si="4"/>
        <v>9.1999999999999993</v>
      </c>
      <c r="W10" s="277">
        <f t="shared" si="4"/>
        <v>9.1999999999999993</v>
      </c>
      <c r="X10" s="277">
        <f t="shared" si="4"/>
        <v>9.1999999999999993</v>
      </c>
      <c r="Y10" s="277">
        <f t="shared" si="4"/>
        <v>9.1999999999999993</v>
      </c>
      <c r="Z10" s="277">
        <f t="shared" si="4"/>
        <v>9.1999999999999993</v>
      </c>
      <c r="AA10" s="277">
        <f t="shared" si="4"/>
        <v>9.1999999999999993</v>
      </c>
      <c r="AB10" s="278">
        <f>AA10</f>
        <v>9.1999999999999993</v>
      </c>
      <c r="AC10" s="274"/>
      <c r="AD10" s="274"/>
    </row>
    <row r="11" spans="1:33">
      <c r="C11" s="265"/>
      <c r="D11" s="265"/>
      <c r="E11" s="265"/>
      <c r="F11" s="265"/>
      <c r="G11" s="265"/>
      <c r="H11" s="265"/>
      <c r="I11" s="265"/>
      <c r="J11" s="265"/>
      <c r="K11" s="265"/>
      <c r="L11" s="265"/>
      <c r="M11" s="265"/>
      <c r="N11" s="265"/>
      <c r="O11" s="279"/>
      <c r="P11" s="279"/>
      <c r="Q11" s="280"/>
      <c r="R11" s="280"/>
      <c r="S11" s="280"/>
      <c r="T11" s="280"/>
      <c r="U11" s="280"/>
      <c r="V11" s="280"/>
      <c r="W11" s="280"/>
      <c r="X11" s="280"/>
      <c r="Y11" s="280"/>
      <c r="Z11" s="280"/>
      <c r="AA11" s="280"/>
      <c r="AB11" s="281"/>
      <c r="AC11" s="281"/>
      <c r="AD11" s="281"/>
    </row>
    <row r="12" spans="1:33">
      <c r="C12" s="265"/>
      <c r="D12" s="265"/>
      <c r="E12" s="265"/>
      <c r="F12" s="265"/>
      <c r="G12" s="265"/>
      <c r="H12" s="265"/>
      <c r="I12" s="265"/>
      <c r="J12" s="265"/>
      <c r="K12" s="265"/>
      <c r="L12" s="265"/>
      <c r="M12" s="265"/>
      <c r="N12" s="265"/>
      <c r="O12" s="279"/>
      <c r="P12" s="279"/>
      <c r="Q12" s="280"/>
      <c r="R12" s="280"/>
      <c r="S12" s="280"/>
      <c r="T12" s="280"/>
      <c r="U12" s="280"/>
      <c r="V12" s="280"/>
      <c r="W12" s="280"/>
      <c r="X12" s="280"/>
      <c r="Y12" s="280"/>
      <c r="Z12" s="280"/>
      <c r="AA12" s="280"/>
      <c r="AB12" s="281"/>
      <c r="AC12" s="281"/>
      <c r="AD12" s="281"/>
    </row>
    <row r="13" spans="1:33">
      <c r="A13" s="249" t="s">
        <v>760</v>
      </c>
      <c r="C13" s="282" t="s">
        <v>2318</v>
      </c>
      <c r="D13" s="283">
        <f>VLOOKUP($A13,Model!$1:$1048576,MATCH("fy"&amp;RIGHT(D$4,2)&amp;"a",Model!$1:$1,0),FALSE)/1000</f>
        <v>642.12699999999995</v>
      </c>
      <c r="E13" s="283">
        <f>VLOOKUP($A13,Model!$1:$1048576,MATCH("fy"&amp;RIGHT(E$4,2)&amp;"a",Model!$1:$1,0),FALSE)/1000</f>
        <v>702.995</v>
      </c>
      <c r="F13" s="283">
        <f>VLOOKUP($A13,Model!$1:$1048576,MATCH("fy"&amp;RIGHT(F$4,2)&amp;"a",Model!$1:$1,0),FALSE)/1000</f>
        <v>772.09199999999998</v>
      </c>
      <c r="G13" s="283">
        <f>VLOOKUP($A13,Model!$1:$1048576,MATCH("fy"&amp;RIGHT(G$4,2)&amp;"a",Model!$1:$1,0),FALSE)/1000</f>
        <v>889.9</v>
      </c>
      <c r="H13" s="283">
        <f>VLOOKUP($A13,Model!$1:$1048576,MATCH("fy"&amp;RIGHT(H$4,2)&amp;"a",Model!$1:$1,0),FALSE)/1000</f>
        <v>914.86900000000003</v>
      </c>
      <c r="I13" s="283">
        <f>VLOOKUP($A13,Model!$1:$1048576,MATCH("fy"&amp;RIGHT(I$4,2)&amp;"a",Model!$1:$1,0),FALSE)/1000</f>
        <v>897.32600000000002</v>
      </c>
      <c r="J13" s="283">
        <f>VLOOKUP($A13,Model!$1:$1048576,MATCH("fy"&amp;RIGHT(J$4,2)&amp;"a",Model!$1:$1,0),FALSE)/1000</f>
        <v>943.15599999999995</v>
      </c>
      <c r="K13" s="283">
        <f>VLOOKUP($A13,Model!$1:$1048576,MATCH("fy"&amp;RIGHT(K$4,2)&amp;"a",Model!$1:$1,0),FALSE)/1000</f>
        <v>981.13699999999994</v>
      </c>
      <c r="L13" s="283">
        <f>VLOOKUP($A13,Model!$1:$1048576,MATCH("fy"&amp;RIGHT(L$4,2)&amp;"a",Model!$1:$1,0),FALSE)/1000</f>
        <v>1042.2860000000001</v>
      </c>
      <c r="M13" s="283">
        <f>VLOOKUP($A13,Model!$1:$1048576,MATCH("fy"&amp;RIGHT(M$4,2)&amp;"a",Model!$1:$1,0),FALSE)/1000</f>
        <v>978.85699999999997</v>
      </c>
      <c r="N13" s="283">
        <f>VLOOKUP($A13,Model!$1:$1048576,MATCH("fy"&amp;RIGHT(N$4,2)&amp;"a",Model!$1:$1,0),FALSE)/1000</f>
        <v>1085.729</v>
      </c>
      <c r="O13" s="283">
        <f>VLOOKUP($A13,Model!$1:$1048576,MATCH("fy"&amp;RIGHT(O$4,2)&amp;"a",Model!$1:$1,0),FALSE)/1000</f>
        <v>1105.643</v>
      </c>
      <c r="P13" s="283">
        <f>VLOOKUP($A13,Model!$1:$1048576,MATCH("fy"&amp;RIGHT(P$4,2)&amp;"a",Model!$1:$1,0),FALSE)/1000</f>
        <v>1229.115</v>
      </c>
      <c r="Q13" s="283">
        <f>VLOOKUP($A13,Model!$1:$1048576,MATCH("fy"&amp;RIGHT(Q$4,2)&amp;"A",Model!$1:$1,0),FALSE)/1000</f>
        <v>1297.1079999999999</v>
      </c>
      <c r="R13" s="283">
        <f>VLOOKUP($A13,Model!$1:$1048576,MATCH("fy"&amp;RIGHT(R$4,2)&amp;"E",Model!$1:$1,0),FALSE)/1000</f>
        <v>1343.1307166743666</v>
      </c>
      <c r="S13" s="283">
        <f>VLOOKUP($A13,Model!$1:$1048576,MATCH("fy"&amp;RIGHT(S$4,2)&amp;"E",Model!$1:$1,0),FALSE)/1000</f>
        <v>1388.3855506818354</v>
      </c>
      <c r="T13" s="283">
        <f>VLOOKUP($A13,Model!$1:$1048576,MATCH("fy"&amp;RIGHT(T$4,2)&amp;"E",Model!$1:$1,0),FALSE)/1000</f>
        <v>1438.9525483422258</v>
      </c>
      <c r="U13" s="283">
        <f>VLOOKUP($A13,Model!$1:$1048576,MATCH("fy"&amp;RIGHT(U$4,2)&amp;"E",Model!$1:$1,0),FALSE)/1000</f>
        <v>1486.7342153902355</v>
      </c>
      <c r="V13" s="284">
        <f t="shared" ref="V13:AA13" si="5">+U13*(1+V14/100)</f>
        <v>1534.0691902315659</v>
      </c>
      <c r="W13" s="284">
        <f t="shared" si="5"/>
        <v>1580.8131652269906</v>
      </c>
      <c r="X13" s="284">
        <f t="shared" si="5"/>
        <v>1626.8194657100851</v>
      </c>
      <c r="Y13" s="284">
        <f t="shared" si="5"/>
        <v>1671.9397737832483</v>
      </c>
      <c r="Z13" s="284">
        <f t="shared" si="5"/>
        <v>1716.0248873847765</v>
      </c>
      <c r="AA13" s="284">
        <f t="shared" si="5"/>
        <v>1758.9255095693959</v>
      </c>
      <c r="AB13" s="285"/>
      <c r="AC13" s="286">
        <f>RATE(12,,-D13,P13)*100</f>
        <v>5.5595748227071713</v>
      </c>
      <c r="AD13" s="286">
        <f>RATE(10,,-Q13,AA13)*100</f>
        <v>3.0925141332775836</v>
      </c>
      <c r="AE13" s="249" t="s">
        <v>2319</v>
      </c>
    </row>
    <row r="14" spans="1:33">
      <c r="A14" s="249" t="str">
        <f>A13</f>
        <v>AD_PEAssetsTotal</v>
      </c>
      <c r="C14" s="287" t="s">
        <v>2320</v>
      </c>
      <c r="D14" s="279"/>
      <c r="E14" s="288">
        <f t="shared" ref="E14:L14" si="6">+(E13-D13)/D13*100</f>
        <v>9.4791217313709062</v>
      </c>
      <c r="F14" s="288">
        <f t="shared" si="6"/>
        <v>9.8289461518218442</v>
      </c>
      <c r="G14" s="288">
        <f t="shared" si="6"/>
        <v>15.258285282064833</v>
      </c>
      <c r="H14" s="288">
        <f t="shared" si="6"/>
        <v>2.8058208787504273</v>
      </c>
      <c r="I14" s="288">
        <f t="shared" si="6"/>
        <v>-1.9175422929403014</v>
      </c>
      <c r="J14" s="288">
        <f t="shared" si="6"/>
        <v>5.1073968657990436</v>
      </c>
      <c r="K14" s="288">
        <f t="shared" si="6"/>
        <v>4.0270114381926208</v>
      </c>
      <c r="L14" s="288">
        <f t="shared" si="6"/>
        <v>6.2324629485994434</v>
      </c>
      <c r="M14" s="288">
        <f t="shared" ref="M14:U14" si="7">+(M13-L13)/L13*100</f>
        <v>-6.0855657660181643</v>
      </c>
      <c r="N14" s="288">
        <f t="shared" si="7"/>
        <v>10.918040122305921</v>
      </c>
      <c r="O14" s="288">
        <f t="shared" si="7"/>
        <v>1.8341593528403484</v>
      </c>
      <c r="P14" s="288">
        <f t="shared" si="7"/>
        <v>11.16743831417555</v>
      </c>
      <c r="Q14" s="288">
        <f t="shared" si="7"/>
        <v>5.5318664242157922</v>
      </c>
      <c r="R14" s="288">
        <f t="shared" si="7"/>
        <v>3.5481021375526653</v>
      </c>
      <c r="S14" s="288">
        <f t="shared" si="7"/>
        <v>3.369354407999932</v>
      </c>
      <c r="T14" s="288">
        <f t="shared" si="7"/>
        <v>3.642143757226294</v>
      </c>
      <c r="U14" s="288">
        <f t="shared" si="7"/>
        <v>3.3205867075365014</v>
      </c>
      <c r="V14" s="289">
        <f>U14+($AA14-$U14)/6</f>
        <v>3.1838222562804179</v>
      </c>
      <c r="W14" s="289">
        <f>V14+($AA14-$U14)/6</f>
        <v>3.0470578050243344</v>
      </c>
      <c r="X14" s="289">
        <f>W14+($AA14-$U14)/6</f>
        <v>2.9102933537682509</v>
      </c>
      <c r="Y14" s="289">
        <f>X14+($AA14-$U14)/6</f>
        <v>2.7735289025121674</v>
      </c>
      <c r="Z14" s="289">
        <f>Y14+($AA14-$U14)/6</f>
        <v>2.6367644512560839</v>
      </c>
      <c r="AA14" s="289">
        <f>AB19</f>
        <v>2.5</v>
      </c>
      <c r="AB14" s="290"/>
      <c r="AC14" s="286"/>
      <c r="AD14" s="286"/>
      <c r="AE14" s="249" t="s">
        <v>2321</v>
      </c>
    </row>
    <row r="15" spans="1:33">
      <c r="C15" s="287"/>
      <c r="D15" s="279"/>
      <c r="E15" s="288"/>
      <c r="F15" s="288"/>
      <c r="G15" s="288"/>
      <c r="H15" s="288"/>
      <c r="I15" s="288"/>
      <c r="J15" s="288"/>
      <c r="K15" s="288"/>
      <c r="L15" s="288"/>
      <c r="M15" s="288"/>
      <c r="N15" s="288"/>
      <c r="O15" s="288"/>
      <c r="P15" s="288"/>
      <c r="Q15" s="288"/>
      <c r="R15" s="288"/>
      <c r="S15" s="288"/>
      <c r="T15" s="288"/>
      <c r="U15" s="288"/>
      <c r="V15" s="289"/>
      <c r="W15" s="289"/>
      <c r="X15" s="289"/>
      <c r="Y15" s="289"/>
      <c r="Z15" s="289"/>
      <c r="AA15" s="289"/>
      <c r="AB15" s="290"/>
      <c r="AC15" s="286"/>
      <c r="AD15" s="286"/>
    </row>
    <row r="16" spans="1:33">
      <c r="A16" s="249" t="s">
        <v>891</v>
      </c>
      <c r="C16" s="282" t="s">
        <v>2322</v>
      </c>
      <c r="D16" s="291">
        <f>VLOOKUP($A16,Model!$1:$1048576,MATCH("fy"&amp;RIGHT(D$4,2)&amp;"a",Model!$1:$1,0),FALSE)*100</f>
        <v>0.9627433162752882</v>
      </c>
      <c r="E16" s="291">
        <f>VLOOKUP($A16,Model!$1:$1048576,MATCH("fy"&amp;RIGHT(E$4,2)&amp;"a",Model!$1:$1,0),FALSE)*100</f>
        <v>0.96051037665157135</v>
      </c>
      <c r="F16" s="291">
        <f>VLOOKUP($A16,Model!$1:$1048576,MATCH("fy"&amp;RIGHT(F$4,2)&amp;"a",Model!$1:$1,0),FALSE)*100</f>
        <v>0.94897602404268333</v>
      </c>
      <c r="G16" s="291">
        <f>VLOOKUP($A16,Model!$1:$1048576,MATCH("fy"&amp;RIGHT(G$4,2)&amp;"a",Model!$1:$1,0),FALSE)*100</f>
        <v>0.84779022274028371</v>
      </c>
      <c r="H16" s="291">
        <f>VLOOKUP($A16,Model!$1:$1048576,MATCH("fy"&amp;RIGHT(H$4,2)&amp;"a",Model!$1:$1,0),FALSE)*100</f>
        <v>0.6486332881379081</v>
      </c>
      <c r="I16" s="291">
        <f>VLOOKUP($A16,Model!$1:$1048576,MATCH("fy"&amp;RIGHT(I$4,2)&amp;"a",Model!$1:$1,0),FALSE)*100</f>
        <v>0.74084632090211555</v>
      </c>
      <c r="J16" s="291">
        <f>VLOOKUP($A16,Model!$1:$1048576,MATCH("fy"&amp;RIGHT(J$4,2)&amp;"a",Model!$1:$1,0),FALSE)*100</f>
        <v>0.71933032531206653</v>
      </c>
      <c r="K16" s="291">
        <f>VLOOKUP($A16,Model!$1:$1048576,MATCH("fy"&amp;RIGHT(K$4,2)&amp;"a",Model!$1:$1,0),FALSE)*100</f>
        <v>0.67746066382768422</v>
      </c>
      <c r="L16" s="291">
        <f>VLOOKUP($A16,Model!$1:$1048576,MATCH("fy"&amp;RIGHT(L$4,2)&amp;"a",Model!$1:$1,0),FALSE)*100</f>
        <v>0.35723689901641031</v>
      </c>
      <c r="M16" s="291">
        <f>VLOOKUP($A16,Model!$1:$1048576,MATCH("fy"&amp;RIGHT(M$4,2)&amp;"a",Model!$1:$1,0),FALSE)*100</f>
        <v>0.59817651708393282</v>
      </c>
      <c r="N16" s="291">
        <f>VLOOKUP($A16,Model!$1:$1048576,MATCH("fy"&amp;RIGHT(N$4,2)&amp;"a",Model!$1:$1,0),FALSE)*100</f>
        <v>0.62887982169350631</v>
      </c>
      <c r="O16" s="291">
        <f>VLOOKUP($A16,Model!$1:$1048576,MATCH("fy"&amp;RIGHT(O$4,2)&amp;"a",Model!$1:$1,0),FALSE)*100</f>
        <v>0.6655426151973195</v>
      </c>
      <c r="P16" s="291">
        <f>VLOOKUP($A16,Model!$1:$1048576,MATCH("fy"&amp;RIGHT(P$4,2)&amp;"a",Model!$1:$1,0),FALSE)*100</f>
        <v>0.57362974993154825</v>
      </c>
      <c r="Q16" s="291">
        <f>VLOOKUP($A16,Model!$1:$1048576,MATCH("fy"&amp;RIGHT(Q$4,2)&amp;"A",Model!$1:$1,0),FALSE)*100</f>
        <v>0.4339333315837029</v>
      </c>
      <c r="R16" s="291">
        <f>VLOOKUP($A16,Model!$1:$1048576,MATCH("fy"&amp;RIGHT(R$4,2)&amp;"E",Model!$1:$1,0),FALSE)*100</f>
        <v>0.55155317814637428</v>
      </c>
      <c r="S16" s="291">
        <f>VLOOKUP($A16,Model!$1:$1048576,MATCH("fy"&amp;RIGHT(S$4,2)&amp;"E",Model!$1:$1,0),FALSE)*100</f>
        <v>0.53387058296003742</v>
      </c>
      <c r="T16" s="291">
        <f>VLOOKUP($A16,Model!$1:$1048576,MATCH("fy"&amp;RIGHT(T$4,2)&amp;"E",Model!$1:$1,0),FALSE)*100</f>
        <v>0.53204466078244961</v>
      </c>
      <c r="U16" s="291">
        <f>VLOOKUP($A16,Model!$1:$1048576,MATCH("fy"&amp;RIGHT(U$4,2)&amp;"E",Model!$1:$1,0),FALSE)*100</f>
        <v>0.53440747999090266</v>
      </c>
      <c r="V16" s="292">
        <f t="shared" ref="V16:AA16" si="8">U16</f>
        <v>0.53440747999090266</v>
      </c>
      <c r="W16" s="292">
        <f t="shared" si="8"/>
        <v>0.53440747999090266</v>
      </c>
      <c r="X16" s="292">
        <f t="shared" si="8"/>
        <v>0.53440747999090266</v>
      </c>
      <c r="Y16" s="292">
        <f t="shared" si="8"/>
        <v>0.53440747999090266</v>
      </c>
      <c r="Z16" s="292">
        <f t="shared" si="8"/>
        <v>0.53440747999090266</v>
      </c>
      <c r="AA16" s="292">
        <f t="shared" si="8"/>
        <v>0.53440747999090266</v>
      </c>
      <c r="AB16" s="285"/>
      <c r="AC16" s="286">
        <f t="array" ref="AC16">AVERAGE(IF(ISNUMBER(D16:P16),IF(ISNUMBER(D16:P16),D16:P16)))</f>
        <v>0.71767354929325522</v>
      </c>
      <c r="AD16" s="286">
        <f>AVERAGE(Q16:AA16)</f>
        <v>0.52656855576444395</v>
      </c>
      <c r="AE16" s="249" t="s">
        <v>2323</v>
      </c>
      <c r="AG16" s="293"/>
    </row>
    <row r="17" spans="1:31">
      <c r="C17" s="287"/>
      <c r="D17" s="279"/>
      <c r="E17" s="288"/>
      <c r="F17" s="288"/>
      <c r="G17" s="288"/>
      <c r="H17" s="288"/>
      <c r="I17" s="288"/>
      <c r="J17" s="288"/>
      <c r="K17" s="288"/>
      <c r="L17" s="288"/>
      <c r="M17" s="288"/>
      <c r="N17" s="288"/>
      <c r="O17" s="288"/>
      <c r="P17" s="288"/>
      <c r="Q17" s="288"/>
      <c r="R17" s="288"/>
      <c r="S17" s="288"/>
      <c r="T17" s="282"/>
      <c r="U17" s="282"/>
      <c r="V17" s="282"/>
      <c r="W17" s="282"/>
      <c r="X17" s="282"/>
      <c r="Y17" s="282"/>
      <c r="Z17" s="282"/>
      <c r="AA17" s="282"/>
      <c r="AB17" s="290"/>
      <c r="AC17" s="286"/>
      <c r="AD17" s="286"/>
    </row>
    <row r="18" spans="1:31" ht="25.5">
      <c r="A18" s="249" t="s">
        <v>983</v>
      </c>
      <c r="C18" s="265" t="s">
        <v>2324</v>
      </c>
      <c r="D18" s="294">
        <f>VLOOKUP($A18,Model!$1:$1048576,MATCH("fy"&amp;RIGHT(D$4,2)&amp;"a",Model!$1:$1,0),FALSE)/1000</f>
        <v>6.0389999999999997</v>
      </c>
      <c r="E18" s="294">
        <f>VLOOKUP($A18,Model!$1:$1048576,MATCH("fy"&amp;RIGHT(E$4,2)&amp;"a",Model!$1:$1,0),FALSE)/1000</f>
        <v>6.4859999999999998</v>
      </c>
      <c r="F18" s="294">
        <f>VLOOKUP($A18,Model!$1:$1048576,MATCH("fy"&amp;RIGHT(F$4,2)&amp;"a",Model!$1:$1,0),FALSE)/1000</f>
        <v>7.1109999999999998</v>
      </c>
      <c r="G18" s="294">
        <f>VLOOKUP($A18,Model!$1:$1048576,MATCH("fy"&amp;RIGHT(G$4,2)&amp;"a",Model!$1:$1,0),FALSE)/1000</f>
        <v>7.2149999999999999</v>
      </c>
      <c r="H18" s="294">
        <f>VLOOKUP($A18,Model!$1:$1048576,MATCH("fy"&amp;RIGHT(H$4,2)&amp;"a",Model!$1:$1,0),FALSE)/1000</f>
        <v>5.8890000000000002</v>
      </c>
      <c r="I18" s="294">
        <f>VLOOKUP($A18,Model!$1:$1048576,MATCH("fy"&amp;RIGHT(I$4,2)&amp;"a",Model!$1:$1,0),FALSE)/1000</f>
        <v>6.8090000000000002</v>
      </c>
      <c r="J18" s="294">
        <f>VLOOKUP($A18,Model!$1:$1048576,MATCH("fy"&amp;RIGHT(J$4,2)&amp;"a",Model!$1:$1,0),FALSE)/1000</f>
        <v>6.4870000000000001</v>
      </c>
      <c r="K18" s="294">
        <f>VLOOKUP($A18,Model!$1:$1048576,MATCH("fy"&amp;RIGHT(K$4,2)&amp;"a",Model!$1:$1,0),FALSE)/1000</f>
        <v>6.47</v>
      </c>
      <c r="L18" s="294">
        <f>VLOOKUP($A18,Model!$1:$1048576,MATCH("fy"&amp;RIGHT(L$4,2)&amp;"a",Model!$1:$1,0),FALSE)/1000</f>
        <v>3.758</v>
      </c>
      <c r="M18" s="294">
        <f>VLOOKUP($A18,Model!$1:$1048576,MATCH("fy"&amp;RIGHT(M$4,2)&amp;"a",Model!$1:$1,0),FALSE)/1000</f>
        <v>6.1980000000000004</v>
      </c>
      <c r="N18" s="294">
        <f>VLOOKUP($A18,Model!$1:$1048576,MATCH("fy"&amp;RIGHT(N$4,2)&amp;"a",Model!$1:$1,0),FALSE)/1000</f>
        <v>6.5149999999999997</v>
      </c>
      <c r="O18" s="294">
        <f>VLOOKUP($A18,Model!$1:$1048576,MATCH("fy"&amp;RIGHT(O$4,2)&amp;"a",Model!$1:$1,0),FALSE)/1000</f>
        <v>7.4130000000000003</v>
      </c>
      <c r="P18" s="294">
        <f>VLOOKUP($A18,Model!$1:$1048576,MATCH("fy"&amp;RIGHT(P$4,2)&amp;"a",Model!$1:$1,0),FALSE)/1000</f>
        <v>6.7249999999999996</v>
      </c>
      <c r="Q18" s="294">
        <f>VLOOKUP($A18,Model!$1:$1048576,MATCH("fy"&amp;RIGHT(Q$4,2)&amp;"A",Model!$1:$1,0),FALSE)/1000</f>
        <v>5.7869999999999999</v>
      </c>
      <c r="R18" s="294">
        <f>VLOOKUP($A18,Model!$1:$1048576,MATCH("fy"&amp;RIGHT(R$4,2)&amp;"E",Model!$1:$1,0),FALSE)/1000</f>
        <v>7.6098265423473137</v>
      </c>
      <c r="S18" s="294">
        <f>VLOOKUP($A18,Model!$1:$1048576,MATCH("fy"&amp;RIGHT(S$4,2)&amp;"E",Model!$1:$1,0),FALSE)/1000</f>
        <v>7.5830118945870515</v>
      </c>
      <c r="T18" s="294">
        <f>VLOOKUP($A18,Model!$1:$1048576,MATCH("fy"&amp;RIGHT(T$4,2)&amp;"E",Model!$1:$1,0),FALSE)/1000</f>
        <v>7.8138936156985643</v>
      </c>
      <c r="U18" s="294">
        <f>VLOOKUP($A18,Model!$1:$1048576,MATCH("fy"&amp;RIGHT(U$4,2)&amp;"E",Model!$1:$1,0),FALSE)/1000</f>
        <v>8.1094338261891838</v>
      </c>
      <c r="V18" s="295">
        <f t="shared" ref="V18:AA18" si="9">+V16/100*((V13+U13)/2)</f>
        <v>8.0716996777314165</v>
      </c>
      <c r="W18" s="295">
        <f t="shared" si="9"/>
        <v>8.3230821502436712</v>
      </c>
      <c r="X18" s="295">
        <f t="shared" si="9"/>
        <v>8.5709143551783598</v>
      </c>
      <c r="Y18" s="295">
        <f t="shared" si="9"/>
        <v>8.8144080613716955</v>
      </c>
      <c r="Z18" s="295">
        <f t="shared" si="9"/>
        <v>9.0527682843651824</v>
      </c>
      <c r="AA18" s="295">
        <f t="shared" si="9"/>
        <v>9.2851974236483308</v>
      </c>
      <c r="AB18" s="278">
        <f>AA18*(1+AB19/100)</f>
        <v>9.5173273592395375</v>
      </c>
      <c r="AC18" s="286">
        <f>RATE(12,,-D18,P18)*100</f>
        <v>0.90064402745461547</v>
      </c>
      <c r="AD18" s="286">
        <f>RATE(10,,-Q18,AA18)*100</f>
        <v>4.8416303790940081</v>
      </c>
      <c r="AE18" s="296" t="s">
        <v>2325</v>
      </c>
    </row>
    <row r="19" spans="1:31">
      <c r="C19" s="297" t="s">
        <v>2320</v>
      </c>
      <c r="D19" s="279"/>
      <c r="E19" s="288">
        <f t="shared" ref="E19:L19" si="10">+(E18-D18)/D18*100</f>
        <v>7.4018877297565826</v>
      </c>
      <c r="F19" s="288">
        <f t="shared" si="10"/>
        <v>9.6361393771199513</v>
      </c>
      <c r="G19" s="288">
        <f t="shared" si="10"/>
        <v>1.4625228519195625</v>
      </c>
      <c r="H19" s="288">
        <f t="shared" si="10"/>
        <v>-18.378378378378375</v>
      </c>
      <c r="I19" s="288">
        <f t="shared" si="10"/>
        <v>15.622346748174563</v>
      </c>
      <c r="J19" s="288">
        <f t="shared" si="10"/>
        <v>-4.7290351006021449</v>
      </c>
      <c r="K19" s="288">
        <f t="shared" si="10"/>
        <v>-0.2620625867118907</v>
      </c>
      <c r="L19" s="288">
        <f t="shared" si="10"/>
        <v>-41.916537867078823</v>
      </c>
      <c r="M19" s="288">
        <f>+(M18-L18)/L18*100</f>
        <v>64.928153273017571</v>
      </c>
      <c r="N19" s="288">
        <f>+(N18-M18)/M18*100</f>
        <v>5.1145530816392268</v>
      </c>
      <c r="O19" s="288">
        <f>+(O18-N18)/N18*100</f>
        <v>13.783576362240993</v>
      </c>
      <c r="P19" s="288">
        <f>+(P18-O18)/O18*100</f>
        <v>-9.2809928503979577</v>
      </c>
      <c r="Q19" s="288">
        <f t="shared" ref="Q19:AA19" si="11">+(Q18-P18)/P18*100</f>
        <v>-13.947955390334569</v>
      </c>
      <c r="R19" s="288">
        <f t="shared" si="11"/>
        <v>31.49864424308474</v>
      </c>
      <c r="S19" s="288">
        <f t="shared" si="11"/>
        <v>-0.35236871183651197</v>
      </c>
      <c r="T19" s="288">
        <f t="shared" si="11"/>
        <v>3.0447231828334878</v>
      </c>
      <c r="U19" s="288">
        <f t="shared" si="11"/>
        <v>3.7822400076814735</v>
      </c>
      <c r="V19" s="288">
        <f t="shared" si="11"/>
        <v>-0.46531175007441328</v>
      </c>
      <c r="W19" s="288">
        <f t="shared" si="11"/>
        <v>3.1143685041426949</v>
      </c>
      <c r="X19" s="288">
        <f t="shared" si="11"/>
        <v>2.9776493907059769</v>
      </c>
      <c r="Y19" s="288">
        <f t="shared" si="11"/>
        <v>2.8409303383859177</v>
      </c>
      <c r="Z19" s="288">
        <f t="shared" si="11"/>
        <v>2.7042113473062122</v>
      </c>
      <c r="AA19" s="288">
        <f t="shared" si="11"/>
        <v>2.5674924175908833</v>
      </c>
      <c r="AB19" s="292">
        <f>Summary!$G$4*100</f>
        <v>2.5</v>
      </c>
      <c r="AC19" s="298"/>
      <c r="AD19" s="286"/>
    </row>
    <row r="20" spans="1:31">
      <c r="A20" s="249" t="s">
        <v>769</v>
      </c>
      <c r="B20" s="249" t="s">
        <v>1010</v>
      </c>
      <c r="C20" s="279" t="s">
        <v>2326</v>
      </c>
      <c r="D20" s="294">
        <f>(VLOOKUP($A20,Model!$1:$1048576,MATCH("fy"&amp;RIGHT(D$4,2)&amp;"a",Model!$1:$1,0),FALSE) *
VLOOKUP($B20,Model!$1:$1048576,MATCH("fy"&amp;RIGHT(D$4,2)&amp;"a",Model!$1:$1,0),FALSE)) / 1000</f>
        <v>3.9402300000000006</v>
      </c>
      <c r="E20" s="294">
        <f>(VLOOKUP($A20,Model!$1:$1048576,MATCH("fy"&amp;RIGHT(E$4,2)&amp;"a",Model!$1:$1,0),FALSE) *
VLOOKUP($B20,Model!$1:$1048576,MATCH("fy"&amp;RIGHT(E$4,2)&amp;"a",Model!$1:$1,0),FALSE)) / 1000</f>
        <v>4.4996679999999998</v>
      </c>
      <c r="F20" s="294">
        <f>(VLOOKUP($A20,Model!$1:$1048576,MATCH("1h"&amp;RIGHT(F$4,2)&amp;"a",Model!$1:$1,0),FALSE) *
VLOOKUP($B20,Model!$1:$1048576,MATCH("1h"&amp;RIGHT(F$4,2)&amp;"a",Model!$1:$1,0),FALSE) +
VLOOKUP($A20,Model!$1:$1048576,MATCH("2h"&amp;RIGHT(F$4,2)&amp;"a",Model!$1:$1,0),FALSE) *
VLOOKUP($B20,Model!$1:$1048576,MATCH("2h"&amp;RIGHT(F$4,2)&amp;"a",Model!$1:$1,0),FALSE)) / 1000</f>
        <v>4.8963729999999996</v>
      </c>
      <c r="G20" s="294">
        <f>(VLOOKUP($A20,Model!$1:$1048576,MATCH("1h"&amp;RIGHT(G$4,2)&amp;"a",Model!$1:$1,0),FALSE) *
VLOOKUP($B20,Model!$1:$1048576,MATCH("1h"&amp;RIGHT(G$4,2)&amp;"a",Model!$1:$1,0),FALSE) +
VLOOKUP($A20,Model!$1:$1048576,MATCH("2h"&amp;RIGHT(G$4,2)&amp;"a",Model!$1:$1,0),FALSE) *
VLOOKUP($B20,Model!$1:$1048576,MATCH("2h"&amp;RIGHT(G$4,2)&amp;"a",Model!$1:$1,0),FALSE)) / 1000</f>
        <v>5.1363250000000003</v>
      </c>
      <c r="H20" s="294">
        <f>(VLOOKUP($A20,Model!$1:$1048576,MATCH("1h"&amp;RIGHT(H$4,2)&amp;"a",Model!$1:$1,0),FALSE) *
VLOOKUP($B20,Model!$1:$1048576,MATCH("1h"&amp;RIGHT(H$4,2)&amp;"a",Model!$1:$1,0),FALSE) +
VLOOKUP($A20,Model!$1:$1048576,MATCH("2h"&amp;RIGHT(H$4,2)&amp;"a",Model!$1:$1,0),FALSE) *
VLOOKUP($B20,Model!$1:$1048576,MATCH("2h"&amp;RIGHT(H$4,2)&amp;"a",Model!$1:$1,0),FALSE)) / 1000</f>
        <v>4.6760799999999998</v>
      </c>
      <c r="I20" s="294">
        <f>(VLOOKUP($A20,Model!$1:$1048576,MATCH("1h"&amp;RIGHT(I$4,2)&amp;"a",Model!$1:$1,0),FALSE) *
VLOOKUP($B20,Model!$1:$1048576,MATCH("1h"&amp;RIGHT(I$4,2)&amp;"a",Model!$1:$1,0),FALSE) +
VLOOKUP($A20,Model!$1:$1048576,MATCH("2h"&amp;RIGHT(I$4,2)&amp;"a",Model!$1:$1,0),FALSE) *
VLOOKUP($B20,Model!$1:$1048576,MATCH("2h"&amp;RIGHT(I$4,2)&amp;"a",Model!$1:$1,0),FALSE)) / 1000</f>
        <v>4.6987618688000001</v>
      </c>
      <c r="J20" s="294">
        <f>(VLOOKUP($A20,Model!$1:$1048576,MATCH("1h"&amp;RIGHT(J$4,2)&amp;"a",Model!$1:$1,0),FALSE) *
VLOOKUP($B20,Model!$1:$1048576,MATCH("1h"&amp;RIGHT(J$4,2)&amp;"a",Model!$1:$1,0),FALSE) +
VLOOKUP($A20,Model!$1:$1048576,MATCH("2h"&amp;RIGHT(J$4,2)&amp;"a",Model!$1:$1,0),FALSE) *
VLOOKUP($B20,Model!$1:$1048576,MATCH("2h"&amp;RIGHT(J$4,2)&amp;"a",Model!$1:$1,0),FALSE)) / 1000</f>
        <v>4.6179016767999999</v>
      </c>
      <c r="K20" s="294">
        <f>(VLOOKUP($A20,Model!$1:$1048576,MATCH("1h"&amp;RIGHT(K$4,2)&amp;"a",Model!$1:$1,0),FALSE) *
VLOOKUP($B20,Model!$1:$1048576,MATCH("1h"&amp;RIGHT(K$4,2)&amp;"a",Model!$1:$1,0),FALSE) +
VLOOKUP($A20,Model!$1:$1048576,MATCH("2h"&amp;RIGHT(K$4,2)&amp;"a",Model!$1:$1,0),FALSE) *
VLOOKUP($B20,Model!$1:$1048576,MATCH("2h"&amp;RIGHT(K$4,2)&amp;"a",Model!$1:$1,0),FALSE)) / 1000</f>
        <v>4.5342084016000008</v>
      </c>
      <c r="L20" s="294">
        <f>(VLOOKUP($A20,Model!$1:$1048576,MATCH("1h"&amp;RIGHT(L$4,2)&amp;"a",Model!$1:$1,0),FALSE) *
VLOOKUP($B20,Model!$1:$1048576,MATCH("1h"&amp;RIGHT(L$4,2)&amp;"a",Model!$1:$1,0),FALSE) +
VLOOKUP($A20,Model!$1:$1048576,MATCH("2h"&amp;RIGHT(L$4,2)&amp;"a",Model!$1:$1,0),FALSE) *
VLOOKUP($B20,Model!$1:$1048576,MATCH("2h"&amp;RIGHT(L$4,2)&amp;"a",Model!$1:$1,0),FALSE)) / 1000</f>
        <v>1.7031739342500001</v>
      </c>
      <c r="M20" s="294">
        <f>(VLOOKUP($A20,Model!$1:$1048576,MATCH("1h"&amp;RIGHT(M$4,2)&amp;"a",Model!$1:$1,0),FALSE) *
VLOOKUP($B20,Model!$1:$1048576,MATCH("1h"&amp;RIGHT(M$4,2)&amp;"a",Model!$1:$1,0),FALSE) +
VLOOKUP($A20,Model!$1:$1048576,MATCH("2h"&amp;RIGHT(M$4,2)&amp;"a",Model!$1:$1,0),FALSE) *
VLOOKUP($B20,Model!$1:$1048576,MATCH("2h"&amp;RIGHT(M$4,2)&amp;"a",Model!$1:$1,0),FALSE)) / 1000</f>
        <v>4.0248450894399994</v>
      </c>
      <c r="N20" s="294">
        <f>(VLOOKUP($A20,Model!$1:$1048576,MATCH("1h"&amp;RIGHT(N$4,2)&amp;"a",Model!$1:$1,0),FALSE) *
VLOOKUP($B20,Model!$1:$1048576,MATCH("1h"&amp;RIGHT(N$4,2)&amp;"a",Model!$1:$1,0),FALSE) +
VLOOKUP($A20,Model!$1:$1048576,MATCH("2h"&amp;RIGHT(N$4,2)&amp;"a",Model!$1:$1,0),FALSE) *
VLOOKUP($B20,Model!$1:$1048576,MATCH("2h"&amp;RIGHT(N$4,2)&amp;"a",Model!$1:$1,0),FALSE)) / 1000</f>
        <v>4.2242985810200011</v>
      </c>
      <c r="O20" s="294">
        <f>(VLOOKUP($A20,Model!$1:$1048576,MATCH("1h"&amp;RIGHT(O$4,2)&amp;"a",Model!$1:$1,0),FALSE) *
VLOOKUP($B20,Model!$1:$1048576,MATCH("1h"&amp;RIGHT(O$4,2)&amp;"a",Model!$1:$1,0),FALSE) +
VLOOKUP($A20,Model!$1:$1048576,MATCH("2h"&amp;RIGHT(O$4,2)&amp;"a",Model!$1:$1,0),FALSE) *
VLOOKUP($B20,Model!$1:$1048576,MATCH("2h"&amp;RIGHT(O$4,2)&amp;"a",Model!$1:$1,0),FALSE)) / 1000</f>
        <v>5.2576967662599996</v>
      </c>
      <c r="P20" s="294">
        <f>(VLOOKUP($A20,Model!$1:$1048576,MATCH("1h"&amp;RIGHT(P$4,2)&amp;"a",Model!$1:$1,0),FALSE) *
VLOOKUP($B20,Model!$1:$1048576,MATCH("1h"&amp;RIGHT(P$4,2)&amp;"a",Model!$1:$1,0),FALSE) +
VLOOKUP($A20,Model!$1:$1048576,MATCH("2h"&amp;RIGHT(P$4,2)&amp;"a",Model!$1:$1,0),FALSE) *
VLOOKUP($B20,Model!$1:$1048576,MATCH("2h"&amp;RIGHT(P$4,2)&amp;"a",Model!$1:$1,0),FALSE)) / 1000</f>
        <v>4.9691493585400002</v>
      </c>
      <c r="Q20" s="294">
        <f>(VLOOKUP($A20,Model!$1:$1048576,MATCH("1h"&amp;RIGHT(Q$4,2)&amp;"a",Model!$1:$1,0),FALSE) *
VLOOKUP($B20,Model!$1:$1048576,MATCH("1h"&amp;RIGHT(Q$4,2)&amp;"a",Model!$1:$1,0),FALSE) +
VLOOKUP($A20,Model!$1:$1048576,MATCH("2h"&amp;RIGHT(Q$4,2)&amp;"A",Model!$1:$1,0),FALSE) *
VLOOKUP($B20,Model!$1:$1048576,MATCH("2h"&amp;RIGHT(Q$4,2)&amp;"A",Model!$1:$1,0),FALSE)) / 1000</f>
        <v>4.9425552156599997</v>
      </c>
      <c r="R20" s="294">
        <f>(VLOOKUP($A20,Model!$1:$1048576,MATCH("1h"&amp;RIGHT(R$4,2)&amp;"E",Model!$1:$1,0),FALSE) *
VLOOKUP($B20,Model!$1:$1048576,MATCH("1h"&amp;RIGHT(R$4,2)&amp;"E",Model!$1:$1,0),FALSE) +
VLOOKUP($A20,Model!$1:$1048576,MATCH("2h"&amp;RIGHT(R$4,2)&amp;"E",Model!$1:$1,0),FALSE) *
VLOOKUP($B20,Model!$1:$1048576,MATCH("2h"&amp;RIGHT(R$4,2)&amp;"E",Model!$1:$1,0),FALSE)) / 1000</f>
        <v>5.3091663282716288</v>
      </c>
      <c r="S20" s="294">
        <f>(VLOOKUP($A20,Model!$1:$1048576,MATCH("1h"&amp;RIGHT(S$4,2)&amp;"E",Model!$1:$1,0),FALSE) *
VLOOKUP($B20,Model!$1:$1048576,MATCH("1h"&amp;RIGHT(S$4,2)&amp;"E",Model!$1:$1,0),FALSE) +
VLOOKUP($A20,Model!$1:$1048576,MATCH("2h"&amp;RIGHT(S$4,2)&amp;"E",Model!$1:$1,0),FALSE) *
VLOOKUP($B20,Model!$1:$1048576,MATCH("2h"&amp;RIGHT(S$4,2)&amp;"E",Model!$1:$1,0),FALSE)) / 1000</f>
        <v>5.516123659710626</v>
      </c>
      <c r="T20" s="294">
        <f>(VLOOKUP($A20,Model!$1:$1048576,MATCH("1h"&amp;RIGHT(T$4,2)&amp;"E",Model!$1:$1,0),FALSE) *
VLOOKUP($B20,Model!$1:$1048576,MATCH("1h"&amp;RIGHT(T$4,2)&amp;"E",Model!$1:$1,0),FALSE) +
VLOOKUP($A20,Model!$1:$1048576,MATCH("2h"&amp;RIGHT(T$4,2)&amp;"E",Model!$1:$1,0),FALSE) *
VLOOKUP($B20,Model!$1:$1048576,MATCH("2h"&amp;RIGHT(T$4,2)&amp;"E",Model!$1:$1,0),FALSE)) / 1000</f>
        <v>5.6331306631808715</v>
      </c>
      <c r="U20" s="294">
        <f>(VLOOKUP($A20,Model!$1:$1048576,MATCH("1h"&amp;RIGHT(U$4,2)&amp;"E",Model!$1:$1,0),FALSE) *
VLOOKUP($B20,Model!$1:$1048576,MATCH("1h"&amp;RIGHT(U$4,2)&amp;"E",Model!$1:$1,0),FALSE) +
VLOOKUP($A20,Model!$1:$1048576,MATCH("2h"&amp;RIGHT(U$4,2)&amp;"E",Model!$1:$1,0),FALSE) *
VLOOKUP($B20,Model!$1:$1048576,MATCH("2h"&amp;RIGHT(U$4,2)&amp;"E",Model!$1:$1,0),FALSE)) / 1000</f>
        <v>5.7807450055748548</v>
      </c>
      <c r="V20" s="288">
        <f t="shared" ref="V20:AA20" si="12">+V18*V21/100</f>
        <v>5.7538465198220763</v>
      </c>
      <c r="W20" s="288">
        <f t="shared" si="12"/>
        <v>5.9330425036121257</v>
      </c>
      <c r="X20" s="288">
        <f t="shared" si="12"/>
        <v>6.1097077075712578</v>
      </c>
      <c r="Y20" s="288">
        <f t="shared" si="12"/>
        <v>6.2832802474223524</v>
      </c>
      <c r="Z20" s="288">
        <f t="shared" si="12"/>
        <v>6.453193424856198</v>
      </c>
      <c r="AA20" s="288">
        <f t="shared" si="12"/>
        <v>6.6188786767318541</v>
      </c>
      <c r="AB20" s="285">
        <f>AA21/100*AB18</f>
        <v>6.7843506436501491</v>
      </c>
      <c r="AC20" s="298"/>
      <c r="AD20" s="286"/>
    </row>
    <row r="21" spans="1:31" s="251" customFormat="1">
      <c r="C21" s="297" t="s">
        <v>2327</v>
      </c>
      <c r="D21" s="288">
        <f>+D20/D18*100</f>
        <v>65.246398410332844</v>
      </c>
      <c r="E21" s="288">
        <f t="shared" ref="E21:L21" si="13">+E20/E18*100</f>
        <v>69.375084798026521</v>
      </c>
      <c r="F21" s="288">
        <f t="shared" si="13"/>
        <v>68.856321192518635</v>
      </c>
      <c r="G21" s="288">
        <f t="shared" si="13"/>
        <v>71.189535689535703</v>
      </c>
      <c r="H21" s="288">
        <f t="shared" si="13"/>
        <v>79.403633893700103</v>
      </c>
      <c r="I21" s="288">
        <f t="shared" si="13"/>
        <v>69.008104990453816</v>
      </c>
      <c r="J21" s="288">
        <f t="shared" si="13"/>
        <v>71.187015211962375</v>
      </c>
      <c r="K21" s="288">
        <f t="shared" si="13"/>
        <v>70.080500797527066</v>
      </c>
      <c r="L21" s="288">
        <f t="shared" si="13"/>
        <v>45.321286169505058</v>
      </c>
      <c r="M21" s="288">
        <f>+M20/M18*100</f>
        <v>64.937803959987079</v>
      </c>
      <c r="N21" s="288">
        <f t="shared" ref="N21:U21" si="14">+N20/N18*100</f>
        <v>64.839579140752136</v>
      </c>
      <c r="O21" s="288">
        <f t="shared" si="14"/>
        <v>70.925357699446906</v>
      </c>
      <c r="P21" s="288">
        <f t="shared" si="14"/>
        <v>73.890696781263941</v>
      </c>
      <c r="Q21" s="288">
        <f t="shared" si="14"/>
        <v>85.407900737169513</v>
      </c>
      <c r="R21" s="288">
        <f t="shared" si="14"/>
        <v>69.767245005218896</v>
      </c>
      <c r="S21" s="288">
        <f t="shared" si="14"/>
        <v>72.743175619283633</v>
      </c>
      <c r="T21" s="288">
        <f t="shared" si="14"/>
        <v>72.09121265566742</v>
      </c>
      <c r="U21" s="288">
        <f t="shared" si="14"/>
        <v>71.284199729284495</v>
      </c>
      <c r="V21" s="289">
        <f t="shared" ref="V21:AA21" si="15">+U21</f>
        <v>71.284199729284495</v>
      </c>
      <c r="W21" s="289">
        <f t="shared" si="15"/>
        <v>71.284199729284495</v>
      </c>
      <c r="X21" s="289">
        <f t="shared" si="15"/>
        <v>71.284199729284495</v>
      </c>
      <c r="Y21" s="289">
        <f t="shared" si="15"/>
        <v>71.284199729284495</v>
      </c>
      <c r="Z21" s="289">
        <f t="shared" si="15"/>
        <v>71.284199729284495</v>
      </c>
      <c r="AA21" s="289">
        <f t="shared" si="15"/>
        <v>71.284199729284495</v>
      </c>
      <c r="AB21" s="285"/>
      <c r="AC21" s="286">
        <f t="array" ref="AC21">AVERAGE(IF(ISNUMBER(D21:P21),IF(ISNUMBER(D21:P21),D21:P21)))</f>
        <v>68.020101441154765</v>
      </c>
      <c r="AD21" s="286">
        <f>AVERAGE(Q21:AA21)</f>
        <v>72.636266556575549</v>
      </c>
    </row>
    <row r="22" spans="1:31">
      <c r="C22" s="279" t="s">
        <v>2328</v>
      </c>
      <c r="D22" s="299">
        <f t="shared" ref="D22:O22" si="16">D20/(1-30%)*30%*100%</f>
        <v>1.6886700000000003</v>
      </c>
      <c r="E22" s="299">
        <f t="shared" si="16"/>
        <v>1.928429142857143</v>
      </c>
      <c r="F22" s="299">
        <f t="shared" si="16"/>
        <v>2.0984455714285715</v>
      </c>
      <c r="G22" s="299">
        <f t="shared" si="16"/>
        <v>2.201282142857143</v>
      </c>
      <c r="H22" s="299">
        <f t="shared" si="16"/>
        <v>2.0040342857142854</v>
      </c>
      <c r="I22" s="299">
        <f t="shared" si="16"/>
        <v>2.0137550866285716</v>
      </c>
      <c r="J22" s="299">
        <f t="shared" si="16"/>
        <v>1.9791007186285714</v>
      </c>
      <c r="K22" s="299">
        <f t="shared" si="16"/>
        <v>1.943232172114286</v>
      </c>
      <c r="L22" s="299">
        <f t="shared" si="16"/>
        <v>0.72993168610714299</v>
      </c>
      <c r="M22" s="299">
        <f t="shared" si="16"/>
        <v>1.7249336097599997</v>
      </c>
      <c r="N22" s="299">
        <f t="shared" si="16"/>
        <v>1.8104136775800004</v>
      </c>
      <c r="O22" s="299">
        <f t="shared" si="16"/>
        <v>2.2532986141114284</v>
      </c>
      <c r="P22" s="299">
        <f>P20/(1-30%)*30%*100%</f>
        <v>2.1296354393742858</v>
      </c>
      <c r="Q22" s="299">
        <f t="shared" ref="Q22:AA22" si="17">Q20/(1-30%)*30%*100%</f>
        <v>2.1182379495685715</v>
      </c>
      <c r="R22" s="299">
        <f t="shared" si="17"/>
        <v>2.275356997830698</v>
      </c>
      <c r="S22" s="299">
        <f t="shared" si="17"/>
        <v>2.3640529970188395</v>
      </c>
      <c r="T22" s="299">
        <f t="shared" si="17"/>
        <v>2.4141988556489453</v>
      </c>
      <c r="U22" s="299">
        <f t="shared" si="17"/>
        <v>2.4774621452463661</v>
      </c>
      <c r="V22" s="299">
        <f t="shared" si="17"/>
        <v>2.4659342227808896</v>
      </c>
      <c r="W22" s="299">
        <f t="shared" si="17"/>
        <v>2.5427325015480542</v>
      </c>
      <c r="X22" s="299">
        <f t="shared" si="17"/>
        <v>2.6184461603876823</v>
      </c>
      <c r="Y22" s="299">
        <f t="shared" si="17"/>
        <v>2.6928343917524371</v>
      </c>
      <c r="Z22" s="299">
        <f t="shared" si="17"/>
        <v>2.7656543249383709</v>
      </c>
      <c r="AA22" s="299">
        <f t="shared" si="17"/>
        <v>2.8366622900279372</v>
      </c>
      <c r="AB22" s="285">
        <f>AB20/(1-30%)*30%*100%</f>
        <v>2.9075788472786357</v>
      </c>
      <c r="AC22" s="298"/>
      <c r="AD22" s="286"/>
    </row>
    <row r="23" spans="1:31" ht="25.5">
      <c r="A23" s="249" t="s">
        <v>1007</v>
      </c>
      <c r="C23" s="282" t="s">
        <v>2329</v>
      </c>
      <c r="D23" s="300">
        <f>VLOOKUP($A23,Model!$1:$1048576,MATCH("fy"&amp;RIGHT(D$4,2)&amp;"a",Model!$1:$1,0),FALSE)/1000</f>
        <v>40.299999999999997</v>
      </c>
      <c r="E23" s="300">
        <f>VLOOKUP($A23,Model!$1:$1048576,MATCH("fy"&amp;RIGHT(E$4,2)&amp;"a",Model!$1:$1,0),FALSE)/1000</f>
        <v>44.67</v>
      </c>
      <c r="F23" s="300">
        <f>VLOOKUP($A23,Model!$1:$1048576,MATCH("fy"&amp;RIGHT(F$4,2)&amp;"a",Model!$1:$1,0),FALSE)/1000</f>
        <v>48.335999999999999</v>
      </c>
      <c r="G23" s="300">
        <f>VLOOKUP($A23,Model!$1:$1048576,MATCH("fy"&amp;RIGHT(G$4,2)&amp;"a",Model!$1:$1,0),FALSE)/1000</f>
        <v>57.247</v>
      </c>
      <c r="H23" s="300">
        <f>VLOOKUP($A23,Model!$1:$1048576,MATCH("fy"&amp;RIGHT(H$4,2)&amp;"a",Model!$1:$1,0),FALSE)/1000</f>
        <v>57.817999999999998</v>
      </c>
      <c r="I23" s="300">
        <f>VLOOKUP($A23,Model!$1:$1048576,MATCH("fy"&amp;RIGHT(I$4,2)&amp;"a",Model!$1:$1,0),FALSE)/1000</f>
        <v>58.959000000000003</v>
      </c>
      <c r="J23" s="300">
        <f>VLOOKUP($A23,Model!$1:$1048576,MATCH("fy"&amp;RIGHT(J$4,2)&amp;"a",Model!$1:$1,0),FALSE)/1000</f>
        <v>59.265000000000001</v>
      </c>
      <c r="K23" s="300">
        <f>VLOOKUP($A23,Model!$1:$1048576,MATCH("fy"&amp;RIGHT(K$4,2)&amp;"a",Model!$1:$1,0),FALSE)/1000</f>
        <v>60.783000000000001</v>
      </c>
      <c r="L23" s="300">
        <f>VLOOKUP($A23,Model!$1:$1048576,MATCH("fy"&amp;RIGHT(L$4,2)&amp;"a",Model!$1:$1,0),FALSE)/1000</f>
        <v>61.286999999999999</v>
      </c>
      <c r="M23" s="300">
        <f>VLOOKUP($A23,Model!$1:$1048576,MATCH("fy"&amp;RIGHT(M$4,2)&amp;"a",Model!$1:$1,0),FALSE)/1000</f>
        <v>63.664999999999999</v>
      </c>
      <c r="N23" s="300">
        <f>VLOOKUP($A23,Model!$1:$1048576,MATCH("fy"&amp;RIGHT(N$4,2)&amp;"a",Model!$1:$1,0),FALSE)/1000</f>
        <v>65.906999999999996</v>
      </c>
      <c r="O23" s="300">
        <f>VLOOKUP($A23,Model!$1:$1048576,MATCH("fy"&amp;RIGHT(O$4,2)&amp;"a",Model!$1:$1,0),FALSE)/1000</f>
        <v>69.495000000000005</v>
      </c>
      <c r="P23" s="300">
        <f>VLOOKUP($A23,Model!$1:$1048576,MATCH("fy"&amp;RIGHT(P$4,2)&amp;"a",Model!$1:$1,0),FALSE)/1000</f>
        <v>69.085999999999999</v>
      </c>
      <c r="Q23" s="300">
        <f>VLOOKUP($A23,Model!$1:$1048576,MATCH("fy"&amp;RIGHT(Q$4,2)&amp;"A",Model!$1:$1,0),FALSE)/1000</f>
        <v>70.388999999999996</v>
      </c>
      <c r="R23" s="300">
        <f>VLOOKUP($A23,Model!$1:$1048576,MATCH("fy"&amp;RIGHT(R$4,2)&amp;"E",Model!$1:$1,0),FALSE)/1000</f>
        <v>74.824543680334088</v>
      </c>
      <c r="S23" s="300">
        <f>VLOOKUP($A23,Model!$1:$1048576,MATCH("fy"&amp;RIGHT(S$4,2)&amp;"E",Model!$1:$1,0),FALSE)/1000</f>
        <v>75.534704939225193</v>
      </c>
      <c r="T23" s="300">
        <f>VLOOKUP($A23,Model!$1:$1048576,MATCH("fy"&amp;RIGHT(T$4,2)&amp;"E",Model!$1:$1,0),FALSE)/1000</f>
        <v>75.330044065305984</v>
      </c>
      <c r="U23" s="300">
        <f>VLOOKUP($A23,Model!$1:$1048576,MATCH("fy"&amp;RIGHT(U$4,2)&amp;"E",Model!$1:$1,0),FALSE)/1000</f>
        <v>75.258117365588191</v>
      </c>
      <c r="V23" s="301">
        <f t="shared" ref="V23:AA23" si="18">+U23+V18-V20</f>
        <v>77.575970523497531</v>
      </c>
      <c r="W23" s="301">
        <f t="shared" si="18"/>
        <v>79.966010170129081</v>
      </c>
      <c r="X23" s="301">
        <f t="shared" si="18"/>
        <v>82.427216817736181</v>
      </c>
      <c r="Y23" s="301">
        <f t="shared" si="18"/>
        <v>84.95834463168552</v>
      </c>
      <c r="Z23" s="301">
        <f t="shared" si="18"/>
        <v>87.557919491194511</v>
      </c>
      <c r="AA23" s="301">
        <f t="shared" si="18"/>
        <v>90.224238238110985</v>
      </c>
      <c r="AB23" s="267">
        <f>+AB18/(AB30/100)</f>
        <v>103.44921042651671</v>
      </c>
      <c r="AC23" s="298"/>
      <c r="AD23" s="286"/>
      <c r="AE23" s="296" t="s">
        <v>2330</v>
      </c>
    </row>
    <row r="24" spans="1:31">
      <c r="C24" s="282"/>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c r="AB24" s="285"/>
      <c r="AC24" s="298"/>
      <c r="AD24" s="298"/>
    </row>
    <row r="25" spans="1:31">
      <c r="C25" s="294" t="s">
        <v>2331</v>
      </c>
      <c r="D25" s="300"/>
      <c r="E25" s="294">
        <f t="shared" ref="E25:AA25" si="19">+(E23+D23)/2*E$10/100</f>
        <v>0</v>
      </c>
      <c r="F25" s="294">
        <f t="shared" si="19"/>
        <v>0</v>
      </c>
      <c r="G25" s="294">
        <f t="shared" si="19"/>
        <v>0</v>
      </c>
      <c r="H25" s="294">
        <f t="shared" si="19"/>
        <v>0</v>
      </c>
      <c r="I25" s="294">
        <f t="shared" si="19"/>
        <v>0</v>
      </c>
      <c r="J25" s="294">
        <f t="shared" si="19"/>
        <v>0</v>
      </c>
      <c r="K25" s="294">
        <f t="shared" si="19"/>
        <v>0</v>
      </c>
      <c r="L25" s="294">
        <f t="shared" si="19"/>
        <v>0</v>
      </c>
      <c r="M25" s="294">
        <f t="shared" si="19"/>
        <v>0</v>
      </c>
      <c r="N25" s="294">
        <f t="shared" si="19"/>
        <v>0</v>
      </c>
      <c r="O25" s="294">
        <f t="shared" si="19"/>
        <v>0</v>
      </c>
      <c r="P25" s="294">
        <f t="shared" si="19"/>
        <v>6.3747260000000008</v>
      </c>
      <c r="Q25" s="294">
        <f t="shared" si="19"/>
        <v>6.4158499999999989</v>
      </c>
      <c r="R25" s="294">
        <f t="shared" si="19"/>
        <v>6.679823009295367</v>
      </c>
      <c r="S25" s="294">
        <f t="shared" si="19"/>
        <v>6.9165254364997262</v>
      </c>
      <c r="T25" s="294">
        <f t="shared" si="19"/>
        <v>6.9397784542084331</v>
      </c>
      <c r="U25" s="294">
        <f t="shared" si="19"/>
        <v>6.9270554258211314</v>
      </c>
      <c r="V25" s="294">
        <f t="shared" si="19"/>
        <v>7.0303680428979423</v>
      </c>
      <c r="W25" s="294">
        <f t="shared" si="19"/>
        <v>7.2469311119068234</v>
      </c>
      <c r="X25" s="294">
        <f t="shared" si="19"/>
        <v>7.470088441441801</v>
      </c>
      <c r="Y25" s="294">
        <f t="shared" si="19"/>
        <v>7.6997358266733968</v>
      </c>
      <c r="Z25" s="294">
        <f t="shared" si="19"/>
        <v>7.9357481496524818</v>
      </c>
      <c r="AA25" s="294">
        <f t="shared" si="19"/>
        <v>8.1779792555480508</v>
      </c>
      <c r="AB25" s="278">
        <f>+(AB23+AA23)/2*AB$10/100</f>
        <v>8.908978638572874</v>
      </c>
      <c r="AC25" s="298"/>
      <c r="AD25" s="298"/>
      <c r="AE25" s="249" t="s">
        <v>2332</v>
      </c>
    </row>
    <row r="26" spans="1:31" ht="25.5">
      <c r="C26" s="279" t="s">
        <v>2333</v>
      </c>
      <c r="D26" s="300"/>
      <c r="E26" s="294">
        <f>+E18-E25</f>
        <v>6.4859999999999998</v>
      </c>
      <c r="F26" s="294">
        <f t="shared" ref="F26:AA26" si="20">+F18-F25</f>
        <v>7.1109999999999998</v>
      </c>
      <c r="G26" s="294">
        <f t="shared" si="20"/>
        <v>7.2149999999999999</v>
      </c>
      <c r="H26" s="294">
        <f t="shared" si="20"/>
        <v>5.8890000000000002</v>
      </c>
      <c r="I26" s="294">
        <f t="shared" si="20"/>
        <v>6.8090000000000002</v>
      </c>
      <c r="J26" s="294">
        <f t="shared" si="20"/>
        <v>6.4870000000000001</v>
      </c>
      <c r="K26" s="294">
        <f t="shared" si="20"/>
        <v>6.47</v>
      </c>
      <c r="L26" s="294">
        <f t="shared" si="20"/>
        <v>3.758</v>
      </c>
      <c r="M26" s="294">
        <f t="shared" si="20"/>
        <v>6.1980000000000004</v>
      </c>
      <c r="N26" s="294">
        <f t="shared" si="20"/>
        <v>6.5149999999999997</v>
      </c>
      <c r="O26" s="294">
        <f t="shared" si="20"/>
        <v>7.4130000000000003</v>
      </c>
      <c r="P26" s="294">
        <f t="shared" si="20"/>
        <v>0.35027399999999886</v>
      </c>
      <c r="Q26" s="294">
        <f t="shared" si="20"/>
        <v>-0.62884999999999902</v>
      </c>
      <c r="R26" s="294">
        <f t="shared" si="20"/>
        <v>0.93000353305194672</v>
      </c>
      <c r="S26" s="294">
        <f t="shared" si="20"/>
        <v>0.66648645808732532</v>
      </c>
      <c r="T26" s="294">
        <f t="shared" si="20"/>
        <v>0.87411516149013124</v>
      </c>
      <c r="U26" s="294">
        <f t="shared" si="20"/>
        <v>1.1823784003680524</v>
      </c>
      <c r="V26" s="294">
        <f t="shared" si="20"/>
        <v>1.0413316348334742</v>
      </c>
      <c r="W26" s="294">
        <f t="shared" si="20"/>
        <v>1.0761510383368478</v>
      </c>
      <c r="X26" s="294">
        <f t="shared" si="20"/>
        <v>1.1008259137365588</v>
      </c>
      <c r="Y26" s="294">
        <f t="shared" si="20"/>
        <v>1.1146722346982987</v>
      </c>
      <c r="Z26" s="294">
        <f t="shared" si="20"/>
        <v>1.1170201347127007</v>
      </c>
      <c r="AA26" s="294">
        <f t="shared" si="20"/>
        <v>1.10721816810028</v>
      </c>
      <c r="AB26" s="278">
        <f>+(AB18-AB25)/(AB10-AB19)*100</f>
        <v>9.0798316517412481</v>
      </c>
      <c r="AC26" s="298"/>
      <c r="AD26" s="298"/>
      <c r="AE26" s="296" t="s">
        <v>2334</v>
      </c>
    </row>
    <row r="27" spans="1:31">
      <c r="C27" s="297" t="s">
        <v>2320</v>
      </c>
      <c r="D27" s="279"/>
      <c r="E27" s="279"/>
      <c r="F27" s="288">
        <f t="shared" ref="F27:AA27" si="21">+(F26-E26)/E26*100</f>
        <v>9.6361393771199513</v>
      </c>
      <c r="G27" s="288">
        <f t="shared" si="21"/>
        <v>1.4625228519195625</v>
      </c>
      <c r="H27" s="288">
        <f t="shared" si="21"/>
        <v>-18.378378378378375</v>
      </c>
      <c r="I27" s="288">
        <f t="shared" si="21"/>
        <v>15.622346748174563</v>
      </c>
      <c r="J27" s="288">
        <f t="shared" si="21"/>
        <v>-4.7290351006021449</v>
      </c>
      <c r="K27" s="288">
        <f t="shared" si="21"/>
        <v>-0.2620625867118907</v>
      </c>
      <c r="L27" s="288">
        <f t="shared" si="21"/>
        <v>-41.916537867078823</v>
      </c>
      <c r="M27" s="288">
        <f t="shared" si="21"/>
        <v>64.928153273017571</v>
      </c>
      <c r="N27" s="288">
        <f t="shared" si="21"/>
        <v>5.1145530816392268</v>
      </c>
      <c r="O27" s="288">
        <f t="shared" si="21"/>
        <v>13.783576362240993</v>
      </c>
      <c r="P27" s="288">
        <f t="shared" si="21"/>
        <v>-95.274868474301925</v>
      </c>
      <c r="Q27" s="288">
        <f t="shared" si="21"/>
        <v>-279.53088153845306</v>
      </c>
      <c r="R27" s="288">
        <f t="shared" si="21"/>
        <v>-247.88956556443478</v>
      </c>
      <c r="S27" s="288">
        <f t="shared" si="21"/>
        <v>-28.335061706685178</v>
      </c>
      <c r="T27" s="288">
        <f t="shared" si="21"/>
        <v>31.152726493296839</v>
      </c>
      <c r="U27" s="288">
        <f t="shared" si="21"/>
        <v>35.265746718363204</v>
      </c>
      <c r="V27" s="288">
        <f t="shared" si="21"/>
        <v>-11.929071563779662</v>
      </c>
      <c r="W27" s="288">
        <f t="shared" si="21"/>
        <v>3.3437381847082484</v>
      </c>
      <c r="X27" s="288">
        <f t="shared" si="21"/>
        <v>2.2928821810965445</v>
      </c>
      <c r="Y27" s="288">
        <f t="shared" si="21"/>
        <v>1.2578120472056287</v>
      </c>
      <c r="Z27" s="288">
        <f t="shared" si="21"/>
        <v>0.21063591083682862</v>
      </c>
      <c r="AA27" s="288">
        <f t="shared" si="21"/>
        <v>-0.87751028901030514</v>
      </c>
      <c r="AB27" s="302"/>
      <c r="AC27" s="298"/>
      <c r="AD27" s="298"/>
    </row>
    <row r="28" spans="1:31">
      <c r="C28" s="303" t="s">
        <v>2335</v>
      </c>
      <c r="D28" s="304"/>
      <c r="E28" s="295"/>
      <c r="F28" s="295"/>
      <c r="G28" s="295"/>
      <c r="H28" s="295"/>
      <c r="I28" s="295"/>
      <c r="J28" s="295"/>
      <c r="K28" s="295"/>
      <c r="L28" s="295"/>
      <c r="M28" s="295"/>
      <c r="N28" s="295"/>
      <c r="O28" s="295"/>
      <c r="P28" s="295">
        <f t="shared" ref="P28:AA28" ca="1" si="22">P26/(1+P$10/100)^P$6</f>
        <v>0.35027399999999886</v>
      </c>
      <c r="Q28" s="295">
        <f t="shared" ca="1" si="22"/>
        <v>-0.62884999999999902</v>
      </c>
      <c r="R28" s="295">
        <f t="shared" ca="1" si="22"/>
        <v>0.92330037449354552</v>
      </c>
      <c r="S28" s="295">
        <f t="shared" ca="1" si="22"/>
        <v>0.6059364868523297</v>
      </c>
      <c r="T28" s="295">
        <f t="shared" ca="1" si="22"/>
        <v>0.7275738308629367</v>
      </c>
      <c r="U28" s="295">
        <f t="shared" ca="1" si="22"/>
        <v>0.9012437502235825</v>
      </c>
      <c r="V28" s="295">
        <f t="shared" ca="1" si="22"/>
        <v>0.72686239770633665</v>
      </c>
      <c r="W28" s="295">
        <f t="shared" ca="1" si="22"/>
        <v>0.68788166048418442</v>
      </c>
      <c r="X28" s="295">
        <f t="shared" ca="1" si="22"/>
        <v>0.64421641749732572</v>
      </c>
      <c r="Y28" s="295">
        <f t="shared" ca="1" si="22"/>
        <v>0.59736213297315344</v>
      </c>
      <c r="Z28" s="295">
        <f t="shared" ca="1" si="22"/>
        <v>0.54818717229206571</v>
      </c>
      <c r="AA28" s="295">
        <f t="shared" ca="1" si="22"/>
        <v>0.49759777788660092</v>
      </c>
      <c r="AB28" s="278">
        <f ca="1">AB26/(1+AB10/100)^AB6</f>
        <v>4.0805906041470124</v>
      </c>
      <c r="AC28" s="298"/>
      <c r="AD28" s="298"/>
    </row>
    <row r="29" spans="1:31">
      <c r="C29" s="282"/>
      <c r="D29" s="300"/>
      <c r="E29" s="300"/>
      <c r="F29" s="300"/>
      <c r="G29" s="300"/>
      <c r="H29" s="300"/>
      <c r="I29" s="300"/>
      <c r="J29" s="300"/>
      <c r="K29" s="300"/>
      <c r="L29" s="300"/>
      <c r="M29" s="300"/>
      <c r="N29" s="300"/>
      <c r="O29" s="300"/>
      <c r="P29" s="300"/>
      <c r="Q29" s="300"/>
      <c r="R29" s="300"/>
      <c r="S29" s="300"/>
      <c r="T29" s="300"/>
      <c r="U29" s="300"/>
      <c r="V29" s="300"/>
      <c r="W29" s="300"/>
      <c r="X29" s="300"/>
      <c r="Y29" s="300"/>
      <c r="Z29" s="300"/>
      <c r="AA29" s="300"/>
      <c r="AB29" s="285"/>
      <c r="AC29" s="286"/>
      <c r="AD29" s="286"/>
    </row>
    <row r="30" spans="1:31">
      <c r="C30" s="305" t="s">
        <v>2336</v>
      </c>
      <c r="D30" s="300"/>
      <c r="E30" s="294">
        <f>+E18/(E23+D23)*200</f>
        <v>15.266564669883486</v>
      </c>
      <c r="F30" s="294">
        <f t="shared" ref="F30:AA30" si="23">+F18/(F23+E23)*200</f>
        <v>15.291486570758876</v>
      </c>
      <c r="G30" s="294">
        <f t="shared" si="23"/>
        <v>13.666972902834736</v>
      </c>
      <c r="H30" s="294">
        <f t="shared" si="23"/>
        <v>10.235953591448313</v>
      </c>
      <c r="I30" s="294">
        <f t="shared" si="23"/>
        <v>11.661542940818826</v>
      </c>
      <c r="J30" s="294">
        <f t="shared" si="23"/>
        <v>10.974083096494789</v>
      </c>
      <c r="K30" s="294">
        <f t="shared" si="23"/>
        <v>10.779021724643476</v>
      </c>
      <c r="L30" s="294">
        <f t="shared" si="23"/>
        <v>6.1571229622347836</v>
      </c>
      <c r="M30" s="294">
        <f t="shared" si="23"/>
        <v>9.9206095140533961</v>
      </c>
      <c r="N30" s="294">
        <f t="shared" si="23"/>
        <v>10.056184978236038</v>
      </c>
      <c r="O30" s="294">
        <f t="shared" si="23"/>
        <v>10.949616696946871</v>
      </c>
      <c r="P30" s="294">
        <f t="shared" si="23"/>
        <v>9.7055151860644653</v>
      </c>
      <c r="Q30" s="282">
        <f t="shared" si="23"/>
        <v>8.2982613371571965</v>
      </c>
      <c r="R30" s="282">
        <f t="shared" si="23"/>
        <v>10.480877126859751</v>
      </c>
      <c r="S30" s="282">
        <f t="shared" si="23"/>
        <v>10.086525390631177</v>
      </c>
      <c r="T30" s="282">
        <f t="shared" si="23"/>
        <v>10.358806370948692</v>
      </c>
      <c r="U30" s="282">
        <f t="shared" si="23"/>
        <v>10.770347083240873</v>
      </c>
      <c r="V30" s="282">
        <f t="shared" si="23"/>
        <v>10.562695520634357</v>
      </c>
      <c r="W30" s="282">
        <f t="shared" si="23"/>
        <v>10.566176854700904</v>
      </c>
      <c r="X30" s="282">
        <f t="shared" si="23"/>
        <v>10.555753480801039</v>
      </c>
      <c r="Y30" s="282">
        <f t="shared" si="23"/>
        <v>10.531861870338338</v>
      </c>
      <c r="Z30" s="282">
        <f t="shared" si="23"/>
        <v>10.49497371206354</v>
      </c>
      <c r="AA30" s="282">
        <f t="shared" si="23"/>
        <v>10.445589751234936</v>
      </c>
      <c r="AB30" s="306">
        <f>+AB10</f>
        <v>9.1999999999999993</v>
      </c>
      <c r="AC30" s="286">
        <f>AVERAGE(D30:P30)</f>
        <v>11.222056236201505</v>
      </c>
      <c r="AD30" s="286">
        <f>AVERAGE(Q30:AA30)</f>
        <v>10.286533499873709</v>
      </c>
    </row>
    <row r="31" spans="1:31">
      <c r="C31" s="282"/>
      <c r="D31" s="300"/>
      <c r="E31" s="300"/>
      <c r="F31" s="300"/>
      <c r="G31" s="300"/>
      <c r="H31" s="300"/>
      <c r="I31" s="300"/>
      <c r="J31" s="300"/>
      <c r="K31" s="300"/>
      <c r="L31" s="300"/>
      <c r="M31" s="300"/>
      <c r="N31" s="300"/>
      <c r="O31" s="300"/>
      <c r="P31" s="300"/>
      <c r="Q31" s="300"/>
      <c r="R31" s="300"/>
      <c r="S31" s="300"/>
      <c r="T31" s="300"/>
      <c r="U31" s="300"/>
      <c r="V31" s="300"/>
      <c r="W31" s="300"/>
      <c r="X31" s="300"/>
      <c r="Y31" s="300"/>
      <c r="Z31" s="300"/>
      <c r="AA31" s="300"/>
      <c r="AB31" s="285"/>
      <c r="AC31" s="286"/>
      <c r="AD31" s="286"/>
    </row>
    <row r="32" spans="1:31">
      <c r="A32" s="249" t="s">
        <v>895</v>
      </c>
      <c r="C32" s="294" t="s">
        <v>2337</v>
      </c>
      <c r="D32" s="283">
        <f>VLOOKUP($A32,Model!$1:$1048576,MATCH("fy"&amp;RIGHT(D$4,2)&amp;"a",Model!$1:$1,0),FALSE)/1000</f>
        <v>254.875</v>
      </c>
      <c r="E32" s="283">
        <f>VLOOKUP($A32,Model!$1:$1048576,MATCH("fy"&amp;RIGHT(E$4,2)&amp;"a",Model!$1:$1,0),FALSE)/1000</f>
        <v>287.65100000000001</v>
      </c>
      <c r="F32" s="283">
        <f>VLOOKUP($A32,Model!$1:$1048576,MATCH("fy"&amp;RIGHT(F$4,2)&amp;"a",Model!$1:$1,0),FALSE)/1000</f>
        <v>308.88499999999999</v>
      </c>
      <c r="G32" s="283">
        <f>VLOOKUP($A32,Model!$1:$1048576,MATCH("fy"&amp;RIGHT(G$4,2)&amp;"a",Model!$1:$1,0),FALSE)/1000</f>
        <v>349.75099999999998</v>
      </c>
      <c r="H32" s="283">
        <f>VLOOKUP($A32,Model!$1:$1048576,MATCH("fy"&amp;RIGHT(H$4,2)&amp;"a",Model!$1:$1,0),FALSE)/1000</f>
        <v>352.03300000000002</v>
      </c>
      <c r="I32" s="283">
        <f>VLOOKUP($A32,Model!$1:$1048576,MATCH("fy"&amp;RIGHT(I$4,2)&amp;"a",Model!$1:$1,0),FALSE)/1000</f>
        <v>336.834</v>
      </c>
      <c r="J32" s="283">
        <f>VLOOKUP($A32,Model!$1:$1048576,MATCH("fy"&amp;RIGHT(J$4,2)&amp;"a",Model!$1:$1,0),FALSE)/1000</f>
        <v>337.58</v>
      </c>
      <c r="K32" s="283">
        <f>VLOOKUP($A32,Model!$1:$1048576,MATCH("fy"&amp;RIGHT(K$4,2)&amp;"a",Model!$1:$1,0),FALSE)/1000</f>
        <v>416.96100000000001</v>
      </c>
      <c r="L32" s="283">
        <f>VLOOKUP($A32,Model!$1:$1048576,MATCH("fy"&amp;RIGHT(L$4,2)&amp;"a",Model!$1:$1,0),FALSE)/1000</f>
        <v>429.38400000000001</v>
      </c>
      <c r="M32" s="283">
        <f>VLOOKUP($A32,Model!$1:$1048576,MATCH("fy"&amp;RIGHT(M$4,2)&amp;"a",Model!$1:$1,0),FALSE)/1000</f>
        <v>416.08600000000001</v>
      </c>
      <c r="N32" s="283">
        <f>VLOOKUP($A32,Model!$1:$1048576,MATCH("fy"&amp;RIGHT(N$4,2)&amp;"a",Model!$1:$1,0),FALSE)/1000</f>
        <v>454.71800000000002</v>
      </c>
      <c r="O32" s="283">
        <f>VLOOKUP($A32,Model!$1:$1048576,MATCH("fy"&amp;RIGHT(O$4,2)&amp;"a",Model!$1:$1,0),FALSE)/1000</f>
        <v>433.327</v>
      </c>
      <c r="P32" s="283">
        <f>VLOOKUP($A32,Model!$1:$1048576,MATCH("fy"&amp;RIGHT(P$4,2)&amp;"a",Model!$1:$1,0),FALSE)/1000</f>
        <v>446.58199999999999</v>
      </c>
      <c r="Q32" s="283">
        <f>VLOOKUP($A32,Model!$1:$1048576,MATCH("fy"&amp;RIGHT(Q$4,2)&amp;"A",Model!$1:$1,0),FALSE)/1000</f>
        <v>458.54700000000003</v>
      </c>
      <c r="R32" s="283">
        <f>VLOOKUP($A32,Model!$1:$1048576,MATCH("fy"&amp;RIGHT(R$4,2)&amp;"E",Model!$1:$1,0),FALSE)/1000</f>
        <v>477.68398771293454</v>
      </c>
      <c r="S32" s="283">
        <f>VLOOKUP($A32,Model!$1:$1048576,MATCH("fy"&amp;RIGHT(S$4,2)&amp;"E",Model!$1:$1,0),FALSE)/1000</f>
        <v>486.59649337076166</v>
      </c>
      <c r="T32" s="283">
        <f>VLOOKUP($A32,Model!$1:$1048576,MATCH("fy"&amp;RIGHT(T$4,2)&amp;"E",Model!$1:$1,0),FALSE)/1000</f>
        <v>496.15539589073512</v>
      </c>
      <c r="U32" s="283">
        <f>VLOOKUP($A32,Model!$1:$1048576,MATCH("fy"&amp;RIGHT(U$4,2)&amp;"E",Model!$1:$1,0),FALSE)/1000</f>
        <v>505.23632402287922</v>
      </c>
      <c r="V32" s="284">
        <f t="shared" ref="V32:AA32" si="24">+V33/100*V13</f>
        <v>521.32215055393272</v>
      </c>
      <c r="W32" s="284">
        <f t="shared" si="24"/>
        <v>537.20713783170709</v>
      </c>
      <c r="X32" s="284">
        <f t="shared" si="24"/>
        <v>552.84144145999187</v>
      </c>
      <c r="Y32" s="284">
        <f t="shared" si="24"/>
        <v>568.17465862394965</v>
      </c>
      <c r="Z32" s="284">
        <f t="shared" si="24"/>
        <v>583.15608604359159</v>
      </c>
      <c r="AA32" s="284">
        <f t="shared" si="24"/>
        <v>597.73498819468136</v>
      </c>
      <c r="AB32" s="285"/>
      <c r="AC32" s="286"/>
      <c r="AD32" s="286"/>
    </row>
    <row r="33" spans="1:31">
      <c r="C33" s="294" t="s">
        <v>2338</v>
      </c>
      <c r="D33" s="283">
        <f t="shared" ref="D33:U33" si="25">100*(D32/D13)</f>
        <v>39.692303858893965</v>
      </c>
      <c r="E33" s="283">
        <f t="shared" si="25"/>
        <v>40.917929715005087</v>
      </c>
      <c r="F33" s="283">
        <f t="shared" si="25"/>
        <v>40.006242779357898</v>
      </c>
      <c r="G33" s="283">
        <f t="shared" si="25"/>
        <v>39.302281155185973</v>
      </c>
      <c r="H33" s="283">
        <f t="shared" si="25"/>
        <v>38.479060936593108</v>
      </c>
      <c r="I33" s="283">
        <f t="shared" si="25"/>
        <v>37.537528167020682</v>
      </c>
      <c r="J33" s="283">
        <f t="shared" si="25"/>
        <v>35.792594226193756</v>
      </c>
      <c r="K33" s="283">
        <f t="shared" si="25"/>
        <v>42.497734770985097</v>
      </c>
      <c r="L33" s="283">
        <f t="shared" si="25"/>
        <v>41.196370286082704</v>
      </c>
      <c r="M33" s="283">
        <f t="shared" si="25"/>
        <v>42.50733253171812</v>
      </c>
      <c r="N33" s="283">
        <f t="shared" si="25"/>
        <v>41.881353450078237</v>
      </c>
      <c r="O33" s="283">
        <f t="shared" si="25"/>
        <v>39.192307100935835</v>
      </c>
      <c r="P33" s="283">
        <f t="shared" si="25"/>
        <v>36.333622159033126</v>
      </c>
      <c r="Q33" s="283">
        <f t="shared" si="25"/>
        <v>35.351489621527278</v>
      </c>
      <c r="R33" s="283">
        <f t="shared" si="25"/>
        <v>35.564966371679368</v>
      </c>
      <c r="S33" s="283">
        <f t="shared" si="25"/>
        <v>35.047648913646093</v>
      </c>
      <c r="T33" s="283">
        <f t="shared" si="25"/>
        <v>34.48031670414295</v>
      </c>
      <c r="U33" s="283">
        <f t="shared" si="25"/>
        <v>33.982962038057735</v>
      </c>
      <c r="V33" s="289">
        <f t="shared" ref="V33:AA33" si="26">+U33</f>
        <v>33.982962038057735</v>
      </c>
      <c r="W33" s="289">
        <f t="shared" si="26"/>
        <v>33.982962038057735</v>
      </c>
      <c r="X33" s="289">
        <f t="shared" si="26"/>
        <v>33.982962038057735</v>
      </c>
      <c r="Y33" s="289">
        <f t="shared" si="26"/>
        <v>33.982962038057735</v>
      </c>
      <c r="Z33" s="289">
        <f t="shared" si="26"/>
        <v>33.982962038057735</v>
      </c>
      <c r="AA33" s="289">
        <f t="shared" si="26"/>
        <v>33.982962038057735</v>
      </c>
      <c r="AB33" s="285"/>
      <c r="AC33" s="286"/>
      <c r="AD33" s="286"/>
    </row>
    <row r="34" spans="1:31">
      <c r="C34" s="294" t="s">
        <v>2339</v>
      </c>
      <c r="D34" s="294">
        <f>+D13/D23</f>
        <v>15.933672456575682</v>
      </c>
      <c r="E34" s="294">
        <f t="shared" ref="E34:AA34" si="27">+E13/E23</f>
        <v>15.737519588090441</v>
      </c>
      <c r="F34" s="294">
        <f t="shared" si="27"/>
        <v>15.97343594836147</v>
      </c>
      <c r="G34" s="294">
        <f t="shared" si="27"/>
        <v>15.54491938442189</v>
      </c>
      <c r="H34" s="294">
        <f t="shared" si="27"/>
        <v>15.823255733508597</v>
      </c>
      <c r="I34" s="294">
        <f t="shared" si="27"/>
        <v>15.219491511050052</v>
      </c>
      <c r="J34" s="294">
        <f t="shared" si="27"/>
        <v>15.914215810343372</v>
      </c>
      <c r="K34" s="294">
        <f t="shared" si="27"/>
        <v>16.141634996627346</v>
      </c>
      <c r="L34" s="294">
        <f t="shared" si="27"/>
        <v>17.006640886321733</v>
      </c>
      <c r="M34" s="294">
        <f t="shared" si="27"/>
        <v>15.375119767533182</v>
      </c>
      <c r="N34" s="294">
        <f t="shared" si="27"/>
        <v>16.473652267589181</v>
      </c>
      <c r="O34" s="294">
        <f t="shared" si="27"/>
        <v>15.90967695517663</v>
      </c>
      <c r="P34" s="294">
        <f t="shared" si="27"/>
        <v>17.791086471933532</v>
      </c>
      <c r="Q34" s="294">
        <f t="shared" si="27"/>
        <v>18.42770887496626</v>
      </c>
      <c r="R34" s="294">
        <f t="shared" si="27"/>
        <v>17.950403044387393</v>
      </c>
      <c r="S34" s="294">
        <f t="shared" si="27"/>
        <v>18.380763541724598</v>
      </c>
      <c r="T34" s="294">
        <f t="shared" si="27"/>
        <v>19.101974068868891</v>
      </c>
      <c r="U34" s="294">
        <f t="shared" si="27"/>
        <v>19.755134295586902</v>
      </c>
      <c r="V34" s="307">
        <f t="shared" si="27"/>
        <v>19.775056372216458</v>
      </c>
      <c r="W34" s="307">
        <f t="shared" si="27"/>
        <v>19.76856369179584</v>
      </c>
      <c r="X34" s="307">
        <f t="shared" si="27"/>
        <v>19.736435712821933</v>
      </c>
      <c r="Y34" s="307">
        <f t="shared" si="27"/>
        <v>19.679523901171827</v>
      </c>
      <c r="Z34" s="307">
        <f t="shared" si="27"/>
        <v>19.598739866784445</v>
      </c>
      <c r="AA34" s="307">
        <f t="shared" si="27"/>
        <v>19.495044169033733</v>
      </c>
      <c r="AB34" s="285"/>
      <c r="AC34" s="286">
        <f>AVERAGE(D34:P34)</f>
        <v>16.06494782904101</v>
      </c>
      <c r="AD34" s="286">
        <f>AVERAGE(Q34:AA34)</f>
        <v>19.24266795812348</v>
      </c>
      <c r="AE34" s="249" t="s">
        <v>2340</v>
      </c>
    </row>
    <row r="35" spans="1:31">
      <c r="C35" s="294"/>
      <c r="D35" s="291"/>
      <c r="E35" s="291"/>
      <c r="F35" s="291"/>
      <c r="G35" s="291"/>
      <c r="H35" s="291"/>
      <c r="I35" s="291"/>
      <c r="J35" s="291"/>
      <c r="K35" s="291"/>
      <c r="L35" s="291"/>
      <c r="M35" s="291"/>
      <c r="N35" s="291"/>
      <c r="O35" s="291"/>
      <c r="P35" s="291"/>
      <c r="Q35" s="291"/>
      <c r="R35" s="291"/>
      <c r="S35" s="291"/>
      <c r="T35" s="291"/>
      <c r="U35" s="291"/>
      <c r="V35" s="291"/>
      <c r="W35" s="291"/>
      <c r="X35" s="291"/>
      <c r="Y35" s="291"/>
      <c r="Z35" s="291"/>
      <c r="AA35" s="291"/>
      <c r="AB35" s="285"/>
      <c r="AC35" s="286"/>
      <c r="AD35" s="286"/>
    </row>
    <row r="36" spans="1:31">
      <c r="A36" s="249" t="s">
        <v>958</v>
      </c>
      <c r="C36" s="294" t="s">
        <v>2341</v>
      </c>
      <c r="D36" s="294">
        <f>VLOOKUP($A36,Model!$1:$1048576,MATCH("fy"&amp;RIGHT(D$4,2)&amp;"a",Model!$1:$1,0),FALSE)*100</f>
        <v>12.751741049534084</v>
      </c>
      <c r="E36" s="294">
        <f>VLOOKUP($A36,Model!$1:$1048576,MATCH("fy"&amp;RIGHT(E$4,2)&amp;"a",Model!$1:$1,0),FALSE)*100</f>
        <v>12.230098278817039</v>
      </c>
      <c r="F36" s="294">
        <f>VLOOKUP($A36,Model!$1:$1048576,MATCH("fy"&amp;RIGHT(F$4,2)&amp;"a",Model!$1:$1,0),FALSE)*100</f>
        <v>12.496883953574955</v>
      </c>
      <c r="G36" s="294">
        <f>VLOOKUP($A36,Model!$1:$1048576,MATCH("fy"&amp;RIGHT(G$4,2)&amp;"a",Model!$1:$1,0),FALSE)*100</f>
        <v>13.004680472679134</v>
      </c>
      <c r="H36" s="294">
        <f>VLOOKUP($A36,Model!$1:$1048576,MATCH("fy"&amp;RIGHT(H$4,2)&amp;"a",Model!$1:$1,0),FALSE)*100</f>
        <v>13.716043666360825</v>
      </c>
      <c r="I36" s="294">
        <f>VLOOKUP($A36,Model!$1:$1048576,MATCH("fy"&amp;RIGHT(I$4,2)&amp;"a",Model!$1:$1,0),FALSE)*100</f>
        <v>14.643414857170001</v>
      </c>
      <c r="J36" s="294">
        <f>VLOOKUP($A36,Model!$1:$1048576,MATCH("fy"&amp;RIGHT(J$4,2)&amp;"a",Model!$1:$1,0),FALSE)*100</f>
        <v>15.474850405829729</v>
      </c>
      <c r="K36" s="294">
        <f>VLOOKUP($A36,Model!$1:$1048576,MATCH("fy"&amp;RIGHT(K$4,2)&amp;"a",Model!$1:$1,0),FALSE)*100</f>
        <v>13.243684661155362</v>
      </c>
      <c r="L36" s="294">
        <f>VLOOKUP($A36,Model!$1:$1048576,MATCH("fy"&amp;RIGHT(L$4,2)&amp;"a",Model!$1:$1,0),FALSE)*100</f>
        <v>13.06220073407486</v>
      </c>
      <c r="M36" s="294">
        <f>VLOOKUP($A36,Model!$1:$1048576,MATCH("fy"&amp;RIGHT(M$4,2)&amp;"a",Model!$1:$1,0),FALSE)*100</f>
        <v>14.293439337060127</v>
      </c>
      <c r="N36" s="294">
        <f>VLOOKUP($A36,Model!$1:$1048576,MATCH("fy"&amp;RIGHT(N$4,2)&amp;"a",Model!$1:$1,0),FALSE)*100</f>
        <v>13.97745415840147</v>
      </c>
      <c r="O36" s="294">
        <f>VLOOKUP($A36,Model!$1:$1048576,MATCH("fy"&amp;RIGHT(O$4,2)&amp;"a",Model!$1:$1,0),FALSE)*100</f>
        <v>15.236991925266599</v>
      </c>
      <c r="P36" s="308">
        <f>VLOOKUP($A36,Model!$1:$1048576,MATCH("fy"&amp;RIGHT(P$4,2)&amp;"a",Model!$1:$1,0),FALSE)*100</f>
        <v>14.034600588469754</v>
      </c>
      <c r="Q36" s="294">
        <f>VLOOKUP($A36,Model!$1:$1048576,MATCH("fy"&amp;RIGHT(Q$4,2)&amp;"A",Model!$1:$1,0),FALSE)*100</f>
        <v>13.638950859999083</v>
      </c>
      <c r="R36" s="294">
        <f>VLOOKUP($A36,Model!$1:$1048576,MATCH("fy"&amp;RIGHT(R$4,2)&amp;"E",Model!$1:$1,0),FALSE)*100</f>
        <v>14.031379718085368</v>
      </c>
      <c r="S36" s="294">
        <f>VLOOKUP($A36,Model!$1:$1048576,MATCH("fy"&amp;RIGHT(S$4,2)&amp;"E",Model!$1:$1,0),FALSE)*100</f>
        <v>13.921248127236991</v>
      </c>
      <c r="T36" s="294">
        <f>VLOOKUP($A36,Model!$1:$1048576,MATCH("fy"&amp;RIGHT(T$4,2)&amp;"E",Model!$1:$1,0),FALSE)*100</f>
        <v>13.60734422174496</v>
      </c>
      <c r="U36" s="294">
        <f>VLOOKUP($A36,Model!$1:$1048576,MATCH("fy"&amp;RIGHT(U$4,2)&amp;"E",Model!$1:$1,0),FALSE)*100</f>
        <v>13.340985725819815</v>
      </c>
      <c r="V36" s="307">
        <f t="shared" ref="V36:AA36" si="28">+V38*V37/100</f>
        <v>13.327545554781061</v>
      </c>
      <c r="W36" s="307">
        <f t="shared" si="28"/>
        <v>13.331922781949789</v>
      </c>
      <c r="X36" s="307">
        <f t="shared" si="28"/>
        <v>13.35362516737807</v>
      </c>
      <c r="Y36" s="307">
        <f t="shared" si="28"/>
        <v>13.392242920743877</v>
      </c>
      <c r="Z36" s="307">
        <f t="shared" si="28"/>
        <v>13.447444399001524</v>
      </c>
      <c r="AA36" s="307">
        <f t="shared" si="28"/>
        <v>13.518972430322084</v>
      </c>
      <c r="AB36" s="285"/>
      <c r="AC36" s="286"/>
      <c r="AD36" s="286"/>
      <c r="AE36" s="249" t="s">
        <v>2340</v>
      </c>
    </row>
    <row r="37" spans="1:31">
      <c r="C37" s="309" t="s">
        <v>2342</v>
      </c>
      <c r="D37" s="291">
        <f t="shared" ref="D37:AA37" si="29">+D23/D32*100</f>
        <v>15.811672388425698</v>
      </c>
      <c r="E37" s="291">
        <f t="shared" si="29"/>
        <v>15.529235080010151</v>
      </c>
      <c r="F37" s="291">
        <f t="shared" si="29"/>
        <v>15.648542337763246</v>
      </c>
      <c r="G37" s="291">
        <f t="shared" si="29"/>
        <v>16.367930327575905</v>
      </c>
      <c r="H37" s="291">
        <f t="shared" si="29"/>
        <v>16.424028429152948</v>
      </c>
      <c r="I37" s="291">
        <f t="shared" si="29"/>
        <v>17.503874311975633</v>
      </c>
      <c r="J37" s="291">
        <f t="shared" si="29"/>
        <v>17.555838616031757</v>
      </c>
      <c r="K37" s="291">
        <f t="shared" si="29"/>
        <v>14.577622367559556</v>
      </c>
      <c r="L37" s="291">
        <f t="shared" si="29"/>
        <v>14.273237940864119</v>
      </c>
      <c r="M37" s="291">
        <f t="shared" si="29"/>
        <v>15.300923366803978</v>
      </c>
      <c r="N37" s="291">
        <f t="shared" si="29"/>
        <v>14.494038063151226</v>
      </c>
      <c r="O37" s="291">
        <f t="shared" si="29"/>
        <v>16.037542087153582</v>
      </c>
      <c r="P37" s="291">
        <f t="shared" si="29"/>
        <v>15.469947288515884</v>
      </c>
      <c r="Q37" s="291">
        <f t="shared" si="29"/>
        <v>15.350443902151795</v>
      </c>
      <c r="R37" s="291">
        <f t="shared" si="29"/>
        <v>15.664025926131753</v>
      </c>
      <c r="S37" s="291">
        <f t="shared" si="29"/>
        <v>15.523068079668962</v>
      </c>
      <c r="T37" s="291">
        <f t="shared" si="29"/>
        <v>15.182752155716836</v>
      </c>
      <c r="U37" s="291">
        <f t="shared" si="29"/>
        <v>14.895626816052163</v>
      </c>
      <c r="V37" s="291">
        <f t="shared" si="29"/>
        <v>14.880620445739531</v>
      </c>
      <c r="W37" s="291">
        <f t="shared" si="29"/>
        <v>14.885507756447632</v>
      </c>
      <c r="X37" s="291">
        <f t="shared" si="29"/>
        <v>14.909739146916193</v>
      </c>
      <c r="Y37" s="291">
        <f t="shared" si="29"/>
        <v>14.952857073464761</v>
      </c>
      <c r="Z37" s="291">
        <f t="shared" si="29"/>
        <v>15.01449124628521</v>
      </c>
      <c r="AA37" s="291">
        <f t="shared" si="29"/>
        <v>15.094354525006503</v>
      </c>
      <c r="AB37" s="285"/>
      <c r="AC37" s="268"/>
      <c r="AD37" s="268"/>
    </row>
    <row r="38" spans="1:31">
      <c r="C38" s="309" t="s">
        <v>2343</v>
      </c>
      <c r="D38" s="291">
        <f t="shared" ref="D38:M38" si="30">+D36/D37*100</f>
        <v>80.647642679900741</v>
      </c>
      <c r="E38" s="291">
        <f t="shared" si="30"/>
        <v>78.755316767405418</v>
      </c>
      <c r="F38" s="291">
        <f t="shared" si="30"/>
        <v>79.859731876861957</v>
      </c>
      <c r="G38" s="291">
        <f t="shared" si="30"/>
        <v>79.452198368473447</v>
      </c>
      <c r="H38" s="291">
        <f t="shared" si="30"/>
        <v>83.512055069355569</v>
      </c>
      <c r="I38" s="291">
        <f t="shared" si="30"/>
        <v>83.658135314370995</v>
      </c>
      <c r="J38" s="291">
        <f t="shared" si="30"/>
        <v>88.146460811608861</v>
      </c>
      <c r="K38" s="291">
        <f t="shared" si="30"/>
        <v>90.849415132520619</v>
      </c>
      <c r="L38" s="291">
        <f t="shared" si="30"/>
        <v>91.515329515231628</v>
      </c>
      <c r="M38" s="291">
        <f t="shared" si="30"/>
        <v>93.415534438074289</v>
      </c>
      <c r="N38" s="291">
        <f>+N36/N37*100</f>
        <v>96.435886931585415</v>
      </c>
      <c r="O38" s="291">
        <f t="shared" ref="O38:U38" si="31">+O36/O37*100</f>
        <v>95.00827397654507</v>
      </c>
      <c r="P38" s="291">
        <f t="shared" si="31"/>
        <v>90.721709174072885</v>
      </c>
      <c r="Q38" s="291">
        <f t="shared" si="31"/>
        <v>88.850530622682527</v>
      </c>
      <c r="R38" s="291">
        <f t="shared" si="31"/>
        <v>89.577097128505784</v>
      </c>
      <c r="S38" s="291">
        <f t="shared" si="31"/>
        <v>89.681035062070464</v>
      </c>
      <c r="T38" s="291">
        <f t="shared" si="31"/>
        <v>89.623699854846933</v>
      </c>
      <c r="U38" s="291">
        <f t="shared" si="31"/>
        <v>89.563103926872017</v>
      </c>
      <c r="V38" s="289">
        <f t="shared" ref="V38:AA38" si="32">+U38</f>
        <v>89.563103926872017</v>
      </c>
      <c r="W38" s="289">
        <f t="shared" si="32"/>
        <v>89.563103926872017</v>
      </c>
      <c r="X38" s="289">
        <f t="shared" si="32"/>
        <v>89.563103926872017</v>
      </c>
      <c r="Y38" s="289">
        <f t="shared" si="32"/>
        <v>89.563103926872017</v>
      </c>
      <c r="Z38" s="289">
        <f t="shared" si="32"/>
        <v>89.563103926872017</v>
      </c>
      <c r="AA38" s="289">
        <f t="shared" si="32"/>
        <v>89.563103926872017</v>
      </c>
      <c r="AB38" s="285"/>
      <c r="AC38" s="268"/>
      <c r="AD38" s="268"/>
    </row>
    <row r="39" spans="1:31">
      <c r="C39" s="294"/>
      <c r="D39" s="291"/>
      <c r="E39" s="291"/>
      <c r="F39" s="291"/>
      <c r="G39" s="291"/>
      <c r="H39" s="291"/>
      <c r="I39" s="291"/>
      <c r="J39" s="291"/>
      <c r="K39" s="291"/>
      <c r="L39" s="291"/>
      <c r="M39" s="291"/>
      <c r="N39" s="291"/>
      <c r="O39" s="291"/>
      <c r="P39" s="291"/>
      <c r="Q39" s="291"/>
      <c r="R39" s="291"/>
      <c r="S39" s="291"/>
      <c r="T39" s="291"/>
      <c r="U39" s="291"/>
      <c r="V39" s="291"/>
      <c r="W39" s="291"/>
      <c r="X39" s="291"/>
      <c r="Y39" s="291"/>
      <c r="Z39" s="291"/>
      <c r="AA39" s="291"/>
      <c r="AB39" s="285"/>
      <c r="AC39" s="298" t="s">
        <v>2344</v>
      </c>
      <c r="AD39" s="268"/>
    </row>
    <row r="40" spans="1:31">
      <c r="C40" s="265" t="s">
        <v>2345</v>
      </c>
      <c r="D40" s="265"/>
      <c r="E40" s="265"/>
      <c r="F40" s="265"/>
      <c r="G40" s="265"/>
      <c r="H40" s="265"/>
      <c r="I40" s="265"/>
      <c r="J40" s="265"/>
      <c r="K40" s="265"/>
      <c r="L40" s="275"/>
      <c r="M40" s="275"/>
      <c r="N40" s="275"/>
      <c r="O40" s="275"/>
      <c r="P40" s="275"/>
      <c r="Q40" s="282"/>
      <c r="R40" s="282"/>
      <c r="S40" s="282"/>
      <c r="T40" s="282"/>
      <c r="U40" s="282"/>
      <c r="V40" s="282"/>
      <c r="W40" s="282"/>
      <c r="X40" s="282"/>
      <c r="Y40" s="282"/>
      <c r="Z40" s="282"/>
      <c r="AA40" s="282"/>
      <c r="AB40" s="310">
        <f ca="1">SUMPRODUCT(P58:AA58,P23:AA23)</f>
        <v>75.476335520686206</v>
      </c>
      <c r="AC40" s="311">
        <f ca="1">AB40/AB$43*100</f>
        <v>69.579445229675031</v>
      </c>
      <c r="AD40" s="312"/>
    </row>
    <row r="41" spans="1:31">
      <c r="C41" s="265" t="s">
        <v>2346</v>
      </c>
      <c r="D41" s="265"/>
      <c r="E41" s="265"/>
      <c r="F41" s="265"/>
      <c r="G41" s="265"/>
      <c r="H41" s="265"/>
      <c r="I41" s="265"/>
      <c r="J41" s="265"/>
      <c r="K41" s="265"/>
      <c r="L41" s="275"/>
      <c r="M41" s="275"/>
      <c r="N41" s="275"/>
      <c r="O41" s="275"/>
      <c r="P41" s="275"/>
      <c r="Q41" s="282"/>
      <c r="R41" s="282"/>
      <c r="S41" s="282"/>
      <c r="T41" s="282"/>
      <c r="U41" s="282"/>
      <c r="V41" s="282"/>
      <c r="W41" s="282"/>
      <c r="X41" s="282"/>
      <c r="Y41" s="282"/>
      <c r="Z41" s="282"/>
      <c r="AA41" s="282"/>
      <c r="AB41" s="310">
        <f ca="1">SUMIF(P$6:AA$6,"&gt;"&amp;0,(P28:AA28))+SUMIF(P$6:AA$6,"&gt;"&amp;0,P54:AA54)</f>
        <v>17.216306672007541</v>
      </c>
      <c r="AC41" s="311">
        <f ca="1">AB41/AB$43*100</f>
        <v>15.871213922593292</v>
      </c>
      <c r="AD41" s="268"/>
      <c r="AE41" s="249" t="s">
        <v>2347</v>
      </c>
    </row>
    <row r="42" spans="1:31">
      <c r="C42" s="265" t="s">
        <v>2348</v>
      </c>
      <c r="D42" s="265"/>
      <c r="E42" s="265"/>
      <c r="F42" s="265"/>
      <c r="G42" s="265"/>
      <c r="H42" s="265"/>
      <c r="I42" s="265"/>
      <c r="J42" s="265"/>
      <c r="K42" s="265"/>
      <c r="L42" s="275"/>
      <c r="M42" s="275"/>
      <c r="N42" s="275"/>
      <c r="O42" s="275"/>
      <c r="P42" s="275"/>
      <c r="Q42" s="282"/>
      <c r="R42" s="282"/>
      <c r="S42" s="282"/>
      <c r="T42" s="282"/>
      <c r="U42" s="282"/>
      <c r="V42" s="282"/>
      <c r="W42" s="282"/>
      <c r="X42" s="282"/>
      <c r="Y42" s="282"/>
      <c r="Z42" s="282"/>
      <c r="AA42" s="282"/>
      <c r="AB42" s="267">
        <f ca="1">+AB28+AB54</f>
        <v>15.782404240266619</v>
      </c>
      <c r="AC42" s="311">
        <f ca="1">AB42/AB$43*100</f>
        <v>14.54934084773169</v>
      </c>
      <c r="AD42" s="268"/>
    </row>
    <row r="43" spans="1:31">
      <c r="C43" s="303" t="s">
        <v>2349</v>
      </c>
      <c r="D43" s="304"/>
      <c r="E43" s="295"/>
      <c r="F43" s="295"/>
      <c r="G43" s="295"/>
      <c r="H43" s="295"/>
      <c r="I43" s="295"/>
      <c r="J43" s="295"/>
      <c r="K43" s="295"/>
      <c r="L43" s="295"/>
      <c r="M43" s="295"/>
      <c r="N43" s="295"/>
      <c r="O43" s="295"/>
      <c r="P43" s="295"/>
      <c r="Q43" s="295"/>
      <c r="R43" s="295"/>
      <c r="S43" s="295"/>
      <c r="T43" s="295"/>
      <c r="U43" s="295"/>
      <c r="V43" s="295"/>
      <c r="W43" s="295"/>
      <c r="X43" s="295"/>
      <c r="Y43" s="295"/>
      <c r="Z43" s="295"/>
      <c r="AA43" s="295"/>
      <c r="AB43" s="267">
        <f ca="1">+AB41+AB40+AB42</f>
        <v>108.47504643296035</v>
      </c>
      <c r="AC43" s="313"/>
      <c r="AD43" s="268"/>
    </row>
    <row r="44" spans="1:31">
      <c r="C44" s="303" t="s">
        <v>2350</v>
      </c>
      <c r="D44" s="304"/>
      <c r="E44" s="295"/>
      <c r="F44" s="295"/>
      <c r="G44" s="295"/>
      <c r="H44" s="295"/>
      <c r="I44" s="295"/>
      <c r="J44" s="295"/>
      <c r="K44" s="295"/>
      <c r="L44" s="295"/>
      <c r="M44" s="295"/>
      <c r="N44" s="295"/>
      <c r="O44" s="295"/>
      <c r="P44" s="295"/>
      <c r="Q44" s="295"/>
      <c r="R44" s="295"/>
      <c r="S44" s="295"/>
      <c r="T44" s="295"/>
      <c r="U44" s="295"/>
      <c r="V44" s="295"/>
      <c r="W44" s="295"/>
      <c r="X44" s="295"/>
      <c r="Y44" s="295"/>
      <c r="Z44" s="295"/>
      <c r="AA44" s="295"/>
      <c r="AB44" s="267">
        <f ca="1">AB43*1000/AB50</f>
        <v>36.115451046695632</v>
      </c>
      <c r="AC44" s="268"/>
      <c r="AD44" s="268"/>
      <c r="AE44" s="249">
        <f ca="1">AB43/AB40</f>
        <v>1.437206055177785</v>
      </c>
    </row>
    <row r="45" spans="1:31">
      <c r="C45" s="279" t="s">
        <v>2351</v>
      </c>
      <c r="D45" s="279"/>
      <c r="E45" s="279"/>
      <c r="F45" s="279"/>
      <c r="G45" s="279"/>
      <c r="H45" s="279"/>
      <c r="I45" s="279"/>
      <c r="J45" s="279"/>
      <c r="K45" s="279"/>
      <c r="L45" s="288"/>
      <c r="M45" s="288"/>
      <c r="N45" s="288"/>
      <c r="O45" s="288"/>
      <c r="P45" s="288"/>
      <c r="Q45" s="294"/>
      <c r="R45" s="294"/>
      <c r="S45" s="294"/>
      <c r="T45" s="294"/>
      <c r="U45" s="294"/>
      <c r="V45" s="294"/>
      <c r="W45" s="294"/>
      <c r="X45" s="294"/>
      <c r="Y45" s="294"/>
      <c r="Z45" s="294"/>
      <c r="AA45" s="294"/>
      <c r="AB45" s="314" t="e">
        <f ca="1">Summary!C5</f>
        <v>#NAME?</v>
      </c>
      <c r="AC45" s="274"/>
      <c r="AD45" s="274"/>
    </row>
    <row r="46" spans="1:31">
      <c r="C46" s="279" t="s">
        <v>2352</v>
      </c>
      <c r="D46" s="279"/>
      <c r="E46" s="279"/>
      <c r="F46" s="279"/>
      <c r="G46" s="279"/>
      <c r="H46" s="279"/>
      <c r="I46" s="279"/>
      <c r="J46" s="279"/>
      <c r="K46" s="279"/>
      <c r="L46" s="288"/>
      <c r="M46" s="288"/>
      <c r="N46" s="288"/>
      <c r="O46" s="288"/>
      <c r="P46" s="288"/>
      <c r="Q46" s="294"/>
      <c r="R46" s="294"/>
      <c r="S46" s="294"/>
      <c r="T46" s="294"/>
      <c r="U46" s="294"/>
      <c r="V46" s="294"/>
      <c r="W46" s="294"/>
      <c r="X46" s="294"/>
      <c r="Y46" s="294"/>
      <c r="Z46" s="294"/>
      <c r="AA46" s="294"/>
      <c r="AB46" s="315" t="e">
        <f ca="1">+(AB44-AB45)/AB45*100</f>
        <v>#NAME?</v>
      </c>
      <c r="AC46" s="274"/>
      <c r="AD46" s="274"/>
    </row>
    <row r="47" spans="1:31">
      <c r="C47" s="279"/>
      <c r="D47" s="279"/>
      <c r="E47" s="279"/>
      <c r="F47" s="279"/>
      <c r="G47" s="279"/>
      <c r="H47" s="279"/>
      <c r="I47" s="279"/>
      <c r="J47" s="279"/>
      <c r="K47" s="279"/>
      <c r="L47" s="288"/>
      <c r="M47" s="288"/>
      <c r="N47" s="288"/>
      <c r="O47" s="288"/>
      <c r="P47" s="288"/>
      <c r="Q47" s="294"/>
      <c r="R47" s="294"/>
      <c r="S47" s="294"/>
      <c r="T47" s="294"/>
      <c r="U47" s="294"/>
      <c r="V47" s="294"/>
      <c r="W47" s="294"/>
      <c r="X47" s="294"/>
      <c r="Y47" s="294"/>
      <c r="Z47" s="294"/>
      <c r="AA47" s="294"/>
      <c r="AB47" s="285"/>
      <c r="AC47" s="274"/>
      <c r="AD47" s="274"/>
    </row>
    <row r="48" spans="1:31">
      <c r="C48" s="303" t="s">
        <v>2353</v>
      </c>
      <c r="D48" s="304"/>
      <c r="E48" s="295"/>
      <c r="F48" s="295"/>
      <c r="G48" s="295"/>
      <c r="H48" s="295"/>
      <c r="I48" s="295"/>
      <c r="J48" s="295"/>
      <c r="K48" s="295"/>
      <c r="L48" s="295"/>
      <c r="M48" s="295"/>
      <c r="N48" s="295"/>
      <c r="O48" s="295"/>
      <c r="P48" s="295"/>
      <c r="Q48" s="295"/>
      <c r="R48" s="295"/>
      <c r="S48" s="295"/>
      <c r="T48" s="295"/>
      <c r="U48" s="295"/>
      <c r="V48" s="295"/>
      <c r="W48" s="295"/>
      <c r="X48" s="295"/>
      <c r="Y48" s="295"/>
      <c r="Z48" s="295"/>
      <c r="AA48" s="295"/>
      <c r="AB48" s="316">
        <f ca="1">+AB43/AB40</f>
        <v>1.437206055177785</v>
      </c>
      <c r="AC48" s="268"/>
      <c r="AD48" s="268"/>
    </row>
    <row r="49" spans="1:30">
      <c r="C49" s="279"/>
      <c r="D49" s="279"/>
      <c r="E49" s="279"/>
      <c r="F49" s="279"/>
      <c r="G49" s="279"/>
      <c r="H49" s="279"/>
      <c r="I49" s="279"/>
      <c r="J49" s="279"/>
      <c r="K49" s="279"/>
      <c r="L49" s="279"/>
      <c r="M49" s="279"/>
      <c r="N49" s="279"/>
      <c r="O49" s="279"/>
      <c r="P49" s="279"/>
      <c r="Q49" s="305"/>
      <c r="R49" s="305"/>
      <c r="S49" s="305"/>
      <c r="T49" s="305"/>
      <c r="U49" s="305"/>
      <c r="V49" s="305"/>
      <c r="W49" s="305"/>
      <c r="X49" s="305"/>
      <c r="Y49" s="305"/>
      <c r="Z49" s="305"/>
      <c r="AA49" s="305"/>
      <c r="AB49" s="317"/>
      <c r="AC49" s="274"/>
      <c r="AD49" s="274"/>
    </row>
    <row r="50" spans="1:30">
      <c r="C50" s="318" t="s">
        <v>2354</v>
      </c>
      <c r="D50" s="319"/>
      <c r="E50" s="319"/>
      <c r="F50" s="319"/>
      <c r="G50" s="319"/>
      <c r="H50" s="319"/>
      <c r="I50" s="319"/>
      <c r="J50" s="319"/>
      <c r="K50" s="319"/>
      <c r="L50" s="320"/>
      <c r="M50" s="320"/>
      <c r="N50" s="320"/>
      <c r="O50" s="320"/>
      <c r="P50" s="320"/>
      <c r="Q50" s="321"/>
      <c r="R50" s="321"/>
      <c r="S50" s="321"/>
      <c r="T50" s="321"/>
      <c r="U50" s="321"/>
      <c r="V50" s="321"/>
      <c r="W50" s="321"/>
      <c r="X50" s="321"/>
      <c r="Y50" s="321"/>
      <c r="Z50" s="321"/>
      <c r="AA50" s="321"/>
      <c r="AB50" s="310">
        <f ca="1">SUMPRODUCT(P59:U59,P58:U58)</f>
        <v>3003.5633860063681</v>
      </c>
      <c r="AC50" s="285"/>
      <c r="AD50" s="285"/>
    </row>
    <row r="51" spans="1:30">
      <c r="AB51" s="267"/>
      <c r="AC51" s="312"/>
      <c r="AD51" s="312"/>
    </row>
    <row r="52" spans="1:30">
      <c r="C52" s="294" t="s">
        <v>2355</v>
      </c>
      <c r="D52" s="283"/>
      <c r="E52" s="283"/>
      <c r="F52" s="283"/>
      <c r="G52" s="283"/>
      <c r="H52" s="283"/>
      <c r="I52" s="283"/>
      <c r="J52" s="283"/>
      <c r="K52" s="283"/>
      <c r="L52" s="283"/>
      <c r="M52" s="283"/>
      <c r="N52" s="283"/>
      <c r="O52" s="283"/>
      <c r="P52" s="322">
        <f ca="1">P22/(1+P$10/100)^P$6</f>
        <v>2.1296354393742858</v>
      </c>
      <c r="Q52" s="322">
        <f t="shared" ref="Q52:AA52" ca="1" si="33">Q22/(1+Q$10/100)^Q$6</f>
        <v>2.1182379495685715</v>
      </c>
      <c r="R52" s="322">
        <f t="shared" ca="1" si="33"/>
        <v>2.2589569754744656</v>
      </c>
      <c r="S52" s="322">
        <f t="shared" ca="1" si="33"/>
        <v>2.149279929643567</v>
      </c>
      <c r="T52" s="322">
        <f t="shared" ca="1" si="33"/>
        <v>2.0094696754544876</v>
      </c>
      <c r="U52" s="322">
        <f t="shared" ca="1" si="33"/>
        <v>1.8883948439211751</v>
      </c>
      <c r="V52" s="322">
        <f t="shared" ca="1" si="33"/>
        <v>1.7212526747478119</v>
      </c>
      <c r="W52" s="322">
        <f t="shared" ca="1" si="33"/>
        <v>1.625328595171128</v>
      </c>
      <c r="X52" s="322">
        <f t="shared" ca="1" si="33"/>
        <v>1.5323458357996682</v>
      </c>
      <c r="Y52" s="322">
        <f t="shared" ca="1" si="33"/>
        <v>1.4431123750347015</v>
      </c>
      <c r="Z52" s="322">
        <f t="shared" ca="1" si="33"/>
        <v>1.3572684831820241</v>
      </c>
      <c r="AA52" s="322">
        <f t="shared" ca="1" si="33"/>
        <v>1.2748317294634368</v>
      </c>
      <c r="AB52" s="278">
        <f ca="1">AB22/(1+AB$10/100)^AB$6/((AB10-AB19)/100)</f>
        <v>19.503022726866011</v>
      </c>
      <c r="AC52" s="312"/>
      <c r="AD52" s="312"/>
    </row>
    <row r="53" spans="1:30">
      <c r="A53" s="249" t="s">
        <v>768</v>
      </c>
      <c r="C53" s="294" t="s">
        <v>2356</v>
      </c>
      <c r="D53" s="294"/>
      <c r="E53" s="294"/>
      <c r="F53" s="294"/>
      <c r="G53" s="294"/>
      <c r="H53" s="294"/>
      <c r="I53" s="294"/>
      <c r="J53" s="294"/>
      <c r="K53" s="294"/>
      <c r="L53" s="294"/>
      <c r="M53" s="294"/>
      <c r="N53" s="294"/>
      <c r="O53" s="294"/>
      <c r="P53" s="308">
        <f>VLOOKUP($A53,Model!$1:$1048576,MATCH("fy"&amp;RIGHT(P$4,2)&amp;"a",Model!$1:$1,0),FALSE)*100</f>
        <v>60</v>
      </c>
      <c r="Q53" s="308">
        <f>VLOOKUP($A53,Model!$1:$1048576,MATCH("fy"&amp;RIGHT(Q$4,2)&amp;"A",Model!$1:$1,0),FALSE)*100</f>
        <v>60</v>
      </c>
      <c r="R53" s="308">
        <f>VLOOKUP($A53,Model!$1:$1048576,MATCH("fy"&amp;RIGHT(R$4,2)&amp;"E",Model!$1:$1,0),FALSE)*100</f>
        <v>60</v>
      </c>
      <c r="S53" s="308">
        <f>VLOOKUP($A53,Model!$1:$1048576,MATCH("fy"&amp;RIGHT(S$4,2)&amp;"E",Model!$1:$1,0),FALSE)*100</f>
        <v>60</v>
      </c>
      <c r="T53" s="308">
        <f>VLOOKUP($A53,Model!$1:$1048576,MATCH("fy"&amp;RIGHT(T$4,2)&amp;"E",Model!$1:$1,0),FALSE)*100</f>
        <v>60</v>
      </c>
      <c r="U53" s="308">
        <f>VLOOKUP($A53,Model!$1:$1048576,MATCH("fy"&amp;RIGHT(U$4,2)&amp;"E",Model!$1:$1,0),FALSE)*100</f>
        <v>60</v>
      </c>
      <c r="V53" s="323">
        <f>U53</f>
        <v>60</v>
      </c>
      <c r="W53" s="323">
        <f t="shared" ref="W53:AA53" si="34">V53</f>
        <v>60</v>
      </c>
      <c r="X53" s="323">
        <f t="shared" si="34"/>
        <v>60</v>
      </c>
      <c r="Y53" s="323">
        <f t="shared" si="34"/>
        <v>60</v>
      </c>
      <c r="Z53" s="323">
        <f t="shared" si="34"/>
        <v>60</v>
      </c>
      <c r="AA53" s="323">
        <f t="shared" si="34"/>
        <v>60</v>
      </c>
      <c r="AB53" s="267">
        <f>AA53</f>
        <v>60</v>
      </c>
      <c r="AC53" s="312"/>
      <c r="AD53" s="312"/>
    </row>
    <row r="54" spans="1:30">
      <c r="C54" s="294" t="s">
        <v>2357</v>
      </c>
      <c r="D54" s="294"/>
      <c r="E54" s="294"/>
      <c r="F54" s="294"/>
      <c r="G54" s="294"/>
      <c r="H54" s="294"/>
      <c r="I54" s="294"/>
      <c r="J54" s="294"/>
      <c r="K54" s="294"/>
      <c r="L54" s="294"/>
      <c r="M54" s="294"/>
      <c r="N54" s="294"/>
      <c r="O54" s="294"/>
      <c r="P54" s="308">
        <f t="shared" ref="P54:Y54" ca="1" si="35">P52*P53/100</f>
        <v>1.2777812636245713</v>
      </c>
      <c r="Q54" s="308">
        <f t="shared" ca="1" si="35"/>
        <v>1.2709427697411428</v>
      </c>
      <c r="R54" s="308">
        <f t="shared" ca="1" si="35"/>
        <v>1.3553741852846792</v>
      </c>
      <c r="S54" s="308">
        <f t="shared" ca="1" si="35"/>
        <v>1.2895679577861401</v>
      </c>
      <c r="T54" s="308">
        <f t="shared" ca="1" si="35"/>
        <v>1.2056818052726925</v>
      </c>
      <c r="U54" s="308">
        <f t="shared" ca="1" si="35"/>
        <v>1.133036906352705</v>
      </c>
      <c r="V54" s="308">
        <f t="shared" ca="1" si="35"/>
        <v>1.0327516048486871</v>
      </c>
      <c r="W54" s="308">
        <f t="shared" ca="1" si="35"/>
        <v>0.97519715710267685</v>
      </c>
      <c r="X54" s="308">
        <f t="shared" ca="1" si="35"/>
        <v>0.91940750147980099</v>
      </c>
      <c r="Y54" s="308">
        <f t="shared" ca="1" si="35"/>
        <v>0.86586742502082092</v>
      </c>
      <c r="Z54" s="308">
        <f ca="1">Z52*Z53/100</f>
        <v>0.81436108990921441</v>
      </c>
      <c r="AA54" s="308">
        <f ca="1">AA52*AA53/100</f>
        <v>0.76489903767806211</v>
      </c>
      <c r="AB54" s="267">
        <f ca="1">AB52*AB53/100</f>
        <v>11.701813636119606</v>
      </c>
      <c r="AC54" s="312"/>
      <c r="AD54" s="312"/>
    </row>
    <row r="57" spans="1:30">
      <c r="C57" s="324" t="s">
        <v>2358</v>
      </c>
      <c r="D57" s="324"/>
      <c r="E57" s="324"/>
      <c r="F57" s="324"/>
      <c r="G57" s="324"/>
      <c r="H57" s="324"/>
      <c r="I57" s="324"/>
      <c r="J57" s="324"/>
      <c r="K57" s="324"/>
      <c r="L57" s="324"/>
      <c r="M57" s="324"/>
      <c r="N57" s="324"/>
      <c r="O57" s="324"/>
      <c r="P57" s="324">
        <f ca="1">IF((IF(MONTH($S$3)&lt;=MONTH($S$2),YEAR($S$3),YEAR($S$3)+1))=P$4,IF(MONTH($S$3)&lt;=MONTH($S$2),YEAR($S$3),YEAR($S$3)+1),IF((IF(MONTH($S$3)&lt;=MONTH($S$2),YEAR($S$3),YEAR($S$3)+1))+1=P$4,O57+1,0))</f>
        <v>0</v>
      </c>
      <c r="Q57" s="325">
        <f ca="1">IF((IF(MONTH($S$3)&lt;=MONTH($S$2),YEAR($S$3),YEAR($S$3)+1))=Q$4,IF(MONTH($S$3)&lt;=MONTH($S$2),YEAR($S$3),YEAR($S$3)+1),IF((IF(MONTH($S$3)&lt;=MONTH($S$2),YEAR($S$3),YEAR($S$3)+1))+1=Q$4,P57+1,0))</f>
        <v>0</v>
      </c>
      <c r="R57" s="324">
        <f ca="1">IF((IF(MONTH($S$3)&lt;=MONTH($S$2),YEAR($S$3),YEAR($S$3)+1))=R$4,IF(MONTH($S$3)&lt;=MONTH($S$2),YEAR($S$3),YEAR($S$3)+1),IF((IF(MONTH($S$3)&lt;=MONTH($S$2),YEAR($S$3),YEAR($S$3)+1))+1=R$4,Q57+1,0))</f>
        <v>2026</v>
      </c>
      <c r="S57" s="324">
        <f ca="1">IF((IF(MONTH($S$3)&lt;=MONTH($S$2),YEAR($S$3),YEAR($S$3)+1))=S$4,IF(MONTH($S$3)&lt;=MONTH($S$2),YEAR($S$3),YEAR($S$3)+1),IF((IF(MONTH($S$3)&lt;=MONTH($S$2),YEAR($S$3),YEAR($S$3)+1))+1=S$4,R57+1,0))</f>
        <v>2027</v>
      </c>
      <c r="T57" s="324">
        <f t="shared" ref="T57:AA57" ca="1" si="36">IF((IF(MONTH($S$3)&lt;=MONTH($S$2),YEAR($S$3),YEAR($S$3)+1))=T$4,IF(MONTH($S$3)&lt;=MONTH($S$2),YEAR($S$3),YEAR($S$3)+1),IF((IF(MONTH($S$3)&lt;=MONTH($S$2),YEAR($S$3),YEAR($S$3)+1))+1=T$4,S57+1,0))</f>
        <v>0</v>
      </c>
      <c r="U57" s="324">
        <f t="shared" ca="1" si="36"/>
        <v>0</v>
      </c>
      <c r="V57" s="324">
        <f t="shared" ca="1" si="36"/>
        <v>0</v>
      </c>
      <c r="W57" s="324">
        <f t="shared" ca="1" si="36"/>
        <v>0</v>
      </c>
      <c r="X57" s="324">
        <f t="shared" ca="1" si="36"/>
        <v>0</v>
      </c>
      <c r="Y57" s="324">
        <f t="shared" ca="1" si="36"/>
        <v>0</v>
      </c>
      <c r="Z57" s="324">
        <f t="shared" ca="1" si="36"/>
        <v>0</v>
      </c>
      <c r="AA57" s="324">
        <f t="shared" ca="1" si="36"/>
        <v>0</v>
      </c>
    </row>
    <row r="58" spans="1:30">
      <c r="C58" s="324" t="s">
        <v>2359</v>
      </c>
      <c r="D58" s="324"/>
      <c r="E58" s="324"/>
      <c r="F58" s="324"/>
      <c r="G58" s="324"/>
      <c r="H58" s="324"/>
      <c r="I58" s="324"/>
      <c r="J58" s="324"/>
      <c r="K58" s="324"/>
      <c r="L58" s="324"/>
      <c r="M58" s="324"/>
      <c r="N58" s="324"/>
      <c r="O58" s="324"/>
      <c r="P58" s="326">
        <f ca="1">IF(AND(N57=0,O57=0,P57&gt;0),(EOMONTH(DATE(P57,MONTH($S$2),15),0)-$S$3)/(EOMONTH(DATE(P57,MONTH($S$2),15),0)-EOMONTH(DATE(P57-1,MONTH($S$2),15),0)),IF(AND(N57=0,O57&gt;0,P57&gt;0),1-O58,0))</f>
        <v>0</v>
      </c>
      <c r="Q58" s="326">
        <f ca="1">IF(AND(O57=0,P57=0,Q57&gt;0),(EOMONTH(DATE(Q57,MONTH($S$2),15),0)-$S$3)/(EOMONTH(DATE(Q57,MONTH($S$2),15),0)-EOMONTH(DATE(Q57-1,MONTH($S$2),15),0)),IF(AND(O57=0,P57&gt;0,Q57&gt;0),1-P58,0))</f>
        <v>0</v>
      </c>
      <c r="R58" s="326">
        <f ca="1">IF(AND(P57=0,Q57=0,R57&gt;0),(EOMONTH(DATE(R57,MONTH($S$2),15),0)-$S$3)/(EOMONTH(DATE(R57,MONTH($S$2),15),0)-EOMONTH(DATE(R57-1,MONTH($S$2),15),0)),IF(AND(P57=0,Q57&gt;0,R57&gt;0),1-Q58,0))</f>
        <v>8.2191780821917804E-2</v>
      </c>
      <c r="S58" s="326">
        <f ca="1">IF(AND(Q57=0,R57=0,S57&gt;0),(EOMONTH(DATE(S57,MONTH($S$2),15),0)-$S$3)/(EOMONTH(DATE(S57,MONTH($S$2),15),0)-EOMONTH(DATE(S57-1,MONTH($S$2),15),0)),IF(AND(Q57=0,R57&gt;0,S57&gt;0),1-R58,0))</f>
        <v>0.9178082191780822</v>
      </c>
      <c r="T58" s="326">
        <f t="shared" ref="T58:AA58" ca="1" si="37">IF(AND(R57=0,S57=0,T57&gt;0),(EOMONTH(DATE(T57,MONTH($S$2),15),0)-$S$3)/(EOMONTH(DATE(T57,MONTH($S$2),15),0)-EOMONTH(DATE(T57-1,MONTH($S$2),15),0)),IF(AND(R57=0,S57&gt;0,T57&gt;0),1-S58,0))</f>
        <v>0</v>
      </c>
      <c r="U58" s="326">
        <f t="shared" ca="1" si="37"/>
        <v>0</v>
      </c>
      <c r="V58" s="326">
        <f t="shared" ca="1" si="37"/>
        <v>0</v>
      </c>
      <c r="W58" s="326">
        <f t="shared" ca="1" si="37"/>
        <v>0</v>
      </c>
      <c r="X58" s="326">
        <f t="shared" ca="1" si="37"/>
        <v>0</v>
      </c>
      <c r="Y58" s="326">
        <f t="shared" ca="1" si="37"/>
        <v>0</v>
      </c>
      <c r="Z58" s="326">
        <f t="shared" ca="1" si="37"/>
        <v>0</v>
      </c>
      <c r="AA58" s="326">
        <f t="shared" ca="1" si="37"/>
        <v>0</v>
      </c>
    </row>
    <row r="59" spans="1:30">
      <c r="A59" s="249" t="s">
        <v>757</v>
      </c>
      <c r="C59" s="324" t="s">
        <v>2194</v>
      </c>
      <c r="D59" s="327">
        <f>VLOOKUP($A59,Model!$1:$1048576,MATCH("fy"&amp;RIGHT(D$4,2)&amp;"a",Model!$1:$1,0),FALSE)</f>
        <v>2739.0770558197578</v>
      </c>
      <c r="E59" s="327">
        <f>VLOOKUP($A59,Model!$1:$1048576,MATCH("fy"&amp;RIGHT(E$4,2)&amp;"a",Model!$1:$1,0),FALSE)</f>
        <v>2765.5868543654478</v>
      </c>
      <c r="F59" s="327">
        <f>VLOOKUP($A59,Model!$1:$1048576,MATCH("fy"&amp;RIGHT(F$4,2)&amp;"a",Model!$1:$1,0),FALSE)</f>
        <v>2778.5897593555396</v>
      </c>
      <c r="G59" s="327">
        <f>VLOOKUP($A59,Model!$1:$1048576,MATCH("fy"&amp;RIGHT(G$4,2)&amp;"a",Model!$1:$1,0),FALSE)</f>
        <v>2925.8552181968093</v>
      </c>
      <c r="H59" s="327">
        <f>VLOOKUP($A59,Model!$1:$1048576,MATCH("fy"&amp;RIGHT(H$4,2)&amp;"a",Model!$1:$1,0),FALSE)</f>
        <v>2950.8530510459777</v>
      </c>
      <c r="I59" s="327">
        <f>VLOOKUP($A59,Model!$1:$1048576,MATCH("fy"&amp;RIGHT(I$4,2)&amp;"a",Model!$1:$1,0),FALSE)</f>
        <v>2960.8474739085123</v>
      </c>
      <c r="J59" s="327">
        <f>VLOOKUP($A59,Model!$1:$1048576,MATCH("fy"&amp;RIGHT(J$4,2)&amp;"a",Model!$1:$1,0),FALSE)</f>
        <v>2896.5413462139368</v>
      </c>
      <c r="K59" s="327">
        <f>VLOOKUP($A59,Model!$1:$1048576,MATCH("fy"&amp;RIGHT(K$4,2)&amp;"a",Model!$1:$1,0),FALSE)</f>
        <v>2857.1967783034938</v>
      </c>
      <c r="L59" s="327">
        <f>VLOOKUP($A59,Model!$1:$1048576,MATCH("fy"&amp;RIGHT(L$4,2)&amp;"a",Model!$1:$1,0),FALSE)</f>
        <v>2863.0282304155085</v>
      </c>
      <c r="M59" s="327">
        <f>VLOOKUP($A59,Model!$1:$1048576,MATCH("fy"&amp;RIGHT(M$4,2)&amp;"a",Model!$1:$1,0),FALSE)</f>
        <v>2846.0875891807764</v>
      </c>
      <c r="N59" s="327">
        <f>VLOOKUP($A59,Model!$1:$1048576,MATCH("fy"&amp;RIGHT(N$4,2)&amp;"a",Model!$1:$1,0),FALSE)</f>
        <v>2989.9237509999998</v>
      </c>
      <c r="O59" s="327">
        <f>VLOOKUP($A59,Model!$1:$1048576,MATCH("fy"&amp;RIGHT(O$4,2)&amp;"a",Model!$1:$1,0),FALSE)</f>
        <v>3005.2868859999999</v>
      </c>
      <c r="P59" s="327">
        <f>VLOOKUP($A59,Model!$1:$1048576,MATCH("fy"&amp;RIGHT(P$4,2)&amp;"a",Model!$1:$1,0),FALSE)</f>
        <v>2979.41626</v>
      </c>
      <c r="Q59" s="327">
        <f>VLOOKUP($A59,Model!$1:$1048576,MATCH("fy"&amp;RIGHT(Q$4,2)&amp;"A",Model!$1:$1,0),FALSE)</f>
        <v>2983.52018</v>
      </c>
      <c r="R59" s="327">
        <f>VLOOKUP($A59,Model!$1:$1048576,MATCH("fy"&amp;RIGHT(R$4,2)&amp;"e",Model!$1:$1,0),FALSE)</f>
        <v>3027.2492010175706</v>
      </c>
      <c r="S59" s="327">
        <f>VLOOKUP($A59,Model!$1:$1048576,MATCH("fy"&amp;RIGHT(S$4,2)&amp;"e",Model!$1:$1,0),FALSE)</f>
        <v>3001.4422682441705</v>
      </c>
      <c r="T59" s="327">
        <f>VLOOKUP($A59,Model!$1:$1048576,MATCH("fy"&amp;RIGHT(T$4,2)&amp;"e",Model!$1:$1,0),FALSE)</f>
        <v>2953.1136337895286</v>
      </c>
      <c r="U59" s="327">
        <f>VLOOKUP($A59,Model!$1:$1048576,MATCH("fy"&amp;RIGHT(U$4,2)&amp;"e",Model!$1:$1,0),FALSE)</f>
        <v>2908.8566425306994</v>
      </c>
      <c r="V59" s="327">
        <f>VLOOKUP($A59,Model!$1:$1048576,MATCH("fy"&amp;RIGHT(V$4,2)&amp;"e",Model!$1:$1,0),FALSE)</f>
        <v>2908.8566425306994</v>
      </c>
      <c r="W59" s="327">
        <f>VLOOKUP($A59,Model!$1:$1048576,MATCH("fy"&amp;RIGHT(W$4,2)&amp;"e",Model!$1:$1,0),FALSE)</f>
        <v>2908.8566425306994</v>
      </c>
      <c r="X59" s="327">
        <f>VLOOKUP($A59,Model!$1:$1048576,MATCH("fy"&amp;RIGHT(X$4,2)&amp;"e",Model!$1:$1,0),FALSE)</f>
        <v>2908.8566425306994</v>
      </c>
      <c r="Y59" s="327">
        <f>VLOOKUP($A59,Model!$1:$1048576,MATCH("fy"&amp;RIGHT(Y$4,2)&amp;"e",Model!$1:$1,0),FALSE)</f>
        <v>2908.8566425306994</v>
      </c>
      <c r="Z59" s="327">
        <f>VLOOKUP($A59,Model!$1:$1048576,MATCH("fy"&amp;RIGHT(Z$4,2)&amp;"e",Model!$1:$1,0),FALSE)</f>
        <v>2908.8566425306994</v>
      </c>
      <c r="AA59" s="327" t="e">
        <f>VLOOKUP($A59,Model!$1:$1048576,MATCH("fy"&amp;RIGHT(AA$4,2)&amp;"e",Model!$1:$1,0),FALSE)</f>
        <v>#N/A</v>
      </c>
    </row>
  </sheetData>
  <pageMargins left="0.7" right="0.7" top="0.75" bottom="0.75" header="0.3" footer="0.3"/>
  <pageSetup paperSize="9" scale="19" orientation="landscape" r:id="rId1"/>
  <customProperties>
    <customPr name="Qube.Worksheet.Visibility" r:id="rId2"/>
    <customPr name="SHEET_UNIQUE_ID" r:id="rId3"/>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dimension ref="A1:DG857"/>
  <sheetViews>
    <sheetView workbookViewId="0"/>
  </sheetViews>
  <sheetFormatPr defaultColWidth="10.75" defaultRowHeight="12.75" outlineLevelRow="3" outlineLevelCol="1"/>
  <cols>
    <col min="1" max="1" width="4" style="1" customWidth="1"/>
    <col min="2" max="2" width="27.375" style="15" bestFit="1" customWidth="1"/>
    <col min="3" max="39" width="10.75" style="16" hidden="1" customWidth="1" outlineLevel="1"/>
    <col min="40" max="40" width="10.75" style="16" collapsed="1"/>
    <col min="41" max="55" width="10.75" style="16"/>
    <col min="56" max="57" width="10.75" style="16" customWidth="1"/>
    <col min="58" max="67" width="10.75" style="16" customWidth="1" outlineLevel="1"/>
    <col min="68" max="68" width="4" style="16" customWidth="1"/>
    <col min="69" max="87" width="10.75" style="16" hidden="1" customWidth="1" outlineLevel="1"/>
    <col min="88" max="88" width="10.75" style="16" hidden="1" customWidth="1" outlineLevel="1" collapsed="1"/>
    <col min="89" max="92" width="10.75" style="16" hidden="1" customWidth="1" outlineLevel="1"/>
    <col min="93" max="93" width="10.125" style="16" hidden="1" customWidth="1" outlineLevel="1"/>
    <col min="94" max="94" width="10.75" style="16" hidden="1" customWidth="1" outlineLevel="1"/>
    <col min="95" max="95" width="0" style="16" hidden="1" customWidth="1" outlineLevel="1"/>
    <col min="96" max="96" width="10.75" style="16" collapsed="1"/>
    <col min="97" max="99" width="10.75" style="16"/>
    <col min="100" max="100" width="10.75" style="200" customWidth="1"/>
    <col min="101" max="101" width="10.75" style="16" customWidth="1"/>
    <col min="102" max="103" width="10.625" style="16" customWidth="1"/>
    <col min="104" max="105" width="10.75" customWidth="1"/>
    <col min="106" max="110" width="10.75" hidden="1" customWidth="1" outlineLevel="1"/>
    <col min="111" max="111" width="10.75" style="15" collapsed="1"/>
    <col min="112" max="16384" width="10.75" style="15"/>
  </cols>
  <sheetData>
    <row r="1" spans="1:110" s="4" customFormat="1" ht="12">
      <c r="A1" s="1"/>
      <c r="B1" s="2" t="s">
        <v>646</v>
      </c>
      <c r="C1" s="3" t="s">
        <v>132</v>
      </c>
      <c r="D1" s="3" t="s">
        <v>627</v>
      </c>
      <c r="E1" s="3" t="s">
        <v>628</v>
      </c>
      <c r="F1" s="3" t="s">
        <v>629</v>
      </c>
      <c r="G1" s="3" t="s">
        <v>630</v>
      </c>
      <c r="H1" s="3" t="s">
        <v>631</v>
      </c>
      <c r="I1" s="3" t="s">
        <v>632</v>
      </c>
      <c r="J1" s="3" t="s">
        <v>633</v>
      </c>
      <c r="K1" s="3" t="s">
        <v>634</v>
      </c>
      <c r="L1" s="3" t="s">
        <v>516</v>
      </c>
      <c r="M1" s="3" t="s">
        <v>517</v>
      </c>
      <c r="N1" s="3" t="s">
        <v>518</v>
      </c>
      <c r="O1" s="3" t="s">
        <v>519</v>
      </c>
      <c r="P1" s="3" t="s">
        <v>520</v>
      </c>
      <c r="Q1" s="3" t="s">
        <v>521</v>
      </c>
      <c r="R1" s="3" t="s">
        <v>522</v>
      </c>
      <c r="S1" s="3" t="s">
        <v>523</v>
      </c>
      <c r="T1" s="3" t="s">
        <v>524</v>
      </c>
      <c r="U1" s="3" t="s">
        <v>525</v>
      </c>
      <c r="V1" s="3" t="s">
        <v>526</v>
      </c>
      <c r="W1" s="3" t="s">
        <v>512</v>
      </c>
      <c r="X1" s="3" t="s">
        <v>513</v>
      </c>
      <c r="Y1" s="3" t="s">
        <v>514</v>
      </c>
      <c r="Z1" s="3" t="s">
        <v>2256</v>
      </c>
      <c r="AA1" s="3" t="s">
        <v>2362</v>
      </c>
      <c r="AB1" s="3" t="s">
        <v>2369</v>
      </c>
      <c r="AC1" s="3" t="s">
        <v>2375</v>
      </c>
      <c r="AD1" s="3" t="s">
        <v>2379</v>
      </c>
      <c r="AE1" s="3" t="s">
        <v>2382</v>
      </c>
      <c r="AF1" s="3" t="s">
        <v>2387</v>
      </c>
      <c r="AG1" s="3" t="s">
        <v>2398</v>
      </c>
      <c r="AH1" s="3" t="s">
        <v>2402</v>
      </c>
      <c r="AI1" s="3" t="s">
        <v>2405</v>
      </c>
      <c r="AJ1" s="3" t="s">
        <v>2409</v>
      </c>
      <c r="AK1" s="3" t="s">
        <v>2411</v>
      </c>
      <c r="AL1" s="3" t="s">
        <v>2415</v>
      </c>
      <c r="AM1" s="3" t="s">
        <v>2417</v>
      </c>
      <c r="AN1" s="3" t="s">
        <v>2422</v>
      </c>
      <c r="AO1" s="3" t="s">
        <v>2424</v>
      </c>
      <c r="AP1" s="3" t="s">
        <v>2428</v>
      </c>
      <c r="AQ1" s="3" t="s">
        <v>2429</v>
      </c>
      <c r="AR1" s="3" t="s">
        <v>2447</v>
      </c>
      <c r="AS1" s="3" t="s">
        <v>2449</v>
      </c>
      <c r="AT1" s="3" t="s">
        <v>2454</v>
      </c>
      <c r="AU1" s="3" t="s">
        <v>2456</v>
      </c>
      <c r="AV1" s="195" t="s">
        <v>2461</v>
      </c>
      <c r="AW1" s="3" t="s">
        <v>2376</v>
      </c>
      <c r="AX1" s="3" t="s">
        <v>2383</v>
      </c>
      <c r="AY1" s="3" t="s">
        <v>2384</v>
      </c>
      <c r="AZ1" s="3" t="s">
        <v>2399</v>
      </c>
      <c r="BA1" s="3" t="s">
        <v>2400</v>
      </c>
      <c r="BB1" s="3" t="s">
        <v>2406</v>
      </c>
      <c r="BC1" s="3" t="s">
        <v>2407</v>
      </c>
      <c r="BD1" s="3" t="s">
        <v>2412</v>
      </c>
      <c r="BE1" s="3" t="s">
        <v>2413</v>
      </c>
      <c r="BF1" s="3" t="s">
        <v>2418</v>
      </c>
      <c r="BG1" s="3" t="s">
        <v>2419</v>
      </c>
      <c r="BH1" s="3" t="s">
        <v>2425</v>
      </c>
      <c r="BI1" s="3" t="s">
        <v>2426</v>
      </c>
      <c r="BJ1" s="3" t="s">
        <v>2430</v>
      </c>
      <c r="BK1" s="3" t="s">
        <v>2431</v>
      </c>
      <c r="BL1" s="3" t="s">
        <v>2450</v>
      </c>
      <c r="BM1" s="3" t="s">
        <v>2451</v>
      </c>
      <c r="BN1" s="3" t="s">
        <v>2457</v>
      </c>
      <c r="BO1" s="3" t="s">
        <v>2458</v>
      </c>
      <c r="BP1" s="3"/>
      <c r="BQ1" s="3" t="s">
        <v>208</v>
      </c>
      <c r="BR1" s="3" t="s">
        <v>779</v>
      </c>
      <c r="BS1" s="3" t="s">
        <v>780</v>
      </c>
      <c r="BT1" s="3" t="s">
        <v>915</v>
      </c>
      <c r="BU1" s="3" t="s">
        <v>916</v>
      </c>
      <c r="BV1" s="3" t="s">
        <v>917</v>
      </c>
      <c r="BW1" s="3" t="s">
        <v>918</v>
      </c>
      <c r="BX1" s="3" t="s">
        <v>919</v>
      </c>
      <c r="BY1" s="3" t="s">
        <v>209</v>
      </c>
      <c r="BZ1" s="3" t="s">
        <v>920</v>
      </c>
      <c r="CA1" s="3" t="s">
        <v>921</v>
      </c>
      <c r="CB1" s="3" t="s">
        <v>788</v>
      </c>
      <c r="CC1" s="3" t="s">
        <v>789</v>
      </c>
      <c r="CD1" s="3" t="s">
        <v>790</v>
      </c>
      <c r="CE1" s="3" t="s">
        <v>791</v>
      </c>
      <c r="CF1" s="3" t="s">
        <v>792</v>
      </c>
      <c r="CG1" s="3" t="s">
        <v>793</v>
      </c>
      <c r="CH1" s="3" t="s">
        <v>794</v>
      </c>
      <c r="CI1" s="3" t="s">
        <v>795</v>
      </c>
      <c r="CJ1" s="3" t="s">
        <v>796</v>
      </c>
      <c r="CK1" s="3" t="s">
        <v>797</v>
      </c>
      <c r="CL1" s="3" t="s">
        <v>2363</v>
      </c>
      <c r="CM1" s="3" t="s">
        <v>2377</v>
      </c>
      <c r="CN1" s="3" t="s">
        <v>2381</v>
      </c>
      <c r="CO1" s="3" t="s">
        <v>2397</v>
      </c>
      <c r="CP1" s="3" t="s">
        <v>2404</v>
      </c>
      <c r="CQ1" s="3" t="s">
        <v>2410</v>
      </c>
      <c r="CR1" s="3" t="s">
        <v>2416</v>
      </c>
      <c r="CS1" s="3" t="s">
        <v>2423</v>
      </c>
      <c r="CT1" s="3" t="s">
        <v>2432</v>
      </c>
      <c r="CU1" s="3" t="s">
        <v>2452</v>
      </c>
      <c r="CV1" s="195" t="s">
        <v>2459</v>
      </c>
      <c r="CW1" s="3" t="s">
        <v>2378</v>
      </c>
      <c r="CX1" s="3" t="s">
        <v>2385</v>
      </c>
      <c r="CY1" s="3" t="s">
        <v>2401</v>
      </c>
      <c r="CZ1" s="3" t="s">
        <v>2408</v>
      </c>
      <c r="DA1" s="3" t="s">
        <v>2414</v>
      </c>
      <c r="DB1" s="3" t="s">
        <v>2420</v>
      </c>
      <c r="DC1" s="3" t="s">
        <v>2427</v>
      </c>
      <c r="DD1" s="3" t="s">
        <v>2433</v>
      </c>
      <c r="DE1" s="3" t="s">
        <v>2453</v>
      </c>
      <c r="DF1" s="3" t="s">
        <v>2460</v>
      </c>
    </row>
    <row r="2" spans="1:110" s="7" customFormat="1" ht="12" hidden="1">
      <c r="A2" s="1"/>
      <c r="B2" s="5" t="s">
        <v>798</v>
      </c>
      <c r="C2" s="6" t="s">
        <v>799</v>
      </c>
      <c r="D2" s="6" t="s">
        <v>799</v>
      </c>
      <c r="E2" s="6" t="s">
        <v>799</v>
      </c>
      <c r="F2" s="6" t="s">
        <v>799</v>
      </c>
      <c r="G2" s="6" t="s">
        <v>799</v>
      </c>
      <c r="H2" s="6" t="s">
        <v>799</v>
      </c>
      <c r="I2" s="6" t="s">
        <v>799</v>
      </c>
      <c r="J2" s="6" t="s">
        <v>799</v>
      </c>
      <c r="K2" s="6" t="s">
        <v>799</v>
      </c>
      <c r="L2" s="6" t="s">
        <v>799</v>
      </c>
      <c r="M2" s="6" t="s">
        <v>799</v>
      </c>
      <c r="N2" s="6" t="s">
        <v>799</v>
      </c>
      <c r="O2" s="6" t="s">
        <v>799</v>
      </c>
      <c r="P2" s="6" t="s">
        <v>799</v>
      </c>
      <c r="Q2" s="6" t="s">
        <v>799</v>
      </c>
      <c r="R2" s="6" t="s">
        <v>799</v>
      </c>
      <c r="S2" s="6" t="s">
        <v>799</v>
      </c>
      <c r="T2" s="6" t="s">
        <v>799</v>
      </c>
      <c r="U2" s="6" t="s">
        <v>799</v>
      </c>
      <c r="V2" s="6" t="s">
        <v>799</v>
      </c>
      <c r="W2" s="6" t="s">
        <v>799</v>
      </c>
      <c r="X2" s="6" t="s">
        <v>799</v>
      </c>
      <c r="Y2" s="6" t="s">
        <v>799</v>
      </c>
      <c r="Z2" s="6" t="s">
        <v>799</v>
      </c>
      <c r="AA2" s="6" t="s">
        <v>799</v>
      </c>
      <c r="AB2" s="6" t="s">
        <v>799</v>
      </c>
      <c r="AC2" s="6" t="s">
        <v>799</v>
      </c>
      <c r="AD2" s="6" t="s">
        <v>799</v>
      </c>
      <c r="AE2" s="6" t="s">
        <v>799</v>
      </c>
      <c r="AF2" s="6" t="s">
        <v>799</v>
      </c>
      <c r="AG2" s="6" t="s">
        <v>799</v>
      </c>
      <c r="AH2" s="6" t="s">
        <v>799</v>
      </c>
      <c r="AI2" s="6" t="s">
        <v>799</v>
      </c>
      <c r="AJ2" s="6" t="s">
        <v>799</v>
      </c>
      <c r="AK2" s="6" t="s">
        <v>799</v>
      </c>
      <c r="AL2" s="6" t="s">
        <v>799</v>
      </c>
      <c r="AM2" s="6" t="s">
        <v>799</v>
      </c>
      <c r="AN2" s="6" t="s">
        <v>799</v>
      </c>
      <c r="AO2" s="6" t="s">
        <v>799</v>
      </c>
      <c r="AP2" s="6" t="s">
        <v>799</v>
      </c>
      <c r="AQ2" s="6" t="s">
        <v>799</v>
      </c>
      <c r="AR2" s="6" t="s">
        <v>799</v>
      </c>
      <c r="AS2" s="6" t="s">
        <v>799</v>
      </c>
      <c r="AT2" s="6" t="s">
        <v>799</v>
      </c>
      <c r="AU2" s="6" t="s">
        <v>799</v>
      </c>
      <c r="AV2" s="196" t="s">
        <v>799</v>
      </c>
      <c r="AW2" s="6" t="s">
        <v>2255</v>
      </c>
      <c r="AX2" s="6" t="s">
        <v>2255</v>
      </c>
      <c r="AY2" s="6" t="s">
        <v>2255</v>
      </c>
      <c r="AZ2" s="6" t="s">
        <v>2255</v>
      </c>
      <c r="BA2" s="6" t="s">
        <v>2255</v>
      </c>
      <c r="BB2" s="6" t="s">
        <v>2255</v>
      </c>
      <c r="BC2" s="6" t="s">
        <v>2255</v>
      </c>
      <c r="BD2" s="6" t="s">
        <v>2255</v>
      </c>
      <c r="BE2" s="6" t="s">
        <v>2255</v>
      </c>
      <c r="BF2" s="6" t="s">
        <v>2255</v>
      </c>
      <c r="BG2" s="6" t="s">
        <v>2255</v>
      </c>
      <c r="BH2" s="6" t="s">
        <v>2255</v>
      </c>
      <c r="BI2" s="6" t="s">
        <v>2255</v>
      </c>
      <c r="BJ2" s="6" t="s">
        <v>2255</v>
      </c>
      <c r="BK2" s="6" t="s">
        <v>2255</v>
      </c>
      <c r="BL2" s="6" t="s">
        <v>2255</v>
      </c>
      <c r="BM2" s="6" t="s">
        <v>2255</v>
      </c>
      <c r="BN2" s="6" t="s">
        <v>2255</v>
      </c>
      <c r="BO2" s="6" t="s">
        <v>2255</v>
      </c>
      <c r="BP2" s="6"/>
      <c r="BQ2" s="6" t="s">
        <v>799</v>
      </c>
      <c r="BR2" s="6" t="s">
        <v>799</v>
      </c>
      <c r="BS2" s="6" t="s">
        <v>799</v>
      </c>
      <c r="BT2" s="6" t="s">
        <v>799</v>
      </c>
      <c r="BU2" s="6" t="s">
        <v>799</v>
      </c>
      <c r="BV2" s="6" t="s">
        <v>799</v>
      </c>
      <c r="BW2" s="6" t="s">
        <v>799</v>
      </c>
      <c r="BX2" s="6" t="s">
        <v>799</v>
      </c>
      <c r="BY2" s="6" t="s">
        <v>799</v>
      </c>
      <c r="BZ2" s="6" t="s">
        <v>799</v>
      </c>
      <c r="CA2" s="6" t="s">
        <v>799</v>
      </c>
      <c r="CB2" s="6" t="s">
        <v>799</v>
      </c>
      <c r="CC2" s="6" t="s">
        <v>799</v>
      </c>
      <c r="CD2" s="6" t="s">
        <v>799</v>
      </c>
      <c r="CE2" s="6" t="s">
        <v>799</v>
      </c>
      <c r="CF2" s="6" t="s">
        <v>799</v>
      </c>
      <c r="CG2" s="6" t="s">
        <v>799</v>
      </c>
      <c r="CH2" s="6" t="s">
        <v>799</v>
      </c>
      <c r="CI2" s="6" t="s">
        <v>799</v>
      </c>
      <c r="CJ2" s="6" t="s">
        <v>799</v>
      </c>
      <c r="CK2" s="6" t="s">
        <v>799</v>
      </c>
      <c r="CL2" s="6" t="s">
        <v>799</v>
      </c>
      <c r="CM2" s="6" t="s">
        <v>799</v>
      </c>
      <c r="CN2" s="6" t="s">
        <v>799</v>
      </c>
      <c r="CO2" s="6" t="s">
        <v>799</v>
      </c>
      <c r="CP2" s="6" t="s">
        <v>799</v>
      </c>
      <c r="CQ2" s="6" t="s">
        <v>799</v>
      </c>
      <c r="CR2" s="6" t="s">
        <v>799</v>
      </c>
      <c r="CS2" s="6" t="s">
        <v>799</v>
      </c>
      <c r="CT2" s="6" t="s">
        <v>799</v>
      </c>
      <c r="CU2" s="6" t="s">
        <v>799</v>
      </c>
      <c r="CV2" s="196" t="s">
        <v>799</v>
      </c>
      <c r="CW2" s="6" t="s">
        <v>2255</v>
      </c>
      <c r="CX2" s="6" t="s">
        <v>2255</v>
      </c>
      <c r="CY2" s="6" t="s">
        <v>2255</v>
      </c>
      <c r="CZ2" s="6" t="s">
        <v>2255</v>
      </c>
      <c r="DA2" s="6" t="s">
        <v>2255</v>
      </c>
      <c r="DB2" s="6" t="s">
        <v>2255</v>
      </c>
      <c r="DC2" s="6" t="s">
        <v>2255</v>
      </c>
      <c r="DD2" s="6" t="s">
        <v>2255</v>
      </c>
      <c r="DE2" s="6" t="s">
        <v>2255</v>
      </c>
      <c r="DF2" s="6" t="s">
        <v>2255</v>
      </c>
    </row>
    <row r="3" spans="1:110" s="4" customFormat="1" ht="12">
      <c r="A3" s="1"/>
      <c r="B3" s="5" t="s">
        <v>647</v>
      </c>
      <c r="C3" s="6">
        <v>37164</v>
      </c>
      <c r="D3" s="6">
        <v>37346</v>
      </c>
      <c r="E3" s="6">
        <v>37529</v>
      </c>
      <c r="F3" s="6">
        <v>37711</v>
      </c>
      <c r="G3" s="6">
        <v>37894</v>
      </c>
      <c r="H3" s="6">
        <v>38077</v>
      </c>
      <c r="I3" s="6">
        <v>38260</v>
      </c>
      <c r="J3" s="6">
        <v>38442</v>
      </c>
      <c r="K3" s="6">
        <v>38625</v>
      </c>
      <c r="L3" s="6">
        <v>38807</v>
      </c>
      <c r="M3" s="6">
        <v>38990</v>
      </c>
      <c r="N3" s="6">
        <v>39172</v>
      </c>
      <c r="O3" s="6">
        <v>39355</v>
      </c>
      <c r="P3" s="6">
        <v>39538</v>
      </c>
      <c r="Q3" s="6">
        <v>39721</v>
      </c>
      <c r="R3" s="6">
        <v>39903</v>
      </c>
      <c r="S3" s="6">
        <v>40086</v>
      </c>
      <c r="T3" s="6">
        <v>40268</v>
      </c>
      <c r="U3" s="6">
        <v>40451</v>
      </c>
      <c r="V3" s="6">
        <v>40633</v>
      </c>
      <c r="W3" s="6">
        <v>40816</v>
      </c>
      <c r="X3" s="6">
        <v>40999</v>
      </c>
      <c r="Y3" s="6">
        <v>41182</v>
      </c>
      <c r="Z3" s="6">
        <v>41364</v>
      </c>
      <c r="AA3" s="6">
        <v>41547</v>
      </c>
      <c r="AB3" s="6">
        <v>41729</v>
      </c>
      <c r="AC3" s="6">
        <v>41912</v>
      </c>
      <c r="AD3" s="6">
        <v>42094</v>
      </c>
      <c r="AE3" s="6">
        <v>42277</v>
      </c>
      <c r="AF3" s="6">
        <v>42460</v>
      </c>
      <c r="AG3" s="6">
        <v>42643</v>
      </c>
      <c r="AH3" s="6">
        <v>42825</v>
      </c>
      <c r="AI3" s="6">
        <v>43008</v>
      </c>
      <c r="AJ3" s="6">
        <v>43190</v>
      </c>
      <c r="AK3" s="6">
        <v>43373</v>
      </c>
      <c r="AL3" s="6">
        <v>43555</v>
      </c>
      <c r="AM3" s="6">
        <v>43738</v>
      </c>
      <c r="AN3" s="6">
        <v>43921</v>
      </c>
      <c r="AO3" s="6">
        <v>44104</v>
      </c>
      <c r="AP3" s="6">
        <v>44286</v>
      </c>
      <c r="AQ3" s="6">
        <v>44469</v>
      </c>
      <c r="AR3" s="6">
        <v>44651</v>
      </c>
      <c r="AS3" s="6">
        <v>44834</v>
      </c>
      <c r="AT3" s="6">
        <v>45016</v>
      </c>
      <c r="AU3" s="6">
        <v>45199</v>
      </c>
      <c r="AV3" s="196">
        <v>45382</v>
      </c>
      <c r="AW3" s="6">
        <v>45565</v>
      </c>
      <c r="AX3" s="6">
        <v>45747</v>
      </c>
      <c r="AY3" s="6">
        <v>45930</v>
      </c>
      <c r="AZ3" s="6">
        <v>46112</v>
      </c>
      <c r="BA3" s="6">
        <v>46295</v>
      </c>
      <c r="BB3" s="6">
        <v>46477</v>
      </c>
      <c r="BC3" s="6">
        <v>46660</v>
      </c>
      <c r="BD3" s="6">
        <v>46843</v>
      </c>
      <c r="BE3" s="6">
        <v>47026</v>
      </c>
      <c r="BF3" s="6">
        <v>47208</v>
      </c>
      <c r="BG3" s="6">
        <v>47391</v>
      </c>
      <c r="BH3" s="6">
        <v>47573</v>
      </c>
      <c r="BI3" s="6">
        <v>47756</v>
      </c>
      <c r="BJ3" s="6">
        <v>47938</v>
      </c>
      <c r="BK3" s="6">
        <v>48121</v>
      </c>
      <c r="BL3" s="6">
        <v>48304</v>
      </c>
      <c r="BM3" s="6">
        <v>48487</v>
      </c>
      <c r="BN3" s="6">
        <v>48669</v>
      </c>
      <c r="BO3" s="6">
        <v>48852</v>
      </c>
      <c r="BP3" s="8"/>
      <c r="BQ3" s="6">
        <v>33877</v>
      </c>
      <c r="BR3" s="6">
        <v>34242</v>
      </c>
      <c r="BS3" s="6">
        <v>34607</v>
      </c>
      <c r="BT3" s="6">
        <v>34972</v>
      </c>
      <c r="BU3" s="6">
        <v>35338</v>
      </c>
      <c r="BV3" s="6">
        <v>35703</v>
      </c>
      <c r="BW3" s="6">
        <v>36068</v>
      </c>
      <c r="BX3" s="6">
        <v>36433</v>
      </c>
      <c r="BY3" s="6">
        <v>36799</v>
      </c>
      <c r="BZ3" s="6">
        <v>37164</v>
      </c>
      <c r="CA3" s="6">
        <v>37529</v>
      </c>
      <c r="CB3" s="6">
        <v>37894</v>
      </c>
      <c r="CC3" s="6">
        <v>38260</v>
      </c>
      <c r="CD3" s="6">
        <v>38625</v>
      </c>
      <c r="CE3" s="6">
        <v>38990</v>
      </c>
      <c r="CF3" s="6">
        <v>39355</v>
      </c>
      <c r="CG3" s="6">
        <v>39721</v>
      </c>
      <c r="CH3" s="6">
        <v>40086</v>
      </c>
      <c r="CI3" s="6">
        <v>40451</v>
      </c>
      <c r="CJ3" s="6">
        <v>40816</v>
      </c>
      <c r="CK3" s="6">
        <v>41182</v>
      </c>
      <c r="CL3" s="6">
        <v>41547</v>
      </c>
      <c r="CM3" s="6">
        <v>41912</v>
      </c>
      <c r="CN3" s="6">
        <v>42277</v>
      </c>
      <c r="CO3" s="6">
        <v>42643</v>
      </c>
      <c r="CP3" s="6">
        <v>43008</v>
      </c>
      <c r="CQ3" s="6">
        <v>43373</v>
      </c>
      <c r="CR3" s="6">
        <v>43738</v>
      </c>
      <c r="CS3" s="6">
        <v>44104</v>
      </c>
      <c r="CT3" s="6">
        <v>44469</v>
      </c>
      <c r="CU3" s="6">
        <v>44834</v>
      </c>
      <c r="CV3" s="196">
        <v>45199</v>
      </c>
      <c r="CW3" s="6">
        <v>45565</v>
      </c>
      <c r="CX3" s="6">
        <v>45930</v>
      </c>
      <c r="CY3" s="6">
        <v>46295</v>
      </c>
      <c r="CZ3" s="6">
        <v>46660</v>
      </c>
      <c r="DA3" s="6">
        <v>47026</v>
      </c>
      <c r="DB3" s="6">
        <v>47391</v>
      </c>
      <c r="DC3" s="6">
        <v>47756</v>
      </c>
      <c r="DD3" s="6">
        <v>48121</v>
      </c>
      <c r="DE3" s="6">
        <v>48487</v>
      </c>
      <c r="DF3" s="6">
        <v>48852</v>
      </c>
    </row>
    <row r="4" spans="1:110" s="4" customFormat="1" ht="12">
      <c r="A4" s="1"/>
      <c r="B4" s="5" t="s">
        <v>540</v>
      </c>
      <c r="C4" s="9"/>
      <c r="D4" s="9" t="s">
        <v>800</v>
      </c>
      <c r="E4" s="9" t="s">
        <v>800</v>
      </c>
      <c r="F4" s="9" t="s">
        <v>800</v>
      </c>
      <c r="G4" s="9" t="s">
        <v>800</v>
      </c>
      <c r="H4" s="9" t="s">
        <v>800</v>
      </c>
      <c r="I4" s="9" t="s">
        <v>800</v>
      </c>
      <c r="J4" s="9" t="s">
        <v>800</v>
      </c>
      <c r="K4" s="9" t="s">
        <v>800</v>
      </c>
      <c r="L4" s="9" t="s">
        <v>800</v>
      </c>
      <c r="M4" s="9" t="s">
        <v>800</v>
      </c>
      <c r="N4" s="9" t="s">
        <v>800</v>
      </c>
      <c r="O4" s="9" t="s">
        <v>800</v>
      </c>
      <c r="P4" s="9" t="s">
        <v>800</v>
      </c>
      <c r="Q4" s="9" t="s">
        <v>800</v>
      </c>
      <c r="R4" s="9" t="s">
        <v>800</v>
      </c>
      <c r="S4" s="9" t="s">
        <v>800</v>
      </c>
      <c r="T4" s="9" t="s">
        <v>800</v>
      </c>
      <c r="U4" s="9" t="s">
        <v>800</v>
      </c>
      <c r="V4" s="9" t="s">
        <v>800</v>
      </c>
      <c r="W4" s="9" t="s">
        <v>800</v>
      </c>
      <c r="X4" s="9" t="s">
        <v>800</v>
      </c>
      <c r="Y4" s="9" t="s">
        <v>800</v>
      </c>
      <c r="Z4" s="9" t="s">
        <v>800</v>
      </c>
      <c r="AA4" s="9" t="s">
        <v>800</v>
      </c>
      <c r="AB4" s="9" t="s">
        <v>800</v>
      </c>
      <c r="AC4" s="9" t="s">
        <v>800</v>
      </c>
      <c r="AD4" s="9" t="s">
        <v>800</v>
      </c>
      <c r="AE4" s="9" t="s">
        <v>800</v>
      </c>
      <c r="AF4" s="9" t="s">
        <v>800</v>
      </c>
      <c r="AG4" s="9" t="s">
        <v>800</v>
      </c>
      <c r="AH4" s="9" t="s">
        <v>800</v>
      </c>
      <c r="AI4" s="9" t="s">
        <v>800</v>
      </c>
      <c r="AJ4" s="9" t="s">
        <v>800</v>
      </c>
      <c r="AK4" s="9" t="s">
        <v>800</v>
      </c>
      <c r="AL4" s="9" t="s">
        <v>800</v>
      </c>
      <c r="AM4" s="9" t="s">
        <v>800</v>
      </c>
      <c r="AN4" s="9" t="s">
        <v>800</v>
      </c>
      <c r="AO4" s="9" t="s">
        <v>800</v>
      </c>
      <c r="AP4" s="9" t="s">
        <v>800</v>
      </c>
      <c r="AQ4" s="9" t="s">
        <v>800</v>
      </c>
      <c r="AR4" s="9" t="s">
        <v>800</v>
      </c>
      <c r="AS4" s="9" t="s">
        <v>800</v>
      </c>
      <c r="AT4" s="9" t="s">
        <v>800</v>
      </c>
      <c r="AU4" s="9" t="s">
        <v>800</v>
      </c>
      <c r="AV4" s="197" t="s">
        <v>800</v>
      </c>
      <c r="AW4" s="9" t="s">
        <v>800</v>
      </c>
      <c r="AX4" s="9" t="s">
        <v>800</v>
      </c>
      <c r="AY4" s="9" t="s">
        <v>800</v>
      </c>
      <c r="AZ4" s="9" t="s">
        <v>800</v>
      </c>
      <c r="BA4" s="9" t="s">
        <v>800</v>
      </c>
      <c r="BB4" s="9" t="s">
        <v>800</v>
      </c>
      <c r="BC4" s="9" t="s">
        <v>800</v>
      </c>
      <c r="BD4" s="9" t="s">
        <v>800</v>
      </c>
      <c r="BE4" s="9" t="s">
        <v>800</v>
      </c>
      <c r="BF4" s="9" t="s">
        <v>800</v>
      </c>
      <c r="BG4" s="9" t="s">
        <v>800</v>
      </c>
      <c r="BH4" s="9" t="s">
        <v>800</v>
      </c>
      <c r="BI4" s="9" t="s">
        <v>800</v>
      </c>
      <c r="BJ4" s="9" t="s">
        <v>800</v>
      </c>
      <c r="BK4" s="9" t="s">
        <v>800</v>
      </c>
      <c r="BL4" s="9" t="s">
        <v>800</v>
      </c>
      <c r="BM4" s="9" t="s">
        <v>800</v>
      </c>
      <c r="BN4" s="9" t="s">
        <v>800</v>
      </c>
      <c r="BO4" s="9" t="s">
        <v>800</v>
      </c>
      <c r="BP4" s="10"/>
      <c r="BQ4" s="9"/>
      <c r="BR4" s="9" t="s">
        <v>800</v>
      </c>
      <c r="BS4" s="9" t="s">
        <v>800</v>
      </c>
      <c r="BT4" s="9" t="s">
        <v>800</v>
      </c>
      <c r="BU4" s="9" t="s">
        <v>800</v>
      </c>
      <c r="BV4" s="9" t="s">
        <v>800</v>
      </c>
      <c r="BW4" s="9" t="s">
        <v>800</v>
      </c>
      <c r="BX4" s="9" t="s">
        <v>800</v>
      </c>
      <c r="BY4" s="9" t="s">
        <v>800</v>
      </c>
      <c r="BZ4" s="9" t="s">
        <v>800</v>
      </c>
      <c r="CA4" s="9" t="s">
        <v>800</v>
      </c>
      <c r="CB4" s="9" t="s">
        <v>800</v>
      </c>
      <c r="CC4" s="9" t="s">
        <v>800</v>
      </c>
      <c r="CD4" s="9" t="s">
        <v>800</v>
      </c>
      <c r="CE4" s="9" t="s">
        <v>800</v>
      </c>
      <c r="CF4" s="9" t="s">
        <v>800</v>
      </c>
      <c r="CG4" s="9" t="s">
        <v>800</v>
      </c>
      <c r="CH4" s="9" t="s">
        <v>800</v>
      </c>
      <c r="CI4" s="9" t="s">
        <v>800</v>
      </c>
      <c r="CJ4" s="9" t="s">
        <v>800</v>
      </c>
      <c r="CK4" s="9" t="s">
        <v>800</v>
      </c>
      <c r="CL4" s="9" t="s">
        <v>800</v>
      </c>
      <c r="CM4" s="9" t="s">
        <v>800</v>
      </c>
      <c r="CN4" s="9" t="s">
        <v>800</v>
      </c>
      <c r="CO4" s="9" t="s">
        <v>800</v>
      </c>
      <c r="CP4" s="9" t="s">
        <v>800</v>
      </c>
      <c r="CQ4" s="9" t="s">
        <v>800</v>
      </c>
      <c r="CR4" s="9" t="s">
        <v>800</v>
      </c>
      <c r="CS4" s="9" t="s">
        <v>800</v>
      </c>
      <c r="CT4" s="9" t="s">
        <v>800</v>
      </c>
      <c r="CU4" s="9" t="s">
        <v>800</v>
      </c>
      <c r="CV4" s="197" t="s">
        <v>800</v>
      </c>
      <c r="CW4" s="9" t="s">
        <v>800</v>
      </c>
      <c r="CX4" s="9" t="s">
        <v>2462</v>
      </c>
      <c r="CY4" s="9" t="s">
        <v>800</v>
      </c>
      <c r="CZ4" s="9" t="s">
        <v>800</v>
      </c>
      <c r="DA4" s="9" t="s">
        <v>800</v>
      </c>
      <c r="DB4" s="9" t="s">
        <v>800</v>
      </c>
      <c r="DC4" s="9" t="s">
        <v>800</v>
      </c>
      <c r="DD4" s="9" t="s">
        <v>800</v>
      </c>
      <c r="DE4" s="9" t="s">
        <v>800</v>
      </c>
      <c r="DF4" s="9" t="s">
        <v>800</v>
      </c>
    </row>
    <row r="5" spans="1:110" s="14" customFormat="1" ht="12">
      <c r="A5" s="1" t="s">
        <v>1017</v>
      </c>
      <c r="B5" s="5" t="s">
        <v>541</v>
      </c>
      <c r="C5" s="11">
        <v>1.9945355191256831</v>
      </c>
      <c r="D5" s="11">
        <v>2.0054945054945055</v>
      </c>
      <c r="E5" s="11">
        <v>1.9945355191256831</v>
      </c>
      <c r="F5" s="11">
        <v>2.0054945054945055</v>
      </c>
      <c r="G5" s="11">
        <v>1.9945355191256831</v>
      </c>
      <c r="H5" s="11">
        <v>2</v>
      </c>
      <c r="I5" s="11">
        <v>2</v>
      </c>
      <c r="J5" s="11">
        <v>2.0054945054945055</v>
      </c>
      <c r="K5" s="11">
        <v>1.9945355191256831</v>
      </c>
      <c r="L5" s="11">
        <v>2.0054945054945055</v>
      </c>
      <c r="M5" s="11">
        <v>1.9945355191256831</v>
      </c>
      <c r="N5" s="11">
        <v>2.0054945054945055</v>
      </c>
      <c r="O5" s="11">
        <v>1.9945355191256831</v>
      </c>
      <c r="P5" s="11">
        <v>2</v>
      </c>
      <c r="Q5" s="11">
        <v>2</v>
      </c>
      <c r="R5" s="11">
        <v>2.0054945054945055</v>
      </c>
      <c r="S5" s="11">
        <v>1.9945355191256831</v>
      </c>
      <c r="T5" s="11">
        <v>2.0054945054945055</v>
      </c>
      <c r="U5" s="11">
        <v>1.9945355191256831</v>
      </c>
      <c r="V5" s="11">
        <v>2.0054945054945055</v>
      </c>
      <c r="W5" s="11">
        <v>1.9945355191256831</v>
      </c>
      <c r="X5" s="11">
        <v>2</v>
      </c>
      <c r="Y5" s="11">
        <v>2</v>
      </c>
      <c r="Z5" s="11">
        <v>2.0054945054945055</v>
      </c>
      <c r="AA5" s="11">
        <v>1.9945355191256831</v>
      </c>
      <c r="AB5" s="11">
        <v>2.0054945054945055</v>
      </c>
      <c r="AC5" s="11">
        <v>1.9945355191256831</v>
      </c>
      <c r="AD5" s="11">
        <v>2.0054945054945055</v>
      </c>
      <c r="AE5" s="11">
        <v>1.9945355191256831</v>
      </c>
      <c r="AF5" s="11">
        <v>2</v>
      </c>
      <c r="AG5" s="11">
        <v>2</v>
      </c>
      <c r="AH5" s="11">
        <v>2.0054945054945055</v>
      </c>
      <c r="AI5" s="11">
        <v>1.9945355191256831</v>
      </c>
      <c r="AJ5" s="11">
        <v>2.0054945054945055</v>
      </c>
      <c r="AK5" s="11">
        <v>1.9945355191256831</v>
      </c>
      <c r="AL5" s="11">
        <v>2.0054945054945055</v>
      </c>
      <c r="AM5" s="11">
        <v>1.9945355191256831</v>
      </c>
      <c r="AN5" s="11">
        <v>2</v>
      </c>
      <c r="AO5" s="11">
        <v>2</v>
      </c>
      <c r="AP5" s="11">
        <v>2.0054945054945055</v>
      </c>
      <c r="AQ5" s="11">
        <v>1.9945355191256831</v>
      </c>
      <c r="AR5" s="11">
        <v>2.0054945054945055</v>
      </c>
      <c r="AS5" s="11">
        <v>1.9945355191256831</v>
      </c>
      <c r="AT5" s="11">
        <v>2.0054945054945055</v>
      </c>
      <c r="AU5" s="11">
        <v>1.9945355191256831</v>
      </c>
      <c r="AV5" s="198">
        <v>2</v>
      </c>
      <c r="AW5" s="11">
        <v>2</v>
      </c>
      <c r="AX5" s="11">
        <v>2.0054945054945055</v>
      </c>
      <c r="AY5" s="11">
        <v>1.9945355191256831</v>
      </c>
      <c r="AZ5" s="11">
        <v>2.0054945054945055</v>
      </c>
      <c r="BA5" s="11">
        <v>1.9945355191256831</v>
      </c>
      <c r="BB5" s="11">
        <v>2.0054945054945055</v>
      </c>
      <c r="BC5" s="11">
        <v>1.9945355191256831</v>
      </c>
      <c r="BD5" s="11">
        <v>2</v>
      </c>
      <c r="BE5" s="11">
        <v>2</v>
      </c>
      <c r="BF5" s="11">
        <v>2.0054945054945055</v>
      </c>
      <c r="BG5" s="11">
        <v>1.9945355191256831</v>
      </c>
      <c r="BH5" s="11">
        <v>2.0054945054945055</v>
      </c>
      <c r="BI5" s="11">
        <v>1.9945355191256831</v>
      </c>
      <c r="BJ5" s="11">
        <v>2.0054945054945055</v>
      </c>
      <c r="BK5" s="11">
        <v>1.9945355191256831</v>
      </c>
      <c r="BL5" s="11">
        <v>2</v>
      </c>
      <c r="BM5" s="11">
        <v>2</v>
      </c>
      <c r="BN5" s="11">
        <v>2.0054945054945055</v>
      </c>
      <c r="BO5" s="11">
        <v>1.9945355191256831</v>
      </c>
      <c r="BP5" s="12"/>
      <c r="BQ5" s="11">
        <v>1</v>
      </c>
      <c r="BR5" s="11">
        <v>1</v>
      </c>
      <c r="BS5" s="11">
        <v>1</v>
      </c>
      <c r="BT5" s="11">
        <v>1</v>
      </c>
      <c r="BU5" s="11">
        <v>1</v>
      </c>
      <c r="BV5" s="11">
        <v>1</v>
      </c>
      <c r="BW5" s="11">
        <v>1</v>
      </c>
      <c r="BX5" s="11">
        <v>1</v>
      </c>
      <c r="BY5" s="11">
        <v>1</v>
      </c>
      <c r="BZ5" s="11">
        <v>1</v>
      </c>
      <c r="CA5" s="11">
        <v>1</v>
      </c>
      <c r="CB5" s="11">
        <v>1</v>
      </c>
      <c r="CC5" s="11">
        <v>1</v>
      </c>
      <c r="CD5" s="11">
        <v>1</v>
      </c>
      <c r="CE5" s="11">
        <v>1</v>
      </c>
      <c r="CF5" s="11">
        <v>1</v>
      </c>
      <c r="CG5" s="11">
        <v>1</v>
      </c>
      <c r="CH5" s="11">
        <v>1</v>
      </c>
      <c r="CI5" s="11">
        <v>1</v>
      </c>
      <c r="CJ5" s="11">
        <v>1</v>
      </c>
      <c r="CK5" s="11">
        <v>1</v>
      </c>
      <c r="CL5" s="11">
        <v>1</v>
      </c>
      <c r="CM5" s="11">
        <v>1</v>
      </c>
      <c r="CN5" s="11">
        <v>1</v>
      </c>
      <c r="CO5" s="11">
        <v>1</v>
      </c>
      <c r="CP5" s="11">
        <v>1</v>
      </c>
      <c r="CQ5" s="11">
        <v>1</v>
      </c>
      <c r="CR5" s="11">
        <v>1</v>
      </c>
      <c r="CS5" s="11">
        <v>1</v>
      </c>
      <c r="CT5" s="11">
        <v>1</v>
      </c>
      <c r="CU5" s="11">
        <v>1</v>
      </c>
      <c r="CV5" s="198">
        <v>1</v>
      </c>
      <c r="CW5" s="11">
        <v>1</v>
      </c>
      <c r="CX5" s="11">
        <v>1</v>
      </c>
      <c r="CY5" s="11">
        <v>1</v>
      </c>
      <c r="CZ5" s="11">
        <v>1</v>
      </c>
      <c r="DA5" s="11">
        <v>1</v>
      </c>
      <c r="DB5" s="11">
        <v>1</v>
      </c>
      <c r="DC5" s="11">
        <v>1</v>
      </c>
      <c r="DD5" s="11">
        <v>1</v>
      </c>
      <c r="DE5" s="11">
        <v>1</v>
      </c>
      <c r="DF5" s="11">
        <v>1</v>
      </c>
    </row>
    <row r="6" spans="1:110" s="14" customFormat="1" ht="12">
      <c r="A6" s="1"/>
      <c r="B6" s="15"/>
      <c r="C6" s="13"/>
      <c r="D6" s="13"/>
      <c r="E6" s="13"/>
      <c r="F6" s="13"/>
      <c r="G6" s="13"/>
      <c r="H6" s="13"/>
      <c r="I6" s="13"/>
      <c r="J6" s="13"/>
      <c r="K6" s="13"/>
      <c r="L6" s="13"/>
      <c r="M6" s="13"/>
      <c r="N6" s="13"/>
      <c r="O6" s="13"/>
      <c r="P6" s="13"/>
      <c r="Q6" s="13"/>
      <c r="R6" s="13"/>
      <c r="S6" s="13"/>
      <c r="T6" s="13"/>
      <c r="U6" s="13"/>
      <c r="V6" s="13"/>
      <c r="W6" s="13"/>
      <c r="X6" s="13"/>
      <c r="Y6" s="13"/>
      <c r="Z6" s="13"/>
      <c r="AA6" s="13"/>
      <c r="AB6" s="13"/>
      <c r="AC6" s="13"/>
      <c r="AD6" s="13"/>
      <c r="AE6" s="13"/>
      <c r="AF6" s="13"/>
      <c r="AG6" s="13"/>
      <c r="AH6" s="13"/>
      <c r="AI6" s="13"/>
      <c r="AJ6" s="13"/>
      <c r="AK6" s="13"/>
      <c r="AL6" s="13"/>
      <c r="AM6" s="13"/>
      <c r="AN6" s="13"/>
      <c r="AO6" s="13"/>
      <c r="AP6" s="13"/>
      <c r="AQ6" s="13"/>
      <c r="AR6" s="13"/>
      <c r="AS6" s="13"/>
      <c r="AT6" s="13"/>
      <c r="AU6" s="13"/>
      <c r="AV6" s="199"/>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c r="CO6" s="13"/>
      <c r="CP6" s="13"/>
      <c r="CQ6" s="13"/>
      <c r="CR6" s="13"/>
      <c r="CS6" s="13"/>
      <c r="CT6" s="13"/>
      <c r="CU6" s="13"/>
      <c r="CV6" s="199"/>
      <c r="CW6" s="13"/>
      <c r="CX6" s="13"/>
      <c r="CY6" s="13"/>
      <c r="CZ6" s="13"/>
      <c r="DA6" s="13"/>
      <c r="DB6" s="13"/>
      <c r="DC6" s="13"/>
      <c r="DD6" s="13"/>
      <c r="DE6" s="13"/>
      <c r="DF6" s="13"/>
    </row>
    <row r="7" spans="1:110" s="4" customFormat="1" ht="12" hidden="1" customHeight="1" outlineLevel="3">
      <c r="A7" s="1"/>
      <c r="B7" s="2" t="s">
        <v>542</v>
      </c>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195"/>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195"/>
      <c r="CW7" s="3"/>
      <c r="CX7" s="3"/>
      <c r="CY7" s="3"/>
      <c r="CZ7" s="3"/>
      <c r="DA7" s="3"/>
      <c r="DB7" s="3"/>
      <c r="DC7" s="3"/>
      <c r="DD7" s="3"/>
      <c r="DE7" s="3"/>
      <c r="DF7" s="3"/>
    </row>
    <row r="8" spans="1:110" ht="12" hidden="1" customHeight="1" outlineLevel="3">
      <c r="AV8" s="200"/>
      <c r="CZ8" s="16"/>
      <c r="DA8" s="16"/>
      <c r="DB8" s="16"/>
      <c r="DC8" s="16"/>
      <c r="DD8" s="16"/>
      <c r="DE8" s="16"/>
      <c r="DF8" s="16"/>
    </row>
    <row r="9" spans="1:110" s="17" customFormat="1" ht="12" hidden="1" customHeight="1" outlineLevel="3">
      <c r="A9" s="1"/>
      <c r="B9" s="15" t="s">
        <v>543</v>
      </c>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201"/>
      <c r="AW9" s="10"/>
      <c r="AX9" s="10"/>
      <c r="AY9" s="10"/>
      <c r="AZ9" s="10"/>
      <c r="BA9" s="10"/>
      <c r="BB9" s="10"/>
      <c r="BC9" s="10"/>
      <c r="BD9" s="10"/>
      <c r="BE9" s="10"/>
      <c r="BF9" s="10"/>
      <c r="BG9" s="10"/>
      <c r="BH9" s="10"/>
      <c r="BI9" s="10"/>
      <c r="BJ9" s="10"/>
      <c r="BK9" s="10"/>
      <c r="BL9" s="10"/>
      <c r="BM9" s="10"/>
      <c r="BN9" s="10"/>
      <c r="BO9" s="10"/>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201"/>
      <c r="CW9" s="10"/>
      <c r="CX9" s="10"/>
      <c r="CY9" s="10"/>
      <c r="CZ9" s="10"/>
      <c r="DA9" s="10"/>
      <c r="DB9" s="10"/>
      <c r="DC9" s="10"/>
      <c r="DD9" s="10"/>
      <c r="DE9" s="10"/>
      <c r="DF9" s="10"/>
    </row>
    <row r="10" spans="1:110" s="20" customFormat="1" ht="12" hidden="1" customHeight="1" outlineLevel="3">
      <c r="A10" s="1"/>
      <c r="B10" s="18" t="s">
        <v>305</v>
      </c>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202"/>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c r="CM10" s="19"/>
      <c r="CN10" s="19"/>
      <c r="CO10" s="19"/>
      <c r="CP10" s="19"/>
      <c r="CQ10" s="19"/>
      <c r="CR10" s="19"/>
      <c r="CS10" s="19"/>
      <c r="CT10" s="19"/>
      <c r="CU10" s="19"/>
      <c r="CV10" s="202"/>
      <c r="CW10" s="19"/>
      <c r="CX10" s="19"/>
      <c r="CY10" s="19"/>
      <c r="CZ10" s="19"/>
      <c r="DA10" s="19"/>
      <c r="DB10" s="19"/>
      <c r="DC10" s="19"/>
      <c r="DD10" s="19"/>
      <c r="DE10" s="19"/>
      <c r="DF10" s="19"/>
    </row>
    <row r="11" spans="1:110" s="21" customFormat="1" ht="12" hidden="1" customHeight="1" outlineLevel="3">
      <c r="A11" s="1"/>
      <c r="B11" s="21" t="s">
        <v>306</v>
      </c>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03"/>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2"/>
      <c r="CJ11" s="22"/>
      <c r="CK11" s="22"/>
      <c r="CL11" s="22"/>
      <c r="CM11" s="22"/>
      <c r="CN11" s="22"/>
      <c r="CO11" s="22"/>
      <c r="CP11" s="22"/>
      <c r="CQ11" s="22"/>
      <c r="CR11" s="22"/>
      <c r="CS11" s="22"/>
      <c r="CT11" s="22"/>
      <c r="CU11" s="22"/>
      <c r="CV11" s="203"/>
      <c r="CW11" s="22"/>
      <c r="CX11" s="22"/>
      <c r="CY11" s="22"/>
      <c r="CZ11" s="22"/>
      <c r="DA11" s="22"/>
      <c r="DB11" s="22"/>
      <c r="DC11" s="22"/>
      <c r="DD11" s="22"/>
      <c r="DE11" s="22"/>
      <c r="DF11" s="22"/>
    </row>
    <row r="12" spans="1:110" s="25" customFormat="1" ht="12" hidden="1" customHeight="1" outlineLevel="3">
      <c r="A12" s="1"/>
      <c r="B12" s="23" t="s">
        <v>307</v>
      </c>
      <c r="C12" s="24"/>
      <c r="D12" s="24"/>
      <c r="E12" s="24"/>
      <c r="F12" s="24"/>
      <c r="G12" s="24"/>
      <c r="H12" s="24"/>
      <c r="I12" s="24"/>
      <c r="J12" s="24"/>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c r="AT12" s="24"/>
      <c r="AU12" s="24"/>
      <c r="AV12" s="204"/>
      <c r="AW12" s="24"/>
      <c r="AX12" s="24"/>
      <c r="AY12" s="24"/>
      <c r="AZ12" s="24"/>
      <c r="BA12" s="24"/>
      <c r="BB12" s="24"/>
      <c r="BC12" s="24"/>
      <c r="BD12" s="24"/>
      <c r="BE12" s="24"/>
      <c r="BF12" s="24"/>
      <c r="BG12" s="24"/>
      <c r="BH12" s="24"/>
      <c r="BI12" s="24"/>
      <c r="BJ12" s="24"/>
      <c r="BK12" s="24"/>
      <c r="BL12" s="24"/>
      <c r="BM12" s="24"/>
      <c r="BN12" s="24"/>
      <c r="BO12" s="24"/>
      <c r="BP12" s="24"/>
      <c r="BQ12" s="24"/>
      <c r="BR12" s="24"/>
      <c r="BS12" s="24"/>
      <c r="BT12" s="24"/>
      <c r="BU12" s="24"/>
      <c r="BV12" s="24"/>
      <c r="BW12" s="24"/>
      <c r="BX12" s="24"/>
      <c r="BY12" s="24"/>
      <c r="BZ12" s="24"/>
      <c r="CA12" s="24"/>
      <c r="CB12" s="24"/>
      <c r="CC12" s="24"/>
      <c r="CD12" s="24"/>
      <c r="CE12" s="24"/>
      <c r="CF12" s="24"/>
      <c r="CG12" s="24"/>
      <c r="CH12" s="24"/>
      <c r="CI12" s="24"/>
      <c r="CJ12" s="24"/>
      <c r="CK12" s="24"/>
      <c r="CL12" s="24"/>
      <c r="CM12" s="24"/>
      <c r="CN12" s="24"/>
      <c r="CO12" s="24"/>
      <c r="CP12" s="24"/>
      <c r="CQ12" s="24"/>
      <c r="CR12" s="24"/>
      <c r="CS12" s="24"/>
      <c r="CT12" s="24"/>
      <c r="CU12" s="24"/>
      <c r="CV12" s="204"/>
      <c r="CW12" s="24"/>
      <c r="CX12" s="24"/>
      <c r="CY12" s="24"/>
      <c r="CZ12" s="24"/>
      <c r="DA12" s="24"/>
      <c r="DB12" s="24"/>
      <c r="DC12" s="24"/>
      <c r="DD12" s="24"/>
      <c r="DE12" s="24"/>
      <c r="DF12" s="24"/>
    </row>
    <row r="13" spans="1:110" ht="12" hidden="1" customHeight="1" outlineLevel="3">
      <c r="AV13" s="200"/>
      <c r="CZ13" s="16"/>
      <c r="DA13" s="16"/>
      <c r="DB13" s="16"/>
      <c r="DC13" s="16"/>
      <c r="DD13" s="16"/>
      <c r="DE13" s="16"/>
      <c r="DF13" s="16"/>
    </row>
    <row r="14" spans="1:110" s="26" customFormat="1" ht="12" collapsed="1">
      <c r="A14" s="1" t="s">
        <v>985</v>
      </c>
      <c r="B14" s="2" t="s">
        <v>133</v>
      </c>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195"/>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195"/>
      <c r="CW14" s="3"/>
      <c r="CX14" s="3"/>
      <c r="CY14" s="3"/>
      <c r="CZ14" s="3"/>
      <c r="DA14" s="3"/>
      <c r="DB14" s="3"/>
      <c r="DC14" s="3"/>
      <c r="DD14" s="3"/>
      <c r="DE14" s="3"/>
      <c r="DF14" s="3"/>
    </row>
    <row r="15" spans="1:110" ht="12" outlineLevel="1">
      <c r="AV15" s="200"/>
      <c r="CZ15" s="15"/>
      <c r="DA15" s="15"/>
      <c r="DB15" s="15"/>
      <c r="DC15" s="15"/>
      <c r="DD15" s="15"/>
      <c r="DE15" s="15"/>
      <c r="DF15" s="15"/>
    </row>
    <row r="16" spans="1:110" ht="12" outlineLevel="1">
      <c r="B16" s="17" t="s">
        <v>210</v>
      </c>
      <c r="Z16" s="32"/>
      <c r="AV16" s="200"/>
      <c r="CZ16" s="15"/>
      <c r="DA16" s="15"/>
      <c r="DB16" s="15"/>
      <c r="DC16" s="15"/>
      <c r="DD16" s="15"/>
      <c r="DE16" s="15"/>
      <c r="DF16" s="15"/>
    </row>
    <row r="17" spans="1:110" ht="12" outlineLevel="1">
      <c r="A17" s="1" t="s">
        <v>801</v>
      </c>
      <c r="B17" s="15" t="s">
        <v>211</v>
      </c>
      <c r="C17" s="27">
        <v>0.33310000000000001</v>
      </c>
      <c r="D17" s="27">
        <v>0.37209999999999999</v>
      </c>
      <c r="E17" s="27">
        <v>0.34770000000000001</v>
      </c>
      <c r="F17" s="27">
        <v>0.38279999999999997</v>
      </c>
      <c r="G17" s="27">
        <v>0.40699999999999997</v>
      </c>
      <c r="H17" s="27">
        <v>0.41370000000000001</v>
      </c>
      <c r="I17" s="27">
        <v>0.39829999999999999</v>
      </c>
      <c r="J17" s="27">
        <v>0.41070000000000001</v>
      </c>
      <c r="K17" s="27">
        <v>0.4325</v>
      </c>
      <c r="L17" s="27">
        <v>0.41039999999999999</v>
      </c>
      <c r="M17" s="27">
        <v>0.3982</v>
      </c>
      <c r="N17" s="27">
        <v>0.4113</v>
      </c>
      <c r="O17" s="27">
        <v>0.4355</v>
      </c>
      <c r="P17" s="27">
        <v>0.45889999999999997</v>
      </c>
      <c r="Q17" s="27">
        <v>0.44400000000000001</v>
      </c>
      <c r="R17" s="27">
        <v>0.47949999999999998</v>
      </c>
      <c r="S17" s="27">
        <v>0.54859999999999998</v>
      </c>
      <c r="T17" s="27">
        <v>0.60729999999999995</v>
      </c>
      <c r="U17" s="27">
        <v>0.61050000000000004</v>
      </c>
      <c r="V17" s="27">
        <v>0.64149999999999996</v>
      </c>
      <c r="W17" s="27">
        <v>0.62429999999999997</v>
      </c>
      <c r="X17" s="27">
        <v>0.65100000000000002</v>
      </c>
      <c r="Y17" s="27">
        <v>0.64370000000000005</v>
      </c>
      <c r="Z17" s="329">
        <v>0.68859999999999999</v>
      </c>
      <c r="AA17" s="329">
        <v>0.57599999999999996</v>
      </c>
      <c r="AB17" s="329">
        <v>0.55520000000000003</v>
      </c>
      <c r="AC17" s="329">
        <v>0.5383</v>
      </c>
      <c r="AD17" s="329">
        <v>0.51629999999999998</v>
      </c>
      <c r="AE17" s="329">
        <v>0.46250000000000002</v>
      </c>
      <c r="AF17" s="329">
        <v>0.53349999999999997</v>
      </c>
      <c r="AG17" s="329">
        <v>0.58740000000000003</v>
      </c>
      <c r="AH17" s="329">
        <v>0.61219999999999997</v>
      </c>
      <c r="AI17" s="329">
        <v>0.58479999999999999</v>
      </c>
      <c r="AJ17" s="329">
        <v>0.54449999999999998</v>
      </c>
      <c r="AK17" s="329">
        <v>0.55200000000000005</v>
      </c>
      <c r="AL17" s="329">
        <v>0.54249999999999998</v>
      </c>
      <c r="AM17" s="329">
        <v>0.54910000000000003</v>
      </c>
      <c r="AN17" s="329">
        <v>0.50170000000000003</v>
      </c>
      <c r="AO17" s="329">
        <v>0.55389999999999995</v>
      </c>
      <c r="AP17" s="329">
        <v>0.55379999999999996</v>
      </c>
      <c r="AQ17" s="329">
        <v>0.53569999999999995</v>
      </c>
      <c r="AR17" s="329">
        <v>0.57040000000000002</v>
      </c>
      <c r="AS17" s="329">
        <v>0.58450000000000002</v>
      </c>
      <c r="AT17" s="329">
        <v>0.54190000000000005</v>
      </c>
      <c r="AU17" s="329">
        <v>0.52859999999999996</v>
      </c>
      <c r="AV17" s="236">
        <v>0.51570000000000005</v>
      </c>
      <c r="AW17" s="205">
        <v>0.48872180451127817</v>
      </c>
      <c r="AX17" s="205">
        <v>0.49629629629629629</v>
      </c>
      <c r="AY17" s="205">
        <v>0.53580246913580221</v>
      </c>
      <c r="AZ17" s="205">
        <v>0.56481481481481477</v>
      </c>
      <c r="BA17" s="205">
        <v>0.58333333333333315</v>
      </c>
      <c r="BB17" s="205">
        <v>0.59806633215028759</v>
      </c>
      <c r="BC17" s="205">
        <v>0.60916388785970099</v>
      </c>
      <c r="BD17" s="205">
        <v>0.62046615979060182</v>
      </c>
      <c r="BE17" s="205">
        <v>0.63197886526607094</v>
      </c>
      <c r="BF17" s="205">
        <v>0.64370793650793612</v>
      </c>
      <c r="BG17" s="205">
        <v>0.65565953082938033</v>
      </c>
      <c r="BH17" s="205">
        <v>0.66784004141322584</v>
      </c>
      <c r="BI17" s="205">
        <v>0.68025610871553577</v>
      </c>
      <c r="BJ17" s="205">
        <v>0.6865546218487395</v>
      </c>
      <c r="BK17" s="205">
        <v>0.6865546218487395</v>
      </c>
      <c r="BL17" s="205">
        <v>0.6865546218487395</v>
      </c>
      <c r="BM17" s="205">
        <v>0.6865546218487395</v>
      </c>
      <c r="BN17" s="205">
        <v>0.6865546218487395</v>
      </c>
      <c r="BO17" s="205">
        <v>0.6865546218487395</v>
      </c>
      <c r="BP17" s="28"/>
      <c r="BQ17" s="27">
        <v>0.39889999999999998</v>
      </c>
      <c r="BR17" s="27">
        <v>0.42749999999999999</v>
      </c>
      <c r="BS17" s="27">
        <v>0.46850000000000003</v>
      </c>
      <c r="BT17" s="27">
        <v>0.47639999999999999</v>
      </c>
      <c r="BU17" s="27">
        <v>0.50619999999999998</v>
      </c>
      <c r="BV17" s="27">
        <v>0.44650000000000001</v>
      </c>
      <c r="BW17" s="27">
        <v>0.34960000000000002</v>
      </c>
      <c r="BX17" s="27">
        <v>0.3972</v>
      </c>
      <c r="BY17" s="27">
        <v>0.372</v>
      </c>
      <c r="BZ17" s="27">
        <v>0.33310000000000001</v>
      </c>
      <c r="CA17" s="28">
        <v>0.34770000000000001</v>
      </c>
      <c r="CB17" s="28">
        <v>0.40699999999999997</v>
      </c>
      <c r="CC17" s="28">
        <v>0.39829999999999999</v>
      </c>
      <c r="CD17" s="28">
        <v>0.4325</v>
      </c>
      <c r="CE17" s="28">
        <v>0.3982</v>
      </c>
      <c r="CF17" s="28">
        <v>0.4355</v>
      </c>
      <c r="CG17" s="28">
        <v>0.44400000000000001</v>
      </c>
      <c r="CH17" s="28">
        <v>0.54859999999999998</v>
      </c>
      <c r="CI17" s="28">
        <v>0.61050000000000004</v>
      </c>
      <c r="CJ17" s="28">
        <v>0.62429999999999997</v>
      </c>
      <c r="CK17" s="28">
        <v>0.64370000000000005</v>
      </c>
      <c r="CL17" s="28">
        <v>0.57599999999999996</v>
      </c>
      <c r="CM17" s="28">
        <v>0.5383</v>
      </c>
      <c r="CN17" s="28">
        <v>0.46250000000000002</v>
      </c>
      <c r="CO17" s="28">
        <v>0.58740000000000003</v>
      </c>
      <c r="CP17" s="28">
        <v>0.58479999999999999</v>
      </c>
      <c r="CQ17" s="28">
        <v>0.55200000000000005</v>
      </c>
      <c r="CR17" s="28">
        <v>0.54910000000000003</v>
      </c>
      <c r="CS17" s="28">
        <v>0.55389999999999995</v>
      </c>
      <c r="CT17" s="28">
        <v>0.53569999999999995</v>
      </c>
      <c r="CU17" s="28">
        <v>0.58450000000000002</v>
      </c>
      <c r="CV17" s="206">
        <v>0.52859999999999996</v>
      </c>
      <c r="CW17" s="28">
        <v>0.48872180451127817</v>
      </c>
      <c r="CX17" s="28">
        <v>0.53580246913580221</v>
      </c>
      <c r="CY17" s="28">
        <v>0.58333333333333315</v>
      </c>
      <c r="CZ17" s="28">
        <v>0.60916388785970099</v>
      </c>
      <c r="DA17" s="28">
        <v>0.63197886526607094</v>
      </c>
      <c r="DB17" s="28">
        <v>0.65565953082938033</v>
      </c>
      <c r="DC17" s="28">
        <v>0.68025610871553577</v>
      </c>
      <c r="DD17" s="28">
        <v>0.6865546218487395</v>
      </c>
      <c r="DE17" s="28">
        <v>0.6865546218487395</v>
      </c>
      <c r="DF17" s="28">
        <v>0.6865546218487395</v>
      </c>
    </row>
    <row r="18" spans="1:110" ht="12" outlineLevel="1">
      <c r="A18" s="1" t="s">
        <v>802</v>
      </c>
      <c r="B18" s="15" t="s">
        <v>212</v>
      </c>
      <c r="C18" s="27">
        <v>0.49030000000000001</v>
      </c>
      <c r="D18" s="27">
        <v>0.53059999999999996</v>
      </c>
      <c r="E18" s="27">
        <v>0.54410000000000003</v>
      </c>
      <c r="F18" s="27">
        <v>0.60350000000000004</v>
      </c>
      <c r="G18" s="27">
        <v>0.67949999999999999</v>
      </c>
      <c r="H18" s="27">
        <v>0.75849999999999995</v>
      </c>
      <c r="I18" s="27">
        <v>0.71650000000000003</v>
      </c>
      <c r="J18" s="27">
        <v>0.77190000000000003</v>
      </c>
      <c r="K18" s="27">
        <v>0.76229999999999998</v>
      </c>
      <c r="L18" s="27">
        <v>0.71619999999999995</v>
      </c>
      <c r="M18" s="27">
        <v>0.74760000000000004</v>
      </c>
      <c r="N18" s="27">
        <v>0.80769999999999997</v>
      </c>
      <c r="O18" s="27">
        <v>0.88160000000000005</v>
      </c>
      <c r="P18" s="27">
        <v>0.91579999999999995</v>
      </c>
      <c r="Q18" s="27">
        <v>0.79949999999999999</v>
      </c>
      <c r="R18" s="27">
        <v>0.6855</v>
      </c>
      <c r="S18" s="27">
        <v>0.87919999999999998</v>
      </c>
      <c r="T18" s="27">
        <v>0.91559999999999997</v>
      </c>
      <c r="U18" s="27">
        <v>0.96679999999999999</v>
      </c>
      <c r="V18" s="27">
        <v>1.0333000000000001</v>
      </c>
      <c r="W18" s="27">
        <v>0.97309999999999997</v>
      </c>
      <c r="X18" s="27">
        <v>1.0401</v>
      </c>
      <c r="Y18" s="27">
        <v>1.0462</v>
      </c>
      <c r="Z18" s="329">
        <v>1.0424</v>
      </c>
      <c r="AA18" s="329">
        <v>0.93120000000000003</v>
      </c>
      <c r="AB18" s="329">
        <v>0.92330000000000001</v>
      </c>
      <c r="AC18" s="329">
        <v>0.87519999999999998</v>
      </c>
      <c r="AD18" s="329">
        <v>0.76339999999999997</v>
      </c>
      <c r="AE18" s="329">
        <v>0.70130000000000003</v>
      </c>
      <c r="AF18" s="329">
        <v>0.7651</v>
      </c>
      <c r="AG18" s="329">
        <v>0.76170000000000004</v>
      </c>
      <c r="AH18" s="329">
        <v>0.76439999999999997</v>
      </c>
      <c r="AI18" s="329">
        <v>0.78449999999999998</v>
      </c>
      <c r="AJ18" s="329">
        <v>0.7671</v>
      </c>
      <c r="AK18" s="329">
        <v>0.72160000000000002</v>
      </c>
      <c r="AL18" s="329">
        <v>0.70940000000000003</v>
      </c>
      <c r="AM18" s="329">
        <v>0.6754</v>
      </c>
      <c r="AN18" s="329">
        <v>0.61890000000000001</v>
      </c>
      <c r="AO18" s="329">
        <v>0.71099999999999997</v>
      </c>
      <c r="AP18" s="329">
        <v>0.76</v>
      </c>
      <c r="AQ18" s="329">
        <v>0.72019999999999995</v>
      </c>
      <c r="AR18" s="329">
        <v>0.74829999999999997</v>
      </c>
      <c r="AS18" s="329">
        <v>0.64890000000000003</v>
      </c>
      <c r="AT18" s="329">
        <v>0.67120000000000002</v>
      </c>
      <c r="AU18" s="329">
        <v>0.64680000000000004</v>
      </c>
      <c r="AV18" s="236">
        <v>0.65080000000000005</v>
      </c>
      <c r="AW18" s="205">
        <v>0.65</v>
      </c>
      <c r="AX18" s="205">
        <v>0.67</v>
      </c>
      <c r="AY18" s="205">
        <v>0.72333333333333305</v>
      </c>
      <c r="AZ18" s="205">
        <v>0.76249999999999996</v>
      </c>
      <c r="BA18" s="205">
        <v>0.78749999999999987</v>
      </c>
      <c r="BB18" s="205">
        <v>0.80374999999999996</v>
      </c>
      <c r="BC18" s="205">
        <v>0.8112499999999998</v>
      </c>
      <c r="BD18" s="205">
        <v>0.81874999999999964</v>
      </c>
      <c r="BE18" s="205">
        <v>0.82624999999999948</v>
      </c>
      <c r="BF18" s="205">
        <v>0.83374999999999932</v>
      </c>
      <c r="BG18" s="205">
        <v>0.84124999999999917</v>
      </c>
      <c r="BH18" s="205">
        <v>0.84874999999999901</v>
      </c>
      <c r="BI18" s="205">
        <v>0.85624999999999885</v>
      </c>
      <c r="BJ18" s="205">
        <v>0.86</v>
      </c>
      <c r="BK18" s="205">
        <v>0.86</v>
      </c>
      <c r="BL18" s="205">
        <v>0.86</v>
      </c>
      <c r="BM18" s="205">
        <v>0.86</v>
      </c>
      <c r="BN18" s="205">
        <v>0.86</v>
      </c>
      <c r="BO18" s="205">
        <v>0.86</v>
      </c>
      <c r="BP18" s="28"/>
      <c r="BQ18" s="27">
        <v>0.71430000000000005</v>
      </c>
      <c r="BR18" s="27">
        <v>0.64549999999999996</v>
      </c>
      <c r="BS18" s="27">
        <v>0.73929999999999996</v>
      </c>
      <c r="BT18" s="27">
        <v>0.752</v>
      </c>
      <c r="BU18" s="27">
        <v>0.79139999999999999</v>
      </c>
      <c r="BV18" s="27">
        <v>0.71970000000000001</v>
      </c>
      <c r="BW18" s="27">
        <v>0.59719999999999995</v>
      </c>
      <c r="BX18" s="27">
        <v>0.65329999999999999</v>
      </c>
      <c r="BY18" s="27">
        <v>0.5444</v>
      </c>
      <c r="BZ18" s="27">
        <v>0.49030000000000001</v>
      </c>
      <c r="CA18" s="28">
        <v>0.54410000000000003</v>
      </c>
      <c r="CB18" s="28">
        <v>0.67949999999999999</v>
      </c>
      <c r="CC18" s="28">
        <v>0.71650000000000003</v>
      </c>
      <c r="CD18" s="28">
        <v>0.76229999999999998</v>
      </c>
      <c r="CE18" s="28">
        <v>0.74760000000000004</v>
      </c>
      <c r="CF18" s="28">
        <v>0.88160000000000005</v>
      </c>
      <c r="CG18" s="28">
        <v>0.79949999999999999</v>
      </c>
      <c r="CH18" s="28">
        <v>0.87919999999999998</v>
      </c>
      <c r="CI18" s="28">
        <v>0.96679999999999999</v>
      </c>
      <c r="CJ18" s="28">
        <v>0.97309999999999997</v>
      </c>
      <c r="CK18" s="28">
        <v>1.0462</v>
      </c>
      <c r="CL18" s="28">
        <v>0.93120000000000003</v>
      </c>
      <c r="CM18" s="28">
        <v>0.87519999999999998</v>
      </c>
      <c r="CN18" s="28">
        <v>0.70130000000000003</v>
      </c>
      <c r="CO18" s="28">
        <v>0.76170000000000004</v>
      </c>
      <c r="CP18" s="28">
        <v>0.78449999999999998</v>
      </c>
      <c r="CQ18" s="28">
        <v>0.72160000000000002</v>
      </c>
      <c r="CR18" s="28">
        <v>0.6754</v>
      </c>
      <c r="CS18" s="28">
        <v>0.71099999999999997</v>
      </c>
      <c r="CT18" s="28">
        <v>0.72019999999999995</v>
      </c>
      <c r="CU18" s="28">
        <v>0.64890000000000003</v>
      </c>
      <c r="CV18" s="206">
        <v>0.64680000000000004</v>
      </c>
      <c r="CW18" s="28">
        <v>0.65</v>
      </c>
      <c r="CX18" s="28">
        <v>0.72333333333333305</v>
      </c>
      <c r="CY18" s="28">
        <v>0.78749999999999987</v>
      </c>
      <c r="CZ18" s="28">
        <v>0.8112499999999998</v>
      </c>
      <c r="DA18" s="28">
        <v>0.82624999999999948</v>
      </c>
      <c r="DB18" s="28">
        <v>0.84124999999999917</v>
      </c>
      <c r="DC18" s="28">
        <v>0.85624999999999885</v>
      </c>
      <c r="DD18" s="28">
        <v>0.86</v>
      </c>
      <c r="DE18" s="28">
        <v>0.86</v>
      </c>
      <c r="DF18" s="28">
        <v>0.86</v>
      </c>
    </row>
    <row r="19" spans="1:110" ht="12" outlineLevel="1">
      <c r="A19" s="1" t="s">
        <v>1119</v>
      </c>
      <c r="B19" s="15" t="s">
        <v>213</v>
      </c>
      <c r="C19" s="27">
        <v>1.2126999999999999</v>
      </c>
      <c r="D19" s="27">
        <v>1.2121999999999999</v>
      </c>
      <c r="E19" s="27">
        <v>1.1585000000000001</v>
      </c>
      <c r="F19" s="27">
        <v>1.0904</v>
      </c>
      <c r="G19" s="27">
        <v>1.1431</v>
      </c>
      <c r="H19" s="27">
        <v>1.1467000000000001</v>
      </c>
      <c r="I19" s="27">
        <v>1.07</v>
      </c>
      <c r="J19" s="27">
        <v>1.0899000000000001</v>
      </c>
      <c r="K19" s="27">
        <v>1.0998000000000001</v>
      </c>
      <c r="L19" s="27">
        <v>1.17</v>
      </c>
      <c r="M19" s="27">
        <v>1.1455</v>
      </c>
      <c r="N19" s="27">
        <v>1.1312</v>
      </c>
      <c r="O19" s="27">
        <v>1.1642999999999999</v>
      </c>
      <c r="P19" s="27">
        <v>1.155</v>
      </c>
      <c r="Q19" s="27">
        <v>1.1934</v>
      </c>
      <c r="R19" s="27">
        <v>1.2067000000000001</v>
      </c>
      <c r="S19" s="27">
        <v>1.2188000000000001</v>
      </c>
      <c r="T19" s="27">
        <v>1.2902</v>
      </c>
      <c r="U19" s="27">
        <v>1.3139000000000001</v>
      </c>
      <c r="V19" s="27">
        <v>1.3588</v>
      </c>
      <c r="W19" s="27">
        <v>1.2726999999999999</v>
      </c>
      <c r="X19" s="27">
        <v>1.2697000000000001</v>
      </c>
      <c r="Y19" s="27">
        <v>1.2528999999999999</v>
      </c>
      <c r="Z19" s="329">
        <v>1.2468999999999999</v>
      </c>
      <c r="AA19" s="329">
        <v>1.1236999999999999</v>
      </c>
      <c r="AB19" s="329">
        <v>1.0668</v>
      </c>
      <c r="AC19" s="329">
        <v>1.1218999999999999</v>
      </c>
      <c r="AD19" s="329">
        <v>1.0187999999999999</v>
      </c>
      <c r="AE19" s="329">
        <v>1.1003000000000001</v>
      </c>
      <c r="AF19" s="329">
        <v>1.1093</v>
      </c>
      <c r="AG19" s="329">
        <v>1.0487</v>
      </c>
      <c r="AH19" s="329">
        <v>1.0939000000000001</v>
      </c>
      <c r="AI19" s="329">
        <v>1.0867</v>
      </c>
      <c r="AJ19" s="329">
        <v>1.0649999999999999</v>
      </c>
      <c r="AK19" s="329">
        <v>1.0918000000000001</v>
      </c>
      <c r="AL19" s="329">
        <v>1.0436000000000001</v>
      </c>
      <c r="AM19" s="329">
        <v>1.0793999999999999</v>
      </c>
      <c r="AN19" s="329">
        <v>1.0268999999999999</v>
      </c>
      <c r="AO19" s="329">
        <v>1.0802</v>
      </c>
      <c r="AP19" s="329">
        <v>1.0893999999999999</v>
      </c>
      <c r="AQ19" s="329">
        <v>1.0472999999999999</v>
      </c>
      <c r="AR19" s="329">
        <v>1.0760000000000001</v>
      </c>
      <c r="AS19" s="329">
        <v>1.1349</v>
      </c>
      <c r="AT19" s="329">
        <v>1.0679000000000001</v>
      </c>
      <c r="AU19" s="329">
        <v>1.0742</v>
      </c>
      <c r="AV19" s="236">
        <v>1.0903</v>
      </c>
      <c r="AW19" s="205">
        <v>1.0833333333333335</v>
      </c>
      <c r="AX19" s="205">
        <v>1.0806451612903227</v>
      </c>
      <c r="AY19" s="205">
        <v>1.107142857142857</v>
      </c>
      <c r="AZ19" s="205">
        <v>1.1380597014925371</v>
      </c>
      <c r="BA19" s="205">
        <v>1.175373134328358</v>
      </c>
      <c r="BB19" s="205">
        <v>1.2029934518241345</v>
      </c>
      <c r="BC19" s="205">
        <v>1.2210724365004697</v>
      </c>
      <c r="BD19" s="205">
        <v>1.2393566698202449</v>
      </c>
      <c r="BE19" s="205">
        <v>1.2578496669838235</v>
      </c>
      <c r="BF19" s="205">
        <v>1.2765550239234431</v>
      </c>
      <c r="BG19" s="205">
        <v>1.2954764196342614</v>
      </c>
      <c r="BH19" s="205">
        <v>1.3146176185866383</v>
      </c>
      <c r="BI19" s="205">
        <v>1.3339824732229764</v>
      </c>
      <c r="BJ19" s="205">
        <v>1.34375</v>
      </c>
      <c r="BK19" s="205">
        <v>1.34375</v>
      </c>
      <c r="BL19" s="205">
        <v>1.34375</v>
      </c>
      <c r="BM19" s="205">
        <v>1.34375</v>
      </c>
      <c r="BN19" s="205">
        <v>1.34375</v>
      </c>
      <c r="BO19" s="205">
        <v>1.34375</v>
      </c>
      <c r="BP19" s="28"/>
      <c r="BQ19" s="27">
        <v>1.3318000000000001</v>
      </c>
      <c r="BR19" s="27">
        <v>1.1736</v>
      </c>
      <c r="BS19" s="27">
        <v>1.2254</v>
      </c>
      <c r="BT19" s="27">
        <v>1.1497999999999999</v>
      </c>
      <c r="BU19" s="27">
        <v>1.1314</v>
      </c>
      <c r="BV19" s="27">
        <v>1.1272</v>
      </c>
      <c r="BW19" s="27">
        <v>1.1868000000000001</v>
      </c>
      <c r="BX19" s="27">
        <v>1.2598</v>
      </c>
      <c r="BY19" s="27">
        <v>1.3324</v>
      </c>
      <c r="BZ19" s="27">
        <v>1.2126999999999999</v>
      </c>
      <c r="CA19" s="28">
        <v>1.1585000000000001</v>
      </c>
      <c r="CB19" s="28">
        <v>1.1431</v>
      </c>
      <c r="CC19" s="28">
        <v>1.07</v>
      </c>
      <c r="CD19" s="28">
        <v>1.0998000000000001</v>
      </c>
      <c r="CE19" s="28">
        <v>1.1455</v>
      </c>
      <c r="CF19" s="28">
        <v>1.1642999999999999</v>
      </c>
      <c r="CG19" s="28">
        <v>1.1934</v>
      </c>
      <c r="CH19" s="28">
        <v>1.2188000000000001</v>
      </c>
      <c r="CI19" s="28">
        <v>1.3139000000000001</v>
      </c>
      <c r="CJ19" s="28">
        <v>1.2726999999999999</v>
      </c>
      <c r="CK19" s="28">
        <v>1.2528999999999999</v>
      </c>
      <c r="CL19" s="28">
        <v>1.1236999999999999</v>
      </c>
      <c r="CM19" s="28">
        <v>1.1218999999999999</v>
      </c>
      <c r="CN19" s="28">
        <v>1.1003000000000001</v>
      </c>
      <c r="CO19" s="28">
        <v>1.0487</v>
      </c>
      <c r="CP19" s="28">
        <v>1.0867</v>
      </c>
      <c r="CQ19" s="28">
        <v>1.0918000000000001</v>
      </c>
      <c r="CR19" s="28">
        <v>1.0793999999999999</v>
      </c>
      <c r="CS19" s="28">
        <v>1.0802</v>
      </c>
      <c r="CT19" s="28">
        <v>1.0472999999999999</v>
      </c>
      <c r="CU19" s="28">
        <v>1.1349</v>
      </c>
      <c r="CV19" s="206">
        <v>1.0742</v>
      </c>
      <c r="CW19" s="28">
        <v>1.0833333333333335</v>
      </c>
      <c r="CX19" s="28">
        <v>1.107142857142857</v>
      </c>
      <c r="CY19" s="28">
        <v>1.175373134328358</v>
      </c>
      <c r="CZ19" s="28">
        <v>1.2210724365004697</v>
      </c>
      <c r="DA19" s="28">
        <v>1.2578496669838235</v>
      </c>
      <c r="DB19" s="28">
        <v>1.2954764196342614</v>
      </c>
      <c r="DC19" s="28">
        <v>1.3339824732229764</v>
      </c>
      <c r="DD19" s="28">
        <v>1.34375</v>
      </c>
      <c r="DE19" s="28">
        <v>1.34375</v>
      </c>
      <c r="DF19" s="28">
        <v>1.34375</v>
      </c>
    </row>
    <row r="20" spans="1:110" ht="12" outlineLevel="1">
      <c r="A20" s="1" t="s">
        <v>1120</v>
      </c>
      <c r="B20" s="15" t="s">
        <v>214</v>
      </c>
      <c r="C20" s="27">
        <v>0.53990000000000005</v>
      </c>
      <c r="D20" s="27">
        <v>0.61180000000000001</v>
      </c>
      <c r="E20" s="27">
        <v>0.54959999999999998</v>
      </c>
      <c r="F20" s="27">
        <v>0.55359999999999998</v>
      </c>
      <c r="G20" s="27">
        <v>0.58450000000000002</v>
      </c>
      <c r="H20" s="27">
        <v>0.61950000000000005</v>
      </c>
      <c r="I20" s="27">
        <v>0.58140000000000003</v>
      </c>
      <c r="J20" s="27">
        <v>0.59699999999999998</v>
      </c>
      <c r="K20" s="27">
        <v>0.63249999999999995</v>
      </c>
      <c r="L20" s="27">
        <v>0.58899999999999997</v>
      </c>
      <c r="M20" s="27">
        <v>0.58819999999999995</v>
      </c>
      <c r="N20" s="27">
        <v>0.60540000000000005</v>
      </c>
      <c r="O20" s="27">
        <v>0.62229999999999996</v>
      </c>
      <c r="P20" s="27">
        <v>0.57950000000000002</v>
      </c>
      <c r="Q20" s="27">
        <v>0.55679999999999996</v>
      </c>
      <c r="R20" s="27">
        <v>0.51780000000000004</v>
      </c>
      <c r="S20" s="27">
        <v>0.60140000000000005</v>
      </c>
      <c r="T20" s="27">
        <v>0.68289999999999995</v>
      </c>
      <c r="U20" s="27">
        <v>0.71109999999999995</v>
      </c>
      <c r="V20" s="27">
        <v>0.73050000000000004</v>
      </c>
      <c r="W20" s="27">
        <v>0.71940000000000004</v>
      </c>
      <c r="X20" s="27">
        <v>0.77910000000000001</v>
      </c>
      <c r="Y20" s="27">
        <v>0.80920000000000003</v>
      </c>
      <c r="Z20" s="329">
        <v>0.81520000000000004</v>
      </c>
      <c r="AA20" s="329">
        <v>0.68959999999999999</v>
      </c>
      <c r="AB20" s="329">
        <v>0.67159999999999997</v>
      </c>
      <c r="AC20" s="329">
        <v>0.6895</v>
      </c>
      <c r="AD20" s="329">
        <v>0.70569999999999999</v>
      </c>
      <c r="AE20" s="329">
        <v>0.62290000000000001</v>
      </c>
      <c r="AF20" s="329">
        <v>0.67600000000000005</v>
      </c>
      <c r="AG20" s="329">
        <v>0.67889999999999995</v>
      </c>
      <c r="AH20" s="329">
        <v>0.71599999999999997</v>
      </c>
      <c r="AI20" s="329">
        <v>0.66549999999999998</v>
      </c>
      <c r="AJ20" s="329">
        <v>0.62209999999999999</v>
      </c>
      <c r="AK20" s="329">
        <v>0.62050000000000005</v>
      </c>
      <c r="AL20" s="329">
        <v>0.63129999999999997</v>
      </c>
      <c r="AM20" s="329">
        <v>0.61750000000000005</v>
      </c>
      <c r="AN20" s="329">
        <v>0.56189999999999996</v>
      </c>
      <c r="AO20" s="329">
        <v>0.60609999999999997</v>
      </c>
      <c r="AP20" s="329">
        <v>0.64900000000000002</v>
      </c>
      <c r="AQ20" s="329">
        <v>0.62090000000000001</v>
      </c>
      <c r="AR20" s="329">
        <v>0.67030000000000001</v>
      </c>
      <c r="AS20" s="329">
        <v>0.66180000000000005</v>
      </c>
      <c r="AT20" s="329">
        <v>0.61580000000000001</v>
      </c>
      <c r="AU20" s="329">
        <v>0.61119999999999997</v>
      </c>
      <c r="AV20" s="236">
        <v>0.60399999999999998</v>
      </c>
      <c r="AW20" s="205">
        <v>0.61904761904761907</v>
      </c>
      <c r="AX20" s="205">
        <v>0.62037037037037035</v>
      </c>
      <c r="AY20" s="205">
        <v>0.64201183431952669</v>
      </c>
      <c r="AZ20" s="205">
        <v>0.66304347826086962</v>
      </c>
      <c r="BA20" s="205">
        <v>0.68478260869565211</v>
      </c>
      <c r="BB20" s="205">
        <v>0.69739696312364441</v>
      </c>
      <c r="BC20" s="205">
        <v>0.70086393088552956</v>
      </c>
      <c r="BD20" s="205">
        <v>0.7043010752688178</v>
      </c>
      <c r="BE20" s="205">
        <v>0.70770877944325561</v>
      </c>
      <c r="BF20" s="205">
        <v>0.71108742004264491</v>
      </c>
      <c r="BG20" s="205">
        <v>0.71443736730361052</v>
      </c>
      <c r="BH20" s="205">
        <v>0.71775898520084702</v>
      </c>
      <c r="BI20" s="205">
        <v>0.72105263157894894</v>
      </c>
      <c r="BJ20" s="205">
        <v>0.72268907563025209</v>
      </c>
      <c r="BK20" s="205">
        <v>0.72268907563025209</v>
      </c>
      <c r="BL20" s="205">
        <v>0.72268907563025209</v>
      </c>
      <c r="BM20" s="205">
        <v>0.72268907563025209</v>
      </c>
      <c r="BN20" s="205">
        <v>0.72268907563025209</v>
      </c>
      <c r="BO20" s="205">
        <v>0.72268907563025209</v>
      </c>
      <c r="BP20" s="28"/>
      <c r="BQ20" s="27"/>
      <c r="BR20" s="27"/>
      <c r="BS20" s="27"/>
      <c r="BT20" s="27"/>
      <c r="BU20" s="27"/>
      <c r="BV20" s="27">
        <v>0.64980000000000004</v>
      </c>
      <c r="BW20" s="27">
        <v>0.5071</v>
      </c>
      <c r="BX20" s="27">
        <v>0.61060000000000003</v>
      </c>
      <c r="BY20" s="27">
        <v>0.61439999999999995</v>
      </c>
      <c r="BZ20" s="27">
        <v>0.53990000000000005</v>
      </c>
      <c r="CA20" s="28">
        <v>0.54959999999999998</v>
      </c>
      <c r="CB20" s="28">
        <v>0.58450000000000002</v>
      </c>
      <c r="CC20" s="28">
        <v>0.58140000000000003</v>
      </c>
      <c r="CD20" s="28">
        <v>0.63249999999999995</v>
      </c>
      <c r="CE20" s="28">
        <v>0.58819999999999995</v>
      </c>
      <c r="CF20" s="28">
        <v>0.62229999999999996</v>
      </c>
      <c r="CG20" s="28">
        <v>0.55679999999999996</v>
      </c>
      <c r="CH20" s="28">
        <v>0.60140000000000005</v>
      </c>
      <c r="CI20" s="28">
        <v>0.71109999999999995</v>
      </c>
      <c r="CJ20" s="28">
        <v>0.71940000000000004</v>
      </c>
      <c r="CK20" s="28">
        <v>0.80920000000000003</v>
      </c>
      <c r="CL20" s="28">
        <v>0.68959999999999999</v>
      </c>
      <c r="CM20" s="28">
        <v>0.6895</v>
      </c>
      <c r="CN20" s="28">
        <v>0.62290000000000001</v>
      </c>
      <c r="CO20" s="28">
        <v>0.67889999999999995</v>
      </c>
      <c r="CP20" s="28">
        <v>0.66549999999999998</v>
      </c>
      <c r="CQ20" s="28">
        <v>0.62050000000000005</v>
      </c>
      <c r="CR20" s="28">
        <v>0.61750000000000005</v>
      </c>
      <c r="CS20" s="28">
        <v>0.60609999999999997</v>
      </c>
      <c r="CT20" s="28">
        <v>0.62090000000000001</v>
      </c>
      <c r="CU20" s="28">
        <v>0.66180000000000005</v>
      </c>
      <c r="CV20" s="206">
        <v>0.61119999999999997</v>
      </c>
      <c r="CW20" s="28">
        <v>0.61904761904761907</v>
      </c>
      <c r="CX20" s="28">
        <v>0.64201183431952669</v>
      </c>
      <c r="CY20" s="28">
        <v>0.68478260869565211</v>
      </c>
      <c r="CZ20" s="28">
        <v>0.70086393088552956</v>
      </c>
      <c r="DA20" s="28">
        <v>0.70770877944325561</v>
      </c>
      <c r="DB20" s="28">
        <v>0.71443736730361052</v>
      </c>
      <c r="DC20" s="28">
        <v>0.72105263157894894</v>
      </c>
      <c r="DD20" s="28">
        <v>0.72268907563025209</v>
      </c>
      <c r="DE20" s="28">
        <v>0.72268907563025209</v>
      </c>
      <c r="DF20" s="28">
        <v>0.72268907563025209</v>
      </c>
    </row>
    <row r="21" spans="1:110" ht="12" outlineLevel="1">
      <c r="C21" s="28"/>
      <c r="D21" s="28"/>
      <c r="E21" s="28"/>
      <c r="F21" s="28"/>
      <c r="G21" s="28"/>
      <c r="H21" s="28"/>
      <c r="I21" s="28"/>
      <c r="J21" s="28"/>
      <c r="K21" s="28"/>
      <c r="L21" s="28"/>
      <c r="M21" s="28"/>
      <c r="N21" s="28"/>
      <c r="O21" s="28"/>
      <c r="P21" s="28"/>
      <c r="Q21" s="28"/>
      <c r="R21" s="28"/>
      <c r="S21" s="28"/>
      <c r="T21" s="28"/>
      <c r="U21" s="28"/>
      <c r="V21" s="28"/>
      <c r="W21" s="28"/>
      <c r="X21" s="28"/>
      <c r="Y21" s="28"/>
      <c r="Z21" s="28"/>
      <c r="AA21" s="329"/>
      <c r="AB21" s="28"/>
      <c r="AC21" s="28"/>
      <c r="AD21" s="28"/>
      <c r="AE21" s="28"/>
      <c r="AF21" s="28"/>
      <c r="AG21" s="28"/>
      <c r="AH21" s="28"/>
      <c r="AI21" s="28"/>
      <c r="AJ21" s="28"/>
      <c r="AK21" s="28"/>
      <c r="AL21" s="28"/>
      <c r="AM21" s="28"/>
      <c r="AN21" s="28"/>
      <c r="AO21" s="28"/>
      <c r="AP21" s="28"/>
      <c r="AQ21" s="28"/>
      <c r="AR21" s="28"/>
      <c r="AS21" s="28"/>
      <c r="AT21" s="28"/>
      <c r="AU21" s="28"/>
      <c r="AV21" s="206"/>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c r="BV21" s="28"/>
      <c r="BW21" s="28"/>
      <c r="BX21" s="28"/>
      <c r="BY21" s="28"/>
      <c r="BZ21" s="28"/>
      <c r="CA21" s="28"/>
      <c r="CB21" s="28"/>
      <c r="CC21" s="28"/>
      <c r="CD21" s="28"/>
      <c r="CE21" s="28"/>
      <c r="CF21" s="28"/>
      <c r="CG21" s="28"/>
      <c r="CH21" s="28"/>
      <c r="CI21" s="28"/>
      <c r="CJ21" s="28"/>
      <c r="CK21" s="28"/>
      <c r="CL21" s="28"/>
      <c r="CM21" s="28"/>
      <c r="CN21" s="28"/>
      <c r="CO21" s="28"/>
      <c r="CP21" s="28"/>
      <c r="CQ21" s="28"/>
      <c r="CR21" s="28"/>
      <c r="CS21" s="28"/>
      <c r="CT21" s="28"/>
      <c r="CU21" s="28"/>
      <c r="CV21" s="206"/>
      <c r="CW21" s="28"/>
      <c r="CX21" s="28"/>
      <c r="CY21" s="28"/>
      <c r="CZ21" s="28"/>
      <c r="DA21" s="28"/>
      <c r="DB21" s="28"/>
      <c r="DC21" s="28"/>
      <c r="DD21" s="28"/>
      <c r="DE21" s="28"/>
      <c r="DF21" s="28"/>
    </row>
    <row r="22" spans="1:110" ht="12" outlineLevel="1">
      <c r="B22" s="17" t="s">
        <v>216</v>
      </c>
      <c r="C22" s="28"/>
      <c r="D22" s="28"/>
      <c r="E22" s="28"/>
      <c r="F22" s="28"/>
      <c r="G22" s="28"/>
      <c r="H22" s="28"/>
      <c r="I22" s="28"/>
      <c r="J22" s="28"/>
      <c r="K22" s="28"/>
      <c r="L22" s="28"/>
      <c r="M22" s="28"/>
      <c r="N22" s="28"/>
      <c r="O22" s="28"/>
      <c r="P22" s="28"/>
      <c r="Q22" s="28"/>
      <c r="R22" s="28"/>
      <c r="S22" s="28"/>
      <c r="T22" s="28"/>
      <c r="U22" s="28"/>
      <c r="V22" s="28"/>
      <c r="W22" s="28"/>
      <c r="X22" s="28"/>
      <c r="Y22" s="28"/>
      <c r="Z22" s="28"/>
      <c r="AA22" s="329"/>
      <c r="AB22" s="28"/>
      <c r="AC22" s="28"/>
      <c r="AD22" s="28"/>
      <c r="AE22" s="28"/>
      <c r="AF22" s="28"/>
      <c r="AG22" s="28"/>
      <c r="AH22" s="28"/>
      <c r="AI22" s="28"/>
      <c r="AJ22" s="28"/>
      <c r="AK22" s="28"/>
      <c r="AL22" s="28"/>
      <c r="AM22" s="28"/>
      <c r="AN22" s="28"/>
      <c r="AO22" s="28"/>
      <c r="AP22" s="28"/>
      <c r="AQ22" s="28"/>
      <c r="AR22" s="28"/>
      <c r="AS22" s="28"/>
      <c r="AT22" s="28"/>
      <c r="AU22" s="28"/>
      <c r="AV22" s="206"/>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c r="BV22" s="28"/>
      <c r="BW22" s="28"/>
      <c r="BX22" s="28"/>
      <c r="BY22" s="28"/>
      <c r="BZ22" s="28"/>
      <c r="CA22" s="28"/>
      <c r="CB22" s="28"/>
      <c r="CC22" s="28"/>
      <c r="CD22" s="28"/>
      <c r="CE22" s="28"/>
      <c r="CF22" s="28"/>
      <c r="CG22" s="28"/>
      <c r="CH22" s="28"/>
      <c r="CI22" s="28"/>
      <c r="CJ22" s="28"/>
      <c r="CK22" s="28"/>
      <c r="CL22" s="28"/>
      <c r="CM22" s="28"/>
      <c r="CN22" s="28"/>
      <c r="CO22" s="28"/>
      <c r="CP22" s="28"/>
      <c r="CQ22" s="28"/>
      <c r="CR22" s="28"/>
      <c r="CS22" s="28"/>
      <c r="CT22" s="28"/>
      <c r="CU22" s="28"/>
      <c r="CV22" s="206"/>
      <c r="CW22" s="28"/>
      <c r="CX22" s="28"/>
      <c r="CY22" s="28"/>
      <c r="CZ22" s="28"/>
      <c r="DA22" s="28"/>
      <c r="DB22" s="28"/>
      <c r="DC22" s="28"/>
      <c r="DD22" s="28"/>
      <c r="DE22" s="28"/>
      <c r="DF22" s="28"/>
    </row>
    <row r="23" spans="1:110" ht="12" outlineLevel="1">
      <c r="A23" s="1" t="s">
        <v>571</v>
      </c>
      <c r="B23" s="15" t="s">
        <v>211</v>
      </c>
      <c r="C23" s="27">
        <v>0.35920000000000002</v>
      </c>
      <c r="D23" s="27">
        <v>0.3589</v>
      </c>
      <c r="E23" s="27">
        <v>0.36530000000000001</v>
      </c>
      <c r="F23" s="27">
        <v>0.3624</v>
      </c>
      <c r="G23" s="27">
        <v>0.40189999999999998</v>
      </c>
      <c r="H23" s="27">
        <v>0.41789999999999999</v>
      </c>
      <c r="I23" s="27">
        <v>0.39269999999999999</v>
      </c>
      <c r="J23" s="27">
        <v>0.40849999999999997</v>
      </c>
      <c r="K23" s="27">
        <v>0.4199</v>
      </c>
      <c r="L23" s="27">
        <v>0.42370000000000002</v>
      </c>
      <c r="M23" s="27">
        <v>0.40629999999999999</v>
      </c>
      <c r="N23" s="27">
        <v>0.40200000000000002</v>
      </c>
      <c r="O23" s="27">
        <v>0.41860000000000003</v>
      </c>
      <c r="P23" s="27">
        <v>0.44629999999999997</v>
      </c>
      <c r="Q23" s="27">
        <v>0.47389999999999999</v>
      </c>
      <c r="R23" s="27">
        <v>0.44479999999999997</v>
      </c>
      <c r="S23" s="27">
        <v>0.49880000000000002</v>
      </c>
      <c r="T23" s="27">
        <v>0.56710000000000005</v>
      </c>
      <c r="U23" s="27">
        <v>0.58660000000000001</v>
      </c>
      <c r="V23" s="27">
        <v>0.62580000000000002</v>
      </c>
      <c r="W23" s="27">
        <v>0.65129999999999999</v>
      </c>
      <c r="X23" s="27">
        <v>0.65690000000000004</v>
      </c>
      <c r="Y23" s="27">
        <v>0.64749999999999996</v>
      </c>
      <c r="Z23" s="329">
        <v>0.65739999999999998</v>
      </c>
      <c r="AA23" s="329">
        <v>0.61480000000000001</v>
      </c>
      <c r="AB23" s="329">
        <v>0.55649999999999999</v>
      </c>
      <c r="AC23" s="329">
        <v>0.55389999999999995</v>
      </c>
      <c r="AD23" s="329">
        <v>0.52949999999999997</v>
      </c>
      <c r="AE23" s="329">
        <v>0.48530000000000001</v>
      </c>
      <c r="AF23" s="329">
        <v>0.48859999999999998</v>
      </c>
      <c r="AG23" s="329">
        <v>0.54320000000000002</v>
      </c>
      <c r="AH23" s="329">
        <v>0.60709999999999997</v>
      </c>
      <c r="AI23" s="329">
        <v>0.59160000000000001</v>
      </c>
      <c r="AJ23" s="329">
        <v>0.57179999999999997</v>
      </c>
      <c r="AK23" s="329">
        <v>0.55840000000000001</v>
      </c>
      <c r="AL23" s="329">
        <v>0.55200000000000005</v>
      </c>
      <c r="AM23" s="329">
        <v>0.55030000000000001</v>
      </c>
      <c r="AN23" s="329">
        <v>0.52249999999999996</v>
      </c>
      <c r="AO23" s="329">
        <v>0.5403</v>
      </c>
      <c r="AP23" s="329">
        <v>0.55679999999999996</v>
      </c>
      <c r="AQ23" s="329">
        <v>0.54179999999999995</v>
      </c>
      <c r="AR23" s="329">
        <v>0.53979999999999995</v>
      </c>
      <c r="AS23" s="329">
        <v>0.57450000000000001</v>
      </c>
      <c r="AT23" s="329">
        <v>0.56179999999999997</v>
      </c>
      <c r="AU23" s="329">
        <v>0.52549999999999997</v>
      </c>
      <c r="AV23" s="236">
        <v>0.52159999999999995</v>
      </c>
      <c r="AW23" s="28">
        <v>0.50221090225563914</v>
      </c>
      <c r="AX23" s="28">
        <v>0.49250905040378723</v>
      </c>
      <c r="AY23" s="28">
        <v>0.51604938271604928</v>
      </c>
      <c r="AZ23" s="28">
        <v>0.55030864197530849</v>
      </c>
      <c r="BA23" s="28">
        <v>0.57407407407407396</v>
      </c>
      <c r="BB23" s="28">
        <v>0.59069983274181037</v>
      </c>
      <c r="BC23" s="28">
        <v>0.60361511000499424</v>
      </c>
      <c r="BD23" s="28">
        <v>0.61481502382515141</v>
      </c>
      <c r="BE23" s="28">
        <v>0.62622251252833638</v>
      </c>
      <c r="BF23" s="28">
        <v>0.63784340088700353</v>
      </c>
      <c r="BG23" s="28">
        <v>0.64968373366865828</v>
      </c>
      <c r="BH23" s="28">
        <v>0.66174978612130309</v>
      </c>
      <c r="BI23" s="28">
        <v>0.6740480750643808</v>
      </c>
      <c r="BJ23" s="28">
        <v>0.68340536528213769</v>
      </c>
      <c r="BK23" s="28">
        <v>0.6865546218487395</v>
      </c>
      <c r="BL23" s="28">
        <v>0.6865546218487395</v>
      </c>
      <c r="BM23" s="28">
        <v>0.6865546218487395</v>
      </c>
      <c r="BN23" s="28">
        <v>0.6865546218487395</v>
      </c>
      <c r="BO23" s="28">
        <v>0.6865546218487395</v>
      </c>
      <c r="BP23" s="28"/>
      <c r="BQ23" s="27">
        <v>0.41570000000000001</v>
      </c>
      <c r="BR23" s="27">
        <v>0.44819999999999999</v>
      </c>
      <c r="BS23" s="27">
        <v>0.46529999999999999</v>
      </c>
      <c r="BT23" s="27">
        <v>0.46589999999999998</v>
      </c>
      <c r="BU23" s="27">
        <v>0.49630000000000002</v>
      </c>
      <c r="BV23" s="27">
        <v>0.46939999999999998</v>
      </c>
      <c r="BW23" s="27">
        <v>0.39119999999999999</v>
      </c>
      <c r="BX23" s="27">
        <v>0.39319999999999999</v>
      </c>
      <c r="BY23" s="27">
        <v>0.39029999999999998</v>
      </c>
      <c r="BZ23" s="27">
        <v>0.36270000000000002</v>
      </c>
      <c r="CA23" s="28">
        <v>0.36209123287671235</v>
      </c>
      <c r="CB23" s="28">
        <v>0.38209589041095893</v>
      </c>
      <c r="CC23" s="28">
        <v>0.40529999999999999</v>
      </c>
      <c r="CD23" s="28">
        <v>0.41418438356164383</v>
      </c>
      <c r="CE23" s="28">
        <v>0.41502383561643841</v>
      </c>
      <c r="CF23" s="28">
        <v>0.41027726027397271</v>
      </c>
      <c r="CG23" s="28">
        <v>0.46009999999999995</v>
      </c>
      <c r="CH23" s="28">
        <v>0.47172602739726027</v>
      </c>
      <c r="CI23" s="28">
        <v>0.57682328767123292</v>
      </c>
      <c r="CJ23" s="28">
        <v>0.63851506849315065</v>
      </c>
      <c r="CK23" s="28">
        <v>0.6522</v>
      </c>
      <c r="CL23" s="28">
        <v>0.63615835616438354</v>
      </c>
      <c r="CM23" s="28">
        <v>0.55520356164383566</v>
      </c>
      <c r="CN23" s="28">
        <v>0.50746054794520545</v>
      </c>
      <c r="CO23" s="28">
        <v>0.51590000000000003</v>
      </c>
      <c r="CP23" s="28">
        <v>0.59937123287671235</v>
      </c>
      <c r="CQ23" s="28">
        <v>0.56511835616438355</v>
      </c>
      <c r="CR23" s="28">
        <v>0.55115232876712339</v>
      </c>
      <c r="CS23" s="28">
        <v>0.53139999999999998</v>
      </c>
      <c r="CT23" s="28">
        <v>0.54932054794520557</v>
      </c>
      <c r="CU23" s="28">
        <v>0.55710246575342459</v>
      </c>
      <c r="CV23" s="206">
        <v>0.54369972602739725</v>
      </c>
      <c r="CW23" s="28">
        <v>0.5119054511278196</v>
      </c>
      <c r="CX23" s="28">
        <v>0.50424696952935344</v>
      </c>
      <c r="CY23" s="28">
        <v>0.56215880263825457</v>
      </c>
      <c r="CZ23" s="28">
        <v>0.59713977921276784</v>
      </c>
      <c r="DA23" s="28">
        <v>0.6205187681767439</v>
      </c>
      <c r="DB23" s="28">
        <v>0.64374734764388342</v>
      </c>
      <c r="DC23" s="28">
        <v>0.66788208362168711</v>
      </c>
      <c r="DD23" s="28">
        <v>0.68497567951534732</v>
      </c>
      <c r="DE23" s="28">
        <v>0.6865546218487395</v>
      </c>
      <c r="DF23" s="28">
        <v>0.6865546218487395</v>
      </c>
    </row>
    <row r="24" spans="1:110" ht="12" outlineLevel="1">
      <c r="A24" s="1" t="s">
        <v>705</v>
      </c>
      <c r="B24" s="15" t="s">
        <v>212</v>
      </c>
      <c r="C24" s="27">
        <v>0.51349999999999996</v>
      </c>
      <c r="D24" s="27">
        <v>0.5151</v>
      </c>
      <c r="E24" s="27">
        <v>0.5494</v>
      </c>
      <c r="F24" s="27">
        <v>0.5756</v>
      </c>
      <c r="G24" s="27">
        <v>0.64910000000000001</v>
      </c>
      <c r="H24" s="27">
        <v>0.74029999999999996</v>
      </c>
      <c r="I24" s="27">
        <v>0.71250000000000002</v>
      </c>
      <c r="J24" s="27">
        <v>0.7671</v>
      </c>
      <c r="K24" s="27">
        <v>0.76429999999999998</v>
      </c>
      <c r="L24" s="27">
        <v>0.74180000000000001</v>
      </c>
      <c r="M24" s="27">
        <v>0.75180000000000002</v>
      </c>
      <c r="N24" s="27">
        <v>0.77800000000000002</v>
      </c>
      <c r="O24" s="27">
        <v>0.83860000000000001</v>
      </c>
      <c r="P24" s="27">
        <v>0.89759999999999995</v>
      </c>
      <c r="Q24" s="27">
        <v>0.91620000000000001</v>
      </c>
      <c r="R24" s="27">
        <v>0.66769999999999996</v>
      </c>
      <c r="S24" s="27">
        <v>0.79569999999999996</v>
      </c>
      <c r="T24" s="27">
        <v>0.90600000000000003</v>
      </c>
      <c r="U24" s="27">
        <v>0.89200000000000002</v>
      </c>
      <c r="V24" s="27">
        <v>0.99560000000000004</v>
      </c>
      <c r="W24" s="27">
        <v>1.0544</v>
      </c>
      <c r="X24" s="27">
        <v>1.032</v>
      </c>
      <c r="Y24" s="27">
        <v>1.0237000000000001</v>
      </c>
      <c r="Z24" s="329">
        <v>1.0387</v>
      </c>
      <c r="AA24" s="329">
        <v>0.94740000000000002</v>
      </c>
      <c r="AB24" s="329">
        <v>0.9113</v>
      </c>
      <c r="AC24" s="329">
        <v>0.92889999999999995</v>
      </c>
      <c r="AD24" s="329">
        <v>0.82</v>
      </c>
      <c r="AE24" s="329">
        <v>0.748</v>
      </c>
      <c r="AF24" s="329">
        <v>0.72119999999999995</v>
      </c>
      <c r="AG24" s="329">
        <v>0.751</v>
      </c>
      <c r="AH24" s="329">
        <v>0.75329999999999997</v>
      </c>
      <c r="AI24" s="329">
        <v>0.76500000000000001</v>
      </c>
      <c r="AJ24" s="329">
        <v>0.7772</v>
      </c>
      <c r="AK24" s="329">
        <v>0.74280000000000002</v>
      </c>
      <c r="AL24" s="329">
        <v>0.71450000000000002</v>
      </c>
      <c r="AM24" s="329">
        <v>0.69230000000000003</v>
      </c>
      <c r="AN24" s="329">
        <v>0.67049999999999998</v>
      </c>
      <c r="AO24" s="329">
        <v>0.68400000000000005</v>
      </c>
      <c r="AP24" s="329">
        <v>0.75070000000000003</v>
      </c>
      <c r="AQ24" s="329">
        <v>0.75180000000000002</v>
      </c>
      <c r="AR24" s="329">
        <v>0.72599999999999998</v>
      </c>
      <c r="AS24" s="329">
        <v>0.69910000000000005</v>
      </c>
      <c r="AT24" s="329">
        <v>0.66990000000000005</v>
      </c>
      <c r="AU24" s="329">
        <v>0.66149999999999998</v>
      </c>
      <c r="AV24" s="236">
        <v>0.65429999999999999</v>
      </c>
      <c r="AW24" s="28">
        <v>0.65040000000000009</v>
      </c>
      <c r="AX24" s="28">
        <v>0.66</v>
      </c>
      <c r="AY24" s="28">
        <v>0.69666666666666655</v>
      </c>
      <c r="AZ24" s="28">
        <v>0.74291666666666645</v>
      </c>
      <c r="BA24" s="28">
        <v>0.77499999999999991</v>
      </c>
      <c r="BB24" s="28">
        <v>0.79562499999999992</v>
      </c>
      <c r="BC24" s="28">
        <v>0.80749999999999988</v>
      </c>
      <c r="BD24" s="28">
        <v>0.81499999999999972</v>
      </c>
      <c r="BE24" s="28">
        <v>0.82249999999999956</v>
      </c>
      <c r="BF24" s="28">
        <v>0.8299999999999994</v>
      </c>
      <c r="BG24" s="28">
        <v>0.83749999999999925</v>
      </c>
      <c r="BH24" s="28">
        <v>0.84499999999999909</v>
      </c>
      <c r="BI24" s="28">
        <v>0.85249999999999893</v>
      </c>
      <c r="BJ24" s="28">
        <v>0.85812499999999936</v>
      </c>
      <c r="BK24" s="28">
        <v>0.86</v>
      </c>
      <c r="BL24" s="28">
        <v>0.86</v>
      </c>
      <c r="BM24" s="28">
        <v>0.86</v>
      </c>
      <c r="BN24" s="28">
        <v>0.86</v>
      </c>
      <c r="BO24" s="28">
        <v>0.86</v>
      </c>
      <c r="BP24" s="28"/>
      <c r="BQ24" s="27">
        <v>0.75449999999999995</v>
      </c>
      <c r="BR24" s="27">
        <v>0.68530000000000002</v>
      </c>
      <c r="BS24" s="27">
        <v>0.70640000000000003</v>
      </c>
      <c r="BT24" s="27">
        <v>0.74060000000000004</v>
      </c>
      <c r="BU24" s="27">
        <v>0.76849999999999996</v>
      </c>
      <c r="BV24" s="27">
        <v>0.76790000000000003</v>
      </c>
      <c r="BW24" s="27">
        <v>0.64680000000000004</v>
      </c>
      <c r="BX24" s="27">
        <v>0.64029999999999998</v>
      </c>
      <c r="BY24" s="27">
        <v>0.61009999999999998</v>
      </c>
      <c r="BZ24" s="27">
        <v>0.52300000000000002</v>
      </c>
      <c r="CA24" s="28">
        <v>0.5322030136986301</v>
      </c>
      <c r="CB24" s="28">
        <v>0.61224931506849323</v>
      </c>
      <c r="CC24" s="28">
        <v>0.72639999999999993</v>
      </c>
      <c r="CD24" s="28">
        <v>0.7657038356164384</v>
      </c>
      <c r="CE24" s="28">
        <v>0.74678630136986301</v>
      </c>
      <c r="CF24" s="28">
        <v>0.80821698630136996</v>
      </c>
      <c r="CG24" s="28">
        <v>0.90690000000000004</v>
      </c>
      <c r="CH24" s="28">
        <v>0.73152465753424656</v>
      </c>
      <c r="CI24" s="28">
        <v>0.89901917808219178</v>
      </c>
      <c r="CJ24" s="28">
        <v>1.0249194520547946</v>
      </c>
      <c r="CK24" s="28">
        <v>1.0278499999999999</v>
      </c>
      <c r="CL24" s="28">
        <v>0.99317506849315074</v>
      </c>
      <c r="CM24" s="28">
        <v>0.92007589041095894</v>
      </c>
      <c r="CN24" s="28">
        <v>0.78409863013698633</v>
      </c>
      <c r="CO24" s="28">
        <v>0.73609999999999998</v>
      </c>
      <c r="CP24" s="28">
        <v>0.75913397260273974</v>
      </c>
      <c r="CQ24" s="28">
        <v>0.76004712328767132</v>
      </c>
      <c r="CR24" s="28">
        <v>0.70343041095890424</v>
      </c>
      <c r="CS24" s="28">
        <v>0.67725000000000002</v>
      </c>
      <c r="CT24" s="28">
        <v>0.75124849315068498</v>
      </c>
      <c r="CU24" s="28">
        <v>0.71258684931506866</v>
      </c>
      <c r="CV24" s="206">
        <v>0.66571150684931502</v>
      </c>
      <c r="CW24" s="28">
        <v>0.65234999999999999</v>
      </c>
      <c r="CX24" s="28">
        <v>0.67828310502283107</v>
      </c>
      <c r="CY24" s="28">
        <v>0.75891438356164365</v>
      </c>
      <c r="CZ24" s="28">
        <v>0.80154623287671223</v>
      </c>
      <c r="DA24" s="28">
        <v>0.81874999999999964</v>
      </c>
      <c r="DB24" s="28">
        <v>0.83373972602739665</v>
      </c>
      <c r="DC24" s="28">
        <v>0.84873972602739634</v>
      </c>
      <c r="DD24" s="28">
        <v>0.85905993150684901</v>
      </c>
      <c r="DE24" s="28">
        <v>0.86</v>
      </c>
      <c r="DF24" s="28">
        <v>0.86</v>
      </c>
    </row>
    <row r="25" spans="1:110" ht="12" outlineLevel="1">
      <c r="A25" s="1" t="s">
        <v>2372</v>
      </c>
      <c r="B25" s="15" t="s">
        <v>213</v>
      </c>
      <c r="C25" s="27">
        <v>1.2317</v>
      </c>
      <c r="D25" s="27">
        <v>1.2256</v>
      </c>
      <c r="E25" s="27">
        <v>1.1747000000000001</v>
      </c>
      <c r="F25" s="27">
        <v>1.1025</v>
      </c>
      <c r="G25" s="27">
        <v>1.1252</v>
      </c>
      <c r="H25" s="27">
        <v>1.1400999999999999</v>
      </c>
      <c r="I25" s="27">
        <v>1.1125</v>
      </c>
      <c r="J25" s="27">
        <v>1.0831999999999999</v>
      </c>
      <c r="K25" s="27">
        <v>1.0862000000000001</v>
      </c>
      <c r="L25" s="27">
        <v>1.0921000000000001</v>
      </c>
      <c r="M25" s="27">
        <v>1.1941999999999999</v>
      </c>
      <c r="N25" s="27">
        <v>1.1358999999999999</v>
      </c>
      <c r="O25" s="27">
        <v>1.1301000000000001</v>
      </c>
      <c r="P25" s="27">
        <v>1.1541999999999999</v>
      </c>
      <c r="Q25" s="27">
        <v>1.2294</v>
      </c>
      <c r="R25" s="27">
        <v>1.2032</v>
      </c>
      <c r="S25" s="27">
        <v>1.2463</v>
      </c>
      <c r="T25" s="27">
        <v>1.2615000000000001</v>
      </c>
      <c r="U25" s="27">
        <v>1.2591000000000001</v>
      </c>
      <c r="V25" s="27">
        <v>1.3158000000000001</v>
      </c>
      <c r="W25" s="27">
        <v>1.2945</v>
      </c>
      <c r="X25" s="27">
        <v>1.2959000000000001</v>
      </c>
      <c r="Y25" s="27">
        <v>1.2807999999999999</v>
      </c>
      <c r="Z25" s="329">
        <v>1.2533000000000001</v>
      </c>
      <c r="AA25" s="329">
        <v>1.1733</v>
      </c>
      <c r="AB25" s="329">
        <v>1.0959000000000001</v>
      </c>
      <c r="AC25" s="329">
        <v>1.0903</v>
      </c>
      <c r="AD25" s="329">
        <v>1.0690999999999999</v>
      </c>
      <c r="AE25" s="329">
        <v>1.0878000000000001</v>
      </c>
      <c r="AF25" s="329">
        <v>1.0833999999999999</v>
      </c>
      <c r="AG25" s="329">
        <v>1.0640000000000001</v>
      </c>
      <c r="AH25" s="329">
        <v>1.0592999999999999</v>
      </c>
      <c r="AI25" s="329">
        <v>1.0670999999999999</v>
      </c>
      <c r="AJ25" s="329">
        <v>1.0924</v>
      </c>
      <c r="AK25" s="329">
        <v>1.0841000000000001</v>
      </c>
      <c r="AL25" s="329">
        <v>1.0578000000000001</v>
      </c>
      <c r="AM25" s="329">
        <v>1.0567</v>
      </c>
      <c r="AN25" s="329">
        <v>1.0488</v>
      </c>
      <c r="AO25" s="329">
        <v>1.071</v>
      </c>
      <c r="AP25" s="329">
        <v>1.0697000000000001</v>
      </c>
      <c r="AQ25" s="329">
        <v>1.0626</v>
      </c>
      <c r="AR25" s="329">
        <v>1.0589999999999999</v>
      </c>
      <c r="AS25" s="329">
        <v>1.1063000000000001</v>
      </c>
      <c r="AT25" s="329">
        <v>1.0876999999999999</v>
      </c>
      <c r="AU25" s="329">
        <v>1.0813999999999999</v>
      </c>
      <c r="AV25" s="236">
        <v>1.0761000000000001</v>
      </c>
      <c r="AW25" s="28">
        <v>1.0868166666666668</v>
      </c>
      <c r="AX25" s="28">
        <v>1.081989247311828</v>
      </c>
      <c r="AY25" s="28">
        <v>1.0938940092165899</v>
      </c>
      <c r="AZ25" s="28">
        <v>1.1226012793176969</v>
      </c>
      <c r="BA25" s="28">
        <v>1.1567164179104474</v>
      </c>
      <c r="BB25" s="28">
        <v>1.1891832930762463</v>
      </c>
      <c r="BC25" s="28">
        <v>1.2120329441623021</v>
      </c>
      <c r="BD25" s="28">
        <v>1.2302145531603572</v>
      </c>
      <c r="BE25" s="28">
        <v>1.2486031684020342</v>
      </c>
      <c r="BF25" s="28">
        <v>1.2672023454536334</v>
      </c>
      <c r="BG25" s="28">
        <v>1.2860157217788521</v>
      </c>
      <c r="BH25" s="28">
        <v>1.3050470191104497</v>
      </c>
      <c r="BI25" s="28">
        <v>1.3243000459048073</v>
      </c>
      <c r="BJ25" s="28">
        <v>1.3388662366114881</v>
      </c>
      <c r="BK25" s="28">
        <v>1.34375</v>
      </c>
      <c r="BL25" s="28">
        <v>1.34375</v>
      </c>
      <c r="BM25" s="28">
        <v>1.34375</v>
      </c>
      <c r="BN25" s="28">
        <v>1.34375</v>
      </c>
      <c r="BO25" s="28">
        <v>1.34375</v>
      </c>
      <c r="BP25" s="28"/>
      <c r="BQ25" s="27">
        <v>1.3818999999999999</v>
      </c>
      <c r="BR25" s="27">
        <v>1.28</v>
      </c>
      <c r="BS25" s="27">
        <v>1.22</v>
      </c>
      <c r="BT25" s="27">
        <v>1.1407</v>
      </c>
      <c r="BU25" s="27">
        <v>1.1339999999999999</v>
      </c>
      <c r="BV25" s="27">
        <v>1.1191</v>
      </c>
      <c r="BW25" s="27">
        <v>1.1580999999999999</v>
      </c>
      <c r="BX25" s="27">
        <v>1.2014</v>
      </c>
      <c r="BY25" s="27">
        <v>1.2646999999999999</v>
      </c>
      <c r="BZ25" s="27">
        <v>1.2473000000000001</v>
      </c>
      <c r="CA25" s="28">
        <v>1.2002197260273975</v>
      </c>
      <c r="CB25" s="28">
        <v>1.1138189041095892</v>
      </c>
      <c r="CC25" s="28">
        <v>1.1263000000000001</v>
      </c>
      <c r="CD25" s="28">
        <v>1.0846958904109589</v>
      </c>
      <c r="CE25" s="28">
        <v>1.1430101369863015</v>
      </c>
      <c r="CF25" s="28">
        <v>1.1330079452054795</v>
      </c>
      <c r="CG25" s="28">
        <v>1.1918</v>
      </c>
      <c r="CH25" s="28">
        <v>1.2246909589041095</v>
      </c>
      <c r="CI25" s="28">
        <v>1.260303287671233</v>
      </c>
      <c r="CJ25" s="28">
        <v>1.3051791780821917</v>
      </c>
      <c r="CK25" s="28">
        <v>1.2883499999999999</v>
      </c>
      <c r="CL25" s="28">
        <v>1.2134095890410961</v>
      </c>
      <c r="CM25" s="28">
        <v>1.0931076712328769</v>
      </c>
      <c r="CN25" s="28">
        <v>1.0784243835616438</v>
      </c>
      <c r="CO25" s="28">
        <v>1.0737000000000001</v>
      </c>
      <c r="CP25" s="28">
        <v>1.0631893150684932</v>
      </c>
      <c r="CQ25" s="28">
        <v>1.0882613698630137</v>
      </c>
      <c r="CR25" s="28">
        <v>1.0572515068493153</v>
      </c>
      <c r="CS25" s="28">
        <v>1.0598999999999998</v>
      </c>
      <c r="CT25" s="28">
        <v>1.0661597260273974</v>
      </c>
      <c r="CU25" s="28">
        <v>1.082585205479452</v>
      </c>
      <c r="CV25" s="206">
        <v>1.0845586301369863</v>
      </c>
      <c r="CW25" s="28">
        <v>1.0814583333333334</v>
      </c>
      <c r="CX25" s="28">
        <v>1.0879253203711885</v>
      </c>
      <c r="CY25" s="28">
        <v>1.139612115547507</v>
      </c>
      <c r="CZ25" s="28">
        <v>1.2005768177273755</v>
      </c>
      <c r="DA25" s="28">
        <v>1.2394088607811957</v>
      </c>
      <c r="DB25" s="28">
        <v>1.2765832618678521</v>
      </c>
      <c r="DC25" s="28">
        <v>1.3146471584983213</v>
      </c>
      <c r="DD25" s="28">
        <v>1.3413014282189104</v>
      </c>
      <c r="DE25" s="28">
        <v>1.34375</v>
      </c>
      <c r="DF25" s="28">
        <v>1.34375</v>
      </c>
    </row>
    <row r="26" spans="1:110" ht="12" outlineLevel="1">
      <c r="A26" s="1" t="s">
        <v>571</v>
      </c>
      <c r="B26" s="15" t="s">
        <v>214</v>
      </c>
      <c r="C26" s="27">
        <v>0.58021666666666671</v>
      </c>
      <c r="D26" s="27">
        <v>0.58535000000000004</v>
      </c>
      <c r="E26" s="27">
        <v>0.57331666666666659</v>
      </c>
      <c r="F26" s="27">
        <v>0.5533499999999999</v>
      </c>
      <c r="G26" s="27">
        <v>0.57533333333333336</v>
      </c>
      <c r="H26" s="27">
        <v>0.60660000000000003</v>
      </c>
      <c r="I26" s="27">
        <v>0.58699999999999997</v>
      </c>
      <c r="J26" s="27">
        <v>0.58830000000000005</v>
      </c>
      <c r="K26" s="27">
        <v>0.61639999999999995</v>
      </c>
      <c r="L26" s="27">
        <v>0.62019999999999997</v>
      </c>
      <c r="M26" s="27">
        <v>0.59409999999999996</v>
      </c>
      <c r="N26" s="27">
        <v>0.59830000000000005</v>
      </c>
      <c r="O26" s="27">
        <v>0.61609999999999998</v>
      </c>
      <c r="P26" s="27">
        <v>0.60909999999999997</v>
      </c>
      <c r="Q26" s="27">
        <v>0.59689999999999999</v>
      </c>
      <c r="R26" s="27">
        <v>0.50860000000000005</v>
      </c>
      <c r="S26" s="27">
        <v>0.5696</v>
      </c>
      <c r="T26" s="27">
        <v>0.63300000000000001</v>
      </c>
      <c r="U26" s="27">
        <v>0.69320000000000004</v>
      </c>
      <c r="V26" s="27">
        <v>0.73029999999999995</v>
      </c>
      <c r="W26" s="27">
        <v>0.74029999999999996</v>
      </c>
      <c r="X26" s="27">
        <v>0.77580000000000005</v>
      </c>
      <c r="Y26" s="27">
        <v>0.80710000000000004</v>
      </c>
      <c r="Z26" s="329">
        <v>0.79379999999999995</v>
      </c>
      <c r="AA26" s="329">
        <v>0.71930000000000005</v>
      </c>
      <c r="AB26" s="329">
        <v>0.66720000000000002</v>
      </c>
      <c r="AC26" s="329">
        <v>0.6885</v>
      </c>
      <c r="AD26" s="329">
        <v>0.69089999999999996</v>
      </c>
      <c r="AE26" s="329">
        <v>0.67669999999999997</v>
      </c>
      <c r="AF26" s="329">
        <v>0.65580000000000005</v>
      </c>
      <c r="AG26" s="329">
        <v>0.6694</v>
      </c>
      <c r="AH26" s="329">
        <v>0.70250000000000001</v>
      </c>
      <c r="AI26" s="329">
        <v>0.67290000000000005</v>
      </c>
      <c r="AJ26" s="329">
        <v>0.64600000000000002</v>
      </c>
      <c r="AK26" s="329">
        <v>0.63149999999999995</v>
      </c>
      <c r="AL26" s="329">
        <v>0.62739999999999996</v>
      </c>
      <c r="AM26" s="329">
        <v>0.61970000000000003</v>
      </c>
      <c r="AN26" s="329">
        <v>0.60660000000000003</v>
      </c>
      <c r="AO26" s="329">
        <v>0.6038</v>
      </c>
      <c r="AP26" s="329">
        <v>0.62629999999999997</v>
      </c>
      <c r="AQ26" s="329">
        <v>0.63100000000000001</v>
      </c>
      <c r="AR26" s="329">
        <v>0.64059999999999995</v>
      </c>
      <c r="AS26" s="329">
        <v>0.67469999999999997</v>
      </c>
      <c r="AT26" s="329">
        <v>0.64090000000000003</v>
      </c>
      <c r="AU26" s="329">
        <v>0.60760000000000003</v>
      </c>
      <c r="AV26" s="236">
        <v>0.60540000000000005</v>
      </c>
      <c r="AW26" s="28">
        <v>0.61152380952380958</v>
      </c>
      <c r="AX26" s="28">
        <v>0.61970899470899465</v>
      </c>
      <c r="AY26" s="28">
        <v>0.63119110234494857</v>
      </c>
      <c r="AZ26" s="28">
        <v>0.65252765629019815</v>
      </c>
      <c r="BA26" s="28">
        <v>0.67391304347826086</v>
      </c>
      <c r="BB26" s="28">
        <v>0.69108978590964831</v>
      </c>
      <c r="BC26" s="28">
        <v>0.69913044700458693</v>
      </c>
      <c r="BD26" s="28">
        <v>0.70258250307717374</v>
      </c>
      <c r="BE26" s="28">
        <v>0.7060049273560367</v>
      </c>
      <c r="BF26" s="28">
        <v>0.70939809974295032</v>
      </c>
      <c r="BG26" s="28">
        <v>0.71276239367312777</v>
      </c>
      <c r="BH26" s="28">
        <v>0.71609817625222871</v>
      </c>
      <c r="BI26" s="28">
        <v>0.71940580838989798</v>
      </c>
      <c r="BJ26" s="28">
        <v>0.72187085360460057</v>
      </c>
      <c r="BK26" s="28">
        <v>0.72268907563025209</v>
      </c>
      <c r="BL26" s="28">
        <v>0.72268907563025209</v>
      </c>
      <c r="BM26" s="28">
        <v>0.72268907563025209</v>
      </c>
      <c r="BN26" s="28">
        <v>0.72268907563025209</v>
      </c>
      <c r="BO26" s="28">
        <v>0.72268907563025209</v>
      </c>
      <c r="BP26" s="28"/>
      <c r="BQ26" s="27"/>
      <c r="BR26" s="27"/>
      <c r="BS26" s="27"/>
      <c r="BT26" s="27"/>
      <c r="BU26" s="27"/>
      <c r="BV26" s="27"/>
      <c r="BW26" s="27">
        <v>0.57845000000000002</v>
      </c>
      <c r="BX26" s="27">
        <v>0.55885000000000007</v>
      </c>
      <c r="BY26" s="27">
        <v>0.61250000000000004</v>
      </c>
      <c r="BZ26" s="27">
        <v>0.57715000000000005</v>
      </c>
      <c r="CA26" s="28">
        <v>0.57934981735159818</v>
      </c>
      <c r="CB26" s="28">
        <v>0.56431155251141563</v>
      </c>
      <c r="CC26" s="28">
        <v>0.5968</v>
      </c>
      <c r="CD26" s="28">
        <v>0.60231150684931511</v>
      </c>
      <c r="CE26" s="28">
        <v>0.60718575342465753</v>
      </c>
      <c r="CF26" s="28">
        <v>0.60717561643835616</v>
      </c>
      <c r="CG26" s="28">
        <v>0.60299999999999998</v>
      </c>
      <c r="CH26" s="28">
        <v>0.53901643835616442</v>
      </c>
      <c r="CI26" s="28">
        <v>0.6630175342465755</v>
      </c>
      <c r="CJ26" s="28">
        <v>0.73528630136986295</v>
      </c>
      <c r="CK26" s="28">
        <v>0.79144999999999999</v>
      </c>
      <c r="CL26" s="28">
        <v>0.75665205479452058</v>
      </c>
      <c r="CM26" s="28">
        <v>0.67782082191780835</v>
      </c>
      <c r="CN26" s="28">
        <v>0.68381945205479455</v>
      </c>
      <c r="CO26" s="28">
        <v>0.66260000000000008</v>
      </c>
      <c r="CP26" s="28">
        <v>0.68774054794520545</v>
      </c>
      <c r="CQ26" s="28">
        <v>0.63876986301369865</v>
      </c>
      <c r="CR26" s="28">
        <v>0.62356054794520555</v>
      </c>
      <c r="CS26" s="28">
        <v>0.60519999999999996</v>
      </c>
      <c r="CT26" s="28">
        <v>0.62864356164383572</v>
      </c>
      <c r="CU26" s="28">
        <v>0.65760328767123288</v>
      </c>
      <c r="CV26" s="206">
        <v>0.62429561643835629</v>
      </c>
      <c r="CW26" s="28">
        <v>0.60846190476190487</v>
      </c>
      <c r="CX26" s="28">
        <v>0.62543431961240192</v>
      </c>
      <c r="CY26" s="28">
        <v>0.663191054833287</v>
      </c>
      <c r="CZ26" s="28">
        <v>0.69509910185287804</v>
      </c>
      <c r="DA26" s="28">
        <v>0.70429371521660522</v>
      </c>
      <c r="DB26" s="28">
        <v>0.71107563808621688</v>
      </c>
      <c r="DC26" s="28">
        <v>0.71774746131813505</v>
      </c>
      <c r="DD26" s="28">
        <v>0.72227884376533635</v>
      </c>
      <c r="DE26" s="28">
        <v>0.72268907563025209</v>
      </c>
      <c r="DF26" s="28">
        <v>0.72268907563025209</v>
      </c>
    </row>
    <row r="27" spans="1:110" ht="12" outlineLevel="1">
      <c r="C27" s="28"/>
      <c r="D27" s="28"/>
      <c r="E27" s="28"/>
      <c r="F27" s="28"/>
      <c r="G27" s="28"/>
      <c r="H27" s="28"/>
      <c r="I27" s="28"/>
      <c r="J27" s="28"/>
      <c r="K27" s="28"/>
      <c r="L27" s="28"/>
      <c r="M27" s="28"/>
      <c r="N27" s="28"/>
      <c r="O27" s="28"/>
      <c r="P27" s="28"/>
      <c r="Q27" s="28"/>
      <c r="R27" s="28"/>
      <c r="S27" s="28"/>
      <c r="T27" s="28"/>
      <c r="U27" s="28"/>
      <c r="V27" s="28"/>
      <c r="W27" s="28"/>
      <c r="X27" s="28"/>
      <c r="Y27" s="62"/>
      <c r="Z27" s="41"/>
      <c r="AA27" s="62"/>
      <c r="AB27" s="28"/>
      <c r="AC27" s="28"/>
      <c r="AD27" s="28"/>
      <c r="AE27" s="28"/>
      <c r="AF27" s="28"/>
      <c r="AG27" s="28"/>
      <c r="AH27" s="28"/>
      <c r="AI27" s="28"/>
      <c r="AJ27" s="28"/>
      <c r="AK27" s="28"/>
      <c r="AL27" s="28"/>
      <c r="AM27" s="28"/>
      <c r="AN27" s="28"/>
      <c r="AO27" s="28"/>
      <c r="AP27" s="28"/>
      <c r="AQ27" s="28"/>
      <c r="AR27" s="28"/>
      <c r="AS27" s="28"/>
      <c r="AT27" s="28"/>
      <c r="AU27" s="28"/>
      <c r="AV27" s="206"/>
      <c r="AW27" s="28"/>
      <c r="AX27" s="28"/>
      <c r="AY27" s="28"/>
      <c r="AZ27" s="28"/>
      <c r="BA27" s="28"/>
      <c r="BB27" s="28"/>
      <c r="BC27" s="28"/>
      <c r="BD27" s="28"/>
      <c r="BE27" s="28"/>
      <c r="BF27" s="28"/>
      <c r="BG27" s="28"/>
      <c r="BH27" s="28"/>
      <c r="BI27" s="28"/>
      <c r="BJ27" s="28"/>
      <c r="BK27" s="28"/>
      <c r="BL27" s="28"/>
      <c r="BM27" s="28"/>
      <c r="BN27" s="28"/>
      <c r="BO27" s="28"/>
      <c r="BP27" s="28"/>
      <c r="BQ27" s="28"/>
      <c r="BR27" s="28"/>
      <c r="BS27" s="28"/>
      <c r="BT27" s="28"/>
      <c r="BU27" s="28"/>
      <c r="BV27" s="28"/>
      <c r="BW27" s="28"/>
      <c r="BX27" s="28"/>
      <c r="BY27" s="28"/>
      <c r="BZ27" s="28"/>
      <c r="CA27" s="28"/>
      <c r="CB27" s="28"/>
      <c r="CC27" s="28"/>
      <c r="CD27" s="28"/>
      <c r="CE27" s="28"/>
      <c r="CF27" s="28"/>
      <c r="CG27" s="28"/>
      <c r="CH27" s="28"/>
      <c r="CI27" s="28"/>
      <c r="CJ27" s="28"/>
      <c r="CK27" s="28"/>
      <c r="CL27" s="28"/>
      <c r="CM27" s="28"/>
      <c r="CN27" s="28"/>
      <c r="CO27" s="28"/>
      <c r="CP27" s="28"/>
      <c r="CQ27" s="28"/>
      <c r="CR27" s="28"/>
      <c r="CS27" s="28"/>
      <c r="CT27" s="28"/>
      <c r="CU27" s="28"/>
      <c r="CV27" s="206"/>
      <c r="CW27" s="28"/>
      <c r="CX27" s="28"/>
      <c r="CY27" s="28"/>
      <c r="CZ27" s="28"/>
      <c r="DA27" s="28"/>
      <c r="DB27" s="28"/>
      <c r="DC27" s="28"/>
      <c r="DD27" s="28"/>
      <c r="DE27" s="28"/>
      <c r="DF27" s="28"/>
    </row>
    <row r="28" spans="1:110" ht="12" outlineLevel="1">
      <c r="B28" s="17" t="s">
        <v>217</v>
      </c>
      <c r="Y28" s="62"/>
      <c r="Z28" s="62"/>
      <c r="AA28" s="150"/>
      <c r="AV28" s="200"/>
      <c r="CZ28" s="16"/>
      <c r="DA28" s="16"/>
      <c r="DB28" s="16"/>
      <c r="DC28" s="16"/>
      <c r="DD28" s="16"/>
      <c r="DE28" s="16"/>
      <c r="DF28" s="16"/>
    </row>
    <row r="29" spans="1:110" ht="12" outlineLevel="1">
      <c r="A29" s="1" t="s">
        <v>706</v>
      </c>
      <c r="B29" s="15" t="s">
        <v>218</v>
      </c>
      <c r="C29" s="373">
        <v>7.6487012946403476E-2</v>
      </c>
      <c r="D29" s="373">
        <v>9.4328087027078164E-2</v>
      </c>
      <c r="E29" s="373">
        <v>8.9366095891898714E-2</v>
      </c>
      <c r="F29" s="373">
        <v>8.0831933816413196E-2</v>
      </c>
      <c r="G29" s="373">
        <v>0.10326189032416355</v>
      </c>
      <c r="H29" s="373">
        <v>0.10534267666330832</v>
      </c>
      <c r="I29" s="373">
        <v>7.9558081199953889E-2</v>
      </c>
      <c r="J29" s="373">
        <v>7.1172016524934101E-2</v>
      </c>
      <c r="K29" s="373">
        <v>5.8138953911090363E-2</v>
      </c>
      <c r="L29" s="373">
        <v>6.6393519186611849E-2</v>
      </c>
      <c r="M29" s="136">
        <v>7.3740738446225418E-2</v>
      </c>
      <c r="N29" s="136">
        <v>5.6919423183128703E-2</v>
      </c>
      <c r="O29" s="136">
        <v>5.8753116560019691E-2</v>
      </c>
      <c r="P29" s="136">
        <v>5.0182452830276114E-2</v>
      </c>
      <c r="Q29" s="136">
        <v>3.2832274841202214E-2</v>
      </c>
      <c r="R29" s="136">
        <v>3.1019100897294205E-2</v>
      </c>
      <c r="S29" s="136">
        <v>3.9160607787600554E-2</v>
      </c>
      <c r="T29" s="137">
        <v>4.155890723563016E-2</v>
      </c>
      <c r="U29" s="136">
        <v>3.334532138189461E-2</v>
      </c>
      <c r="V29" s="136">
        <v>3.0199873918540732E-2</v>
      </c>
      <c r="W29" s="136">
        <v>2.7171247974636215E-2</v>
      </c>
      <c r="X29" s="136">
        <v>2.4861187175754251E-2</v>
      </c>
      <c r="Y29" s="137">
        <v>2.157235437916194E-2</v>
      </c>
      <c r="Z29" s="137">
        <v>2.2238833429403027E-2</v>
      </c>
      <c r="AA29" s="137">
        <v>2.624580255008957E-2</v>
      </c>
      <c r="AB29" s="354">
        <v>3.1773748891202436E-2</v>
      </c>
      <c r="AC29" s="354">
        <v>3.4647805674226095E-2</v>
      </c>
      <c r="AD29" s="354">
        <v>3.6103842448774959E-2</v>
      </c>
      <c r="AE29" s="354">
        <v>3.7190791518908473E-2</v>
      </c>
      <c r="AF29" s="354">
        <v>3.2333928004397272E-2</v>
      </c>
      <c r="AG29" s="354">
        <v>3.0984027002779468E-2</v>
      </c>
      <c r="AH29" s="354">
        <v>3.2789072599233915E-2</v>
      </c>
      <c r="AI29" s="354">
        <v>3.1981792440189283E-2</v>
      </c>
      <c r="AJ29" s="354">
        <v>2.8477214963807951E-2</v>
      </c>
      <c r="AK29" s="354">
        <v>2.3386089800527587E-2</v>
      </c>
      <c r="AL29" s="354">
        <v>1.5684310136535373E-2</v>
      </c>
      <c r="AM29" s="354">
        <v>1.4043865109433673E-2</v>
      </c>
      <c r="AN29" s="354">
        <v>1.7800198216765928E-2</v>
      </c>
      <c r="AO29" s="354">
        <v>1.4885499171072958E-2</v>
      </c>
      <c r="AP29" s="354">
        <v>2.5963609708291369E-2</v>
      </c>
      <c r="AQ29" s="354">
        <v>3.7558297407180419E-2</v>
      </c>
      <c r="AR29" s="354">
        <v>3.9985638209326435E-2</v>
      </c>
      <c r="AS29" s="354">
        <v>3.2562312403849436E-2</v>
      </c>
      <c r="AT29" s="354">
        <v>2.1588741427760016E-2</v>
      </c>
      <c r="AU29" s="354">
        <v>1.9909198727050548E-2</v>
      </c>
      <c r="AV29" s="341">
        <v>2.3050307375438006E-2</v>
      </c>
      <c r="AW29" s="29">
        <v>3.0647366881055182E-2</v>
      </c>
      <c r="AX29" s="29">
        <v>1.7065999999999804E-2</v>
      </c>
      <c r="AY29" s="29">
        <v>3.1227999999999811E-2</v>
      </c>
      <c r="AZ29" s="29">
        <v>1.9089999999999829E-2</v>
      </c>
      <c r="BA29" s="29">
        <v>1.8080999999999792E-2</v>
      </c>
      <c r="BB29" s="29">
        <v>1.8080999999999792E-2</v>
      </c>
      <c r="BC29" s="29">
        <v>1.8080999999999792E-2</v>
      </c>
      <c r="BD29" s="29">
        <v>1.8080999999999792E-2</v>
      </c>
      <c r="BE29" s="29">
        <v>1.8080999999999792E-2</v>
      </c>
      <c r="BF29" s="29">
        <v>1.8080999999999792E-2</v>
      </c>
      <c r="BG29" s="29">
        <v>1.8080999999999792E-2</v>
      </c>
      <c r="BH29" s="29">
        <v>1.8080999999999792E-2</v>
      </c>
      <c r="BI29" s="29">
        <v>1.8080999999999792E-2</v>
      </c>
      <c r="BJ29" s="29">
        <v>1.8080999999999792E-2</v>
      </c>
      <c r="BK29" s="29">
        <v>1.8080999999999792E-2</v>
      </c>
      <c r="BL29" s="29">
        <v>1.8080999999999792E-2</v>
      </c>
      <c r="BM29" s="29">
        <v>1.8080999999999792E-2</v>
      </c>
      <c r="BN29" s="370">
        <v>0.01</v>
      </c>
      <c r="BO29" s="370">
        <v>0.01</v>
      </c>
      <c r="BP29" s="30"/>
      <c r="BQ29" s="393">
        <v>6.0879970935290517E-2</v>
      </c>
      <c r="BR29" s="393">
        <v>8.8466284456115249E-2</v>
      </c>
      <c r="BS29" s="393">
        <v>0.10548494082761393</v>
      </c>
      <c r="BT29" s="393">
        <v>4.9187440991268483E-2</v>
      </c>
      <c r="BU29" s="393">
        <v>5.5588891820556485E-2</v>
      </c>
      <c r="BV29" s="393">
        <v>6.5205269476482419E-2</v>
      </c>
      <c r="BW29" s="393">
        <v>5.7896740746976594E-2</v>
      </c>
      <c r="BX29" s="393">
        <v>7.367587744538584E-2</v>
      </c>
      <c r="BY29" s="393">
        <v>6.6767805302639038E-2</v>
      </c>
      <c r="BZ29" s="393">
        <v>7.6487012946403476E-2</v>
      </c>
      <c r="CA29" s="30">
        <v>0.19212391578953802</v>
      </c>
      <c r="CB29" s="30">
        <v>0.19244068242501733</v>
      </c>
      <c r="CC29" s="30">
        <v>0.1932816190870621</v>
      </c>
      <c r="CD29" s="30">
        <v>0.13344883702452703</v>
      </c>
      <c r="CE29" s="30">
        <v>0.14503016476570174</v>
      </c>
      <c r="CF29" s="30">
        <v>0.11901673324795592</v>
      </c>
      <c r="CG29" s="30">
        <v>8.4662331755007703E-2</v>
      </c>
      <c r="CH29" s="30">
        <v>7.1394435529057665E-2</v>
      </c>
      <c r="CI29" s="30">
        <v>7.629002373557725E-2</v>
      </c>
      <c r="CJ29" s="30">
        <v>5.8191690156220277E-2</v>
      </c>
      <c r="CK29" s="32">
        <v>4.6969855894958279E-2</v>
      </c>
      <c r="CL29" s="32">
        <v>4.9068312010625004E-2</v>
      </c>
      <c r="CM29" s="32">
        <v>6.7522445242552465E-2</v>
      </c>
      <c r="CN29" s="32">
        <v>7.4637364445227394E-2</v>
      </c>
      <c r="CO29" s="32">
        <v>6.4319790305571001E-2</v>
      </c>
      <c r="CP29" s="32">
        <v>6.5819518353598117E-2</v>
      </c>
      <c r="CQ29" s="32">
        <v>5.2529275470748038E-2</v>
      </c>
      <c r="CR29" s="32">
        <v>2.9948443581861106E-2</v>
      </c>
      <c r="CS29" s="32">
        <v>3.2950662223639515E-2</v>
      </c>
      <c r="CT29" s="32">
        <v>6.4497056090659699E-2</v>
      </c>
      <c r="CU29" s="32">
        <v>7.3849975456215189E-2</v>
      </c>
      <c r="CV29" s="31">
        <v>4.1927754698162678E-2</v>
      </c>
      <c r="CW29" s="30">
        <v>5.4404105483349285E-2</v>
      </c>
      <c r="CX29" s="30">
        <v>4.8826937047999674E-2</v>
      </c>
      <c r="CY29" s="30">
        <v>3.7516166289999653E-2</v>
      </c>
      <c r="CZ29" s="30">
        <v>3.648892256099967E-2</v>
      </c>
      <c r="DA29" s="30">
        <v>3.648892256099967E-2</v>
      </c>
      <c r="DB29" s="30">
        <v>3.648892256099967E-2</v>
      </c>
      <c r="DC29" s="30">
        <v>3.648892256099967E-2</v>
      </c>
      <c r="DD29" s="30">
        <v>3.648892256099967E-2</v>
      </c>
      <c r="DE29" s="30">
        <v>3.648892256099967E-2</v>
      </c>
      <c r="DF29" s="30">
        <v>2.0100000000000007E-2</v>
      </c>
    </row>
    <row r="30" spans="1:110" ht="12" outlineLevel="1">
      <c r="A30" s="1" t="s">
        <v>707</v>
      </c>
      <c r="B30" s="15" t="s">
        <v>219</v>
      </c>
      <c r="C30" s="373">
        <v>-1.9955614860687199E-3</v>
      </c>
      <c r="D30" s="373">
        <v>6.7142399211648218E-3</v>
      </c>
      <c r="E30" s="373">
        <v>4.0535573736443897E-2</v>
      </c>
      <c r="F30" s="373">
        <v>3.5950295547827915E-2</v>
      </c>
      <c r="G30" s="373">
        <v>2.8766731431028036E-2</v>
      </c>
      <c r="H30" s="373">
        <v>3.1025986778630443E-2</v>
      </c>
      <c r="I30" s="373">
        <v>5.2958731417592553E-2</v>
      </c>
      <c r="J30" s="373">
        <v>5.2820034183739484E-2</v>
      </c>
      <c r="K30" s="373">
        <v>7.4274784603098443E-2</v>
      </c>
      <c r="L30" s="373">
        <v>8.4891948796745678E-2</v>
      </c>
      <c r="M30" s="136">
        <v>7.1163808202997947E-2</v>
      </c>
      <c r="N30" s="136">
        <v>9.0796575449998182E-2</v>
      </c>
      <c r="O30" s="136">
        <v>0.12030631236077749</v>
      </c>
      <c r="P30" s="136">
        <v>8.573428025558115E-2</v>
      </c>
      <c r="Q30" s="136">
        <v>4.8419444849221893E-2</v>
      </c>
      <c r="R30" s="136">
        <v>2.2783271753488155E-3</v>
      </c>
      <c r="S30" s="136">
        <v>-4.1894374722073573E-2</v>
      </c>
      <c r="T30" s="137">
        <v>-2.0652964815914054E-2</v>
      </c>
      <c r="U30" s="136">
        <v>-1.4730040832131808E-2</v>
      </c>
      <c r="V30" s="136">
        <v>6.7904484085503647E-3</v>
      </c>
      <c r="W30" s="136">
        <v>-8.1157413721282268E-3</v>
      </c>
      <c r="X30" s="136">
        <v>1.7997989036182993E-2</v>
      </c>
      <c r="Y30" s="137">
        <v>2.2049473446015266E-2</v>
      </c>
      <c r="Z30" s="137">
        <v>-1.6347310591705577E-3</v>
      </c>
      <c r="AA30" s="137">
        <v>1.19362913667036E-2</v>
      </c>
      <c r="AB30" s="354">
        <v>1.381339839054796E-2</v>
      </c>
      <c r="AC30" s="354">
        <v>2.3641178521515593E-2</v>
      </c>
      <c r="AD30" s="354">
        <v>3.0081865514443917E-2</v>
      </c>
      <c r="AE30" s="354">
        <v>3.2609272669522849E-2</v>
      </c>
      <c r="AF30" s="354">
        <v>3.1843676203443971E-2</v>
      </c>
      <c r="AG30" s="354">
        <v>1.6691720399479415E-2</v>
      </c>
      <c r="AH30" s="354">
        <v>1.6839757203409356E-2</v>
      </c>
      <c r="AI30" s="354">
        <v>2.427027758051481E-2</v>
      </c>
      <c r="AJ30" s="354">
        <v>1.4530959227548434E-2</v>
      </c>
      <c r="AK30" s="354">
        <v>2.8848684372756672E-2</v>
      </c>
      <c r="AL30" s="354">
        <v>1.9514538654239244E-2</v>
      </c>
      <c r="AM30" s="354">
        <v>1.0306559657899061E-2</v>
      </c>
      <c r="AN30" s="354">
        <v>3.8213261051656344E-2</v>
      </c>
      <c r="AO30" s="354">
        <v>-2.7137963158693879E-2</v>
      </c>
      <c r="AP30" s="354">
        <v>3.588162100556902E-3</v>
      </c>
      <c r="AQ30" s="354">
        <v>3.7413281533880127E-2</v>
      </c>
      <c r="AR30" s="354">
        <v>5.160557990735315E-2</v>
      </c>
      <c r="AS30" s="354">
        <v>7.7178396819799433E-2</v>
      </c>
      <c r="AT30" s="354">
        <v>2.5211449325703406E-2</v>
      </c>
      <c r="AU30" s="354">
        <v>3.9614762901896361E-2</v>
      </c>
      <c r="AV30" s="341">
        <v>3.5565458611115819E-2</v>
      </c>
      <c r="AW30" s="29">
        <v>3.0202641950293208E-2</v>
      </c>
      <c r="AX30" s="29">
        <v>2.2120999999999835E-2</v>
      </c>
      <c r="AY30" s="29">
        <v>2.2120999999999835E-2</v>
      </c>
      <c r="AZ30" s="29">
        <v>2.2120999999999835E-2</v>
      </c>
      <c r="BA30" s="29">
        <v>2.2120999999999835E-2</v>
      </c>
      <c r="BB30" s="29">
        <v>2.2120999999999835E-2</v>
      </c>
      <c r="BC30" s="29">
        <v>2.2120999999999835E-2</v>
      </c>
      <c r="BD30" s="29">
        <v>2.2120999999999835E-2</v>
      </c>
      <c r="BE30" s="29">
        <v>2.2120999999999835E-2</v>
      </c>
      <c r="BF30" s="29">
        <v>2.2120999999999835E-2</v>
      </c>
      <c r="BG30" s="29">
        <v>2.2120999999999835E-2</v>
      </c>
      <c r="BH30" s="29">
        <v>2.2120999999999835E-2</v>
      </c>
      <c r="BI30" s="29">
        <v>2.2120999999999835E-2</v>
      </c>
      <c r="BJ30" s="29">
        <v>2.2120999999999835E-2</v>
      </c>
      <c r="BK30" s="29">
        <v>2.2120999999999835E-2</v>
      </c>
      <c r="BL30" s="29">
        <v>2.2120999999999835E-2</v>
      </c>
      <c r="BM30" s="29">
        <v>2.2120999999999835E-2</v>
      </c>
      <c r="BN30" s="370">
        <v>0.01</v>
      </c>
      <c r="BO30" s="370">
        <v>0.01</v>
      </c>
      <c r="BP30" s="30"/>
      <c r="BQ30" s="393">
        <v>-2.6546006778881082E-2</v>
      </c>
      <c r="BR30" s="393">
        <v>-1.1797081296205492E-2</v>
      </c>
      <c r="BS30" s="393">
        <v>1.5309911247850083E-2</v>
      </c>
      <c r="BT30" s="393">
        <v>4.97701323005868E-2</v>
      </c>
      <c r="BU30" s="393">
        <v>4.7019048202131541E-2</v>
      </c>
      <c r="BV30" s="393">
        <v>6.4402557627365464E-2</v>
      </c>
      <c r="BW30" s="393">
        <v>4.4243056748455745E-2</v>
      </c>
      <c r="BX30" s="393">
        <v>2.9215889931571315E-2</v>
      </c>
      <c r="BY30" s="393">
        <v>4.8172908036143935E-2</v>
      </c>
      <c r="BZ30" s="393">
        <v>-1.9955614860687199E-3</v>
      </c>
      <c r="CA30" s="30">
        <v>4.7521979225017219E-2</v>
      </c>
      <c r="CB30" s="30">
        <v>6.575119947574648E-2</v>
      </c>
      <c r="CC30" s="30">
        <v>8.5627815096998239E-2</v>
      </c>
      <c r="CD30" s="30">
        <v>0.1310180154485634</v>
      </c>
      <c r="CE30" s="30">
        <v>0.16209699136189393</v>
      </c>
      <c r="CF30" s="30">
        <v>0.22202628897815213</v>
      </c>
      <c r="CG30" s="30">
        <v>0.13830493135932587</v>
      </c>
      <c r="CH30" s="30">
        <v>-3.9711496639148303E-2</v>
      </c>
      <c r="CI30" s="30">
        <v>-3.5078786633002901E-2</v>
      </c>
      <c r="CJ30" s="30">
        <v>-1.3804024866624909E-3</v>
      </c>
      <c r="CK30" s="32">
        <v>4.0444308663533324E-2</v>
      </c>
      <c r="CL30" s="32">
        <v>1.0282047681304585E-2</v>
      </c>
      <c r="CM30" s="32">
        <v>3.7781141929403406E-2</v>
      </c>
      <c r="CN30" s="32">
        <v>6.3672085938935252E-2</v>
      </c>
      <c r="CO30" s="32">
        <v>4.9066922342602792E-2</v>
      </c>
      <c r="CP30" s="32">
        <v>4.1518740365639406E-2</v>
      </c>
      <c r="CQ30" s="32">
        <v>4.3798842656693981E-2</v>
      </c>
      <c r="CR30" s="32">
        <v>3.0022226068974645E-2</v>
      </c>
      <c r="CS30" s="32">
        <v>1.0038267822369162E-2</v>
      </c>
      <c r="CT30" s="32">
        <v>4.1135688553294303E-2</v>
      </c>
      <c r="CU30" s="32">
        <v>0.13276681265135815</v>
      </c>
      <c r="CV30" s="31">
        <v>6.5824957815050711E-2</v>
      </c>
      <c r="CW30" s="30">
        <v>6.6842271373638518E-2</v>
      </c>
      <c r="CX30" s="30">
        <v>4.4731338640999763E-2</v>
      </c>
      <c r="CY30" s="30">
        <v>4.4731338640999763E-2</v>
      </c>
      <c r="CZ30" s="30">
        <v>4.4731338640999763E-2</v>
      </c>
      <c r="DA30" s="30">
        <v>4.4731338640999763E-2</v>
      </c>
      <c r="DB30" s="30">
        <v>4.4731338640999763E-2</v>
      </c>
      <c r="DC30" s="30">
        <v>4.4731338640999763E-2</v>
      </c>
      <c r="DD30" s="30">
        <v>4.4731338640999763E-2</v>
      </c>
      <c r="DE30" s="30">
        <v>4.4731338640999763E-2</v>
      </c>
      <c r="DF30" s="30">
        <v>2.0100000000000007E-2</v>
      </c>
    </row>
    <row r="31" spans="1:110" ht="12" outlineLevel="1">
      <c r="A31" s="1" t="s">
        <v>845</v>
      </c>
      <c r="B31" s="15" t="s">
        <v>220</v>
      </c>
      <c r="C31" s="373">
        <v>3.6406755651570366E-2</v>
      </c>
      <c r="D31" s="373">
        <v>4.5227399918384759E-2</v>
      </c>
      <c r="E31" s="373">
        <v>5.7713187900655827E-2</v>
      </c>
      <c r="F31" s="373">
        <v>4.741509813923761E-2</v>
      </c>
      <c r="G31" s="373">
        <v>8.3179517420457927E-2</v>
      </c>
      <c r="H31" s="373">
        <v>5.8286927633515173E-2</v>
      </c>
      <c r="I31" s="373">
        <v>5.2557722985486333E-2</v>
      </c>
      <c r="J31" s="373">
        <v>6.9997484052748193E-2</v>
      </c>
      <c r="K31" s="373">
        <v>5.5353987321994369E-2</v>
      </c>
      <c r="L31" s="373">
        <v>4.2715275111294471E-2</v>
      </c>
      <c r="M31" s="136">
        <v>6.6063248548720921E-2</v>
      </c>
      <c r="N31" s="136">
        <v>4.8316392786772688E-2</v>
      </c>
      <c r="O31" s="136">
        <v>6.6516574209822155E-2</v>
      </c>
      <c r="P31" s="136">
        <v>3.2884586162763796E-2</v>
      </c>
      <c r="Q31" s="136">
        <v>-1.1498648855901905E-2</v>
      </c>
      <c r="R31" s="136">
        <v>-5.5931698362149514E-2</v>
      </c>
      <c r="S31" s="136">
        <v>9.2809423684325765E-4</v>
      </c>
      <c r="T31" s="137">
        <v>2.2454281626065553E-2</v>
      </c>
      <c r="U31" s="136">
        <v>5.5589922405478998E-3</v>
      </c>
      <c r="V31" s="136">
        <v>4.6072380617063757E-3</v>
      </c>
      <c r="W31" s="136">
        <v>-1.1693966952512347E-2</v>
      </c>
      <c r="X31" s="136">
        <v>-1.9493297280023247E-3</v>
      </c>
      <c r="Y31" s="137">
        <v>-5.298076844284294E-3</v>
      </c>
      <c r="Z31" s="137">
        <v>4.7025248677023956E-3</v>
      </c>
      <c r="AA31" s="137">
        <v>2.1743249059420489E-3</v>
      </c>
      <c r="AB31" s="354">
        <v>1.6795617200344726E-3</v>
      </c>
      <c r="AC31" s="354">
        <v>9.3917599912443084E-3</v>
      </c>
      <c r="AD31" s="354">
        <v>4.0223674713339985E-3</v>
      </c>
      <c r="AE31" s="354">
        <v>-9.4450672784907042E-5</v>
      </c>
      <c r="AF31" s="354">
        <v>-4.6502748991978926E-3</v>
      </c>
      <c r="AG31" s="354">
        <v>-4.6959542669695598E-3</v>
      </c>
      <c r="AH31" s="354">
        <v>-5.7074084122463731E-3</v>
      </c>
      <c r="AI31" s="354">
        <v>-3.072596883321066E-3</v>
      </c>
      <c r="AJ31" s="354">
        <v>-8.4722192471229363E-3</v>
      </c>
      <c r="AK31" s="354">
        <v>-5.3763629710213978E-3</v>
      </c>
      <c r="AL31" s="354">
        <v>-2.3123339726691561E-2</v>
      </c>
      <c r="AM31" s="354">
        <v>-1.9683965996352915E-2</v>
      </c>
      <c r="AN31" s="354">
        <v>-4.8682034171591122E-2</v>
      </c>
      <c r="AO31" s="354">
        <v>-8.4312573197672269E-2</v>
      </c>
      <c r="AP31" s="354">
        <v>-2.4005109587914686E-2</v>
      </c>
      <c r="AQ31" s="354">
        <v>-3.0494478414146431E-2</v>
      </c>
      <c r="AR31" s="354">
        <v>-1.791701371946175E-3</v>
      </c>
      <c r="AS31" s="354">
        <v>-6.7158325274840891E-4</v>
      </c>
      <c r="AT31" s="354">
        <v>-1.8464026712478043E-3</v>
      </c>
      <c r="AU31" s="354">
        <v>2.0819685966092516E-2</v>
      </c>
      <c r="AV31" s="341">
        <v>9.7477521269664358E-3</v>
      </c>
      <c r="AW31" s="29">
        <v>8.287323757083076E-3</v>
      </c>
      <c r="AX31" s="29">
        <v>1.0024999999999729E-2</v>
      </c>
      <c r="AY31" s="29">
        <v>1.0024999999999729E-2</v>
      </c>
      <c r="AZ31" s="29">
        <v>1.0024999999999729E-2</v>
      </c>
      <c r="BA31" s="29">
        <v>1.0024999999999729E-2</v>
      </c>
      <c r="BB31" s="29">
        <v>1.0024999999999729E-2</v>
      </c>
      <c r="BC31" s="29">
        <v>1.0024999999999729E-2</v>
      </c>
      <c r="BD31" s="29">
        <v>1.0024999999999729E-2</v>
      </c>
      <c r="BE31" s="29">
        <v>1.0024999999999729E-2</v>
      </c>
      <c r="BF31" s="29">
        <v>1.0024999999999729E-2</v>
      </c>
      <c r="BG31" s="29">
        <v>1.0024999999999729E-2</v>
      </c>
      <c r="BH31" s="29">
        <v>1.0024999999999729E-2</v>
      </c>
      <c r="BI31" s="29">
        <v>1.0024999999999729E-2</v>
      </c>
      <c r="BJ31" s="29">
        <v>1.0024999999999729E-2</v>
      </c>
      <c r="BK31" s="29">
        <v>1.0024999999999729E-2</v>
      </c>
      <c r="BL31" s="29">
        <v>1.0024999999999729E-2</v>
      </c>
      <c r="BM31" s="29">
        <v>1.0024999999999729E-2</v>
      </c>
      <c r="BN31" s="370">
        <v>0.01</v>
      </c>
      <c r="BO31" s="370">
        <v>0.01</v>
      </c>
      <c r="BP31" s="30"/>
      <c r="BQ31" s="393">
        <v>-1.32667331205365E-2</v>
      </c>
      <c r="BR31" s="393">
        <v>-2.7113369026088296E-4</v>
      </c>
      <c r="BS31" s="393">
        <v>3.0615935659199289E-2</v>
      </c>
      <c r="BT31" s="393">
        <v>6.0046746218721303E-2</v>
      </c>
      <c r="BU31" s="393">
        <v>7.3786471458980207E-2</v>
      </c>
      <c r="BV31" s="393">
        <v>3.9661960122209239E-2</v>
      </c>
      <c r="BW31" s="393">
        <v>5.6073711131978232E-2</v>
      </c>
      <c r="BX31" s="393">
        <v>7.3838315761232787E-2</v>
      </c>
      <c r="BY31" s="393">
        <v>5.376859878579987E-2</v>
      </c>
      <c r="BZ31" s="393">
        <v>3.6406755651570366E-2</v>
      </c>
      <c r="CA31" s="30">
        <v>0.10555080524878835</v>
      </c>
      <c r="CB31" s="30">
        <v>0.13453858054136103</v>
      </c>
      <c r="CC31" s="30">
        <v>0.1139080788152389</v>
      </c>
      <c r="CD31" s="30">
        <v>0.12922611121956984</v>
      </c>
      <c r="CE31" s="30">
        <v>0.11160043349651994</v>
      </c>
      <c r="CF31" s="30">
        <v>0.11804680792294708</v>
      </c>
      <c r="CG31" s="30">
        <v>2.1007808997804522E-2</v>
      </c>
      <c r="CH31" s="30">
        <v>-5.505551401221298E-2</v>
      </c>
      <c r="CI31" s="30">
        <v>2.8138097043939769E-2</v>
      </c>
      <c r="CJ31" s="30">
        <v>-7.1406057804419554E-3</v>
      </c>
      <c r="CK31" s="32">
        <v>-7.2370788735928171E-3</v>
      </c>
      <c r="CL31" s="32">
        <v>6.8870745905851294E-3</v>
      </c>
      <c r="CM31" s="32">
        <v>1.1087095751843856E-2</v>
      </c>
      <c r="CN31" s="32">
        <v>3.9275368832352164E-3</v>
      </c>
      <c r="CO31" s="32">
        <v>-9.3243916879119926E-3</v>
      </c>
      <c r="CP31" s="32">
        <v>-8.7624687302680915E-3</v>
      </c>
      <c r="CQ31" s="32">
        <v>-1.3803032492301748E-2</v>
      </c>
      <c r="CR31" s="32">
        <v>-4.2352146690142201E-2</v>
      </c>
      <c r="CS31" s="32">
        <v>-0.12889009979975952</v>
      </c>
      <c r="CT31" s="32">
        <v>-5.376756470590327E-2</v>
      </c>
      <c r="CU31" s="32">
        <v>-2.4620813480592529E-3</v>
      </c>
      <c r="CV31" s="31">
        <v>1.8934841771062416E-2</v>
      </c>
      <c r="CW31" s="30">
        <v>1.811585866182952E-2</v>
      </c>
      <c r="CX31" s="30">
        <v>2.0150500624999346E-2</v>
      </c>
      <c r="CY31" s="30">
        <v>2.0150500624999346E-2</v>
      </c>
      <c r="CZ31" s="30">
        <v>2.0150500624999346E-2</v>
      </c>
      <c r="DA31" s="30">
        <v>2.0150500624999346E-2</v>
      </c>
      <c r="DB31" s="30">
        <v>2.0150500624999346E-2</v>
      </c>
      <c r="DC31" s="30">
        <v>2.0150500624999346E-2</v>
      </c>
      <c r="DD31" s="30">
        <v>2.0150500624999346E-2</v>
      </c>
      <c r="DE31" s="30">
        <v>2.0150500624999346E-2</v>
      </c>
      <c r="DF31" s="30">
        <v>2.0100000000000007E-2</v>
      </c>
    </row>
    <row r="32" spans="1:110" ht="12" outlineLevel="1">
      <c r="A32" s="1" t="s">
        <v>846</v>
      </c>
      <c r="B32" s="15" t="s">
        <v>221</v>
      </c>
      <c r="C32" s="373">
        <v>3.382724736631082E-2</v>
      </c>
      <c r="D32" s="373">
        <v>4.3430874029892541E-2</v>
      </c>
      <c r="E32" s="373">
        <v>4.2092072781820589E-2</v>
      </c>
      <c r="F32" s="373">
        <v>6.4322949644911587E-2</v>
      </c>
      <c r="G32" s="373">
        <v>7.6032921588409019E-2</v>
      </c>
      <c r="H32" s="373">
        <v>8.727555882862624E-2</v>
      </c>
      <c r="I32" s="373">
        <v>7.3496557200816826E-2</v>
      </c>
      <c r="J32" s="373">
        <v>8.0325263612520015E-2</v>
      </c>
      <c r="K32" s="373">
        <v>7.6636293179489279E-2</v>
      </c>
      <c r="L32" s="373">
        <v>6.9871813298032492E-2</v>
      </c>
      <c r="M32" s="136">
        <v>6.3369192850737166E-2</v>
      </c>
      <c r="N32" s="136">
        <v>7.3732233783760925E-2</v>
      </c>
      <c r="O32" s="136">
        <v>5.9363137471923455E-2</v>
      </c>
      <c r="P32" s="136">
        <v>4.9798302081505152E-2</v>
      </c>
      <c r="Q32" s="136">
        <v>1.733129849387316E-2</v>
      </c>
      <c r="R32" s="136">
        <v>1.2901810169509753E-2</v>
      </c>
      <c r="S32" s="136">
        <v>1.7751760585934306E-2</v>
      </c>
      <c r="T32" s="137">
        <v>1.5898162791279091E-2</v>
      </c>
      <c r="U32" s="136">
        <v>9.240106106606083E-3</v>
      </c>
      <c r="V32" s="136">
        <v>5.6100802314438258E-3</v>
      </c>
      <c r="W32" s="136">
        <v>6.3958714408791639E-3</v>
      </c>
      <c r="X32" s="136">
        <v>7.9391546981242289E-3</v>
      </c>
      <c r="Y32" s="137">
        <v>1.6515950910381383E-2</v>
      </c>
      <c r="Z32" s="137">
        <v>2.7819936111286747E-2</v>
      </c>
      <c r="AA32" s="137">
        <v>2.9409977739500937E-2</v>
      </c>
      <c r="AB32" s="354">
        <v>2.6285887113755235E-2</v>
      </c>
      <c r="AC32" s="354">
        <v>2.0190862556701106E-2</v>
      </c>
      <c r="AD32" s="354">
        <v>2.836631535592482E-2</v>
      </c>
      <c r="AE32" s="354">
        <v>3.7069934718028996E-2</v>
      </c>
      <c r="AF32" s="354">
        <v>3.8233274728698419E-2</v>
      </c>
      <c r="AG32" s="354">
        <v>4.877363423191694E-2</v>
      </c>
      <c r="AH32" s="354">
        <v>3.6485522519171143E-2</v>
      </c>
      <c r="AI32" s="354">
        <v>2.826269860807562E-2</v>
      </c>
      <c r="AJ32" s="354">
        <v>2.8749460217483591E-2</v>
      </c>
      <c r="AK32" s="354">
        <v>2.9945014173203832E-2</v>
      </c>
      <c r="AL32" s="354">
        <v>3.1481678937635316E-2</v>
      </c>
      <c r="AM32" s="354">
        <v>3.3877013880996287E-2</v>
      </c>
      <c r="AN32" s="354">
        <v>3.5618654385877635E-2</v>
      </c>
      <c r="AO32" s="354">
        <v>3.1517292751539028E-2</v>
      </c>
      <c r="AP32" s="354">
        <v>6.4551889143756869E-2</v>
      </c>
      <c r="AQ32" s="354">
        <v>4.8199083573360779E-2</v>
      </c>
      <c r="AR32" s="354">
        <v>3.6961655787481451E-2</v>
      </c>
      <c r="AS32" s="354">
        <v>1.9538720049446567E-2</v>
      </c>
      <c r="AT32" s="354">
        <v>1.5700073566304873E-2</v>
      </c>
      <c r="AU32" s="354">
        <v>1.4078886874040908E-2</v>
      </c>
      <c r="AV32" s="341">
        <v>1.6686190142582769E-2</v>
      </c>
      <c r="AW32" s="29">
        <v>1.8523503975449884E-2</v>
      </c>
      <c r="AX32" s="29">
        <v>2.0100000000000007E-2</v>
      </c>
      <c r="AY32" s="29">
        <v>2.0100000000000007E-2</v>
      </c>
      <c r="AZ32" s="29">
        <v>2.0100000000000007E-2</v>
      </c>
      <c r="BA32" s="29">
        <v>2.0100000000000007E-2</v>
      </c>
      <c r="BB32" s="29">
        <v>2.0100000000000007E-2</v>
      </c>
      <c r="BC32" s="29">
        <v>2.0100000000000007E-2</v>
      </c>
      <c r="BD32" s="29">
        <v>2.0100000000000007E-2</v>
      </c>
      <c r="BE32" s="29">
        <v>2.0100000000000007E-2</v>
      </c>
      <c r="BF32" s="29">
        <v>2.0100000000000007E-2</v>
      </c>
      <c r="BG32" s="29">
        <v>2.0100000000000007E-2</v>
      </c>
      <c r="BH32" s="29">
        <v>2.0100000000000007E-2</v>
      </c>
      <c r="BI32" s="29">
        <v>2.0100000000000007E-2</v>
      </c>
      <c r="BJ32" s="29">
        <v>2.0100000000000007E-2</v>
      </c>
      <c r="BK32" s="29">
        <v>2.0100000000000007E-2</v>
      </c>
      <c r="BL32" s="29">
        <v>2.0100000000000007E-2</v>
      </c>
      <c r="BM32" s="29">
        <v>2.0100000000000007E-2</v>
      </c>
      <c r="BN32" s="370">
        <v>0.01</v>
      </c>
      <c r="BO32" s="370">
        <v>0.01</v>
      </c>
      <c r="BP32" s="30"/>
      <c r="BQ32" s="393">
        <v>0</v>
      </c>
      <c r="BR32" s="393">
        <v>0</v>
      </c>
      <c r="BS32" s="393">
        <v>0</v>
      </c>
      <c r="BT32" s="393">
        <v>0</v>
      </c>
      <c r="BU32" s="393">
        <v>0</v>
      </c>
      <c r="BV32" s="393">
        <v>0</v>
      </c>
      <c r="BW32" s="393">
        <v>0</v>
      </c>
      <c r="BX32" s="393">
        <v>5.0765197159041708E-2</v>
      </c>
      <c r="BY32" s="393">
        <v>2.7049655974559439E-2</v>
      </c>
      <c r="BZ32" s="393">
        <v>3.382724736631082E-2</v>
      </c>
      <c r="CA32" s="30">
        <v>8.7351042322357353E-2</v>
      </c>
      <c r="CB32" s="30">
        <v>0.14524653302000745</v>
      </c>
      <c r="CC32" s="30">
        <v>0.16718656913112451</v>
      </c>
      <c r="CD32" s="30">
        <v>0.16311738724393821</v>
      </c>
      <c r="CE32" s="30">
        <v>0.13766872656048346</v>
      </c>
      <c r="CF32" s="30">
        <v>0.13747234798590169</v>
      </c>
      <c r="CG32" s="30">
        <v>6.7992669813240925E-2</v>
      </c>
      <c r="CH32" s="30">
        <v>3.0882600600698362E-2</v>
      </c>
      <c r="CI32" s="30">
        <v>2.5285169608976643E-2</v>
      </c>
      <c r="CJ32" s="30">
        <v>1.2041833024256432E-2</v>
      </c>
      <c r="CK32" s="32">
        <v>2.4586228297769797E-2</v>
      </c>
      <c r="CL32" s="32">
        <v>5.8048097552535038E-2</v>
      </c>
      <c r="CM32" s="32">
        <v>4.7007484404351096E-2</v>
      </c>
      <c r="CN32" s="32">
        <v>6.6487787532389042E-2</v>
      </c>
      <c r="CO32" s="32">
        <v>8.8871684717721333E-2</v>
      </c>
      <c r="CP32" s="32">
        <v>6.5779400453764181E-2</v>
      </c>
      <c r="CQ32" s="32">
        <v>5.9555377384371999E-2</v>
      </c>
      <c r="CR32" s="32">
        <v>6.6425198092998849E-2</v>
      </c>
      <c r="CS32" s="32">
        <v>6.825855069511233E-2</v>
      </c>
      <c r="CT32" s="32">
        <v>0.11586231461677587</v>
      </c>
      <c r="CU32" s="32">
        <v>5.7222559281923546E-2</v>
      </c>
      <c r="CV32" s="31">
        <v>2.9999999999999805E-2</v>
      </c>
      <c r="CW32" s="30">
        <v>3.551878082747395E-2</v>
      </c>
      <c r="CX32" s="30">
        <v>4.0604010000000024E-2</v>
      </c>
      <c r="CY32" s="30">
        <v>4.0604010000000024E-2</v>
      </c>
      <c r="CZ32" s="30">
        <v>4.0604010000000024E-2</v>
      </c>
      <c r="DA32" s="30">
        <v>4.0604010000000024E-2</v>
      </c>
      <c r="DB32" s="30">
        <v>4.0604010000000024E-2</v>
      </c>
      <c r="DC32" s="30">
        <v>4.0604010000000024E-2</v>
      </c>
      <c r="DD32" s="30">
        <v>4.0604010000000024E-2</v>
      </c>
      <c r="DE32" s="30">
        <v>4.0604010000000024E-2</v>
      </c>
      <c r="DF32" s="30">
        <v>2.0100000000000007E-2</v>
      </c>
    </row>
    <row r="33" spans="1:110" ht="12" outlineLevel="1">
      <c r="A33" s="1" t="s">
        <v>847</v>
      </c>
      <c r="B33" s="15" t="s">
        <v>318</v>
      </c>
      <c r="C33" s="373">
        <v>4.880824082877333E-2</v>
      </c>
      <c r="D33" s="373">
        <v>5.2464404200933235E-2</v>
      </c>
      <c r="E33" s="373">
        <v>7.2535844101828673E-5</v>
      </c>
      <c r="F33" s="373">
        <v>4.7476729090364378E-2</v>
      </c>
      <c r="G33" s="373">
        <v>-9.2649680096856812E-4</v>
      </c>
      <c r="H33" s="373">
        <v>5.0406207583864715E-2</v>
      </c>
      <c r="I33" s="373">
        <v>2.5417443444921917E-2</v>
      </c>
      <c r="J33" s="373">
        <v>9.3895266174702355E-2</v>
      </c>
      <c r="K33" s="373">
        <v>6.8289192288590206E-2</v>
      </c>
      <c r="L33" s="373">
        <v>6.2357901110230429E-2</v>
      </c>
      <c r="M33" s="136">
        <v>6.8340633527279593E-2</v>
      </c>
      <c r="N33" s="136">
        <v>6.703721459569878E-2</v>
      </c>
      <c r="O33" s="136">
        <v>9.9194748642026376E-2</v>
      </c>
      <c r="P33" s="136">
        <v>6.3358799740287131E-2</v>
      </c>
      <c r="Q33" s="136">
        <v>8.4701543030258453E-2</v>
      </c>
      <c r="R33" s="136">
        <v>1.2230439901568246E-2</v>
      </c>
      <c r="S33" s="136">
        <v>-7.1061729702678322E-3</v>
      </c>
      <c r="T33" s="137">
        <v>-2.8309158598867623E-2</v>
      </c>
      <c r="U33" s="136">
        <v>4.7184361293026722E-3</v>
      </c>
      <c r="V33" s="136">
        <v>7.7188848009126509E-3</v>
      </c>
      <c r="W33" s="136">
        <v>6.8761403766810503E-3</v>
      </c>
      <c r="X33" s="136">
        <v>5.1741463610547989E-2</v>
      </c>
      <c r="Y33" s="137">
        <v>1.1829443974217702E-2</v>
      </c>
      <c r="Z33" s="137">
        <v>2.8668560793000397E-2</v>
      </c>
      <c r="AA33" s="137">
        <v>1.0176506063901192E-2</v>
      </c>
      <c r="AB33" s="354">
        <v>1.2118045660773014E-2</v>
      </c>
      <c r="AC33" s="354">
        <v>2.1367779216650451E-2</v>
      </c>
      <c r="AD33" s="354">
        <v>3.8547169983047747E-2</v>
      </c>
      <c r="AE33" s="354">
        <v>2.5744092375485916E-2</v>
      </c>
      <c r="AF33" s="354">
        <v>4.7568918252412828E-2</v>
      </c>
      <c r="AG33" s="354">
        <v>2.137835104416852E-2</v>
      </c>
      <c r="AH33" s="354">
        <v>1.292912885244113E-2</v>
      </c>
      <c r="AI33" s="354">
        <v>1.9177079143751552E-2</v>
      </c>
      <c r="AJ33" s="354">
        <v>1.3497718335135245E-2</v>
      </c>
      <c r="AK33" s="354">
        <v>3.3595774396198319E-2</v>
      </c>
      <c r="AL33" s="354">
        <v>2.3263844730194716E-2</v>
      </c>
      <c r="AM33" s="354">
        <v>3.1933775799724229E-2</v>
      </c>
      <c r="AN33" s="354">
        <v>2.4108883713508167E-2</v>
      </c>
      <c r="AO33" s="354">
        <v>-5.3425098792330594E-2</v>
      </c>
      <c r="AP33" s="354">
        <v>-1.8418523876625681E-2</v>
      </c>
      <c r="AQ33" s="354">
        <v>3.1971929010388145E-3</v>
      </c>
      <c r="AR33" s="354">
        <v>1.0800101552552732E-2</v>
      </c>
      <c r="AS33" s="354">
        <v>5.6251837111969127E-2</v>
      </c>
      <c r="AT33" s="354">
        <v>-2.0392856062227294E-2</v>
      </c>
      <c r="AU33" s="354">
        <v>1.1094231010044586E-2</v>
      </c>
      <c r="AV33" s="341">
        <v>1.1910876317656083E-2</v>
      </c>
      <c r="AW33" s="29">
        <v>-7.1066853579543343E-3</v>
      </c>
      <c r="AX33" s="29">
        <v>-5.0000000000000044E-3</v>
      </c>
      <c r="AY33" s="29">
        <v>1.0024999999999729E-2</v>
      </c>
      <c r="AZ33" s="29">
        <v>2.0100000000000007E-2</v>
      </c>
      <c r="BA33" s="29">
        <v>2.0100000000000007E-2</v>
      </c>
      <c r="BB33" s="29">
        <v>2.0100000000000007E-2</v>
      </c>
      <c r="BC33" s="29">
        <v>2.0100000000000007E-2</v>
      </c>
      <c r="BD33" s="29">
        <v>2.0100000000000007E-2</v>
      </c>
      <c r="BE33" s="29">
        <v>2.0100000000000007E-2</v>
      </c>
      <c r="BF33" s="29">
        <v>2.0100000000000007E-2</v>
      </c>
      <c r="BG33" s="29">
        <v>2.0100000000000007E-2</v>
      </c>
      <c r="BH33" s="29">
        <v>2.0100000000000007E-2</v>
      </c>
      <c r="BI33" s="29">
        <v>2.0100000000000007E-2</v>
      </c>
      <c r="BJ33" s="29">
        <v>2.0100000000000007E-2</v>
      </c>
      <c r="BK33" s="29">
        <v>2.0100000000000007E-2</v>
      </c>
      <c r="BL33" s="29">
        <v>2.0100000000000007E-2</v>
      </c>
      <c r="BM33" s="29">
        <v>2.0100000000000007E-2</v>
      </c>
      <c r="BN33" s="370">
        <v>0.01</v>
      </c>
      <c r="BO33" s="370">
        <v>0.01</v>
      </c>
      <c r="BP33" s="30"/>
      <c r="BQ33" s="393">
        <v>0</v>
      </c>
      <c r="BR33" s="393">
        <v>0</v>
      </c>
      <c r="BS33" s="393">
        <v>0</v>
      </c>
      <c r="BT33" s="393">
        <v>0</v>
      </c>
      <c r="BU33" s="393">
        <v>0</v>
      </c>
      <c r="BV33" s="393">
        <v>0</v>
      </c>
      <c r="BW33" s="393">
        <v>0</v>
      </c>
      <c r="BX33" s="393">
        <v>4.2575901782535563E-2</v>
      </c>
      <c r="BY33" s="393">
        <v>-1.9489402754567786E-2</v>
      </c>
      <c r="BZ33" s="393">
        <v>4.880824082877333E-2</v>
      </c>
      <c r="CA33" s="30">
        <v>5.2540745594878979E-2</v>
      </c>
      <c r="CB33" s="30">
        <v>4.6506245251773048E-2</v>
      </c>
      <c r="CC33" s="30">
        <v>7.7104847959322598E-2</v>
      </c>
      <c r="CD33" s="30">
        <v>0.16859649035008517</v>
      </c>
      <c r="CE33" s="30">
        <v>0.13496011310481459</v>
      </c>
      <c r="CF33" s="30">
        <v>0.17288170288920712</v>
      </c>
      <c r="CG33" s="30">
        <v>0.15342693087309311</v>
      </c>
      <c r="CH33" s="30">
        <v>5.0373553098574941E-3</v>
      </c>
      <c r="CI33" s="30">
        <v>-2.372429742628801E-2</v>
      </c>
      <c r="CJ33" s="30">
        <v>1.4648101313036177E-2</v>
      </c>
      <c r="CK33" s="32">
        <v>6.418298032969072E-2</v>
      </c>
      <c r="CL33" s="32">
        <v>3.9136812639654961E-2</v>
      </c>
      <c r="CM33" s="32">
        <v>3.3744760601640111E-2</v>
      </c>
      <c r="CN33" s="32">
        <v>6.5283624263390738E-2</v>
      </c>
      <c r="CO33" s="32">
        <v>6.9964214329772734E-2</v>
      </c>
      <c r="CP33" s="32">
        <v>3.2354150923455727E-2</v>
      </c>
      <c r="CQ33" s="32">
        <v>4.7546959031384173E-2</v>
      </c>
      <c r="CR33" s="32">
        <v>5.5940522931772652E-2</v>
      </c>
      <c r="CS33" s="32">
        <v>-3.0604234572989442E-2</v>
      </c>
      <c r="CT33" s="32">
        <v>-1.5280218549372782E-2</v>
      </c>
      <c r="CU33" s="32">
        <v>6.7659464217848742E-2</v>
      </c>
      <c r="CV33" s="31">
        <v>-9.5248681082916731E-3</v>
      </c>
      <c r="CW33" s="30">
        <v>4.7195441093745849E-3</v>
      </c>
      <c r="CX33" s="30">
        <v>4.9748749999998232E-3</v>
      </c>
      <c r="CY33" s="30">
        <v>4.0604010000000024E-2</v>
      </c>
      <c r="CZ33" s="30">
        <v>4.0604010000000024E-2</v>
      </c>
      <c r="DA33" s="30">
        <v>4.0604010000000024E-2</v>
      </c>
      <c r="DB33" s="30">
        <v>4.0604010000000024E-2</v>
      </c>
      <c r="DC33" s="30">
        <v>4.0604010000000024E-2</v>
      </c>
      <c r="DD33" s="30">
        <v>4.0604010000000024E-2</v>
      </c>
      <c r="DE33" s="30">
        <v>4.0604010000000024E-2</v>
      </c>
      <c r="DF33" s="30">
        <v>2.0100000000000007E-2</v>
      </c>
    </row>
    <row r="34" spans="1:110" ht="12" outlineLevel="1">
      <c r="A34" s="1" t="s">
        <v>848</v>
      </c>
      <c r="B34" s="15" t="s">
        <v>319</v>
      </c>
      <c r="C34" s="373"/>
      <c r="D34" s="373"/>
      <c r="E34" s="373"/>
      <c r="F34" s="373"/>
      <c r="G34" s="373"/>
      <c r="H34" s="373"/>
      <c r="I34" s="373"/>
      <c r="J34" s="373"/>
      <c r="K34" s="373"/>
      <c r="L34" s="373"/>
      <c r="M34" s="136"/>
      <c r="N34" s="136"/>
      <c r="O34" s="136"/>
      <c r="P34" s="136"/>
      <c r="Q34" s="136"/>
      <c r="R34" s="136"/>
      <c r="S34" s="136"/>
      <c r="T34" s="137"/>
      <c r="U34" s="136"/>
      <c r="V34" s="136"/>
      <c r="W34" s="136"/>
      <c r="X34" s="136"/>
      <c r="Y34" s="137"/>
      <c r="Z34" s="137"/>
      <c r="AA34" s="354"/>
      <c r="AB34" s="354"/>
      <c r="AC34" s="354"/>
      <c r="AD34" s="354">
        <v>0.03</v>
      </c>
      <c r="AE34" s="354">
        <v>0.03</v>
      </c>
      <c r="AF34" s="354">
        <v>0.03</v>
      </c>
      <c r="AG34" s="354">
        <v>0.03</v>
      </c>
      <c r="AH34" s="354">
        <v>0.04</v>
      </c>
      <c r="AI34" s="354">
        <v>0.04</v>
      </c>
      <c r="AJ34" s="354">
        <v>0.04</v>
      </c>
      <c r="AK34" s="354">
        <v>0.04</v>
      </c>
      <c r="AL34" s="354">
        <v>0.04</v>
      </c>
      <c r="AM34" s="354">
        <v>0.04</v>
      </c>
      <c r="AN34" s="354">
        <v>0.04</v>
      </c>
      <c r="AO34" s="354">
        <v>0.04</v>
      </c>
      <c r="AP34" s="354">
        <v>0.04</v>
      </c>
      <c r="AQ34" s="354">
        <v>0.04</v>
      </c>
      <c r="AR34" s="354">
        <v>0.04</v>
      </c>
      <c r="AS34" s="354">
        <v>0.04</v>
      </c>
      <c r="AT34" s="354">
        <v>0.04</v>
      </c>
      <c r="AU34" s="354">
        <v>0.04</v>
      </c>
      <c r="AV34" s="341">
        <v>0.04</v>
      </c>
      <c r="AW34" s="29">
        <v>0.04</v>
      </c>
      <c r="AX34" s="29">
        <v>0.04</v>
      </c>
      <c r="AY34" s="29">
        <v>0.04</v>
      </c>
      <c r="AZ34" s="29">
        <v>0.04</v>
      </c>
      <c r="BA34" s="29">
        <v>0.04</v>
      </c>
      <c r="BB34" s="29">
        <v>0.04</v>
      </c>
      <c r="BC34" s="29">
        <v>0.04</v>
      </c>
      <c r="BD34" s="29">
        <v>0.04</v>
      </c>
      <c r="BE34" s="29">
        <v>0.04</v>
      </c>
      <c r="BF34" s="29">
        <v>0.04</v>
      </c>
      <c r="BG34" s="29">
        <v>0.04</v>
      </c>
      <c r="BH34" s="29">
        <v>0.04</v>
      </c>
      <c r="BI34" s="29">
        <v>0.04</v>
      </c>
      <c r="BJ34" s="29">
        <v>0.04</v>
      </c>
      <c r="BK34" s="29">
        <v>0.04</v>
      </c>
      <c r="BL34" s="29">
        <v>0.04</v>
      </c>
      <c r="BM34" s="29">
        <v>0.04</v>
      </c>
      <c r="BN34" s="370">
        <v>0.01</v>
      </c>
      <c r="BO34" s="370">
        <v>0.01</v>
      </c>
      <c r="BP34" s="30"/>
      <c r="BQ34" s="207"/>
      <c r="BR34" s="207"/>
      <c r="BS34" s="207"/>
      <c r="BT34" s="207"/>
      <c r="BU34" s="207"/>
      <c r="BV34" s="207"/>
      <c r="BW34" s="207"/>
      <c r="BX34" s="207"/>
      <c r="BY34" s="207"/>
      <c r="BZ34" s="207"/>
      <c r="CA34" s="30">
        <v>0</v>
      </c>
      <c r="CB34" s="30">
        <v>0</v>
      </c>
      <c r="CC34" s="30">
        <v>0</v>
      </c>
      <c r="CD34" s="30">
        <v>0</v>
      </c>
      <c r="CE34" s="30">
        <v>0</v>
      </c>
      <c r="CF34" s="30">
        <v>0</v>
      </c>
      <c r="CG34" s="30">
        <v>0</v>
      </c>
      <c r="CH34" s="30">
        <v>0</v>
      </c>
      <c r="CI34" s="30">
        <v>0</v>
      </c>
      <c r="CJ34" s="30">
        <v>0</v>
      </c>
      <c r="CK34" s="32">
        <v>0</v>
      </c>
      <c r="CL34" s="32">
        <v>0</v>
      </c>
      <c r="CM34" s="32">
        <v>0</v>
      </c>
      <c r="CN34" s="32">
        <v>6.0899999999999954E-2</v>
      </c>
      <c r="CO34" s="32">
        <v>6.0899999999999954E-2</v>
      </c>
      <c r="CP34" s="32">
        <v>8.1600000000000117E-2</v>
      </c>
      <c r="CQ34" s="32">
        <v>8.1600000000000117E-2</v>
      </c>
      <c r="CR34" s="32">
        <v>8.1600000000000117E-2</v>
      </c>
      <c r="CS34" s="32">
        <v>8.1600000000000117E-2</v>
      </c>
      <c r="CT34" s="32">
        <v>8.1600000000000117E-2</v>
      </c>
      <c r="CU34" s="32">
        <v>8.1600000000000117E-2</v>
      </c>
      <c r="CV34" s="31">
        <v>8.1600000000000117E-2</v>
      </c>
      <c r="CW34" s="30">
        <v>8.1600000000000117E-2</v>
      </c>
      <c r="CX34" s="30">
        <v>8.1600000000000117E-2</v>
      </c>
      <c r="CY34" s="30">
        <v>8.1600000000000117E-2</v>
      </c>
      <c r="CZ34" s="30">
        <v>8.1600000000000117E-2</v>
      </c>
      <c r="DA34" s="30">
        <v>8.1600000000000117E-2</v>
      </c>
      <c r="DB34" s="30">
        <v>8.1600000000000117E-2</v>
      </c>
      <c r="DC34" s="30">
        <v>8.1600000000000117E-2</v>
      </c>
      <c r="DD34" s="30">
        <v>8.1600000000000117E-2</v>
      </c>
      <c r="DE34" s="30">
        <v>8.1600000000000117E-2</v>
      </c>
      <c r="DF34" s="30">
        <v>2.0100000000000007E-2</v>
      </c>
    </row>
    <row r="35" spans="1:110" ht="12" outlineLevel="1">
      <c r="A35" s="1" t="s">
        <v>849</v>
      </c>
      <c r="B35" s="15" t="s">
        <v>320</v>
      </c>
      <c r="C35" s="373"/>
      <c r="D35" s="373"/>
      <c r="E35" s="373"/>
      <c r="F35" s="373"/>
      <c r="G35" s="373"/>
      <c r="H35" s="373"/>
      <c r="I35" s="373"/>
      <c r="J35" s="373"/>
      <c r="K35" s="373"/>
      <c r="L35" s="373"/>
      <c r="M35" s="136"/>
      <c r="N35" s="136"/>
      <c r="O35" s="136"/>
      <c r="P35" s="136"/>
      <c r="Q35" s="136"/>
      <c r="R35" s="136"/>
      <c r="S35" s="136"/>
      <c r="T35" s="137"/>
      <c r="U35" s="136"/>
      <c r="V35" s="136"/>
      <c r="W35" s="136"/>
      <c r="X35" s="136"/>
      <c r="Y35" s="137"/>
      <c r="Z35" s="137"/>
      <c r="AA35" s="354"/>
      <c r="AB35" s="354"/>
      <c r="AC35" s="354"/>
      <c r="AD35" s="354">
        <v>0.03</v>
      </c>
      <c r="AE35" s="354">
        <v>0.03</v>
      </c>
      <c r="AF35" s="354">
        <v>0.03</v>
      </c>
      <c r="AG35" s="354">
        <v>0.03</v>
      </c>
      <c r="AH35" s="354">
        <v>0.04</v>
      </c>
      <c r="AI35" s="354">
        <v>0.04</v>
      </c>
      <c r="AJ35" s="354">
        <v>0.04</v>
      </c>
      <c r="AK35" s="354">
        <v>0.04</v>
      </c>
      <c r="AL35" s="354">
        <v>0.04</v>
      </c>
      <c r="AM35" s="354">
        <v>0.04</v>
      </c>
      <c r="AN35" s="354">
        <v>0.04</v>
      </c>
      <c r="AO35" s="354">
        <v>0.04</v>
      </c>
      <c r="AP35" s="354">
        <v>0.04</v>
      </c>
      <c r="AQ35" s="354">
        <v>0.04</v>
      </c>
      <c r="AR35" s="354">
        <v>0.04</v>
      </c>
      <c r="AS35" s="354">
        <v>0.04</v>
      </c>
      <c r="AT35" s="354">
        <v>0.04</v>
      </c>
      <c r="AU35" s="354">
        <v>0.04</v>
      </c>
      <c r="AV35" s="341">
        <v>0.04</v>
      </c>
      <c r="AW35" s="29">
        <v>0.04</v>
      </c>
      <c r="AX35" s="29">
        <v>0.04</v>
      </c>
      <c r="AY35" s="29">
        <v>0.04</v>
      </c>
      <c r="AZ35" s="29">
        <v>0.04</v>
      </c>
      <c r="BA35" s="29">
        <v>0.04</v>
      </c>
      <c r="BB35" s="29">
        <v>0.04</v>
      </c>
      <c r="BC35" s="29">
        <v>0.04</v>
      </c>
      <c r="BD35" s="29">
        <v>0.04</v>
      </c>
      <c r="BE35" s="29">
        <v>0.04</v>
      </c>
      <c r="BF35" s="29">
        <v>0.04</v>
      </c>
      <c r="BG35" s="29">
        <v>0.04</v>
      </c>
      <c r="BH35" s="29">
        <v>0.04</v>
      </c>
      <c r="BI35" s="29">
        <v>0.04</v>
      </c>
      <c r="BJ35" s="29">
        <v>0.04</v>
      </c>
      <c r="BK35" s="29">
        <v>0.04</v>
      </c>
      <c r="BL35" s="29">
        <v>0.04</v>
      </c>
      <c r="BM35" s="29">
        <v>0.04</v>
      </c>
      <c r="BN35" s="370">
        <v>0.01</v>
      </c>
      <c r="BO35" s="370">
        <v>0.01</v>
      </c>
      <c r="BP35" s="30"/>
      <c r="BQ35" s="207"/>
      <c r="BR35" s="207"/>
      <c r="BS35" s="207"/>
      <c r="BT35" s="207"/>
      <c r="BU35" s="207"/>
      <c r="BV35" s="207"/>
      <c r="BW35" s="207"/>
      <c r="BX35" s="207"/>
      <c r="BY35" s="207"/>
      <c r="BZ35" s="207"/>
      <c r="CA35" s="30">
        <v>0</v>
      </c>
      <c r="CB35" s="30">
        <v>0</v>
      </c>
      <c r="CC35" s="30">
        <v>0</v>
      </c>
      <c r="CD35" s="30">
        <v>0</v>
      </c>
      <c r="CE35" s="30">
        <v>0</v>
      </c>
      <c r="CF35" s="30">
        <v>0</v>
      </c>
      <c r="CG35" s="30">
        <v>0</v>
      </c>
      <c r="CH35" s="30">
        <v>0</v>
      </c>
      <c r="CI35" s="30">
        <v>0</v>
      </c>
      <c r="CJ35" s="30">
        <v>0</v>
      </c>
      <c r="CK35" s="32">
        <v>0</v>
      </c>
      <c r="CL35" s="32">
        <v>0</v>
      </c>
      <c r="CM35" s="32">
        <v>0</v>
      </c>
      <c r="CN35" s="32">
        <v>6.0899999999999954E-2</v>
      </c>
      <c r="CO35" s="32">
        <v>6.0899999999999954E-2</v>
      </c>
      <c r="CP35" s="32">
        <v>8.1600000000000117E-2</v>
      </c>
      <c r="CQ35" s="32">
        <v>8.1600000000000117E-2</v>
      </c>
      <c r="CR35" s="32">
        <v>8.1600000000000117E-2</v>
      </c>
      <c r="CS35" s="32">
        <v>8.1600000000000117E-2</v>
      </c>
      <c r="CT35" s="32">
        <v>8.1600000000000117E-2</v>
      </c>
      <c r="CU35" s="32">
        <v>8.1600000000000117E-2</v>
      </c>
      <c r="CV35" s="31">
        <v>8.1600000000000117E-2</v>
      </c>
      <c r="CW35" s="30">
        <v>8.1600000000000117E-2</v>
      </c>
      <c r="CX35" s="30">
        <v>8.1600000000000117E-2</v>
      </c>
      <c r="CY35" s="30">
        <v>8.1600000000000117E-2</v>
      </c>
      <c r="CZ35" s="30">
        <v>8.1600000000000117E-2</v>
      </c>
      <c r="DA35" s="30">
        <v>8.1600000000000117E-2</v>
      </c>
      <c r="DB35" s="30">
        <v>8.1600000000000117E-2</v>
      </c>
      <c r="DC35" s="30">
        <v>8.1600000000000117E-2</v>
      </c>
      <c r="DD35" s="30">
        <v>8.1600000000000117E-2</v>
      </c>
      <c r="DE35" s="30">
        <v>8.1600000000000117E-2</v>
      </c>
      <c r="DF35" s="30">
        <v>2.0100000000000007E-2</v>
      </c>
    </row>
    <row r="36" spans="1:110" ht="12" outlineLevel="1">
      <c r="C36" s="374"/>
      <c r="D36" s="374"/>
      <c r="E36" s="374"/>
      <c r="F36" s="374"/>
      <c r="G36" s="374"/>
      <c r="H36" s="374"/>
      <c r="I36" s="374"/>
      <c r="J36" s="374"/>
      <c r="K36" s="374"/>
      <c r="L36" s="374"/>
      <c r="M36" s="138"/>
      <c r="N36" s="138"/>
      <c r="O36" s="138"/>
      <c r="P36" s="138"/>
      <c r="Q36" s="138"/>
      <c r="R36" s="138"/>
      <c r="S36" s="138"/>
      <c r="T36" s="139"/>
      <c r="U36" s="138"/>
      <c r="V36" s="138"/>
      <c r="W36" s="138"/>
      <c r="X36" s="138"/>
      <c r="Y36" s="139"/>
      <c r="Z36" s="139"/>
      <c r="AA36" s="32"/>
      <c r="AB36" s="32"/>
      <c r="AC36" s="32"/>
      <c r="AD36" s="32"/>
      <c r="AE36" s="32"/>
      <c r="AF36" s="32"/>
      <c r="AG36" s="32"/>
      <c r="AH36" s="32"/>
      <c r="AI36" s="32"/>
      <c r="AJ36" s="32"/>
      <c r="AK36" s="32"/>
      <c r="AL36" s="32"/>
      <c r="AM36" s="32"/>
      <c r="AN36" s="32"/>
      <c r="AO36" s="32"/>
      <c r="AP36" s="32"/>
      <c r="AQ36" s="32"/>
      <c r="AR36" s="32"/>
      <c r="AS36" s="32"/>
      <c r="AT36" s="32"/>
      <c r="AU36" s="32"/>
      <c r="AV36" s="31"/>
      <c r="AW36" s="30"/>
      <c r="AX36" s="30"/>
      <c r="AY36" s="30"/>
      <c r="AZ36" s="30"/>
      <c r="BA36" s="30"/>
      <c r="BB36" s="30"/>
      <c r="BC36" s="30"/>
      <c r="BD36" s="30"/>
      <c r="BE36" s="30"/>
      <c r="BF36" s="30"/>
      <c r="BG36" s="30"/>
      <c r="BH36" s="30"/>
      <c r="BI36" s="30"/>
      <c r="BJ36" s="30"/>
      <c r="BK36" s="30"/>
      <c r="BL36" s="30"/>
      <c r="BM36" s="30"/>
      <c r="BN36" s="30"/>
      <c r="BO36" s="30"/>
      <c r="BP36" s="30"/>
      <c r="BQ36" s="207"/>
      <c r="BR36" s="207"/>
      <c r="BS36" s="207"/>
      <c r="BT36" s="207"/>
      <c r="BU36" s="207"/>
      <c r="BV36" s="207"/>
      <c r="BW36" s="207"/>
      <c r="BX36" s="207"/>
      <c r="BY36" s="207"/>
      <c r="BZ36" s="207"/>
      <c r="CA36" s="30"/>
      <c r="CB36" s="30"/>
      <c r="CC36" s="30"/>
      <c r="CD36" s="30"/>
      <c r="CE36" s="30"/>
      <c r="CF36" s="30"/>
      <c r="CG36" s="30"/>
      <c r="CH36" s="30"/>
      <c r="CI36" s="30"/>
      <c r="CJ36" s="30"/>
      <c r="CK36" s="32"/>
      <c r="CL36" s="32"/>
      <c r="CM36" s="32"/>
      <c r="CN36" s="32"/>
      <c r="CO36" s="32"/>
      <c r="CP36" s="32"/>
      <c r="CQ36" s="32"/>
      <c r="CR36" s="32"/>
      <c r="CS36" s="32"/>
      <c r="CT36" s="32"/>
      <c r="CU36" s="32"/>
      <c r="CV36" s="31"/>
      <c r="CW36" s="30"/>
      <c r="CX36" s="30"/>
      <c r="CY36" s="30"/>
      <c r="CZ36" s="15"/>
      <c r="DA36" s="15"/>
      <c r="DB36" s="15"/>
      <c r="DC36" s="15"/>
      <c r="DD36" s="15"/>
      <c r="DE36" s="15"/>
      <c r="DF36" s="15"/>
    </row>
    <row r="37" spans="1:110" ht="12" outlineLevel="1">
      <c r="B37" s="17" t="s">
        <v>324</v>
      </c>
      <c r="C37" s="374"/>
      <c r="D37" s="374"/>
      <c r="E37" s="374"/>
      <c r="F37" s="374"/>
      <c r="G37" s="374"/>
      <c r="H37" s="374"/>
      <c r="I37" s="374"/>
      <c r="J37" s="374"/>
      <c r="K37" s="374"/>
      <c r="L37" s="374"/>
      <c r="M37" s="138"/>
      <c r="N37" s="138"/>
      <c r="O37" s="138"/>
      <c r="P37" s="138"/>
      <c r="Q37" s="138"/>
      <c r="R37" s="138"/>
      <c r="S37" s="138"/>
      <c r="T37" s="139"/>
      <c r="U37" s="138"/>
      <c r="V37" s="138"/>
      <c r="W37" s="138"/>
      <c r="X37" s="138"/>
      <c r="Y37" s="139"/>
      <c r="Z37" s="139"/>
      <c r="AA37" s="32"/>
      <c r="AB37" s="32"/>
      <c r="AC37" s="32"/>
      <c r="AD37" s="32"/>
      <c r="AE37" s="32"/>
      <c r="AF37" s="32"/>
      <c r="AG37" s="32"/>
      <c r="AH37" s="32"/>
      <c r="AI37" s="32"/>
      <c r="AJ37" s="41"/>
      <c r="AK37" s="41"/>
      <c r="AL37" s="41"/>
      <c r="AM37" s="41"/>
      <c r="AN37" s="41"/>
      <c r="AO37" s="41"/>
      <c r="AP37" s="41"/>
      <c r="AQ37" s="41"/>
      <c r="AR37" s="41"/>
      <c r="AS37" s="41"/>
      <c r="AT37" s="41"/>
      <c r="AU37" s="41"/>
      <c r="AV37" s="211"/>
      <c r="AW37" s="30"/>
      <c r="AX37" s="30"/>
      <c r="AY37" s="30"/>
      <c r="AZ37" s="30"/>
      <c r="BA37" s="30"/>
      <c r="BB37" s="30"/>
      <c r="BC37" s="30"/>
      <c r="BD37" s="30"/>
      <c r="BE37" s="30"/>
      <c r="BF37" s="30"/>
      <c r="BG37" s="30"/>
      <c r="BH37" s="30"/>
      <c r="BI37" s="30"/>
      <c r="BJ37" s="30"/>
      <c r="BK37" s="30"/>
      <c r="BL37" s="30"/>
      <c r="BM37" s="30"/>
      <c r="BN37" s="30"/>
      <c r="BO37" s="30"/>
      <c r="BP37" s="30"/>
      <c r="BQ37" s="207"/>
      <c r="BR37" s="207"/>
      <c r="BS37" s="207"/>
      <c r="BT37" s="207"/>
      <c r="BU37" s="207"/>
      <c r="BV37" s="207"/>
      <c r="BW37" s="207"/>
      <c r="BX37" s="207"/>
      <c r="BY37" s="207"/>
      <c r="BZ37" s="207"/>
      <c r="CA37" s="30"/>
      <c r="CB37" s="30"/>
      <c r="CC37" s="30"/>
      <c r="CD37" s="30"/>
      <c r="CE37" s="30"/>
      <c r="CF37" s="30"/>
      <c r="CG37" s="30"/>
      <c r="CH37" s="30"/>
      <c r="CI37" s="30"/>
      <c r="CJ37" s="30"/>
      <c r="CK37" s="32"/>
      <c r="CL37" s="32"/>
      <c r="CM37" s="32"/>
      <c r="CN37" s="32"/>
      <c r="CO37" s="32"/>
      <c r="CP37" s="32"/>
      <c r="CQ37" s="32"/>
      <c r="CR37" s="32"/>
      <c r="CS37" s="32"/>
      <c r="CT37" s="32"/>
      <c r="CU37" s="32"/>
      <c r="CV37" s="31"/>
      <c r="CW37" s="30"/>
      <c r="CX37" s="30"/>
      <c r="CY37" s="30"/>
      <c r="CZ37" s="15"/>
      <c r="DA37" s="15"/>
      <c r="DB37" s="15"/>
      <c r="DC37" s="15"/>
      <c r="DD37" s="15"/>
      <c r="DE37" s="15"/>
      <c r="DF37" s="15"/>
    </row>
    <row r="38" spans="1:110" ht="12" outlineLevel="1">
      <c r="A38" s="1" t="s">
        <v>850</v>
      </c>
      <c r="B38" s="15" t="s">
        <v>325</v>
      </c>
      <c r="C38" s="373">
        <v>-1.5435995544781478E-2</v>
      </c>
      <c r="D38" s="373">
        <v>0.13908590603601678</v>
      </c>
      <c r="E38" s="373">
        <v>-0.11328758288301444</v>
      </c>
      <c r="F38" s="373">
        <v>-6.7798898003056385E-3</v>
      </c>
      <c r="G38" s="373">
        <v>0.12203240398528671</v>
      </c>
      <c r="H38" s="373">
        <v>9.9858475387551979E-2</v>
      </c>
      <c r="I38" s="373">
        <v>9.7485496952219197E-2</v>
      </c>
      <c r="J38" s="373">
        <v>0.14471526653760303</v>
      </c>
      <c r="K38" s="373">
        <v>0.15444261152929317</v>
      </c>
      <c r="L38" s="373">
        <v>0.12913069405051369</v>
      </c>
      <c r="M38" s="136">
        <v>2.696873363883312E-2</v>
      </c>
      <c r="N38" s="136">
        <v>0.18586271856547154</v>
      </c>
      <c r="O38" s="136">
        <v>0.11644626000066417</v>
      </c>
      <c r="P38" s="136">
        <v>-0.16734672160923514</v>
      </c>
      <c r="Q38" s="136">
        <v>-0.12040957655121275</v>
      </c>
      <c r="R38" s="136">
        <v>-0.19871326971548176</v>
      </c>
      <c r="S38" s="136">
        <v>0.35213217416915521</v>
      </c>
      <c r="T38" s="137">
        <v>4.8011476415038334E-2</v>
      </c>
      <c r="U38" s="136">
        <v>-4.0018494187662575E-2</v>
      </c>
      <c r="V38" s="136">
        <v>7.747434775433204E-2</v>
      </c>
      <c r="W38" s="136">
        <v>-0.1513422929480055</v>
      </c>
      <c r="X38" s="136">
        <v>0.10691071830508016</v>
      </c>
      <c r="Y38" s="137">
        <v>3.7384123149176718E-2</v>
      </c>
      <c r="Z38" s="137">
        <v>0.15658668186760871</v>
      </c>
      <c r="AA38" s="137">
        <v>7.4623401351684882E-2</v>
      </c>
      <c r="AB38" s="354">
        <v>5.5840945703218292E-2</v>
      </c>
      <c r="AC38" s="354">
        <v>3.2655870368478723E-3</v>
      </c>
      <c r="AD38" s="354">
        <v>0.13758788845834058</v>
      </c>
      <c r="AE38" s="354">
        <v>-0.12694167861271677</v>
      </c>
      <c r="AF38" s="354">
        <v>3.553954568479667E-2</v>
      </c>
      <c r="AG38" s="354">
        <v>9.288778848964574E-2</v>
      </c>
      <c r="AH38" s="354">
        <v>0.10249600669415937</v>
      </c>
      <c r="AI38" s="354">
        <v>-9.0883129513462668E-3</v>
      </c>
      <c r="AJ38" s="354">
        <v>3.481617119235958E-2</v>
      </c>
      <c r="AK38" s="354">
        <v>0.10133039616273321</v>
      </c>
      <c r="AL38" s="354">
        <v>1.7540635222229595E-2</v>
      </c>
      <c r="AM38" s="354">
        <v>0.10527097635839035</v>
      </c>
      <c r="AN38" s="354">
        <v>-0.2257415545513265</v>
      </c>
      <c r="AO38" s="354">
        <v>0.15969183845810586</v>
      </c>
      <c r="AP38" s="354">
        <v>0.18538896885114009</v>
      </c>
      <c r="AQ38" s="354">
        <v>0.10140090273150747</v>
      </c>
      <c r="AR38" s="354">
        <v>4.3834136156981396E-2</v>
      </c>
      <c r="AS38" s="354">
        <v>-0.11562420250090621</v>
      </c>
      <c r="AT38" s="354">
        <v>0.13188230719495131</v>
      </c>
      <c r="AU38" s="354">
        <v>2.4028078538818054E-3</v>
      </c>
      <c r="AV38" s="341">
        <v>0.14170901195340968</v>
      </c>
      <c r="AW38" s="29">
        <v>1.4209625186108354E-2</v>
      </c>
      <c r="AX38" s="29">
        <v>5.062499999999992E-2</v>
      </c>
      <c r="AY38" s="29">
        <v>5.062499999999992E-2</v>
      </c>
      <c r="AZ38" s="29">
        <v>5.062499999999992E-2</v>
      </c>
      <c r="BA38" s="29">
        <v>5.062499999999992E-2</v>
      </c>
      <c r="BB38" s="29">
        <v>5.062499999999992E-2</v>
      </c>
      <c r="BC38" s="29">
        <v>5.062499999999992E-2</v>
      </c>
      <c r="BD38" s="29">
        <v>5.062499999999992E-2</v>
      </c>
      <c r="BE38" s="29">
        <v>5.062499999999992E-2</v>
      </c>
      <c r="BF38" s="29">
        <v>5.062499999999992E-2</v>
      </c>
      <c r="BG38" s="29">
        <v>5.062499999999992E-2</v>
      </c>
      <c r="BH38" s="29">
        <v>5.062499999999992E-2</v>
      </c>
      <c r="BI38" s="29">
        <v>5.062499999999992E-2</v>
      </c>
      <c r="BJ38" s="29">
        <v>5.062499999999992E-2</v>
      </c>
      <c r="BK38" s="29">
        <v>5.062499999999992E-2</v>
      </c>
      <c r="BL38" s="29">
        <v>5.062499999999992E-2</v>
      </c>
      <c r="BM38" s="29">
        <v>5.062499999999992E-2</v>
      </c>
      <c r="BN38" s="547">
        <v>5.062499999999992E-2</v>
      </c>
      <c r="BO38" s="547">
        <v>5.062499999999992E-2</v>
      </c>
      <c r="BP38" s="30"/>
      <c r="BQ38" s="393">
        <v>0</v>
      </c>
      <c r="BR38" s="393">
        <v>0.16635490710602863</v>
      </c>
      <c r="BS38" s="393">
        <v>1.0968018041177974E-2</v>
      </c>
      <c r="BT38" s="393">
        <v>0.14247804192019276</v>
      </c>
      <c r="BU38" s="393">
        <v>4.5785124534705401E-2</v>
      </c>
      <c r="BV38" s="393">
        <v>0.16677883414845085</v>
      </c>
      <c r="BW38" s="393">
        <v>-4.7209541311136964E-2</v>
      </c>
      <c r="BX38" s="393">
        <v>-6.9952288195496148E-4</v>
      </c>
      <c r="BY38" s="393">
        <v>6.9724633871026453E-2</v>
      </c>
      <c r="BZ38" s="393">
        <v>-1.5435995544781478E-2</v>
      </c>
      <c r="CA38" s="30">
        <v>1.0041617045087881E-2</v>
      </c>
      <c r="CB38" s="30">
        <v>0.11442514793389447</v>
      </c>
      <c r="CC38" s="30">
        <v>0.20707872543781769</v>
      </c>
      <c r="CD38" s="30">
        <v>0.32150808175912138</v>
      </c>
      <c r="CE38" s="30">
        <v>0.15958191898179286</v>
      </c>
      <c r="CF38" s="30">
        <v>0.3239519970166409</v>
      </c>
      <c r="CG38" s="30">
        <v>-0.26760615027424617</v>
      </c>
      <c r="CH38" s="30">
        <v>8.3445568752499089E-2</v>
      </c>
      <c r="CI38" s="30">
        <v>6.0716352375194127E-3</v>
      </c>
      <c r="CJ38" s="30">
        <v>-8.5593090627465229E-2</v>
      </c>
      <c r="CK38" s="32">
        <v>0.14829160491334092</v>
      </c>
      <c r="CL38" s="32">
        <v>0.24289511402662867</v>
      </c>
      <c r="CM38" s="32">
        <v>5.9288886208479941E-2</v>
      </c>
      <c r="CN38" s="32">
        <v>-6.8194276720572322E-3</v>
      </c>
      <c r="CO38" s="32">
        <v>0.13172852397702983</v>
      </c>
      <c r="CP38" s="32">
        <v>9.2476177957713235E-2</v>
      </c>
      <c r="CQ38" s="32">
        <v>0.13967450377488411</v>
      </c>
      <c r="CR38" s="32">
        <v>0.12465813137641035</v>
      </c>
      <c r="CS38" s="32">
        <v>-0.10209879995591276</v>
      </c>
      <c r="CT38" s="32">
        <v>0.30558848038061659</v>
      </c>
      <c r="CU38" s="32">
        <v>-7.6858353379391953E-2</v>
      </c>
      <c r="CV38" s="31">
        <v>0.13460200289234914</v>
      </c>
      <c r="CW38" s="30">
        <v>0.15793226908486968</v>
      </c>
      <c r="CX38" s="30">
        <v>0.10381289062499977</v>
      </c>
      <c r="CY38" s="30">
        <v>0.10381289062499977</v>
      </c>
      <c r="CZ38" s="30">
        <v>0.10381289062499977</v>
      </c>
      <c r="DA38" s="30">
        <v>0.10381289062499977</v>
      </c>
      <c r="DB38" s="30">
        <v>0.10381289062499977</v>
      </c>
      <c r="DC38" s="30">
        <v>0.10381289062499977</v>
      </c>
      <c r="DD38" s="30">
        <v>0.10381289062499977</v>
      </c>
      <c r="DE38" s="30">
        <v>0.10381289062499977</v>
      </c>
      <c r="DF38" s="30">
        <v>0.10381289062499977</v>
      </c>
    </row>
    <row r="39" spans="1:110" ht="12" outlineLevel="1">
      <c r="A39" s="1" t="s">
        <v>851</v>
      </c>
      <c r="B39" s="15" t="s">
        <v>326</v>
      </c>
      <c r="C39" s="373">
        <v>2.9267457955884479E-2</v>
      </c>
      <c r="D39" s="373">
        <v>-5.8309886328057337E-3</v>
      </c>
      <c r="E39" s="373">
        <v>6.3895862006534188E-2</v>
      </c>
      <c r="F39" s="373">
        <v>3.5109802680753699E-2</v>
      </c>
      <c r="G39" s="373">
        <v>1.9315399872659844E-2</v>
      </c>
      <c r="H39" s="373">
        <v>2.1934695958964801E-2</v>
      </c>
      <c r="I39" s="373">
        <v>2.9747969087458914E-2</v>
      </c>
      <c r="J39" s="373">
        <v>1.7724999564056709E-2</v>
      </c>
      <c r="K39" s="373">
        <v>3.9058385577110277E-2</v>
      </c>
      <c r="L39" s="373">
        <v>2.7271579287217129E-2</v>
      </c>
      <c r="M39" s="136">
        <v>1.9997670319596983E-2</v>
      </c>
      <c r="N39" s="136">
        <v>1.668784783342514E-2</v>
      </c>
      <c r="O39" s="136">
        <v>1.7748880443205994E-2</v>
      </c>
      <c r="P39" s="136">
        <v>2.4715885241221702E-2</v>
      </c>
      <c r="Q39" s="136">
        <v>5.7591163941300039E-2</v>
      </c>
      <c r="R39" s="136">
        <v>6.6327545298407342E-2</v>
      </c>
      <c r="S39" s="136">
        <v>4.1416178389501734E-3</v>
      </c>
      <c r="T39" s="137">
        <v>2.3033313437283987E-2</v>
      </c>
      <c r="U39" s="136">
        <v>4.9227844300828494E-2</v>
      </c>
      <c r="V39" s="136">
        <v>1.8435263212859931E-2</v>
      </c>
      <c r="W39" s="136">
        <v>7.0698170881770439E-2</v>
      </c>
      <c r="X39" s="136">
        <v>2.7395900327880085E-2</v>
      </c>
      <c r="Y39" s="137">
        <v>6.6440108594984615E-2</v>
      </c>
      <c r="Z39" s="137">
        <v>3.7169527078586562E-3</v>
      </c>
      <c r="AA39" s="137">
        <v>1.4444147325310297E-2</v>
      </c>
      <c r="AB39" s="354">
        <v>1.8266169351680794E-2</v>
      </c>
      <c r="AC39" s="354">
        <v>4.1161769087187494E-2</v>
      </c>
      <c r="AD39" s="354">
        <v>6.7336983400292816E-2</v>
      </c>
      <c r="AE39" s="354">
        <v>1.6855508254831619E-3</v>
      </c>
      <c r="AF39" s="354">
        <v>1.7976122718043497E-2</v>
      </c>
      <c r="AG39" s="354">
        <v>3.8246307203407159E-2</v>
      </c>
      <c r="AH39" s="354">
        <v>-1.6705733625580366E-2</v>
      </c>
      <c r="AI39" s="354">
        <v>9.3962449440720963E-3</v>
      </c>
      <c r="AJ39" s="354">
        <v>2.3230277508933472E-2</v>
      </c>
      <c r="AK39" s="354">
        <v>1.3630459156920294E-2</v>
      </c>
      <c r="AL39" s="354">
        <v>5.7536091721030358E-2</v>
      </c>
      <c r="AM39" s="354">
        <v>5.0874619551761091E-2</v>
      </c>
      <c r="AN39" s="354">
        <v>1.6269636112474783E-2</v>
      </c>
      <c r="AO39" s="354">
        <v>1.554767416401881E-2</v>
      </c>
      <c r="AP39" s="354">
        <v>-3.3164096587447012E-2</v>
      </c>
      <c r="AQ39" s="354">
        <v>1.8377269719900502E-2</v>
      </c>
      <c r="AR39" s="354">
        <v>-7.2537510368509639E-2</v>
      </c>
      <c r="AS39" s="354">
        <v>-4.4255391896633862E-2</v>
      </c>
      <c r="AT39" s="354">
        <v>4.9939320050786273E-2</v>
      </c>
      <c r="AU39" s="354">
        <v>-3.2228278861450521E-2</v>
      </c>
      <c r="AV39" s="341">
        <v>4.8504344954975354E-2</v>
      </c>
      <c r="AW39" s="29">
        <v>7.3564676171413712E-3</v>
      </c>
      <c r="AX39" s="29">
        <v>3.1843285156250012E-2</v>
      </c>
      <c r="AY39" s="29">
        <v>3.057388085937518E-2</v>
      </c>
      <c r="AZ39" s="29">
        <v>2.8164242187500133E-2</v>
      </c>
      <c r="BA39" s="29">
        <v>2.6643886718749954E-2</v>
      </c>
      <c r="BB39" s="29">
        <v>2.6422265625000163E-2</v>
      </c>
      <c r="BC39" s="29">
        <v>2.6422265625000163E-2</v>
      </c>
      <c r="BD39" s="29">
        <v>2.6422265625000163E-2</v>
      </c>
      <c r="BE39" s="29">
        <v>2.6422265625000163E-2</v>
      </c>
      <c r="BF39" s="29">
        <v>2.6422265625000163E-2</v>
      </c>
      <c r="BG39" s="29">
        <v>2.6422265625000163E-2</v>
      </c>
      <c r="BH39" s="29">
        <v>2.6422265625000163E-2</v>
      </c>
      <c r="BI39" s="29">
        <v>2.6422265625000163E-2</v>
      </c>
      <c r="BJ39" s="29">
        <v>2.6422265625000163E-2</v>
      </c>
      <c r="BK39" s="29">
        <v>2.6422265625000163E-2</v>
      </c>
      <c r="BL39" s="29">
        <v>2.6422265625000163E-2</v>
      </c>
      <c r="BM39" s="29">
        <v>2.6422265625000163E-2</v>
      </c>
      <c r="BN39" s="547">
        <v>2.6422265625000163E-2</v>
      </c>
      <c r="BO39" s="547">
        <v>2.6422265625000163E-2</v>
      </c>
      <c r="BP39" s="30"/>
      <c r="BQ39" s="393">
        <v>8.2906313142509833E-2</v>
      </c>
      <c r="BR39" s="393">
        <v>6.8777930975284063E-2</v>
      </c>
      <c r="BS39" s="393">
        <v>-3.4412422687195687E-2</v>
      </c>
      <c r="BT39" s="393">
        <v>9.8969612467491461E-2</v>
      </c>
      <c r="BU39" s="393">
        <v>9.3746304118395477E-2</v>
      </c>
      <c r="BV39" s="393">
        <v>0.11304649197615246</v>
      </c>
      <c r="BW39" s="393">
        <v>5.1803861531185769E-2</v>
      </c>
      <c r="BX39" s="393">
        <v>-3.471393780384302E-4</v>
      </c>
      <c r="BY39" s="393">
        <v>3.9885006252963207E-2</v>
      </c>
      <c r="BZ39" s="393">
        <v>2.9267457955884479E-2</v>
      </c>
      <c r="CA39" s="30">
        <v>5.7692297328685083E-2</v>
      </c>
      <c r="CB39" s="30">
        <v>5.5103362431642378E-2</v>
      </c>
      <c r="CC39" s="30">
        <v>5.2335177703753732E-2</v>
      </c>
      <c r="CD39" s="30">
        <v>5.7475695008494032E-2</v>
      </c>
      <c r="CE39" s="30">
        <v>4.7814617658494596E-2</v>
      </c>
      <c r="CF39" s="30">
        <v>3.4732918892681042E-2</v>
      </c>
      <c r="CG39" s="30">
        <v>8.3730465781403307E-2</v>
      </c>
      <c r="CH39" s="30">
        <v>7.0743866482179119E-2</v>
      </c>
      <c r="CI39" s="30">
        <v>7.3395038105735333E-2</v>
      </c>
      <c r="CJ39" s="30">
        <v>9.0436773483503652E-2</v>
      </c>
      <c r="CK39" s="32">
        <v>9.5656195515706477E-2</v>
      </c>
      <c r="CL39" s="32">
        <v>1.8214788245682456E-2</v>
      </c>
      <c r="CM39" s="32">
        <v>6.0179806283829684E-2</v>
      </c>
      <c r="CN39" s="32">
        <v>6.9136034133731927E-2</v>
      </c>
      <c r="CO39" s="32">
        <v>5.6909950233251072E-2</v>
      </c>
      <c r="CP39" s="32">
        <v>-7.4664598466246401E-3</v>
      </c>
      <c r="CQ39" s="32">
        <v>3.7177376014643215E-2</v>
      </c>
      <c r="CR39" s="32">
        <v>0.11133783804959418</v>
      </c>
      <c r="CS39" s="32">
        <v>3.2070265277537535E-2</v>
      </c>
      <c r="CT39" s="32">
        <v>-1.539629241555085E-2</v>
      </c>
      <c r="CU39" s="32">
        <v>-0.11358272631657895</v>
      </c>
      <c r="CV39" s="31">
        <v>1.6101582856587804E-2</v>
      </c>
      <c r="CW39" s="30">
        <v>5.6217633215068563E-2</v>
      </c>
      <c r="CX39" s="30">
        <v>6.3390738822163506E-2</v>
      </c>
      <c r="CY39" s="30">
        <v>5.5558533784613173E-2</v>
      </c>
      <c r="CZ39" s="30">
        <v>5.3542667370758412E-2</v>
      </c>
      <c r="DA39" s="30">
        <v>5.3542667370758412E-2</v>
      </c>
      <c r="DB39" s="30">
        <v>5.3542667370758412E-2</v>
      </c>
      <c r="DC39" s="30">
        <v>5.3542667370758412E-2</v>
      </c>
      <c r="DD39" s="30">
        <v>5.3542667370758412E-2</v>
      </c>
      <c r="DE39" s="30">
        <v>5.3542667370758412E-2</v>
      </c>
      <c r="DF39" s="30">
        <v>5.3542667370758412E-2</v>
      </c>
    </row>
    <row r="40" spans="1:110" ht="12" outlineLevel="1">
      <c r="A40" s="1" t="s">
        <v>852</v>
      </c>
      <c r="B40" s="15" t="s">
        <v>327</v>
      </c>
      <c r="C40" s="373">
        <v>4.9583333333333333E-2</v>
      </c>
      <c r="D40" s="373">
        <v>4.3333333333333328E-2</v>
      </c>
      <c r="E40" s="373">
        <v>4.6249999999999999E-2</v>
      </c>
      <c r="F40" s="373">
        <v>4.7500000000000001E-2</v>
      </c>
      <c r="G40" s="373">
        <v>4.7500000000000001E-2</v>
      </c>
      <c r="H40" s="373">
        <v>5.1249999999999997E-2</v>
      </c>
      <c r="I40" s="373">
        <v>5.2499999999999998E-2</v>
      </c>
      <c r="J40" s="373">
        <v>5.2916666666666667E-2</v>
      </c>
      <c r="K40" s="373">
        <v>5.5E-2</v>
      </c>
      <c r="L40" s="373">
        <v>5.5E-2</v>
      </c>
      <c r="M40" s="136">
        <v>5.7916666666666672E-2</v>
      </c>
      <c r="N40" s="136">
        <v>6.2083333333333331E-2</v>
      </c>
      <c r="O40" s="136">
        <v>6.3333333333333325E-2</v>
      </c>
      <c r="P40" s="136">
        <v>6.8333333333333329E-2</v>
      </c>
      <c r="Q40" s="136">
        <v>7.2083333333333333E-2</v>
      </c>
      <c r="R40" s="136">
        <v>4.3749999999999997E-2</v>
      </c>
      <c r="S40" s="136">
        <v>0.03</v>
      </c>
      <c r="T40" s="137">
        <v>3.6666666666666667E-2</v>
      </c>
      <c r="U40" s="136">
        <v>4.4583333333333329E-2</v>
      </c>
      <c r="V40" s="136">
        <v>4.7083333333333331E-2</v>
      </c>
      <c r="W40" s="136">
        <v>4.7500000000000001E-2</v>
      </c>
      <c r="X40" s="136">
        <v>4.3749999999999997E-2</v>
      </c>
      <c r="Y40" s="137">
        <v>3.6666666666666667E-2</v>
      </c>
      <c r="Z40" s="137">
        <v>3.0833333333333334E-2</v>
      </c>
      <c r="AA40" s="137">
        <v>2.7083333333333334E-2</v>
      </c>
      <c r="AB40" s="354">
        <v>2.5000000000000001E-2</v>
      </c>
      <c r="AC40" s="354">
        <v>2.5000000000000001E-2</v>
      </c>
      <c r="AD40" s="354">
        <v>2.4166666666666666E-2</v>
      </c>
      <c r="AE40" s="354">
        <v>2.0416666666666666E-2</v>
      </c>
      <c r="AF40" s="354">
        <v>0.02</v>
      </c>
      <c r="AG40" s="354">
        <v>1.7083333333333332E-2</v>
      </c>
      <c r="AH40" s="354">
        <v>1.4999999999999999E-2</v>
      </c>
      <c r="AI40" s="354">
        <v>1.4999999999999999E-2</v>
      </c>
      <c r="AJ40" s="354">
        <v>1.4999999999999999E-2</v>
      </c>
      <c r="AK40" s="354">
        <v>1.4999999999999999E-2</v>
      </c>
      <c r="AL40" s="354">
        <v>1.4999999999999999E-2</v>
      </c>
      <c r="AM40" s="354">
        <v>1.2083333333333333E-2</v>
      </c>
      <c r="AN40" s="354">
        <v>6.6666666666666662E-3</v>
      </c>
      <c r="AO40" s="354">
        <v>2.5000000000000001E-3</v>
      </c>
      <c r="AP40" s="354">
        <v>1.2499999999999998E-3</v>
      </c>
      <c r="AQ40" s="354">
        <v>1E-3</v>
      </c>
      <c r="AR40" s="354">
        <v>1E-3</v>
      </c>
      <c r="AS40" s="354">
        <v>1.1416666666666665E-2</v>
      </c>
      <c r="AT40" s="354">
        <v>3.1E-2</v>
      </c>
      <c r="AU40" s="354">
        <v>3.9750000000000001E-2</v>
      </c>
      <c r="AV40" s="341">
        <v>4.3083333333333335E-2</v>
      </c>
      <c r="AW40" s="29">
        <v>4.3499999999999997E-2</v>
      </c>
      <c r="AX40" s="29">
        <v>4.2249999999999996E-2</v>
      </c>
      <c r="AY40" s="29">
        <v>3.7249999999999998E-2</v>
      </c>
      <c r="AZ40" s="29">
        <v>3.2500000000000001E-2</v>
      </c>
      <c r="BA40" s="29">
        <v>3.2500000000000001E-2</v>
      </c>
      <c r="BB40" s="29">
        <v>3.2500000000000001E-2</v>
      </c>
      <c r="BC40" s="29">
        <v>3.2500000000000001E-2</v>
      </c>
      <c r="BD40" s="29">
        <v>3.2500000000000001E-2</v>
      </c>
      <c r="BE40" s="29">
        <v>3.2500000000000001E-2</v>
      </c>
      <c r="BF40" s="29">
        <v>3.2500000000000001E-2</v>
      </c>
      <c r="BG40" s="29">
        <v>3.2500000000000001E-2</v>
      </c>
      <c r="BH40" s="29">
        <v>3.2500000000000001E-2</v>
      </c>
      <c r="BI40" s="29">
        <v>3.2500000000000001E-2</v>
      </c>
      <c r="BJ40" s="29">
        <v>3.2500000000000001E-2</v>
      </c>
      <c r="BK40" s="29">
        <v>3.2500000000000001E-2</v>
      </c>
      <c r="BL40" s="29">
        <v>3.2500000000000001E-2</v>
      </c>
      <c r="BM40" s="29">
        <v>3.2500000000000001E-2</v>
      </c>
      <c r="BN40" s="547">
        <v>3.2500000000000001E-2</v>
      </c>
      <c r="BO40" s="547">
        <v>3.2500000000000001E-2</v>
      </c>
      <c r="BP40" s="30"/>
      <c r="BQ40" s="393">
        <v>6.1499999999999992E-2</v>
      </c>
      <c r="BR40" s="393">
        <v>4.9500000000000002E-2</v>
      </c>
      <c r="BS40" s="393">
        <v>4.8999999999999995E-2</v>
      </c>
      <c r="BT40" s="393">
        <v>7.4116666666666664E-2</v>
      </c>
      <c r="BU40" s="393">
        <v>7.1166666666666656E-2</v>
      </c>
      <c r="BV40" s="393">
        <v>5.3399999999999996E-2</v>
      </c>
      <c r="BW40" s="393">
        <v>4.9783333333333346E-2</v>
      </c>
      <c r="BX40" s="393">
        <v>4.7566666666666667E-2</v>
      </c>
      <c r="BY40" s="393">
        <v>6.0416666666666667E-2</v>
      </c>
      <c r="BZ40" s="393">
        <v>4.9583333333333333E-2</v>
      </c>
      <c r="CA40" s="30">
        <v>9.1587499999999711E-2</v>
      </c>
      <c r="CB40" s="30">
        <v>9.7256250000000266E-2</v>
      </c>
      <c r="CC40" s="30">
        <v>0.10644062500000007</v>
      </c>
      <c r="CD40" s="30">
        <v>0.11082708333333335</v>
      </c>
      <c r="CE40" s="30">
        <v>0.11610208333333327</v>
      </c>
      <c r="CF40" s="30">
        <v>0.12934861111111084</v>
      </c>
      <c r="CG40" s="30">
        <v>0.1453423611111111</v>
      </c>
      <c r="CH40" s="30">
        <v>7.5062500000000032E-2</v>
      </c>
      <c r="CI40" s="30">
        <v>8.2884722222222207E-2</v>
      </c>
      <c r="CJ40" s="30">
        <v>9.6819791666666877E-2</v>
      </c>
      <c r="CK40" s="32">
        <v>8.202083333333321E-2</v>
      </c>
      <c r="CL40" s="32">
        <v>5.8751736111110953E-2</v>
      </c>
      <c r="CM40" s="32">
        <v>5.062499999999992E-2</v>
      </c>
      <c r="CN40" s="32">
        <v>4.5076736111111293E-2</v>
      </c>
      <c r="CO40" s="32">
        <v>3.7425000000000042E-2</v>
      </c>
      <c r="CP40" s="32">
        <v>3.0224999999999724E-2</v>
      </c>
      <c r="CQ40" s="32">
        <v>3.0224999999999724E-2</v>
      </c>
      <c r="CR40" s="32">
        <v>2.7264583333333148E-2</v>
      </c>
      <c r="CS40" s="32">
        <v>9.1833333333333211E-3</v>
      </c>
      <c r="CT40" s="32">
        <v>2.2512499999998159E-3</v>
      </c>
      <c r="CU40" s="32">
        <v>1.2428083333333229E-2</v>
      </c>
      <c r="CV40" s="31">
        <v>7.1982249999999803E-2</v>
      </c>
      <c r="CW40" s="30">
        <v>8.8457458333333516E-2</v>
      </c>
      <c r="CX40" s="30">
        <v>8.1073812499999898E-2</v>
      </c>
      <c r="CY40" s="30">
        <v>6.6056249999999928E-2</v>
      </c>
      <c r="CZ40" s="30">
        <v>6.6056249999999928E-2</v>
      </c>
      <c r="DA40" s="30">
        <v>6.6056249999999928E-2</v>
      </c>
      <c r="DB40" s="30">
        <v>6.6056249999999928E-2</v>
      </c>
      <c r="DC40" s="30">
        <v>6.6056249999999928E-2</v>
      </c>
      <c r="DD40" s="30">
        <v>6.6056249999999928E-2</v>
      </c>
      <c r="DE40" s="30">
        <v>6.6056249999999928E-2</v>
      </c>
      <c r="DF40" s="30">
        <v>6.6056249999999928E-2</v>
      </c>
    </row>
    <row r="41" spans="1:110" ht="12" outlineLevel="1">
      <c r="C41" s="207"/>
      <c r="D41" s="207"/>
      <c r="E41" s="207"/>
      <c r="F41" s="207"/>
      <c r="G41" s="207"/>
      <c r="H41" s="207"/>
      <c r="I41" s="207"/>
      <c r="J41" s="207"/>
      <c r="K41" s="207"/>
      <c r="L41" s="207"/>
      <c r="M41" s="30"/>
      <c r="N41" s="30"/>
      <c r="O41" s="30"/>
      <c r="P41" s="30"/>
      <c r="Q41" s="30"/>
      <c r="R41" s="30"/>
      <c r="S41" s="30"/>
      <c r="T41" s="32"/>
      <c r="U41" s="30"/>
      <c r="V41" s="30"/>
      <c r="W41" s="30"/>
      <c r="X41" s="30"/>
      <c r="Y41" s="32"/>
      <c r="Z41" s="32"/>
      <c r="AA41" s="32"/>
      <c r="AB41" s="32"/>
      <c r="AC41" s="32"/>
      <c r="AD41" s="32"/>
      <c r="AE41" s="32"/>
      <c r="AF41" s="32"/>
      <c r="AG41" s="32"/>
      <c r="AH41" s="32"/>
      <c r="AI41" s="32"/>
      <c r="AJ41" s="32"/>
      <c r="AK41" s="32"/>
      <c r="AL41" s="32"/>
      <c r="AM41" s="32"/>
      <c r="AN41" s="32"/>
      <c r="AO41" s="32"/>
      <c r="AP41" s="32"/>
      <c r="AQ41" s="32"/>
      <c r="AR41" s="32"/>
      <c r="AS41" s="32"/>
      <c r="AT41" s="32"/>
      <c r="AU41" s="32"/>
      <c r="AV41" s="31"/>
      <c r="AW41" s="41"/>
      <c r="AX41" s="30"/>
      <c r="AY41" s="30"/>
      <c r="AZ41" s="30"/>
      <c r="BA41" s="30"/>
      <c r="BB41" s="30"/>
      <c r="BC41" s="30"/>
      <c r="BD41" s="30"/>
      <c r="BE41" s="30"/>
      <c r="BF41" s="30"/>
      <c r="BG41" s="30"/>
      <c r="BH41" s="30"/>
      <c r="BI41" s="30"/>
      <c r="BJ41" s="30"/>
      <c r="BK41" s="30"/>
      <c r="BL41" s="30"/>
      <c r="BM41" s="30"/>
      <c r="BN41" s="30"/>
      <c r="BO41" s="30"/>
      <c r="BP41" s="30"/>
      <c r="BQ41" s="207"/>
      <c r="BR41" s="207"/>
      <c r="BS41" s="207"/>
      <c r="BT41" s="207"/>
      <c r="BU41" s="207"/>
      <c r="BV41" s="207"/>
      <c r="BW41" s="207"/>
      <c r="BX41" s="207"/>
      <c r="BY41" s="207"/>
      <c r="BZ41" s="207"/>
      <c r="CA41" s="30"/>
      <c r="CB41" s="30"/>
      <c r="CC41" s="30"/>
      <c r="CD41" s="30"/>
      <c r="CE41" s="30"/>
      <c r="CF41" s="30"/>
      <c r="CG41" s="30"/>
      <c r="CH41" s="30"/>
      <c r="CI41" s="30"/>
      <c r="CJ41" s="30"/>
      <c r="CK41" s="32"/>
      <c r="CL41" s="32"/>
      <c r="CM41" s="32"/>
      <c r="CN41" s="32"/>
      <c r="CO41" s="32"/>
      <c r="CP41" s="32"/>
      <c r="CQ41" s="32"/>
      <c r="CR41" s="32"/>
      <c r="CS41" s="32"/>
      <c r="CT41" s="32"/>
      <c r="CU41" s="32"/>
      <c r="CV41" s="31"/>
      <c r="CW41" s="30"/>
      <c r="CX41" s="30"/>
      <c r="CY41" s="30"/>
      <c r="CZ41" s="15"/>
      <c r="DA41" s="15"/>
      <c r="DB41" s="15"/>
      <c r="DC41" s="15"/>
      <c r="DD41" s="15"/>
      <c r="DE41" s="15"/>
      <c r="DF41" s="15"/>
    </row>
    <row r="42" spans="1:110" ht="12" outlineLevel="1">
      <c r="B42" s="17" t="s">
        <v>390</v>
      </c>
      <c r="C42" s="207"/>
      <c r="D42" s="207"/>
      <c r="E42" s="207"/>
      <c r="F42" s="207"/>
      <c r="G42" s="207"/>
      <c r="H42" s="207"/>
      <c r="I42" s="207"/>
      <c r="J42" s="207"/>
      <c r="K42" s="207"/>
      <c r="L42" s="207"/>
      <c r="M42" s="30"/>
      <c r="N42" s="30"/>
      <c r="O42" s="30"/>
      <c r="P42" s="30"/>
      <c r="Q42" s="30"/>
      <c r="R42" s="30"/>
      <c r="S42" s="30"/>
      <c r="T42" s="32"/>
      <c r="U42" s="30"/>
      <c r="V42" s="30"/>
      <c r="W42" s="30"/>
      <c r="X42" s="30"/>
      <c r="Y42" s="32"/>
      <c r="Z42" s="32"/>
      <c r="AA42" s="32"/>
      <c r="AB42" s="32"/>
      <c r="AC42" s="32"/>
      <c r="AD42" s="32"/>
      <c r="AE42" s="32"/>
      <c r="AF42" s="32"/>
      <c r="AG42" s="32"/>
      <c r="AH42" s="32"/>
      <c r="AI42" s="32"/>
      <c r="AJ42" s="32"/>
      <c r="AK42" s="32"/>
      <c r="AL42" s="32"/>
      <c r="AM42" s="32"/>
      <c r="AN42" s="32"/>
      <c r="AO42" s="32"/>
      <c r="AP42" s="32"/>
      <c r="AQ42" s="32"/>
      <c r="AR42" s="32"/>
      <c r="AS42" s="32"/>
      <c r="AT42" s="32"/>
      <c r="AU42" s="32"/>
      <c r="AV42" s="31"/>
      <c r="AW42" s="41"/>
      <c r="AX42" s="30"/>
      <c r="AY42" s="30"/>
      <c r="AZ42" s="30"/>
      <c r="BA42" s="30"/>
      <c r="BB42" s="30"/>
      <c r="BC42" s="30"/>
      <c r="BD42" s="30"/>
      <c r="BE42" s="30"/>
      <c r="BF42" s="30"/>
      <c r="BG42" s="30"/>
      <c r="BH42" s="30"/>
      <c r="BI42" s="30"/>
      <c r="BJ42" s="30"/>
      <c r="BK42" s="30"/>
      <c r="BL42" s="30"/>
      <c r="BM42" s="30"/>
      <c r="BN42" s="30"/>
      <c r="BO42" s="30"/>
      <c r="BP42" s="30"/>
      <c r="BQ42" s="207"/>
      <c r="BR42" s="207"/>
      <c r="BS42" s="207"/>
      <c r="BT42" s="207"/>
      <c r="BU42" s="207"/>
      <c r="BV42" s="207"/>
      <c r="BW42" s="207"/>
      <c r="BX42" s="207"/>
      <c r="BY42" s="207"/>
      <c r="BZ42" s="207"/>
      <c r="CA42" s="30"/>
      <c r="CB42" s="30"/>
      <c r="CC42" s="30"/>
      <c r="CD42" s="30"/>
      <c r="CE42" s="30"/>
      <c r="CF42" s="30"/>
      <c r="CG42" s="30"/>
      <c r="CH42" s="30"/>
      <c r="CI42" s="30"/>
      <c r="CJ42" s="30"/>
      <c r="CK42" s="32"/>
      <c r="CL42" s="32"/>
      <c r="CM42" s="32"/>
      <c r="CN42" s="32"/>
      <c r="CO42" s="32"/>
      <c r="CP42" s="32"/>
      <c r="CQ42" s="32"/>
      <c r="CR42" s="32"/>
      <c r="CS42" s="32"/>
      <c r="CT42" s="32"/>
      <c r="CU42" s="32"/>
      <c r="CV42" s="31"/>
      <c r="CW42" s="30"/>
      <c r="CX42" s="30"/>
      <c r="CY42" s="30"/>
      <c r="CZ42" s="15"/>
      <c r="DA42" s="15"/>
      <c r="DB42" s="15"/>
      <c r="DC42" s="15"/>
      <c r="DD42" s="15"/>
      <c r="DE42" s="15"/>
      <c r="DF42" s="15"/>
    </row>
    <row r="43" spans="1:110" ht="12" outlineLevel="1">
      <c r="A43" s="1" t="s">
        <v>384</v>
      </c>
      <c r="B43" s="15" t="s">
        <v>218</v>
      </c>
      <c r="C43" s="207" t="e">
        <v>#VALUE!</v>
      </c>
      <c r="D43" s="207">
        <v>-6.9255989104506227E-3</v>
      </c>
      <c r="E43" s="207">
        <v>6.1956877607407396E-3</v>
      </c>
      <c r="F43" s="207">
        <v>6.2416233894439926E-3</v>
      </c>
      <c r="G43" s="207">
        <v>-5.9699090098437324E-3</v>
      </c>
      <c r="H43" s="207">
        <v>-2.1110417772747914E-2</v>
      </c>
      <c r="I43" s="207">
        <v>8.1560820564013925E-2</v>
      </c>
      <c r="J43" s="207">
        <v>2.7493124588719553E-2</v>
      </c>
      <c r="K43" s="207">
        <v>-2.8861797011181523E-3</v>
      </c>
      <c r="L43" s="207">
        <v>-4.4390474992570539E-3</v>
      </c>
      <c r="M43" s="30">
        <v>-2.109013852470043E-2</v>
      </c>
      <c r="N43" s="30">
        <v>-7.7948952514008685E-3</v>
      </c>
      <c r="O43" s="30">
        <v>7.0795389054651992E-3</v>
      </c>
      <c r="P43" s="30">
        <v>9.5838506593812767E-3</v>
      </c>
      <c r="Q43" s="30">
        <v>3.3405608725147529E-2</v>
      </c>
      <c r="R43" s="30">
        <v>3.4426636589993231E-2</v>
      </c>
      <c r="S43" s="30">
        <v>-7.0050251908169159E-3</v>
      </c>
      <c r="T43" s="32">
        <v>1.0865343745647849E-2</v>
      </c>
      <c r="U43" s="30">
        <v>3.3519004675605535E-2</v>
      </c>
      <c r="V43" s="30">
        <v>8.5247717814453949E-3</v>
      </c>
      <c r="W43" s="30">
        <v>1.6717047205001556E-3</v>
      </c>
      <c r="X43" s="30">
        <v>2.5241772170012666E-2</v>
      </c>
      <c r="Y43" s="32">
        <v>-2.0470134560643949E-3</v>
      </c>
      <c r="Z43" s="32">
        <v>9.2881681257899196E-3</v>
      </c>
      <c r="AA43" s="139">
        <v>1.1296550466297628E-2</v>
      </c>
      <c r="AB43" s="139">
        <v>2.325504016296831E-3</v>
      </c>
      <c r="AC43" s="139">
        <v>3.7144259490435871E-3</v>
      </c>
      <c r="AD43" s="139">
        <v>5.183061846325554E-3</v>
      </c>
      <c r="AE43" s="139">
        <v>2.3073908420473188E-2</v>
      </c>
      <c r="AF43" s="139">
        <v>1.7679282378530559E-2</v>
      </c>
      <c r="AG43" s="139">
        <v>-1.4793519383959675E-2</v>
      </c>
      <c r="AH43" s="139">
        <v>5.2460886138319118E-3</v>
      </c>
      <c r="AI43" s="139">
        <v>8.039388841838413E-4</v>
      </c>
      <c r="AJ43" s="139">
        <v>-3.7673457829896506E-3</v>
      </c>
      <c r="AK43" s="139">
        <v>-1.9975541858865409E-2</v>
      </c>
      <c r="AL43" s="139">
        <v>-2.5951144725604225E-2</v>
      </c>
      <c r="AM43" s="139">
        <v>-2.8852285817410173E-2</v>
      </c>
      <c r="AN43" s="139">
        <v>-2.2294393529206924E-2</v>
      </c>
      <c r="AO43" s="139">
        <v>2.8252484713356285E-2</v>
      </c>
      <c r="AP43" s="139">
        <v>-5.6775390161718509E-3</v>
      </c>
      <c r="AQ43" s="139">
        <v>-4.7627983197338852E-2</v>
      </c>
      <c r="AR43" s="139">
        <v>-3.9359107891020262E-2</v>
      </c>
      <c r="AS43" s="139">
        <v>-1.6552610862974104E-2</v>
      </c>
      <c r="AT43" s="139">
        <v>1.4728787251895525E-2</v>
      </c>
      <c r="AU43" s="139">
        <v>1.9517042827032371E-2</v>
      </c>
      <c r="AV43" s="140">
        <v>9.7314032577389131E-3</v>
      </c>
      <c r="AW43" s="33">
        <v>0.18314825705580653</v>
      </c>
      <c r="AX43" s="33">
        <v>0</v>
      </c>
      <c r="AY43" s="33">
        <v>0</v>
      </c>
      <c r="AZ43" s="33">
        <v>0</v>
      </c>
      <c r="BA43" s="33">
        <v>0</v>
      </c>
      <c r="BB43" s="33">
        <v>0</v>
      </c>
      <c r="BC43" s="33">
        <v>0</v>
      </c>
      <c r="BD43" s="33">
        <v>0</v>
      </c>
      <c r="BE43" s="33">
        <v>0</v>
      </c>
      <c r="BF43" s="33">
        <v>0</v>
      </c>
      <c r="BG43" s="33">
        <v>0</v>
      </c>
      <c r="BH43" s="33">
        <v>0</v>
      </c>
      <c r="BI43" s="33">
        <v>0</v>
      </c>
      <c r="BJ43" s="33">
        <v>0</v>
      </c>
      <c r="BK43" s="33">
        <v>0</v>
      </c>
      <c r="BL43" s="33">
        <v>0</v>
      </c>
      <c r="BM43" s="33">
        <v>0</v>
      </c>
      <c r="BN43" s="33">
        <v>0</v>
      </c>
      <c r="BO43" s="33">
        <v>0</v>
      </c>
      <c r="BP43" s="30"/>
      <c r="BQ43" s="207" t="e">
        <v>#DIV/0!</v>
      </c>
      <c r="BR43" s="207">
        <v>-0.11754900763588703</v>
      </c>
      <c r="BS43" s="207">
        <v>-5.7052893238677335E-2</v>
      </c>
      <c r="BT43" s="207">
        <v>2.9106838276942604E-2</v>
      </c>
      <c r="BU43" s="207">
        <v>2.3483862571223479E-2</v>
      </c>
      <c r="BV43" s="207">
        <v>2.0858966734617734E-2</v>
      </c>
      <c r="BW43" s="207">
        <v>6.7322055536852776E-2</v>
      </c>
      <c r="BX43" s="207">
        <v>0.19009501322511002</v>
      </c>
      <c r="BY43" s="207">
        <v>0.2137207693722758</v>
      </c>
      <c r="BZ43" s="207">
        <v>7.2673929099964507E-3</v>
      </c>
      <c r="CA43" s="30">
        <v>-8.07306360167237E-4</v>
      </c>
      <c r="CB43" s="30">
        <v>3.9641499580311823E-4</v>
      </c>
      <c r="CC43" s="30">
        <v>6.5640950613011562E-2</v>
      </c>
      <c r="CD43" s="30">
        <v>2.5920601063446513E-2</v>
      </c>
      <c r="CE43" s="30">
        <v>-2.7163153054661882E-2</v>
      </c>
      <c r="CF43" s="30">
        <v>-8.2555172850917735E-4</v>
      </c>
      <c r="CG43" s="30">
        <v>4.5300648752738315E-2</v>
      </c>
      <c r="CH43" s="30">
        <v>2.8311330372393417E-2</v>
      </c>
      <c r="CI43" s="30">
        <v>4.6503865514133214E-2</v>
      </c>
      <c r="CJ43" s="30">
        <v>1.0492841362962801E-2</v>
      </c>
      <c r="CK43" s="32">
        <v>2.3636721736388422E-2</v>
      </c>
      <c r="CL43" s="32">
        <v>2.1184640382888142E-2</v>
      </c>
      <c r="CM43" s="32">
        <v>6.2471627264342189E-3</v>
      </c>
      <c r="CN43" s="32">
        <v>2.9402382688024975E-2</v>
      </c>
      <c r="CO43" s="32">
        <v>2.6936669599231244E-3</v>
      </c>
      <c r="CP43" s="32">
        <v>6.2483847602516907E-3</v>
      </c>
      <c r="CQ43" s="32">
        <v>-2.4324584154794104E-2</v>
      </c>
      <c r="CR43" s="32">
        <v>-5.4871663272972215E-2</v>
      </c>
      <c r="CS43" s="32">
        <v>5.4992558233870614E-3</v>
      </c>
      <c r="CT43" s="32">
        <v>-5.4484945546485308E-2</v>
      </c>
      <c r="CU43" s="32">
        <v>-5.7203713033631365E-2</v>
      </c>
      <c r="CV43" s="31">
        <v>3.5247879193947229E-2</v>
      </c>
      <c r="CW43" s="30">
        <v>0.19918181536522717</v>
      </c>
      <c r="CX43" s="30">
        <v>0</v>
      </c>
      <c r="CY43" s="30">
        <v>0</v>
      </c>
      <c r="CZ43" s="30">
        <v>0</v>
      </c>
      <c r="DA43" s="30">
        <v>-2.2204460492503131E-16</v>
      </c>
      <c r="DB43" s="30">
        <v>-2.2204460492503131E-16</v>
      </c>
      <c r="DC43" s="30">
        <v>0</v>
      </c>
      <c r="DD43" s="30">
        <v>-2.2204460492503131E-16</v>
      </c>
      <c r="DE43" s="30">
        <v>0</v>
      </c>
      <c r="DF43" s="30">
        <v>0</v>
      </c>
    </row>
    <row r="44" spans="1:110" ht="12" outlineLevel="1">
      <c r="A44" s="1" t="s">
        <v>309</v>
      </c>
      <c r="B44" s="15" t="s">
        <v>219</v>
      </c>
      <c r="C44" s="207" t="e">
        <v>#DIV/0!</v>
      </c>
      <c r="D44" s="207">
        <v>-1.9551170870983126E-2</v>
      </c>
      <c r="E44" s="207">
        <v>-3.0015374733034506E-3</v>
      </c>
      <c r="F44" s="207">
        <v>4.8270825209756341E-2</v>
      </c>
      <c r="G44" s="207">
        <v>6.1963282411290121E-2</v>
      </c>
      <c r="H44" s="207">
        <v>4.3362286998505972E-2</v>
      </c>
      <c r="I44" s="207">
        <v>-7.6310878642618096E-2</v>
      </c>
      <c r="J44" s="207">
        <v>5.2271644686167962E-2</v>
      </c>
      <c r="K44" s="207">
        <v>-2.2744495875855808E-2</v>
      </c>
      <c r="L44" s="207">
        <v>-4.8215171322009379E-2</v>
      </c>
      <c r="M44" s="30">
        <v>-2.4376121368691939E-2</v>
      </c>
      <c r="N44" s="30">
        <v>-5.0632018306526735E-2</v>
      </c>
      <c r="O44" s="30">
        <v>-9.1783581128617175E-3</v>
      </c>
      <c r="P44" s="30">
        <v>6.1160757509987076E-2</v>
      </c>
      <c r="Q44" s="30">
        <v>1.5393776307223828E-2</v>
      </c>
      <c r="R44" s="30">
        <v>-2.6227744704370726E-2</v>
      </c>
      <c r="S44" s="30">
        <v>-5.2358786143597465E-2</v>
      </c>
      <c r="T44" s="32">
        <v>2.572379546626824E-2</v>
      </c>
      <c r="U44" s="30">
        <v>1.0931804952531321E-2</v>
      </c>
      <c r="V44" s="30">
        <v>0.21766606708922742</v>
      </c>
      <c r="W44" s="30">
        <v>2.4247496544606673E-2</v>
      </c>
      <c r="X44" s="30">
        <v>2.3740210369403103E-2</v>
      </c>
      <c r="Y44" s="32">
        <v>7.0829336988671443E-3</v>
      </c>
      <c r="Z44" s="32">
        <v>2.2409233435367271E-2</v>
      </c>
      <c r="AA44" s="139">
        <v>6.7454443900543115E-3</v>
      </c>
      <c r="AB44" s="139">
        <v>3.602929079640349E-2</v>
      </c>
      <c r="AC44" s="139">
        <v>8.1569287340048646E-3</v>
      </c>
      <c r="AD44" s="139">
        <v>8.7389122769221395E-3</v>
      </c>
      <c r="AE44" s="139">
        <v>5.9306541943806579E-3</v>
      </c>
      <c r="AF44" s="139">
        <v>-7.4309439333186345E-2</v>
      </c>
      <c r="AG44" s="139">
        <v>1.1298365057958337E-2</v>
      </c>
      <c r="AH44" s="139">
        <v>-2.0164981404132032E-2</v>
      </c>
      <c r="AI44" s="139">
        <v>-2.385143243767418E-2</v>
      </c>
      <c r="AJ44" s="139">
        <v>-9.6007615865361107E-3</v>
      </c>
      <c r="AK44" s="139">
        <v>2.6719241958079287E-2</v>
      </c>
      <c r="AL44" s="139">
        <v>-3.2226085883625522E-2</v>
      </c>
      <c r="AM44" s="139">
        <v>7.7207656146629278E-2</v>
      </c>
      <c r="AN44" s="139">
        <v>7.8688540167747734E-2</v>
      </c>
      <c r="AO44" s="139">
        <v>-5.6782207984207078E-2</v>
      </c>
      <c r="AP44" s="139">
        <v>-7.6414881955857439E-2</v>
      </c>
      <c r="AQ44" s="139">
        <v>-2.9583296432230677E-2</v>
      </c>
      <c r="AR44" s="139">
        <v>1.9344285193108934E-2</v>
      </c>
      <c r="AS44" s="139">
        <v>-4.4667674157536918E-3</v>
      </c>
      <c r="AT44" s="139">
        <v>-1.2713108269864826E-2</v>
      </c>
      <c r="AU44" s="139">
        <v>-2.1201253962995548E-2</v>
      </c>
      <c r="AV44" s="140">
        <v>-1.4921921957506523E-2</v>
      </c>
      <c r="AW44" s="33">
        <v>7.149914923049086E-2</v>
      </c>
      <c r="AX44" s="33">
        <v>0</v>
      </c>
      <c r="AY44" s="33">
        <v>0</v>
      </c>
      <c r="AZ44" s="33">
        <v>0</v>
      </c>
      <c r="BA44" s="33">
        <v>0</v>
      </c>
      <c r="BB44" s="33">
        <v>0</v>
      </c>
      <c r="BC44" s="33">
        <v>0</v>
      </c>
      <c r="BD44" s="33">
        <v>0</v>
      </c>
      <c r="BE44" s="33">
        <v>0</v>
      </c>
      <c r="BF44" s="33">
        <v>0</v>
      </c>
      <c r="BG44" s="33">
        <v>0</v>
      </c>
      <c r="BH44" s="33">
        <v>0</v>
      </c>
      <c r="BI44" s="33">
        <v>0</v>
      </c>
      <c r="BJ44" s="33">
        <v>0</v>
      </c>
      <c r="BK44" s="33">
        <v>0</v>
      </c>
      <c r="BL44" s="33">
        <v>0</v>
      </c>
      <c r="BM44" s="33">
        <v>0</v>
      </c>
      <c r="BN44" s="33">
        <v>0</v>
      </c>
      <c r="BO44" s="33">
        <v>0</v>
      </c>
      <c r="BP44" s="30"/>
      <c r="BQ44" s="207" t="e">
        <v>#DIV/0!</v>
      </c>
      <c r="BR44" s="207">
        <v>-2.3644309194343349E-2</v>
      </c>
      <c r="BS44" s="207">
        <v>3.5920332022973733E-2</v>
      </c>
      <c r="BT44" s="207">
        <v>2.5037273994596321E-2</v>
      </c>
      <c r="BU44" s="207">
        <v>3.6093841257699433E-2</v>
      </c>
      <c r="BV44" s="207">
        <v>4.4922241106204241E-2</v>
      </c>
      <c r="BW44" s="207">
        <v>0.1116571636382504</v>
      </c>
      <c r="BX44" s="207">
        <v>5.62034201482704E-2</v>
      </c>
      <c r="BY44" s="207">
        <v>4.1296067466305875E-2</v>
      </c>
      <c r="BZ44" s="207">
        <v>-3.2147028586997362E-3</v>
      </c>
      <c r="CA44" s="30">
        <v>-2.1627593478994234E-2</v>
      </c>
      <c r="CB44" s="30">
        <v>0.11684131857630686</v>
      </c>
      <c r="CC44" s="30">
        <v>-3.6328814465946602E-2</v>
      </c>
      <c r="CD44" s="30">
        <v>3.1019356703583467E-2</v>
      </c>
      <c r="CE44" s="30">
        <v>-7.6916505474272201E-2</v>
      </c>
      <c r="CF44" s="30">
        <v>-6.6270372518137499E-2</v>
      </c>
      <c r="CG44" s="30">
        <v>8.1777173094406574E-2</v>
      </c>
      <c r="CH44" s="30">
        <v>-7.6233773452542564E-2</v>
      </c>
      <c r="CI44" s="30">
        <v>3.6332121192840905E-2</v>
      </c>
      <c r="CJ44" s="30">
        <v>0.24558955071179656</v>
      </c>
      <c r="CK44" s="32">
        <v>3.1642232105512758E-2</v>
      </c>
      <c r="CL44" s="32">
        <v>2.9562294215520257E-2</v>
      </c>
      <c r="CM44" s="32">
        <v>4.5444557689738874E-2</v>
      </c>
      <c r="CN44" s="32">
        <v>1.5184768653213387E-2</v>
      </c>
      <c r="CO44" s="32">
        <v>-6.4731220353924201E-2</v>
      </c>
      <c r="CP44" s="32">
        <v>-4.4426512177526689E-2</v>
      </c>
      <c r="CQ44" s="32">
        <v>1.6973242174466607E-2</v>
      </c>
      <c r="CR44" s="32">
        <v>4.36680014187254E-2</v>
      </c>
      <c r="CS44" s="32">
        <v>1.3132943088888238E-2</v>
      </c>
      <c r="CT44" s="32">
        <v>-0.10670265543841428</v>
      </c>
      <c r="CU44" s="32">
        <v>1.6053562150601275E-2</v>
      </c>
      <c r="CV44" s="31">
        <v>-3.4682969505558159E-2</v>
      </c>
      <c r="CW44" s="30">
        <v>5.7602541114733175E-2</v>
      </c>
      <c r="CX44" s="30">
        <v>0</v>
      </c>
      <c r="CY44" s="30">
        <v>0</v>
      </c>
      <c r="CZ44" s="30">
        <v>0</v>
      </c>
      <c r="DA44" s="30">
        <v>0</v>
      </c>
      <c r="DB44" s="30">
        <v>-2.2204460492503131E-16</v>
      </c>
      <c r="DC44" s="30">
        <v>0</v>
      </c>
      <c r="DD44" s="30">
        <v>0</v>
      </c>
      <c r="DE44" s="30">
        <v>0</v>
      </c>
      <c r="DF44" s="30">
        <v>0</v>
      </c>
    </row>
    <row r="45" spans="1:110" ht="12" outlineLevel="1">
      <c r="A45" s="1" t="s">
        <v>310</v>
      </c>
      <c r="B45" s="15" t="s">
        <v>220</v>
      </c>
      <c r="C45" s="207" t="e">
        <v>#VALUE!</v>
      </c>
      <c r="D45" s="207">
        <v>-2.9090926506754045E-3</v>
      </c>
      <c r="E45" s="207">
        <v>2.108814395284031E-2</v>
      </c>
      <c r="F45" s="207">
        <v>1.1998482107675956E-2</v>
      </c>
      <c r="G45" s="207">
        <v>-4.773402094072976E-2</v>
      </c>
      <c r="H45" s="207">
        <v>-3.8826200787090759E-2</v>
      </c>
      <c r="I45" s="207">
        <v>-1.0239415717776978E-2</v>
      </c>
      <c r="J45" s="207">
        <v>2.9629404442670371E-3</v>
      </c>
      <c r="K45" s="207">
        <v>6.4365773650599811E-2</v>
      </c>
      <c r="L45" s="207">
        <v>4.3777179802213295E-2</v>
      </c>
      <c r="M45" s="30">
        <v>-1.7621514131376914E-2</v>
      </c>
      <c r="N45" s="30">
        <v>3.0293593717950706E-2</v>
      </c>
      <c r="O45" s="30">
        <v>-4.1293538175413147E-4</v>
      </c>
      <c r="P45" s="30">
        <v>-0.18603862039259267</v>
      </c>
      <c r="Q45" s="30">
        <v>6.0234068650335537E-2</v>
      </c>
      <c r="R45" s="30">
        <v>8.7426027180561472E-2</v>
      </c>
      <c r="S45" s="30">
        <v>4.1134465814400389E-2</v>
      </c>
      <c r="T45" s="32">
        <v>3.4507095282038103E-2</v>
      </c>
      <c r="U45" s="30">
        <v>-2.4573153965041783E-3</v>
      </c>
      <c r="V45" s="30">
        <v>2.9405710049222211E-2</v>
      </c>
      <c r="W45" s="30">
        <v>1.9730599042971142E-2</v>
      </c>
      <c r="X45" s="30">
        <v>1.2610310538236802E-2</v>
      </c>
      <c r="Y45" s="32">
        <v>-2.0110105140672574E-2</v>
      </c>
      <c r="Z45" s="32">
        <v>2.7109239838180033E-2</v>
      </c>
      <c r="AA45" s="139">
        <v>2.655868613118284E-2</v>
      </c>
      <c r="AB45" s="139">
        <v>-4.2644271775008735E-2</v>
      </c>
      <c r="AC45" s="139">
        <v>-1.3367351707220587E-2</v>
      </c>
      <c r="AD45" s="139">
        <v>3.8769798127849198E-2</v>
      </c>
      <c r="AE45" s="139">
        <v>-9.4302066175836474E-3</v>
      </c>
      <c r="AF45" s="139">
        <v>1.6063953339028991E-2</v>
      </c>
      <c r="AG45" s="139">
        <v>-7.5663524684134176E-3</v>
      </c>
      <c r="AH45" s="139">
        <v>-5.4476833473794395E-3</v>
      </c>
      <c r="AI45" s="139">
        <v>-3.1043123640696391E-2</v>
      </c>
      <c r="AJ45" s="139">
        <v>6.4942593714518715E-3</v>
      </c>
      <c r="AK45" s="139">
        <v>-3.850812174019036E-2</v>
      </c>
      <c r="AL45" s="139">
        <v>-2.7710733908685059E-2</v>
      </c>
      <c r="AM45" s="139">
        <v>-4.1568113870535606E-2</v>
      </c>
      <c r="AN45" s="139">
        <v>-1.7342115601312373E-2</v>
      </c>
      <c r="AO45" s="139">
        <v>-0.11566370482391475</v>
      </c>
      <c r="AP45" s="139">
        <v>2.1484724117195597E-2</v>
      </c>
      <c r="AQ45" s="139">
        <v>-7.339969518870737E-2</v>
      </c>
      <c r="AR45" s="139">
        <v>1.4397440300458308E-2</v>
      </c>
      <c r="AS45" s="139">
        <v>-2.3079440498275372E-2</v>
      </c>
      <c r="AT45" s="139">
        <v>-8.2207114227119682E-3</v>
      </c>
      <c r="AU45" s="139">
        <v>-3.7090872406770448E-2</v>
      </c>
      <c r="AV45" s="140">
        <v>-2.3390684605295586E-3</v>
      </c>
      <c r="AW45" s="33">
        <v>3.2658179408243536E-3</v>
      </c>
      <c r="AX45" s="33">
        <v>0</v>
      </c>
      <c r="AY45" s="33">
        <v>0</v>
      </c>
      <c r="AZ45" s="33">
        <v>0</v>
      </c>
      <c r="BA45" s="33">
        <v>0</v>
      </c>
      <c r="BB45" s="33">
        <v>0</v>
      </c>
      <c r="BC45" s="33">
        <v>0</v>
      </c>
      <c r="BD45" s="33">
        <v>0</v>
      </c>
      <c r="BE45" s="33">
        <v>0</v>
      </c>
      <c r="BF45" s="33">
        <v>0</v>
      </c>
      <c r="BG45" s="33">
        <v>0</v>
      </c>
      <c r="BH45" s="33">
        <v>0</v>
      </c>
      <c r="BI45" s="33">
        <v>0</v>
      </c>
      <c r="BJ45" s="33">
        <v>0</v>
      </c>
      <c r="BK45" s="33">
        <v>0</v>
      </c>
      <c r="BL45" s="33">
        <v>0</v>
      </c>
      <c r="BM45" s="33">
        <v>0</v>
      </c>
      <c r="BN45" s="33">
        <v>0</v>
      </c>
      <c r="BO45" s="33">
        <v>0</v>
      </c>
      <c r="BP45" s="30"/>
      <c r="BQ45" s="207" t="e">
        <v>#DIV/0!</v>
      </c>
      <c r="BR45" s="207">
        <v>4.0155372929167155E-2</v>
      </c>
      <c r="BS45" s="207">
        <v>-1.033507452231941E-2</v>
      </c>
      <c r="BT45" s="207">
        <v>5.4391253467749978E-2</v>
      </c>
      <c r="BU45" s="207">
        <v>-3.5103112336740683E-2</v>
      </c>
      <c r="BV45" s="207">
        <v>-0.19608124506262103</v>
      </c>
      <c r="BW45" s="207">
        <v>8.5682590039959372E-2</v>
      </c>
      <c r="BX45" s="207">
        <v>0.23099857962684367</v>
      </c>
      <c r="BY45" s="207">
        <v>0.31778312535213105</v>
      </c>
      <c r="BZ45" s="207">
        <v>1.91400702440927E-2</v>
      </c>
      <c r="CA45" s="30">
        <v>2.9717105681077438E-3</v>
      </c>
      <c r="CB45" s="30">
        <v>-3.7573559965229375E-2</v>
      </c>
      <c r="CC45" s="30">
        <v>-5.1305499682765099E-2</v>
      </c>
      <c r="CD45" s="30">
        <v>7.2188878831281444E-2</v>
      </c>
      <c r="CE45" s="30">
        <v>2.7523600364355971E-2</v>
      </c>
      <c r="CF45" s="30">
        <v>3.1863223566031884E-2</v>
      </c>
      <c r="CG45" s="30">
        <v>-0.13289044958460161</v>
      </c>
      <c r="CH45" s="30">
        <v>0.12993713497906689</v>
      </c>
      <c r="CI45" s="30">
        <v>3.2101632491968513E-2</v>
      </c>
      <c r="CJ45" s="30">
        <v>4.9463535532108693E-2</v>
      </c>
      <c r="CK45" s="32">
        <v>-7.7809984416941091E-3</v>
      </c>
      <c r="CL45" s="32">
        <v>5.4571748938826659E-2</v>
      </c>
      <c r="CM45" s="32">
        <v>-5.5864538560852495E-2</v>
      </c>
      <c r="CN45" s="32">
        <v>2.8932390713534595E-2</v>
      </c>
      <c r="CO45" s="32">
        <v>8.3358053663518117E-3</v>
      </c>
      <c r="CP45" s="32">
        <v>-3.6127779560483964E-2</v>
      </c>
      <c r="CQ45" s="32">
        <v>-3.1972610344657815E-2</v>
      </c>
      <c r="CR45" s="32">
        <v>-6.6620314073849496E-2</v>
      </c>
      <c r="CS45" s="32">
        <v>-0.12390706426360598</v>
      </c>
      <c r="CT45" s="32">
        <v>-5.2385141002028512E-2</v>
      </c>
      <c r="CU45" s="32">
        <v>-8.9826026791426372E-3</v>
      </c>
      <c r="CV45" s="31">
        <v>-4.5109338415357692E-2</v>
      </c>
      <c r="CW45" s="30">
        <v>9.3156027470819858E-4</v>
      </c>
      <c r="CX45" s="30">
        <v>0</v>
      </c>
      <c r="CY45" s="30">
        <v>0</v>
      </c>
      <c r="CZ45" s="30">
        <v>2.2204460492503131E-16</v>
      </c>
      <c r="DA45" s="30">
        <v>0</v>
      </c>
      <c r="DB45" s="30">
        <v>0</v>
      </c>
      <c r="DC45" s="30">
        <v>0</v>
      </c>
      <c r="DD45" s="30">
        <v>0</v>
      </c>
      <c r="DE45" s="30">
        <v>2.2204460492503131E-16</v>
      </c>
      <c r="DF45" s="30">
        <v>0</v>
      </c>
    </row>
    <row r="46" spans="1:110" ht="12" outlineLevel="1">
      <c r="A46" s="1" t="s">
        <v>311</v>
      </c>
      <c r="B46" s="15" t="s">
        <v>221</v>
      </c>
      <c r="C46" s="207" t="e">
        <v>#VALUE!</v>
      </c>
      <c r="D46" s="207">
        <v>-4.4907247515885484E-2</v>
      </c>
      <c r="E46" s="207">
        <v>-4.4432128478711697E-2</v>
      </c>
      <c r="F46" s="207">
        <v>-4.412663758497426E-2</v>
      </c>
      <c r="G46" s="207">
        <v>-3.4317043209703968E-2</v>
      </c>
      <c r="H46" s="207">
        <v>1.5979624801116039</v>
      </c>
      <c r="I46" s="207">
        <v>-3.2149319451471037E-2</v>
      </c>
      <c r="J46" s="207">
        <v>-9.890735618279578E-3</v>
      </c>
      <c r="K46" s="207">
        <v>-1.4666111872186693E-2</v>
      </c>
      <c r="L46" s="207">
        <v>-2.9291817971472955E-3</v>
      </c>
      <c r="M46" s="30">
        <v>-3.5448391203165563E-3</v>
      </c>
      <c r="N46" s="30">
        <v>-8.0391170775655496E-3</v>
      </c>
      <c r="O46" s="30">
        <v>7.9271280130857047E-3</v>
      </c>
      <c r="P46" s="30">
        <v>1.3681119810696973E-2</v>
      </c>
      <c r="Q46" s="30">
        <v>1.3776180401980476E-2</v>
      </c>
      <c r="R46" s="30">
        <v>4.1793068305913117E-3</v>
      </c>
      <c r="S46" s="30">
        <v>-2.731636849029706E-2</v>
      </c>
      <c r="T46" s="32">
        <v>-2.0514888810020393E-2</v>
      </c>
      <c r="U46" s="30">
        <v>-2.1884983394671043E-3</v>
      </c>
      <c r="V46" s="30">
        <v>-5.084839293441723E-3</v>
      </c>
      <c r="W46" s="30">
        <v>-1.4776792564008656E-2</v>
      </c>
      <c r="X46" s="30">
        <v>-7.5070173492668424E-3</v>
      </c>
      <c r="Y46" s="32">
        <v>1.8179550648991682E-2</v>
      </c>
      <c r="Z46" s="32">
        <v>-3.1220776151790197E-3</v>
      </c>
      <c r="AA46" s="139">
        <v>2.915893546287851E-3</v>
      </c>
      <c r="AB46" s="139">
        <v>3.4549446586824573E-3</v>
      </c>
      <c r="AC46" s="139">
        <v>1.5739587372731734E-3</v>
      </c>
      <c r="AD46" s="139">
        <v>5.1761440141391279E-3</v>
      </c>
      <c r="AE46" s="139">
        <v>1.6178277842104016E-2</v>
      </c>
      <c r="AF46" s="139">
        <v>1.0687118525223305E-3</v>
      </c>
      <c r="AG46" s="139">
        <v>-1.0156299376123945E-2</v>
      </c>
      <c r="AH46" s="139">
        <v>-1.3298733883954084E-2</v>
      </c>
      <c r="AI46" s="139">
        <v>-3.8075806610269325E-3</v>
      </c>
      <c r="AJ46" s="139">
        <v>-6.9315839773718135E-3</v>
      </c>
      <c r="AK46" s="139">
        <v>-3.6408666620026953E-3</v>
      </c>
      <c r="AL46" s="139">
        <v>-3.4283082590651492E-3</v>
      </c>
      <c r="AM46" s="139">
        <v>-1.1190860070040554E-2</v>
      </c>
      <c r="AN46" s="139">
        <v>-2.0706949747515413E-3</v>
      </c>
      <c r="AO46" s="139">
        <v>-9.2958344946569849E-3</v>
      </c>
      <c r="AP46" s="139">
        <v>7.453808371427062E-4</v>
      </c>
      <c r="AQ46" s="139">
        <v>-1.2086436592583683E-2</v>
      </c>
      <c r="AR46" s="139">
        <v>5.9451964005188263E-3</v>
      </c>
      <c r="AS46" s="139">
        <v>-8.8629615891260283E-3</v>
      </c>
      <c r="AT46" s="139">
        <v>-1.1722935760937636E-2</v>
      </c>
      <c r="AU46" s="139">
        <v>1.2248910220825415E-2</v>
      </c>
      <c r="AV46" s="140">
        <v>3.1670028717105669E-3</v>
      </c>
      <c r="AW46" s="33">
        <v>0</v>
      </c>
      <c r="AX46" s="33">
        <v>0</v>
      </c>
      <c r="AY46" s="33">
        <v>0</v>
      </c>
      <c r="AZ46" s="33">
        <v>0</v>
      </c>
      <c r="BA46" s="33">
        <v>0</v>
      </c>
      <c r="BB46" s="33">
        <v>0</v>
      </c>
      <c r="BC46" s="33">
        <v>0</v>
      </c>
      <c r="BD46" s="33">
        <v>0</v>
      </c>
      <c r="BE46" s="33">
        <v>0</v>
      </c>
      <c r="BF46" s="33">
        <v>0</v>
      </c>
      <c r="BG46" s="33">
        <v>0</v>
      </c>
      <c r="BH46" s="33">
        <v>0</v>
      </c>
      <c r="BI46" s="33">
        <v>0</v>
      </c>
      <c r="BJ46" s="33">
        <v>0</v>
      </c>
      <c r="BK46" s="33">
        <v>0</v>
      </c>
      <c r="BL46" s="33">
        <v>0</v>
      </c>
      <c r="BM46" s="33">
        <v>0</v>
      </c>
      <c r="BN46" s="33">
        <v>0</v>
      </c>
      <c r="BO46" s="33">
        <v>0</v>
      </c>
      <c r="BP46" s="30"/>
      <c r="BQ46" s="207" t="e">
        <v>#DIV/0!</v>
      </c>
      <c r="BR46" s="207">
        <v>-7.8302222658656384E-2</v>
      </c>
      <c r="BS46" s="207">
        <v>4.658444916222293E-2</v>
      </c>
      <c r="BT46" s="207">
        <v>0.17445101359557924</v>
      </c>
      <c r="BU46" s="207">
        <v>0.14675724653038591</v>
      </c>
      <c r="BV46" s="207">
        <v>0.13078477935865385</v>
      </c>
      <c r="BW46" s="207">
        <v>0.14913085709262219</v>
      </c>
      <c r="BX46" s="207">
        <v>-1.9277499796595876E-2</v>
      </c>
      <c r="BY46" s="207">
        <v>9.4961655344697693E-2</v>
      </c>
      <c r="BZ46" s="207">
        <v>-2.6396719025811644E-2</v>
      </c>
      <c r="CA46" s="30">
        <v>-9.1164016709054718E-2</v>
      </c>
      <c r="CB46" s="30">
        <v>-8.2491835683774495E-2</v>
      </c>
      <c r="CC46" s="30">
        <v>1.6290786454187547</v>
      </c>
      <c r="CD46" s="30">
        <v>-2.6347837472297631E-2</v>
      </c>
      <c r="CE46" s="30">
        <v>-6.8969416626234459E-3</v>
      </c>
      <c r="CF46" s="30">
        <v>-6.845853099957111E-5</v>
      </c>
      <c r="CG46" s="30">
        <v>2.856891575164755E-2</v>
      </c>
      <c r="CH46" s="30">
        <v>-2.3529465691634499E-2</v>
      </c>
      <c r="CI46" s="30">
        <v>-2.2882843201631475E-2</v>
      </c>
      <c r="CJ46" s="30">
        <v>-1.9901915212255927E-2</v>
      </c>
      <c r="CK46" s="32">
        <v>1.0556403832521877E-2</v>
      </c>
      <c r="CL46" s="32">
        <v>-2.259879758585992E-4</v>
      </c>
      <c r="CM46" s="32">
        <v>5.1454725507222854E-3</v>
      </c>
      <c r="CN46" s="32">
        <v>2.2088960404134994E-2</v>
      </c>
      <c r="CO46" s="32">
        <v>-9.434625304402644E-3</v>
      </c>
      <c r="CP46" s="32">
        <v>-1.7570458220610874E-2</v>
      </c>
      <c r="CQ46" s="32">
        <v>-1.0859452998058128E-2</v>
      </c>
      <c r="CR46" s="32">
        <v>-1.5049250521343094E-2</v>
      </c>
      <c r="CS46" s="32">
        <v>-1.1743648447446242E-2</v>
      </c>
      <c r="CT46" s="32">
        <v>-1.2094340395470526E-2</v>
      </c>
      <c r="CU46" s="32">
        <v>-3.1818854433509625E-3</v>
      </c>
      <c r="CV46" s="31">
        <v>4.0964417739175474E-4</v>
      </c>
      <c r="CW46" s="30">
        <v>3.2256668619947693E-3</v>
      </c>
      <c r="CX46" s="30">
        <v>0</v>
      </c>
      <c r="CY46" s="30">
        <v>0</v>
      </c>
      <c r="CZ46" s="30">
        <v>0</v>
      </c>
      <c r="DA46" s="30">
        <v>2.2204460492503131E-16</v>
      </c>
      <c r="DB46" s="30">
        <v>0</v>
      </c>
      <c r="DC46" s="30">
        <v>2.2204460492503131E-16</v>
      </c>
      <c r="DD46" s="30">
        <v>0</v>
      </c>
      <c r="DE46" s="30">
        <v>0</v>
      </c>
      <c r="DF46" s="30">
        <v>2.2204460492503131E-16</v>
      </c>
    </row>
    <row r="47" spans="1:110" ht="12" outlineLevel="1">
      <c r="A47" s="1" t="s">
        <v>312</v>
      </c>
      <c r="B47" s="15" t="s">
        <v>318</v>
      </c>
      <c r="C47" s="207" t="e">
        <v>#VALUE!</v>
      </c>
      <c r="D47" s="207">
        <v>-1.377303214282688E-2</v>
      </c>
      <c r="E47" s="207">
        <v>3.8829994314967475E-2</v>
      </c>
      <c r="F47" s="207">
        <v>1.7154828122487586E-3</v>
      </c>
      <c r="G47" s="207">
        <v>4.0312958558841316E-4</v>
      </c>
      <c r="H47" s="207">
        <v>0.95793552794397541</v>
      </c>
      <c r="I47" s="207">
        <v>-4.5791800893839274E-2</v>
      </c>
      <c r="J47" s="207">
        <v>-6.4439984714150148E-2</v>
      </c>
      <c r="K47" s="207">
        <v>-7.5652978863079645E-2</v>
      </c>
      <c r="L47" s="207">
        <v>8.7299840873971135E-3</v>
      </c>
      <c r="M47" s="30">
        <v>-4.3787220929336401E-2</v>
      </c>
      <c r="N47" s="30">
        <v>-1.4660844202925905E-2</v>
      </c>
      <c r="O47" s="30">
        <v>-7.2614153919607904E-2</v>
      </c>
      <c r="P47" s="30">
        <v>-8.3204066763116202E-3</v>
      </c>
      <c r="Q47" s="30">
        <v>-6.9211076050429865E-2</v>
      </c>
      <c r="R47" s="30">
        <v>-1.5398432832993469E-2</v>
      </c>
      <c r="S47" s="30">
        <v>-1.1017579770622565E-2</v>
      </c>
      <c r="T47" s="32">
        <v>3.8146924705707463E-2</v>
      </c>
      <c r="U47" s="30">
        <v>-2.5303205890080172E-2</v>
      </c>
      <c r="V47" s="30">
        <v>-8.8017124687161941E-3</v>
      </c>
      <c r="W47" s="30">
        <v>-2.0654301037471789E-2</v>
      </c>
      <c r="X47" s="30">
        <v>-2.0658115974567126E-2</v>
      </c>
      <c r="Y47" s="32">
        <v>-2.2393974007913764E-2</v>
      </c>
      <c r="Z47" s="32">
        <v>-1.3785712540927308E-2</v>
      </c>
      <c r="AA47" s="139">
        <v>1.9647165893654783E-2</v>
      </c>
      <c r="AB47" s="139">
        <v>3.459753191849968E-2</v>
      </c>
      <c r="AC47" s="139">
        <v>1.4102786962577163E-2</v>
      </c>
      <c r="AD47" s="139">
        <v>-8.0807680507843926E-4</v>
      </c>
      <c r="AE47" s="139">
        <v>4.5815591483946427E-3</v>
      </c>
      <c r="AF47" s="139">
        <v>-5.1211632217600389E-2</v>
      </c>
      <c r="AG47" s="139">
        <v>-3.3007662788032799E-2</v>
      </c>
      <c r="AH47" s="139">
        <v>-2.4416659622236936E-2</v>
      </c>
      <c r="AI47" s="139">
        <v>-2.2454249701317042E-2</v>
      </c>
      <c r="AJ47" s="139">
        <v>-9.7202487094727452E-4</v>
      </c>
      <c r="AK47" s="139">
        <v>-4.264746580265999E-2</v>
      </c>
      <c r="AL47" s="139">
        <v>-3.8215091827048853E-2</v>
      </c>
      <c r="AM47" s="139">
        <v>-6.3606331742080857E-2</v>
      </c>
      <c r="AN47" s="139">
        <v>-0.11465146166172202</v>
      </c>
      <c r="AO47" s="139">
        <v>-3.477348949238579E-2</v>
      </c>
      <c r="AP47" s="139">
        <v>7.6697761056639946E-3</v>
      </c>
      <c r="AQ47" s="139">
        <v>-0.12650015686429827</v>
      </c>
      <c r="AR47" s="139">
        <v>2.6143195448242063E-2</v>
      </c>
      <c r="AS47" s="139">
        <v>2.3692269674007171E-3</v>
      </c>
      <c r="AT47" s="139">
        <v>4.1567311161862186E-2</v>
      </c>
      <c r="AU47" s="139">
        <v>-1.3690574427157709E-2</v>
      </c>
      <c r="AV47" s="140">
        <v>-6.4330864200516924E-3</v>
      </c>
      <c r="AW47" s="33">
        <v>0</v>
      </c>
      <c r="AX47" s="33">
        <v>0</v>
      </c>
      <c r="AY47" s="33">
        <v>0</v>
      </c>
      <c r="AZ47" s="33">
        <v>0</v>
      </c>
      <c r="BA47" s="33">
        <v>0</v>
      </c>
      <c r="BB47" s="33">
        <v>0</v>
      </c>
      <c r="BC47" s="33">
        <v>0</v>
      </c>
      <c r="BD47" s="33">
        <v>0</v>
      </c>
      <c r="BE47" s="33">
        <v>0</v>
      </c>
      <c r="BF47" s="33">
        <v>0</v>
      </c>
      <c r="BG47" s="33">
        <v>0</v>
      </c>
      <c r="BH47" s="33">
        <v>0</v>
      </c>
      <c r="BI47" s="33">
        <v>0</v>
      </c>
      <c r="BJ47" s="33">
        <v>0</v>
      </c>
      <c r="BK47" s="33">
        <v>0</v>
      </c>
      <c r="BL47" s="33">
        <v>0</v>
      </c>
      <c r="BM47" s="33">
        <v>0</v>
      </c>
      <c r="BN47" s="33">
        <v>0</v>
      </c>
      <c r="BO47" s="33">
        <v>0</v>
      </c>
      <c r="BP47" s="30"/>
      <c r="BQ47" s="207" t="e">
        <v>#DIV/0!</v>
      </c>
      <c r="BR47" s="207">
        <v>-7.8302222658656606E-2</v>
      </c>
      <c r="BS47" s="207">
        <v>4.6584449162222707E-2</v>
      </c>
      <c r="BT47" s="207">
        <v>0.17445101359557902</v>
      </c>
      <c r="BU47" s="207">
        <v>0.14675724653038591</v>
      </c>
      <c r="BV47" s="207">
        <v>0.13078477935865407</v>
      </c>
      <c r="BW47" s="207">
        <v>0.14913085709262219</v>
      </c>
      <c r="BX47" s="207">
        <v>-1.1088204420089509E-2</v>
      </c>
      <c r="BY47" s="207">
        <v>0.34046277074629971</v>
      </c>
      <c r="BZ47" s="207">
        <v>0.14815736821652936</v>
      </c>
      <c r="CA47" s="30">
        <v>2.655834889068287E-2</v>
      </c>
      <c r="CB47" s="30">
        <v>2.1368538444981322E-3</v>
      </c>
      <c r="CC47" s="30">
        <v>0.8903182151692941</v>
      </c>
      <c r="CD47" s="30">
        <v>-0.14672189787018941</v>
      </c>
      <c r="CE47" s="30">
        <v>-3.7573365133271475E-2</v>
      </c>
      <c r="CF47" s="30">
        <v>-9.2532542699574005E-2</v>
      </c>
      <c r="CG47" s="30">
        <v>-8.2045500418908679E-2</v>
      </c>
      <c r="CH47" s="30">
        <v>-2.6271685061599048E-2</v>
      </c>
      <c r="CI47" s="30">
        <v>1.2774785622080564E-2</v>
      </c>
      <c r="CJ47" s="30">
        <v>-2.9494170268055564E-2</v>
      </c>
      <c r="CK47" s="32">
        <v>-4.3992543687054075E-2</v>
      </c>
      <c r="CL47" s="32">
        <v>6.0135687540381344E-3</v>
      </c>
      <c r="CM47" s="32">
        <v>5.0098411142986743E-2</v>
      </c>
      <c r="CN47" s="32">
        <v>3.9255830270015224E-3</v>
      </c>
      <c r="CO47" s="32">
        <v>-8.5193877782529737E-2</v>
      </c>
      <c r="CP47" s="32">
        <v>-4.7081205653199176E-2</v>
      </c>
      <c r="CQ47" s="32">
        <v>-4.418633568554764E-2</v>
      </c>
      <c r="CR47" s="32">
        <v>-0.10209078176090036</v>
      </c>
      <c r="CS47" s="32">
        <v>-0.14015120410524951</v>
      </c>
      <c r="CT47" s="32">
        <v>-0.11744614072579529</v>
      </c>
      <c r="CU47" s="32">
        <v>3.0070552243102622E-2</v>
      </c>
      <c r="CV47" s="31">
        <v>2.8048003633704632E-2</v>
      </c>
      <c r="CW47" s="30">
        <v>-6.3873684989836921E-3</v>
      </c>
      <c r="CX47" s="30">
        <v>-2.2204460492503131E-16</v>
      </c>
      <c r="CY47" s="30">
        <v>0</v>
      </c>
      <c r="CZ47" s="30">
        <v>-2.2204460492503131E-16</v>
      </c>
      <c r="DA47" s="30">
        <v>0</v>
      </c>
      <c r="DB47" s="30">
        <v>0</v>
      </c>
      <c r="DC47" s="30">
        <v>-2.2204460492503131E-16</v>
      </c>
      <c r="DD47" s="30">
        <v>0</v>
      </c>
      <c r="DE47" s="30">
        <v>0</v>
      </c>
      <c r="DF47" s="30">
        <v>2.2204460492503131E-16</v>
      </c>
    </row>
    <row r="48" spans="1:110" ht="12" outlineLevel="1">
      <c r="A48" s="1" t="s">
        <v>313</v>
      </c>
      <c r="B48" s="15" t="s">
        <v>319</v>
      </c>
      <c r="C48" s="207" t="e">
        <v>#VALUE!</v>
      </c>
      <c r="D48" s="207">
        <v>4.4118396899857082E-3</v>
      </c>
      <c r="E48" s="207">
        <v>0.11521230650518266</v>
      </c>
      <c r="F48" s="207">
        <v>0.16068060244343618</v>
      </c>
      <c r="G48" s="207">
        <v>0.20254874180691518</v>
      </c>
      <c r="H48" s="207">
        <v>0.19047327858393515</v>
      </c>
      <c r="I48" s="207">
        <v>0.13846022138705072</v>
      </c>
      <c r="J48" s="207">
        <v>0.2050199124094616</v>
      </c>
      <c r="K48" s="207">
        <v>0.12646895619022791</v>
      </c>
      <c r="L48" s="207">
        <v>9.981572481572476E-2</v>
      </c>
      <c r="M48" s="30">
        <v>0.15379993737994302</v>
      </c>
      <c r="N48" s="30">
        <v>0.19463554043085818</v>
      </c>
      <c r="O48" s="30">
        <v>0.34020559786201843</v>
      </c>
      <c r="P48" s="30">
        <v>0.24055868700265237</v>
      </c>
      <c r="Q48" s="30">
        <v>0.20196644416381027</v>
      </c>
      <c r="R48" s="30">
        <v>3.6414206247325609E-2</v>
      </c>
      <c r="S48" s="30">
        <v>8.524939684677113E-2</v>
      </c>
      <c r="T48" s="32">
        <v>3.4256153652860721E-2</v>
      </c>
      <c r="U48" s="30">
        <v>0.25105501946306252</v>
      </c>
      <c r="V48" s="30">
        <v>0.22977628902497838</v>
      </c>
      <c r="W48" s="30">
        <v>0.13342869931288104</v>
      </c>
      <c r="X48" s="30">
        <v>0.26537089821460436</v>
      </c>
      <c r="Y48" s="32">
        <v>0.18682508926145736</v>
      </c>
      <c r="Z48" s="32">
        <v>0.12476185029338605</v>
      </c>
      <c r="AA48" s="139">
        <v>0.14040823938185154</v>
      </c>
      <c r="AB48" s="139">
        <v>4.785836961736889E-2</v>
      </c>
      <c r="AC48" s="139">
        <v>3.7957505972837202E-2</v>
      </c>
      <c r="AD48" s="139">
        <v>-5.3817558590270348E-2</v>
      </c>
      <c r="AE48" s="139">
        <v>-5.99119085792785E-2</v>
      </c>
      <c r="AF48" s="139">
        <v>-2.5236114976596252E-2</v>
      </c>
      <c r="AG48" s="139">
        <v>-8.404256395175877E-2</v>
      </c>
      <c r="AH48" s="139">
        <v>-8.980423654892819E-2</v>
      </c>
      <c r="AI48" s="139">
        <v>-0.65022570612853425</v>
      </c>
      <c r="AJ48" s="139">
        <v>-0.75128757588359529</v>
      </c>
      <c r="AK48" s="139">
        <v>-5.0279929451219028E-2</v>
      </c>
      <c r="AL48" s="139">
        <v>-5.306165929977421E-2</v>
      </c>
      <c r="AM48" s="139">
        <v>-0.41682548632647315</v>
      </c>
      <c r="AN48" s="139">
        <v>-7.4564173611404855E-2</v>
      </c>
      <c r="AO48" s="139">
        <v>1.7945890878020378E-2</v>
      </c>
      <c r="AP48" s="139">
        <v>-8.2436960529683398E-3</v>
      </c>
      <c r="AQ48" s="139">
        <v>-7.2291480820695891E-2</v>
      </c>
      <c r="AR48" s="139">
        <v>-3.9784522740916782E-2</v>
      </c>
      <c r="AS48" s="139">
        <v>-0.12424325021773483</v>
      </c>
      <c r="AT48" s="139">
        <v>-3.7298410811388925E-2</v>
      </c>
      <c r="AU48" s="139">
        <v>-0.16764569349476185</v>
      </c>
      <c r="AV48" s="140">
        <v>-3.1475744631890921E-2</v>
      </c>
      <c r="AW48" s="33">
        <v>0</v>
      </c>
      <c r="AX48" s="33">
        <v>0</v>
      </c>
      <c r="AY48" s="33">
        <v>0</v>
      </c>
      <c r="AZ48" s="33">
        <v>0</v>
      </c>
      <c r="BA48" s="33">
        <v>0</v>
      </c>
      <c r="BB48" s="33">
        <v>0</v>
      </c>
      <c r="BC48" s="33">
        <v>0</v>
      </c>
      <c r="BD48" s="33">
        <v>0</v>
      </c>
      <c r="BE48" s="33">
        <v>0</v>
      </c>
      <c r="BF48" s="33">
        <v>0</v>
      </c>
      <c r="BG48" s="33">
        <v>0</v>
      </c>
      <c r="BH48" s="33">
        <v>0</v>
      </c>
      <c r="BI48" s="33">
        <v>0</v>
      </c>
      <c r="BJ48" s="33">
        <v>0</v>
      </c>
      <c r="BK48" s="33">
        <v>0</v>
      </c>
      <c r="BL48" s="33">
        <v>0</v>
      </c>
      <c r="BM48" s="33">
        <v>0</v>
      </c>
      <c r="BN48" s="33">
        <v>0</v>
      </c>
      <c r="BO48" s="33">
        <v>0</v>
      </c>
      <c r="BP48" s="30"/>
      <c r="BQ48" s="207" t="e">
        <v>#DIV/0!</v>
      </c>
      <c r="BR48" s="207">
        <v>-5.4801450710612043E-2</v>
      </c>
      <c r="BS48" s="207">
        <v>0.14799755169407991</v>
      </c>
      <c r="BT48" s="207">
        <v>0.27317356610262511</v>
      </c>
      <c r="BU48" s="207">
        <v>0.2264668901346909</v>
      </c>
      <c r="BV48" s="207">
        <v>3.2168509953863555E-2</v>
      </c>
      <c r="BW48" s="207">
        <v>-9.4348260649272486E-2</v>
      </c>
      <c r="BX48" s="207">
        <v>6.2998973748153553E-2</v>
      </c>
      <c r="BY48" s="207">
        <v>-0.31330981274782099</v>
      </c>
      <c r="BZ48" s="207">
        <v>-0.22108147824532831</v>
      </c>
      <c r="CA48" s="30">
        <v>0.12013244442178261</v>
      </c>
      <c r="CB48" s="30">
        <v>0.39577499810804673</v>
      </c>
      <c r="CC48" s="30">
        <v>0.35530647229203494</v>
      </c>
      <c r="CD48" s="30">
        <v>0.35741752292032603</v>
      </c>
      <c r="CE48" s="30">
        <v>0.26896731442186006</v>
      </c>
      <c r="CF48" s="30">
        <v>0.60105723869035388</v>
      </c>
      <c r="CG48" s="30">
        <v>0.49110991379310343</v>
      </c>
      <c r="CH48" s="30">
        <v>0.12476789221333506</v>
      </c>
      <c r="CI48" s="30">
        <v>0.29391135243797173</v>
      </c>
      <c r="CJ48" s="30">
        <v>0.39386373971540278</v>
      </c>
      <c r="CK48" s="32">
        <v>0.50177392922239838</v>
      </c>
      <c r="CL48" s="32">
        <v>0.28268768141695411</v>
      </c>
      <c r="CM48" s="32">
        <v>8.7632459940807594E-2</v>
      </c>
      <c r="CN48" s="32">
        <v>-0.11391703853441504</v>
      </c>
      <c r="CO48" s="32">
        <v>-0.11043613148939102</v>
      </c>
      <c r="CP48" s="32">
        <v>-0.71123811726120034</v>
      </c>
      <c r="CQ48" s="32">
        <v>-0.79585551923520237</v>
      </c>
      <c r="CR48" s="32">
        <v>-0.46656517950837939</v>
      </c>
      <c r="CS48" s="32">
        <v>-6.022113456576017E-2</v>
      </c>
      <c r="CT48" s="32">
        <v>-8.3160634953506007E-2</v>
      </c>
      <c r="CU48" s="32">
        <v>-0.16564592546330492</v>
      </c>
      <c r="CV48" s="31">
        <v>-0.206888950531669</v>
      </c>
      <c r="CW48" s="30">
        <v>-3.2734774417166657E-2</v>
      </c>
      <c r="CX48" s="30">
        <v>0</v>
      </c>
      <c r="CY48" s="30">
        <v>0</v>
      </c>
      <c r="CZ48" s="30">
        <v>0</v>
      </c>
      <c r="DA48" s="30">
        <v>0</v>
      </c>
      <c r="DB48" s="30">
        <v>0</v>
      </c>
      <c r="DC48" s="30">
        <v>0</v>
      </c>
      <c r="DD48" s="30">
        <v>-2.2204460492503131E-16</v>
      </c>
      <c r="DE48" s="30">
        <v>0</v>
      </c>
      <c r="DF48" s="30">
        <v>2.2204460492503131E-16</v>
      </c>
    </row>
    <row r="49" spans="1:110" ht="12" outlineLevel="1">
      <c r="A49" s="1" t="s">
        <v>383</v>
      </c>
      <c r="B49" s="15" t="s">
        <v>320</v>
      </c>
      <c r="C49" s="207" t="e">
        <v>#VALUE!</v>
      </c>
      <c r="D49" s="207">
        <v>0.22133387721802977</v>
      </c>
      <c r="E49" s="207">
        <v>0.40187129926951615</v>
      </c>
      <c r="F49" s="207">
        <v>0.20160203393983966</v>
      </c>
      <c r="G49" s="207">
        <v>0.28952902937989911</v>
      </c>
      <c r="H49" s="207">
        <v>-2.5353365622220125E-2</v>
      </c>
      <c r="I49" s="207">
        <v>3.3438691975277601E-2</v>
      </c>
      <c r="J49" s="207">
        <v>6.0487177250523327E-2</v>
      </c>
      <c r="K49" s="207">
        <v>5.0265578442803438E-2</v>
      </c>
      <c r="L49" s="207">
        <v>0.29009419647140122</v>
      </c>
      <c r="M49" s="30">
        <v>0.12326530116678613</v>
      </c>
      <c r="N49" s="30">
        <v>9.1303619393507063E-2</v>
      </c>
      <c r="O49" s="30">
        <v>9.6951838553918757E-2</v>
      </c>
      <c r="P49" s="30">
        <v>9.5642477268828241E-2</v>
      </c>
      <c r="Q49" s="30">
        <v>0.14891042783503039</v>
      </c>
      <c r="R49" s="30">
        <v>-5.9613871572958832E-2</v>
      </c>
      <c r="S49" s="30">
        <v>0.35382121727854776</v>
      </c>
      <c r="T49" s="32">
        <v>0.13490169785648076</v>
      </c>
      <c r="U49" s="30">
        <v>2.1797579331982999</v>
      </c>
      <c r="V49" s="30">
        <v>4.4584741727230925E-2</v>
      </c>
      <c r="W49" s="30">
        <v>-4.2806680399828712E-2</v>
      </c>
      <c r="X49" s="30">
        <v>-2.1487705898352139E-2</v>
      </c>
      <c r="Y49" s="32">
        <v>3.9254524281698178E-2</v>
      </c>
      <c r="Z49" s="32">
        <v>-5.6329312662617426E-3</v>
      </c>
      <c r="AA49" s="139">
        <v>-8.7169216372678937E-3</v>
      </c>
      <c r="AB49" s="139">
        <v>2.0281982440890634E-2</v>
      </c>
      <c r="AC49" s="139">
        <v>3.6430997604360194E-2</v>
      </c>
      <c r="AD49" s="139">
        <v>-6.707240578232751E-2</v>
      </c>
      <c r="AE49" s="139">
        <v>-6.1055363156374914E-2</v>
      </c>
      <c r="AF49" s="139">
        <v>6.1728904846510863E-2</v>
      </c>
      <c r="AG49" s="139">
        <v>-6.8868349593332739E-2</v>
      </c>
      <c r="AH49" s="139">
        <v>-6.880451771843496E-2</v>
      </c>
      <c r="AI49" s="139">
        <v>-0.37985901483522283</v>
      </c>
      <c r="AJ49" s="139">
        <v>-1.0253720788493399</v>
      </c>
      <c r="AK49" s="139">
        <v>-0.17167473902710514</v>
      </c>
      <c r="AL49" s="139">
        <v>-5.6906873614190633E-2</v>
      </c>
      <c r="AM49" s="139">
        <v>-0.48462456536039838</v>
      </c>
      <c r="AN49" s="139">
        <v>-0.12365413088540131</v>
      </c>
      <c r="AO49" s="139">
        <v>-5.5303649331763759E-2</v>
      </c>
      <c r="AP49" s="139">
        <v>-0.14923581809657768</v>
      </c>
      <c r="AQ49" s="139">
        <v>-9.2368421052631516E-2</v>
      </c>
      <c r="AR49" s="139">
        <v>0.20682032768675354</v>
      </c>
      <c r="AS49" s="139">
        <v>-0.17283442469597751</v>
      </c>
      <c r="AT49" s="139">
        <v>-5.6341501001695091E-3</v>
      </c>
      <c r="AU49" s="139">
        <v>-7.6352800953516126E-2</v>
      </c>
      <c r="AV49" s="140">
        <v>-3.381570810142228E-2</v>
      </c>
      <c r="AW49" s="33">
        <v>0</v>
      </c>
      <c r="AX49" s="33">
        <v>0</v>
      </c>
      <c r="AY49" s="33">
        <v>0</v>
      </c>
      <c r="AZ49" s="33">
        <v>0</v>
      </c>
      <c r="BA49" s="33">
        <v>0</v>
      </c>
      <c r="BB49" s="33">
        <v>0</v>
      </c>
      <c r="BC49" s="33">
        <v>0</v>
      </c>
      <c r="BD49" s="33">
        <v>0</v>
      </c>
      <c r="BE49" s="33">
        <v>0</v>
      </c>
      <c r="BF49" s="33">
        <v>0</v>
      </c>
      <c r="BG49" s="33">
        <v>0</v>
      </c>
      <c r="BH49" s="33">
        <v>0</v>
      </c>
      <c r="BI49" s="33">
        <v>0</v>
      </c>
      <c r="BJ49" s="33">
        <v>0</v>
      </c>
      <c r="BK49" s="33">
        <v>0</v>
      </c>
      <c r="BL49" s="33">
        <v>0</v>
      </c>
      <c r="BM49" s="33">
        <v>0</v>
      </c>
      <c r="BN49" s="33">
        <v>0</v>
      </c>
      <c r="BO49" s="33">
        <v>0</v>
      </c>
      <c r="BP49" s="30"/>
      <c r="BQ49" s="207" t="e">
        <v>#DIV/0!</v>
      </c>
      <c r="BR49" s="207">
        <v>-5.4801450710611932E-2</v>
      </c>
      <c r="BS49" s="207">
        <v>0.14799755169407969</v>
      </c>
      <c r="BT49" s="207">
        <v>0.27317356610262489</v>
      </c>
      <c r="BU49" s="207">
        <v>0.22646689013469046</v>
      </c>
      <c r="BV49" s="207">
        <v>3.2168509953863778E-2</v>
      </c>
      <c r="BW49" s="207">
        <v>-9.4348260649272597E-2</v>
      </c>
      <c r="BX49" s="207">
        <v>6.2998973748153775E-2</v>
      </c>
      <c r="BY49" s="207">
        <v>-0.86280907811374152</v>
      </c>
      <c r="BZ49" s="207">
        <v>1.3349525131303235</v>
      </c>
      <c r="CA49" s="30">
        <v>0.71215290929751496</v>
      </c>
      <c r="CB49" s="30">
        <v>0.54950070452735389</v>
      </c>
      <c r="CC49" s="30">
        <v>7.2375429694793159E-3</v>
      </c>
      <c r="CD49" s="30">
        <v>0.11379317864619676</v>
      </c>
      <c r="CE49" s="30">
        <v>0.44911804613297135</v>
      </c>
      <c r="CF49" s="30">
        <v>0.19710751171425334</v>
      </c>
      <c r="CG49" s="30">
        <v>0.25879506731316182</v>
      </c>
      <c r="CH49" s="30">
        <v>0.27311469309895764</v>
      </c>
      <c r="CI49" s="30">
        <v>2.6087126771593652</v>
      </c>
      <c r="CJ49" s="30">
        <v>-1.3046346242429063E-4</v>
      </c>
      <c r="CK49" s="32">
        <v>1.6923328710401142E-2</v>
      </c>
      <c r="CL49" s="32">
        <v>-1.4300751083093477E-2</v>
      </c>
      <c r="CM49" s="32">
        <v>5.7451872898966361E-2</v>
      </c>
      <c r="CN49" s="32">
        <v>-0.12787647191405171</v>
      </c>
      <c r="CO49" s="32">
        <v>-1.1604795888209507E-2</v>
      </c>
      <c r="CP49" s="32">
        <v>-0.44047405753906688</v>
      </c>
      <c r="CQ49" s="32">
        <v>-1.0688982065493624</v>
      </c>
      <c r="CR49" s="32">
        <v>-0.53561422764227651</v>
      </c>
      <c r="CS49" s="32">
        <v>-0.17927756673294148</v>
      </c>
      <c r="CT49" s="32">
        <v>-0.23748373183309901</v>
      </c>
      <c r="CU49" s="32">
        <v>-4.0033324076649279E-4</v>
      </c>
      <c r="CV49" s="31">
        <v>-8.4836245954692635E-2</v>
      </c>
      <c r="CW49" s="30">
        <v>-3.5168336425479563E-2</v>
      </c>
      <c r="CX49" s="30">
        <v>-2.2204460492503131E-16</v>
      </c>
      <c r="CY49" s="30">
        <v>0</v>
      </c>
      <c r="CZ49" s="30">
        <v>-2.2204460492503131E-16</v>
      </c>
      <c r="DA49" s="30">
        <v>0</v>
      </c>
      <c r="DB49" s="30">
        <v>0</v>
      </c>
      <c r="DC49" s="30">
        <v>-2.2204460492503131E-16</v>
      </c>
      <c r="DD49" s="30">
        <v>0</v>
      </c>
      <c r="DE49" s="30">
        <v>0</v>
      </c>
      <c r="DF49" s="30">
        <v>0</v>
      </c>
    </row>
    <row r="50" spans="1:110" ht="12" outlineLevel="1">
      <c r="AF50" s="32"/>
      <c r="AG50" s="37"/>
      <c r="AH50" s="37"/>
      <c r="AI50" s="37"/>
      <c r="AJ50" s="43"/>
      <c r="AK50" s="43"/>
      <c r="AV50" s="200"/>
      <c r="CZ50" s="15"/>
      <c r="DA50" s="15"/>
      <c r="DB50" s="15"/>
      <c r="DC50" s="15"/>
      <c r="DD50" s="15"/>
      <c r="DE50" s="15"/>
      <c r="DF50" s="15"/>
    </row>
    <row r="51" spans="1:110" ht="12" outlineLevel="1">
      <c r="B51" s="17" t="s">
        <v>391</v>
      </c>
      <c r="AF51" s="32"/>
      <c r="AJ51" s="361"/>
      <c r="AK51" s="361"/>
      <c r="AV51" s="200"/>
      <c r="CZ51" s="15"/>
      <c r="DA51" s="15"/>
      <c r="DB51" s="15"/>
      <c r="DC51" s="15"/>
      <c r="DD51" s="15"/>
      <c r="DE51" s="15"/>
      <c r="DF51" s="15"/>
    </row>
    <row r="52" spans="1:110" ht="12" outlineLevel="1">
      <c r="A52" s="1" t="s">
        <v>853</v>
      </c>
      <c r="B52" s="15" t="s">
        <v>218</v>
      </c>
      <c r="C52" s="207" t="e">
        <v>#VALUE!</v>
      </c>
      <c r="D52" s="207">
        <v>8.7402488116627541E-2</v>
      </c>
      <c r="E52" s="207">
        <v>9.5561783652639454E-2</v>
      </c>
      <c r="F52" s="207">
        <v>8.7073557205857188E-2</v>
      </c>
      <c r="G52" s="207">
        <v>9.729198131431982E-2</v>
      </c>
      <c r="H52" s="207">
        <v>8.4232258890560407E-2</v>
      </c>
      <c r="I52" s="207">
        <v>0.16111890176396781</v>
      </c>
      <c r="J52" s="207">
        <v>9.8665141113653654E-2</v>
      </c>
      <c r="K52" s="207">
        <v>5.5252774209972211E-2</v>
      </c>
      <c r="L52" s="207">
        <v>6.1954471687354795E-2</v>
      </c>
      <c r="M52" s="30">
        <v>5.2650599921524988E-2</v>
      </c>
      <c r="N52" s="30">
        <v>4.9124527931727835E-2</v>
      </c>
      <c r="O52" s="30">
        <v>6.5832655465484891E-2</v>
      </c>
      <c r="P52" s="30">
        <v>5.9766303489657391E-2</v>
      </c>
      <c r="Q52" s="30">
        <v>6.6237883566349742E-2</v>
      </c>
      <c r="R52" s="30">
        <v>6.5445737487287436E-2</v>
      </c>
      <c r="S52" s="30">
        <v>3.2155582596783638E-2</v>
      </c>
      <c r="T52" s="32">
        <v>5.2424250981278009E-2</v>
      </c>
      <c r="U52" s="30">
        <v>6.6864326057500145E-2</v>
      </c>
      <c r="V52" s="30">
        <v>3.8724645699986127E-2</v>
      </c>
      <c r="W52" s="30">
        <v>2.884295269513637E-2</v>
      </c>
      <c r="X52" s="30">
        <v>5.0102959345766918E-2</v>
      </c>
      <c r="Y52" s="32">
        <v>1.9525340923097545E-2</v>
      </c>
      <c r="Z52" s="32">
        <v>3.1527001555192946E-2</v>
      </c>
      <c r="AA52" s="139">
        <v>3.7542353016387198E-2</v>
      </c>
      <c r="AB52" s="139">
        <v>3.4099252907499267E-2</v>
      </c>
      <c r="AC52" s="139">
        <v>3.8362231623269683E-2</v>
      </c>
      <c r="AD52" s="139">
        <v>4.1286904295100513E-2</v>
      </c>
      <c r="AE52" s="139">
        <v>6.0264699939381661E-2</v>
      </c>
      <c r="AF52" s="139">
        <v>5.0013210382927831E-2</v>
      </c>
      <c r="AG52" s="139">
        <v>1.6190507618819794E-2</v>
      </c>
      <c r="AH52" s="139">
        <v>3.8035161213065827E-2</v>
      </c>
      <c r="AI52" s="139">
        <v>3.2785731324373124E-2</v>
      </c>
      <c r="AJ52" s="139">
        <v>2.47098691808183E-2</v>
      </c>
      <c r="AK52" s="139">
        <v>3.4105479416621787E-3</v>
      </c>
      <c r="AL52" s="139">
        <v>-1.0266834589068852E-2</v>
      </c>
      <c r="AM52" s="139">
        <v>-1.48084207079765E-2</v>
      </c>
      <c r="AN52" s="139">
        <v>-4.4941953124409961E-3</v>
      </c>
      <c r="AO52" s="139">
        <v>4.3137983884429243E-2</v>
      </c>
      <c r="AP52" s="139">
        <v>2.0286070692119518E-2</v>
      </c>
      <c r="AQ52" s="139">
        <v>-1.0069685790158434E-2</v>
      </c>
      <c r="AR52" s="139">
        <v>6.2653031830617323E-4</v>
      </c>
      <c r="AS52" s="139">
        <v>1.6009701540875332E-2</v>
      </c>
      <c r="AT52" s="139">
        <v>3.6317528679655542E-2</v>
      </c>
      <c r="AU52" s="139">
        <v>3.9426241554082919E-2</v>
      </c>
      <c r="AV52" s="140">
        <v>3.2781710633176919E-2</v>
      </c>
      <c r="AW52" s="30">
        <v>0.21379562393686172</v>
      </c>
      <c r="AX52" s="30">
        <v>1.7065999999999804E-2</v>
      </c>
      <c r="AY52" s="30">
        <v>3.1227999999999811E-2</v>
      </c>
      <c r="AZ52" s="30">
        <v>1.9089999999999829E-2</v>
      </c>
      <c r="BA52" s="30">
        <v>1.8080999999999792E-2</v>
      </c>
      <c r="BB52" s="30">
        <v>1.8080999999999792E-2</v>
      </c>
      <c r="BC52" s="30">
        <v>1.8080999999999792E-2</v>
      </c>
      <c r="BD52" s="30">
        <v>1.8080999999999792E-2</v>
      </c>
      <c r="BE52" s="30">
        <v>1.8080999999999792E-2</v>
      </c>
      <c r="BF52" s="30">
        <v>1.8080999999999792E-2</v>
      </c>
      <c r="BG52" s="30">
        <v>1.8080999999999792E-2</v>
      </c>
      <c r="BH52" s="30">
        <v>1.8080999999999792E-2</v>
      </c>
      <c r="BI52" s="30">
        <v>1.8080999999999792E-2</v>
      </c>
      <c r="BJ52" s="30">
        <v>1.8080999999999792E-2</v>
      </c>
      <c r="BK52" s="30">
        <v>1.8080999999999792E-2</v>
      </c>
      <c r="BL52" s="30">
        <v>1.8080999999999792E-2</v>
      </c>
      <c r="BM52" s="30">
        <v>1.8080999999999792E-2</v>
      </c>
      <c r="BN52" s="30">
        <v>0.01</v>
      </c>
      <c r="BO52" s="30">
        <v>0.01</v>
      </c>
      <c r="BP52" s="30"/>
      <c r="BQ52" s="207" t="e">
        <v>#DIV/0!</v>
      </c>
      <c r="BR52" s="207">
        <v>-2.9082723179771786E-2</v>
      </c>
      <c r="BS52" s="207">
        <v>4.84320475889366E-2</v>
      </c>
      <c r="BT52" s="207">
        <v>7.8294279268211087E-2</v>
      </c>
      <c r="BU52" s="207">
        <v>7.9072754391779965E-2</v>
      </c>
      <c r="BV52" s="207">
        <v>8.6064236211100154E-2</v>
      </c>
      <c r="BW52" s="207">
        <v>0.12521879628382937</v>
      </c>
      <c r="BX52" s="207">
        <v>0.26377089067049586</v>
      </c>
      <c r="BY52" s="207">
        <v>0.28048857467491484</v>
      </c>
      <c r="BZ52" s="207">
        <v>8.3754405856399927E-2</v>
      </c>
      <c r="CA52" s="30">
        <v>0.19131660942937079</v>
      </c>
      <c r="CB52" s="30">
        <v>0.19283709742082045</v>
      </c>
      <c r="CC52" s="30">
        <v>0.25892256970007366</v>
      </c>
      <c r="CD52" s="30">
        <v>0.15936943808797355</v>
      </c>
      <c r="CE52" s="30">
        <v>0.11786701171103986</v>
      </c>
      <c r="CF52" s="30">
        <v>0.11819118151944674</v>
      </c>
      <c r="CG52" s="30">
        <v>0.12996298050774602</v>
      </c>
      <c r="CH52" s="30">
        <v>9.9705765901451082E-2</v>
      </c>
      <c r="CI52" s="30">
        <v>0.12279388924971046</v>
      </c>
      <c r="CJ52" s="30">
        <v>6.8684531519183079E-2</v>
      </c>
      <c r="CK52" s="32">
        <v>7.0606577631346701E-2</v>
      </c>
      <c r="CL52" s="32">
        <v>7.0252952393513146E-2</v>
      </c>
      <c r="CM52" s="32">
        <v>7.3769607968986683E-2</v>
      </c>
      <c r="CN52" s="32">
        <v>0.10403974713325237</v>
      </c>
      <c r="CO52" s="32">
        <v>6.7013457265494125E-2</v>
      </c>
      <c r="CP52" s="32">
        <v>7.2067903113849807E-2</v>
      </c>
      <c r="CQ52" s="32">
        <v>2.8204691315953934E-2</v>
      </c>
      <c r="CR52" s="32">
        <v>-2.4923219691111109E-2</v>
      </c>
      <c r="CS52" s="32">
        <v>3.8449918047026577E-2</v>
      </c>
      <c r="CT52" s="32">
        <v>1.0012110544174391E-2</v>
      </c>
      <c r="CU52" s="32">
        <v>1.6646262422583824E-2</v>
      </c>
      <c r="CV52" s="31">
        <v>7.7175633892109907E-2</v>
      </c>
      <c r="CW52" s="30">
        <v>0.25358592084857645</v>
      </c>
      <c r="CX52" s="30">
        <v>4.8826937047999674E-2</v>
      </c>
      <c r="CY52" s="30">
        <v>3.7516166289999653E-2</v>
      </c>
      <c r="CZ52" s="30">
        <v>3.648892256099967E-2</v>
      </c>
      <c r="DA52" s="30">
        <v>3.6488922560999448E-2</v>
      </c>
      <c r="DB52" s="30">
        <v>3.6488922560999448E-2</v>
      </c>
      <c r="DC52" s="30">
        <v>3.648892256099967E-2</v>
      </c>
      <c r="DD52" s="30">
        <v>3.6488922560999448E-2</v>
      </c>
      <c r="DE52" s="30">
        <v>3.648892256099967E-2</v>
      </c>
      <c r="DF52" s="30">
        <v>2.0100000000000007E-2</v>
      </c>
    </row>
    <row r="53" spans="1:110" ht="12" outlineLevel="1">
      <c r="A53" s="1" t="s">
        <v>455</v>
      </c>
      <c r="B53" s="15" t="s">
        <v>219</v>
      </c>
      <c r="C53" s="207" t="e">
        <v>#DIV/0!</v>
      </c>
      <c r="D53" s="207">
        <v>-1.2836930949818304E-2</v>
      </c>
      <c r="E53" s="207">
        <v>3.7534036263140447E-2</v>
      </c>
      <c r="F53" s="207">
        <v>8.4221120757584256E-2</v>
      </c>
      <c r="G53" s="207">
        <v>9.0730013842318158E-2</v>
      </c>
      <c r="H53" s="207">
        <v>7.4388273777136416E-2</v>
      </c>
      <c r="I53" s="207">
        <v>-2.3352147225025544E-2</v>
      </c>
      <c r="J53" s="207">
        <v>0.10509167886990745</v>
      </c>
      <c r="K53" s="207">
        <v>5.1530288727242635E-2</v>
      </c>
      <c r="L53" s="207">
        <v>3.66767774747363E-2</v>
      </c>
      <c r="M53" s="30">
        <v>4.6787686834306008E-2</v>
      </c>
      <c r="N53" s="30">
        <v>4.0164557143471447E-2</v>
      </c>
      <c r="O53" s="30">
        <v>0.11112795424791577</v>
      </c>
      <c r="P53" s="30">
        <v>0.14689503776556823</v>
      </c>
      <c r="Q53" s="30">
        <v>6.3813221156445721E-2</v>
      </c>
      <c r="R53" s="30">
        <v>-2.394941752902191E-2</v>
      </c>
      <c r="S53" s="30">
        <v>-9.4253160865671037E-2</v>
      </c>
      <c r="T53" s="32">
        <v>5.0708306503541856E-3</v>
      </c>
      <c r="U53" s="30">
        <v>-3.7982358796004867E-3</v>
      </c>
      <c r="V53" s="30">
        <v>0.22445651549777779</v>
      </c>
      <c r="W53" s="30">
        <v>1.6131755172478446E-2</v>
      </c>
      <c r="X53" s="30">
        <v>4.1738199405586096E-2</v>
      </c>
      <c r="Y53" s="32">
        <v>2.9132407144882411E-2</v>
      </c>
      <c r="Z53" s="32">
        <v>2.0774502376196713E-2</v>
      </c>
      <c r="AA53" s="139">
        <v>1.8681735756757911E-2</v>
      </c>
      <c r="AB53" s="139">
        <v>4.984268918695145E-2</v>
      </c>
      <c r="AC53" s="139">
        <v>3.1798107255520458E-2</v>
      </c>
      <c r="AD53" s="139">
        <v>3.8820777791366057E-2</v>
      </c>
      <c r="AE53" s="139">
        <v>3.8539926863903506E-2</v>
      </c>
      <c r="AF53" s="139">
        <v>-4.2465763129742373E-2</v>
      </c>
      <c r="AG53" s="139">
        <v>2.7990085457437752E-2</v>
      </c>
      <c r="AH53" s="139">
        <v>-3.3252242007226762E-3</v>
      </c>
      <c r="AI53" s="139">
        <v>4.1884514284062924E-4</v>
      </c>
      <c r="AJ53" s="139">
        <v>4.9301976410123238E-3</v>
      </c>
      <c r="AK53" s="139">
        <v>5.5567926330835959E-2</v>
      </c>
      <c r="AL53" s="139">
        <v>-1.2711547229386277E-2</v>
      </c>
      <c r="AM53" s="139">
        <v>8.7514215804528339E-2</v>
      </c>
      <c r="AN53" s="139">
        <v>0.11690180121940408</v>
      </c>
      <c r="AO53" s="139">
        <v>-8.3920171142900957E-2</v>
      </c>
      <c r="AP53" s="139">
        <v>-7.2826719855300537E-2</v>
      </c>
      <c r="AQ53" s="139">
        <v>7.8299851016494504E-3</v>
      </c>
      <c r="AR53" s="139">
        <v>7.0949865100462084E-2</v>
      </c>
      <c r="AS53" s="139">
        <v>7.2711629404045741E-2</v>
      </c>
      <c r="AT53" s="139">
        <v>1.249834105583858E-2</v>
      </c>
      <c r="AU53" s="139">
        <v>1.8413508938900813E-2</v>
      </c>
      <c r="AV53" s="140">
        <v>2.0643536653609296E-2</v>
      </c>
      <c r="AW53" s="30">
        <v>0.10170179118078407</v>
      </c>
      <c r="AX53" s="30">
        <v>2.2120999999999835E-2</v>
      </c>
      <c r="AY53" s="30">
        <v>2.2120999999999835E-2</v>
      </c>
      <c r="AZ53" s="30">
        <v>2.2120999999999835E-2</v>
      </c>
      <c r="BA53" s="30">
        <v>2.2120999999999835E-2</v>
      </c>
      <c r="BB53" s="30">
        <v>2.2120999999999835E-2</v>
      </c>
      <c r="BC53" s="30">
        <v>2.2120999999999835E-2</v>
      </c>
      <c r="BD53" s="30">
        <v>2.2120999999999835E-2</v>
      </c>
      <c r="BE53" s="30">
        <v>2.2120999999999835E-2</v>
      </c>
      <c r="BF53" s="30">
        <v>2.2120999999999835E-2</v>
      </c>
      <c r="BG53" s="30">
        <v>2.2120999999999835E-2</v>
      </c>
      <c r="BH53" s="30">
        <v>2.2120999999999835E-2</v>
      </c>
      <c r="BI53" s="30">
        <v>2.2120999999999835E-2</v>
      </c>
      <c r="BJ53" s="30">
        <v>2.2120999999999835E-2</v>
      </c>
      <c r="BK53" s="30">
        <v>2.2120999999999835E-2</v>
      </c>
      <c r="BL53" s="30">
        <v>2.2120999999999835E-2</v>
      </c>
      <c r="BM53" s="30">
        <v>2.2120999999999835E-2</v>
      </c>
      <c r="BN53" s="30">
        <v>0.01</v>
      </c>
      <c r="BO53" s="30">
        <v>0.01</v>
      </c>
      <c r="BP53" s="30"/>
      <c r="BQ53" s="207" t="e">
        <v>#DIV/0!</v>
      </c>
      <c r="BR53" s="207">
        <v>-3.5441390490548841E-2</v>
      </c>
      <c r="BS53" s="207">
        <v>5.1230243270823816E-2</v>
      </c>
      <c r="BT53" s="207">
        <v>7.4807406295183121E-2</v>
      </c>
      <c r="BU53" s="207">
        <v>8.3112889459830974E-2</v>
      </c>
      <c r="BV53" s="207">
        <v>0.10932479873356971</v>
      </c>
      <c r="BW53" s="207">
        <v>0.15590022038670615</v>
      </c>
      <c r="BX53" s="207">
        <v>8.5419310079841715E-2</v>
      </c>
      <c r="BY53" s="207">
        <v>8.946897550244981E-2</v>
      </c>
      <c r="BZ53" s="207">
        <v>-5.210264344768456E-3</v>
      </c>
      <c r="CA53" s="30">
        <v>2.5894385746022985E-2</v>
      </c>
      <c r="CB53" s="30">
        <v>0.18259251805205334</v>
      </c>
      <c r="CC53" s="30">
        <v>4.9299000631051637E-2</v>
      </c>
      <c r="CD53" s="30">
        <v>0.16203737215214686</v>
      </c>
      <c r="CE53" s="30">
        <v>8.5180485887621726E-2</v>
      </c>
      <c r="CF53" s="30">
        <v>0.15575591646001463</v>
      </c>
      <c r="CG53" s="30">
        <v>0.22008210445373244</v>
      </c>
      <c r="CH53" s="30">
        <v>-0.11594527009169087</v>
      </c>
      <c r="CI53" s="30">
        <v>1.2533345598380041E-3</v>
      </c>
      <c r="CJ53" s="30">
        <v>0.24420914822513407</v>
      </c>
      <c r="CK53" s="32">
        <v>7.2086540769046081E-2</v>
      </c>
      <c r="CL53" s="32">
        <v>3.9844341896824842E-2</v>
      </c>
      <c r="CM53" s="32">
        <v>8.3225699619142279E-2</v>
      </c>
      <c r="CN53" s="32">
        <v>7.885685459214864E-2</v>
      </c>
      <c r="CO53" s="32">
        <v>-1.5664298011321409E-2</v>
      </c>
      <c r="CP53" s="32">
        <v>-2.9077718118872831E-3</v>
      </c>
      <c r="CQ53" s="32">
        <v>6.0772084831160589E-2</v>
      </c>
      <c r="CR53" s="32">
        <v>7.3690227487700044E-2</v>
      </c>
      <c r="CS53" s="32">
        <v>2.3171210911257401E-2</v>
      </c>
      <c r="CT53" s="32">
        <v>-6.5566966885119982E-2</v>
      </c>
      <c r="CU53" s="32">
        <v>0.14882037480195942</v>
      </c>
      <c r="CV53" s="31">
        <v>3.1141988309492552E-2</v>
      </c>
      <c r="CW53" s="30">
        <v>0.12444481248837169</v>
      </c>
      <c r="CX53" s="30">
        <v>4.4731338640999763E-2</v>
      </c>
      <c r="CY53" s="30">
        <v>4.4731338640999763E-2</v>
      </c>
      <c r="CZ53" s="30">
        <v>4.4731338640999763E-2</v>
      </c>
      <c r="DA53" s="30">
        <v>4.4731338640999763E-2</v>
      </c>
      <c r="DB53" s="30">
        <v>4.4731338640999541E-2</v>
      </c>
      <c r="DC53" s="30">
        <v>4.4731338640999763E-2</v>
      </c>
      <c r="DD53" s="30">
        <v>4.4731338640999763E-2</v>
      </c>
      <c r="DE53" s="30">
        <v>4.4731338640999763E-2</v>
      </c>
      <c r="DF53" s="30">
        <v>2.0100000000000007E-2</v>
      </c>
    </row>
    <row r="54" spans="1:110" ht="12" outlineLevel="1">
      <c r="A54" s="1" t="s">
        <v>456</v>
      </c>
      <c r="B54" s="15" t="s">
        <v>220</v>
      </c>
      <c r="C54" s="207" t="e">
        <v>#VALUE!</v>
      </c>
      <c r="D54" s="207">
        <v>4.2318307267709354E-2</v>
      </c>
      <c r="E54" s="207">
        <v>7.8801331853496137E-2</v>
      </c>
      <c r="F54" s="207">
        <v>5.9413580246913567E-2</v>
      </c>
      <c r="G54" s="207">
        <v>3.5445496479728167E-2</v>
      </c>
      <c r="H54" s="207">
        <v>1.9460726846424414E-2</v>
      </c>
      <c r="I54" s="207">
        <v>4.2318307267709354E-2</v>
      </c>
      <c r="J54" s="207">
        <v>7.296042449701523E-2</v>
      </c>
      <c r="K54" s="207">
        <v>0.11971976097259418</v>
      </c>
      <c r="L54" s="207">
        <v>8.6492454913507766E-2</v>
      </c>
      <c r="M54" s="30">
        <v>4.8441734417344007E-2</v>
      </c>
      <c r="N54" s="30">
        <v>7.8609986504723395E-2</v>
      </c>
      <c r="O54" s="30">
        <v>6.6103638828068023E-2</v>
      </c>
      <c r="P54" s="30">
        <v>-0.15315403422982887</v>
      </c>
      <c r="Q54" s="30">
        <v>4.8735419794433632E-2</v>
      </c>
      <c r="R54" s="30">
        <v>3.1494328818411965E-2</v>
      </c>
      <c r="S54" s="30">
        <v>4.2062560051243647E-2</v>
      </c>
      <c r="T54" s="32">
        <v>5.6961376908103656E-2</v>
      </c>
      <c r="U54" s="30">
        <v>3.1016768440437215E-3</v>
      </c>
      <c r="V54" s="30">
        <v>3.4012948110928587E-2</v>
      </c>
      <c r="W54" s="30">
        <v>8.0366320904587951E-3</v>
      </c>
      <c r="X54" s="30">
        <v>1.0660980810234477E-2</v>
      </c>
      <c r="Y54" s="32">
        <v>-2.5408181984956868E-2</v>
      </c>
      <c r="Z54" s="32">
        <v>3.1811764705882428E-2</v>
      </c>
      <c r="AA54" s="139">
        <v>2.8733011037124889E-2</v>
      </c>
      <c r="AB54" s="139">
        <v>-4.0964710054974263E-2</v>
      </c>
      <c r="AC54" s="139">
        <v>-3.9755917159762788E-3</v>
      </c>
      <c r="AD54" s="139">
        <v>4.2792165599183196E-2</v>
      </c>
      <c r="AE54" s="139">
        <v>-9.5246572903685545E-3</v>
      </c>
      <c r="AF54" s="139">
        <v>1.1413678439831099E-2</v>
      </c>
      <c r="AG54" s="139">
        <v>-1.2262306735382977E-2</v>
      </c>
      <c r="AH54" s="139">
        <v>-1.1155091759625813E-2</v>
      </c>
      <c r="AI54" s="139">
        <v>-3.4115720524017457E-2</v>
      </c>
      <c r="AJ54" s="139">
        <v>-1.9779598756710648E-3</v>
      </c>
      <c r="AK54" s="139">
        <v>-4.3884484711211758E-2</v>
      </c>
      <c r="AL54" s="139">
        <v>-5.083407363537662E-2</v>
      </c>
      <c r="AM54" s="139">
        <v>-6.125207986688852E-2</v>
      </c>
      <c r="AN54" s="139">
        <v>-6.6024149772903495E-2</v>
      </c>
      <c r="AO54" s="139">
        <v>-0.19997627802158702</v>
      </c>
      <c r="AP54" s="139">
        <v>-2.5203854707190887E-3</v>
      </c>
      <c r="AQ54" s="139">
        <v>-0.1038941736028538</v>
      </c>
      <c r="AR54" s="139">
        <v>1.2605738928512134E-2</v>
      </c>
      <c r="AS54" s="139">
        <v>-2.3751023751023781E-2</v>
      </c>
      <c r="AT54" s="139">
        <v>-1.0067114093959773E-2</v>
      </c>
      <c r="AU54" s="139">
        <v>-1.6271186440677932E-2</v>
      </c>
      <c r="AV54" s="140">
        <v>7.4086836664368771E-3</v>
      </c>
      <c r="AW54" s="30">
        <v>1.1553141697907429E-2</v>
      </c>
      <c r="AX54" s="30">
        <v>1.0024999999999729E-2</v>
      </c>
      <c r="AY54" s="30">
        <v>1.0024999999999729E-2</v>
      </c>
      <c r="AZ54" s="30">
        <v>1.0024999999999729E-2</v>
      </c>
      <c r="BA54" s="30">
        <v>1.0024999999999729E-2</v>
      </c>
      <c r="BB54" s="30">
        <v>1.0024999999999729E-2</v>
      </c>
      <c r="BC54" s="30">
        <v>1.0024999999999729E-2</v>
      </c>
      <c r="BD54" s="30">
        <v>1.0024999999999729E-2</v>
      </c>
      <c r="BE54" s="30">
        <v>1.0024999999999729E-2</v>
      </c>
      <c r="BF54" s="30">
        <v>1.0024999999999729E-2</v>
      </c>
      <c r="BG54" s="30">
        <v>1.0024999999999729E-2</v>
      </c>
      <c r="BH54" s="30">
        <v>1.0024999999999729E-2</v>
      </c>
      <c r="BI54" s="30">
        <v>1.0024999999999729E-2</v>
      </c>
      <c r="BJ54" s="30">
        <v>1.0024999999999729E-2</v>
      </c>
      <c r="BK54" s="30">
        <v>1.0024999999999729E-2</v>
      </c>
      <c r="BL54" s="30">
        <v>1.0024999999999729E-2</v>
      </c>
      <c r="BM54" s="30">
        <v>1.0024999999999729E-2</v>
      </c>
      <c r="BN54" s="30">
        <v>0.01</v>
      </c>
      <c r="BO54" s="30">
        <v>0.01</v>
      </c>
      <c r="BP54" s="30"/>
      <c r="BQ54" s="207" t="e">
        <v>#DIV/0!</v>
      </c>
      <c r="BR54" s="207">
        <v>3.9884239238906272E-2</v>
      </c>
      <c r="BS54" s="207">
        <v>2.028086113687988E-2</v>
      </c>
      <c r="BT54" s="207">
        <v>0.11443799968647128</v>
      </c>
      <c r="BU54" s="207">
        <v>3.8683359122239525E-2</v>
      </c>
      <c r="BV54" s="207">
        <v>-0.1564192849404118</v>
      </c>
      <c r="BW54" s="207">
        <v>0.1417563011719376</v>
      </c>
      <c r="BX54" s="207">
        <v>0.30483689538807646</v>
      </c>
      <c r="BY54" s="207">
        <v>0.37155172413793092</v>
      </c>
      <c r="BZ54" s="207">
        <v>5.5546825895663066E-2</v>
      </c>
      <c r="CA54" s="30">
        <v>0.10852251581689609</v>
      </c>
      <c r="CB54" s="30">
        <v>9.6965020576131655E-2</v>
      </c>
      <c r="CC54" s="30">
        <v>6.2602579132473801E-2</v>
      </c>
      <c r="CD54" s="30">
        <v>0.20141499005085128</v>
      </c>
      <c r="CE54" s="30">
        <v>0.13912403386087591</v>
      </c>
      <c r="CF54" s="30">
        <v>0.14991003148897897</v>
      </c>
      <c r="CG54" s="30">
        <v>-0.11188264058679709</v>
      </c>
      <c r="CH54" s="30">
        <v>7.4881620966853912E-2</v>
      </c>
      <c r="CI54" s="30">
        <v>6.0239729535908282E-2</v>
      </c>
      <c r="CJ54" s="30">
        <v>4.2322929751666738E-2</v>
      </c>
      <c r="CK54" s="32">
        <v>-1.5018077315286926E-2</v>
      </c>
      <c r="CL54" s="32">
        <v>6.1458823529411788E-2</v>
      </c>
      <c r="CM54" s="32">
        <v>-4.4777442809008638E-2</v>
      </c>
      <c r="CN54" s="32">
        <v>3.2859927596769811E-2</v>
      </c>
      <c r="CO54" s="32">
        <v>-9.8858632156018089E-4</v>
      </c>
      <c r="CP54" s="32">
        <v>-4.4890248290752055E-2</v>
      </c>
      <c r="CQ54" s="32">
        <v>-4.5775642836959562E-2</v>
      </c>
      <c r="CR54" s="32">
        <v>-0.1089724607639917</v>
      </c>
      <c r="CS54" s="32">
        <v>-0.2527971640633655</v>
      </c>
      <c r="CT54" s="32">
        <v>-0.10615270570793178</v>
      </c>
      <c r="CU54" s="32">
        <v>-1.144468402720189E-2</v>
      </c>
      <c r="CV54" s="31">
        <v>-2.6174496644295275E-2</v>
      </c>
      <c r="CW54" s="30">
        <v>1.9047418936537719E-2</v>
      </c>
      <c r="CX54" s="30">
        <v>2.0150500624999346E-2</v>
      </c>
      <c r="CY54" s="30">
        <v>2.0150500624999346E-2</v>
      </c>
      <c r="CZ54" s="30">
        <v>2.0150500624999568E-2</v>
      </c>
      <c r="DA54" s="30">
        <v>2.0150500624999346E-2</v>
      </c>
      <c r="DB54" s="30">
        <v>2.0150500624999346E-2</v>
      </c>
      <c r="DC54" s="30">
        <v>2.0150500624999346E-2</v>
      </c>
      <c r="DD54" s="30">
        <v>2.0150500624999346E-2</v>
      </c>
      <c r="DE54" s="30">
        <v>2.0150500624999568E-2</v>
      </c>
      <c r="DF54" s="30">
        <v>2.0100000000000007E-2</v>
      </c>
    </row>
    <row r="55" spans="1:110" ht="12" outlineLevel="1">
      <c r="A55" s="1" t="s">
        <v>854</v>
      </c>
      <c r="B55" s="15" t="s">
        <v>475</v>
      </c>
      <c r="C55" s="207">
        <v>1.4739037379493729</v>
      </c>
      <c r="D55" s="207">
        <v>1.4424527789618165</v>
      </c>
      <c r="E55" s="207">
        <v>1.4584132135502341</v>
      </c>
      <c r="F55" s="207">
        <v>1.5505100142512034</v>
      </c>
      <c r="G55" s="207">
        <v>1.6594308085369001</v>
      </c>
      <c r="H55" s="207">
        <v>1.5096635300145131</v>
      </c>
      <c r="I55" s="207">
        <v>1.4056282605963628</v>
      </c>
      <c r="J55" s="207">
        <v>1.471625020284375</v>
      </c>
      <c r="K55" s="207">
        <v>1.4125437024228691</v>
      </c>
      <c r="L55" s="207">
        <v>1.3567291544680409</v>
      </c>
      <c r="M55" s="30">
        <v>1.3592270937315423</v>
      </c>
      <c r="N55" s="30">
        <v>1.4571492868910003</v>
      </c>
      <c r="O55" s="30">
        <v>1.369160678023976</v>
      </c>
      <c r="P55" s="30">
        <v>1.3693507093248465</v>
      </c>
      <c r="Q55" s="30">
        <v>1.4613123128179419</v>
      </c>
      <c r="R55" s="30">
        <v>1.3935738944197442</v>
      </c>
      <c r="S55" s="30">
        <v>1.3158160154204337</v>
      </c>
      <c r="T55" s="32">
        <v>1.3816984940764936</v>
      </c>
      <c r="U55" s="30">
        <v>1.3460981204248268</v>
      </c>
      <c r="V55" s="30">
        <v>1.4053225585034363</v>
      </c>
      <c r="W55" s="30">
        <v>1.3268619647285407</v>
      </c>
      <c r="X55" s="30">
        <v>1.3591885979169265</v>
      </c>
      <c r="Y55" s="32">
        <v>1.2728517009943767</v>
      </c>
      <c r="Z55" s="32">
        <v>1.2791052118025594</v>
      </c>
      <c r="AA55" s="139">
        <v>1.2599873543631304</v>
      </c>
      <c r="AB55" s="139">
        <v>1.2668373161936437</v>
      </c>
      <c r="AC55" s="139">
        <v>1.2647242305681266</v>
      </c>
      <c r="AD55" s="139">
        <v>1.2847631521501854</v>
      </c>
      <c r="AE55" s="139">
        <v>1.2955280099542861</v>
      </c>
      <c r="AF55" s="139">
        <v>1.2833812467613053</v>
      </c>
      <c r="AG55" s="139">
        <v>1.3183266375778215</v>
      </c>
      <c r="AH55" s="139">
        <v>1.2790622060318322</v>
      </c>
      <c r="AI55" s="139">
        <v>1.2756980351602896</v>
      </c>
      <c r="AJ55" s="139">
        <v>1.3136863417789151</v>
      </c>
      <c r="AK55" s="139">
        <v>1.3545632663380103</v>
      </c>
      <c r="AL55" s="139">
        <v>1.3648778443885774</v>
      </c>
      <c r="AM55" s="139">
        <v>1.3634812771885929</v>
      </c>
      <c r="AN55" s="139">
        <v>1.324886059337814</v>
      </c>
      <c r="AO55" s="139">
        <v>1.2583733008481917</v>
      </c>
      <c r="AP55" s="139">
        <v>1.1995695370601687</v>
      </c>
      <c r="AQ55" s="139">
        <v>1.1566869826737285</v>
      </c>
      <c r="AR55" s="139">
        <v>1.1571204113698044</v>
      </c>
      <c r="AS55" s="139">
        <v>1.1790160350226555</v>
      </c>
      <c r="AT55" s="139">
        <v>1.1631238742165528</v>
      </c>
      <c r="AU55" s="139">
        <v>1.1860092572590843</v>
      </c>
      <c r="AV55" s="140">
        <v>1.1945122806683803</v>
      </c>
      <c r="AW55" s="33">
        <v>1.2068000000000001</v>
      </c>
      <c r="AX55" s="33">
        <v>1.2068000000000001</v>
      </c>
      <c r="AY55" s="33">
        <v>1.2068000000000001</v>
      </c>
      <c r="AZ55" s="33">
        <v>1.2068000000000001</v>
      </c>
      <c r="BA55" s="33">
        <v>1.2068000000000001</v>
      </c>
      <c r="BB55" s="33">
        <v>1.2068000000000001</v>
      </c>
      <c r="BC55" s="33">
        <v>1.2068000000000001</v>
      </c>
      <c r="BD55" s="33">
        <v>1.2068000000000001</v>
      </c>
      <c r="BE55" s="33">
        <v>1.2068000000000001</v>
      </c>
      <c r="BF55" s="33">
        <v>1.2068000000000001</v>
      </c>
      <c r="BG55" s="33">
        <v>1.2068000000000001</v>
      </c>
      <c r="BH55" s="33">
        <v>1.2068000000000001</v>
      </c>
      <c r="BI55" s="33">
        <v>1.2068000000000001</v>
      </c>
      <c r="BJ55" s="33">
        <v>1.2068000000000001</v>
      </c>
      <c r="BK55" s="33">
        <v>1.2068000000000001</v>
      </c>
      <c r="BL55" s="33">
        <v>1.2068000000000001</v>
      </c>
      <c r="BM55" s="33">
        <v>1.2068000000000001</v>
      </c>
      <c r="BN55" s="33">
        <v>1.2068000000000001</v>
      </c>
      <c r="BO55" s="33">
        <v>1.2068000000000001</v>
      </c>
      <c r="BP55" s="30"/>
      <c r="BQ55" s="207">
        <v>1.3941751389324788</v>
      </c>
      <c r="BR55" s="207">
        <v>1.3326446280991735</v>
      </c>
      <c r="BS55" s="207">
        <v>1.3169088662705184</v>
      </c>
      <c r="BT55" s="207">
        <v>1.3275762492780727</v>
      </c>
      <c r="BU55" s="207">
        <v>1.3402892136681761</v>
      </c>
      <c r="BV55" s="207">
        <v>1.3398384766596405</v>
      </c>
      <c r="BW55" s="207">
        <v>1.3642787832763785</v>
      </c>
      <c r="BX55" s="207">
        <v>1.5359103618588894</v>
      </c>
      <c r="BY55" s="207">
        <v>1.6186926084189472</v>
      </c>
      <c r="BZ55" s="207">
        <v>1.6495976591075348</v>
      </c>
      <c r="CA55" s="30">
        <v>1.4584132135502341</v>
      </c>
      <c r="CB55" s="30">
        <v>1.6594308085369001</v>
      </c>
      <c r="CC55" s="30">
        <v>1.4056282605963628</v>
      </c>
      <c r="CD55" s="30">
        <v>1.4125437024228691</v>
      </c>
      <c r="CE55" s="30">
        <v>1.3592270937315423</v>
      </c>
      <c r="CF55" s="30">
        <v>1.369160678023976</v>
      </c>
      <c r="CG55" s="30">
        <v>1.4613123128179419</v>
      </c>
      <c r="CH55" s="30">
        <v>1.3158160154204337</v>
      </c>
      <c r="CI55" s="30">
        <v>1.3460981204248268</v>
      </c>
      <c r="CJ55" s="30">
        <v>1.3268619647285407</v>
      </c>
      <c r="CK55" s="32">
        <v>1.2728517009943767</v>
      </c>
      <c r="CL55" s="32">
        <v>1.2599873543631304</v>
      </c>
      <c r="CM55" s="32">
        <v>1.2647242305681266</v>
      </c>
      <c r="CN55" s="32">
        <v>1.2955280099542861</v>
      </c>
      <c r="CO55" s="32">
        <v>1.3183266375778215</v>
      </c>
      <c r="CP55" s="32">
        <v>1.2756980351602896</v>
      </c>
      <c r="CQ55" s="32">
        <v>1.3545632663380103</v>
      </c>
      <c r="CR55" s="32">
        <v>1.3634812771885929</v>
      </c>
      <c r="CS55" s="32">
        <v>1.2583733008481917</v>
      </c>
      <c r="CT55" s="32">
        <v>1.1566869826737285</v>
      </c>
      <c r="CU55" s="32">
        <v>1.1790160350226555</v>
      </c>
      <c r="CV55" s="31">
        <v>1.1860092572590843</v>
      </c>
      <c r="CW55" s="30">
        <v>1.2068000000000001</v>
      </c>
      <c r="CX55" s="30">
        <v>1.2068000000000001</v>
      </c>
      <c r="CY55" s="30">
        <v>1.2068000000000001</v>
      </c>
      <c r="CZ55" s="30">
        <v>1.2068000000000001</v>
      </c>
      <c r="DA55" s="30">
        <v>1.2068000000000001</v>
      </c>
      <c r="DB55" s="30">
        <v>1.2068000000000001</v>
      </c>
      <c r="DC55" s="30">
        <v>1.2068000000000001</v>
      </c>
      <c r="DD55" s="30">
        <v>1.2068000000000001</v>
      </c>
      <c r="DE55" s="30">
        <v>1.2068000000000001</v>
      </c>
      <c r="DF55" s="30">
        <v>1.2068000000000001</v>
      </c>
    </row>
    <row r="56" spans="1:110" ht="12" outlineLevel="1">
      <c r="A56" s="1" t="s">
        <v>457</v>
      </c>
      <c r="B56" s="15" t="s">
        <v>386</v>
      </c>
      <c r="C56" s="207" t="e">
        <v>#VALUE!</v>
      </c>
      <c r="D56" s="207">
        <v>-1.4763734859929434E-3</v>
      </c>
      <c r="E56" s="207">
        <v>-2.3400556968911079E-3</v>
      </c>
      <c r="F56" s="207">
        <v>2.0196312059937327E-2</v>
      </c>
      <c r="G56" s="207">
        <v>4.1715878378705051E-2</v>
      </c>
      <c r="H56" s="207">
        <v>1.6852380389402302</v>
      </c>
      <c r="I56" s="207">
        <v>4.1347237749345789E-2</v>
      </c>
      <c r="J56" s="207">
        <v>7.0434527994240437E-2</v>
      </c>
      <c r="K56" s="207">
        <v>6.1970181307302585E-2</v>
      </c>
      <c r="L56" s="207">
        <v>6.6942631500885197E-2</v>
      </c>
      <c r="M56" s="30">
        <v>5.982435373042061E-2</v>
      </c>
      <c r="N56" s="30">
        <v>6.5693116706195376E-2</v>
      </c>
      <c r="O56" s="30">
        <v>6.729026548500916E-2</v>
      </c>
      <c r="P56" s="30">
        <v>6.3479421892202126E-2</v>
      </c>
      <c r="Q56" s="30">
        <v>3.1107478895853635E-2</v>
      </c>
      <c r="R56" s="30">
        <v>1.7081117000101065E-2</v>
      </c>
      <c r="S56" s="30">
        <v>-9.5646079043627541E-3</v>
      </c>
      <c r="T56" s="32">
        <v>-4.6167260187413017E-3</v>
      </c>
      <c r="U56" s="30">
        <v>7.0516077671389787E-3</v>
      </c>
      <c r="V56" s="30">
        <v>5.2524093800210281E-4</v>
      </c>
      <c r="W56" s="30">
        <v>-8.3809211231294922E-3</v>
      </c>
      <c r="X56" s="30">
        <v>4.3213734885738653E-4</v>
      </c>
      <c r="Y56" s="32">
        <v>3.4695501559373065E-2</v>
      </c>
      <c r="Z56" s="32">
        <v>2.4697858496107727E-2</v>
      </c>
      <c r="AA56" s="139">
        <v>3.2325871285788788E-2</v>
      </c>
      <c r="AB56" s="139">
        <v>2.9740831772437692E-2</v>
      </c>
      <c r="AC56" s="139">
        <v>2.1764821293974279E-2</v>
      </c>
      <c r="AD56" s="139">
        <v>3.3542459370063948E-2</v>
      </c>
      <c r="AE56" s="139">
        <v>5.3248212560133013E-2</v>
      </c>
      <c r="AF56" s="139">
        <v>3.9301986581220749E-2</v>
      </c>
      <c r="AG56" s="139">
        <v>3.8617334855792995E-2</v>
      </c>
      <c r="AH56" s="139">
        <v>2.3186788635217059E-2</v>
      </c>
      <c r="AI56" s="139">
        <v>2.4455117947048688E-2</v>
      </c>
      <c r="AJ56" s="139">
        <v>2.1817876240111778E-2</v>
      </c>
      <c r="AK56" s="139">
        <v>2.6304147511201137E-2</v>
      </c>
      <c r="AL56" s="139">
        <v>2.8053370678570166E-2</v>
      </c>
      <c r="AM56" s="139">
        <v>2.2686153810955734E-2</v>
      </c>
      <c r="AN56" s="139">
        <v>3.3547959411126094E-2</v>
      </c>
      <c r="AO56" s="139">
        <v>2.2221458256882043E-2</v>
      </c>
      <c r="AP56" s="139">
        <v>6.5297269980899575E-2</v>
      </c>
      <c r="AQ56" s="139">
        <v>3.6112646980777097E-2</v>
      </c>
      <c r="AR56" s="139">
        <v>4.2906852188000277E-2</v>
      </c>
      <c r="AS56" s="139">
        <v>1.0675758460320539E-2</v>
      </c>
      <c r="AT56" s="139">
        <v>3.9771378053672368E-3</v>
      </c>
      <c r="AU56" s="139">
        <v>2.6327797094866323E-2</v>
      </c>
      <c r="AV56" s="140">
        <v>1.9853193014293335E-2</v>
      </c>
      <c r="AW56" s="30">
        <v>1.8523503975449884E-2</v>
      </c>
      <c r="AX56" s="30">
        <v>2.0100000000000007E-2</v>
      </c>
      <c r="AY56" s="30">
        <v>2.0100000000000007E-2</v>
      </c>
      <c r="AZ56" s="30">
        <v>2.0100000000000007E-2</v>
      </c>
      <c r="BA56" s="30">
        <v>2.0100000000000007E-2</v>
      </c>
      <c r="BB56" s="30">
        <v>2.0100000000000007E-2</v>
      </c>
      <c r="BC56" s="30">
        <v>2.0100000000000007E-2</v>
      </c>
      <c r="BD56" s="30">
        <v>2.0100000000000007E-2</v>
      </c>
      <c r="BE56" s="30">
        <v>2.0100000000000007E-2</v>
      </c>
      <c r="BF56" s="30">
        <v>2.0100000000000007E-2</v>
      </c>
      <c r="BG56" s="30">
        <v>2.0100000000000007E-2</v>
      </c>
      <c r="BH56" s="30">
        <v>2.0100000000000007E-2</v>
      </c>
      <c r="BI56" s="30">
        <v>2.0100000000000007E-2</v>
      </c>
      <c r="BJ56" s="30">
        <v>2.0100000000000007E-2</v>
      </c>
      <c r="BK56" s="30">
        <v>2.0100000000000007E-2</v>
      </c>
      <c r="BL56" s="30">
        <v>2.0100000000000007E-2</v>
      </c>
      <c r="BM56" s="30">
        <v>2.0100000000000007E-2</v>
      </c>
      <c r="BN56" s="30">
        <v>0.01</v>
      </c>
      <c r="BO56" s="30">
        <v>0.01</v>
      </c>
      <c r="BP56" s="30"/>
      <c r="BQ56" s="207" t="e">
        <v>#DIV/0!</v>
      </c>
      <c r="BR56" s="207">
        <v>-7.8302222658656384E-2</v>
      </c>
      <c r="BS56" s="207">
        <v>4.658444916222293E-2</v>
      </c>
      <c r="BT56" s="207">
        <v>0.17445101359557924</v>
      </c>
      <c r="BU56" s="207">
        <v>0.14675724653038591</v>
      </c>
      <c r="BV56" s="207">
        <v>0.13078477935865385</v>
      </c>
      <c r="BW56" s="207">
        <v>0.14913085709262219</v>
      </c>
      <c r="BX56" s="207">
        <v>3.1487697362445832E-2</v>
      </c>
      <c r="BY56" s="207">
        <v>0.12201131131925713</v>
      </c>
      <c r="BZ56" s="207">
        <v>7.4305283404991762E-3</v>
      </c>
      <c r="CA56" s="30">
        <v>-3.8129743866973653E-3</v>
      </c>
      <c r="CB56" s="30">
        <v>6.2754697336232956E-2</v>
      </c>
      <c r="CC56" s="30">
        <v>1.7962652145498792</v>
      </c>
      <c r="CD56" s="30">
        <v>0.13676954977164058</v>
      </c>
      <c r="CE56" s="30">
        <v>0.13077178489786001</v>
      </c>
      <c r="CF56" s="30">
        <v>0.13740388945490212</v>
      </c>
      <c r="CG56" s="30">
        <v>9.6561585564888475E-2</v>
      </c>
      <c r="CH56" s="30">
        <v>7.3531349090638631E-3</v>
      </c>
      <c r="CI56" s="30">
        <v>2.4023264073451678E-3</v>
      </c>
      <c r="CJ56" s="30">
        <v>-7.8600821879994953E-3</v>
      </c>
      <c r="CK56" s="32">
        <v>3.5142632130291673E-2</v>
      </c>
      <c r="CL56" s="32">
        <v>5.7822109576676439E-2</v>
      </c>
      <c r="CM56" s="32">
        <v>5.2152956955073382E-2</v>
      </c>
      <c r="CN56" s="32">
        <v>8.8576747936524036E-2</v>
      </c>
      <c r="CO56" s="32">
        <v>7.9437059413318689E-2</v>
      </c>
      <c r="CP56" s="32">
        <v>4.8208942233153307E-2</v>
      </c>
      <c r="CQ56" s="32">
        <v>4.8695924386313871E-2</v>
      </c>
      <c r="CR56" s="32">
        <v>5.1375947571655756E-2</v>
      </c>
      <c r="CS56" s="32">
        <v>5.6514902247666088E-2</v>
      </c>
      <c r="CT56" s="32">
        <v>0.10376797422130535</v>
      </c>
      <c r="CU56" s="32">
        <v>5.4040673838572584E-2</v>
      </c>
      <c r="CV56" s="31">
        <v>3.0409644177391559E-2</v>
      </c>
      <c r="CW56" s="30">
        <v>3.874444768946872E-2</v>
      </c>
      <c r="CX56" s="30">
        <v>4.0604010000000024E-2</v>
      </c>
      <c r="CY56" s="30">
        <v>4.0604010000000024E-2</v>
      </c>
      <c r="CZ56" s="30">
        <v>4.0604010000000024E-2</v>
      </c>
      <c r="DA56" s="30">
        <v>4.0604010000000246E-2</v>
      </c>
      <c r="DB56" s="30">
        <v>4.0604010000000024E-2</v>
      </c>
      <c r="DC56" s="30">
        <v>4.0604010000000246E-2</v>
      </c>
      <c r="DD56" s="30">
        <v>4.0604010000000024E-2</v>
      </c>
      <c r="DE56" s="30">
        <v>4.0604010000000024E-2</v>
      </c>
      <c r="DF56" s="30">
        <v>2.0100000000000229E-2</v>
      </c>
    </row>
    <row r="57" spans="1:110" ht="12" outlineLevel="1">
      <c r="A57" s="1" t="s">
        <v>458</v>
      </c>
      <c r="B57" s="15" t="s">
        <v>510</v>
      </c>
      <c r="C57" s="207" t="e">
        <v>#VALUE!</v>
      </c>
      <c r="D57" s="207">
        <v>3.8691372058106355E-2</v>
      </c>
      <c r="E57" s="207">
        <v>3.8902530159069304E-2</v>
      </c>
      <c r="F57" s="207">
        <v>4.9192211902613137E-2</v>
      </c>
      <c r="G57" s="207">
        <v>-5.2336721538015496E-4</v>
      </c>
      <c r="H57" s="207">
        <v>1.0083417355278401</v>
      </c>
      <c r="I57" s="207">
        <v>-2.0374357448917357E-2</v>
      </c>
      <c r="J57" s="207">
        <v>2.9455281460552207E-2</v>
      </c>
      <c r="K57" s="207">
        <v>-7.3637865744894393E-3</v>
      </c>
      <c r="L57" s="207">
        <v>7.1087885197627543E-2</v>
      </c>
      <c r="M57" s="30">
        <v>2.4553412597943192E-2</v>
      </c>
      <c r="N57" s="30">
        <v>5.2376370392772875E-2</v>
      </c>
      <c r="O57" s="30">
        <v>2.6580594722418471E-2</v>
      </c>
      <c r="P57" s="30">
        <v>5.503839306397551E-2</v>
      </c>
      <c r="Q57" s="30">
        <v>1.5490466979828588E-2</v>
      </c>
      <c r="R57" s="30">
        <v>-3.1679929314252231E-3</v>
      </c>
      <c r="S57" s="30">
        <v>-1.8123752740890398E-2</v>
      </c>
      <c r="T57" s="32">
        <v>9.8377661068398403E-3</v>
      </c>
      <c r="U57" s="30">
        <v>-2.0584769760777499E-2</v>
      </c>
      <c r="V57" s="30">
        <v>-1.0828276678035431E-3</v>
      </c>
      <c r="W57" s="30">
        <v>-1.3778160660790739E-2</v>
      </c>
      <c r="X57" s="30">
        <v>3.1083347635980862E-2</v>
      </c>
      <c r="Y57" s="32">
        <v>-1.0564530033696062E-2</v>
      </c>
      <c r="Z57" s="32">
        <v>1.4882848252073089E-2</v>
      </c>
      <c r="AA57" s="139">
        <v>2.9823671957555975E-2</v>
      </c>
      <c r="AB57" s="139">
        <v>4.6715577579272693E-2</v>
      </c>
      <c r="AC57" s="139">
        <v>3.5470566179227614E-2</v>
      </c>
      <c r="AD57" s="139">
        <v>3.7739093177969307E-2</v>
      </c>
      <c r="AE57" s="139">
        <v>3.0325651523880559E-2</v>
      </c>
      <c r="AF57" s="139">
        <v>-3.6427139651875606E-3</v>
      </c>
      <c r="AG57" s="139">
        <v>-1.1629311743864279E-2</v>
      </c>
      <c r="AH57" s="139">
        <v>-1.1487530769795806E-2</v>
      </c>
      <c r="AI57" s="139">
        <v>-3.2771705575654897E-3</v>
      </c>
      <c r="AJ57" s="139">
        <v>1.252569346418797E-2</v>
      </c>
      <c r="AK57" s="139">
        <v>-9.0516914064616705E-3</v>
      </c>
      <c r="AL57" s="139">
        <v>-1.4951247096854137E-2</v>
      </c>
      <c r="AM57" s="139">
        <v>-3.1672555942356628E-2</v>
      </c>
      <c r="AN57" s="139">
        <v>-9.0542577948213854E-2</v>
      </c>
      <c r="AO57" s="139">
        <v>-8.8198588284716384E-2</v>
      </c>
      <c r="AP57" s="139">
        <v>-1.0748747770961686E-2</v>
      </c>
      <c r="AQ57" s="139">
        <v>-0.12330296396325946</v>
      </c>
      <c r="AR57" s="139">
        <v>3.6943297000794795E-2</v>
      </c>
      <c r="AS57" s="139">
        <v>5.8621064079369845E-2</v>
      </c>
      <c r="AT57" s="139">
        <v>2.1174455099634892E-2</v>
      </c>
      <c r="AU57" s="139">
        <v>-2.5963434171131228E-3</v>
      </c>
      <c r="AV57" s="140">
        <v>5.4777898976043904E-3</v>
      </c>
      <c r="AW57" s="30">
        <v>-7.1066853579543343E-3</v>
      </c>
      <c r="AX57" s="30">
        <v>-5.0000000000000044E-3</v>
      </c>
      <c r="AY57" s="30">
        <v>1.0024999999999729E-2</v>
      </c>
      <c r="AZ57" s="30">
        <v>2.0100000000000007E-2</v>
      </c>
      <c r="BA57" s="30">
        <v>2.0100000000000007E-2</v>
      </c>
      <c r="BB57" s="30">
        <v>2.0100000000000007E-2</v>
      </c>
      <c r="BC57" s="30">
        <v>2.0100000000000007E-2</v>
      </c>
      <c r="BD57" s="30">
        <v>2.0100000000000007E-2</v>
      </c>
      <c r="BE57" s="30">
        <v>2.0100000000000007E-2</v>
      </c>
      <c r="BF57" s="30">
        <v>2.0100000000000007E-2</v>
      </c>
      <c r="BG57" s="30">
        <v>2.0100000000000007E-2</v>
      </c>
      <c r="BH57" s="30">
        <v>2.0100000000000007E-2</v>
      </c>
      <c r="BI57" s="30">
        <v>2.0100000000000007E-2</v>
      </c>
      <c r="BJ57" s="30">
        <v>2.0100000000000007E-2</v>
      </c>
      <c r="BK57" s="30">
        <v>2.0100000000000007E-2</v>
      </c>
      <c r="BL57" s="30">
        <v>2.0100000000000007E-2</v>
      </c>
      <c r="BM57" s="30">
        <v>2.0100000000000007E-2</v>
      </c>
      <c r="BN57" s="30">
        <v>0.01</v>
      </c>
      <c r="BO57" s="30">
        <v>0.01</v>
      </c>
      <c r="BP57" s="30"/>
      <c r="BQ57" s="207" t="e">
        <v>#DIV/0!</v>
      </c>
      <c r="BR57" s="207">
        <v>-7.8302222658656606E-2</v>
      </c>
      <c r="BS57" s="207">
        <v>4.6584449162222707E-2</v>
      </c>
      <c r="BT57" s="207">
        <v>0.17445101359557902</v>
      </c>
      <c r="BU57" s="207">
        <v>0.14675724653038591</v>
      </c>
      <c r="BV57" s="207">
        <v>0.13078477935865407</v>
      </c>
      <c r="BW57" s="207">
        <v>0.14913085709262219</v>
      </c>
      <c r="BX57" s="207">
        <v>3.1487697362446054E-2</v>
      </c>
      <c r="BY57" s="207">
        <v>0.32097336799173193</v>
      </c>
      <c r="BZ57" s="207">
        <v>0.19696560904530269</v>
      </c>
      <c r="CA57" s="30">
        <v>7.9099094485561849E-2</v>
      </c>
      <c r="CB57" s="30">
        <v>4.8643099096271181E-2</v>
      </c>
      <c r="CC57" s="30">
        <v>0.9674230631286167</v>
      </c>
      <c r="CD57" s="30">
        <v>2.187459247989576E-2</v>
      </c>
      <c r="CE57" s="30">
        <v>9.7386747971543119E-2</v>
      </c>
      <c r="CF57" s="30">
        <v>8.0349160189633118E-2</v>
      </c>
      <c r="CG57" s="30">
        <v>7.1381430454184436E-2</v>
      </c>
      <c r="CH57" s="30">
        <v>-2.1234329751741554E-2</v>
      </c>
      <c r="CI57" s="30">
        <v>-1.0949511804207446E-2</v>
      </c>
      <c r="CJ57" s="30">
        <v>-1.4846068955019387E-2</v>
      </c>
      <c r="CK57" s="32">
        <v>2.0190436642636644E-2</v>
      </c>
      <c r="CL57" s="32">
        <v>4.5150381393693095E-2</v>
      </c>
      <c r="CM57" s="32">
        <v>8.3843171744626854E-2</v>
      </c>
      <c r="CN57" s="32">
        <v>6.9209207290392261E-2</v>
      </c>
      <c r="CO57" s="32">
        <v>-1.5229663452757003E-2</v>
      </c>
      <c r="CP57" s="32">
        <v>-1.472705472974345E-2</v>
      </c>
      <c r="CQ57" s="32">
        <v>3.3606233458365331E-3</v>
      </c>
      <c r="CR57" s="32">
        <v>-4.615025882912771E-2</v>
      </c>
      <c r="CS57" s="32">
        <v>-0.17075543867823895</v>
      </c>
      <c r="CT57" s="32">
        <v>-0.13272635927516807</v>
      </c>
      <c r="CU57" s="32">
        <v>9.7730016460951363E-2</v>
      </c>
      <c r="CV57" s="31">
        <v>1.8523135525412959E-2</v>
      </c>
      <c r="CW57" s="30">
        <v>-1.6678243896091072E-3</v>
      </c>
      <c r="CX57" s="30">
        <v>4.9748749999996011E-3</v>
      </c>
      <c r="CY57" s="30">
        <v>4.0604010000000024E-2</v>
      </c>
      <c r="CZ57" s="30">
        <v>4.0604009999999802E-2</v>
      </c>
      <c r="DA57" s="30">
        <v>4.0604010000000024E-2</v>
      </c>
      <c r="DB57" s="30">
        <v>4.0604010000000024E-2</v>
      </c>
      <c r="DC57" s="30">
        <v>4.0604009999999802E-2</v>
      </c>
      <c r="DD57" s="30">
        <v>4.0604010000000024E-2</v>
      </c>
      <c r="DE57" s="30">
        <v>4.0604010000000024E-2</v>
      </c>
      <c r="DF57" s="30">
        <v>2.0100000000000229E-2</v>
      </c>
    </row>
    <row r="58" spans="1:110" ht="12" outlineLevel="1">
      <c r="A58" s="1" t="s">
        <v>855</v>
      </c>
      <c r="B58" s="15" t="s">
        <v>511</v>
      </c>
      <c r="C58" s="207">
        <v>0.8172369399244217</v>
      </c>
      <c r="D58" s="207">
        <v>0.77749398801392122</v>
      </c>
      <c r="E58" s="207">
        <v>0.76067726211358788</v>
      </c>
      <c r="F58" s="207">
        <v>0.83822061799168923</v>
      </c>
      <c r="G58" s="207">
        <v>0.80170531639622933</v>
      </c>
      <c r="H58" s="207">
        <v>1.7027406917962729</v>
      </c>
      <c r="I58" s="207">
        <v>1.6314553056387286</v>
      </c>
      <c r="J58" s="207">
        <v>1.6095408217814713</v>
      </c>
      <c r="K58" s="207">
        <v>1.6496517708245182</v>
      </c>
      <c r="L58" s="207">
        <v>1.9726358027296971</v>
      </c>
      <c r="M58" s="30">
        <v>1.7439619829068675</v>
      </c>
      <c r="N58" s="30">
        <v>1.785642562824505</v>
      </c>
      <c r="O58" s="30">
        <v>1.7462912970143256</v>
      </c>
      <c r="P58" s="30">
        <v>1.6533276784240656</v>
      </c>
      <c r="Q58" s="30">
        <v>1.3713722333665732</v>
      </c>
      <c r="R58" s="30">
        <v>1.4168630031037981</v>
      </c>
      <c r="S58" s="30">
        <v>1.3962560206683743</v>
      </c>
      <c r="T58" s="32">
        <v>1.3936858733512696</v>
      </c>
      <c r="U58" s="30">
        <v>1.4153498192383427</v>
      </c>
      <c r="V58" s="30">
        <v>1.2929890743781896</v>
      </c>
      <c r="W58" s="30">
        <v>1.2894737660952662</v>
      </c>
      <c r="X58" s="30">
        <v>1.2475562826097015</v>
      </c>
      <c r="Y58" s="32">
        <v>1.4594630116410063</v>
      </c>
      <c r="Z58" s="32">
        <v>1.4258567425820821</v>
      </c>
      <c r="AA58" s="139">
        <v>1.4135587888320882</v>
      </c>
      <c r="AB58" s="139">
        <v>1.3932142908531058</v>
      </c>
      <c r="AC58" s="139">
        <v>1.3931501804522355</v>
      </c>
      <c r="AD58" s="139">
        <v>1.3668954123776846</v>
      </c>
      <c r="AE58" s="139">
        <v>1.3691514618885843</v>
      </c>
      <c r="AF58" s="139">
        <v>1.3062280335242216</v>
      </c>
      <c r="AG58" s="139">
        <v>1.3162477916452955</v>
      </c>
      <c r="AH58" s="139">
        <v>1.2855596326093397</v>
      </c>
      <c r="AI58" s="139">
        <v>1.2829670329670331</v>
      </c>
      <c r="AJ58" s="139">
        <v>1.244674287029</v>
      </c>
      <c r="AK58" s="139">
        <v>1.2032251500661308</v>
      </c>
      <c r="AL58" s="139">
        <v>1.2281963780199325</v>
      </c>
      <c r="AM58" s="139">
        <v>1.2088892359043928</v>
      </c>
      <c r="AN58" s="139">
        <v>1.1834191251906898</v>
      </c>
      <c r="AO58" s="139">
        <v>1.0875757468996619</v>
      </c>
      <c r="AP58" s="139">
        <v>1.1116364338093401</v>
      </c>
      <c r="AQ58" s="139">
        <v>1.112440526745442</v>
      </c>
      <c r="AR58" s="139">
        <v>1.1142403743118665</v>
      </c>
      <c r="AS58" s="139">
        <v>1.006095297029703</v>
      </c>
      <c r="AT58" s="139">
        <v>1.121418152350081</v>
      </c>
      <c r="AU58" s="139">
        <v>1.1117616600947944</v>
      </c>
      <c r="AV58" s="140">
        <v>1.1028216202483407</v>
      </c>
      <c r="AW58" s="33">
        <v>1.1028216202483407</v>
      </c>
      <c r="AX58" s="33">
        <v>1.1028216202483407</v>
      </c>
      <c r="AY58" s="33">
        <v>1.1028216202483407</v>
      </c>
      <c r="AZ58" s="33">
        <v>1.1028216202483407</v>
      </c>
      <c r="BA58" s="33">
        <v>1.1028216202483407</v>
      </c>
      <c r="BB58" s="33">
        <v>1.1028216202483407</v>
      </c>
      <c r="BC58" s="33">
        <v>1.1028216202483407</v>
      </c>
      <c r="BD58" s="33">
        <v>1.1028216202483407</v>
      </c>
      <c r="BE58" s="33">
        <v>1.1028216202483407</v>
      </c>
      <c r="BF58" s="33">
        <v>1.1028216202483407</v>
      </c>
      <c r="BG58" s="33">
        <v>1.1028216202483407</v>
      </c>
      <c r="BH58" s="33">
        <v>1.1028216202483407</v>
      </c>
      <c r="BI58" s="33">
        <v>1.1028216202483407</v>
      </c>
      <c r="BJ58" s="33">
        <v>1.1028216202483407</v>
      </c>
      <c r="BK58" s="33">
        <v>1.1028216202483407</v>
      </c>
      <c r="BL58" s="33">
        <v>1.1028216202483407</v>
      </c>
      <c r="BM58" s="33">
        <v>1.1028216202483407</v>
      </c>
      <c r="BN58" s="33">
        <v>1.1028216202483407</v>
      </c>
      <c r="BO58" s="33">
        <v>1.1028216202483407</v>
      </c>
      <c r="BP58" s="30"/>
      <c r="BQ58" s="207">
        <v>0.45138723151923527</v>
      </c>
      <c r="BR58" s="207">
        <v>0.45931424765091683</v>
      </c>
      <c r="BS58" s="207">
        <v>0.47245942927514084</v>
      </c>
      <c r="BT58" s="207">
        <v>0.50828951947087042</v>
      </c>
      <c r="BU58" s="207">
        <v>0.49601602600867817</v>
      </c>
      <c r="BV58" s="207">
        <v>0.47857463508198456</v>
      </c>
      <c r="BW58" s="207">
        <v>0.51414906682857187</v>
      </c>
      <c r="BX58" s="207">
        <v>0.56513333908891117</v>
      </c>
      <c r="BY58" s="207">
        <v>0.68651817886260014</v>
      </c>
      <c r="BZ58" s="207">
        <v>0.64525945081240554</v>
      </c>
      <c r="CA58" s="30">
        <v>0.76067726211358788</v>
      </c>
      <c r="CB58" s="30">
        <v>0.80170531639622933</v>
      </c>
      <c r="CC58" s="30">
        <v>1.6314553056387286</v>
      </c>
      <c r="CD58" s="30">
        <v>1.6496517708245182</v>
      </c>
      <c r="CE58" s="30">
        <v>1.7439619829068675</v>
      </c>
      <c r="CF58" s="30">
        <v>1.7462912970143256</v>
      </c>
      <c r="CG58" s="30">
        <v>1.3713722333665732</v>
      </c>
      <c r="CH58" s="30">
        <v>1.3962560206683743</v>
      </c>
      <c r="CI58" s="30">
        <v>1.4153498192383427</v>
      </c>
      <c r="CJ58" s="30">
        <v>1.2894737660952662</v>
      </c>
      <c r="CK58" s="32">
        <v>1.4594630116410063</v>
      </c>
      <c r="CL58" s="32">
        <v>1.4135587888320882</v>
      </c>
      <c r="CM58" s="32">
        <v>1.3931501804522355</v>
      </c>
      <c r="CN58" s="32">
        <v>1.3691514618885843</v>
      </c>
      <c r="CO58" s="32">
        <v>1.3162477916452955</v>
      </c>
      <c r="CP58" s="32">
        <v>1.2829670329670331</v>
      </c>
      <c r="CQ58" s="32">
        <v>1.2032251500661308</v>
      </c>
      <c r="CR58" s="32">
        <v>1.2088892359043928</v>
      </c>
      <c r="CS58" s="32">
        <v>1.0875757468996619</v>
      </c>
      <c r="CT58" s="32">
        <v>1.112440526745442</v>
      </c>
      <c r="CU58" s="32">
        <v>1.006095297029703</v>
      </c>
      <c r="CV58" s="31">
        <v>1.1117616600947944</v>
      </c>
      <c r="CW58" s="30">
        <v>1.1028216202483407</v>
      </c>
      <c r="CX58" s="30">
        <v>1.1028216202483407</v>
      </c>
      <c r="CY58" s="30">
        <v>1.1028216202483407</v>
      </c>
      <c r="CZ58" s="30">
        <v>1.1028216202483407</v>
      </c>
      <c r="DA58" s="30">
        <v>1.1028216202483407</v>
      </c>
      <c r="DB58" s="30">
        <v>1.1028216202483407</v>
      </c>
      <c r="DC58" s="30">
        <v>1.1028216202483407</v>
      </c>
      <c r="DD58" s="30">
        <v>1.1028216202483407</v>
      </c>
      <c r="DE58" s="30">
        <v>1.1028216202483407</v>
      </c>
      <c r="DF58" s="30">
        <v>1.1028216202483407</v>
      </c>
    </row>
    <row r="59" spans="1:110" ht="12" outlineLevel="1">
      <c r="A59" s="1" t="s">
        <v>459</v>
      </c>
      <c r="B59" s="15" t="s">
        <v>179</v>
      </c>
      <c r="C59" s="207" t="e">
        <v>#VALUE!</v>
      </c>
      <c r="D59" s="207">
        <v>4.4118396899857082E-3</v>
      </c>
      <c r="E59" s="207">
        <v>0.11521230650518266</v>
      </c>
      <c r="F59" s="207">
        <v>0.16068060244343618</v>
      </c>
      <c r="G59" s="207">
        <v>0.20254874180691518</v>
      </c>
      <c r="H59" s="207">
        <v>0.19047327858393515</v>
      </c>
      <c r="I59" s="207">
        <v>0.13846022138705072</v>
      </c>
      <c r="J59" s="207">
        <v>0.2050199124094616</v>
      </c>
      <c r="K59" s="207">
        <v>0.12646895619022791</v>
      </c>
      <c r="L59" s="207">
        <v>9.981572481572476E-2</v>
      </c>
      <c r="M59" s="30">
        <v>0.15379993737994302</v>
      </c>
      <c r="N59" s="30">
        <v>0.19463554043085818</v>
      </c>
      <c r="O59" s="30">
        <v>0.34020559786201843</v>
      </c>
      <c r="P59" s="30">
        <v>0.24055868700265237</v>
      </c>
      <c r="Q59" s="30">
        <v>0.20196644416381027</v>
      </c>
      <c r="R59" s="30">
        <v>3.6414206247325609E-2</v>
      </c>
      <c r="S59" s="30">
        <v>8.524939684677113E-2</v>
      </c>
      <c r="T59" s="32">
        <v>3.4256153652860721E-2</v>
      </c>
      <c r="U59" s="30">
        <v>0.25105501946306252</v>
      </c>
      <c r="V59" s="30">
        <v>0.22977628902497838</v>
      </c>
      <c r="W59" s="30">
        <v>0.13342869931288104</v>
      </c>
      <c r="X59" s="30">
        <v>0.26537089821460436</v>
      </c>
      <c r="Y59" s="32">
        <v>0.18682508926145736</v>
      </c>
      <c r="Z59" s="32">
        <v>0.12476185029338605</v>
      </c>
      <c r="AA59" s="139">
        <v>0.14040823938185154</v>
      </c>
      <c r="AB59" s="139">
        <v>4.785836961736889E-2</v>
      </c>
      <c r="AC59" s="139">
        <v>3.7957505972837202E-2</v>
      </c>
      <c r="AD59" s="139">
        <v>-2.3817558590270349E-2</v>
      </c>
      <c r="AE59" s="139">
        <v>-2.9911908579278501E-2</v>
      </c>
      <c r="AF59" s="139">
        <v>4.7638850234037466E-3</v>
      </c>
      <c r="AG59" s="139">
        <v>-5.4042563951758771E-2</v>
      </c>
      <c r="AH59" s="139">
        <v>-4.9804236548928182E-2</v>
      </c>
      <c r="AI59" s="139">
        <v>-0.61022570612853422</v>
      </c>
      <c r="AJ59" s="139">
        <v>-0.71128757588359526</v>
      </c>
      <c r="AK59" s="139">
        <v>-1.0279929451219028E-2</v>
      </c>
      <c r="AL59" s="139">
        <v>-1.3061659299774209E-2</v>
      </c>
      <c r="AM59" s="139">
        <v>-0.37682548632647317</v>
      </c>
      <c r="AN59" s="139">
        <v>-3.4564173611404847E-2</v>
      </c>
      <c r="AO59" s="139">
        <v>5.7945890878020379E-2</v>
      </c>
      <c r="AP59" s="139">
        <v>3.1756303947031661E-2</v>
      </c>
      <c r="AQ59" s="139">
        <v>-3.2291480820695884E-2</v>
      </c>
      <c r="AR59" s="139">
        <v>2.154772590832188E-4</v>
      </c>
      <c r="AS59" s="139">
        <v>-8.4243250217734822E-2</v>
      </c>
      <c r="AT59" s="139">
        <v>2.7015891886110754E-3</v>
      </c>
      <c r="AU59" s="139">
        <v>-0.12764569349476185</v>
      </c>
      <c r="AV59" s="140">
        <v>8.5242553681090794E-3</v>
      </c>
      <c r="AW59" s="30">
        <v>0.04</v>
      </c>
      <c r="AX59" s="30">
        <v>0.04</v>
      </c>
      <c r="AY59" s="30">
        <v>0.04</v>
      </c>
      <c r="AZ59" s="30">
        <v>0.04</v>
      </c>
      <c r="BA59" s="30">
        <v>0.04</v>
      </c>
      <c r="BB59" s="30">
        <v>0.04</v>
      </c>
      <c r="BC59" s="30">
        <v>0.04</v>
      </c>
      <c r="BD59" s="30">
        <v>0.04</v>
      </c>
      <c r="BE59" s="30">
        <v>0.04</v>
      </c>
      <c r="BF59" s="30">
        <v>0.04</v>
      </c>
      <c r="BG59" s="30">
        <v>0.04</v>
      </c>
      <c r="BH59" s="30">
        <v>0.04</v>
      </c>
      <c r="BI59" s="30">
        <v>0.04</v>
      </c>
      <c r="BJ59" s="30">
        <v>0.04</v>
      </c>
      <c r="BK59" s="30">
        <v>0.04</v>
      </c>
      <c r="BL59" s="30">
        <v>0.04</v>
      </c>
      <c r="BM59" s="30">
        <v>0.04</v>
      </c>
      <c r="BN59" s="30">
        <v>0.01</v>
      </c>
      <c r="BO59" s="30">
        <v>0.01</v>
      </c>
      <c r="BP59" s="30"/>
      <c r="BQ59" s="207" t="e">
        <v>#DIV/0!</v>
      </c>
      <c r="BR59" s="207">
        <v>-5.4801450710612043E-2</v>
      </c>
      <c r="BS59" s="207">
        <v>0.14799755169407991</v>
      </c>
      <c r="BT59" s="207">
        <v>0.27317356610262511</v>
      </c>
      <c r="BU59" s="207">
        <v>0.2264668901346909</v>
      </c>
      <c r="BV59" s="207">
        <v>3.2168509953863555E-2</v>
      </c>
      <c r="BW59" s="207">
        <v>-9.4348260649272486E-2</v>
      </c>
      <c r="BX59" s="207">
        <v>6.2998973748153553E-2</v>
      </c>
      <c r="BY59" s="207">
        <v>-0.31330981274782099</v>
      </c>
      <c r="BZ59" s="207">
        <v>-0.22108147824532831</v>
      </c>
      <c r="CA59" s="30">
        <v>0.12013244442178261</v>
      </c>
      <c r="CB59" s="30">
        <v>0.39577499810804673</v>
      </c>
      <c r="CC59" s="30">
        <v>0.35530647229203494</v>
      </c>
      <c r="CD59" s="30">
        <v>0.35741752292032603</v>
      </c>
      <c r="CE59" s="30">
        <v>0.26896731442186006</v>
      </c>
      <c r="CF59" s="30">
        <v>0.60105723869035388</v>
      </c>
      <c r="CG59" s="30">
        <v>0.49110991379310343</v>
      </c>
      <c r="CH59" s="30">
        <v>0.12476789221333506</v>
      </c>
      <c r="CI59" s="30">
        <v>0.29391135243797173</v>
      </c>
      <c r="CJ59" s="30">
        <v>0.39386373971540278</v>
      </c>
      <c r="CK59" s="32">
        <v>0.50177392922239838</v>
      </c>
      <c r="CL59" s="32">
        <v>0.28268768141695411</v>
      </c>
      <c r="CM59" s="32">
        <v>8.7632459940807594E-2</v>
      </c>
      <c r="CN59" s="32">
        <v>-5.3017038534415084E-2</v>
      </c>
      <c r="CO59" s="32">
        <v>-4.9536131489391066E-2</v>
      </c>
      <c r="CP59" s="32">
        <v>-0.62963811726120023</v>
      </c>
      <c r="CQ59" s="32">
        <v>-0.71425551923520225</v>
      </c>
      <c r="CR59" s="32">
        <v>-0.38496517950837927</v>
      </c>
      <c r="CS59" s="32">
        <v>2.1378865434239946E-2</v>
      </c>
      <c r="CT59" s="32">
        <v>-1.5606349535058905E-3</v>
      </c>
      <c r="CU59" s="32">
        <v>-8.4045925463304805E-2</v>
      </c>
      <c r="CV59" s="31">
        <v>-0.12528895053166889</v>
      </c>
      <c r="CW59" s="30">
        <v>4.886522558283346E-2</v>
      </c>
      <c r="CX59" s="30">
        <v>8.1600000000000117E-2</v>
      </c>
      <c r="CY59" s="30">
        <v>8.1600000000000117E-2</v>
      </c>
      <c r="CZ59" s="30">
        <v>8.1600000000000117E-2</v>
      </c>
      <c r="DA59" s="30">
        <v>8.1600000000000117E-2</v>
      </c>
      <c r="DB59" s="30">
        <v>8.1600000000000117E-2</v>
      </c>
      <c r="DC59" s="30">
        <v>8.1600000000000117E-2</v>
      </c>
      <c r="DD59" s="30">
        <v>8.1599999999999895E-2</v>
      </c>
      <c r="DE59" s="30">
        <v>8.1600000000000117E-2</v>
      </c>
      <c r="DF59" s="30">
        <v>2.0100000000000229E-2</v>
      </c>
    </row>
    <row r="60" spans="1:110" ht="12" outlineLevel="1">
      <c r="A60" s="1" t="s">
        <v>308</v>
      </c>
      <c r="B60" s="15" t="s">
        <v>180</v>
      </c>
      <c r="C60" s="207" t="e">
        <v>#VALUE!</v>
      </c>
      <c r="D60" s="207">
        <v>0.22133387721802977</v>
      </c>
      <c r="E60" s="207">
        <v>0.40187129926951615</v>
      </c>
      <c r="F60" s="207">
        <v>0.20160203393983966</v>
      </c>
      <c r="G60" s="207">
        <v>0.28952902937989911</v>
      </c>
      <c r="H60" s="207">
        <v>-2.5353365622220125E-2</v>
      </c>
      <c r="I60" s="207">
        <v>3.3438691975277601E-2</v>
      </c>
      <c r="J60" s="207">
        <v>6.0487177250523327E-2</v>
      </c>
      <c r="K60" s="207">
        <v>5.0265578442803438E-2</v>
      </c>
      <c r="L60" s="207">
        <v>0.29009419647140122</v>
      </c>
      <c r="M60" s="30">
        <v>0.12326530116678613</v>
      </c>
      <c r="N60" s="30">
        <v>9.1303619393507063E-2</v>
      </c>
      <c r="O60" s="30">
        <v>9.6951838553918757E-2</v>
      </c>
      <c r="P60" s="30">
        <v>9.5642477268828241E-2</v>
      </c>
      <c r="Q60" s="30">
        <v>0.14891042783503039</v>
      </c>
      <c r="R60" s="30">
        <v>-5.9613871572958832E-2</v>
      </c>
      <c r="S60" s="30">
        <v>0.35382121727854776</v>
      </c>
      <c r="T60" s="32">
        <v>0.13490169785648076</v>
      </c>
      <c r="U60" s="30">
        <v>2.1797579331982999</v>
      </c>
      <c r="V60" s="30">
        <v>4.4584741727230925E-2</v>
      </c>
      <c r="W60" s="30">
        <v>-4.2806680399828712E-2</v>
      </c>
      <c r="X60" s="30">
        <v>-2.1487705898352139E-2</v>
      </c>
      <c r="Y60" s="32">
        <v>3.9254524281698178E-2</v>
      </c>
      <c r="Z60" s="32">
        <v>-5.6329312662617426E-3</v>
      </c>
      <c r="AA60" s="139">
        <v>-8.7169216372678937E-3</v>
      </c>
      <c r="AB60" s="139">
        <v>2.0281982440890634E-2</v>
      </c>
      <c r="AC60" s="139">
        <v>3.6430997604360194E-2</v>
      </c>
      <c r="AD60" s="139">
        <v>-3.7072405782327511E-2</v>
      </c>
      <c r="AE60" s="139">
        <v>-3.1055363156374916E-2</v>
      </c>
      <c r="AF60" s="139">
        <v>9.1728904846510861E-2</v>
      </c>
      <c r="AG60" s="139">
        <v>-3.8868349593332741E-2</v>
      </c>
      <c r="AH60" s="139">
        <v>-2.8804517718434952E-2</v>
      </c>
      <c r="AI60" s="139">
        <v>-0.33985901483522285</v>
      </c>
      <c r="AJ60" s="139">
        <v>-0.98537207884933997</v>
      </c>
      <c r="AK60" s="139">
        <v>-0.13167473902710514</v>
      </c>
      <c r="AL60" s="139">
        <v>-1.6906873614190632E-2</v>
      </c>
      <c r="AM60" s="139">
        <v>-0.4446245653603984</v>
      </c>
      <c r="AN60" s="139">
        <v>-8.3654130885401301E-2</v>
      </c>
      <c r="AO60" s="139">
        <v>-1.5303649331763758E-2</v>
      </c>
      <c r="AP60" s="139">
        <v>-0.10923581809657767</v>
      </c>
      <c r="AQ60" s="139">
        <v>-5.2368421052631509E-2</v>
      </c>
      <c r="AR60" s="139">
        <v>0.24682032768675355</v>
      </c>
      <c r="AS60" s="139">
        <v>-0.1328344246959775</v>
      </c>
      <c r="AT60" s="139">
        <v>3.4365849899830492E-2</v>
      </c>
      <c r="AU60" s="139">
        <v>-3.6352800953516118E-2</v>
      </c>
      <c r="AV60" s="140">
        <v>6.1842918985777207E-3</v>
      </c>
      <c r="AW60" s="30">
        <v>0.04</v>
      </c>
      <c r="AX60" s="30">
        <v>0.04</v>
      </c>
      <c r="AY60" s="30">
        <v>0.04</v>
      </c>
      <c r="AZ60" s="30">
        <v>0.04</v>
      </c>
      <c r="BA60" s="30">
        <v>0.04</v>
      </c>
      <c r="BB60" s="30">
        <v>0.04</v>
      </c>
      <c r="BC60" s="30">
        <v>0.04</v>
      </c>
      <c r="BD60" s="30">
        <v>0.04</v>
      </c>
      <c r="BE60" s="30">
        <v>0.04</v>
      </c>
      <c r="BF60" s="30">
        <v>0.04</v>
      </c>
      <c r="BG60" s="30">
        <v>0.04</v>
      </c>
      <c r="BH60" s="30">
        <v>0.04</v>
      </c>
      <c r="BI60" s="30">
        <v>0.04</v>
      </c>
      <c r="BJ60" s="30">
        <v>0.04</v>
      </c>
      <c r="BK60" s="30">
        <v>0.04</v>
      </c>
      <c r="BL60" s="30">
        <v>0.04</v>
      </c>
      <c r="BM60" s="30">
        <v>0.04</v>
      </c>
      <c r="BN60" s="30">
        <v>0.01</v>
      </c>
      <c r="BO60" s="30">
        <v>0.01</v>
      </c>
      <c r="BP60" s="30"/>
      <c r="BQ60" s="207" t="e">
        <v>#DIV/0!</v>
      </c>
      <c r="BR60" s="207">
        <v>-5.4801450710611932E-2</v>
      </c>
      <c r="BS60" s="207">
        <v>0.14799755169407969</v>
      </c>
      <c r="BT60" s="207">
        <v>0.27317356610262489</v>
      </c>
      <c r="BU60" s="207">
        <v>0.22646689013469046</v>
      </c>
      <c r="BV60" s="207">
        <v>3.2168509953863778E-2</v>
      </c>
      <c r="BW60" s="207">
        <v>-9.4348260649272597E-2</v>
      </c>
      <c r="BX60" s="207">
        <v>6.2998973748153775E-2</v>
      </c>
      <c r="BY60" s="207">
        <v>-0.86280907811374152</v>
      </c>
      <c r="BZ60" s="207">
        <v>1.3349525131303235</v>
      </c>
      <c r="CA60" s="30">
        <v>0.71215290929751496</v>
      </c>
      <c r="CB60" s="30">
        <v>0.54950070452735389</v>
      </c>
      <c r="CC60" s="30">
        <v>7.2375429694793159E-3</v>
      </c>
      <c r="CD60" s="30">
        <v>0.11379317864619676</v>
      </c>
      <c r="CE60" s="30">
        <v>0.44911804613297135</v>
      </c>
      <c r="CF60" s="30">
        <v>0.19710751171425334</v>
      </c>
      <c r="CG60" s="30">
        <v>0.25879506731316182</v>
      </c>
      <c r="CH60" s="30">
        <v>0.27311469309895764</v>
      </c>
      <c r="CI60" s="30">
        <v>2.6087126771593652</v>
      </c>
      <c r="CJ60" s="30">
        <v>-1.3046346242429063E-4</v>
      </c>
      <c r="CK60" s="32">
        <v>1.6923328710401142E-2</v>
      </c>
      <c r="CL60" s="32">
        <v>-1.4300751083093477E-2</v>
      </c>
      <c r="CM60" s="32">
        <v>5.7451872898966361E-2</v>
      </c>
      <c r="CN60" s="32">
        <v>-6.6976471914051761E-2</v>
      </c>
      <c r="CO60" s="32">
        <v>4.9295204111790447E-2</v>
      </c>
      <c r="CP60" s="32">
        <v>-0.35887405753906676</v>
      </c>
      <c r="CQ60" s="32">
        <v>-0.98729820654936229</v>
      </c>
      <c r="CR60" s="32">
        <v>-0.45401422764227639</v>
      </c>
      <c r="CS60" s="32">
        <v>-9.7677566732941368E-2</v>
      </c>
      <c r="CT60" s="32">
        <v>-0.15588373183309889</v>
      </c>
      <c r="CU60" s="32">
        <v>8.1199666759233624E-2</v>
      </c>
      <c r="CV60" s="31">
        <v>-3.2362459546925182E-3</v>
      </c>
      <c r="CW60" s="30">
        <v>4.6431663574520554E-2</v>
      </c>
      <c r="CX60" s="30">
        <v>8.1599999999999895E-2</v>
      </c>
      <c r="CY60" s="30">
        <v>8.1600000000000117E-2</v>
      </c>
      <c r="CZ60" s="30">
        <v>8.1599999999999895E-2</v>
      </c>
      <c r="DA60" s="30">
        <v>8.1600000000000117E-2</v>
      </c>
      <c r="DB60" s="30">
        <v>8.1600000000000117E-2</v>
      </c>
      <c r="DC60" s="30">
        <v>8.1599999999999895E-2</v>
      </c>
      <c r="DD60" s="30">
        <v>8.1600000000000117E-2</v>
      </c>
      <c r="DE60" s="30">
        <v>8.1600000000000117E-2</v>
      </c>
      <c r="DF60" s="30">
        <v>2.0100000000000007E-2</v>
      </c>
    </row>
    <row r="61" spans="1:110" ht="12" outlineLevel="1">
      <c r="A61" s="1" t="s">
        <v>856</v>
      </c>
      <c r="B61" s="15" t="s">
        <v>281</v>
      </c>
      <c r="C61" s="207">
        <v>5.9699188782200778</v>
      </c>
      <c r="D61" s="207">
        <v>4.9798573625957783</v>
      </c>
      <c r="E61" s="207">
        <v>4.585364137180842</v>
      </c>
      <c r="F61" s="207">
        <v>4.1558398400274967</v>
      </c>
      <c r="G61" s="207">
        <v>3.3884328079930013</v>
      </c>
      <c r="H61" s="207">
        <v>2.5098575859603898</v>
      </c>
      <c r="I61" s="207">
        <v>2.3787561578084366</v>
      </c>
      <c r="J61" s="207">
        <v>2.010617581804742</v>
      </c>
      <c r="K61" s="207">
        <v>301.55882596985953</v>
      </c>
      <c r="L61" s="207" t="e">
        <v>#DIV/0!</v>
      </c>
      <c r="M61" s="30" t="e">
        <v>#DIV/0!</v>
      </c>
      <c r="N61" s="30">
        <v>0.8221094220610331</v>
      </c>
      <c r="O61" s="30">
        <v>0.95286242342061278</v>
      </c>
      <c r="P61" s="30">
        <v>0.82276546640386761</v>
      </c>
      <c r="Q61" s="30">
        <v>0.76482126691152907</v>
      </c>
      <c r="R61" s="30">
        <v>0.64647652468552486</v>
      </c>
      <c r="S61" s="30">
        <v>0.53867044765460692</v>
      </c>
      <c r="T61" s="32">
        <v>0.40429303491152579</v>
      </c>
      <c r="U61" s="30">
        <v>0.5142218110690645</v>
      </c>
      <c r="V61" s="30">
        <v>0.49668502465997627</v>
      </c>
      <c r="W61" s="30">
        <v>0.50593898691052885</v>
      </c>
      <c r="X61" s="30">
        <v>0.48694305056318127</v>
      </c>
      <c r="Y61" s="32">
        <v>0.51315699619858413</v>
      </c>
      <c r="Z61" s="32">
        <v>0.60318638365246646</v>
      </c>
      <c r="AA61" s="139">
        <v>0.68016253224461298</v>
      </c>
      <c r="AB61" s="139">
        <v>0.71034662157768091</v>
      </c>
      <c r="AC61" s="139">
        <v>0.71805255416129443</v>
      </c>
      <c r="AD61" s="139">
        <v>0.66354830198635562</v>
      </c>
      <c r="AE61" s="139">
        <v>0.62721801620630513</v>
      </c>
      <c r="AF61" s="139">
        <v>0.54734796327041257</v>
      </c>
      <c r="AG61" s="139">
        <v>0.55134139623603307</v>
      </c>
      <c r="AH61" s="139">
        <v>0.49537876335383618</v>
      </c>
      <c r="AI61" s="139">
        <v>0.50755703642001015</v>
      </c>
      <c r="AJ61" s="139">
        <v>0.52097888964014727</v>
      </c>
      <c r="AK61" s="139">
        <v>0.53226257471425076</v>
      </c>
      <c r="AL61" s="139">
        <v>0.51403673087103474</v>
      </c>
      <c r="AM61" s="139">
        <v>0.48582407471837574</v>
      </c>
      <c r="AN61" s="139">
        <v>0.51884089979018755</v>
      </c>
      <c r="AO61" s="139">
        <v>0.45857985682754687</v>
      </c>
      <c r="AP61" s="139">
        <v>0.43795330272103322</v>
      </c>
      <c r="AQ61" s="139">
        <v>0.47102846887636179</v>
      </c>
      <c r="AR61" s="139">
        <v>0.51318118172190519</v>
      </c>
      <c r="AS61" s="139">
        <v>0.61303401380899303</v>
      </c>
      <c r="AT61" s="139">
        <v>0.48532148535229669</v>
      </c>
      <c r="AU61" s="139">
        <v>0.52427030666261831</v>
      </c>
      <c r="AV61" s="140">
        <v>0.5555090133891839</v>
      </c>
      <c r="AW61" s="33">
        <v>0.5555090133891839</v>
      </c>
      <c r="AX61" s="33">
        <v>0.5555090133891839</v>
      </c>
      <c r="AY61" s="33">
        <v>0.5555090133891839</v>
      </c>
      <c r="AZ61" s="33">
        <v>0.5555090133891839</v>
      </c>
      <c r="BA61" s="33">
        <v>0.5555090133891839</v>
      </c>
      <c r="BB61" s="33">
        <v>0.5555090133891839</v>
      </c>
      <c r="BC61" s="33">
        <v>0.5555090133891839</v>
      </c>
      <c r="BD61" s="33">
        <v>0.5555090133891839</v>
      </c>
      <c r="BE61" s="33">
        <v>0.5555090133891839</v>
      </c>
      <c r="BF61" s="33">
        <v>0.5555090133891839</v>
      </c>
      <c r="BG61" s="33">
        <v>0.5555090133891839</v>
      </c>
      <c r="BH61" s="33">
        <v>0.5555090133891839</v>
      </c>
      <c r="BI61" s="33">
        <v>0.5555090133891839</v>
      </c>
      <c r="BJ61" s="33">
        <v>0.5555090133891839</v>
      </c>
      <c r="BK61" s="33">
        <v>0.5555090133891839</v>
      </c>
      <c r="BL61" s="33">
        <v>0.5555090133891839</v>
      </c>
      <c r="BM61" s="33">
        <v>0.5555090133891839</v>
      </c>
      <c r="BN61" s="33">
        <v>0.5555090133891839</v>
      </c>
      <c r="BO61" s="33">
        <v>0.5555090133891839</v>
      </c>
      <c r="BP61" s="30"/>
      <c r="BQ61" s="207">
        <v>5.3064547519563119</v>
      </c>
      <c r="BR61" s="207">
        <v>5.3996438133287787</v>
      </c>
      <c r="BS61" s="207">
        <v>5.5541770092732321</v>
      </c>
      <c r="BT61" s="207">
        <v>5.9753912995894005</v>
      </c>
      <c r="BU61" s="207">
        <v>5.8311055662815408</v>
      </c>
      <c r="BV61" s="207">
        <v>4.2559530831533028</v>
      </c>
      <c r="BW61" s="207">
        <v>4.5723156761005406</v>
      </c>
      <c r="BX61" s="207">
        <v>5.0257176218211823</v>
      </c>
      <c r="BY61" s="207">
        <v>4.9364662271874078</v>
      </c>
      <c r="BZ61" s="207">
        <v>4.7136226821944041</v>
      </c>
      <c r="CA61" s="30">
        <v>4.585364137180842</v>
      </c>
      <c r="CB61" s="30">
        <v>3.3884328079930013</v>
      </c>
      <c r="CC61" s="30">
        <v>2.3787561578084366</v>
      </c>
      <c r="CD61" s="30">
        <v>301.55882596985953</v>
      </c>
      <c r="CE61" s="30" t="e">
        <v>#DIV/0!</v>
      </c>
      <c r="CF61" s="30">
        <v>0.95286242342061278</v>
      </c>
      <c r="CG61" s="30">
        <v>0.76482126691152907</v>
      </c>
      <c r="CH61" s="30">
        <v>0.53867044765460692</v>
      </c>
      <c r="CI61" s="30">
        <v>0.5142218110690645</v>
      </c>
      <c r="CJ61" s="30">
        <v>0.50593898691052885</v>
      </c>
      <c r="CK61" s="32">
        <v>0.51315699619858413</v>
      </c>
      <c r="CL61" s="32">
        <v>0.68016253224461298</v>
      </c>
      <c r="CM61" s="32">
        <v>0.71805255416129443</v>
      </c>
      <c r="CN61" s="32">
        <v>0.62721801620630513</v>
      </c>
      <c r="CO61" s="32">
        <v>0.55134139623603307</v>
      </c>
      <c r="CP61" s="32">
        <v>0.50755703642001015</v>
      </c>
      <c r="CQ61" s="32">
        <v>0.53226257471425076</v>
      </c>
      <c r="CR61" s="32">
        <v>0.48582407471837574</v>
      </c>
      <c r="CS61" s="32">
        <v>0.45857985682754687</v>
      </c>
      <c r="CT61" s="32">
        <v>0.47102846887636179</v>
      </c>
      <c r="CU61" s="32">
        <v>0.61303401380899303</v>
      </c>
      <c r="CV61" s="31">
        <v>0.52427030666261831</v>
      </c>
      <c r="CW61" s="30">
        <v>0.5555090133891839</v>
      </c>
      <c r="CX61" s="30">
        <v>0.55550901338918401</v>
      </c>
      <c r="CY61" s="30">
        <v>0.5555090133891839</v>
      </c>
      <c r="CZ61" s="30">
        <v>0.5555090133891839</v>
      </c>
      <c r="DA61" s="30">
        <v>0.5555090133891839</v>
      </c>
      <c r="DB61" s="30">
        <v>0.5555090133891839</v>
      </c>
      <c r="DC61" s="30">
        <v>0.5555090133891839</v>
      </c>
      <c r="DD61" s="30">
        <v>0.5555090133891839</v>
      </c>
      <c r="DE61" s="30">
        <v>0.5555090133891839</v>
      </c>
      <c r="DF61" s="30">
        <v>0.5555090133891839</v>
      </c>
    </row>
    <row r="62" spans="1:110" ht="12" outlineLevel="1">
      <c r="C62" s="207"/>
      <c r="D62" s="207"/>
      <c r="E62" s="207"/>
      <c r="F62" s="207"/>
      <c r="G62" s="207"/>
      <c r="H62" s="207"/>
      <c r="I62" s="207"/>
      <c r="J62" s="207"/>
      <c r="K62" s="207"/>
      <c r="L62" s="207"/>
      <c r="M62" s="30"/>
      <c r="N62" s="30"/>
      <c r="O62" s="30"/>
      <c r="P62" s="30"/>
      <c r="Q62" s="30"/>
      <c r="R62" s="30"/>
      <c r="S62" s="30"/>
      <c r="T62" s="32"/>
      <c r="U62" s="30"/>
      <c r="V62" s="30"/>
      <c r="W62" s="30"/>
      <c r="X62" s="30"/>
      <c r="Y62" s="32"/>
      <c r="Z62" s="32"/>
      <c r="AA62" s="139"/>
      <c r="AB62" s="32"/>
      <c r="AC62" s="32"/>
      <c r="AD62" s="32"/>
      <c r="AE62" s="32"/>
      <c r="AF62" s="32"/>
      <c r="AG62" s="32"/>
      <c r="AH62" s="32"/>
      <c r="AI62" s="32"/>
      <c r="AJ62" s="489"/>
      <c r="AK62" s="489"/>
      <c r="AL62" s="489"/>
      <c r="AM62" s="489"/>
      <c r="AN62" s="489"/>
      <c r="AO62" s="489"/>
      <c r="AP62" s="489"/>
      <c r="AQ62" s="489"/>
      <c r="AR62" s="489"/>
      <c r="AS62" s="489"/>
      <c r="AT62" s="489"/>
      <c r="AU62" s="489"/>
      <c r="AV62" s="488"/>
      <c r="AW62" s="30"/>
      <c r="AX62" s="30"/>
      <c r="AY62" s="30"/>
      <c r="AZ62" s="30"/>
      <c r="BA62" s="30"/>
      <c r="BB62" s="30"/>
      <c r="BC62" s="30"/>
      <c r="BD62" s="30"/>
      <c r="BE62" s="30"/>
      <c r="BF62" s="30"/>
      <c r="BG62" s="30"/>
      <c r="BH62" s="30"/>
      <c r="BI62" s="30"/>
      <c r="BJ62" s="30"/>
      <c r="BK62" s="30"/>
      <c r="BL62" s="30"/>
      <c r="BM62" s="30"/>
      <c r="BN62" s="30"/>
      <c r="BO62" s="30"/>
      <c r="BP62" s="30"/>
      <c r="BQ62" s="207"/>
      <c r="BR62" s="207"/>
      <c r="BS62" s="207"/>
      <c r="BT62" s="207"/>
      <c r="BU62" s="207"/>
      <c r="BV62" s="207"/>
      <c r="BW62" s="207"/>
      <c r="BX62" s="207"/>
      <c r="BY62" s="207"/>
      <c r="BZ62" s="207"/>
      <c r="CA62" s="30"/>
      <c r="CB62" s="30"/>
      <c r="CC62" s="30"/>
      <c r="CD62" s="30"/>
      <c r="CE62" s="30"/>
      <c r="CF62" s="30"/>
      <c r="CG62" s="30"/>
      <c r="CH62" s="30"/>
      <c r="CI62" s="30"/>
      <c r="CJ62" s="30"/>
      <c r="CK62" s="32"/>
      <c r="CL62" s="32"/>
      <c r="CM62" s="32"/>
      <c r="CN62" s="32"/>
      <c r="CO62" s="32"/>
      <c r="CP62" s="32"/>
      <c r="CQ62" s="32"/>
      <c r="CR62" s="32"/>
      <c r="CS62" s="32"/>
      <c r="CT62" s="32"/>
      <c r="CU62" s="32"/>
      <c r="CV62" s="31"/>
      <c r="CW62" s="30"/>
      <c r="CX62" s="30"/>
      <c r="CY62" s="30"/>
      <c r="CZ62" s="15"/>
      <c r="DA62" s="15"/>
      <c r="DB62" s="15"/>
      <c r="DC62" s="15"/>
      <c r="DD62" s="15"/>
      <c r="DE62" s="15"/>
      <c r="DF62" s="15"/>
    </row>
    <row r="63" spans="1:110" ht="12" outlineLevel="1">
      <c r="A63" s="1" t="s">
        <v>867</v>
      </c>
      <c r="B63" s="15" t="s">
        <v>435</v>
      </c>
      <c r="C63" s="207" t="e">
        <v>#VALUE!</v>
      </c>
      <c r="D63" s="207">
        <v>6.0745705906996239E-2</v>
      </c>
      <c r="E63" s="207">
        <v>-1</v>
      </c>
      <c r="F63" s="207" t="e">
        <v>#DIV/0!</v>
      </c>
      <c r="G63" s="207" t="e">
        <v>#DIV/0!</v>
      </c>
      <c r="H63" s="207" t="e">
        <v>#DIV/0!</v>
      </c>
      <c r="I63" s="207" t="e">
        <v>#DIV/0!</v>
      </c>
      <c r="J63" s="207" t="e">
        <v>#DIV/0!</v>
      </c>
      <c r="K63" s="207" t="e">
        <v>#DIV/0!</v>
      </c>
      <c r="L63" s="207" t="e">
        <v>#DIV/0!</v>
      </c>
      <c r="M63" s="30" t="e">
        <v>#DIV/0!</v>
      </c>
      <c r="N63" s="30">
        <v>0.1273649257381142</v>
      </c>
      <c r="O63" s="30">
        <v>5.0140420576751943E-2</v>
      </c>
      <c r="P63" s="30">
        <v>-4.457200008696971E-2</v>
      </c>
      <c r="Q63" s="30">
        <v>-4.6719614045468094E-2</v>
      </c>
      <c r="R63" s="30">
        <v>-0.18775364048698973</v>
      </c>
      <c r="S63" s="30">
        <v>0.19673769287288767</v>
      </c>
      <c r="T63" s="32">
        <v>0.70115640745357299</v>
      </c>
      <c r="U63" s="30">
        <v>1.4348005421012333E-2</v>
      </c>
      <c r="V63" s="30">
        <v>2.2945772459264102E-2</v>
      </c>
      <c r="W63" s="30">
        <v>-7.6180470768619224E-2</v>
      </c>
      <c r="X63" s="30">
        <v>3.0581509712318766E-2</v>
      </c>
      <c r="Y63" s="32">
        <v>-1.3420416927619749E-3</v>
      </c>
      <c r="Z63" s="32">
        <v>3.9747954368990035E-2</v>
      </c>
      <c r="AA63" s="139">
        <v>3.1076772840853639E-2</v>
      </c>
      <c r="AB63" s="139">
        <v>2.331541268559012E-2</v>
      </c>
      <c r="AC63" s="139">
        <v>2.7194033101045401E-2</v>
      </c>
      <c r="AD63" s="139">
        <v>6.8212534782032597E-2</v>
      </c>
      <c r="AE63" s="139">
        <v>-4.0115110769307072E-2</v>
      </c>
      <c r="AF63" s="139">
        <v>-6.9264964333712875E-3</v>
      </c>
      <c r="AG63" s="139">
        <v>2.7430772433895578E-2</v>
      </c>
      <c r="AH63" s="139">
        <v>-1</v>
      </c>
      <c r="AI63" s="139" t="e">
        <v>#DIV/0!</v>
      </c>
      <c r="AJ63" s="139" t="e">
        <v>#DIV/0!</v>
      </c>
      <c r="AK63" s="139" t="e">
        <v>#DIV/0!</v>
      </c>
      <c r="AL63" s="139" t="e">
        <v>#DIV/0!</v>
      </c>
      <c r="AM63" s="139" t="e">
        <v>#DIV/0!</v>
      </c>
      <c r="AN63" s="139" t="e">
        <v>#DIV/0!</v>
      </c>
      <c r="AO63" s="139" t="e">
        <v>#DIV/0!</v>
      </c>
      <c r="AP63" s="139" t="e">
        <v>#DIV/0!</v>
      </c>
      <c r="AQ63" s="139">
        <v>0</v>
      </c>
      <c r="AR63" s="139">
        <v>0</v>
      </c>
      <c r="AS63" s="139">
        <v>0</v>
      </c>
      <c r="AT63" s="139">
        <v>0</v>
      </c>
      <c r="AU63" s="139">
        <v>0</v>
      </c>
      <c r="AV63" s="140">
        <v>0</v>
      </c>
      <c r="AW63" s="33">
        <v>0</v>
      </c>
      <c r="AX63" s="33">
        <v>0</v>
      </c>
      <c r="AY63" s="33">
        <v>0</v>
      </c>
      <c r="AZ63" s="33">
        <v>0</v>
      </c>
      <c r="BA63" s="33">
        <v>0</v>
      </c>
      <c r="BB63" s="33">
        <v>0</v>
      </c>
      <c r="BC63" s="33">
        <v>0</v>
      </c>
      <c r="BD63" s="33">
        <v>0</v>
      </c>
      <c r="BE63" s="33">
        <v>0</v>
      </c>
      <c r="BF63" s="33">
        <v>0</v>
      </c>
      <c r="BG63" s="33">
        <v>0</v>
      </c>
      <c r="BH63" s="33">
        <v>0</v>
      </c>
      <c r="BI63" s="33">
        <v>0</v>
      </c>
      <c r="BJ63" s="33">
        <v>0</v>
      </c>
      <c r="BK63" s="33">
        <v>0</v>
      </c>
      <c r="BL63" s="33">
        <v>0</v>
      </c>
      <c r="BM63" s="33">
        <v>0</v>
      </c>
      <c r="BN63" s="33">
        <v>0</v>
      </c>
      <c r="BO63" s="33">
        <v>0</v>
      </c>
      <c r="BP63" s="30"/>
      <c r="BQ63" s="207" t="e">
        <v>#DIV/0!</v>
      </c>
      <c r="BR63" s="207" t="e">
        <v>#DIV/0!</v>
      </c>
      <c r="BS63" s="207" t="e">
        <v>#DIV/0!</v>
      </c>
      <c r="BT63" s="207" t="e">
        <v>#DIV/0!</v>
      </c>
      <c r="BU63" s="207" t="e">
        <v>#DIV/0!</v>
      </c>
      <c r="BV63" s="207" t="e">
        <v>#DIV/0!</v>
      </c>
      <c r="BW63" s="207" t="e">
        <v>#DIV/0!</v>
      </c>
      <c r="BX63" s="207" t="e">
        <v>#DIV/0!</v>
      </c>
      <c r="BY63" s="207">
        <v>0.1663795225203053</v>
      </c>
      <c r="BZ63" s="207">
        <v>7.3855243722305008E-3</v>
      </c>
      <c r="CA63" s="30">
        <v>-1</v>
      </c>
      <c r="CB63" s="30" t="e">
        <v>#DIV/0!</v>
      </c>
      <c r="CC63" s="30" t="e">
        <v>#DIV/0!</v>
      </c>
      <c r="CD63" s="30" t="e">
        <v>#DIV/0!</v>
      </c>
      <c r="CE63" s="30" t="e">
        <v>#DIV/0!</v>
      </c>
      <c r="CF63" s="30">
        <v>0.18389147725810195</v>
      </c>
      <c r="CG63" s="30">
        <v>-8.920922749114002E-2</v>
      </c>
      <c r="CH63" s="30">
        <v>-2.7954165671997933E-2</v>
      </c>
      <c r="CI63" s="30">
        <v>0.72556460880970652</v>
      </c>
      <c r="CJ63" s="30">
        <v>-5.4982718057451585E-2</v>
      </c>
      <c r="CK63" s="32">
        <v>2.9198426358495233E-2</v>
      </c>
      <c r="CL63" s="32">
        <v>7.205996535865733E-2</v>
      </c>
      <c r="CM63" s="32">
        <v>5.114348589097184E-2</v>
      </c>
      <c r="CN63" s="32">
        <v>2.5361070624088988E-2</v>
      </c>
      <c r="CO63" s="32">
        <v>2.0314276853096169E-2</v>
      </c>
      <c r="CP63" s="32">
        <v>-1</v>
      </c>
      <c r="CQ63" s="32" t="e">
        <v>#DIV/0!</v>
      </c>
      <c r="CR63" s="32" t="e">
        <v>#DIV/0!</v>
      </c>
      <c r="CS63" s="32" t="e">
        <v>#DIV/0!</v>
      </c>
      <c r="CT63" s="32" t="e">
        <v>#DIV/0!</v>
      </c>
      <c r="CU63" s="32" t="e">
        <v>#DIV/0!</v>
      </c>
      <c r="CV63" s="31" t="e">
        <v>#DIV/0!</v>
      </c>
      <c r="CW63" s="30" t="e">
        <v>#DIV/0!</v>
      </c>
      <c r="CX63" s="30" t="e">
        <v>#DIV/0!</v>
      </c>
      <c r="CY63" s="30" t="e">
        <v>#DIV/0!</v>
      </c>
      <c r="CZ63" s="30" t="e">
        <v>#DIV/0!</v>
      </c>
      <c r="DA63" s="30" t="e">
        <v>#DIV/0!</v>
      </c>
      <c r="DB63" s="30" t="e">
        <v>#DIV/0!</v>
      </c>
      <c r="DC63" s="30" t="e">
        <v>#DIV/0!</v>
      </c>
      <c r="DD63" s="30" t="e">
        <v>#DIV/0!</v>
      </c>
      <c r="DE63" s="30" t="e">
        <v>#DIV/0!</v>
      </c>
      <c r="DF63" s="30" t="e">
        <v>#DIV/0!</v>
      </c>
    </row>
    <row r="64" spans="1:110" ht="12" outlineLevel="1">
      <c r="A64" s="1" t="s">
        <v>868</v>
      </c>
      <c r="B64" s="15" t="s">
        <v>436</v>
      </c>
      <c r="C64" s="207" t="e">
        <v>#VALUE!</v>
      </c>
      <c r="D64" s="207">
        <v>-0.15111544037694813</v>
      </c>
      <c r="E64" s="207">
        <v>0.39348589763980391</v>
      </c>
      <c r="F64" s="207">
        <v>3.7778695293146036E-2</v>
      </c>
      <c r="G64" s="207">
        <v>3.6403421523771629E-2</v>
      </c>
      <c r="H64" s="207">
        <v>3.5316698656429946E-2</v>
      </c>
      <c r="I64" s="207">
        <v>3.4111976269929567E-2</v>
      </c>
      <c r="J64" s="207">
        <v>1.657485576452955E-2</v>
      </c>
      <c r="K64" s="207">
        <v>1.6304609218436905E-2</v>
      </c>
      <c r="L64" s="207">
        <v>6.4203685007572009E-2</v>
      </c>
      <c r="M64" s="30">
        <v>-1</v>
      </c>
      <c r="N64" s="30" t="e">
        <v>#DIV/0!</v>
      </c>
      <c r="O64" s="30" t="e">
        <v>#DIV/0!</v>
      </c>
      <c r="P64" s="30" t="e">
        <v>#DIV/0!</v>
      </c>
      <c r="Q64" s="30" t="e">
        <v>#DIV/0!</v>
      </c>
      <c r="R64" s="30" t="e">
        <v>#DIV/0!</v>
      </c>
      <c r="S64" s="30" t="e">
        <v>#DIV/0!</v>
      </c>
      <c r="T64" s="32" t="e">
        <v>#DIV/0!</v>
      </c>
      <c r="U64" s="30">
        <v>-5.6441027564222757E-2</v>
      </c>
      <c r="V64" s="30">
        <v>1.7189984101748879E-2</v>
      </c>
      <c r="W64" s="30">
        <v>0.57477776692390359</v>
      </c>
      <c r="X64" s="30">
        <v>8.2439054649215304E-2</v>
      </c>
      <c r="Y64" s="32">
        <v>4.1891117478509932E-2</v>
      </c>
      <c r="Z64" s="32">
        <v>9.9389472526263622E-2</v>
      </c>
      <c r="AA64" s="139">
        <v>0.13463077846708016</v>
      </c>
      <c r="AB64" s="139">
        <v>9.8637506062877467E-2</v>
      </c>
      <c r="AC64" s="139">
        <v>-4.9767217851982681E-2</v>
      </c>
      <c r="AD64" s="139">
        <v>0.18668694036154765</v>
      </c>
      <c r="AE64" s="139">
        <v>-4.9686788154897465E-2</v>
      </c>
      <c r="AF64" s="139">
        <v>-0.69265917602996252</v>
      </c>
      <c r="AG64" s="139">
        <v>6.9095783572995284E-2</v>
      </c>
      <c r="AH64" s="139">
        <v>2.1070329419810783</v>
      </c>
      <c r="AI64" s="139">
        <v>6.1156357766527281E-2</v>
      </c>
      <c r="AJ64" s="139">
        <v>5.7770095073465866E-2</v>
      </c>
      <c r="AK64" s="139">
        <v>4.5103935154922059E-3</v>
      </c>
      <c r="AL64" s="139">
        <v>0.10027982039435157</v>
      </c>
      <c r="AM64" s="139">
        <v>5.7310149041873704E-2</v>
      </c>
      <c r="AN64" s="139">
        <v>-0.11470045309615706</v>
      </c>
      <c r="AO64" s="139">
        <v>3.017091586895404E-2</v>
      </c>
      <c r="AP64" s="139">
        <v>2.720191364082436E-2</v>
      </c>
      <c r="AQ64" s="139">
        <v>0.1130019405881475</v>
      </c>
      <c r="AR64" s="139">
        <v>-6.8696351931330502E-2</v>
      </c>
      <c r="AS64" s="139">
        <v>-0.12658774734295342</v>
      </c>
      <c r="AT64" s="139">
        <v>0.14035087719298245</v>
      </c>
      <c r="AU64" s="139">
        <v>-1.0121457489878916E-3</v>
      </c>
      <c r="AV64" s="140">
        <v>7.5669416702851322E-2</v>
      </c>
      <c r="AW64" s="33">
        <v>1.7104812593054179E-2</v>
      </c>
      <c r="AX64" s="33">
        <v>3.5312499999999962E-2</v>
      </c>
      <c r="AY64" s="33">
        <v>3.5312499999999962E-2</v>
      </c>
      <c r="AZ64" s="33">
        <v>3.5312499999999962E-2</v>
      </c>
      <c r="BA64" s="33">
        <v>3.5312499999999962E-2</v>
      </c>
      <c r="BB64" s="33">
        <v>3.5312499999999962E-2</v>
      </c>
      <c r="BC64" s="33">
        <v>3.5312499999999962E-2</v>
      </c>
      <c r="BD64" s="33">
        <v>3.5312499999999962E-2</v>
      </c>
      <c r="BE64" s="33">
        <v>3.5312499999999962E-2</v>
      </c>
      <c r="BF64" s="33">
        <v>3.5312499999999962E-2</v>
      </c>
      <c r="BG64" s="33">
        <v>3.5312499999999962E-2</v>
      </c>
      <c r="BH64" s="33">
        <v>3.5312499999999962E-2</v>
      </c>
      <c r="BI64" s="33">
        <v>3.5312499999999962E-2</v>
      </c>
      <c r="BJ64" s="33">
        <v>3.5312499999999962E-2</v>
      </c>
      <c r="BK64" s="33">
        <v>3.5312499999999962E-2</v>
      </c>
      <c r="BL64" s="33">
        <v>3.5312499999999962E-2</v>
      </c>
      <c r="BM64" s="33">
        <v>3.5312499999999962E-2</v>
      </c>
      <c r="BN64" s="33">
        <v>3.5312499999999962E-2</v>
      </c>
      <c r="BO64" s="33">
        <v>3.5312499999999962E-2</v>
      </c>
      <c r="BP64" s="30"/>
      <c r="BQ64" s="207" t="e">
        <v>#DIV/0!</v>
      </c>
      <c r="BR64" s="207">
        <v>0</v>
      </c>
      <c r="BS64" s="207">
        <v>3.0927835051546282E-2</v>
      </c>
      <c r="BT64" s="207">
        <v>0</v>
      </c>
      <c r="BU64" s="207">
        <v>0.13119999999999998</v>
      </c>
      <c r="BV64" s="207">
        <v>0.19147807637906644</v>
      </c>
      <c r="BW64" s="207">
        <v>7.1301380026710159E-2</v>
      </c>
      <c r="BX64" s="207">
        <v>-0.22397672969042182</v>
      </c>
      <c r="BY64" s="207">
        <v>-3.5519857206604222E-2</v>
      </c>
      <c r="BZ64" s="207">
        <v>0.31970111964467463</v>
      </c>
      <c r="CA64" s="30">
        <v>-8.4660577295907036E-2</v>
      </c>
      <c r="CB64" s="30">
        <v>7.5557390586292295E-2</v>
      </c>
      <c r="CC64" s="30">
        <v>7.0633397312859891E-2</v>
      </c>
      <c r="CD64" s="30">
        <v>3.3149711529058878E-2</v>
      </c>
      <c r="CE64" s="30">
        <v>-1</v>
      </c>
      <c r="CF64" s="30" t="e">
        <v>#DIV/0!</v>
      </c>
      <c r="CG64" s="30" t="e">
        <v>#DIV/0!</v>
      </c>
      <c r="CH64" s="30" t="e">
        <v>#DIV/0!</v>
      </c>
      <c r="CI64" s="30" t="e">
        <v>#DIV/0!</v>
      </c>
      <c r="CJ64" s="30">
        <v>0.60184817170111282</v>
      </c>
      <c r="CK64" s="32">
        <v>0.12778363625085287</v>
      </c>
      <c r="CL64" s="32">
        <v>0.24740113305098732</v>
      </c>
      <c r="CM64" s="32">
        <v>4.3961373958287364E-2</v>
      </c>
      <c r="CN64" s="32">
        <v>0.12772427774961992</v>
      </c>
      <c r="CO64" s="32">
        <v>-0.67142322097378271</v>
      </c>
      <c r="CP64" s="32">
        <v>2.2970477601732591</v>
      </c>
      <c r="CQ64" s="32">
        <v>6.2541054451166866E-2</v>
      </c>
      <c r="CR64" s="32">
        <v>0.16333702088891777</v>
      </c>
      <c r="CS64" s="32">
        <v>-8.7990154947698129E-2</v>
      </c>
      <c r="CT64" s="32">
        <v>0.14327772325809618</v>
      </c>
      <c r="CU64" s="32">
        <v>-0.18658798283261802</v>
      </c>
      <c r="CV64" s="31">
        <v>0.13919667590027696</v>
      </c>
      <c r="CW64" s="30">
        <v>9.4068540487633578E-2</v>
      </c>
      <c r="CX64" s="30">
        <v>7.1871972656249561E-2</v>
      </c>
      <c r="CY64" s="30">
        <v>7.1871972656249783E-2</v>
      </c>
      <c r="CZ64" s="30">
        <v>7.1871972656249561E-2</v>
      </c>
      <c r="DA64" s="30">
        <v>7.1871972656249783E-2</v>
      </c>
      <c r="DB64" s="30">
        <v>7.1871972656249783E-2</v>
      </c>
      <c r="DC64" s="30">
        <v>7.1871972656249783E-2</v>
      </c>
      <c r="DD64" s="30">
        <v>7.1871972656249783E-2</v>
      </c>
      <c r="DE64" s="30">
        <v>7.1871972656249783E-2</v>
      </c>
      <c r="DF64" s="30">
        <v>7.1871972656249561E-2</v>
      </c>
    </row>
    <row r="65" spans="1:110" ht="12" outlineLevel="1">
      <c r="AA65" s="139"/>
      <c r="AV65" s="200"/>
      <c r="CZ65" s="15"/>
      <c r="DA65" s="15"/>
      <c r="DB65" s="15"/>
      <c r="DC65" s="15"/>
      <c r="DD65" s="15"/>
      <c r="DE65" s="15"/>
      <c r="DF65" s="15"/>
    </row>
    <row r="66" spans="1:110" ht="12" outlineLevel="1">
      <c r="B66" s="17" t="s">
        <v>437</v>
      </c>
      <c r="Y66" s="41"/>
      <c r="Z66" s="41"/>
      <c r="AA66" s="41"/>
      <c r="AF66" s="423"/>
      <c r="AK66" s="493"/>
      <c r="AL66" s="493"/>
      <c r="AV66" s="200"/>
      <c r="AW66" s="34"/>
      <c r="AX66" s="34"/>
      <c r="AY66" s="34"/>
      <c r="AZ66" s="34"/>
      <c r="BA66" s="34"/>
      <c r="CQ66" s="37"/>
      <c r="CZ66" s="15"/>
      <c r="DA66" s="15"/>
      <c r="DB66" s="15"/>
      <c r="DC66" s="15"/>
      <c r="DD66" s="15"/>
      <c r="DE66" s="15"/>
      <c r="DF66" s="15"/>
    </row>
    <row r="67" spans="1:110" ht="12" outlineLevel="1">
      <c r="A67" s="1" t="s">
        <v>869</v>
      </c>
      <c r="B67" s="15" t="s">
        <v>218</v>
      </c>
      <c r="C67" s="375">
        <v>1.5428502777777704E-2</v>
      </c>
      <c r="D67" s="375">
        <v>1.4608225000000013E-2</v>
      </c>
      <c r="E67" s="375">
        <v>1.2194058333333356E-2</v>
      </c>
      <c r="F67" s="375">
        <v>1.4038988888888788E-2</v>
      </c>
      <c r="G67" s="375">
        <v>1.399159305555555E-2</v>
      </c>
      <c r="H67" s="375">
        <v>1.1687204166666708E-2</v>
      </c>
      <c r="I67" s="375">
        <v>6.9794333333333056E-3</v>
      </c>
      <c r="J67" s="375">
        <v>8.8399819444444153E-3</v>
      </c>
      <c r="K67" s="375">
        <v>9.0907319444444041E-3</v>
      </c>
      <c r="L67" s="375">
        <v>8.6306555555555331E-3</v>
      </c>
      <c r="M67" s="149">
        <v>7.5932944444444227E-3</v>
      </c>
      <c r="N67" s="149">
        <v>8.0042944444444104E-3</v>
      </c>
      <c r="O67" s="149">
        <v>7.3717180555555161E-3</v>
      </c>
      <c r="P67" s="149">
        <v>5.07039166666662E-3</v>
      </c>
      <c r="Q67" s="149">
        <v>1.043110694444443E-2</v>
      </c>
      <c r="R67" s="149">
        <v>1.8490780555555524E-2</v>
      </c>
      <c r="S67" s="149">
        <v>1.6079843055555511E-2</v>
      </c>
      <c r="T67" s="149">
        <v>1.5407926388888854E-2</v>
      </c>
      <c r="U67" s="149">
        <v>1.7582634722222209E-2</v>
      </c>
      <c r="V67" s="149">
        <v>2.0047843055555539E-2</v>
      </c>
      <c r="W67" s="149">
        <v>2.0428197222222177E-2</v>
      </c>
      <c r="X67" s="149">
        <v>2.1541308333333276E-2</v>
      </c>
      <c r="Y67" s="149">
        <v>2.4829683333333352E-2</v>
      </c>
      <c r="Z67" s="149">
        <v>2.4725933333333248E-2</v>
      </c>
      <c r="AA67" s="149">
        <v>2.3864336111111082E-2</v>
      </c>
      <c r="AB67" s="149">
        <v>2.2945099999999958E-2</v>
      </c>
      <c r="AC67" s="149">
        <v>2.2476488888888837E-2</v>
      </c>
      <c r="AD67" s="149">
        <v>2.275336388888885E-2</v>
      </c>
      <c r="AE67" s="149">
        <v>2.3239197222222171E-2</v>
      </c>
      <c r="AF67" s="149">
        <v>2.357780833333328E-2</v>
      </c>
      <c r="AG67" s="149">
        <v>2.4674405555555532E-2</v>
      </c>
      <c r="AH67" s="149">
        <v>2.4835863888888823E-2</v>
      </c>
      <c r="AI67" s="149">
        <v>2.5204822222222079E-2</v>
      </c>
      <c r="AJ67" s="149">
        <v>2.4386349999999956E-2</v>
      </c>
      <c r="AK67" s="149">
        <v>2.2852599999999938E-2</v>
      </c>
      <c r="AL67" s="149">
        <v>2.4508349999999936E-2</v>
      </c>
      <c r="AM67" s="149">
        <v>2.8899999999999999E-2</v>
      </c>
      <c r="AN67" s="149">
        <v>2.8065393242717618E-2</v>
      </c>
      <c r="AO67" s="149">
        <v>3.0314753095374888E-2</v>
      </c>
      <c r="AP67" s="149">
        <v>2.926148050862834E-2</v>
      </c>
      <c r="AQ67" s="149">
        <v>2.7664337659002766E-2</v>
      </c>
      <c r="AR67" s="149">
        <v>2.605436888822828E-2</v>
      </c>
      <c r="AS67" s="149">
        <v>2.0068221160826214E-2</v>
      </c>
      <c r="AT67" s="149">
        <v>2.1328954863088116E-2</v>
      </c>
      <c r="AU67" s="149">
        <v>2.0941275720756852E-2</v>
      </c>
      <c r="AV67" s="559">
        <v>2.0868098554208837E-2</v>
      </c>
      <c r="AW67" s="34">
        <v>2.0518098554208837E-2</v>
      </c>
      <c r="AX67" s="34">
        <v>2.0018098554208837E-2</v>
      </c>
      <c r="AY67" s="34">
        <v>2.0018098554208837E-2</v>
      </c>
      <c r="AZ67" s="34">
        <v>2.0018098554208837E-2</v>
      </c>
      <c r="BA67" s="34">
        <v>2.0018098554208837E-2</v>
      </c>
      <c r="BB67" s="34">
        <v>1.9918008061437793E-2</v>
      </c>
      <c r="BC67" s="34">
        <v>1.9519647900209037E-2</v>
      </c>
      <c r="BD67" s="34">
        <v>1.9419647900209037E-2</v>
      </c>
      <c r="BE67" s="34">
        <v>1.9319647900209038E-2</v>
      </c>
      <c r="BF67" s="34">
        <v>1.9319647900209038E-2</v>
      </c>
      <c r="BG67" s="34">
        <v>1.9319647900209038E-2</v>
      </c>
      <c r="BH67" s="34">
        <v>1.9319647900209038E-2</v>
      </c>
      <c r="BI67" s="34">
        <v>1.9319647900209038E-2</v>
      </c>
      <c r="BJ67" s="34">
        <v>1.9319647900209038E-2</v>
      </c>
      <c r="BK67" s="34">
        <v>1.9319647900209038E-2</v>
      </c>
      <c r="BL67" s="34">
        <v>1.9319647900209038E-2</v>
      </c>
      <c r="BM67" s="34">
        <v>1.9319647900209038E-2</v>
      </c>
      <c r="BN67" s="34">
        <v>1.9319647900209038E-2</v>
      </c>
      <c r="BO67" s="34">
        <v>1.9319647900209038E-2</v>
      </c>
      <c r="BP67" s="35"/>
      <c r="BQ67" s="345">
        <v>0</v>
      </c>
      <c r="BR67" s="345">
        <v>0</v>
      </c>
      <c r="BS67" s="345">
        <v>0</v>
      </c>
      <c r="BT67" s="345">
        <v>0</v>
      </c>
      <c r="BU67" s="345">
        <v>0</v>
      </c>
      <c r="BV67" s="345">
        <v>0</v>
      </c>
      <c r="BW67" s="345">
        <v>0</v>
      </c>
      <c r="BX67" s="345">
        <v>0</v>
      </c>
      <c r="BY67" s="345">
        <v>0</v>
      </c>
      <c r="BZ67" s="345">
        <v>0</v>
      </c>
      <c r="CA67" s="35">
        <v>1.3351544000450504E-2</v>
      </c>
      <c r="CB67" s="35">
        <v>1.4017377922630315E-2</v>
      </c>
      <c r="CC67" s="35">
        <v>9.1984244215502064E-3</v>
      </c>
      <c r="CD67" s="35">
        <v>8.9709426301383833E-3</v>
      </c>
      <c r="CE67" s="35">
        <v>8.0795843429111083E-3</v>
      </c>
      <c r="CF67" s="35">
        <v>7.7111011296907318E-3</v>
      </c>
      <c r="CG67" s="35">
        <v>7.7797696542841127E-3</v>
      </c>
      <c r="CH67" s="35">
        <v>1.719101727169951E-2</v>
      </c>
      <c r="CI67" s="35">
        <v>1.6465313654880638E-2</v>
      </c>
      <c r="CJ67" s="35">
        <v>2.013598740880811E-2</v>
      </c>
      <c r="CK67" s="37">
        <v>2.3275259488290803E-2</v>
      </c>
      <c r="CL67" s="37">
        <v>2.4321019213611982E-2</v>
      </c>
      <c r="CM67" s="37">
        <v>2.2658196516539234E-2</v>
      </c>
      <c r="CN67" s="37">
        <v>2.3016095604838995E-2</v>
      </c>
      <c r="CO67" s="37">
        <v>2.4362992830131512E-2</v>
      </c>
      <c r="CP67" s="37">
        <v>2.5028708657643433E-2</v>
      </c>
      <c r="CQ67" s="37">
        <v>2.3749944697609635E-2</v>
      </c>
      <c r="CR67" s="37">
        <v>2.6928454738073263E-2</v>
      </c>
      <c r="CS67" s="37">
        <v>2.85075396485946E-2</v>
      </c>
      <c r="CT67" s="37">
        <v>2.8742422699662231E-2</v>
      </c>
      <c r="CU67" s="37">
        <v>2.3055942019367663E-2</v>
      </c>
      <c r="CV67" s="36">
        <v>2.1133326891659497E-2</v>
      </c>
      <c r="CW67" s="35">
        <v>2.0684763079385056E-2</v>
      </c>
      <c r="CX67" s="35">
        <v>2.0018098554208837E-2</v>
      </c>
      <c r="CY67" s="35">
        <v>2.001809855420884E-2</v>
      </c>
      <c r="CZ67" s="35">
        <v>1.9716497784914713E-2</v>
      </c>
      <c r="DA67" s="35">
        <v>1.9369199925127759E-2</v>
      </c>
      <c r="DB67" s="35">
        <v>1.9319647900209038E-2</v>
      </c>
      <c r="DC67" s="35">
        <v>1.9319647900209038E-2</v>
      </c>
      <c r="DD67" s="35">
        <v>1.9319647900209038E-2</v>
      </c>
      <c r="DE67" s="35">
        <v>1.9319647900209035E-2</v>
      </c>
      <c r="DF67" s="35">
        <v>1.9319647900209035E-2</v>
      </c>
    </row>
    <row r="68" spans="1:110" ht="12" outlineLevel="1">
      <c r="A68" s="1" t="s">
        <v>870</v>
      </c>
      <c r="B68" s="15" t="s">
        <v>438</v>
      </c>
      <c r="C68" s="375">
        <v>2.6197480827113595E-2</v>
      </c>
      <c r="D68" s="375">
        <v>2.3956810034853671E-2</v>
      </c>
      <c r="E68" s="375">
        <v>2.1905802315802636E-2</v>
      </c>
      <c r="F68" s="375">
        <v>2.2440773840474493E-2</v>
      </c>
      <c r="G68" s="375">
        <v>2.1877184802169825E-2</v>
      </c>
      <c r="H68" s="375">
        <v>1.9410123615064334E-2</v>
      </c>
      <c r="I68" s="375">
        <v>1.9572953769419033E-2</v>
      </c>
      <c r="J68" s="375">
        <v>1.7478928887580736E-2</v>
      </c>
      <c r="K68" s="375">
        <v>1.7565141392041683E-2</v>
      </c>
      <c r="L68" s="375">
        <v>1.687164535966923E-2</v>
      </c>
      <c r="M68" s="149">
        <v>1.4950871234944541E-2</v>
      </c>
      <c r="N68" s="149">
        <v>1.4397025036505973E-2</v>
      </c>
      <c r="O68" s="149">
        <v>1.3361674348231878E-2</v>
      </c>
      <c r="P68" s="149">
        <v>1.1405160783031998E-2</v>
      </c>
      <c r="Q68" s="149">
        <v>1.5099215944443412E-2</v>
      </c>
      <c r="R68" s="149">
        <v>2.6671259436659489E-2</v>
      </c>
      <c r="S68" s="149">
        <v>2.6726162840427059E-2</v>
      </c>
      <c r="T68" s="149">
        <v>2.6313070915424119E-2</v>
      </c>
      <c r="U68" s="149">
        <v>2.6908276271163101E-2</v>
      </c>
      <c r="V68" s="149">
        <v>3.0174631443157462E-2</v>
      </c>
      <c r="W68" s="149">
        <v>3.1848487022388072E-2</v>
      </c>
      <c r="X68" s="149">
        <v>3.2633245474479433E-2</v>
      </c>
      <c r="Y68" s="149">
        <v>3.5312886781760033E-2</v>
      </c>
      <c r="Z68" s="149">
        <v>3.4819712298446825E-2</v>
      </c>
      <c r="AA68" s="149">
        <v>3.5718445803580634E-2</v>
      </c>
      <c r="AB68" s="149">
        <v>3.5222716312464986E-2</v>
      </c>
      <c r="AC68" s="149">
        <v>3.4965744055591941E-2</v>
      </c>
      <c r="AD68" s="149">
        <v>3.476672874466824E-2</v>
      </c>
      <c r="AE68" s="149">
        <v>3.3973478780346955E-2</v>
      </c>
      <c r="AF68" s="149">
        <v>3.2424799556296069E-2</v>
      </c>
      <c r="AG68" s="149">
        <v>3.3443217158303007E-2</v>
      </c>
      <c r="AH68" s="149">
        <v>3.2738938233455986E-2</v>
      </c>
      <c r="AI68" s="149">
        <v>3.2837831902301939E-2</v>
      </c>
      <c r="AJ68" s="149">
        <v>3.1513483474842729E-2</v>
      </c>
      <c r="AK68" s="149">
        <v>3.054692454897312E-2</v>
      </c>
      <c r="AL68" s="149">
        <v>3.1203907504882E-2</v>
      </c>
      <c r="AM68" s="149">
        <v>3.4299999999999997E-2</v>
      </c>
      <c r="AN68" s="149">
        <v>3.3532435182180353E-2</v>
      </c>
      <c r="AO68" s="149">
        <v>3.4820726722394058E-2</v>
      </c>
      <c r="AP68" s="149">
        <v>3.3579290462787327E-2</v>
      </c>
      <c r="AQ68" s="149">
        <v>3.1926173758044803E-2</v>
      </c>
      <c r="AR68" s="149">
        <v>2.9990526851627366E-2</v>
      </c>
      <c r="AS68" s="149">
        <v>2.0490667115181705E-2</v>
      </c>
      <c r="AT68" s="149">
        <v>2.1599427785411147E-2</v>
      </c>
      <c r="AU68" s="149">
        <v>2.0455563257273882E-2</v>
      </c>
      <c r="AV68" s="559">
        <v>2.1223941903063214E-2</v>
      </c>
      <c r="AW68" s="34">
        <v>2.0162744807910051E-2</v>
      </c>
      <c r="AX68" s="34">
        <v>2.1170882048305556E-2</v>
      </c>
      <c r="AY68" s="34">
        <v>2.1170882048305556E-2</v>
      </c>
      <c r="AZ68" s="34">
        <v>2.1170882048305556E-2</v>
      </c>
      <c r="BA68" s="34">
        <v>2.1170882048305556E-2</v>
      </c>
      <c r="BB68" s="34">
        <v>2.1170882048305556E-2</v>
      </c>
      <c r="BC68" s="34">
        <v>2.1170882048305556E-2</v>
      </c>
      <c r="BD68" s="34">
        <v>2.1170882048305556E-2</v>
      </c>
      <c r="BE68" s="34">
        <v>2.1170882048305556E-2</v>
      </c>
      <c r="BF68" s="34">
        <v>2.1170882048305556E-2</v>
      </c>
      <c r="BG68" s="34">
        <v>2.1170882048305556E-2</v>
      </c>
      <c r="BH68" s="34">
        <v>2.1170882048305556E-2</v>
      </c>
      <c r="BI68" s="34">
        <v>2.1170882048305556E-2</v>
      </c>
      <c r="BJ68" s="34">
        <v>2.1170882048305556E-2</v>
      </c>
      <c r="BK68" s="34">
        <v>2.1170882048305556E-2</v>
      </c>
      <c r="BL68" s="34">
        <v>2.1170882048305556E-2</v>
      </c>
      <c r="BM68" s="34">
        <v>2.1170882048305556E-2</v>
      </c>
      <c r="BN68" s="34">
        <v>2.1170882048305556E-2</v>
      </c>
      <c r="BO68" s="34">
        <v>2.1170882048305556E-2</v>
      </c>
      <c r="BP68" s="35"/>
      <c r="BQ68" s="345">
        <v>0</v>
      </c>
      <c r="BR68" s="345">
        <v>0</v>
      </c>
      <c r="BS68" s="345">
        <v>0</v>
      </c>
      <c r="BT68" s="345">
        <v>0</v>
      </c>
      <c r="BU68" s="345">
        <v>0</v>
      </c>
      <c r="BV68" s="345">
        <v>0</v>
      </c>
      <c r="BW68" s="345">
        <v>0</v>
      </c>
      <c r="BX68" s="345">
        <v>0</v>
      </c>
      <c r="BY68" s="345">
        <v>0</v>
      </c>
      <c r="BZ68" s="345">
        <v>0</v>
      </c>
      <c r="CA68" s="35">
        <v>2.2931092761409217E-2</v>
      </c>
      <c r="CB68" s="35">
        <v>2.2155049440132954E-2</v>
      </c>
      <c r="CC68" s="35">
        <v>1.9491750523252086E-2</v>
      </c>
      <c r="CD68" s="35">
        <v>1.7525662400915604E-2</v>
      </c>
      <c r="CE68" s="35">
        <v>1.5847119161689117E-2</v>
      </c>
      <c r="CF68" s="35">
        <v>1.3919133637584817E-2</v>
      </c>
      <c r="CG68" s="35">
        <v>1.3234348710626344E-2</v>
      </c>
      <c r="CH68" s="35">
        <v>2.6582456772242288E-2</v>
      </c>
      <c r="CI68" s="35">
        <v>2.6618519500424966E-2</v>
      </c>
      <c r="CJ68" s="35">
        <v>2.8947478525244118E-2</v>
      </c>
      <c r="CK68" s="37">
        <v>3.4873092264894753E-2</v>
      </c>
      <c r="CL68" s="37">
        <v>3.5434126953999022E-2</v>
      </c>
      <c r="CM68" s="37">
        <v>3.4910783036292775E-2</v>
      </c>
      <c r="CN68" s="37">
        <v>3.434259220526481E-2</v>
      </c>
      <c r="CO68" s="37">
        <v>3.2075012844794935E-2</v>
      </c>
      <c r="CP68" s="37">
        <v>3.1621412660336835E-2</v>
      </c>
      <c r="CQ68" s="37">
        <v>3.0733542871808128E-2</v>
      </c>
      <c r="CR68" s="37">
        <v>3.2842975170933569E-2</v>
      </c>
      <c r="CS68" s="37">
        <v>3.3767242323140621E-2</v>
      </c>
      <c r="CT68" s="37">
        <v>3.2719341926043352E-2</v>
      </c>
      <c r="CU68" s="37">
        <v>2.5201012594412688E-2</v>
      </c>
      <c r="CV68" s="36">
        <v>2.1028515225874837E-2</v>
      </c>
      <c r="CW68" s="35">
        <v>2.0665634616301155E-2</v>
      </c>
      <c r="CX68" s="35">
        <v>2.1170882048305556E-2</v>
      </c>
      <c r="CY68" s="35">
        <v>2.1170882048305556E-2</v>
      </c>
      <c r="CZ68" s="35">
        <v>2.1170882048305556E-2</v>
      </c>
      <c r="DA68" s="35">
        <v>2.1170882048305559E-2</v>
      </c>
      <c r="DB68" s="35">
        <v>2.1170882048305556E-2</v>
      </c>
      <c r="DC68" s="35">
        <v>2.1170882048305559E-2</v>
      </c>
      <c r="DD68" s="35">
        <v>2.1170882048305549E-2</v>
      </c>
      <c r="DE68" s="35">
        <v>2.1170882048305553E-2</v>
      </c>
      <c r="DF68" s="35">
        <v>2.1170882048305559E-2</v>
      </c>
    </row>
    <row r="69" spans="1:110" ht="12" outlineLevel="1">
      <c r="A69" s="1" t="s">
        <v>871</v>
      </c>
      <c r="B69" s="15" t="s">
        <v>439</v>
      </c>
      <c r="C69" s="345">
        <v>-3.2140480227019777E-2</v>
      </c>
      <c r="D69" s="345">
        <v>-1.6545308437929764E-2</v>
      </c>
      <c r="E69" s="345">
        <v>-2.4593515866652853E-2</v>
      </c>
      <c r="F69" s="345">
        <v>-1.9938011350525895E-2</v>
      </c>
      <c r="G69" s="345">
        <v>-1.8002965742767944E-2</v>
      </c>
      <c r="H69" s="345">
        <v>-2.8453172074138115E-2</v>
      </c>
      <c r="I69" s="345">
        <v>-7.1054396083921507E-3</v>
      </c>
      <c r="J69" s="345">
        <v>3.0292916604888073E-2</v>
      </c>
      <c r="K69" s="345">
        <v>3.4975044839463135E-2</v>
      </c>
      <c r="L69" s="345">
        <v>3.6813072077601865E-2</v>
      </c>
      <c r="M69" s="35">
        <v>3.0118120782575634E-2</v>
      </c>
      <c r="N69" s="35">
        <v>2.9897958648081296E-2</v>
      </c>
      <c r="O69" s="35">
        <v>3.0305159051508001E-2</v>
      </c>
      <c r="P69" s="35">
        <v>2.0133676809485541E-2</v>
      </c>
      <c r="Q69" s="35">
        <v>1.1295435880496637E-2</v>
      </c>
      <c r="R69" s="35">
        <v>5.7486047924208597E-2</v>
      </c>
      <c r="S69" s="35">
        <v>6.1319012999291406E-2</v>
      </c>
      <c r="T69" s="37">
        <v>5.6076469635978329E-2</v>
      </c>
      <c r="U69" s="35">
        <v>5.5959223932312396E-2</v>
      </c>
      <c r="V69" s="35">
        <v>4.133886154303467E-2</v>
      </c>
      <c r="W69" s="35">
        <v>4.2398357419383921E-2</v>
      </c>
      <c r="X69" s="35">
        <v>4.1794040609325546E-2</v>
      </c>
      <c r="Y69" s="37">
        <v>4.4604226434103007E-2</v>
      </c>
      <c r="Z69" s="228">
        <v>4.8674037865008506E-2</v>
      </c>
      <c r="AA69" s="228">
        <v>4.4830041962631711E-2</v>
      </c>
      <c r="AB69" s="228">
        <v>3.9526562901294117E-2</v>
      </c>
      <c r="AC69" s="228">
        <v>3.1541712956034813E-2</v>
      </c>
      <c r="AD69" s="228">
        <v>2.6872607711036028E-2</v>
      </c>
      <c r="AE69" s="228">
        <v>2.7823752131666428E-2</v>
      </c>
      <c r="AF69" s="228">
        <v>3.9418445973248353E-2</v>
      </c>
      <c r="AG69" s="228">
        <v>4.6611220287466913E-2</v>
      </c>
      <c r="AH69" s="228">
        <v>4.1903755460564816E-2</v>
      </c>
      <c r="AI69" s="228">
        <v>4.5139864025218732E-2</v>
      </c>
      <c r="AJ69" s="228">
        <v>4.247383111606564E-2</v>
      </c>
      <c r="AK69" s="228">
        <v>3.5933173711001E-2</v>
      </c>
      <c r="AL69" s="228">
        <v>3.2393193382504161E-2</v>
      </c>
      <c r="AM69" s="228">
        <v>3.4843565718053124E-2</v>
      </c>
      <c r="AN69" s="228">
        <v>3.7637190934565391E-2</v>
      </c>
      <c r="AO69" s="228">
        <v>3.0865352240662829E-2</v>
      </c>
      <c r="AP69" s="228">
        <v>3.6625389714161904E-2</v>
      </c>
      <c r="AQ69" s="228">
        <v>4.0272632701632102E-2</v>
      </c>
      <c r="AR69" s="228">
        <v>3.7231954882069318E-2</v>
      </c>
      <c r="AS69" s="228">
        <v>1.9135211153411578E-2</v>
      </c>
      <c r="AT69" s="228">
        <v>2.0696580627127526E-2</v>
      </c>
      <c r="AU69" s="228">
        <v>2.0606233500436822E-2</v>
      </c>
      <c r="AV69" s="39">
        <v>2.6058993602260314E-2</v>
      </c>
      <c r="AW69" s="34">
        <v>2.6058993602260314E-2</v>
      </c>
      <c r="AX69" s="34">
        <v>2.671046844231682E-2</v>
      </c>
      <c r="AY69" s="34">
        <v>2.721046844231682E-2</v>
      </c>
      <c r="AZ69" s="34">
        <v>2.7710468442316821E-2</v>
      </c>
      <c r="BA69" s="34">
        <v>2.7710468442316821E-2</v>
      </c>
      <c r="BB69" s="34">
        <v>2.7710468442316821E-2</v>
      </c>
      <c r="BC69" s="34">
        <v>2.7710468442316821E-2</v>
      </c>
      <c r="BD69" s="34">
        <v>2.7710468442316821E-2</v>
      </c>
      <c r="BE69" s="34">
        <v>2.7710468442316821E-2</v>
      </c>
      <c r="BF69" s="34">
        <v>2.7710468442316821E-2</v>
      </c>
      <c r="BG69" s="34">
        <v>2.7710468442316821E-2</v>
      </c>
      <c r="BH69" s="34">
        <v>2.7710468442316821E-2</v>
      </c>
      <c r="BI69" s="34">
        <v>2.7710468442316821E-2</v>
      </c>
      <c r="BJ69" s="34">
        <v>2.7710468442316821E-2</v>
      </c>
      <c r="BK69" s="34">
        <v>2.7710468442316821E-2</v>
      </c>
      <c r="BL69" s="34">
        <v>2.7710468442316821E-2</v>
      </c>
      <c r="BM69" s="34">
        <v>2.7710468442316821E-2</v>
      </c>
      <c r="BN69" s="34">
        <v>2.7710468442316821E-2</v>
      </c>
      <c r="BO69" s="34">
        <v>2.7710468442316821E-2</v>
      </c>
      <c r="BP69" s="35"/>
      <c r="BQ69" s="345">
        <v>0</v>
      </c>
      <c r="BR69" s="345">
        <v>0</v>
      </c>
      <c r="BS69" s="345">
        <v>0</v>
      </c>
      <c r="BT69" s="345">
        <v>0</v>
      </c>
      <c r="BU69" s="345">
        <v>0</v>
      </c>
      <c r="BV69" s="345">
        <v>0</v>
      </c>
      <c r="BW69" s="345">
        <v>0</v>
      </c>
      <c r="BX69" s="345">
        <v>0</v>
      </c>
      <c r="BY69" s="345">
        <v>0</v>
      </c>
      <c r="BZ69" s="345">
        <v>0</v>
      </c>
      <c r="CA69" s="35">
        <v>-2.0593098167603414E-2</v>
      </c>
      <c r="CB69" s="35">
        <v>-1.8934734356817255E-2</v>
      </c>
      <c r="CC69" s="35">
        <v>-1.7666541793763323E-2</v>
      </c>
      <c r="CD69" s="35">
        <v>3.2717306039679706E-2</v>
      </c>
      <c r="CE69" s="35">
        <v>3.3170997678882298E-2</v>
      </c>
      <c r="CF69" s="35">
        <v>2.9528205568246566E-2</v>
      </c>
      <c r="CG69" s="35">
        <v>1.5938233077262959E-2</v>
      </c>
      <c r="CH69" s="35">
        <v>6.0429079306672011E-2</v>
      </c>
      <c r="CI69" s="35">
        <v>5.6161906384661425E-2</v>
      </c>
      <c r="CJ69" s="35">
        <v>4.5468666520464128E-2</v>
      </c>
      <c r="CK69" s="37">
        <v>4.184142738283305E-2</v>
      </c>
      <c r="CL69" s="37">
        <v>4.6962599326699273E-2</v>
      </c>
      <c r="CM69" s="37">
        <v>3.5868484474145666E-2</v>
      </c>
      <c r="CN69" s="37">
        <v>2.771442688271394E-2</v>
      </c>
      <c r="CO69" s="37">
        <v>4.2710639972863049E-2</v>
      </c>
      <c r="CP69" s="37">
        <v>4.480852748014999E-2</v>
      </c>
      <c r="CQ69" s="37">
        <v>3.8594509085023675E-2</v>
      </c>
      <c r="CR69" s="37">
        <v>3.2715037294787329E-2</v>
      </c>
      <c r="CS69" s="37">
        <v>3.6532874550111859E-2</v>
      </c>
      <c r="CT69" s="37">
        <v>3.7295186606510877E-2</v>
      </c>
      <c r="CU69" s="37">
        <v>2.7769521069047273E-2</v>
      </c>
      <c r="CV69" s="36">
        <v>2.0651481572558233E-2</v>
      </c>
      <c r="CW69" s="35">
        <v>2.605899360226031E-2</v>
      </c>
      <c r="CX69" s="35">
        <v>2.6965457869984659E-2</v>
      </c>
      <c r="CY69" s="35">
        <v>2.7710468442316824E-2</v>
      </c>
      <c r="CZ69" s="35">
        <v>2.7710468442316821E-2</v>
      </c>
      <c r="DA69" s="35">
        <v>2.7710468442316821E-2</v>
      </c>
      <c r="DB69" s="35">
        <v>2.7710468442316821E-2</v>
      </c>
      <c r="DC69" s="35">
        <v>2.7710468442316821E-2</v>
      </c>
      <c r="DD69" s="35">
        <v>2.7710468442316828E-2</v>
      </c>
      <c r="DE69" s="35">
        <v>2.7710468442316814E-2</v>
      </c>
      <c r="DF69" s="35">
        <v>2.7710468442316814E-2</v>
      </c>
    </row>
    <row r="70" spans="1:110" ht="12" outlineLevel="1">
      <c r="A70" s="1" t="s">
        <v>872</v>
      </c>
      <c r="B70" s="15" t="s">
        <v>220</v>
      </c>
      <c r="C70" s="375">
        <v>1.8730193848851322E-2</v>
      </c>
      <c r="D70" s="375">
        <v>2.1581375229213023E-2</v>
      </c>
      <c r="E70" s="375">
        <v>1.8717203925846228E-2</v>
      </c>
      <c r="F70" s="375">
        <v>2.1694437593833563E-2</v>
      </c>
      <c r="G70" s="375">
        <v>2.1055072497303456E-2</v>
      </c>
      <c r="H70" s="375">
        <v>1.4999862262611366E-2</v>
      </c>
      <c r="I70" s="375">
        <v>1.5766950521205317E-2</v>
      </c>
      <c r="J70" s="375">
        <v>1.4347605755451902E-2</v>
      </c>
      <c r="K70" s="375">
        <v>1.4931058796965616E-2</v>
      </c>
      <c r="L70" s="375">
        <v>1.4859737964153887E-2</v>
      </c>
      <c r="M70" s="149">
        <v>1.2057686892376289E-2</v>
      </c>
      <c r="N70" s="149">
        <v>1.0756606695925555E-2</v>
      </c>
      <c r="O70" s="149">
        <v>8.6252253791488515E-3</v>
      </c>
      <c r="P70" s="149">
        <v>7.9901286428591192E-3</v>
      </c>
      <c r="Q70" s="149">
        <v>1.5817441263599179E-2</v>
      </c>
      <c r="R70" s="149">
        <v>4.6217900993245145E-2</v>
      </c>
      <c r="S70" s="149">
        <v>4.9068265320456383E-2</v>
      </c>
      <c r="T70" s="149">
        <v>4.4920333623463371E-2</v>
      </c>
      <c r="U70" s="149">
        <v>4.5912143564777935E-2</v>
      </c>
      <c r="V70" s="149">
        <v>4.5818906078204741E-2</v>
      </c>
      <c r="W70" s="149">
        <v>4.5951908405942099E-2</v>
      </c>
      <c r="X70" s="149">
        <v>4.9110116765833503E-2</v>
      </c>
      <c r="Y70" s="149">
        <v>5.602576058690692E-2</v>
      </c>
      <c r="Z70" s="149">
        <v>5.949526133650658E-2</v>
      </c>
      <c r="AA70" s="149">
        <v>6.2473165828630009E-2</v>
      </c>
      <c r="AB70" s="149">
        <v>6.2953191456779869E-2</v>
      </c>
      <c r="AC70" s="149">
        <v>6.2076962662938634E-2</v>
      </c>
      <c r="AD70" s="149">
        <v>6.1086688750458557E-2</v>
      </c>
      <c r="AE70" s="149">
        <v>6.3456004858359144E-2</v>
      </c>
      <c r="AF70" s="149">
        <v>6.1618824051398541E-2</v>
      </c>
      <c r="AG70" s="149">
        <v>6.472948790063851E-2</v>
      </c>
      <c r="AH70" s="149">
        <v>6.6715858764929387E-2</v>
      </c>
      <c r="AI70" s="149">
        <v>6.4933720663044106E-2</v>
      </c>
      <c r="AJ70" s="149">
        <v>6.2643651647930135E-2</v>
      </c>
      <c r="AK70" s="149">
        <v>6.0102091070292296E-2</v>
      </c>
      <c r="AL70" s="149">
        <v>6.0771909715954614E-2</v>
      </c>
      <c r="AM70" s="149">
        <v>6.7964945839474641E-2</v>
      </c>
      <c r="AN70" s="149">
        <v>6.4651928814098245E-2</v>
      </c>
      <c r="AO70" s="149">
        <v>6.7364974378858841E-2</v>
      </c>
      <c r="AP70" s="149">
        <v>6.4945367625723019E-2</v>
      </c>
      <c r="AQ70" s="149">
        <v>6.3182258410767342E-2</v>
      </c>
      <c r="AR70" s="149">
        <v>6.0273743392607299E-2</v>
      </c>
      <c r="AS70" s="149">
        <v>4.7778298419845988E-2</v>
      </c>
      <c r="AT70" s="149">
        <v>4.2396244113031729E-2</v>
      </c>
      <c r="AU70" s="149">
        <v>3.9998182793032432E-2</v>
      </c>
      <c r="AV70" s="559">
        <v>3.9969301790231088E-2</v>
      </c>
      <c r="AW70" s="248">
        <v>3.8141455636384942E-2</v>
      </c>
      <c r="AX70" s="248">
        <v>3.861795563638494E-2</v>
      </c>
      <c r="AY70" s="248">
        <v>4.3617955636384938E-2</v>
      </c>
      <c r="AZ70" s="248">
        <v>4.8367955636384935E-2</v>
      </c>
      <c r="BA70" s="248">
        <v>4.8367955636384935E-2</v>
      </c>
      <c r="BB70" s="248">
        <v>4.8367955636384935E-2</v>
      </c>
      <c r="BC70" s="248">
        <v>4.8367955636384935E-2</v>
      </c>
      <c r="BD70" s="248">
        <v>4.8367955636384935E-2</v>
      </c>
      <c r="BE70" s="248">
        <v>4.8367955636384935E-2</v>
      </c>
      <c r="BF70" s="248">
        <v>4.8367955636384935E-2</v>
      </c>
      <c r="BG70" s="248">
        <v>4.8367955636384935E-2</v>
      </c>
      <c r="BH70" s="248">
        <v>4.8367955636384935E-2</v>
      </c>
      <c r="BI70" s="248">
        <v>4.8367955636384935E-2</v>
      </c>
      <c r="BJ70" s="248">
        <v>4.8367955636384935E-2</v>
      </c>
      <c r="BK70" s="248">
        <v>4.8367955636384935E-2</v>
      </c>
      <c r="BL70" s="248">
        <v>4.8367955636384935E-2</v>
      </c>
      <c r="BM70" s="248">
        <v>4.8367955636384935E-2</v>
      </c>
      <c r="BN70" s="248">
        <v>4.8367955636384935E-2</v>
      </c>
      <c r="BO70" s="248">
        <v>4.8367955636384935E-2</v>
      </c>
      <c r="BP70" s="35"/>
      <c r="BQ70" s="345">
        <v>0</v>
      </c>
      <c r="BR70" s="345">
        <v>0</v>
      </c>
      <c r="BS70" s="345">
        <v>0</v>
      </c>
      <c r="BT70" s="345">
        <v>0</v>
      </c>
      <c r="BU70" s="345">
        <v>0</v>
      </c>
      <c r="BV70" s="345">
        <v>0</v>
      </c>
      <c r="BW70" s="345">
        <v>0</v>
      </c>
      <c r="BX70" s="345">
        <v>0</v>
      </c>
      <c r="BY70" s="345">
        <v>0</v>
      </c>
      <c r="BZ70" s="345">
        <v>0</v>
      </c>
      <c r="CA70" s="35">
        <v>2.0110239865575644E-2</v>
      </c>
      <c r="CB70" s="35">
        <v>2.1369957463882157E-2</v>
      </c>
      <c r="CC70" s="35">
        <v>1.5388808463728369E-2</v>
      </c>
      <c r="CD70" s="35">
        <v>1.4654934207252095E-2</v>
      </c>
      <c r="CE70" s="35">
        <v>1.3467078375114794E-2</v>
      </c>
      <c r="CF70" s="35">
        <v>9.758593523504033E-3</v>
      </c>
      <c r="CG70" s="35">
        <v>1.1125737184274542E-2</v>
      </c>
      <c r="CH70" s="35">
        <v>4.6982496353034801E-2</v>
      </c>
      <c r="CI70" s="35">
        <v>4.6018124383388558E-2</v>
      </c>
      <c r="CJ70" s="35">
        <v>4.584129118644039E-2</v>
      </c>
      <c r="CK70" s="37">
        <v>5.2793264095931131E-2</v>
      </c>
      <c r="CL70" s="37">
        <v>6.1234108705043241E-2</v>
      </c>
      <c r="CM70" s="37">
        <v>6.1855813123152172E-2</v>
      </c>
      <c r="CN70" s="37">
        <v>6.3447030909214081E-2</v>
      </c>
      <c r="CO70" s="37">
        <v>6.364330019531704E-2</v>
      </c>
      <c r="CP70" s="37">
        <v>6.6158657687922673E-2</v>
      </c>
      <c r="CQ70" s="37">
        <v>6.2076239294287842E-2</v>
      </c>
      <c r="CR70" s="37">
        <v>6.4891077420056814E-2</v>
      </c>
      <c r="CS70" s="37">
        <v>6.7349428723792404E-2</v>
      </c>
      <c r="CT70" s="37">
        <v>6.5951600961950282E-2</v>
      </c>
      <c r="CU70" s="37">
        <v>5.4058545938163394E-2</v>
      </c>
      <c r="CV70" s="36">
        <v>4.1216388450939979E-2</v>
      </c>
      <c r="CW70" s="35">
        <v>3.9058990276160117E-2</v>
      </c>
      <c r="CX70" s="35">
        <v>4.1137273437876258E-2</v>
      </c>
      <c r="CY70" s="35">
        <v>4.8367955636384942E-2</v>
      </c>
      <c r="CZ70" s="35">
        <v>4.8367955636384935E-2</v>
      </c>
      <c r="DA70" s="35">
        <v>4.8367955636384935E-2</v>
      </c>
      <c r="DB70" s="35">
        <v>4.8367955636384935E-2</v>
      </c>
      <c r="DC70" s="35">
        <v>4.8367955636384942E-2</v>
      </c>
      <c r="DD70" s="35">
        <v>4.8367955636384942E-2</v>
      </c>
      <c r="DE70" s="35">
        <v>4.8367955636384935E-2</v>
      </c>
      <c r="DF70" s="35">
        <v>4.8367955636384935E-2</v>
      </c>
    </row>
    <row r="71" spans="1:110" ht="12" outlineLevel="1">
      <c r="A71" s="1" t="s">
        <v>873</v>
      </c>
      <c r="B71" s="15" t="s">
        <v>442</v>
      </c>
      <c r="C71" s="345">
        <v>1.0799014835632822E-2</v>
      </c>
      <c r="D71" s="345">
        <v>1.2096224870919617E-2</v>
      </c>
      <c r="E71" s="345">
        <v>8.7818964619599191E-3</v>
      </c>
      <c r="F71" s="345">
        <v>1.0680498964137544E-2</v>
      </c>
      <c r="G71" s="345">
        <v>1.0674358454017957E-2</v>
      </c>
      <c r="H71" s="345">
        <v>6.5110275201123308E-3</v>
      </c>
      <c r="I71" s="345">
        <v>8.3344571653308289E-3</v>
      </c>
      <c r="J71" s="345">
        <v>1.5149004384324267E-2</v>
      </c>
      <c r="K71" s="345">
        <v>1.614745208897056E-2</v>
      </c>
      <c r="L71" s="345">
        <v>1.5989899786079668E-2</v>
      </c>
      <c r="M71" s="35">
        <v>1.3601955595472663E-2</v>
      </c>
      <c r="N71" s="35">
        <v>1.3556431492332641E-2</v>
      </c>
      <c r="O71" s="35">
        <v>1.3056420326036683E-2</v>
      </c>
      <c r="P71" s="35">
        <v>9.7725515941675112E-3</v>
      </c>
      <c r="Q71" s="35">
        <v>1.1919090067389948E-2</v>
      </c>
      <c r="R71" s="35">
        <v>2.9570974764665185E-2</v>
      </c>
      <c r="S71" s="35">
        <v>2.8267506640147863E-2</v>
      </c>
      <c r="T71" s="37">
        <v>2.58959033427743E-2</v>
      </c>
      <c r="U71" s="35">
        <v>2.6844417378476981E-2</v>
      </c>
      <c r="V71" s="35">
        <v>2.6875642475935824E-2</v>
      </c>
      <c r="W71" s="35">
        <v>2.7924854079806424E-2</v>
      </c>
      <c r="X71" s="35">
        <v>2.8498402715238312E-2</v>
      </c>
      <c r="Y71" s="37">
        <v>3.1538111072528872E-2</v>
      </c>
      <c r="Z71" s="37">
        <v>3.2162481387400951E-2</v>
      </c>
      <c r="AA71" s="37">
        <v>3.1185689277531448E-2</v>
      </c>
      <c r="AB71" s="37">
        <v>2.9608532080723317E-2</v>
      </c>
      <c r="AC71" s="37">
        <v>2.7787810544885258E-2</v>
      </c>
      <c r="AD71" s="37">
        <v>2.6995944981765416E-2</v>
      </c>
      <c r="AE71" s="37">
        <v>2.7313269320393976E-2</v>
      </c>
      <c r="AF71" s="37">
        <v>2.9115882536199233E-2</v>
      </c>
      <c r="AG71" s="37">
        <v>3.1234375336097228E-2</v>
      </c>
      <c r="AH71" s="37">
        <v>3.0458539490212534E-2</v>
      </c>
      <c r="AI71" s="37">
        <v>3.1247743885648754E-2</v>
      </c>
      <c r="AJ71" s="37">
        <v>2.9868169909324963E-2</v>
      </c>
      <c r="AK71" s="37">
        <v>2.7438940975522422E-2</v>
      </c>
      <c r="AL71" s="37">
        <v>2.7890114442393425E-2</v>
      </c>
      <c r="AM71" s="37">
        <v>3.1784394450643585E-2</v>
      </c>
      <c r="AN71" s="37">
        <v>3.189226837003685E-2</v>
      </c>
      <c r="AO71" s="37">
        <v>3.1660849546902951E-2</v>
      </c>
      <c r="AP71" s="37">
        <v>3.2016748247669091E-2</v>
      </c>
      <c r="AQ71" s="37">
        <v>3.1439771051583472E-2</v>
      </c>
      <c r="AR71" s="37">
        <v>2.9548488136418267E-2</v>
      </c>
      <c r="AS71" s="37">
        <v>2.0267701464854789E-2</v>
      </c>
      <c r="AT71" s="37">
        <v>2.1475729725741785E-2</v>
      </c>
      <c r="AU71" s="37">
        <v>2.1030698732267171E-2</v>
      </c>
      <c r="AV71" s="36">
        <v>2.2372128774140264E-2</v>
      </c>
      <c r="AW71" s="35">
        <v>2.1907031915321156E-2</v>
      </c>
      <c r="AX71" s="35">
        <v>2.1734184407839145E-2</v>
      </c>
      <c r="AY71" s="35">
        <v>2.1899847142617966E-2</v>
      </c>
      <c r="AZ71" s="35">
        <v>2.2043782197450002E-2</v>
      </c>
      <c r="BA71" s="35">
        <v>2.2045302350014735E-2</v>
      </c>
      <c r="BB71" s="35">
        <v>2.1982689013728917E-2</v>
      </c>
      <c r="BC71" s="35">
        <v>2.1727395810610624E-2</v>
      </c>
      <c r="BD71" s="35">
        <v>2.1665476169662065E-2</v>
      </c>
      <c r="BE71" s="35">
        <v>2.1603750789324552E-2</v>
      </c>
      <c r="BF71" s="35">
        <v>2.1606633625537549E-2</v>
      </c>
      <c r="BG71" s="35">
        <v>2.1609543742688878E-2</v>
      </c>
      <c r="BH71" s="35">
        <v>2.1612480935152893E-2</v>
      </c>
      <c r="BI71" s="35">
        <v>2.1615444998471206E-2</v>
      </c>
      <c r="BJ71" s="35">
        <v>2.1618435729344562E-2</v>
      </c>
      <c r="BK71" s="35">
        <v>2.1621452925624736E-2</v>
      </c>
      <c r="BL71" s="35">
        <v>2.1624496386306428E-2</v>
      </c>
      <c r="BM71" s="35">
        <v>2.1627565911519282E-2</v>
      </c>
      <c r="BN71" s="35">
        <v>2.1629092268483415E-2</v>
      </c>
      <c r="BO71" s="35">
        <v>2.1629092268483419E-2</v>
      </c>
      <c r="BP71" s="35"/>
      <c r="BQ71" s="345">
        <v>4.0593433758443237E-2</v>
      </c>
      <c r="BR71" s="345">
        <v>4.1501710730948667E-2</v>
      </c>
      <c r="BS71" s="345">
        <v>3.6576702466333419E-2</v>
      </c>
      <c r="BT71" s="345">
        <v>2.311615838227303E-2</v>
      </c>
      <c r="BU71" s="345">
        <v>2.8197670439234698E-2</v>
      </c>
      <c r="BV71" s="345">
        <v>3.123718209905825E-2</v>
      </c>
      <c r="BW71" s="345">
        <v>2.6742967124955601E-2</v>
      </c>
      <c r="BX71" s="345">
        <v>2.2922166708783984E-2</v>
      </c>
      <c r="BY71" s="345">
        <v>1.5860475072529266E-2</v>
      </c>
      <c r="BZ71" s="345">
        <v>2.0184645221486615E-2</v>
      </c>
      <c r="CA71" s="35">
        <v>1.040488067007268E-2</v>
      </c>
      <c r="CB71" s="35">
        <v>1.0679233699707278E-2</v>
      </c>
      <c r="CC71" s="35">
        <v>7.4508988414793229E-3</v>
      </c>
      <c r="CD71" s="35">
        <v>1.5666712215692182E-2</v>
      </c>
      <c r="CE71" s="35">
        <v>1.4723151952071309E-2</v>
      </c>
      <c r="CF71" s="35">
        <v>1.3299567308302642E-2</v>
      </c>
      <c r="CG71" s="35">
        <v>1.0883456278603616E-2</v>
      </c>
      <c r="CH71" s="35">
        <v>2.892169885348218E-2</v>
      </c>
      <c r="CI71" s="35">
        <v>2.6342801831305669E-2</v>
      </c>
      <c r="CJ71" s="35">
        <v>2.7407871467632839E-2</v>
      </c>
      <c r="CK71" s="37">
        <v>3.0051130095377451E-2</v>
      </c>
      <c r="CL71" s="37">
        <v>3.1750794087944532E-2</v>
      </c>
      <c r="CM71" s="37">
        <v>2.8669915636867906E-2</v>
      </c>
      <c r="CN71" s="37">
        <v>2.7242956966693595E-2</v>
      </c>
      <c r="CO71" s="37">
        <v>3.018257984341614E-2</v>
      </c>
      <c r="CP71" s="37">
        <v>3.0857854451258718E-2</v>
      </c>
      <c r="CQ71" s="37">
        <v>2.8639996079983947E-2</v>
      </c>
      <c r="CR71" s="37">
        <v>2.9840936456549373E-2</v>
      </c>
      <c r="CS71" s="37">
        <v>3.1775610697675927E-2</v>
      </c>
      <c r="CT71" s="37">
        <v>3.173083697916209E-2</v>
      </c>
      <c r="CU71" s="37">
        <v>2.4848917410936019E-2</v>
      </c>
      <c r="CV71" s="36">
        <v>2.1252156858924679E-2</v>
      </c>
      <c r="CW71" s="35">
        <v>2.213047991933715E-2</v>
      </c>
      <c r="CX71" s="35">
        <v>2.1818198610103406E-2</v>
      </c>
      <c r="CY71" s="35">
        <v>2.2044551771610865E-2</v>
      </c>
      <c r="CZ71" s="35">
        <v>2.1853467118153357E-2</v>
      </c>
      <c r="DA71" s="35">
        <v>2.1634317012768887E-2</v>
      </c>
      <c r="DB71" s="35">
        <v>2.1608106653683002E-2</v>
      </c>
      <c r="DC71" s="35">
        <v>2.161398127590345E-2</v>
      </c>
      <c r="DD71" s="35">
        <v>2.161996297129978E-2</v>
      </c>
      <c r="DE71" s="35">
        <v>2.1626045918376316E-2</v>
      </c>
      <c r="DF71" s="35">
        <v>2.1629092268483419E-2</v>
      </c>
    </row>
    <row r="72" spans="1:110" ht="12" outlineLevel="1">
      <c r="A72" s="1" t="s">
        <v>874</v>
      </c>
      <c r="B72" s="15" t="s">
        <v>365</v>
      </c>
      <c r="C72" s="345">
        <v>4.8563833333333327E-2</v>
      </c>
      <c r="D72" s="345">
        <v>4.3449999999999996E-2</v>
      </c>
      <c r="E72" s="345">
        <v>4.9258500000000004E-2</v>
      </c>
      <c r="F72" s="345">
        <v>4.8122166666666667E-2</v>
      </c>
      <c r="G72" s="345">
        <v>4.7991666666666676E-2</v>
      </c>
      <c r="H72" s="345">
        <v>5.4583333333333331E-2</v>
      </c>
      <c r="I72" s="345">
        <v>5.4836000000000003E-2</v>
      </c>
      <c r="J72" s="345">
        <v>5.5772166666666657E-2</v>
      </c>
      <c r="K72" s="345">
        <v>5.662233333333333E-2</v>
      </c>
      <c r="L72" s="345">
        <v>1.946405533535376E-2</v>
      </c>
      <c r="M72" s="35">
        <v>2.0749579527531849E-2</v>
      </c>
      <c r="N72" s="35">
        <v>2.0566142222473369E-2</v>
      </c>
      <c r="O72" s="35">
        <v>2.0857142660086689E-2</v>
      </c>
      <c r="P72" s="35">
        <v>2.4276739490330088E-2</v>
      </c>
      <c r="Q72" s="35">
        <v>2.3334815235573639E-2</v>
      </c>
      <c r="R72" s="35">
        <v>8.493116130157477E-3</v>
      </c>
      <c r="S72" s="35">
        <v>7.6580432699098443E-3</v>
      </c>
      <c r="T72" s="37">
        <v>1.1963761843916065E-2</v>
      </c>
      <c r="U72" s="35">
        <v>1.321197834030232E-2</v>
      </c>
      <c r="V72" s="35">
        <v>1.2163559486265567E-2</v>
      </c>
      <c r="W72" s="35">
        <v>1.0319551821631821E-2</v>
      </c>
      <c r="X72" s="35">
        <v>7.6950199330096739E-3</v>
      </c>
      <c r="Y72" s="37">
        <v>3.07308746148513E-3</v>
      </c>
      <c r="Z72" s="37">
        <v>1.5483410953176582E-3</v>
      </c>
      <c r="AA72" s="37">
        <v>5.3896169039461123E-3</v>
      </c>
      <c r="AB72" s="37">
        <v>4.5905661759496896E-3</v>
      </c>
      <c r="AC72" s="37">
        <v>4.5461613111117301E-3</v>
      </c>
      <c r="AD72" s="37">
        <v>2.5123844103106001E-3</v>
      </c>
      <c r="AE72" s="37">
        <v>1.0222306898509141E-3</v>
      </c>
      <c r="AF72" s="37">
        <v>3.2092916677265567E-3</v>
      </c>
      <c r="AG72" s="37">
        <v>2.0984117557833496E-3</v>
      </c>
      <c r="AH72" s="37">
        <v>2.1496448146941299E-3</v>
      </c>
      <c r="AI72" s="37">
        <v>2.3068330894004162E-3</v>
      </c>
      <c r="AJ72" s="37">
        <v>1.9130392695417752E-3</v>
      </c>
      <c r="AK72" s="37">
        <v>3.7504711744993759E-3</v>
      </c>
      <c r="AL72" s="37">
        <v>3.0681476311746354E-3</v>
      </c>
      <c r="AM72" s="37">
        <v>-2.0323790801516483E-3</v>
      </c>
      <c r="AN72" s="37">
        <v>-3.1538515448611953E-3</v>
      </c>
      <c r="AO72" s="37">
        <v>-6.4160736057021581E-3</v>
      </c>
      <c r="AP72" s="37">
        <v>-6.2705674881466241E-3</v>
      </c>
      <c r="AQ72" s="37">
        <v>-5.7609346425245159E-3</v>
      </c>
      <c r="AR72" s="37">
        <v>-5.3515576941729412E-3</v>
      </c>
      <c r="AS72" s="37">
        <v>5.5185250802401017E-3</v>
      </c>
      <c r="AT72" s="37">
        <v>7.6898431544754862E-3</v>
      </c>
      <c r="AU72" s="37">
        <v>6.8603970266314374E-3</v>
      </c>
      <c r="AV72" s="36">
        <v>4.8672300611491554E-3</v>
      </c>
      <c r="AW72" s="34">
        <v>5.4999999999999997E-3</v>
      </c>
      <c r="AX72" s="34">
        <v>5.7999999999999996E-3</v>
      </c>
      <c r="AY72" s="34">
        <v>5.7999999999999996E-3</v>
      </c>
      <c r="AZ72" s="34">
        <v>5.7999999999999996E-3</v>
      </c>
      <c r="BA72" s="34">
        <v>5.7999999999999996E-3</v>
      </c>
      <c r="BB72" s="34">
        <v>5.7999999999999996E-3</v>
      </c>
      <c r="BC72" s="34">
        <v>5.7999999999999996E-3</v>
      </c>
      <c r="BD72" s="34">
        <v>5.7999999999999996E-3</v>
      </c>
      <c r="BE72" s="34">
        <v>5.7999999999999996E-3</v>
      </c>
      <c r="BF72" s="34">
        <v>5.7999999999999996E-3</v>
      </c>
      <c r="BG72" s="34">
        <v>5.7999999999999996E-3</v>
      </c>
      <c r="BH72" s="34">
        <v>5.7999999999999996E-3</v>
      </c>
      <c r="BI72" s="34">
        <v>5.7999999999999996E-3</v>
      </c>
      <c r="BJ72" s="34">
        <v>5.7999999999999996E-3</v>
      </c>
      <c r="BK72" s="34">
        <v>5.7999999999999996E-3</v>
      </c>
      <c r="BL72" s="34">
        <v>5.7999999999999996E-3</v>
      </c>
      <c r="BM72" s="34">
        <v>5.7999999999999996E-3</v>
      </c>
      <c r="BN72" s="34">
        <v>5.7999999999999996E-3</v>
      </c>
      <c r="BO72" s="34">
        <v>5.7999999999999996E-3</v>
      </c>
      <c r="BP72" s="35"/>
      <c r="BQ72" s="345">
        <v>0</v>
      </c>
      <c r="BR72" s="345">
        <v>0</v>
      </c>
      <c r="BS72" s="345">
        <v>0</v>
      </c>
      <c r="BT72" s="345">
        <v>0</v>
      </c>
      <c r="BU72" s="345">
        <v>0</v>
      </c>
      <c r="BV72" s="345">
        <v>0</v>
      </c>
      <c r="BW72" s="345">
        <v>0</v>
      </c>
      <c r="BX72" s="345">
        <v>0</v>
      </c>
      <c r="BY72" s="345">
        <v>0</v>
      </c>
      <c r="BZ72" s="345">
        <v>0</v>
      </c>
      <c r="CA72" s="35">
        <v>4.6435097414159465E-2</v>
      </c>
      <c r="CB72" s="35">
        <v>4.8058422370064184E-2</v>
      </c>
      <c r="CC72" s="35">
        <v>5.471123568879372E-2</v>
      </c>
      <c r="CD72" s="35">
        <v>5.6222668342512598E-2</v>
      </c>
      <c r="CE72" s="35">
        <v>2.0129464992446177E-2</v>
      </c>
      <c r="CF72" s="35">
        <v>2.0883058574461291E-2</v>
      </c>
      <c r="CG72" s="35">
        <v>2.3803245341070627E-2</v>
      </c>
      <c r="CH72" s="35">
        <v>8.0603643330489309E-3</v>
      </c>
      <c r="CI72" s="35">
        <v>1.2583450830423048E-2</v>
      </c>
      <c r="CJ72" s="35">
        <v>1.1211094042740177E-2</v>
      </c>
      <c r="CK72" s="37">
        <v>5.3648957488812805E-3</v>
      </c>
      <c r="CL72" s="37">
        <v>3.5217957553602855E-3</v>
      </c>
      <c r="CM72" s="37">
        <v>4.567582052094509E-3</v>
      </c>
      <c r="CN72" s="37">
        <v>1.7431124988229723E-3</v>
      </c>
      <c r="CO72" s="37">
        <v>2.6471453015088106E-3</v>
      </c>
      <c r="CP72" s="37">
        <v>2.2322914264900481E-3</v>
      </c>
      <c r="CQ72" s="37">
        <v>2.8344940018317044E-3</v>
      </c>
      <c r="CR72" s="37">
        <v>4.2514364916823523E-4</v>
      </c>
      <c r="CS72" s="37">
        <v>-4.907104851346795E-3</v>
      </c>
      <c r="CT72" s="37">
        <v>-6.0123941225752545E-3</v>
      </c>
      <c r="CU72" s="37">
        <v>1.7711023355407039E-4</v>
      </c>
      <c r="CV72" s="36">
        <v>7.2785957629708615E-3</v>
      </c>
      <c r="CW72" s="35">
        <v>5.1935944911305305E-3</v>
      </c>
      <c r="CX72" s="35">
        <v>5.7999999999999996E-3</v>
      </c>
      <c r="CY72" s="35">
        <v>5.7999999999999996E-3</v>
      </c>
      <c r="CZ72" s="35">
        <v>5.7999999999999996E-3</v>
      </c>
      <c r="DA72" s="35">
        <v>5.7999999999999996E-3</v>
      </c>
      <c r="DB72" s="35">
        <v>5.7999999999999996E-3</v>
      </c>
      <c r="DC72" s="35">
        <v>5.7999999999999996E-3</v>
      </c>
      <c r="DD72" s="35">
        <v>5.7999999999999996E-3</v>
      </c>
      <c r="DE72" s="35">
        <v>5.8000000000000005E-3</v>
      </c>
      <c r="DF72" s="35">
        <v>5.8000000000000005E-3</v>
      </c>
    </row>
    <row r="73" spans="1:110" ht="12" outlineLevel="1">
      <c r="A73" s="1" t="s">
        <v>875</v>
      </c>
      <c r="B73" s="15" t="s">
        <v>262</v>
      </c>
      <c r="C73" s="345">
        <v>4.8563833333333327E-2</v>
      </c>
      <c r="D73" s="345">
        <v>4.3449999999999996E-2</v>
      </c>
      <c r="E73" s="345">
        <v>4.9258500000000004E-2</v>
      </c>
      <c r="F73" s="345">
        <v>4.8122166666666667E-2</v>
      </c>
      <c r="G73" s="345">
        <v>4.7991666666666676E-2</v>
      </c>
      <c r="H73" s="345">
        <v>5.4583333333333331E-2</v>
      </c>
      <c r="I73" s="345">
        <v>5.4836000000000003E-2</v>
      </c>
      <c r="J73" s="345">
        <v>5.5772166666666657E-2</v>
      </c>
      <c r="K73" s="345">
        <v>5.662233333333333E-2</v>
      </c>
      <c r="L73" s="345">
        <v>4.9532838349609226E-4</v>
      </c>
      <c r="M73" s="35">
        <v>2.1078960742422909E-3</v>
      </c>
      <c r="N73" s="35">
        <v>2.1922510342626267E-3</v>
      </c>
      <c r="O73" s="35">
        <v>2.1246039808771877E-3</v>
      </c>
      <c r="P73" s="35">
        <v>4.2369006603333592E-3</v>
      </c>
      <c r="Q73" s="35">
        <v>2.7937357758847647E-4</v>
      </c>
      <c r="R73" s="35">
        <v>-1.6655873073909623E-2</v>
      </c>
      <c r="S73" s="35">
        <v>-7.278709698249182E-3</v>
      </c>
      <c r="T73" s="37">
        <v>-3.884798720892646E-3</v>
      </c>
      <c r="U73" s="35">
        <v>-4.5810050003653249E-3</v>
      </c>
      <c r="V73" s="35">
        <v>-5.6723496183734151E-3</v>
      </c>
      <c r="W73" s="35">
        <v>-6.3941326535607163E-3</v>
      </c>
      <c r="X73" s="35">
        <v>-8.2257430092783426E-3</v>
      </c>
      <c r="Y73" s="37">
        <v>-1.1608417852548437E-2</v>
      </c>
      <c r="Z73" s="37">
        <v>-1.0770190487866951E-2</v>
      </c>
      <c r="AA73" s="37">
        <v>-9.0336747648833184E-3</v>
      </c>
      <c r="AB73" s="37">
        <v>-7.0957823400204859E-3</v>
      </c>
      <c r="AC73" s="37">
        <v>-5.5135234364394881E-3</v>
      </c>
      <c r="AD73" s="37">
        <v>-5.3736166495961593E-3</v>
      </c>
      <c r="AE73" s="37">
        <v>-6.6164903499321241E-3</v>
      </c>
      <c r="AF73" s="37">
        <v>-5.0813470087096996E-3</v>
      </c>
      <c r="AG73" s="37">
        <v>-7.4915404771712588E-3</v>
      </c>
      <c r="AH73" s="37">
        <v>-9.006033065666174E-3</v>
      </c>
      <c r="AI73" s="37">
        <v>-1.1001705337424256E-2</v>
      </c>
      <c r="AJ73" s="37">
        <v>-1.067413308840268E-2</v>
      </c>
      <c r="AK73" s="37">
        <v>-1.0658054968663233E-2</v>
      </c>
      <c r="AL73" s="37">
        <v>-1.2500025074484278E-2</v>
      </c>
      <c r="AM73" s="37">
        <v>-1.7835012644520375E-2</v>
      </c>
      <c r="AN73" s="37">
        <v>-1.7378698508944797E-2</v>
      </c>
      <c r="AO73" s="37">
        <v>-1.6766839808129888E-2</v>
      </c>
      <c r="AP73" s="37">
        <v>-1.2515600104599954E-2</v>
      </c>
      <c r="AQ73" s="37">
        <v>-1.0523112069121317E-2</v>
      </c>
      <c r="AR73" s="37">
        <v>-1.0513424273374291E-2</v>
      </c>
      <c r="AS73" s="37">
        <v>-4.6346997046431424E-3</v>
      </c>
      <c r="AT73" s="37">
        <v>-8.9838849066018432E-3</v>
      </c>
      <c r="AU73" s="37">
        <v>-1.1732597754047187E-2</v>
      </c>
      <c r="AV73" s="36">
        <v>-1.3184947144023188E-2</v>
      </c>
      <c r="AW73" s="34">
        <v>-1.3584947144023187E-2</v>
      </c>
      <c r="AX73" s="34">
        <v>-1.3584947144023187E-2</v>
      </c>
      <c r="AY73" s="34">
        <v>-1.2584947144023188E-2</v>
      </c>
      <c r="AZ73" s="34">
        <v>-1.2084947144023188E-2</v>
      </c>
      <c r="BA73" s="34">
        <v>-1.2084947144023188E-2</v>
      </c>
      <c r="BB73" s="34">
        <v>-1.2334947144023188E-2</v>
      </c>
      <c r="BC73" s="34">
        <v>-1.2584947144023188E-2</v>
      </c>
      <c r="BD73" s="34">
        <v>-1.2584947144023188E-2</v>
      </c>
      <c r="BE73" s="34">
        <v>-1.2584947144023188E-2</v>
      </c>
      <c r="BF73" s="34">
        <v>-1.2584947144023188E-2</v>
      </c>
      <c r="BG73" s="34">
        <v>-1.2584947144023188E-2</v>
      </c>
      <c r="BH73" s="34">
        <v>-1.2584947144023188E-2</v>
      </c>
      <c r="BI73" s="34">
        <v>-1.2584947144023188E-2</v>
      </c>
      <c r="BJ73" s="34">
        <v>-1.2584947144023188E-2</v>
      </c>
      <c r="BK73" s="34">
        <v>-1.2584947144023188E-2</v>
      </c>
      <c r="BL73" s="34">
        <v>-1.2584947144023188E-2</v>
      </c>
      <c r="BM73" s="34">
        <v>-1.2584947144023188E-2</v>
      </c>
      <c r="BN73" s="34">
        <v>-1.2584947144023188E-2</v>
      </c>
      <c r="BO73" s="34">
        <v>-1.2584947144023188E-2</v>
      </c>
      <c r="BP73" s="35"/>
      <c r="BQ73" s="345">
        <v>0</v>
      </c>
      <c r="BR73" s="345">
        <v>0</v>
      </c>
      <c r="BS73" s="345">
        <v>0</v>
      </c>
      <c r="BT73" s="345">
        <v>0</v>
      </c>
      <c r="BU73" s="345">
        <v>0</v>
      </c>
      <c r="BV73" s="345">
        <v>0</v>
      </c>
      <c r="BW73" s="345">
        <v>0</v>
      </c>
      <c r="BX73" s="345">
        <v>0</v>
      </c>
      <c r="BY73" s="345">
        <v>0</v>
      </c>
      <c r="BZ73" s="345">
        <v>0</v>
      </c>
      <c r="CA73" s="35">
        <v>4.6561522475848258E-2</v>
      </c>
      <c r="CB73" s="35">
        <v>4.8063648247345069E-2</v>
      </c>
      <c r="CC73" s="35">
        <v>5.4717189848516784E-2</v>
      </c>
      <c r="CD73" s="35">
        <v>5.621211308048131E-2</v>
      </c>
      <c r="CE73" s="35">
        <v>1.333496820164643E-3</v>
      </c>
      <c r="CF73" s="35">
        <v>2.1566555924818816E-3</v>
      </c>
      <c r="CG73" s="35">
        <v>2.1238680415031686E-3</v>
      </c>
      <c r="CH73" s="35">
        <v>-1.1952531655034539E-2</v>
      </c>
      <c r="CI73" s="35">
        <v>-4.2475214504031434E-3</v>
      </c>
      <c r="CJ73" s="35">
        <v>-6.0423820370905336E-3</v>
      </c>
      <c r="CK73" s="37">
        <v>-9.9729278327168359E-3</v>
      </c>
      <c r="CL73" s="37">
        <v>-9.8941015674140261E-3</v>
      </c>
      <c r="CM73" s="37">
        <v>-6.310077273125725E-3</v>
      </c>
      <c r="CN73" s="37">
        <v>-5.9833847347089165E-3</v>
      </c>
      <c r="CO73" s="37">
        <v>-6.2881646065850189E-3</v>
      </c>
      <c r="CP73" s="37">
        <v>-9.9893523283085348E-3</v>
      </c>
      <c r="CQ73" s="37">
        <v>-1.0666220809011853E-2</v>
      </c>
      <c r="CR73" s="37">
        <v>-1.5158137163095477E-2</v>
      </c>
      <c r="CS73" s="37">
        <v>-1.708644458053013E-2</v>
      </c>
      <c r="CT73" s="37">
        <v>-1.1515768823820832E-2</v>
      </c>
      <c r="CU73" s="37">
        <v>-7.5592505882730188E-3</v>
      </c>
      <c r="CV73" s="36">
        <v>-1.0453860589811244E-2</v>
      </c>
      <c r="CW73" s="35">
        <v>-1.3391255573007077E-2</v>
      </c>
      <c r="CX73" s="35">
        <v>-1.3077807126224812E-2</v>
      </c>
      <c r="CY73" s="35">
        <v>-1.2084947144023188E-2</v>
      </c>
      <c r="CZ73" s="35">
        <v>-1.2461489776178261E-2</v>
      </c>
      <c r="DA73" s="35">
        <v>-1.2584947144023187E-2</v>
      </c>
      <c r="DB73" s="35">
        <v>-1.258494714402319E-2</v>
      </c>
      <c r="DC73" s="35">
        <v>-1.2584947144023188E-2</v>
      </c>
      <c r="DD73" s="35">
        <v>-1.2584947144023188E-2</v>
      </c>
      <c r="DE73" s="35">
        <v>-1.2584947144023187E-2</v>
      </c>
      <c r="DF73" s="35">
        <v>-1.2584947144023188E-2</v>
      </c>
    </row>
    <row r="74" spans="1:110" ht="12" outlineLevel="1">
      <c r="A74" s="1" t="s">
        <v>876</v>
      </c>
      <c r="B74" s="15" t="s">
        <v>360</v>
      </c>
      <c r="C74" s="345">
        <v>4.8563833333333327E-2</v>
      </c>
      <c r="D74" s="345">
        <v>4.3449999999999996E-2</v>
      </c>
      <c r="E74" s="345">
        <v>4.9258500000000004E-2</v>
      </c>
      <c r="F74" s="345">
        <v>4.8122166666666667E-2</v>
      </c>
      <c r="G74" s="345">
        <v>4.7991666666666682E-2</v>
      </c>
      <c r="H74" s="345">
        <v>5.4583333333333331E-2</v>
      </c>
      <c r="I74" s="345">
        <v>5.4836000000000003E-2</v>
      </c>
      <c r="J74" s="345">
        <v>5.5772166666666657E-2</v>
      </c>
      <c r="K74" s="345">
        <v>5.662233333333333E-2</v>
      </c>
      <c r="L74" s="345">
        <v>1.1454115484838075E-2</v>
      </c>
      <c r="M74" s="35">
        <v>1.283748301051698E-2</v>
      </c>
      <c r="N74" s="35">
        <v>1.2948457923091199E-2</v>
      </c>
      <c r="O74" s="35">
        <v>1.297055682672724E-2</v>
      </c>
      <c r="P74" s="35">
        <v>1.4986469044690599E-2</v>
      </c>
      <c r="Q74" s="35">
        <v>1.1926671162913309E-2</v>
      </c>
      <c r="R74" s="35">
        <v>-4.3261335707123786E-3</v>
      </c>
      <c r="S74" s="35">
        <v>2.9221752669536505E-4</v>
      </c>
      <c r="T74" s="37">
        <v>3.7013951071642138E-3</v>
      </c>
      <c r="U74" s="35">
        <v>3.5017002193837351E-3</v>
      </c>
      <c r="V74" s="35">
        <v>1.8444837368643905E-3</v>
      </c>
      <c r="W74" s="35">
        <v>7.1293722245321467E-4</v>
      </c>
      <c r="X74" s="35">
        <v>-1.1664975855669038E-3</v>
      </c>
      <c r="Y74" s="37">
        <v>-5.2783622503746481E-3</v>
      </c>
      <c r="Z74" s="37">
        <v>-5.1789551840826231E-3</v>
      </c>
      <c r="AA74" s="37">
        <v>-2.3545902221638634E-3</v>
      </c>
      <c r="AB74" s="37">
        <v>-1.3846594492734462E-3</v>
      </c>
      <c r="AC74" s="37">
        <v>-3.8635357672513665E-4</v>
      </c>
      <c r="AD74" s="37">
        <v>-1.0422012475427469E-3</v>
      </c>
      <c r="AE74" s="37">
        <v>-2.228141131317678E-3</v>
      </c>
      <c r="AF74" s="37">
        <v>-2.3262151542862894E-4</v>
      </c>
      <c r="AG74" s="37">
        <v>-1.8334307751642622E-3</v>
      </c>
      <c r="AH74" s="37">
        <v>-2.3445976449889979E-3</v>
      </c>
      <c r="AI74" s="37">
        <v>-2.6370866820503054E-3</v>
      </c>
      <c r="AJ74" s="37">
        <v>-2.9040377626180607E-3</v>
      </c>
      <c r="AK74" s="37">
        <v>-1.6365416891778509E-3</v>
      </c>
      <c r="AL74" s="37">
        <v>-2.761958357595874E-3</v>
      </c>
      <c r="AM74" s="37">
        <v>-7.6579866612264975E-3</v>
      </c>
      <c r="AN74" s="37">
        <v>-7.7089780620307876E-3</v>
      </c>
      <c r="AO74" s="37">
        <v>-9.2156136549710645E-3</v>
      </c>
      <c r="AP74" s="37">
        <v>-7.9374575945159089E-3</v>
      </c>
      <c r="AQ74" s="37">
        <v>-7.0142665678997922E-3</v>
      </c>
      <c r="AR74" s="37">
        <v>-6.5405512484238912E-3</v>
      </c>
      <c r="AS74" s="37">
        <v>3.2234055688251553E-3</v>
      </c>
      <c r="AT74" s="37">
        <v>3.3389252684354097E-3</v>
      </c>
      <c r="AU74" s="37">
        <v>1.4283217074076194E-3</v>
      </c>
      <c r="AV74" s="36">
        <v>-7.2546029329024185E-4</v>
      </c>
      <c r="AW74" s="35">
        <v>-4.1264968176702539E-4</v>
      </c>
      <c r="AX74" s="35">
        <v>-2.0559177330882009E-4</v>
      </c>
      <c r="AY74" s="35">
        <v>1.042151984971608E-4</v>
      </c>
      <c r="AZ74" s="35">
        <v>2.5911868440015148E-4</v>
      </c>
      <c r="BA74" s="35">
        <v>2.5911868440015116E-4</v>
      </c>
      <c r="BB74" s="35">
        <v>1.816669414486561E-4</v>
      </c>
      <c r="BC74" s="35">
        <v>1.0421519849716044E-4</v>
      </c>
      <c r="BD74" s="35">
        <v>1.0421519849716095E-4</v>
      </c>
      <c r="BE74" s="35">
        <v>1.0421519849716054E-4</v>
      </c>
      <c r="BF74" s="35">
        <v>1.0421519849715993E-4</v>
      </c>
      <c r="BG74" s="35">
        <v>1.0421519849716139E-4</v>
      </c>
      <c r="BH74" s="35">
        <v>1.0421519849716046E-4</v>
      </c>
      <c r="BI74" s="35">
        <v>1.0421519849716152E-4</v>
      </c>
      <c r="BJ74" s="35">
        <v>1.0421519849716115E-4</v>
      </c>
      <c r="BK74" s="35">
        <v>1.0421519849716108E-4</v>
      </c>
      <c r="BL74" s="35">
        <v>1.04215198497161E-4</v>
      </c>
      <c r="BM74" s="35">
        <v>1.0421519849716012E-4</v>
      </c>
      <c r="BN74" s="35">
        <v>1.0421519849716112E-4</v>
      </c>
      <c r="BO74" s="35">
        <v>1.0421519849716049E-4</v>
      </c>
      <c r="BP74" s="35"/>
      <c r="BQ74" s="345">
        <v>-1.2095256532302506E-3</v>
      </c>
      <c r="BR74" s="345">
        <v>1.9216494485550795E-3</v>
      </c>
      <c r="BS74" s="345">
        <v>8.4907039151153607E-3</v>
      </c>
      <c r="BT74" s="345">
        <v>2.3346255155605553E-2</v>
      </c>
      <c r="BU74" s="345">
        <v>1.7034742871622537E-2</v>
      </c>
      <c r="BV74" s="345">
        <v>1.6779169242405655E-2</v>
      </c>
      <c r="BW74" s="345">
        <v>1.3753139288690687E-2</v>
      </c>
      <c r="BX74" s="345">
        <v>1.2900953901629146E-2</v>
      </c>
      <c r="BY74" s="345">
        <v>1.5576580429822823E-2</v>
      </c>
      <c r="BZ74" s="345">
        <v>1.2392874010566525E-2</v>
      </c>
      <c r="CA74" s="35">
        <v>4.6479514710354775E-2</v>
      </c>
      <c r="CB74" s="35">
        <v>4.8060370818158324E-2</v>
      </c>
      <c r="CC74" s="35">
        <v>5.4713603814829863E-2</v>
      </c>
      <c r="CD74" s="35">
        <v>5.621811848280113E-2</v>
      </c>
      <c r="CE74" s="35">
        <v>1.2171396625565213E-2</v>
      </c>
      <c r="CF74" s="35">
        <v>1.3020148471401358E-2</v>
      </c>
      <c r="CG74" s="35">
        <v>1.3402447776553524E-2</v>
      </c>
      <c r="CH74" s="35">
        <v>-1.9714622711718313E-3</v>
      </c>
      <c r="CI74" s="35">
        <v>3.5997011150501073E-3</v>
      </c>
      <c r="CJ74" s="35">
        <v>1.2625775665941166E-3</v>
      </c>
      <c r="CK74" s="37">
        <v>-3.2682018835243228E-3</v>
      </c>
      <c r="CL74" s="37">
        <v>-3.7420717835069768E-3</v>
      </c>
      <c r="CM74" s="37">
        <v>-8.7847633762476549E-4</v>
      </c>
      <c r="CN74" s="37">
        <v>-1.6411159776083522E-3</v>
      </c>
      <c r="CO74" s="37">
        <v>-1.0391748124139288E-3</v>
      </c>
      <c r="CP74" s="37">
        <v>-2.4946434519190516E-3</v>
      </c>
      <c r="CQ74" s="37">
        <v>-2.2728961749934476E-3</v>
      </c>
      <c r="CR74" s="37">
        <v>-5.2633553469428954E-3</v>
      </c>
      <c r="CS74" s="37">
        <v>-8.4921892763553473E-3</v>
      </c>
      <c r="CT74" s="37">
        <v>-7.4709521873816869E-3</v>
      </c>
      <c r="CU74" s="37">
        <v>-1.5880491528137983E-3</v>
      </c>
      <c r="CV74" s="36">
        <v>2.371019486348607E-3</v>
      </c>
      <c r="CW74" s="35">
        <v>-5.6412162870813016E-4</v>
      </c>
      <c r="CX74" s="35">
        <v>-4.8476260113074473E-5</v>
      </c>
      <c r="CY74" s="35">
        <v>2.5911868440015137E-4</v>
      </c>
      <c r="CZ74" s="35">
        <v>1.4246315177633451E-4</v>
      </c>
      <c r="DA74" s="35">
        <v>1.0421519849716076E-4</v>
      </c>
      <c r="DB74" s="35">
        <v>1.0421519849716065E-4</v>
      </c>
      <c r="DC74" s="35">
        <v>1.04215198497161E-4</v>
      </c>
      <c r="DD74" s="35">
        <v>1.0421519849716111E-4</v>
      </c>
      <c r="DE74" s="35">
        <v>1.0421519849716058E-4</v>
      </c>
      <c r="DF74" s="35">
        <v>1.0421519849716081E-4</v>
      </c>
    </row>
    <row r="75" spans="1:110" ht="12" outlineLevel="1">
      <c r="A75" s="1" t="s">
        <v>877</v>
      </c>
      <c r="B75" s="15" t="s">
        <v>273</v>
      </c>
      <c r="C75" s="345">
        <v>3.2352698212248919E-2</v>
      </c>
      <c r="D75" s="345">
        <v>3.0241524886294953E-2</v>
      </c>
      <c r="E75" s="345">
        <v>2.7346661738243329E-2</v>
      </c>
      <c r="F75" s="345">
        <v>2.9955929391517554E-2</v>
      </c>
      <c r="G75" s="345">
        <v>3.4644639408112111E-2</v>
      </c>
      <c r="H75" s="345">
        <v>2.066049020312638E-2</v>
      </c>
      <c r="I75" s="345">
        <v>2.2711307132459967E-2</v>
      </c>
      <c r="J75" s="345">
        <v>2.706030906578711E-2</v>
      </c>
      <c r="K75" s="345">
        <v>2.8205552361972003E-2</v>
      </c>
      <c r="L75" s="345">
        <v>3.0390788622120891E-2</v>
      </c>
      <c r="M75" s="35">
        <v>2.670496038492514E-2</v>
      </c>
      <c r="N75" s="35">
        <v>2.3143919701818769E-2</v>
      </c>
      <c r="O75" s="35">
        <v>2.5217607150833474E-2</v>
      </c>
      <c r="P75" s="35">
        <v>2.2317888877344677E-2</v>
      </c>
      <c r="Q75" s="35">
        <v>1.9742769201854179E-2</v>
      </c>
      <c r="R75" s="35">
        <v>3.6385254561142048E-2</v>
      </c>
      <c r="S75" s="35">
        <v>2.843834529614158E-2</v>
      </c>
      <c r="T75" s="37">
        <v>1.7307267591663136E-2</v>
      </c>
      <c r="U75" s="35">
        <v>1.3468396691487035E-2</v>
      </c>
      <c r="V75" s="35">
        <v>1.5069918394176388E-2</v>
      </c>
      <c r="W75" s="35">
        <v>1.2616852313283383E-2</v>
      </c>
      <c r="X75" s="35">
        <v>1.7075021910770843E-2</v>
      </c>
      <c r="Y75" s="37">
        <v>2.4740314807079077E-2</v>
      </c>
      <c r="Z75" s="37">
        <v>2.8894257399430388E-2</v>
      </c>
      <c r="AA75" s="37">
        <v>3.1081264344506043E-2</v>
      </c>
      <c r="AB75" s="37">
        <v>3.1328543793885111E-2</v>
      </c>
      <c r="AC75" s="37">
        <v>3.4449054901702802E-2</v>
      </c>
      <c r="AD75" s="37">
        <v>3.6700666525547362E-2</v>
      </c>
      <c r="AE75" s="37">
        <v>3.7416794001687445E-2</v>
      </c>
      <c r="AF75" s="37">
        <v>3.0152893769510185E-2</v>
      </c>
      <c r="AG75" s="37">
        <v>2.9794863837279986E-2</v>
      </c>
      <c r="AH75" s="37">
        <v>2.9569054019023249E-2</v>
      </c>
      <c r="AI75" s="37">
        <v>3.0143597109861569E-2</v>
      </c>
      <c r="AJ75" s="37">
        <v>2.954974781466424E-2</v>
      </c>
      <c r="AK75" s="37">
        <v>2.7526790439737159E-2</v>
      </c>
      <c r="AL75" s="37">
        <v>2.7359251546154973E-2</v>
      </c>
      <c r="AM75" s="37">
        <v>3.2160107431378475E-2</v>
      </c>
      <c r="AN75" s="37">
        <v>3.2726301435612233E-2</v>
      </c>
      <c r="AO75" s="37">
        <v>3.3798581632939612E-2</v>
      </c>
      <c r="AP75" s="37">
        <v>3.1300818525046702E-2</v>
      </c>
      <c r="AQ75" s="37">
        <v>2.9461927568303674E-2</v>
      </c>
      <c r="AR75" s="37">
        <v>3.0777787910852259E-2</v>
      </c>
      <c r="AS75" s="37">
        <v>2.4497219059234177E-2</v>
      </c>
      <c r="AT75" s="37">
        <v>2.2672875013340414E-2</v>
      </c>
      <c r="AU75" s="37">
        <v>2.1871628292047987E-2</v>
      </c>
      <c r="AV75" s="36">
        <v>2.3252769498993069E-2</v>
      </c>
      <c r="AW75" s="34">
        <v>2.4252769498993069E-2</v>
      </c>
      <c r="AX75" s="34">
        <v>2.4252769498993069E-2</v>
      </c>
      <c r="AY75" s="34">
        <v>2.525276949899307E-2</v>
      </c>
      <c r="AZ75" s="34">
        <v>2.525276949899307E-2</v>
      </c>
      <c r="BA75" s="34">
        <v>2.525276949899307E-2</v>
      </c>
      <c r="BB75" s="34">
        <v>2.525276949899307E-2</v>
      </c>
      <c r="BC75" s="34">
        <v>2.525276949899307E-2</v>
      </c>
      <c r="BD75" s="34">
        <v>2.525276949899307E-2</v>
      </c>
      <c r="BE75" s="34">
        <v>2.525276949899307E-2</v>
      </c>
      <c r="BF75" s="34">
        <v>2.525276949899307E-2</v>
      </c>
      <c r="BG75" s="34">
        <v>2.525276949899307E-2</v>
      </c>
      <c r="BH75" s="34">
        <v>2.525276949899307E-2</v>
      </c>
      <c r="BI75" s="34">
        <v>2.525276949899307E-2</v>
      </c>
      <c r="BJ75" s="34">
        <v>2.525276949899307E-2</v>
      </c>
      <c r="BK75" s="34">
        <v>2.525276949899307E-2</v>
      </c>
      <c r="BL75" s="34">
        <v>2.525276949899307E-2</v>
      </c>
      <c r="BM75" s="34">
        <v>2.525276949899307E-2</v>
      </c>
      <c r="BN75" s="34">
        <v>2.525276949899307E-2</v>
      </c>
      <c r="BO75" s="34">
        <v>2.525276949899307E-2</v>
      </c>
      <c r="BP75" s="35"/>
      <c r="BQ75" s="345">
        <v>3.1294461663151127E-2</v>
      </c>
      <c r="BR75" s="345">
        <v>3.0817078494485901E-2</v>
      </c>
      <c r="BS75" s="345">
        <v>2.959287960543755E-2</v>
      </c>
      <c r="BT75" s="345">
        <v>2.5937690108376737E-2</v>
      </c>
      <c r="BU75" s="345">
        <v>3.1986950396052441E-2</v>
      </c>
      <c r="BV75" s="345">
        <v>4.2763407147348567E-2</v>
      </c>
      <c r="BW75" s="345">
        <v>4.7424874295032941E-2</v>
      </c>
      <c r="BX75" s="345">
        <v>2.82081484824699E-2</v>
      </c>
      <c r="BY75" s="345">
        <v>2.2494560439560447E-2</v>
      </c>
      <c r="BZ75" s="345">
        <v>3.0776111948082017E-2</v>
      </c>
      <c r="CA75" s="35">
        <v>2.8762807539399447E-2</v>
      </c>
      <c r="CB75" s="35">
        <v>3.2328436731658625E-2</v>
      </c>
      <c r="CC75" s="35">
        <v>2.1826192268842672E-2</v>
      </c>
      <c r="CD75" s="35">
        <v>2.7655763701525657E-2</v>
      </c>
      <c r="CE75" s="35">
        <v>2.8533253199372593E-2</v>
      </c>
      <c r="CF75" s="35">
        <v>2.4219599608038166E-2</v>
      </c>
      <c r="CG75" s="35">
        <v>2.1036346213597571E-2</v>
      </c>
      <c r="CH75" s="35">
        <v>3.2492233522026348E-2</v>
      </c>
      <c r="CI75" s="35">
        <v>1.5372929294149159E-2</v>
      </c>
      <c r="CJ75" s="35">
        <v>1.3837977780862733E-2</v>
      </c>
      <c r="CK75" s="37">
        <v>2.0957030632421336E-2</v>
      </c>
      <c r="CL75" s="37">
        <v>3.0033503574871546E-2</v>
      </c>
      <c r="CM75" s="37">
        <v>3.2916413384454751E-2</v>
      </c>
      <c r="CN75" s="37">
        <v>3.7064538508477074E-2</v>
      </c>
      <c r="CO75" s="37">
        <v>2.9970113963871503E-2</v>
      </c>
      <c r="CP75" s="37">
        <v>2.9857543728875214E-2</v>
      </c>
      <c r="CQ75" s="37">
        <v>2.8523669909538692E-2</v>
      </c>
      <c r="CR75" s="37">
        <v>2.9790406336623457E-2</v>
      </c>
      <c r="CS75" s="37">
        <v>3.3258058036515888E-2</v>
      </c>
      <c r="CT75" s="37">
        <v>3.0360790309457816E-2</v>
      </c>
      <c r="CU75" s="37">
        <v>2.7658388552744256E-2</v>
      </c>
      <c r="CV75" s="36">
        <v>2.2268172742403006E-2</v>
      </c>
      <c r="CW75" s="35">
        <v>2.3754408584005002E-2</v>
      </c>
      <c r="CX75" s="35">
        <v>2.4755220905241133E-2</v>
      </c>
      <c r="CY75" s="35">
        <v>2.525276949899307E-2</v>
      </c>
      <c r="CZ75" s="35">
        <v>2.5252769498993074E-2</v>
      </c>
      <c r="DA75" s="35">
        <v>2.525276949899307E-2</v>
      </c>
      <c r="DB75" s="35">
        <v>2.5252769498993063E-2</v>
      </c>
      <c r="DC75" s="35">
        <v>2.525276949899307E-2</v>
      </c>
      <c r="DD75" s="35">
        <v>2.525276949899307E-2</v>
      </c>
      <c r="DE75" s="35">
        <v>2.5252769498993067E-2</v>
      </c>
      <c r="DF75" s="35">
        <v>2.5252769498993067E-2</v>
      </c>
    </row>
    <row r="76" spans="1:110" ht="12" outlineLevel="1">
      <c r="A76" s="1" t="s">
        <v>832</v>
      </c>
      <c r="B76" s="15" t="s">
        <v>274</v>
      </c>
      <c r="C76" s="345">
        <v>4.8563833333333327E-2</v>
      </c>
      <c r="D76" s="345">
        <v>4.3449999999999996E-2</v>
      </c>
      <c r="E76" s="345">
        <v>4.9258499999999997E-2</v>
      </c>
      <c r="F76" s="345">
        <v>4.8122166666666667E-2</v>
      </c>
      <c r="G76" s="345">
        <v>4.7991666666666676E-2</v>
      </c>
      <c r="H76" s="345">
        <v>5.4583333333333331E-2</v>
      </c>
      <c r="I76" s="345">
        <v>5.4836000000000003E-2</v>
      </c>
      <c r="J76" s="345">
        <v>5.577216666666665E-2</v>
      </c>
      <c r="K76" s="345">
        <v>5.662233333333333E-2</v>
      </c>
      <c r="L76" s="345">
        <v>-1.040900458459194E-3</v>
      </c>
      <c r="M76" s="35">
        <v>8.8613994980840584E-4</v>
      </c>
      <c r="N76" s="35">
        <v>3.0465025682285766E-3</v>
      </c>
      <c r="O76" s="35">
        <v>1.0495944856080098E-3</v>
      </c>
      <c r="P76" s="35">
        <v>3.832631534025726E-3</v>
      </c>
      <c r="Q76" s="35">
        <v>5.0597262926009726E-3</v>
      </c>
      <c r="R76" s="35">
        <v>-1.2434434318375891E-2</v>
      </c>
      <c r="S76" s="35">
        <v>-2.008485108746762E-3</v>
      </c>
      <c r="T76" s="37">
        <v>8.5584440637580649E-3</v>
      </c>
      <c r="U76" s="35">
        <v>1.3008925417030153E-2</v>
      </c>
      <c r="V76" s="35">
        <v>1.1914629120879025E-2</v>
      </c>
      <c r="W76" s="35">
        <v>1.5513058704405974E-2</v>
      </c>
      <c r="X76" s="35">
        <v>1.2993501315037017E-2</v>
      </c>
      <c r="Y76" s="37">
        <v>4.1019766356596094E-3</v>
      </c>
      <c r="Z76" s="37">
        <v>-9.9180793788056199E-4</v>
      </c>
      <c r="AA76" s="37">
        <v>-2.8921539957820928E-3</v>
      </c>
      <c r="AB76" s="37">
        <v>-3.6961786336458043E-3</v>
      </c>
      <c r="AC76" s="37">
        <v>-6.0561844620855825E-3</v>
      </c>
      <c r="AD76" s="37">
        <v>-7.0401597282683552E-3</v>
      </c>
      <c r="AE76" s="37">
        <v>-8.0604624941472986E-3</v>
      </c>
      <c r="AF76" s="37">
        <v>-6.1342967821923656E-3</v>
      </c>
      <c r="AG76" s="37">
        <v>-8.1002043224655609E-3</v>
      </c>
      <c r="AH76" s="37">
        <v>-9.120134250632567E-3</v>
      </c>
      <c r="AI76" s="37">
        <v>-9.6945713201200944E-3</v>
      </c>
      <c r="AJ76" s="37">
        <v>-1.0238387198709765E-2</v>
      </c>
      <c r="AK76" s="37">
        <v>-9.2398796690969752E-3</v>
      </c>
      <c r="AL76" s="37">
        <v>-1.1409775175749575E-2</v>
      </c>
      <c r="AM76" s="37">
        <v>-1.6652711765086446E-2</v>
      </c>
      <c r="AN76" s="37">
        <v>-1.664457505195318E-2</v>
      </c>
      <c r="AO76" s="37">
        <v>-1.6995525897853813E-2</v>
      </c>
      <c r="AP76" s="37">
        <v>-1.4553108227152884E-2</v>
      </c>
      <c r="AQ76" s="37">
        <v>-1.3044921255080803E-2</v>
      </c>
      <c r="AR76" s="37">
        <v>-1.2699257562694355E-2</v>
      </c>
      <c r="AS76" s="37">
        <v>-4.2748364960103549E-3</v>
      </c>
      <c r="AT76" s="37">
        <v>-5.3794986736524558E-3</v>
      </c>
      <c r="AU76" s="37">
        <v>-7.5643722180612182E-3</v>
      </c>
      <c r="AV76" s="36">
        <v>-1.0176696878613516E-2</v>
      </c>
      <c r="AW76" s="34">
        <v>-1.0176696878613516E-2</v>
      </c>
      <c r="AX76" s="34">
        <v>-1.0176696878613516E-2</v>
      </c>
      <c r="AY76" s="34">
        <v>-1.0176696878613516E-2</v>
      </c>
      <c r="AZ76" s="34">
        <v>-1.0176696878613516E-2</v>
      </c>
      <c r="BA76" s="34">
        <v>-1.0176696878613516E-2</v>
      </c>
      <c r="BB76" s="34">
        <v>-1.0176696878613516E-2</v>
      </c>
      <c r="BC76" s="34">
        <v>-1.0176696878613516E-2</v>
      </c>
      <c r="BD76" s="34">
        <v>-1.0176696878613516E-2</v>
      </c>
      <c r="BE76" s="34">
        <v>-1.0176696878613516E-2</v>
      </c>
      <c r="BF76" s="34">
        <v>-1.0176696878613516E-2</v>
      </c>
      <c r="BG76" s="34">
        <v>-1.0176696878613516E-2</v>
      </c>
      <c r="BH76" s="34">
        <v>-1.0176696878613516E-2</v>
      </c>
      <c r="BI76" s="34">
        <v>-1.0176696878613516E-2</v>
      </c>
      <c r="BJ76" s="34">
        <v>-1.0176696878613516E-2</v>
      </c>
      <c r="BK76" s="34">
        <v>-1.0176696878613516E-2</v>
      </c>
      <c r="BL76" s="34">
        <v>-1.0176696878613516E-2</v>
      </c>
      <c r="BM76" s="34">
        <v>-1.0176696878613516E-2</v>
      </c>
      <c r="BN76" s="34">
        <v>-1.0176696878613516E-2</v>
      </c>
      <c r="BO76" s="34">
        <v>-1.0176696878613516E-2</v>
      </c>
      <c r="BP76" s="35"/>
      <c r="BQ76" s="345">
        <v>1.4348538124456661E-3</v>
      </c>
      <c r="BR76" s="345">
        <v>3.0739696027104468E-4</v>
      </c>
      <c r="BS76" s="345">
        <v>4.7008964854475532E-3</v>
      </c>
      <c r="BT76" s="345">
        <v>1.5800425939896896E-2</v>
      </c>
      <c r="BU76" s="345">
        <v>5.7842732900539734E-3</v>
      </c>
      <c r="BV76" s="345">
        <v>-6.3449140239350832E-3</v>
      </c>
      <c r="BW76" s="345">
        <v>-3.8152698355968538E-2</v>
      </c>
      <c r="BX76" s="345">
        <v>8.4902721445221513E-3</v>
      </c>
      <c r="BY76" s="345">
        <v>1.2704941770455426E-2</v>
      </c>
      <c r="BZ76" s="345">
        <v>3.9772306685095238E-3</v>
      </c>
      <c r="CA76" s="35">
        <v>4.6454513769421224E-2</v>
      </c>
      <c r="CB76" s="35">
        <v>4.8054977837421527E-2</v>
      </c>
      <c r="CC76" s="35">
        <v>5.4725718712960544E-2</v>
      </c>
      <c r="CD76" s="35">
        <v>5.6205361720015001E-2</v>
      </c>
      <c r="CE76" s="35">
        <v>-9.0452186286851702E-5</v>
      </c>
      <c r="CF76" s="35">
        <v>2.0180751358395334E-3</v>
      </c>
      <c r="CG76" s="35">
        <v>4.4350676880065719E-3</v>
      </c>
      <c r="CH76" s="35">
        <v>-7.2863422546168592E-3</v>
      </c>
      <c r="CI76" s="35">
        <v>1.0771520206471739E-2</v>
      </c>
      <c r="CJ76" s="35">
        <v>1.3745962904184105E-2</v>
      </c>
      <c r="CK76" s="37">
        <v>8.4511690075928549E-3</v>
      </c>
      <c r="CL76" s="37">
        <v>-1.9897775394362928E-3</v>
      </c>
      <c r="CM76" s="37">
        <v>-4.9050363044612225E-3</v>
      </c>
      <c r="CN76" s="37">
        <v>-7.5613027519642433E-3</v>
      </c>
      <c r="CO76" s="37">
        <v>-7.1542915242149095E-3</v>
      </c>
      <c r="CP76" s="37">
        <v>-9.4142165210492294E-3</v>
      </c>
      <c r="CQ76" s="37">
        <v>-9.7250621587636251E-3</v>
      </c>
      <c r="CR76" s="37">
        <v>-1.4122404052672446E-2</v>
      </c>
      <c r="CS76" s="37">
        <v>-1.6824731931374973E-2</v>
      </c>
      <c r="CT76" s="37">
        <v>-1.3800427307649962E-2</v>
      </c>
      <c r="CU76" s="37">
        <v>-8.4524345819026753E-3</v>
      </c>
      <c r="CV76" s="36">
        <v>-6.4959991469334009E-3</v>
      </c>
      <c r="CW76" s="35">
        <v>-1.0176696878613514E-2</v>
      </c>
      <c r="CX76" s="35">
        <v>-1.0176696878613516E-2</v>
      </c>
      <c r="CY76" s="35">
        <v>-1.0176696878613518E-2</v>
      </c>
      <c r="CZ76" s="35">
        <v>-1.0176696878613518E-2</v>
      </c>
      <c r="DA76" s="35">
        <v>-1.0176696878613516E-2</v>
      </c>
      <c r="DB76" s="35">
        <v>-1.0176696878613516E-2</v>
      </c>
      <c r="DC76" s="35">
        <v>-1.0176696878613518E-2</v>
      </c>
      <c r="DD76" s="35">
        <v>-1.0176696878613516E-2</v>
      </c>
      <c r="DE76" s="35">
        <v>-1.0176696878613516E-2</v>
      </c>
      <c r="DF76" s="35">
        <v>-1.0176696878613516E-2</v>
      </c>
    </row>
    <row r="77" spans="1:110" ht="12" outlineLevel="1">
      <c r="A77" s="1" t="s">
        <v>382</v>
      </c>
      <c r="B77" s="15" t="s">
        <v>275</v>
      </c>
      <c r="C77" s="345">
        <v>9.5885334255908089E-3</v>
      </c>
      <c r="D77" s="345">
        <v>3.7236379496832783E-4</v>
      </c>
      <c r="E77" s="345">
        <v>-4.6810509694068594E-3</v>
      </c>
      <c r="F77" s="345">
        <v>-6.5356540057738416E-3</v>
      </c>
      <c r="G77" s="345">
        <v>-7.2832003079605009E-3</v>
      </c>
      <c r="H77" s="345">
        <v>-1.0401628292885289E-2</v>
      </c>
      <c r="I77" s="345">
        <v>-1.3144278212066547E-2</v>
      </c>
      <c r="J77" s="345">
        <v>-2.3237954937958619E-3</v>
      </c>
      <c r="K77" s="345">
        <v>5.8062197920437306E-3</v>
      </c>
      <c r="L77" s="345">
        <v>1.0622775738070529E-2</v>
      </c>
      <c r="M77" s="35">
        <v>1.2477289218315986E-2</v>
      </c>
      <c r="N77" s="35">
        <v>1.0324431909701628E-2</v>
      </c>
      <c r="O77" s="35">
        <v>6.10259330138406E-3</v>
      </c>
      <c r="P77" s="35">
        <v>-9.2497083531606211E-3</v>
      </c>
      <c r="Q77" s="35">
        <v>-2.041613103834479E-2</v>
      </c>
      <c r="R77" s="35">
        <v>1.1173555854634927E-2</v>
      </c>
      <c r="S77" s="35">
        <v>1.1607317800999148E-2</v>
      </c>
      <c r="T77" s="37">
        <v>6.6482579059431932E-3</v>
      </c>
      <c r="U77" s="35">
        <v>2.4903265573122113E-3</v>
      </c>
      <c r="V77" s="35">
        <v>-2.9406400515149742E-3</v>
      </c>
      <c r="W77" s="35">
        <v>-8.3049601524219988E-3</v>
      </c>
      <c r="X77" s="35">
        <v>-2.2502871161361321E-3</v>
      </c>
      <c r="Y77" s="37">
        <v>4.7912214119553778E-3</v>
      </c>
      <c r="Z77" s="37">
        <v>2.6591672439657647E-3</v>
      </c>
      <c r="AA77" s="37">
        <v>3.128004222910815E-3</v>
      </c>
      <c r="AB77" s="37">
        <v>3.435093557892184E-3</v>
      </c>
      <c r="AC77" s="37">
        <v>1.527937461283168E-3</v>
      </c>
      <c r="AD77" s="37">
        <v>2.8162917373022803E-3</v>
      </c>
      <c r="AE77" s="37">
        <v>8.5831381498048601E-3</v>
      </c>
      <c r="AF77" s="37">
        <v>1.0069136505126454E-2</v>
      </c>
      <c r="AG77" s="37">
        <v>1.3454678002088556E-2</v>
      </c>
      <c r="AH77" s="37">
        <v>1.6160852156996159E-2</v>
      </c>
      <c r="AI77" s="37">
        <v>1.768563990970112E-2</v>
      </c>
      <c r="AJ77" s="37">
        <v>1.7149157187445627E-2</v>
      </c>
      <c r="AK77" s="37">
        <v>1.9269700269789164E-2</v>
      </c>
      <c r="AL77" s="37">
        <v>2.8053487661763483E-2</v>
      </c>
      <c r="AM77" s="37">
        <v>3.3487610386939003E-2</v>
      </c>
      <c r="AN77" s="37">
        <v>3.1728575902000844E-2</v>
      </c>
      <c r="AO77" s="37">
        <v>3.9716981235716264E-2</v>
      </c>
      <c r="AP77" s="37">
        <v>2.1466187416678318E-2</v>
      </c>
      <c r="AQ77" s="37">
        <v>1.8736891958052421E-2</v>
      </c>
      <c r="AR77" s="37">
        <v>1.9158116956915234E-2</v>
      </c>
      <c r="AS77" s="37">
        <v>1.6016208693711727E-2</v>
      </c>
      <c r="AT77" s="37">
        <v>3.1615302353130648E-2</v>
      </c>
      <c r="AU77" s="37">
        <v>2.7803620827931461E-2</v>
      </c>
      <c r="AV77" s="36">
        <v>2.541999970192891E-2</v>
      </c>
      <c r="AW77" s="34">
        <v>2.541999970192891E-2</v>
      </c>
      <c r="AX77" s="34">
        <v>2.541999970192891E-2</v>
      </c>
      <c r="AY77" s="34">
        <v>2.541999970192891E-2</v>
      </c>
      <c r="AZ77" s="34">
        <v>2.541999970192891E-2</v>
      </c>
      <c r="BA77" s="34">
        <v>2.541999970192891E-2</v>
      </c>
      <c r="BB77" s="34">
        <v>2.541999970192891E-2</v>
      </c>
      <c r="BC77" s="34">
        <v>2.541999970192891E-2</v>
      </c>
      <c r="BD77" s="34">
        <v>2.541999970192891E-2</v>
      </c>
      <c r="BE77" s="34">
        <v>2.541999970192891E-2</v>
      </c>
      <c r="BF77" s="34">
        <v>2.541999970192891E-2</v>
      </c>
      <c r="BG77" s="34">
        <v>2.541999970192891E-2</v>
      </c>
      <c r="BH77" s="34">
        <v>2.541999970192891E-2</v>
      </c>
      <c r="BI77" s="34">
        <v>2.541999970192891E-2</v>
      </c>
      <c r="BJ77" s="34">
        <v>2.541999970192891E-2</v>
      </c>
      <c r="BK77" s="34">
        <v>2.541999970192891E-2</v>
      </c>
      <c r="BL77" s="34">
        <v>2.541999970192891E-2</v>
      </c>
      <c r="BM77" s="34">
        <v>2.541999970192891E-2</v>
      </c>
      <c r="BN77" s="34">
        <v>2.541999970192891E-2</v>
      </c>
      <c r="BO77" s="34">
        <v>2.541999970192891E-2</v>
      </c>
      <c r="BP77" s="35"/>
      <c r="BQ77" s="345">
        <v>2.757688094330818E-2</v>
      </c>
      <c r="BR77" s="345">
        <v>2.7703139643852841E-2</v>
      </c>
      <c r="BS77" s="345">
        <v>2.661245268138801E-2</v>
      </c>
      <c r="BT77" s="345">
        <v>1.2680892643589001E-2</v>
      </c>
      <c r="BU77" s="345">
        <v>1.8097041914471812E-2</v>
      </c>
      <c r="BV77" s="345">
        <v>2.8740880939314956E-2</v>
      </c>
      <c r="BW77" s="345">
        <v>3.3952681522854196E-2</v>
      </c>
      <c r="BX77" s="345">
        <v>3.4556543415297306E-2</v>
      </c>
      <c r="BY77" s="345">
        <v>2.3629806546415395E-2</v>
      </c>
      <c r="BZ77" s="345">
        <v>1.1184278517929309E-2</v>
      </c>
      <c r="CA77" s="35">
        <v>-1.9587356525240262E-3</v>
      </c>
      <c r="CB77" s="35">
        <v>-6.8735963192878384E-3</v>
      </c>
      <c r="CC77" s="35">
        <v>-1.1796437716615697E-2</v>
      </c>
      <c r="CD77" s="35">
        <v>1.6271712920302081E-3</v>
      </c>
      <c r="CE77" s="35">
        <v>1.1591793289030237E-2</v>
      </c>
      <c r="CF77" s="35">
        <v>8.1505392962037699E-3</v>
      </c>
      <c r="CG77" s="35">
        <v>-1.5111420160201337E-2</v>
      </c>
      <c r="CH77" s="35">
        <v>1.1369466520655852E-2</v>
      </c>
      <c r="CI77" s="35">
        <v>3.974264537195976E-3</v>
      </c>
      <c r="CJ77" s="35">
        <v>-5.8354979102367621E-3</v>
      </c>
      <c r="CK77" s="37">
        <v>1.4586663974374234E-3</v>
      </c>
      <c r="CL77" s="37">
        <v>2.9146238006446303E-3</v>
      </c>
      <c r="CM77" s="37">
        <v>2.4633164309144991E-3</v>
      </c>
      <c r="CN77" s="37">
        <v>5.7195094431976793E-3</v>
      </c>
      <c r="CO77" s="37">
        <v>1.164855752113623E-2</v>
      </c>
      <c r="CP77" s="37">
        <v>1.6895888322293717E-2</v>
      </c>
      <c r="CQ77" s="37">
        <v>1.8238356062139915E-2</v>
      </c>
      <c r="CR77" s="37">
        <v>3.0826680115332503E-2</v>
      </c>
      <c r="CS77" s="37">
        <v>3.5683646320458111E-2</v>
      </c>
      <c r="CT77" s="37">
        <v>2.0040498553544884E-2</v>
      </c>
      <c r="CU77" s="37">
        <v>1.7509204881122321E-2</v>
      </c>
      <c r="CV77" s="36">
        <v>2.9738747481636022E-2</v>
      </c>
      <c r="CW77" s="35">
        <v>2.5419999701928913E-2</v>
      </c>
      <c r="CX77" s="35">
        <v>2.541999970192891E-2</v>
      </c>
      <c r="CY77" s="35">
        <v>2.5419999701928906E-2</v>
      </c>
      <c r="CZ77" s="35">
        <v>2.541999970192891E-2</v>
      </c>
      <c r="DA77" s="35">
        <v>2.5419999701928903E-2</v>
      </c>
      <c r="DB77" s="35">
        <v>2.5419999701928916E-2</v>
      </c>
      <c r="DC77" s="35">
        <v>2.5419999701928906E-2</v>
      </c>
      <c r="DD77" s="35">
        <v>2.5419999701928906E-2</v>
      </c>
      <c r="DE77" s="35">
        <v>2.5419999701928906E-2</v>
      </c>
      <c r="DF77" s="35">
        <v>2.541999970192891E-2</v>
      </c>
    </row>
    <row r="78" spans="1:110" ht="12" outlineLevel="1">
      <c r="A78" s="1" t="s">
        <v>454</v>
      </c>
      <c r="B78" s="15" t="s">
        <v>276</v>
      </c>
      <c r="C78" s="345">
        <v>4.8563833333333327E-2</v>
      </c>
      <c r="D78" s="345">
        <v>4.3449999999999996E-2</v>
      </c>
      <c r="E78" s="345">
        <v>4.9258499999999997E-2</v>
      </c>
      <c r="F78" s="345">
        <v>4.8122166666666667E-2</v>
      </c>
      <c r="G78" s="345">
        <v>4.7991666666666676E-2</v>
      </c>
      <c r="H78" s="345">
        <v>5.4583333333333331E-2</v>
      </c>
      <c r="I78" s="345">
        <v>5.4836000000000003E-2</v>
      </c>
      <c r="J78" s="345">
        <v>5.577216666666665E-2</v>
      </c>
      <c r="K78" s="345">
        <v>5.662233333333333E-2</v>
      </c>
      <c r="L78" s="345">
        <v>1.7878941944631847E-2</v>
      </c>
      <c r="M78" s="35">
        <v>1.6229585113469325E-2</v>
      </c>
      <c r="N78" s="35">
        <v>1.7873878645438771E-2</v>
      </c>
      <c r="O78" s="35">
        <v>2.1202449850022325E-2</v>
      </c>
      <c r="P78" s="35">
        <v>3.0970216375048459E-2</v>
      </c>
      <c r="Q78" s="35">
        <v>4.4131262942483325E-2</v>
      </c>
      <c r="R78" s="35">
        <v>2.1172630876492442E-2</v>
      </c>
      <c r="S78" s="35">
        <v>2.1463462609682311E-2</v>
      </c>
      <c r="T78" s="37">
        <v>3.1949594040893585E-2</v>
      </c>
      <c r="U78" s="35">
        <v>3.8307771959486252E-2</v>
      </c>
      <c r="V78" s="35">
        <v>3.953497069661132E-2</v>
      </c>
      <c r="W78" s="35">
        <v>3.9158079934366777E-2</v>
      </c>
      <c r="X78" s="35">
        <v>3.4196271976010648E-2</v>
      </c>
      <c r="Y78" s="37">
        <v>2.6915440541673146E-2</v>
      </c>
      <c r="Z78" s="37">
        <v>2.2766795254774479E-2</v>
      </c>
      <c r="AA78" s="37">
        <v>2.03540806294236E-2</v>
      </c>
      <c r="AB78" s="37">
        <v>1.8834261577769944E-2</v>
      </c>
      <c r="AC78" s="37">
        <v>1.9872482640006413E-2</v>
      </c>
      <c r="AD78" s="37">
        <v>1.745614541907042E-2</v>
      </c>
      <c r="AE78" s="37">
        <v>1.4968739160819727E-2</v>
      </c>
      <c r="AF78" s="37">
        <v>1.7182253763694828E-2</v>
      </c>
      <c r="AG78" s="37">
        <v>1.636983463610394E-2</v>
      </c>
      <c r="AH78" s="37">
        <v>1.5813323967589013E-2</v>
      </c>
      <c r="AI78" s="37">
        <v>1.6263184889476517E-2</v>
      </c>
      <c r="AJ78" s="37">
        <v>1.8354319702272536E-2</v>
      </c>
      <c r="AK78" s="37">
        <v>1.8054895497981442E-2</v>
      </c>
      <c r="AL78" s="37">
        <v>1.4180554229482523E-2</v>
      </c>
      <c r="AM78" s="37">
        <v>8.2208055050762632E-3</v>
      </c>
      <c r="AN78" s="37">
        <v>6.5458421477498164E-3</v>
      </c>
      <c r="AO78" s="37">
        <v>7.2756516331317321E-3</v>
      </c>
      <c r="AP78" s="37">
        <v>1.2132499956237504E-2</v>
      </c>
      <c r="AQ78" s="37">
        <v>1.3453758994733896E-2</v>
      </c>
      <c r="AR78" s="37">
        <v>1.2372958757177184E-2</v>
      </c>
      <c r="AS78" s="37">
        <v>1.9076357456223287E-2</v>
      </c>
      <c r="AT78" s="37">
        <v>1.4107454865877793E-2</v>
      </c>
      <c r="AU78" s="37">
        <v>1.2371414227672965E-2</v>
      </c>
      <c r="AV78" s="36">
        <v>1.250083325202456E-2</v>
      </c>
      <c r="AW78" s="34">
        <v>1.3500833252024561E-2</v>
      </c>
      <c r="AX78" s="34">
        <v>1.3500833252024561E-2</v>
      </c>
      <c r="AY78" s="34">
        <v>1.3500833252024561E-2</v>
      </c>
      <c r="AZ78" s="34">
        <v>1.3000833252024561E-2</v>
      </c>
      <c r="BA78" s="34">
        <v>1.3000833252024561E-2</v>
      </c>
      <c r="BB78" s="34">
        <v>1.3000833252024561E-2</v>
      </c>
      <c r="BC78" s="34">
        <v>1.3000833252024561E-2</v>
      </c>
      <c r="BD78" s="34">
        <v>1.3000833252024561E-2</v>
      </c>
      <c r="BE78" s="34">
        <v>1.3000833252024561E-2</v>
      </c>
      <c r="BF78" s="34">
        <v>1.3000833252024561E-2</v>
      </c>
      <c r="BG78" s="34">
        <v>1.3000833252024561E-2</v>
      </c>
      <c r="BH78" s="34">
        <v>1.3000833252024561E-2</v>
      </c>
      <c r="BI78" s="34">
        <v>1.3000833252024561E-2</v>
      </c>
      <c r="BJ78" s="34">
        <v>1.3000833252024561E-2</v>
      </c>
      <c r="BK78" s="34">
        <v>1.3000833252024561E-2</v>
      </c>
      <c r="BL78" s="34">
        <v>1.3000833252024561E-2</v>
      </c>
      <c r="BM78" s="34">
        <v>1.3000833252024561E-2</v>
      </c>
      <c r="BN78" s="34">
        <v>1.3000833252024561E-2</v>
      </c>
      <c r="BO78" s="34">
        <v>1.3000833252024561E-2</v>
      </c>
      <c r="BP78" s="35"/>
      <c r="BQ78" s="345">
        <v>-6.965723468195989E-3</v>
      </c>
      <c r="BR78" s="345">
        <v>-6.2738107522852041E-3</v>
      </c>
      <c r="BS78" s="345">
        <v>-1.045328746177375E-3</v>
      </c>
      <c r="BT78" s="345">
        <v>1.9812168227946916E-2</v>
      </c>
      <c r="BU78" s="345">
        <v>1.489332249994417E-2</v>
      </c>
      <c r="BV78" s="345">
        <v>-1.4725123469318951E-4</v>
      </c>
      <c r="BW78" s="345">
        <v>-1.0829240430886046E-2</v>
      </c>
      <c r="BX78" s="345">
        <v>-4.0383639042453276E-3</v>
      </c>
      <c r="BY78" s="345">
        <v>5.7483353053099373E-3</v>
      </c>
      <c r="BZ78" s="345">
        <v>7.7293220338983323E-3</v>
      </c>
      <c r="CA78" s="35">
        <v>4.6263428738383412E-2</v>
      </c>
      <c r="CB78" s="35">
        <v>4.8051650774412875E-2</v>
      </c>
      <c r="CC78" s="35">
        <v>5.4708625859603732E-2</v>
      </c>
      <c r="CD78" s="35">
        <v>5.6210464440630242E-2</v>
      </c>
      <c r="CE78" s="35">
        <v>1.7001347748703519E-2</v>
      </c>
      <c r="CF78" s="35">
        <v>1.960492910615496E-2</v>
      </c>
      <c r="CG78" s="35">
        <v>3.822736441564159E-2</v>
      </c>
      <c r="CH78" s="35">
        <v>2.1318512232919924E-2</v>
      </c>
      <c r="CI78" s="35">
        <v>3.4146890983286889E-2</v>
      </c>
      <c r="CJ78" s="35">
        <v>3.9335752267889816E-2</v>
      </c>
      <c r="CK78" s="37">
        <v>3.0332839213245689E-2</v>
      </c>
      <c r="CL78" s="37">
        <v>2.1487618178574485E-2</v>
      </c>
      <c r="CM78" s="37">
        <v>1.9357548411979231E-2</v>
      </c>
      <c r="CN78" s="37">
        <v>1.6162737915176844E-2</v>
      </c>
      <c r="CO78" s="37">
        <v>1.6784915386834097E-2</v>
      </c>
      <c r="CP78" s="37">
        <v>1.6026981295466092E-2</v>
      </c>
      <c r="CQ78" s="37">
        <v>1.8203067375109384E-2</v>
      </c>
      <c r="CR78" s="37">
        <v>1.1076237678555674E-2</v>
      </c>
      <c r="CS78" s="37">
        <v>8.2268865164198852E-3</v>
      </c>
      <c r="CT78" s="37">
        <v>1.2795191174256166E-2</v>
      </c>
      <c r="CU78" s="37">
        <v>1.5819030839630242E-2</v>
      </c>
      <c r="CV78" s="36">
        <v>1.3241819897575561E-2</v>
      </c>
      <c r="CW78" s="35">
        <v>1.2989819561697017E-2</v>
      </c>
      <c r="CX78" s="35">
        <v>1.3500833252024559E-2</v>
      </c>
      <c r="CY78" s="35">
        <v>1.3000833252024563E-2</v>
      </c>
      <c r="CZ78" s="35">
        <v>1.3000833252024563E-2</v>
      </c>
      <c r="DA78" s="35">
        <v>1.3000833252024561E-2</v>
      </c>
      <c r="DB78" s="35">
        <v>1.3000833252024559E-2</v>
      </c>
      <c r="DC78" s="35">
        <v>1.3000833252024559E-2</v>
      </c>
      <c r="DD78" s="35">
        <v>1.3000833252024557E-2</v>
      </c>
      <c r="DE78" s="35">
        <v>1.3000833252024563E-2</v>
      </c>
      <c r="DF78" s="35">
        <v>1.3000833252024559E-2</v>
      </c>
    </row>
    <row r="79" spans="1:110" ht="12" outlineLevel="1">
      <c r="A79" s="1" t="s">
        <v>833</v>
      </c>
      <c r="B79" s="15" t="s">
        <v>277</v>
      </c>
      <c r="C79" s="345">
        <v>1.9223318163319947E-2</v>
      </c>
      <c r="D79" s="345">
        <v>1.7885962904960227E-2</v>
      </c>
      <c r="E79" s="345">
        <v>2.1370896397589965E-2</v>
      </c>
      <c r="F79" s="345">
        <v>1.581382669591351E-2</v>
      </c>
      <c r="G79" s="345">
        <v>1.3766241669444934E-2</v>
      </c>
      <c r="H79" s="345">
        <v>3.1997836815996273E-3</v>
      </c>
      <c r="I79" s="345">
        <v>-1.2566915322131951E-2</v>
      </c>
      <c r="J79" s="345">
        <v>-8.6155356688359094E-2</v>
      </c>
      <c r="K79" s="345">
        <v>-8.7617430213970782E-2</v>
      </c>
      <c r="L79" s="345">
        <v>-3.8571192747787661E-3</v>
      </c>
      <c r="M79" s="35">
        <v>-2.201141248599078E-4</v>
      </c>
      <c r="N79" s="35">
        <v>-1.9119363294536186E-3</v>
      </c>
      <c r="O79" s="35">
        <v>-2.6212555656373025E-3</v>
      </c>
      <c r="P79" s="35">
        <v>1.1236233722075149E-4</v>
      </c>
      <c r="Q79" s="35">
        <v>1.3456165592472724E-3</v>
      </c>
      <c r="R79" s="35">
        <v>-1.2883159993534142E-2</v>
      </c>
      <c r="S79" s="35">
        <v>-6.2201467790950135E-3</v>
      </c>
      <c r="T79" s="37">
        <v>-7.8357603386835519E-4</v>
      </c>
      <c r="U79" s="35">
        <v>-1.1258087556469745E-3</v>
      </c>
      <c r="V79" s="35">
        <v>-1.1520616713297611E-3</v>
      </c>
      <c r="W79" s="35">
        <v>-1.5061285536595375E-5</v>
      </c>
      <c r="X79" s="35">
        <v>2.1588780168344186E-4</v>
      </c>
      <c r="Y79" s="37">
        <v>-3.7701136683709986E-3</v>
      </c>
      <c r="Z79" s="37">
        <v>-5.5138410866410201E-3</v>
      </c>
      <c r="AA79" s="37">
        <v>-9.0828478621849534E-3</v>
      </c>
      <c r="AB79" s="37">
        <v>-8.0056588700174423E-3</v>
      </c>
      <c r="AC79" s="37">
        <v>-6.1700901165742568E-3</v>
      </c>
      <c r="AD79" s="37">
        <v>-3.3555256015450198E-3</v>
      </c>
      <c r="AE79" s="37">
        <v>-6.2432914221046531E-3</v>
      </c>
      <c r="AF79" s="37">
        <v>-3.8032681495332463E-3</v>
      </c>
      <c r="AG79" s="37">
        <v>-8.4732631664184918E-3</v>
      </c>
      <c r="AH79" s="37">
        <v>-8.2598662849082006E-3</v>
      </c>
      <c r="AI79" s="37">
        <v>-9.7423839265302539E-3</v>
      </c>
      <c r="AJ79" s="37">
        <v>-1.0010627414332543E-2</v>
      </c>
      <c r="AK79" s="37">
        <v>-1.001719291992457E-2</v>
      </c>
      <c r="AL79" s="37">
        <v>-9.754614817180679E-3</v>
      </c>
      <c r="AM79" s="37">
        <v>-1.3764811480938735E-2</v>
      </c>
      <c r="AN79" s="37">
        <v>-1.280569574365145E-2</v>
      </c>
      <c r="AO79" s="37">
        <v>-1.0556420505124503E-2</v>
      </c>
      <c r="AP79" s="37">
        <v>-1.1388232112330343E-2</v>
      </c>
      <c r="AQ79" s="37">
        <v>-1.004962667254064E-2</v>
      </c>
      <c r="AR79" s="37">
        <v>-9.8053287018080738E-3</v>
      </c>
      <c r="AS79" s="37">
        <v>-2.8217545970976284E-3</v>
      </c>
      <c r="AT79" s="37">
        <v>-6.46465817334796E-3</v>
      </c>
      <c r="AU79" s="37">
        <v>-7.8209599823090715E-3</v>
      </c>
      <c r="AV79" s="36">
        <v>-7.5704324816215649E-3</v>
      </c>
      <c r="AW79" s="34">
        <v>-7.8704324816215657E-3</v>
      </c>
      <c r="AX79" s="34">
        <v>-7.8704324816215657E-3</v>
      </c>
      <c r="AY79" s="34">
        <v>-7.8704324816215657E-3</v>
      </c>
      <c r="AZ79" s="34">
        <v>-8.1204324816215659E-3</v>
      </c>
      <c r="BA79" s="34">
        <v>-8.1204324816215659E-3</v>
      </c>
      <c r="BB79" s="34">
        <v>-8.2204324816215653E-3</v>
      </c>
      <c r="BC79" s="34">
        <v>-8.3204324816215647E-3</v>
      </c>
      <c r="BD79" s="34">
        <v>-8.3204324816215647E-3</v>
      </c>
      <c r="BE79" s="34">
        <v>-8.3204324816215647E-3</v>
      </c>
      <c r="BF79" s="34">
        <v>-8.3204324816215647E-3</v>
      </c>
      <c r="BG79" s="34">
        <v>-8.3204324816215647E-3</v>
      </c>
      <c r="BH79" s="34">
        <v>-8.3204324816215647E-3</v>
      </c>
      <c r="BI79" s="34">
        <v>-8.3204324816215647E-3</v>
      </c>
      <c r="BJ79" s="34">
        <v>-8.3204324816215647E-3</v>
      </c>
      <c r="BK79" s="34">
        <v>-8.3204324816215647E-3</v>
      </c>
      <c r="BL79" s="34">
        <v>-8.3204324816215647E-3</v>
      </c>
      <c r="BM79" s="34">
        <v>-8.3204324816215647E-3</v>
      </c>
      <c r="BN79" s="34">
        <v>-8.3204324816215647E-3</v>
      </c>
      <c r="BO79" s="34">
        <v>-8.3204324816215647E-3</v>
      </c>
      <c r="BP79" s="35"/>
      <c r="BQ79" s="345">
        <v>2.9839111002260509E-2</v>
      </c>
      <c r="BR79" s="345">
        <v>-9.389141178819822E-3</v>
      </c>
      <c r="BS79" s="345">
        <v>2.7300970898657606E-3</v>
      </c>
      <c r="BT79" s="345">
        <v>2.5927088010776959E-3</v>
      </c>
      <c r="BU79" s="345">
        <v>-1.0758684152778139E-3</v>
      </c>
      <c r="BV79" s="345">
        <v>-1.565674130730086E-2</v>
      </c>
      <c r="BW79" s="345">
        <v>-4.5961462967809381E-3</v>
      </c>
      <c r="BX79" s="345">
        <v>-9.2860375941101938E-3</v>
      </c>
      <c r="BY79" s="345">
        <v>-6.0233838784962664E-3</v>
      </c>
      <c r="BZ79" s="345">
        <v>-9.3788123701204051E-3</v>
      </c>
      <c r="CA79" s="35">
        <v>1.961264916370363E-2</v>
      </c>
      <c r="CB79" s="35">
        <v>1.479073206700844E-2</v>
      </c>
      <c r="CC79" s="35">
        <v>-4.3214490528480755E-3</v>
      </c>
      <c r="CD79" s="35">
        <v>-8.6952399800126479E-2</v>
      </c>
      <c r="CE79" s="35">
        <v>-2.003116664156993E-3</v>
      </c>
      <c r="CF79" s="35">
        <v>-2.2702733283103006E-3</v>
      </c>
      <c r="CG79" s="35">
        <v>7.4192365005681363E-4</v>
      </c>
      <c r="CH79" s="35">
        <v>-9.7253208006613141E-3</v>
      </c>
      <c r="CI79" s="35">
        <v>-9.7372679907128858E-4</v>
      </c>
      <c r="CJ79" s="35">
        <v>-5.7078286634047E-4</v>
      </c>
      <c r="CK79" s="37">
        <v>-1.7894165067017112E-3</v>
      </c>
      <c r="CL79" s="37">
        <v>-7.3927893802231311E-3</v>
      </c>
      <c r="CM79" s="37">
        <v>-7.0370408511603241E-3</v>
      </c>
      <c r="CN79" s="37">
        <v>-4.8165024426639605E-3</v>
      </c>
      <c r="CO79" s="37">
        <v>-6.1370604933753013E-3</v>
      </c>
      <c r="CP79" s="37">
        <v>-9.0011640730570091E-3</v>
      </c>
      <c r="CQ79" s="37">
        <v>-1.0014018013971065E-2</v>
      </c>
      <c r="CR79" s="37">
        <v>-1.1741345833390312E-2</v>
      </c>
      <c r="CS79" s="37">
        <v>-1.2053648890448831E-2</v>
      </c>
      <c r="CT79" s="37">
        <v>-1.0713650546666318E-2</v>
      </c>
      <c r="CU79" s="37">
        <v>-6.2063920198018527E-3</v>
      </c>
      <c r="CV79" s="36">
        <v>-7.1421082385338952E-3</v>
      </c>
      <c r="CW79" s="35">
        <v>-7.7190828409296362E-3</v>
      </c>
      <c r="CX79" s="35">
        <v>-7.8704324816215639E-3</v>
      </c>
      <c r="CY79" s="35">
        <v>-8.1204324816215659E-3</v>
      </c>
      <c r="CZ79" s="35">
        <v>-8.2709286877210488E-3</v>
      </c>
      <c r="DA79" s="35">
        <v>-8.3204324816215647E-3</v>
      </c>
      <c r="DB79" s="35">
        <v>-8.3204324816215647E-3</v>
      </c>
      <c r="DC79" s="35">
        <v>-8.3204324816215647E-3</v>
      </c>
      <c r="DD79" s="35">
        <v>-8.3204324816215647E-3</v>
      </c>
      <c r="DE79" s="35">
        <v>-8.3204324816215664E-3</v>
      </c>
      <c r="DF79" s="35">
        <v>-8.3204324816215647E-3</v>
      </c>
    </row>
    <row r="80" spans="1:110" ht="12" outlineLevel="1">
      <c r="A80" s="1" t="s">
        <v>1126</v>
      </c>
      <c r="B80" s="15" t="s">
        <v>1069</v>
      </c>
      <c r="C80" s="376">
        <v>4.8563833333333327E-2</v>
      </c>
      <c r="D80" s="376">
        <v>4.3449999999999996E-2</v>
      </c>
      <c r="E80" s="376">
        <v>4.9258500000000004E-2</v>
      </c>
      <c r="F80" s="376">
        <v>4.8122166666666667E-2</v>
      </c>
      <c r="G80" s="376">
        <v>4.7991666666666676E-2</v>
      </c>
      <c r="H80" s="376">
        <v>5.4583333333333331E-2</v>
      </c>
      <c r="I80" s="376">
        <v>5.4836000000000003E-2</v>
      </c>
      <c r="J80" s="376">
        <v>5.5772166666666657E-2</v>
      </c>
      <c r="K80" s="376">
        <v>5.662233333333333E-2</v>
      </c>
      <c r="L80" s="376">
        <v>5.6355846153846152E-2</v>
      </c>
      <c r="M80" s="38">
        <v>6.0129769230769285E-2</v>
      </c>
      <c r="N80" s="38">
        <v>6.3802999999999985E-2</v>
      </c>
      <c r="O80" s="38">
        <v>6.5715230769230776E-2</v>
      </c>
      <c r="P80" s="38">
        <v>7.3364427480916011E-2</v>
      </c>
      <c r="Q80" s="38">
        <v>7.6400687022900773E-2</v>
      </c>
      <c r="R80" s="38">
        <v>4.2395307692307697E-2</v>
      </c>
      <c r="S80" s="38">
        <v>3.216022900763358E-2</v>
      </c>
      <c r="T80" s="38">
        <v>4.1024615384615402E-2</v>
      </c>
      <c r="U80" s="38">
        <v>4.7748091603053433E-2</v>
      </c>
      <c r="V80" s="38">
        <v>4.9392307692307597E-2</v>
      </c>
      <c r="W80" s="38">
        <v>4.9166412213740462E-2</v>
      </c>
      <c r="X80" s="38">
        <v>4.5109230769230797E-2</v>
      </c>
      <c r="Y80" s="73">
        <v>3.6663076923076902E-2</v>
      </c>
      <c r="Z80" s="330">
        <v>3.0902538461538499E-2</v>
      </c>
      <c r="AA80" s="330">
        <v>2.7602290076335901E-2</v>
      </c>
      <c r="AB80" s="330">
        <v>2.6119230769230804E-2</v>
      </c>
      <c r="AC80" s="407">
        <v>2.6741666666666664E-2</v>
      </c>
      <c r="AD80" s="414">
        <v>2.5995876923076939E-2</v>
      </c>
      <c r="AE80" s="407">
        <v>2.1649618320610679E-2</v>
      </c>
      <c r="AF80" s="407">
        <v>2.26862595419847E-2</v>
      </c>
      <c r="AG80" s="407">
        <v>1.94579923664122E-2</v>
      </c>
      <c r="AH80" s="407">
        <v>1.7719200000000001E-2</v>
      </c>
      <c r="AI80" s="330">
        <v>1.7227309999999999E-2</v>
      </c>
      <c r="AJ80" s="330">
        <v>1.7827692307692301E-2</v>
      </c>
      <c r="AK80" s="330">
        <v>1.9993076923076926E-2</v>
      </c>
      <c r="AL80" s="330">
        <v>1.9621538461538499E-2</v>
      </c>
      <c r="AM80" s="330">
        <v>1.2658778625954201E-2</v>
      </c>
      <c r="AN80" s="330">
        <v>8.3061068702290197E-3</v>
      </c>
      <c r="AO80" s="330">
        <v>1.1099236641221399E-3</v>
      </c>
      <c r="AP80" s="407">
        <v>3.4490740740740738E-4</v>
      </c>
      <c r="AQ80" s="407">
        <v>3.83571428571428E-4</v>
      </c>
      <c r="AR80" s="407">
        <v>8.6689230769230769E-4</v>
      </c>
      <c r="AS80" s="407">
        <v>1.713309160305344E-2</v>
      </c>
      <c r="AT80" s="407">
        <v>3.2851469230769231E-2</v>
      </c>
      <c r="AU80" s="407">
        <v>4.0793623076923094E-2</v>
      </c>
      <c r="AV80" s="513">
        <v>4.3398653846153844E-2</v>
      </c>
      <c r="AW80" s="149">
        <v>4.5226499999999996E-2</v>
      </c>
      <c r="AX80" s="149">
        <v>4.4749999999999998E-2</v>
      </c>
      <c r="AY80" s="149">
        <v>3.9750000000000001E-2</v>
      </c>
      <c r="AZ80" s="149">
        <v>3.5000000000000003E-2</v>
      </c>
      <c r="BA80" s="149">
        <v>3.5000000000000003E-2</v>
      </c>
      <c r="BB80" s="149">
        <v>3.5000000000000003E-2</v>
      </c>
      <c r="BC80" s="149">
        <v>3.5000000000000003E-2</v>
      </c>
      <c r="BD80" s="149">
        <v>3.5000000000000003E-2</v>
      </c>
      <c r="BE80" s="149">
        <v>3.5000000000000003E-2</v>
      </c>
      <c r="BF80" s="149">
        <v>3.5000000000000003E-2</v>
      </c>
      <c r="BG80" s="149">
        <v>3.5000000000000003E-2</v>
      </c>
      <c r="BH80" s="149">
        <v>3.5000000000000003E-2</v>
      </c>
      <c r="BI80" s="149">
        <v>3.5000000000000003E-2</v>
      </c>
      <c r="BJ80" s="149">
        <v>3.5000000000000003E-2</v>
      </c>
      <c r="BK80" s="149">
        <v>3.5000000000000003E-2</v>
      </c>
      <c r="BL80" s="149">
        <v>3.5000000000000003E-2</v>
      </c>
      <c r="BM80" s="149">
        <v>3.5000000000000003E-2</v>
      </c>
      <c r="BN80" s="149">
        <v>3.5000000000000003E-2</v>
      </c>
      <c r="BO80" s="149">
        <v>3.5000000000000003E-2</v>
      </c>
      <c r="BP80" s="35"/>
      <c r="BQ80" s="394">
        <v>6.987500000000002E-2</v>
      </c>
      <c r="BR80" s="394">
        <v>5.3925000000000008E-2</v>
      </c>
      <c r="BS80" s="394">
        <v>5.151583333333333E-2</v>
      </c>
      <c r="BT80" s="394">
        <v>7.6720833333333335E-2</v>
      </c>
      <c r="BU80" s="394">
        <v>7.3661666666666681E-2</v>
      </c>
      <c r="BV80" s="394">
        <v>5.6936166666666663E-2</v>
      </c>
      <c r="BW80" s="394">
        <v>5.062500000000001E-2</v>
      </c>
      <c r="BX80" s="394">
        <v>4.8845750000000007E-2</v>
      </c>
      <c r="BY80" s="376">
        <v>5.9791153846153834E-2</v>
      </c>
      <c r="BZ80" s="376">
        <v>5.4170000000000031E-2</v>
      </c>
      <c r="CA80" s="35">
        <v>4.6315679736157904E-2</v>
      </c>
      <c r="CB80" s="35">
        <v>4.8051677993831685E-2</v>
      </c>
      <c r="CC80" s="35">
        <v>5.468510414930762E-2</v>
      </c>
      <c r="CD80" s="35">
        <v>5.621982491358863E-2</v>
      </c>
      <c r="CE80" s="35">
        <v>5.6270985162033021E-2</v>
      </c>
      <c r="CF80" s="35">
        <v>6.4652604177034084E-2</v>
      </c>
      <c r="CG80" s="35">
        <v>7.5017118804568128E-2</v>
      </c>
      <c r="CH80" s="35">
        <v>3.7763425196403223E-2</v>
      </c>
      <c r="CI80" s="35">
        <v>4.4383355273174926E-2</v>
      </c>
      <c r="CJ80" s="35">
        <v>4.0524456830033147E-2</v>
      </c>
      <c r="CK80" s="37">
        <v>4.0479900777485825E-2</v>
      </c>
      <c r="CL80" s="37">
        <v>2.9636694357953765E-2</v>
      </c>
      <c r="CM80" s="37">
        <v>2.643872694886628E-2</v>
      </c>
      <c r="CN80" s="37">
        <v>2.3574927510184873E-2</v>
      </c>
      <c r="CO80" s="37">
        <v>2.1272291164600145E-2</v>
      </c>
      <c r="CP80" s="37">
        <v>1.7457349688910474E-2</v>
      </c>
      <c r="CQ80" s="37">
        <v>1.8959765799157743E-2</v>
      </c>
      <c r="CR80" s="37">
        <v>1.6800625931827171E-2</v>
      </c>
      <c r="CS80" s="37">
        <v>3.0881798197531962E-3</v>
      </c>
      <c r="CT80" s="37">
        <v>3.6527458742687116E-4</v>
      </c>
      <c r="CU80" s="37">
        <v>8.417825321042214E-3</v>
      </c>
      <c r="CV80" s="36">
        <v>3.670515214418469E-2</v>
      </c>
      <c r="CW80" s="35">
        <v>4.428217327285941E-2</v>
      </c>
      <c r="CX80" s="35">
        <v>4.2238324677015021E-2</v>
      </c>
      <c r="CY80" s="35">
        <v>3.5000000000000094E-2</v>
      </c>
      <c r="CZ80" s="35">
        <v>3.5000000000000114E-2</v>
      </c>
      <c r="DA80" s="35">
        <v>3.5000000000000066E-2</v>
      </c>
      <c r="DB80" s="35">
        <v>3.5000000000000149E-2</v>
      </c>
      <c r="DC80" s="35">
        <v>3.5000000000000121E-2</v>
      </c>
      <c r="DD80" s="35">
        <v>3.4999999999999892E-2</v>
      </c>
      <c r="DE80" s="35">
        <v>3.4999999999999989E-2</v>
      </c>
      <c r="DF80" s="35">
        <v>3.4999999999999976E-2</v>
      </c>
    </row>
    <row r="81" spans="1:110" ht="12" outlineLevel="1">
      <c r="A81" s="1" t="s">
        <v>698</v>
      </c>
      <c r="B81" s="15" t="s">
        <v>531</v>
      </c>
      <c r="C81" s="345">
        <v>2.7542525224884339E-2</v>
      </c>
      <c r="D81" s="345">
        <v>2.7376529741967255E-2</v>
      </c>
      <c r="E81" s="345">
        <v>2.7689893297031559E-2</v>
      </c>
      <c r="F81" s="345">
        <v>2.6966410989231943E-2</v>
      </c>
      <c r="G81" s="345">
        <v>2.6220845289915029E-2</v>
      </c>
      <c r="H81" s="345">
        <v>2.5185095888209122E-2</v>
      </c>
      <c r="I81" s="345">
        <v>2.4376165527040229E-2</v>
      </c>
      <c r="J81" s="345">
        <v>2.5712937809823963E-2</v>
      </c>
      <c r="K81" s="345">
        <v>2.4651871216901475E-2</v>
      </c>
      <c r="L81" s="345">
        <v>2.2946099028772184E-2</v>
      </c>
      <c r="M81" s="35">
        <v>2.3305065599238846E-2</v>
      </c>
      <c r="N81" s="35">
        <v>2.2374355925505712E-2</v>
      </c>
      <c r="O81" s="35">
        <v>2.1462750108869839E-2</v>
      </c>
      <c r="P81" s="35">
        <v>1.9957023763641259E-2</v>
      </c>
      <c r="Q81" s="35">
        <v>2.0211751618926535E-2</v>
      </c>
      <c r="R81" s="35">
        <v>2.2221149959869305E-2</v>
      </c>
      <c r="S81" s="35">
        <v>2.4079769418525597E-2</v>
      </c>
      <c r="T81" s="37">
        <v>2.4516818953123881E-2</v>
      </c>
      <c r="U81" s="35">
        <v>2.4970433186508385E-2</v>
      </c>
      <c r="V81" s="35">
        <v>2.4747461285322424E-2</v>
      </c>
      <c r="W81" s="35">
        <v>2.4462460657294023E-2</v>
      </c>
      <c r="X81" s="35">
        <v>2.3523769463914365E-2</v>
      </c>
      <c r="Y81" s="37">
        <v>2.2766421201090382E-2</v>
      </c>
      <c r="Z81" s="37">
        <v>2.2482604907496685E-2</v>
      </c>
      <c r="AA81" s="37">
        <v>2.1873033387705101E-2</v>
      </c>
      <c r="AB81" s="37">
        <v>2.1450292275719221E-2</v>
      </c>
      <c r="AC81" s="37">
        <v>2.12052157638314E-2</v>
      </c>
      <c r="AD81" s="37">
        <v>2.0386155827046854E-2</v>
      </c>
      <c r="AE81" s="37">
        <v>2.0383137446578433E-2</v>
      </c>
      <c r="AF81" s="37">
        <v>2.0694699854387849E-2</v>
      </c>
      <c r="AG81" s="37">
        <v>2.0614152202937247E-2</v>
      </c>
      <c r="AH81" s="37">
        <v>2.0000865346245005E-2</v>
      </c>
      <c r="AI81" s="37">
        <v>1.9773687967259951E-2</v>
      </c>
      <c r="AJ81" s="37">
        <v>1.9263792875698998E-2</v>
      </c>
      <c r="AK81" s="37">
        <v>1.8213937852235233E-2</v>
      </c>
      <c r="AL81" s="37">
        <v>1.8037707134694544E-2</v>
      </c>
      <c r="AM81" s="37">
        <v>1.7232423437769762E-2</v>
      </c>
      <c r="AN81" s="37">
        <v>1.6861008742183225E-2</v>
      </c>
      <c r="AO81" s="37">
        <v>1.5710324354799739E-2</v>
      </c>
      <c r="AP81" s="37">
        <v>1.6338183672275776E-2</v>
      </c>
      <c r="AQ81" s="37">
        <v>1.6452496019000118E-2</v>
      </c>
      <c r="AR81" s="37">
        <v>1.5826785793373838E-2</v>
      </c>
      <c r="AS81" s="37">
        <v>1.6847598850080477E-2</v>
      </c>
      <c r="AT81" s="37">
        <v>1.7520240352963186E-2</v>
      </c>
      <c r="AU81" s="37">
        <v>1.6480036617208552E-2</v>
      </c>
      <c r="AV81" s="39">
        <v>1.5555015108982585E-2</v>
      </c>
      <c r="AW81" s="533">
        <v>1.611282003653354E-2</v>
      </c>
      <c r="AX81" s="533">
        <v>1.6105586896318622E-2</v>
      </c>
      <c r="AY81" s="533">
        <v>1.6143126640127799E-2</v>
      </c>
      <c r="AZ81" s="533">
        <v>1.5852118952148858E-2</v>
      </c>
      <c r="BA81" s="533">
        <v>1.582782894947745E-2</v>
      </c>
      <c r="BB81" s="533">
        <v>1.5738789170032651E-2</v>
      </c>
      <c r="BC81" s="533">
        <v>1.5574256801633504E-2</v>
      </c>
      <c r="BD81" s="533">
        <v>1.5573170794013456E-2</v>
      </c>
      <c r="BE81" s="533">
        <v>1.5580177046530599E-2</v>
      </c>
      <c r="BF81" s="533">
        <v>1.561615502892074E-2</v>
      </c>
      <c r="BG81" s="533">
        <v>1.5656722826796712E-2</v>
      </c>
      <c r="BH81" s="533">
        <v>1.5693927172759324E-2</v>
      </c>
      <c r="BI81" s="533">
        <v>1.5810451669044663E-2</v>
      </c>
      <c r="BJ81" s="533">
        <v>1.5907594273512494E-2</v>
      </c>
      <c r="BK81" s="533">
        <v>1.5946326460376366E-2</v>
      </c>
      <c r="BL81" s="533">
        <v>1.5992727748375943E-2</v>
      </c>
      <c r="BM81" s="533">
        <v>1.604143520652531E-2</v>
      </c>
      <c r="BN81" s="533">
        <v>1.607248858608374E-2</v>
      </c>
      <c r="BO81" s="533">
        <v>1.609463669668848E-2</v>
      </c>
      <c r="BP81" s="35"/>
      <c r="BQ81" s="535">
        <v>2.9870680465324866E-2</v>
      </c>
      <c r="BR81" s="535">
        <v>3.0788788667594887E-2</v>
      </c>
      <c r="BS81" s="535">
        <v>3.3478318175827068E-2</v>
      </c>
      <c r="BT81" s="535">
        <v>3.3922914466737071E-2</v>
      </c>
      <c r="BU81" s="535">
        <v>3.3359737694397922E-2</v>
      </c>
      <c r="BV81" s="535">
        <v>3.0350929867010476E-2</v>
      </c>
      <c r="BW81" s="535">
        <v>2.9625484431377788E-2</v>
      </c>
      <c r="BX81" s="535">
        <v>3.040993086004775E-2</v>
      </c>
      <c r="BY81" s="535">
        <v>2.8545036723291124E-2</v>
      </c>
      <c r="BZ81" s="535">
        <v>2.7515954659334818E-2</v>
      </c>
      <c r="CA81" s="534">
        <v>2.7537784769164186E-2</v>
      </c>
      <c r="CB81" s="534">
        <v>2.6588413158812267E-2</v>
      </c>
      <c r="CC81" s="534">
        <v>2.4755718750147301E-2</v>
      </c>
      <c r="CD81" s="534">
        <v>2.5168151149412107E-2</v>
      </c>
      <c r="CE81" s="534">
        <v>2.3088997226526894E-2</v>
      </c>
      <c r="CF81" s="534">
        <v>2.1904181952897908E-2</v>
      </c>
      <c r="CG81" s="534">
        <v>2.00882860981383E-2</v>
      </c>
      <c r="CH81" s="534">
        <v>2.313645125671402E-2</v>
      </c>
      <c r="CI81" s="534">
        <v>2.47497592635171E-2</v>
      </c>
      <c r="CJ81" s="534">
        <v>2.4246155403097595E-2</v>
      </c>
      <c r="CK81" s="536">
        <v>2.3134483753326419E-2</v>
      </c>
      <c r="CL81" s="536">
        <v>2.2199086104018679E-2</v>
      </c>
      <c r="CM81" s="536">
        <v>2.1324673839291371E-2</v>
      </c>
      <c r="CN81" s="536">
        <v>2.038459607370588E-2</v>
      </c>
      <c r="CO81" s="536">
        <v>2.0654456888353736E-2</v>
      </c>
      <c r="CP81" s="536">
        <v>1.9886363636363633E-2</v>
      </c>
      <c r="CQ81" s="37">
        <v>1.8730545475193702E-2</v>
      </c>
      <c r="CR81" s="37">
        <v>1.7632396685271744E-2</v>
      </c>
      <c r="CS81" s="37">
        <v>1.6281484606238163E-2</v>
      </c>
      <c r="CT81" s="37">
        <v>1.6395910111370846E-2</v>
      </c>
      <c r="CU81" s="37">
        <v>1.6344390392918094E-2</v>
      </c>
      <c r="CV81" s="36">
        <v>1.6997597117771997E-2</v>
      </c>
      <c r="CW81" s="35">
        <v>1.5835628237590785E-2</v>
      </c>
      <c r="CX81" s="35">
        <v>1.6124558258859181E-2</v>
      </c>
      <c r="CY81" s="35">
        <v>1.5839866958659188E-2</v>
      </c>
      <c r="CZ81" s="35">
        <v>1.5655618590003376E-2</v>
      </c>
      <c r="DA81" s="35">
        <v>1.5576705170142778E-2</v>
      </c>
      <c r="DB81" s="35">
        <v>1.5636676687859549E-2</v>
      </c>
      <c r="DC81" s="35">
        <v>1.5752875866063588E-2</v>
      </c>
      <c r="DD81" s="35">
        <v>1.5927212488375794E-2</v>
      </c>
      <c r="DE81" s="35">
        <v>1.6017342264438135E-2</v>
      </c>
      <c r="DF81" s="35">
        <v>1.6083648074901653E-2</v>
      </c>
    </row>
    <row r="82" spans="1:110" ht="12" outlineLevel="1">
      <c r="C82" s="345"/>
      <c r="D82" s="345"/>
      <c r="E82" s="345"/>
      <c r="F82" s="345"/>
      <c r="G82" s="345"/>
      <c r="H82" s="345"/>
      <c r="I82" s="345"/>
      <c r="J82" s="345"/>
      <c r="K82" s="345"/>
      <c r="L82" s="345"/>
      <c r="M82" s="35"/>
      <c r="N82" s="35"/>
      <c r="O82" s="35"/>
      <c r="P82" s="35"/>
      <c r="Q82" s="35"/>
      <c r="R82" s="35"/>
      <c r="S82" s="35"/>
      <c r="T82" s="37"/>
      <c r="U82" s="37"/>
      <c r="V82" s="37"/>
      <c r="W82" s="37"/>
      <c r="X82" s="37"/>
      <c r="Y82" s="228"/>
      <c r="Z82" s="37"/>
      <c r="AA82" s="228"/>
      <c r="AB82" s="37"/>
      <c r="AC82" s="37"/>
      <c r="AD82" s="37"/>
      <c r="AE82" s="37"/>
      <c r="AF82" s="37"/>
      <c r="AG82" s="433"/>
      <c r="AH82" s="433"/>
      <c r="AI82" s="433"/>
      <c r="AJ82" s="433"/>
      <c r="AK82" s="357"/>
      <c r="AL82" s="37"/>
      <c r="AM82" s="508"/>
      <c r="AN82" s="37"/>
      <c r="AO82" s="37"/>
      <c r="AP82" s="37"/>
      <c r="AQ82" s="37"/>
      <c r="AR82" s="37"/>
      <c r="AS82" s="37"/>
      <c r="AT82" s="37"/>
      <c r="AU82" s="37"/>
      <c r="AV82" s="541"/>
      <c r="AW82" s="557"/>
      <c r="AX82" s="557"/>
      <c r="AY82" s="557"/>
      <c r="AZ82" s="557"/>
      <c r="BA82" s="557"/>
      <c r="BB82" s="557"/>
      <c r="BC82" s="557"/>
      <c r="BD82" s="557"/>
      <c r="BE82" s="557"/>
      <c r="BF82" s="557"/>
      <c r="BG82" s="557"/>
      <c r="BH82" s="557"/>
      <c r="BI82" s="557"/>
      <c r="BJ82" s="557"/>
      <c r="BK82" s="557"/>
      <c r="BL82" s="557"/>
      <c r="BM82" s="557"/>
      <c r="BN82" s="557"/>
      <c r="BO82" s="557"/>
      <c r="BP82" s="35"/>
      <c r="BQ82" s="345"/>
      <c r="BR82" s="345"/>
      <c r="BS82" s="345"/>
      <c r="BT82" s="345"/>
      <c r="BU82" s="345"/>
      <c r="BV82" s="345"/>
      <c r="BW82" s="345"/>
      <c r="BX82" s="345"/>
      <c r="BY82" s="345"/>
      <c r="BZ82" s="345"/>
      <c r="CA82" s="35"/>
      <c r="CB82" s="35"/>
      <c r="CC82" s="35"/>
      <c r="CD82" s="35"/>
      <c r="CE82" s="35"/>
      <c r="CF82" s="35"/>
      <c r="CG82" s="35"/>
      <c r="CH82" s="35"/>
      <c r="CI82" s="35"/>
      <c r="CJ82" s="35"/>
      <c r="CK82" s="37"/>
      <c r="CL82" s="37"/>
      <c r="CM82" s="37"/>
      <c r="CN82" s="37"/>
      <c r="CO82" s="37"/>
      <c r="CP82" s="37"/>
      <c r="CQ82" s="37"/>
      <c r="CR82" s="37"/>
      <c r="CS82" s="37"/>
      <c r="CT82" s="37"/>
      <c r="CU82" s="37"/>
      <c r="CV82" s="36"/>
      <c r="CW82" s="557"/>
      <c r="CX82" s="557"/>
      <c r="CY82" s="557"/>
      <c r="CZ82" s="557"/>
      <c r="DA82" s="557"/>
      <c r="DB82" s="15"/>
      <c r="DC82" s="15"/>
      <c r="DD82" s="15"/>
      <c r="DE82" s="15"/>
      <c r="DF82" s="15"/>
    </row>
    <row r="83" spans="1:110" ht="12" outlineLevel="1">
      <c r="B83" s="17" t="s">
        <v>532</v>
      </c>
      <c r="C83" s="345"/>
      <c r="D83" s="345"/>
      <c r="E83" s="345"/>
      <c r="F83" s="345"/>
      <c r="G83" s="345"/>
      <c r="H83" s="345"/>
      <c r="I83" s="345"/>
      <c r="J83" s="345"/>
      <c r="K83" s="345"/>
      <c r="L83" s="345"/>
      <c r="M83" s="35"/>
      <c r="N83" s="35"/>
      <c r="O83" s="35"/>
      <c r="P83" s="35"/>
      <c r="Q83" s="35"/>
      <c r="R83" s="35"/>
      <c r="S83" s="35"/>
      <c r="T83" s="37"/>
      <c r="U83" s="35"/>
      <c r="V83" s="35"/>
      <c r="W83" s="35"/>
      <c r="X83" s="35"/>
      <c r="Y83" s="228"/>
      <c r="Z83" s="37"/>
      <c r="AA83" s="228"/>
      <c r="AB83" s="32"/>
      <c r="AC83" s="37"/>
      <c r="AD83" s="37"/>
      <c r="AE83" s="37"/>
      <c r="AF83" s="424"/>
      <c r="AG83" s="424"/>
      <c r="AH83" s="424"/>
      <c r="AI83" s="424"/>
      <c r="AJ83" s="424"/>
      <c r="AK83" s="357"/>
      <c r="AL83" s="424"/>
      <c r="AM83" s="424"/>
      <c r="AN83" s="37"/>
      <c r="AO83" s="37"/>
      <c r="AP83" s="37"/>
      <c r="AQ83" s="37"/>
      <c r="AR83" s="37"/>
      <c r="AS83" s="37"/>
      <c r="AT83" s="37"/>
      <c r="AU83" s="37"/>
      <c r="AV83" s="541"/>
      <c r="AW83" s="555"/>
      <c r="AX83" s="557"/>
      <c r="AY83" s="557"/>
      <c r="AZ83" s="556"/>
      <c r="BA83" s="556"/>
      <c r="BB83" s="556"/>
      <c r="BC83" s="553"/>
      <c r="BD83" s="553"/>
      <c r="BE83" s="553"/>
      <c r="BF83" s="553"/>
      <c r="BG83" s="553"/>
      <c r="BH83" s="553"/>
      <c r="BI83" s="553"/>
      <c r="BJ83" s="553"/>
      <c r="BK83" s="553"/>
      <c r="BL83" s="553"/>
      <c r="BM83" s="553"/>
      <c r="BN83" s="553"/>
      <c r="BO83" s="553"/>
      <c r="BP83" s="35"/>
      <c r="BQ83" s="345"/>
      <c r="BR83" s="345"/>
      <c r="BS83" s="345"/>
      <c r="BT83" s="345"/>
      <c r="BU83" s="345"/>
      <c r="BV83" s="345"/>
      <c r="BW83" s="345"/>
      <c r="BX83" s="345"/>
      <c r="BY83" s="345"/>
      <c r="BZ83" s="345"/>
      <c r="CA83" s="35"/>
      <c r="CB83" s="35"/>
      <c r="CC83" s="35"/>
      <c r="CD83" s="35"/>
      <c r="CE83" s="35"/>
      <c r="CF83" s="35"/>
      <c r="CG83" s="35"/>
      <c r="CH83" s="35"/>
      <c r="CI83" s="35"/>
      <c r="CJ83" s="35"/>
      <c r="CK83" s="37"/>
      <c r="CL83" s="37"/>
      <c r="CM83" s="37"/>
      <c r="CN83" s="37"/>
      <c r="CO83" s="37"/>
      <c r="CP83" s="37"/>
      <c r="CQ83" s="37"/>
      <c r="CR83" s="37"/>
      <c r="CS83" s="37"/>
      <c r="CT83" s="37"/>
      <c r="CU83" s="37"/>
      <c r="CV83" s="36"/>
      <c r="CW83" s="35"/>
      <c r="CX83" s="35"/>
      <c r="CY83" s="35"/>
      <c r="CZ83" s="15"/>
      <c r="DA83" s="15"/>
      <c r="DB83" s="15"/>
      <c r="DC83" s="15"/>
      <c r="DD83" s="15"/>
      <c r="DE83" s="15"/>
      <c r="DF83" s="15"/>
    </row>
    <row r="84" spans="1:110" ht="12" outlineLevel="1">
      <c r="A84" s="1" t="s">
        <v>699</v>
      </c>
      <c r="B84" s="15" t="s">
        <v>533</v>
      </c>
      <c r="C84" s="345">
        <v>1.4380387045867386E-2</v>
      </c>
      <c r="D84" s="345">
        <v>8.3055287078301187E-3</v>
      </c>
      <c r="E84" s="345">
        <v>9.2703716211873181E-3</v>
      </c>
      <c r="F84" s="345">
        <v>9.2357375037328843E-3</v>
      </c>
      <c r="G84" s="345">
        <v>8.9763883751265688E-3</v>
      </c>
      <c r="H84" s="345">
        <v>8.5466875509868992E-3</v>
      </c>
      <c r="I84" s="345">
        <v>8.2588013289311146E-3</v>
      </c>
      <c r="J84" s="345">
        <v>8.064289398885191E-3</v>
      </c>
      <c r="K84" s="345">
        <v>8.0603019230286784E-3</v>
      </c>
      <c r="L84" s="345">
        <v>3.4552323089303183E-3</v>
      </c>
      <c r="M84" s="35">
        <v>3.334901214214139E-3</v>
      </c>
      <c r="N84" s="35">
        <v>3.4530695126729584E-3</v>
      </c>
      <c r="O84" s="35">
        <v>3.6245004114727137E-3</v>
      </c>
      <c r="P84" s="35">
        <v>3.5441122173460412E-3</v>
      </c>
      <c r="Q84" s="35">
        <v>3.6160662752548166E-3</v>
      </c>
      <c r="R84" s="35">
        <v>3.9967143827949175E-3</v>
      </c>
      <c r="S84" s="35">
        <v>3.8495534622177839E-3</v>
      </c>
      <c r="T84" s="37">
        <v>3.7945615341712126E-3</v>
      </c>
      <c r="U84" s="35">
        <v>3.9550482488533304E-3</v>
      </c>
      <c r="V84" s="35">
        <v>3.5143109096721077E-3</v>
      </c>
      <c r="W84" s="35">
        <v>3.7775420764178968E-3</v>
      </c>
      <c r="X84" s="35">
        <v>3.5913097945242207E-3</v>
      </c>
      <c r="Y84" s="37">
        <v>3.56853712395502E-3</v>
      </c>
      <c r="Z84" s="37">
        <v>3.45736423704775E-3</v>
      </c>
      <c r="AA84" s="228">
        <v>3.2349264641383358E-3</v>
      </c>
      <c r="AB84" s="357">
        <v>3.2549692400195172E-3</v>
      </c>
      <c r="AC84" s="357">
        <v>2.9924369376928641E-3</v>
      </c>
      <c r="AD84" s="357">
        <v>3.1818428391566546E-3</v>
      </c>
      <c r="AE84" s="357">
        <v>2.9975994395588963E-3</v>
      </c>
      <c r="AF84" s="357">
        <v>3.0488361802532083E-3</v>
      </c>
      <c r="AG84" s="357">
        <v>3.1453343310572724E-3</v>
      </c>
      <c r="AH84" s="357">
        <v>3.0323138149991168E-3</v>
      </c>
      <c r="AI84" s="357">
        <v>3.0151466707038005E-3</v>
      </c>
      <c r="AJ84" s="357">
        <v>2.8840045637883336E-3</v>
      </c>
      <c r="AK84" s="357">
        <v>2.508421369773159E-3</v>
      </c>
      <c r="AL84" s="357">
        <v>2.3969973016136036E-3</v>
      </c>
      <c r="AM84" s="357">
        <v>2.2937353428259832E-3</v>
      </c>
      <c r="AN84" s="357">
        <v>2.1931908933602515E-3</v>
      </c>
      <c r="AO84" s="357">
        <v>2.022682401032122E-3</v>
      </c>
      <c r="AP84" s="357">
        <v>2.0121785634595862E-3</v>
      </c>
      <c r="AQ84" s="357">
        <v>1.9063822834590087E-3</v>
      </c>
      <c r="AR84" s="357">
        <v>1.4648339780060568E-3</v>
      </c>
      <c r="AS84" s="357">
        <v>1.3656209025442541E-3</v>
      </c>
      <c r="AT84" s="357">
        <v>1.3919789322980028E-3</v>
      </c>
      <c r="AU84" s="357">
        <v>1.3998748581175275E-3</v>
      </c>
      <c r="AV84" s="348">
        <v>1.4667998142160166E-3</v>
      </c>
      <c r="AW84" s="248">
        <v>1.2667998142160165E-3</v>
      </c>
      <c r="AX84" s="248">
        <v>8.6679981421601657E-4</v>
      </c>
      <c r="AY84" s="248">
        <v>8.6679981421601657E-4</v>
      </c>
      <c r="AZ84" s="248">
        <v>8.6679981421601657E-4</v>
      </c>
      <c r="BA84" s="248">
        <v>8.6679981421601657E-4</v>
      </c>
      <c r="BB84" s="248">
        <v>8.6679981421601657E-4</v>
      </c>
      <c r="BC84" s="248">
        <v>8.6679981421601657E-4</v>
      </c>
      <c r="BD84" s="248">
        <v>8.6679981421601657E-4</v>
      </c>
      <c r="BE84" s="248">
        <v>8.6679981421601657E-4</v>
      </c>
      <c r="BF84" s="248">
        <v>8.6679981421601657E-4</v>
      </c>
      <c r="BG84" s="248">
        <v>8.6679981421601657E-4</v>
      </c>
      <c r="BH84" s="248">
        <v>8.6679981421601657E-4</v>
      </c>
      <c r="BI84" s="248">
        <v>8.6679981421601657E-4</v>
      </c>
      <c r="BJ84" s="248">
        <v>8.6679981421601657E-4</v>
      </c>
      <c r="BK84" s="248">
        <v>8.6679981421601657E-4</v>
      </c>
      <c r="BL84" s="248">
        <v>8.6679981421601657E-4</v>
      </c>
      <c r="BM84" s="248">
        <v>8.6679981421601657E-4</v>
      </c>
      <c r="BN84" s="248">
        <v>8.6679981421601657E-4</v>
      </c>
      <c r="BO84" s="248">
        <v>8.6679981421601657E-4</v>
      </c>
      <c r="BP84" s="35"/>
      <c r="BQ84" s="345">
        <v>1.3858433391347061E-2</v>
      </c>
      <c r="BR84" s="345">
        <v>1.0725443992842882E-2</v>
      </c>
      <c r="BS84" s="345">
        <v>1.0192989598059289E-2</v>
      </c>
      <c r="BT84" s="345">
        <v>9.1325692221695502E-3</v>
      </c>
      <c r="BU84" s="345">
        <v>8.5537845356692798E-3</v>
      </c>
      <c r="BV84" s="345">
        <v>7.9801773365416242E-3</v>
      </c>
      <c r="BW84" s="345">
        <v>7.4272367431332401E-3</v>
      </c>
      <c r="BX84" s="345">
        <v>7.951446063873515E-3</v>
      </c>
      <c r="BY84" s="345">
        <v>7.7059720489616205E-3</v>
      </c>
      <c r="BZ84" s="345">
        <v>8.5508772286154184E-3</v>
      </c>
      <c r="CA84" s="35">
        <v>8.8041048952848897E-3</v>
      </c>
      <c r="CB84" s="35">
        <v>9.095624196404313E-3</v>
      </c>
      <c r="CC84" s="35">
        <v>8.4177523474177982E-3</v>
      </c>
      <c r="CD84" s="35">
        <v>8.0621289073387718E-3</v>
      </c>
      <c r="CE84" s="35">
        <v>3.3850725270075819E-3</v>
      </c>
      <c r="CF84" s="35">
        <v>3.5246786546043957E-3</v>
      </c>
      <c r="CG84" s="35">
        <v>3.5956252250456322E-3</v>
      </c>
      <c r="CH84" s="35">
        <v>3.9353771505977993E-3</v>
      </c>
      <c r="CI84" s="35">
        <v>3.8430100663625569E-3</v>
      </c>
      <c r="CJ84" s="35">
        <v>3.6669638781179526E-3</v>
      </c>
      <c r="CK84" s="37">
        <v>3.5742358696626729E-3</v>
      </c>
      <c r="CL84" s="37">
        <v>3.3570112752142841E-3</v>
      </c>
      <c r="CM84" s="37">
        <v>3.1251378284310773E-3</v>
      </c>
      <c r="CN84" s="37">
        <v>3.1027514802040839E-3</v>
      </c>
      <c r="CO84" s="37">
        <v>3.0672308548922778E-3</v>
      </c>
      <c r="CP84" s="37">
        <v>3.0128006703605691E-3</v>
      </c>
      <c r="CQ84" s="37">
        <v>2.680736630398329E-3</v>
      </c>
      <c r="CR84" s="37">
        <v>2.3252401140886076E-3</v>
      </c>
      <c r="CS84" s="37">
        <v>2.1616245751006425E-3</v>
      </c>
      <c r="CT84" s="37">
        <v>1.936982409451208E-3</v>
      </c>
      <c r="CU84" s="37">
        <v>1.4137536317696418E-3</v>
      </c>
      <c r="CV84" s="36">
        <v>1.3959057852315226E-3</v>
      </c>
      <c r="CW84" s="35">
        <v>1.3655812773105435E-3</v>
      </c>
      <c r="CX84" s="35">
        <v>8.6679981421601668E-4</v>
      </c>
      <c r="CY84" s="35">
        <v>8.6679981421601646E-4</v>
      </c>
      <c r="CZ84" s="35">
        <v>8.6679981421601657E-4</v>
      </c>
      <c r="DA84" s="35">
        <v>8.6679981421601646E-4</v>
      </c>
      <c r="DB84" s="35">
        <v>8.6679981421601668E-4</v>
      </c>
      <c r="DC84" s="35">
        <v>8.6679981421601679E-4</v>
      </c>
      <c r="DD84" s="35">
        <v>8.6679981421601668E-4</v>
      </c>
      <c r="DE84" s="35">
        <v>8.6679981421601657E-4</v>
      </c>
      <c r="DF84" s="35">
        <v>8.6679981421601657E-4</v>
      </c>
    </row>
    <row r="85" spans="1:110" ht="12" outlineLevel="1">
      <c r="A85" s="1" t="s">
        <v>700</v>
      </c>
      <c r="B85" s="15" t="s">
        <v>534</v>
      </c>
      <c r="C85" s="345">
        <v>1.360620831415134E-2</v>
      </c>
      <c r="D85" s="345">
        <v>1.3517745309189462E-2</v>
      </c>
      <c r="E85" s="345">
        <v>1.2879207191974088E-2</v>
      </c>
      <c r="F85" s="345">
        <v>1.0393850780015691E-2</v>
      </c>
      <c r="G85" s="345">
        <v>1.1632228435269716E-2</v>
      </c>
      <c r="H85" s="345">
        <v>1.0926447754327448E-2</v>
      </c>
      <c r="I85" s="345">
        <v>1.1123486932853381E-2</v>
      </c>
      <c r="J85" s="345">
        <v>6.1185463697478728E-3</v>
      </c>
      <c r="K85" s="345">
        <v>6.4540009037326361E-3</v>
      </c>
      <c r="L85" s="345">
        <v>1.0244121861433935E-2</v>
      </c>
      <c r="M85" s="35">
        <v>1.0770805005377625E-2</v>
      </c>
      <c r="N85" s="35">
        <v>1.0218608743710538E-2</v>
      </c>
      <c r="O85" s="35">
        <v>1.0117194162551569E-2</v>
      </c>
      <c r="P85" s="35">
        <v>9.2624418836043925E-3</v>
      </c>
      <c r="Q85" s="35">
        <v>8.799358503854493E-3</v>
      </c>
      <c r="R85" s="35">
        <v>6.4769258367977055E-3</v>
      </c>
      <c r="S85" s="35">
        <v>6.3053491818470106E-3</v>
      </c>
      <c r="T85" s="37">
        <v>5.9123111643379529E-3</v>
      </c>
      <c r="U85" s="35">
        <v>5.7938674795575251E-3</v>
      </c>
      <c r="V85" s="35">
        <v>5.2431312179657937E-3</v>
      </c>
      <c r="W85" s="35">
        <v>4.9806504649989661E-3</v>
      </c>
      <c r="X85" s="35">
        <v>4.5829385352028724E-3</v>
      </c>
      <c r="Y85" s="37">
        <v>4.1269841269841274E-3</v>
      </c>
      <c r="Z85" s="37">
        <v>3.9729940472452013E-3</v>
      </c>
      <c r="AA85" s="228">
        <v>3.840216915892486E-3</v>
      </c>
      <c r="AB85" s="357">
        <v>3.6465621404725983E-3</v>
      </c>
      <c r="AC85" s="357">
        <v>3.5667659497955707E-3</v>
      </c>
      <c r="AD85" s="357">
        <v>3.3603988801287617E-3</v>
      </c>
      <c r="AE85" s="357">
        <v>3.3337120376743987E-3</v>
      </c>
      <c r="AF85" s="357">
        <v>3.2953734690901065E-3</v>
      </c>
      <c r="AG85" s="357">
        <v>3.1416105339567122E-3</v>
      </c>
      <c r="AH85" s="357">
        <v>3.1100397486532776E-3</v>
      </c>
      <c r="AI85" s="357">
        <v>3.1086244546561304E-3</v>
      </c>
      <c r="AJ85" s="357">
        <v>3.8381378186325512E-3</v>
      </c>
      <c r="AK85" s="357">
        <v>4.0943580154340657E-3</v>
      </c>
      <c r="AL85" s="357">
        <v>3.337299929585218E-3</v>
      </c>
      <c r="AM85" s="357">
        <v>3.349502646026297E-3</v>
      </c>
      <c r="AN85" s="357">
        <v>2.7711395490889589E-3</v>
      </c>
      <c r="AO85" s="357">
        <v>2.4533422743980627E-3</v>
      </c>
      <c r="AP85" s="357">
        <v>2.1325303658936757E-3</v>
      </c>
      <c r="AQ85" s="357">
        <v>2.3448059537138693E-3</v>
      </c>
      <c r="AR85" s="357">
        <v>2.0247629839287417E-3</v>
      </c>
      <c r="AS85" s="357">
        <v>2.2377634784348705E-3</v>
      </c>
      <c r="AT85" s="357">
        <v>1.9470185260554462E-3</v>
      </c>
      <c r="AU85" s="357">
        <v>2.1489769552045994E-3</v>
      </c>
      <c r="AV85" s="348">
        <v>1.9095295376128003E-3</v>
      </c>
      <c r="AW85" s="248">
        <v>2.1489769552045994E-3</v>
      </c>
      <c r="AX85" s="248">
        <v>1.9095295376128003E-3</v>
      </c>
      <c r="AY85" s="248">
        <v>2.1489769552045994E-3</v>
      </c>
      <c r="AZ85" s="248">
        <v>1.9095295376128003E-3</v>
      </c>
      <c r="BA85" s="248">
        <v>2.1489769552045994E-3</v>
      </c>
      <c r="BB85" s="248">
        <v>1.9095295376128003E-3</v>
      </c>
      <c r="BC85" s="248">
        <v>2.1489769552045994E-3</v>
      </c>
      <c r="BD85" s="248">
        <v>1.9095295376128003E-3</v>
      </c>
      <c r="BE85" s="248">
        <v>2.1489769552045994E-3</v>
      </c>
      <c r="BF85" s="248">
        <v>1.9095295376128003E-3</v>
      </c>
      <c r="BG85" s="248">
        <v>2.1489769552045994E-3</v>
      </c>
      <c r="BH85" s="248">
        <v>1.9095295376128003E-3</v>
      </c>
      <c r="BI85" s="248">
        <v>2.1489769552045994E-3</v>
      </c>
      <c r="BJ85" s="248">
        <v>1.9095295376128003E-3</v>
      </c>
      <c r="BK85" s="248">
        <v>2.1489769552045994E-3</v>
      </c>
      <c r="BL85" s="248">
        <v>1.9095295376128003E-3</v>
      </c>
      <c r="BM85" s="248">
        <v>2.1489769552045994E-3</v>
      </c>
      <c r="BN85" s="248">
        <v>1.9095295376128003E-3</v>
      </c>
      <c r="BO85" s="248">
        <v>2.1489769552045994E-3</v>
      </c>
      <c r="BP85" s="35"/>
      <c r="BQ85" s="345">
        <v>1.5063405816970953E-2</v>
      </c>
      <c r="BR85" s="345">
        <v>1.4898386132695753E-2</v>
      </c>
      <c r="BS85" s="345">
        <v>1.6262761898672123E-2</v>
      </c>
      <c r="BT85" s="345">
        <v>1.3582256587648795E-2</v>
      </c>
      <c r="BU85" s="345">
        <v>1.130328414598269E-2</v>
      </c>
      <c r="BV85" s="345">
        <v>1.1962430701329458E-2</v>
      </c>
      <c r="BW85" s="345">
        <v>1.2117771909474568E-2</v>
      </c>
      <c r="BX85" s="345">
        <v>1.2603746593165365E-2</v>
      </c>
      <c r="BY85" s="345">
        <v>1.1757283780683643E-2</v>
      </c>
      <c r="BZ85" s="345">
        <v>1.3527741050878997E-2</v>
      </c>
      <c r="CA85" s="35">
        <v>1.3191890942763889E-2</v>
      </c>
      <c r="CB85" s="35">
        <v>1.1019181783345083E-2</v>
      </c>
      <c r="CC85" s="35">
        <v>1.1030269110582528E-2</v>
      </c>
      <c r="CD85" s="35">
        <v>6.2909328877455905E-3</v>
      </c>
      <c r="CE85" s="35">
        <v>1.0514247878758154E-2</v>
      </c>
      <c r="CF85" s="35">
        <v>1.0195545048764822E-2</v>
      </c>
      <c r="CG85" s="35">
        <v>9.0234056898680411E-3</v>
      </c>
      <c r="CH85" s="35">
        <v>6.3902650113405752E-3</v>
      </c>
      <c r="CI85" s="35">
        <v>5.8108149925903511E-3</v>
      </c>
      <c r="CJ85" s="35">
        <v>5.1076395738804499E-3</v>
      </c>
      <c r="CK85" s="37">
        <v>4.3480157237333504E-3</v>
      </c>
      <c r="CL85" s="37">
        <v>3.9044551024919466E-3</v>
      </c>
      <c r="CM85" s="37">
        <v>3.6061007537767972E-3</v>
      </c>
      <c r="CN85" s="37">
        <v>3.3467965044109327E-3</v>
      </c>
      <c r="CO85" s="37">
        <v>3.218107689924244E-3</v>
      </c>
      <c r="CP85" s="37">
        <v>3.1093258626651798E-3</v>
      </c>
      <c r="CQ85" s="37">
        <v>3.9668368004346427E-3</v>
      </c>
      <c r="CR85" s="37">
        <v>3.3435760263210985E-3</v>
      </c>
      <c r="CS85" s="37">
        <v>2.7099651454252261E-3</v>
      </c>
      <c r="CT85" s="37">
        <v>2.2394045494989294E-3</v>
      </c>
      <c r="CU85" s="37">
        <v>2.1329971629197295E-3</v>
      </c>
      <c r="CV85" s="36">
        <v>2.0490949611950398E-3</v>
      </c>
      <c r="CW85" s="35">
        <v>2.0311323912272105E-3</v>
      </c>
      <c r="CX85" s="35">
        <v>2.0303537336179007E-3</v>
      </c>
      <c r="CY85" s="35">
        <v>2.0302272456207446E-3</v>
      </c>
      <c r="CZ85" s="35">
        <v>2.0306252599955575E-3</v>
      </c>
      <c r="DA85" s="35">
        <v>2.030402558479518E-3</v>
      </c>
      <c r="DB85" s="35">
        <v>2.0307396345376921E-3</v>
      </c>
      <c r="DC85" s="35">
        <v>2.0307486260540768E-3</v>
      </c>
      <c r="DD85" s="35">
        <v>2.0309220773626073E-3</v>
      </c>
      <c r="DE85" s="35">
        <v>2.0306562558353534E-3</v>
      </c>
      <c r="DF85" s="35">
        <v>2.0301768843224268E-3</v>
      </c>
    </row>
    <row r="86" spans="1:110" ht="12" outlineLevel="1">
      <c r="A86" s="1" t="s">
        <v>701</v>
      </c>
      <c r="B86" s="15" t="s">
        <v>535</v>
      </c>
      <c r="C86" s="345">
        <v>7.2429333287253829E-3</v>
      </c>
      <c r="D86" s="345">
        <v>4.3220617016765843E-3</v>
      </c>
      <c r="E86" s="345">
        <v>4.180755829162908E-3</v>
      </c>
      <c r="F86" s="345">
        <v>4.5686377417186131E-3</v>
      </c>
      <c r="G86" s="345">
        <v>4.3721201999538887E-3</v>
      </c>
      <c r="H86" s="345">
        <v>4.7902805225289473E-3</v>
      </c>
      <c r="I86" s="345">
        <v>4.6353746589257632E-3</v>
      </c>
      <c r="J86" s="345">
        <v>4.1273922120278533E-3</v>
      </c>
      <c r="K86" s="345">
        <v>4.9115110783314944E-3</v>
      </c>
      <c r="L86" s="345">
        <v>5.9622845888983632E-3</v>
      </c>
      <c r="M86" s="35">
        <v>4.4206830048885096E-3</v>
      </c>
      <c r="N86" s="35">
        <v>6.1024073284306592E-3</v>
      </c>
      <c r="O86" s="35">
        <v>6.2414176969761781E-3</v>
      </c>
      <c r="P86" s="35">
        <v>7.2374502122645474E-3</v>
      </c>
      <c r="Q86" s="35">
        <v>7.1504794410683957E-3</v>
      </c>
      <c r="R86" s="35">
        <v>6.9638042847036102E-3</v>
      </c>
      <c r="S86" s="35">
        <v>5.6134355439770162E-3</v>
      </c>
      <c r="T86" s="37">
        <v>7.0523923250221552E-3</v>
      </c>
      <c r="U86" s="35">
        <v>6.052422320214944E-3</v>
      </c>
      <c r="V86" s="35">
        <v>7.4880088663601772E-3</v>
      </c>
      <c r="W86" s="35">
        <v>3.7775420764178968E-3</v>
      </c>
      <c r="X86" s="35">
        <v>7.0983659868308641E-3</v>
      </c>
      <c r="Y86" s="37">
        <v>5.483117434841E-3</v>
      </c>
      <c r="Z86" s="37">
        <v>6.9054094330252913E-3</v>
      </c>
      <c r="AA86" s="228">
        <v>4.9000896842846106E-3</v>
      </c>
      <c r="AB86" s="357">
        <v>5.9181258909445766E-3</v>
      </c>
      <c r="AC86" s="357">
        <v>4.4222436207158253E-3</v>
      </c>
      <c r="AD86" s="357">
        <v>5.5569151006124506E-3</v>
      </c>
      <c r="AE86" s="357">
        <v>3.2674563234121302E-3</v>
      </c>
      <c r="AF86" s="357">
        <v>3.1190139951439468E-3</v>
      </c>
      <c r="AG86" s="357">
        <v>2.9588841000925373E-3</v>
      </c>
      <c r="AH86" s="357">
        <v>7.2808402170439499E-3</v>
      </c>
      <c r="AI86" s="357">
        <v>4.5684040465209094E-3</v>
      </c>
      <c r="AJ86" s="357">
        <v>4.5992725842338737E-3</v>
      </c>
      <c r="AK86" s="357">
        <v>4.7733066842285355E-3</v>
      </c>
      <c r="AL86" s="357">
        <v>5.2607366520562582E-3</v>
      </c>
      <c r="AM86" s="357">
        <v>4.7408977988844733E-3</v>
      </c>
      <c r="AN86" s="357">
        <v>5.5300258829281586E-3</v>
      </c>
      <c r="AO86" s="357">
        <v>8.339900624545489E-3</v>
      </c>
      <c r="AP86" s="357">
        <v>5.0304464086489654E-3</v>
      </c>
      <c r="AQ86" s="357">
        <v>4.0697117442537968E-3</v>
      </c>
      <c r="AR86" s="357">
        <v>3.0855013579276515E-3</v>
      </c>
      <c r="AS86" s="357">
        <v>3.4067102084974939E-3</v>
      </c>
      <c r="AT86" s="357">
        <v>6.8899459714247876E-3</v>
      </c>
      <c r="AU86" s="357">
        <v>6.6317303884557621E-3</v>
      </c>
      <c r="AV86" s="348">
        <v>9.0417225262784395E-3</v>
      </c>
      <c r="AW86" s="248">
        <v>6.1066980448389518E-3</v>
      </c>
      <c r="AX86" s="248">
        <v>8.1318602942991747E-3</v>
      </c>
      <c r="AY86" s="248">
        <v>5.9072059476248332E-3</v>
      </c>
      <c r="AZ86" s="248">
        <v>8.1318602942991747E-3</v>
      </c>
      <c r="BA86" s="248">
        <v>5.9072059476248332E-3</v>
      </c>
      <c r="BB86" s="248">
        <v>8.1318602942991747E-3</v>
      </c>
      <c r="BC86" s="248">
        <v>5.9072059476248332E-3</v>
      </c>
      <c r="BD86" s="248">
        <v>8.1318602942991747E-3</v>
      </c>
      <c r="BE86" s="248">
        <v>5.9072059476248332E-3</v>
      </c>
      <c r="BF86" s="248">
        <v>8.1318602942991747E-3</v>
      </c>
      <c r="BG86" s="248">
        <v>5.9072059476248332E-3</v>
      </c>
      <c r="BH86" s="248">
        <v>8.1318602942991747E-3</v>
      </c>
      <c r="BI86" s="248">
        <v>5.9072059476248332E-3</v>
      </c>
      <c r="BJ86" s="248">
        <v>8.1318602942991747E-3</v>
      </c>
      <c r="BK86" s="248">
        <v>5.9072059476248332E-3</v>
      </c>
      <c r="BL86" s="248">
        <v>8.1318602942991747E-3</v>
      </c>
      <c r="BM86" s="248">
        <v>5.9072059476248332E-3</v>
      </c>
      <c r="BN86" s="248">
        <v>8.1318602942991747E-3</v>
      </c>
      <c r="BO86" s="248">
        <v>5.9072059476248332E-3</v>
      </c>
      <c r="BP86" s="35"/>
      <c r="BQ86" s="345">
        <v>1.2361929931946436E-2</v>
      </c>
      <c r="BR86" s="345">
        <v>5.5933091727775244E-3</v>
      </c>
      <c r="BS86" s="345">
        <v>6.3455462971818109E-3</v>
      </c>
      <c r="BT86" s="345">
        <v>5.4761402039824863E-3</v>
      </c>
      <c r="BU86" s="345">
        <v>5.1478230569209664E-3</v>
      </c>
      <c r="BV86" s="345">
        <v>5.8661303579139309E-3</v>
      </c>
      <c r="BW86" s="345">
        <v>3.6383423234943239E-3</v>
      </c>
      <c r="BX86" s="345">
        <v>5.0238149652455646E-3</v>
      </c>
      <c r="BY86" s="345">
        <v>4.039597883216348E-3</v>
      </c>
      <c r="BZ86" s="345">
        <v>4.4655788322248242E-3</v>
      </c>
      <c r="CA86" s="35">
        <v>4.2613475748867497E-3</v>
      </c>
      <c r="CB86" s="35">
        <v>4.4649473547193732E-3</v>
      </c>
      <c r="CC86" s="35">
        <v>4.7213341509469084E-3</v>
      </c>
      <c r="CD86" s="35">
        <v>4.5296333074789268E-3</v>
      </c>
      <c r="CE86" s="35">
        <v>5.1642036691092411E-3</v>
      </c>
      <c r="CF86" s="35">
        <v>6.1448572878642829E-3</v>
      </c>
      <c r="CG86" s="35">
        <v>7.2214657881168581E-3</v>
      </c>
      <c r="CH86" s="35">
        <v>6.3288229030081565E-3</v>
      </c>
      <c r="CI86" s="35">
        <v>6.4858371782459557E-3</v>
      </c>
      <c r="CJ86" s="35">
        <v>5.6129293717204244E-3</v>
      </c>
      <c r="CK86" s="37">
        <v>6.261322807543936E-3</v>
      </c>
      <c r="CL86" s="37">
        <v>5.8928181793412027E-3</v>
      </c>
      <c r="CM86" s="37">
        <v>5.1590850415434734E-3</v>
      </c>
      <c r="CN86" s="37">
        <v>4.4138781561126519E-3</v>
      </c>
      <c r="CO86" s="37">
        <v>3.0121073221984502E-3</v>
      </c>
      <c r="CP86" s="37">
        <v>5.9103575992319355E-3</v>
      </c>
      <c r="CQ86" s="37">
        <v>4.6666197477026128E-3</v>
      </c>
      <c r="CR86" s="37">
        <v>4.9556197115875143E-3</v>
      </c>
      <c r="CS86" s="37">
        <v>7.1008807285689495E-3</v>
      </c>
      <c r="CT86" s="37">
        <v>4.499193318155654E-3</v>
      </c>
      <c r="CU86" s="37">
        <v>3.250877335085273E-3</v>
      </c>
      <c r="CV86" s="36">
        <v>6.7615285264489115E-3</v>
      </c>
      <c r="CW86" s="35">
        <v>7.5563281073131898E-3</v>
      </c>
      <c r="CX86" s="35">
        <v>7.0093856972541788E-3</v>
      </c>
      <c r="CY86" s="35">
        <v>7.0097876199767886E-3</v>
      </c>
      <c r="CZ86" s="35">
        <v>7.0054650642562676E-3</v>
      </c>
      <c r="DA86" s="35">
        <v>7.0074738509002654E-3</v>
      </c>
      <c r="DB86" s="35">
        <v>7.0043447350137053E-3</v>
      </c>
      <c r="DC86" s="35">
        <v>7.0042642225992355E-3</v>
      </c>
      <c r="DD86" s="35">
        <v>7.0026836456181978E-3</v>
      </c>
      <c r="DE86" s="35">
        <v>7.0051683516973873E-3</v>
      </c>
      <c r="DF86" s="35">
        <v>7.0109518001852302E-3</v>
      </c>
    </row>
    <row r="87" spans="1:110" ht="12" outlineLevel="1">
      <c r="A87" s="1" t="s">
        <v>702</v>
      </c>
      <c r="B87" s="15" t="s">
        <v>650</v>
      </c>
      <c r="C87" s="345">
        <v>0</v>
      </c>
      <c r="D87" s="345">
        <v>0</v>
      </c>
      <c r="E87" s="345">
        <v>1.3013486075351613E-2</v>
      </c>
      <c r="F87" s="345">
        <v>1.4037224046341662E-2</v>
      </c>
      <c r="G87" s="345">
        <v>1.4311585420564904E-2</v>
      </c>
      <c r="H87" s="345">
        <v>1.4128459243510168E-2</v>
      </c>
      <c r="I87" s="345">
        <v>1.5709409074337984E-2</v>
      </c>
      <c r="J87" s="345">
        <v>1.1475435897376691E-2</v>
      </c>
      <c r="K87" s="345">
        <v>1.2116255747628724E-2</v>
      </c>
      <c r="L87" s="345">
        <v>1.2751397959339637E-2</v>
      </c>
      <c r="M87" s="35">
        <v>1.3025762414791593E-2</v>
      </c>
      <c r="N87" s="35">
        <v>1.1793315219978338E-2</v>
      </c>
      <c r="O87" s="35">
        <v>1.1462081833933093E-2</v>
      </c>
      <c r="P87" s="35">
        <v>1.1341398327699698E-2</v>
      </c>
      <c r="Q87" s="35">
        <v>1.1277713699859028E-2</v>
      </c>
      <c r="R87" s="35">
        <v>1.0091535284184959E-2</v>
      </c>
      <c r="S87" s="35">
        <v>1.1261024150046001E-2</v>
      </c>
      <c r="T87" s="37">
        <v>8.9933017514532369E-3</v>
      </c>
      <c r="U87" s="35">
        <v>1.1833577502508737E-2</v>
      </c>
      <c r="V87" s="35">
        <v>1.1185742987436263E-2</v>
      </c>
      <c r="W87" s="35">
        <v>8.4101623481730309E-3</v>
      </c>
      <c r="X87" s="35">
        <v>9.4688434110785907E-3</v>
      </c>
      <c r="Y87" s="37">
        <v>8.9517917433411861E-3</v>
      </c>
      <c r="Z87" s="37">
        <v>9.1809112833214478E-3</v>
      </c>
      <c r="AA87" s="228">
        <v>9.0758514021459409E-3</v>
      </c>
      <c r="AB87" s="357">
        <v>9.5876200464913523E-3</v>
      </c>
      <c r="AC87" s="357">
        <v>8.6353211329982527E-3</v>
      </c>
      <c r="AD87" s="357">
        <v>9.4050746428796204E-3</v>
      </c>
      <c r="AE87" s="357">
        <v>9.5529409708552393E-3</v>
      </c>
      <c r="AF87" s="357">
        <v>9.9369745524415694E-3</v>
      </c>
      <c r="AG87" s="357">
        <v>1.0948596928283675E-2</v>
      </c>
      <c r="AH87" s="357">
        <v>1.8326175804092345E-2</v>
      </c>
      <c r="AI87" s="357">
        <v>2.2933448647370045E-2</v>
      </c>
      <c r="AJ87" s="357">
        <v>3.6389409887839013E-3</v>
      </c>
      <c r="AK87" s="357">
        <v>4.6180343015791133E-3</v>
      </c>
      <c r="AL87" s="357">
        <v>5.0661317109724742E-3</v>
      </c>
      <c r="AM87" s="357">
        <v>4.6170565921956315E-3</v>
      </c>
      <c r="AN87" s="357">
        <v>5.0328504754083812E-3</v>
      </c>
      <c r="AO87" s="357">
        <v>5.6078287844329453E-3</v>
      </c>
      <c r="AP87" s="357">
        <v>5.259225459533212E-3</v>
      </c>
      <c r="AQ87" s="357">
        <v>5.2834617962150597E-3</v>
      </c>
      <c r="AR87" s="357">
        <v>4.5496547021722338E-3</v>
      </c>
      <c r="AS87" s="357">
        <v>5.0716354865257976E-3</v>
      </c>
      <c r="AT87" s="357">
        <v>4.7463133828375787E-3</v>
      </c>
      <c r="AU87" s="357">
        <v>4.6858961056927429E-3</v>
      </c>
      <c r="AV87" s="348">
        <v>4.4069340404933035E-3</v>
      </c>
      <c r="AW87" s="248">
        <v>4.4069340404933035E-3</v>
      </c>
      <c r="AX87" s="248">
        <v>4.4069340404933035E-3</v>
      </c>
      <c r="AY87" s="248">
        <v>4.4069340404933035E-3</v>
      </c>
      <c r="AZ87" s="248">
        <v>4.4069340404933035E-3</v>
      </c>
      <c r="BA87" s="248">
        <v>4.4069340404933035E-3</v>
      </c>
      <c r="BB87" s="248">
        <v>4.4069340404933035E-3</v>
      </c>
      <c r="BC87" s="248">
        <v>4.4069340404933035E-3</v>
      </c>
      <c r="BD87" s="248">
        <v>4.4069340404933035E-3</v>
      </c>
      <c r="BE87" s="248">
        <v>4.4069340404933035E-3</v>
      </c>
      <c r="BF87" s="248">
        <v>4.4069340404933035E-3</v>
      </c>
      <c r="BG87" s="248">
        <v>4.4069340404933035E-3</v>
      </c>
      <c r="BH87" s="248">
        <v>4.4069340404933035E-3</v>
      </c>
      <c r="BI87" s="248">
        <v>4.4069340404933035E-3</v>
      </c>
      <c r="BJ87" s="248">
        <v>4.4069340404933035E-3</v>
      </c>
      <c r="BK87" s="248">
        <v>4.4069340404933035E-3</v>
      </c>
      <c r="BL87" s="248">
        <v>4.4069340404933035E-3</v>
      </c>
      <c r="BM87" s="248">
        <v>4.4069340404933035E-3</v>
      </c>
      <c r="BN87" s="248">
        <v>4.4069340404933035E-3</v>
      </c>
      <c r="BO87" s="248">
        <v>4.4069340404933035E-3</v>
      </c>
      <c r="BP87" s="35"/>
      <c r="BQ87" s="345">
        <v>0</v>
      </c>
      <c r="BR87" s="345">
        <v>0</v>
      </c>
      <c r="BS87" s="345">
        <v>0</v>
      </c>
      <c r="BT87" s="345">
        <v>0</v>
      </c>
      <c r="BU87" s="345">
        <v>0</v>
      </c>
      <c r="BV87" s="345">
        <v>0</v>
      </c>
      <c r="BW87" s="345">
        <v>0</v>
      </c>
      <c r="BX87" s="345">
        <v>0</v>
      </c>
      <c r="BY87" s="345">
        <v>0</v>
      </c>
      <c r="BZ87" s="345">
        <v>0</v>
      </c>
      <c r="CA87" s="35">
        <v>6.2123388328956574E-3</v>
      </c>
      <c r="CB87" s="35">
        <v>1.4178691397853429E-2</v>
      </c>
      <c r="CC87" s="35">
        <v>1.4932416489702364E-2</v>
      </c>
      <c r="CD87" s="35">
        <v>1.1799862749288516E-2</v>
      </c>
      <c r="CE87" s="35">
        <v>1.2899728269815062E-2</v>
      </c>
      <c r="CF87" s="35">
        <v>1.1623022412955089E-2</v>
      </c>
      <c r="CG87" s="35">
        <v>1.1310299313303256E-2</v>
      </c>
      <c r="CH87" s="35">
        <v>1.0672882197908176E-2</v>
      </c>
      <c r="CI87" s="35">
        <v>1.0602856019870427E-2</v>
      </c>
      <c r="CJ87" s="35">
        <v>9.7639672370091607E-3</v>
      </c>
      <c r="CK87" s="37">
        <v>9.2064707328412976E-3</v>
      </c>
      <c r="CL87" s="37">
        <v>9.1281584612569015E-3</v>
      </c>
      <c r="CM87" s="37">
        <v>9.1052027545166728E-3</v>
      </c>
      <c r="CN87" s="37">
        <v>9.4811113436619136E-3</v>
      </c>
      <c r="CO87" s="37">
        <v>1.0400881516778844E-2</v>
      </c>
      <c r="CP87" s="37">
        <v>2.0297927995468892E-2</v>
      </c>
      <c r="CQ87" s="37">
        <v>4.1371564618620819E-3</v>
      </c>
      <c r="CR87" s="37">
        <v>4.8325756509843129E-3</v>
      </c>
      <c r="CS87" s="37">
        <v>5.3134705282399533E-3</v>
      </c>
      <c r="CT87" s="37">
        <v>5.2717904109685302E-3</v>
      </c>
      <c r="CU87" s="37">
        <v>4.7981110009485467E-3</v>
      </c>
      <c r="CV87" s="36">
        <v>4.715070703869265E-3</v>
      </c>
      <c r="CW87" s="35">
        <v>4.4069340404933027E-3</v>
      </c>
      <c r="CX87" s="35">
        <v>4.4069340404933035E-3</v>
      </c>
      <c r="CY87" s="35">
        <v>4.4069340404933035E-3</v>
      </c>
      <c r="CZ87" s="35">
        <v>4.4069340404933035E-3</v>
      </c>
      <c r="DA87" s="35">
        <v>4.4069340404933035E-3</v>
      </c>
      <c r="DB87" s="35">
        <v>4.4069340404933027E-3</v>
      </c>
      <c r="DC87" s="35">
        <v>4.4069340404933035E-3</v>
      </c>
      <c r="DD87" s="35">
        <v>4.4069340404933027E-3</v>
      </c>
      <c r="DE87" s="35">
        <v>4.4069340404933044E-3</v>
      </c>
      <c r="DF87" s="35">
        <v>4.4069340404933027E-3</v>
      </c>
    </row>
    <row r="88" spans="1:110" ht="12" outlineLevel="1">
      <c r="A88" s="1" t="s">
        <v>703</v>
      </c>
      <c r="B88" s="15" t="s">
        <v>385</v>
      </c>
      <c r="C88" s="345">
        <v>0</v>
      </c>
      <c r="D88" s="345">
        <v>0</v>
      </c>
      <c r="E88" s="345">
        <v>2.2387322059064733E-2</v>
      </c>
      <c r="F88" s="345" t="e">
        <v>#DIV/0!</v>
      </c>
      <c r="G88" s="345" t="e">
        <v>#DIV/0!</v>
      </c>
      <c r="H88" s="345" t="e">
        <v>#DIV/0!</v>
      </c>
      <c r="I88" s="345" t="e">
        <v>#DIV/0!</v>
      </c>
      <c r="J88" s="345" t="e">
        <v>#DIV/0!</v>
      </c>
      <c r="K88" s="345" t="e">
        <v>#DIV/0!</v>
      </c>
      <c r="L88" s="345" t="e">
        <v>#DIV/0!</v>
      </c>
      <c r="M88" s="35">
        <v>1.1500320633327834E-2</v>
      </c>
      <c r="N88" s="35">
        <v>6.697438273074118E-3</v>
      </c>
      <c r="O88" s="35">
        <v>6.4862943711404318E-3</v>
      </c>
      <c r="P88" s="35">
        <v>7.4719800747198003E-3</v>
      </c>
      <c r="Q88" s="35">
        <v>7.4563396362704332E-3</v>
      </c>
      <c r="R88" s="35">
        <v>1.025004107398891E-2</v>
      </c>
      <c r="S88" s="35">
        <v>8.1655767533508911E-3</v>
      </c>
      <c r="T88" s="37">
        <v>1.1766976943867745E-2</v>
      </c>
      <c r="U88" s="35">
        <v>1.421749716079424E-2</v>
      </c>
      <c r="V88" s="35">
        <v>1.6191416234051938E-2</v>
      </c>
      <c r="W88" s="35">
        <v>1.6401465222821834E-2</v>
      </c>
      <c r="X88" s="35">
        <v>1.7107749192807865E-2</v>
      </c>
      <c r="Y88" s="37">
        <v>1.6080813968111708E-2</v>
      </c>
      <c r="Z88" s="37">
        <v>1.796975203176833E-2</v>
      </c>
      <c r="AA88" s="228">
        <v>1.8439807547886718E-2</v>
      </c>
      <c r="AB88" s="37">
        <v>1.4020396415167374E-2</v>
      </c>
      <c r="AC88" s="37">
        <v>1.7196033042888158E-2</v>
      </c>
      <c r="AD88" s="37">
        <v>1.7938158598049654E-2</v>
      </c>
      <c r="AE88" s="37">
        <v>1.8546427218099317E-2</v>
      </c>
      <c r="AF88" s="37">
        <v>2.0888534632065855E-2</v>
      </c>
      <c r="AG88" s="37">
        <v>2.1573448002311726E-2</v>
      </c>
      <c r="AH88" s="37">
        <v>0</v>
      </c>
      <c r="AI88" s="37" t="s">
        <v>215</v>
      </c>
      <c r="AJ88" s="37" t="s">
        <v>215</v>
      </c>
      <c r="AK88" s="37" t="s">
        <v>215</v>
      </c>
      <c r="AL88" s="37" t="s">
        <v>215</v>
      </c>
      <c r="AM88" s="37" t="s">
        <v>215</v>
      </c>
      <c r="AN88" s="37" t="s">
        <v>215</v>
      </c>
      <c r="AO88" s="37" t="s">
        <v>215</v>
      </c>
      <c r="AP88" s="37" t="s">
        <v>215</v>
      </c>
      <c r="AQ88" s="37" t="s">
        <v>215</v>
      </c>
      <c r="AR88" s="37" t="s">
        <v>215</v>
      </c>
      <c r="AS88" s="37" t="s">
        <v>215</v>
      </c>
      <c r="AT88" s="37" t="s">
        <v>215</v>
      </c>
      <c r="AU88" s="37" t="s">
        <v>215</v>
      </c>
      <c r="AV88" s="36" t="s">
        <v>215</v>
      </c>
      <c r="AW88" s="248" t="s">
        <v>215</v>
      </c>
      <c r="AX88" s="248" t="s">
        <v>215</v>
      </c>
      <c r="AY88" s="248" t="s">
        <v>215</v>
      </c>
      <c r="AZ88" s="248" t="s">
        <v>215</v>
      </c>
      <c r="BA88" s="248" t="s">
        <v>215</v>
      </c>
      <c r="BB88" s="248" t="s">
        <v>215</v>
      </c>
      <c r="BC88" s="248" t="s">
        <v>215</v>
      </c>
      <c r="BD88" s="248" t="s">
        <v>215</v>
      </c>
      <c r="BE88" s="248" t="s">
        <v>215</v>
      </c>
      <c r="BF88" s="248" t="s">
        <v>215</v>
      </c>
      <c r="BG88" s="248" t="s">
        <v>215</v>
      </c>
      <c r="BH88" s="248" t="s">
        <v>215</v>
      </c>
      <c r="BI88" s="248" t="s">
        <v>215</v>
      </c>
      <c r="BJ88" s="248" t="s">
        <v>215</v>
      </c>
      <c r="BK88" s="248" t="s">
        <v>215</v>
      </c>
      <c r="BL88" s="248" t="s">
        <v>215</v>
      </c>
      <c r="BM88" s="248" t="s">
        <v>215</v>
      </c>
      <c r="BN88" s="248" t="s">
        <v>215</v>
      </c>
      <c r="BO88" s="248" t="s">
        <v>215</v>
      </c>
      <c r="BP88" s="35"/>
      <c r="BQ88" s="345" t="e">
        <v>#DIV/0!</v>
      </c>
      <c r="BR88" s="345" t="e">
        <v>#DIV/0!</v>
      </c>
      <c r="BS88" s="345" t="e">
        <v>#DIV/0!</v>
      </c>
      <c r="BT88" s="345" t="e">
        <v>#DIV/0!</v>
      </c>
      <c r="BU88" s="345" t="e">
        <v>#DIV/0!</v>
      </c>
      <c r="BV88" s="345" t="e">
        <v>#DIV/0!</v>
      </c>
      <c r="BW88" s="345" t="e">
        <v>#DIV/0!</v>
      </c>
      <c r="BX88" s="345">
        <v>8.56509968003938E-2</v>
      </c>
      <c r="BY88" s="345">
        <v>3.9763690070438534E-2</v>
      </c>
      <c r="BZ88" s="345">
        <v>3.9945337958582995E-2</v>
      </c>
      <c r="CA88" s="35">
        <v>7.6218165894073545E-3</v>
      </c>
      <c r="CB88" s="35" t="e">
        <v>#DIV/0!</v>
      </c>
      <c r="CC88" s="35" t="e">
        <v>#DIV/0!</v>
      </c>
      <c r="CD88" s="35" t="e">
        <v>#DIV/0!</v>
      </c>
      <c r="CE88" s="35">
        <v>2.4159474595779263E-2</v>
      </c>
      <c r="CF88" s="35">
        <v>6.5886993318947E-3</v>
      </c>
      <c r="CG88" s="35">
        <v>7.46434240395064E-3</v>
      </c>
      <c r="CH88" s="35">
        <v>9.2126619967018326E-3</v>
      </c>
      <c r="CI88" s="35">
        <v>1.3095850738372834E-2</v>
      </c>
      <c r="CJ88" s="35">
        <v>1.6294051411095484E-2</v>
      </c>
      <c r="CK88" s="37">
        <v>1.6590616269590481E-2</v>
      </c>
      <c r="CL88" s="37">
        <v>1.8211234898212962E-2</v>
      </c>
      <c r="CM88" s="37">
        <v>1.5633450429218227E-2</v>
      </c>
      <c r="CN88" s="37">
        <v>1.8245588661984016E-2</v>
      </c>
      <c r="CO88" s="37">
        <v>2.1232727702347329E-2</v>
      </c>
      <c r="CP88" s="37">
        <v>0</v>
      </c>
      <c r="CQ88" s="37" t="e">
        <v>#DIV/0!</v>
      </c>
      <c r="CR88" s="37" t="e">
        <v>#DIV/0!</v>
      </c>
      <c r="CS88" s="37" t="e">
        <v>#DIV/0!</v>
      </c>
      <c r="CT88" s="37" t="e">
        <v>#DIV/0!</v>
      </c>
      <c r="CU88" s="37" t="e">
        <v>#DIV/0!</v>
      </c>
      <c r="CV88" s="36" t="e">
        <v>#DIV/0!</v>
      </c>
      <c r="CW88" s="35" t="e">
        <v>#DIV/0!</v>
      </c>
      <c r="CX88" s="35" t="e">
        <v>#DIV/0!</v>
      </c>
      <c r="CY88" s="35" t="e">
        <v>#DIV/0!</v>
      </c>
      <c r="CZ88" s="35" t="e">
        <v>#DIV/0!</v>
      </c>
      <c r="DA88" s="35" t="e">
        <v>#DIV/0!</v>
      </c>
      <c r="DB88" s="35" t="e">
        <v>#DIV/0!</v>
      </c>
      <c r="DC88" s="35" t="e">
        <v>#DIV/0!</v>
      </c>
      <c r="DD88" s="35" t="e">
        <v>#DIV/0!</v>
      </c>
      <c r="DE88" s="35" t="e">
        <v>#DIV/0!</v>
      </c>
      <c r="DF88" s="35" t="e">
        <v>#DIV/0!</v>
      </c>
    </row>
    <row r="89" spans="1:110" ht="12" outlineLevel="1">
      <c r="A89" s="1" t="s">
        <v>704</v>
      </c>
      <c r="B89" s="15" t="s">
        <v>322</v>
      </c>
      <c r="C89" s="345">
        <v>1.2807954192033248E-3</v>
      </c>
      <c r="D89" s="345">
        <v>1.4605405641144036E-3</v>
      </c>
      <c r="E89" s="345">
        <v>8.0612503725940659E-4</v>
      </c>
      <c r="F89" s="345">
        <v>6.7055745723021366E-4</v>
      </c>
      <c r="G89" s="345">
        <v>8.2271664868429923E-4</v>
      </c>
      <c r="H89" s="345">
        <v>4.4467418662038998E-4</v>
      </c>
      <c r="I89" s="345">
        <v>4.0765545466384741E-4</v>
      </c>
      <c r="J89" s="345">
        <v>6.1379321400234596E-4</v>
      </c>
      <c r="K89" s="345">
        <v>5.0981912501457498E-4</v>
      </c>
      <c r="L89" s="345">
        <v>5.150142762535805E-4</v>
      </c>
      <c r="M89" s="35">
        <v>5.5507010043841947E-4</v>
      </c>
      <c r="N89" s="35">
        <v>6.2689511571702248E-4</v>
      </c>
      <c r="O89" s="35">
        <v>7.7220928719223803E-4</v>
      </c>
      <c r="P89" s="35">
        <v>8.3664869873440048E-4</v>
      </c>
      <c r="Q89" s="35">
        <v>4.4951660215576271E-4</v>
      </c>
      <c r="R89" s="35">
        <v>3.03522867084215E-4</v>
      </c>
      <c r="S89" s="35">
        <v>1.6722451694831503E-3</v>
      </c>
      <c r="T89" s="37">
        <v>1.0069183162789272E-3</v>
      </c>
      <c r="U89" s="35">
        <v>1.0979935890265036E-3</v>
      </c>
      <c r="V89" s="35">
        <v>1.2327537575710745E-3</v>
      </c>
      <c r="W89" s="35">
        <v>1.3713105350289404E-3</v>
      </c>
      <c r="X89" s="35">
        <v>1.0498577717619677E-3</v>
      </c>
      <c r="Y89" s="37">
        <v>1.2585657563372024E-3</v>
      </c>
      <c r="Z89" s="37">
        <v>8.9748064939774563E-4</v>
      </c>
      <c r="AA89" s="228">
        <v>9.0768486625634212E-4</v>
      </c>
      <c r="AB89" s="357">
        <v>8.0234376047763373E-4</v>
      </c>
      <c r="AC89" s="357">
        <v>6.841454506397905E-4</v>
      </c>
      <c r="AD89" s="357">
        <v>6.800791698530073E-4</v>
      </c>
      <c r="AE89" s="357">
        <v>7.2942608303429605E-4</v>
      </c>
      <c r="AF89" s="357">
        <v>9.675803875990967E-4</v>
      </c>
      <c r="AG89" s="357">
        <v>1.2674640657953009E-3</v>
      </c>
      <c r="AH89" s="357">
        <v>6.6861239754287401E-4</v>
      </c>
      <c r="AI89" s="357">
        <v>5.7497815462359851E-4</v>
      </c>
      <c r="AJ89" s="357">
        <v>5.1025652135557812E-4</v>
      </c>
      <c r="AK89" s="357">
        <v>5.3447043327327966E-4</v>
      </c>
      <c r="AL89" s="357">
        <v>5.5668022821946832E-4</v>
      </c>
      <c r="AM89" s="357">
        <v>5.7872298135150347E-4</v>
      </c>
      <c r="AN89" s="357">
        <v>4.790386891446896E-4</v>
      </c>
      <c r="AO89" s="357">
        <v>4.3373629056270502E-4</v>
      </c>
      <c r="AP89" s="357">
        <v>6.5131028138568677E-4</v>
      </c>
      <c r="AQ89" s="357">
        <v>5.2211928627412824E-4</v>
      </c>
      <c r="AR89" s="357">
        <v>5.1944772271890157E-4</v>
      </c>
      <c r="AS89" s="357">
        <v>6.3758081378734741E-4</v>
      </c>
      <c r="AT89" s="357">
        <v>3.3636193965082435E-4</v>
      </c>
      <c r="AU89" s="357">
        <v>5.8763549849217439E-4</v>
      </c>
      <c r="AV89" s="348">
        <v>3.8131873060110924E-4</v>
      </c>
      <c r="AW89" s="248">
        <v>3.5753143468151031E-4</v>
      </c>
      <c r="AX89" s="248">
        <v>3.5753143468151031E-4</v>
      </c>
      <c r="AY89" s="248">
        <v>3.5753143468151031E-4</v>
      </c>
      <c r="AZ89" s="248">
        <v>3.5753143468151031E-4</v>
      </c>
      <c r="BA89" s="248">
        <v>3.5753143468151031E-4</v>
      </c>
      <c r="BB89" s="248">
        <v>3.5753143468151031E-4</v>
      </c>
      <c r="BC89" s="248">
        <v>3.5753143468151031E-4</v>
      </c>
      <c r="BD89" s="248">
        <v>3.5753143468151031E-4</v>
      </c>
      <c r="BE89" s="248">
        <v>3.5753143468151031E-4</v>
      </c>
      <c r="BF89" s="248">
        <v>3.5753143468151031E-4</v>
      </c>
      <c r="BG89" s="248">
        <v>3.5753143468151031E-4</v>
      </c>
      <c r="BH89" s="248">
        <v>3.5753143468151031E-4</v>
      </c>
      <c r="BI89" s="248">
        <v>3.5753143468151031E-4</v>
      </c>
      <c r="BJ89" s="248">
        <v>3.5753143468151031E-4</v>
      </c>
      <c r="BK89" s="248">
        <v>3.5753143468151031E-4</v>
      </c>
      <c r="BL89" s="248">
        <v>3.5753143468151031E-4</v>
      </c>
      <c r="BM89" s="248">
        <v>3.5753143468151031E-4</v>
      </c>
      <c r="BN89" s="248">
        <v>3.5753143468151031E-4</v>
      </c>
      <c r="BO89" s="248">
        <v>3.5753143468151031E-4</v>
      </c>
      <c r="BP89" s="35"/>
      <c r="BQ89" s="345">
        <v>1.9811132186384876E-3</v>
      </c>
      <c r="BR89" s="345">
        <v>2.0992790688813914E-3</v>
      </c>
      <c r="BS89" s="345">
        <v>6.7963539658613269E-4</v>
      </c>
      <c r="BT89" s="345">
        <v>3.0512501044326675E-4</v>
      </c>
      <c r="BU89" s="345">
        <v>1.1475154301027126E-3</v>
      </c>
      <c r="BV89" s="345">
        <v>8.120680371785932E-4</v>
      </c>
      <c r="BW89" s="345">
        <v>1.2815173165027392E-3</v>
      </c>
      <c r="BX89" s="345">
        <v>3.6906525377027966E-4</v>
      </c>
      <c r="BY89" s="345">
        <v>1.4393054546457838E-3</v>
      </c>
      <c r="BZ89" s="345">
        <v>3.6536353671903543E-4</v>
      </c>
      <c r="CA89" s="35">
        <v>1.1292425152112291E-3</v>
      </c>
      <c r="CB89" s="35">
        <v>7.4762285081482775E-4</v>
      </c>
      <c r="CC89" s="35">
        <v>4.2552881044824665E-4</v>
      </c>
      <c r="CD89" s="35">
        <v>5.6044494120004943E-4</v>
      </c>
      <c r="CE89" s="35">
        <v>5.3483290762278244E-4</v>
      </c>
      <c r="CF89" s="35">
        <v>7.0283605720014304E-4</v>
      </c>
      <c r="CG89" s="35">
        <v>6.3751372682064472E-4</v>
      </c>
      <c r="CH89" s="35">
        <v>9.8577890623246806E-4</v>
      </c>
      <c r="CI89" s="35">
        <v>1.0470494761673061E-3</v>
      </c>
      <c r="CJ89" s="35">
        <v>1.3037278468119779E-3</v>
      </c>
      <c r="CK89" s="37">
        <v>1.1569885677297036E-3</v>
      </c>
      <c r="CL89" s="37">
        <v>9.0362560974480968E-4</v>
      </c>
      <c r="CM89" s="37">
        <v>7.4200514635967558E-4</v>
      </c>
      <c r="CN89" s="37">
        <v>7.0604054772564447E-4</v>
      </c>
      <c r="CO89" s="37">
        <v>1.1178818683519726E-3</v>
      </c>
      <c r="CP89" s="37">
        <v>6.2147335264148772E-4</v>
      </c>
      <c r="CQ89" s="37">
        <v>5.2245828296325998E-4</v>
      </c>
      <c r="CR89" s="37">
        <v>5.6788772913667041E-4</v>
      </c>
      <c r="CS89" s="37">
        <v>4.6455833268466991E-4</v>
      </c>
      <c r="CT89" s="37">
        <v>5.8637968128946207E-4</v>
      </c>
      <c r="CU89" s="37">
        <v>5.7937368016225518E-4</v>
      </c>
      <c r="CV89" s="36">
        <v>4.6289338062825832E-4</v>
      </c>
      <c r="CW89" s="35">
        <v>3.6917202940467886E-4</v>
      </c>
      <c r="CX89" s="35">
        <v>3.5753143468151031E-4</v>
      </c>
      <c r="CY89" s="35">
        <v>3.5753143468151042E-4</v>
      </c>
      <c r="CZ89" s="35">
        <v>3.5753143468151031E-4</v>
      </c>
      <c r="DA89" s="35">
        <v>3.5753143468151031E-4</v>
      </c>
      <c r="DB89" s="35">
        <v>3.5753143468151037E-4</v>
      </c>
      <c r="DC89" s="35">
        <v>3.5753143468151031E-4</v>
      </c>
      <c r="DD89" s="35">
        <v>3.5753143468151037E-4</v>
      </c>
      <c r="DE89" s="35">
        <v>3.5753143468151037E-4</v>
      </c>
      <c r="DF89" s="35">
        <v>3.5753143468151037E-4</v>
      </c>
    </row>
    <row r="90" spans="1:110" ht="12" outlineLevel="1">
      <c r="AA90" s="228"/>
      <c r="AB90" s="32"/>
      <c r="AC90" s="408"/>
      <c r="AD90" s="357"/>
      <c r="AE90" s="32"/>
      <c r="AG90" s="32"/>
      <c r="AH90" s="41"/>
      <c r="AI90" s="41"/>
      <c r="AJ90" s="32"/>
      <c r="AK90" s="41"/>
      <c r="AL90" s="41"/>
      <c r="AM90" s="32"/>
      <c r="AN90" s="32"/>
      <c r="AO90" s="32"/>
      <c r="AP90" s="32"/>
      <c r="AQ90" s="41"/>
      <c r="AR90" s="41"/>
      <c r="AS90" s="41"/>
      <c r="AT90" s="41"/>
      <c r="AU90" s="41"/>
      <c r="AV90" s="211"/>
      <c r="AW90" s="41"/>
      <c r="AX90" s="41"/>
      <c r="AY90" s="41"/>
      <c r="CZ90" s="15"/>
      <c r="DA90" s="15"/>
      <c r="DB90" s="15"/>
      <c r="DC90" s="15"/>
      <c r="DD90" s="15"/>
      <c r="DE90" s="15"/>
      <c r="DF90" s="15"/>
    </row>
    <row r="91" spans="1:110" ht="12" outlineLevel="1">
      <c r="B91" s="17" t="s">
        <v>323</v>
      </c>
      <c r="AA91" s="139"/>
      <c r="AB91" s="32"/>
      <c r="AC91" s="408"/>
      <c r="AD91" s="32"/>
      <c r="AE91" s="32"/>
      <c r="AG91" s="32"/>
      <c r="AH91" s="41"/>
      <c r="AI91" s="41"/>
      <c r="AJ91" s="41"/>
      <c r="AK91" s="41"/>
      <c r="AL91" s="41"/>
      <c r="AM91" s="41"/>
      <c r="AN91" s="41"/>
      <c r="AO91" s="41"/>
      <c r="AP91" s="41"/>
      <c r="AQ91" s="41"/>
      <c r="AR91" s="41"/>
      <c r="AS91" s="41"/>
      <c r="AT91" s="41"/>
      <c r="AU91" s="41"/>
      <c r="AV91" s="211"/>
      <c r="AW91" s="41"/>
      <c r="AX91" s="41"/>
      <c r="AY91" s="41"/>
      <c r="BA91" s="30"/>
      <c r="BB91" s="30"/>
      <c r="CZ91" s="15"/>
      <c r="DA91" s="15"/>
      <c r="DB91" s="15"/>
      <c r="DC91" s="15"/>
      <c r="DD91" s="15"/>
      <c r="DE91" s="15"/>
      <c r="DF91" s="15"/>
    </row>
    <row r="92" spans="1:110" ht="12" outlineLevel="1">
      <c r="A92" s="1" t="s">
        <v>843</v>
      </c>
      <c r="B92" s="15" t="s">
        <v>461</v>
      </c>
      <c r="C92" s="40">
        <v>22501</v>
      </c>
      <c r="D92" s="40">
        <v>22737</v>
      </c>
      <c r="E92" s="40">
        <v>22482</v>
      </c>
      <c r="F92" s="40">
        <v>22483</v>
      </c>
      <c r="G92" s="40">
        <v>23137</v>
      </c>
      <c r="H92" s="40">
        <v>27971</v>
      </c>
      <c r="I92" s="40">
        <v>28755</v>
      </c>
      <c r="J92" s="40">
        <v>29832</v>
      </c>
      <c r="K92" s="40">
        <v>30976</v>
      </c>
      <c r="L92" s="40">
        <v>31063</v>
      </c>
      <c r="M92" s="40">
        <v>32256</v>
      </c>
      <c r="N92" s="40">
        <v>33183</v>
      </c>
      <c r="O92" s="40">
        <v>34353</v>
      </c>
      <c r="P92" s="40">
        <v>35482</v>
      </c>
      <c r="Q92" s="40">
        <v>36925</v>
      </c>
      <c r="R92" s="40">
        <v>37046</v>
      </c>
      <c r="S92" s="40">
        <v>37687</v>
      </c>
      <c r="T92" s="40">
        <v>42144</v>
      </c>
      <c r="U92" s="40">
        <v>47099</v>
      </c>
      <c r="V92" s="40">
        <v>48620</v>
      </c>
      <c r="W92" s="40">
        <v>50297</v>
      </c>
      <c r="X92" s="40">
        <v>49509</v>
      </c>
      <c r="Y92" s="40">
        <v>48239</v>
      </c>
      <c r="Z92" s="141">
        <v>48871</v>
      </c>
      <c r="AA92" s="141">
        <v>48865</v>
      </c>
      <c r="AB92" s="141">
        <v>49850</v>
      </c>
      <c r="AC92" s="141">
        <v>50328</v>
      </c>
      <c r="AD92" s="141">
        <v>51243</v>
      </c>
      <c r="AE92" s="141">
        <v>50152</v>
      </c>
      <c r="AF92" s="141">
        <v>48896</v>
      </c>
      <c r="AG92" s="141">
        <v>46554</v>
      </c>
      <c r="AH92" s="141">
        <v>44015</v>
      </c>
      <c r="AI92" s="141">
        <v>42873</v>
      </c>
      <c r="AJ92" s="141">
        <v>39655</v>
      </c>
      <c r="AK92" s="141">
        <v>37860</v>
      </c>
      <c r="AL92" s="141">
        <v>37364</v>
      </c>
      <c r="AM92" s="141">
        <v>37588</v>
      </c>
      <c r="AN92" s="141">
        <v>37834</v>
      </c>
      <c r="AO92" s="141">
        <v>37506</v>
      </c>
      <c r="AP92" s="141">
        <v>37844</v>
      </c>
      <c r="AQ92" s="141">
        <v>39684</v>
      </c>
      <c r="AR92" s="141">
        <v>39529</v>
      </c>
      <c r="AS92" s="141">
        <v>39381</v>
      </c>
      <c r="AT92" s="141">
        <v>39802</v>
      </c>
      <c r="AU92" s="141">
        <v>40342</v>
      </c>
      <c r="AV92" s="226">
        <v>40262</v>
      </c>
      <c r="AW92" s="210">
        <v>43362</v>
      </c>
      <c r="AX92" s="210">
        <v>43462</v>
      </c>
      <c r="AY92" s="210">
        <v>43562</v>
      </c>
      <c r="AZ92" s="210">
        <v>43662</v>
      </c>
      <c r="BA92" s="210">
        <v>43762</v>
      </c>
      <c r="BB92" s="210">
        <v>43862</v>
      </c>
      <c r="BC92" s="210">
        <v>43962</v>
      </c>
      <c r="BD92" s="210">
        <v>44062</v>
      </c>
      <c r="BE92" s="210">
        <v>44162</v>
      </c>
      <c r="BF92" s="210">
        <v>44262</v>
      </c>
      <c r="BG92" s="210">
        <v>44362</v>
      </c>
      <c r="BH92" s="210">
        <v>44462</v>
      </c>
      <c r="BI92" s="210">
        <v>44562</v>
      </c>
      <c r="BJ92" s="210">
        <v>44662</v>
      </c>
      <c r="BK92" s="210">
        <v>44762</v>
      </c>
      <c r="BL92" s="210">
        <v>44862</v>
      </c>
      <c r="BM92" s="210">
        <v>44962</v>
      </c>
      <c r="BN92" s="210">
        <v>45062</v>
      </c>
      <c r="BO92" s="210">
        <v>45162</v>
      </c>
      <c r="BP92" s="41"/>
      <c r="BQ92" s="40">
        <v>43977</v>
      </c>
      <c r="BR92" s="40">
        <v>40277</v>
      </c>
      <c r="BS92" s="40">
        <v>39642</v>
      </c>
      <c r="BT92" s="40">
        <v>39240</v>
      </c>
      <c r="BU92" s="40">
        <v>39721</v>
      </c>
      <c r="BV92" s="40">
        <v>36904</v>
      </c>
      <c r="BW92" s="40">
        <v>32072</v>
      </c>
      <c r="BX92" s="40">
        <v>30171</v>
      </c>
      <c r="BY92" s="40">
        <v>23134</v>
      </c>
      <c r="BZ92" s="40">
        <v>22501</v>
      </c>
      <c r="CA92" s="41">
        <v>22482</v>
      </c>
      <c r="CB92" s="41">
        <v>23137</v>
      </c>
      <c r="CC92" s="41">
        <v>28755</v>
      </c>
      <c r="CD92" s="41">
        <v>30976</v>
      </c>
      <c r="CE92" s="41">
        <v>32256</v>
      </c>
      <c r="CF92" s="41">
        <v>34353</v>
      </c>
      <c r="CG92" s="41">
        <v>36925</v>
      </c>
      <c r="CH92" s="41">
        <v>37687</v>
      </c>
      <c r="CI92" s="41">
        <v>47099</v>
      </c>
      <c r="CJ92" s="41">
        <v>50297</v>
      </c>
      <c r="CK92" s="41">
        <v>48239</v>
      </c>
      <c r="CL92" s="41">
        <v>48865</v>
      </c>
      <c r="CM92" s="41">
        <v>50328</v>
      </c>
      <c r="CN92" s="41">
        <v>50152</v>
      </c>
      <c r="CO92" s="41">
        <v>46554</v>
      </c>
      <c r="CP92" s="41">
        <v>42873</v>
      </c>
      <c r="CQ92" s="41">
        <v>37860</v>
      </c>
      <c r="CR92" s="41">
        <v>37588</v>
      </c>
      <c r="CS92" s="41">
        <v>37506</v>
      </c>
      <c r="CT92" s="41">
        <v>39684</v>
      </c>
      <c r="CU92" s="41">
        <v>39381</v>
      </c>
      <c r="CV92" s="211">
        <v>40342</v>
      </c>
      <c r="CW92" s="41">
        <v>43362</v>
      </c>
      <c r="CX92" s="41">
        <v>43562</v>
      </c>
      <c r="CY92" s="41">
        <v>43762</v>
      </c>
      <c r="CZ92" s="41">
        <v>43962</v>
      </c>
      <c r="DA92" s="41">
        <v>44162</v>
      </c>
      <c r="DB92" s="41">
        <v>44362</v>
      </c>
      <c r="DC92" s="41">
        <v>44562</v>
      </c>
      <c r="DD92" s="41">
        <v>44762</v>
      </c>
      <c r="DE92" s="41">
        <v>44962</v>
      </c>
      <c r="DF92" s="41">
        <v>45162</v>
      </c>
    </row>
    <row r="93" spans="1:110" ht="12" outlineLevel="1">
      <c r="A93" s="1" t="s">
        <v>844</v>
      </c>
      <c r="B93" s="15" t="s">
        <v>979</v>
      </c>
      <c r="C93" s="41">
        <v>74370.707992820229</v>
      </c>
      <c r="D93" s="41">
        <v>75630.523594624581</v>
      </c>
      <c r="E93" s="41">
        <v>75954.580241368138</v>
      </c>
      <c r="F93" s="41">
        <v>77873.755289523091</v>
      </c>
      <c r="G93" s="41">
        <v>110001.12595616438</v>
      </c>
      <c r="H93" s="41">
        <v>79204.821163027314</v>
      </c>
      <c r="I93" s="41">
        <v>78905.616472164445</v>
      </c>
      <c r="J93" s="41">
        <v>83455.29903213348</v>
      </c>
      <c r="K93" s="41">
        <v>85937.426985088969</v>
      </c>
      <c r="L93" s="41">
        <v>88250.938925514594</v>
      </c>
      <c r="M93" s="41">
        <v>87569.430078955746</v>
      </c>
      <c r="N93" s="41">
        <v>88936.949753893787</v>
      </c>
      <c r="O93" s="41">
        <v>90961.404271900974</v>
      </c>
      <c r="P93" s="41">
        <v>92561.036729433661</v>
      </c>
      <c r="Q93" s="41">
        <v>89936.055906196911</v>
      </c>
      <c r="R93" s="41">
        <v>95921.909402868157</v>
      </c>
      <c r="S93" s="41">
        <v>97360.812141496965</v>
      </c>
      <c r="T93" s="41">
        <v>96065.575891708591</v>
      </c>
      <c r="U93" s="41">
        <v>102897.05108585149</v>
      </c>
      <c r="V93" s="41">
        <v>99605.312206781091</v>
      </c>
      <c r="W93" s="41">
        <v>93680.682004690025</v>
      </c>
      <c r="X93" s="41">
        <v>97228.623529647521</v>
      </c>
      <c r="Y93" s="41">
        <v>95674.591807505014</v>
      </c>
      <c r="Z93" s="41">
        <v>96939.462555773964</v>
      </c>
      <c r="AA93" s="41">
        <v>98649.266385503332</v>
      </c>
      <c r="AB93" s="41">
        <v>102798.98898649849</v>
      </c>
      <c r="AC93" s="41">
        <v>101859.12791078874</v>
      </c>
      <c r="AD93" s="41">
        <v>107214.01940352231</v>
      </c>
      <c r="AE93" s="41">
        <v>108740.98673235145</v>
      </c>
      <c r="AF93" s="41">
        <v>113116.87262741297</v>
      </c>
      <c r="AG93" s="41">
        <v>114824.51545311681</v>
      </c>
      <c r="AH93" s="41">
        <v>111557.83235633957</v>
      </c>
      <c r="AI93" s="41">
        <v>110414.73905481235</v>
      </c>
      <c r="AJ93" s="41">
        <v>114456.65859925262</v>
      </c>
      <c r="AK93" s="41">
        <v>116303.94822225488</v>
      </c>
      <c r="AL93" s="41">
        <v>126369.82819371417</v>
      </c>
      <c r="AM93" s="41">
        <v>127465.91333936417</v>
      </c>
      <c r="AN93" s="41">
        <v>130731.08642040784</v>
      </c>
      <c r="AO93" s="41">
        <v>128112.55641093708</v>
      </c>
      <c r="AP93" s="41">
        <v>130363.79678715444</v>
      </c>
      <c r="AQ93" s="41">
        <v>128478.87708329457</v>
      </c>
      <c r="AR93" s="41">
        <v>134386.5885039682</v>
      </c>
      <c r="AS93" s="41">
        <v>133558.80982207719</v>
      </c>
      <c r="AT93" s="41">
        <v>146543.97040767854</v>
      </c>
      <c r="AU93" s="41">
        <v>142801.0182763921</v>
      </c>
      <c r="AV93" s="211">
        <v>151952.75668701305</v>
      </c>
      <c r="AW93" s="41">
        <v>159550.39452136372</v>
      </c>
      <c r="AX93" s="41">
        <v>159151.51853506031</v>
      </c>
      <c r="AY93" s="41">
        <v>159151.51853506031</v>
      </c>
      <c r="AZ93" s="41">
        <v>160345.15492407329</v>
      </c>
      <c r="BA93" s="41">
        <v>161547.74358600384</v>
      </c>
      <c r="BB93" s="41">
        <v>163163.22102186386</v>
      </c>
      <c r="BC93" s="41">
        <v>164794.8532320825</v>
      </c>
      <c r="BD93" s="41">
        <v>167266.77603056372</v>
      </c>
      <c r="BE93" s="41">
        <v>169775.77767102217</v>
      </c>
      <c r="BF93" s="41">
        <v>173171.2932244426</v>
      </c>
      <c r="BG93" s="41">
        <v>176634.71908893145</v>
      </c>
      <c r="BH93" s="41">
        <v>179725.82667298775</v>
      </c>
      <c r="BI93" s="41">
        <v>183769.65777312996</v>
      </c>
      <c r="BJ93" s="41">
        <v>187904.47507302539</v>
      </c>
      <c r="BK93" s="41">
        <v>192038.37352463196</v>
      </c>
      <c r="BL93" s="41">
        <v>196839.33286274775</v>
      </c>
      <c r="BM93" s="41">
        <v>200776.11952000271</v>
      </c>
      <c r="BN93" s="41">
        <v>204289.70161160277</v>
      </c>
      <c r="BO93" s="41">
        <v>206332.59862771881</v>
      </c>
      <c r="BP93" s="41"/>
      <c r="BQ93" s="41">
        <v>33665.32505627942</v>
      </c>
      <c r="BR93" s="41">
        <v>33698.103354143423</v>
      </c>
      <c r="BS93" s="41">
        <v>36737.196411366509</v>
      </c>
      <c r="BT93" s="41">
        <v>40820.466012525038</v>
      </c>
      <c r="BU93" s="41">
        <v>45718.772558604884</v>
      </c>
      <c r="BV93" s="41">
        <v>50871.125611745512</v>
      </c>
      <c r="BW93" s="41">
        <v>53757.828810020874</v>
      </c>
      <c r="BX93" s="41">
        <v>55652.844496569895</v>
      </c>
      <c r="BY93" s="41">
        <v>65960.041271925715</v>
      </c>
      <c r="BZ93" s="41">
        <v>73408.567985099158</v>
      </c>
      <c r="CA93" s="41">
        <v>76206.566925282881</v>
      </c>
      <c r="CB93" s="41">
        <v>93425.984787040492</v>
      </c>
      <c r="CC93" s="41">
        <v>82132.12055808217</v>
      </c>
      <c r="CD93" s="41">
        <v>84679.647084428521</v>
      </c>
      <c r="CE93" s="41">
        <v>87139.423076923078</v>
      </c>
      <c r="CF93" s="41">
        <v>89807.683646354097</v>
      </c>
      <c r="CG93" s="41">
        <v>91023.878335531306</v>
      </c>
      <c r="CH93" s="41">
        <v>96311.58526778534</v>
      </c>
      <c r="CI93" s="41">
        <v>99403.203359045117</v>
      </c>
      <c r="CJ93" s="41">
        <v>96513.203827672594</v>
      </c>
      <c r="CK93" s="41">
        <v>96695.623934399613</v>
      </c>
      <c r="CL93" s="41">
        <v>98121.601581809198</v>
      </c>
      <c r="CM93" s="41">
        <v>102587.8842257014</v>
      </c>
      <c r="CN93" s="41">
        <v>109056.52866242039</v>
      </c>
      <c r="CO93" s="41">
        <v>114594.75110127604</v>
      </c>
      <c r="CP93" s="41">
        <v>110123.34082547778</v>
      </c>
      <c r="CQ93" s="41">
        <v>114327.47451475852</v>
      </c>
      <c r="CR93" s="41">
        <v>126769.18165371928</v>
      </c>
      <c r="CS93" s="41">
        <v>130059.19052951528</v>
      </c>
      <c r="CT93" s="41">
        <v>124634.61344622518</v>
      </c>
      <c r="CU93" s="41">
        <v>134481.09494426247</v>
      </c>
      <c r="CV93" s="211">
        <v>142828.81364334936</v>
      </c>
      <c r="CW93" s="41">
        <v>144472.16193354764</v>
      </c>
      <c r="CX93" s="41">
        <v>158786.67416897006</v>
      </c>
      <c r="CY93" s="41">
        <v>160581.50695877432</v>
      </c>
      <c r="CZ93" s="41">
        <v>163609.70421409278</v>
      </c>
      <c r="DA93" s="41">
        <v>168141.09926272926</v>
      </c>
      <c r="DB93" s="41">
        <v>174515.96864305597</v>
      </c>
      <c r="DC93" s="41">
        <v>181348.24299765736</v>
      </c>
      <c r="DD93" s="41">
        <v>189555.56137534854</v>
      </c>
      <c r="DE93" s="41">
        <v>198367.74680983732</v>
      </c>
      <c r="DF93" s="41">
        <v>204861.08563497645</v>
      </c>
    </row>
    <row r="94" spans="1:110" ht="12" outlineLevel="1">
      <c r="A94" s="1" t="s">
        <v>980</v>
      </c>
      <c r="B94" s="15" t="s">
        <v>562</v>
      </c>
      <c r="C94" s="212"/>
      <c r="D94" s="212"/>
      <c r="E94" s="212"/>
      <c r="F94" s="212"/>
      <c r="G94" s="212"/>
      <c r="H94" s="212"/>
      <c r="I94" s="212"/>
      <c r="J94" s="212"/>
      <c r="K94" s="212"/>
      <c r="L94" s="212"/>
      <c r="M94" s="42"/>
      <c r="N94" s="42"/>
      <c r="O94" s="42"/>
      <c r="P94" s="42"/>
      <c r="Q94" s="42"/>
      <c r="R94" s="42"/>
      <c r="S94" s="42"/>
      <c r="T94" s="43"/>
      <c r="U94" s="42"/>
      <c r="V94" s="42"/>
      <c r="W94" s="42"/>
      <c r="X94" s="42"/>
      <c r="Y94" s="43"/>
      <c r="Z94" s="51"/>
      <c r="AA94" s="355"/>
      <c r="AB94" s="399"/>
      <c r="AC94" s="399"/>
      <c r="AD94" s="399"/>
      <c r="AE94" s="399"/>
      <c r="AF94" s="399"/>
      <c r="AG94" s="399"/>
      <c r="AH94" s="399"/>
      <c r="AI94" s="399"/>
      <c r="AJ94" s="399"/>
      <c r="AK94" s="399"/>
      <c r="AL94" s="399"/>
      <c r="AM94" s="399"/>
      <c r="AN94" s="399"/>
      <c r="AO94" s="399"/>
      <c r="AP94" s="399"/>
      <c r="AQ94" s="399"/>
      <c r="AR94" s="399"/>
      <c r="AS94" s="399"/>
      <c r="AT94" s="399"/>
      <c r="AU94" s="399"/>
      <c r="AV94" s="350"/>
      <c r="AW94" s="346">
        <v>0.6</v>
      </c>
      <c r="AX94" s="346">
        <v>0.6</v>
      </c>
      <c r="AY94" s="346">
        <v>0.6</v>
      </c>
      <c r="AZ94" s="346">
        <v>0.6</v>
      </c>
      <c r="BA94" s="346">
        <v>0.6</v>
      </c>
      <c r="BB94" s="346">
        <v>0.6</v>
      </c>
      <c r="BC94" s="346">
        <v>0.6</v>
      </c>
      <c r="BD94" s="346">
        <v>0.6</v>
      </c>
      <c r="BE94" s="346">
        <v>0.6</v>
      </c>
      <c r="BF94" s="346">
        <v>0.6</v>
      </c>
      <c r="BG94" s="346">
        <v>0.6</v>
      </c>
      <c r="BH94" s="346">
        <v>0.6</v>
      </c>
      <c r="BI94" s="346">
        <v>0.6</v>
      </c>
      <c r="BJ94" s="346">
        <v>0.6</v>
      </c>
      <c r="BK94" s="346">
        <v>0.6</v>
      </c>
      <c r="BL94" s="346">
        <v>0.6</v>
      </c>
      <c r="BM94" s="346">
        <v>0.6</v>
      </c>
      <c r="BN94" s="346">
        <v>0.6</v>
      </c>
      <c r="BO94" s="346">
        <v>0.6</v>
      </c>
      <c r="BP94" s="42"/>
      <c r="BQ94" s="212"/>
      <c r="BR94" s="212"/>
      <c r="BS94" s="212"/>
      <c r="BT94" s="212"/>
      <c r="BU94" s="212"/>
      <c r="BV94" s="212"/>
      <c r="BW94" s="212"/>
      <c r="BX94" s="212"/>
      <c r="BY94" s="212"/>
      <c r="BZ94" s="212"/>
      <c r="CA94" s="42"/>
      <c r="CB94" s="42"/>
      <c r="CC94" s="42"/>
      <c r="CD94" s="42"/>
      <c r="CE94" s="42"/>
      <c r="CF94" s="42"/>
      <c r="CG94" s="42"/>
      <c r="CH94" s="42"/>
      <c r="CI94" s="42"/>
      <c r="CJ94" s="42"/>
      <c r="CK94" s="43"/>
      <c r="CL94" s="43"/>
      <c r="CM94" s="43"/>
      <c r="CN94" s="43"/>
      <c r="CO94" s="43"/>
      <c r="CP94" s="43"/>
      <c r="CQ94" s="43"/>
      <c r="CR94" s="43"/>
      <c r="CS94" s="43"/>
      <c r="CT94" s="43"/>
      <c r="CU94" s="43"/>
      <c r="CV94" s="44"/>
      <c r="CW94" s="42"/>
      <c r="CX94" s="42"/>
      <c r="CY94" s="42"/>
      <c r="CZ94" s="15"/>
      <c r="DA94" s="15"/>
      <c r="DB94" s="15"/>
      <c r="DC94" s="15"/>
      <c r="DD94" s="15"/>
      <c r="DE94" s="15"/>
      <c r="DF94" s="15"/>
    </row>
    <row r="95" spans="1:110" ht="12" outlineLevel="1">
      <c r="A95" s="1" t="s">
        <v>981</v>
      </c>
      <c r="B95" s="15" t="s">
        <v>563</v>
      </c>
      <c r="C95" s="207"/>
      <c r="D95" s="207"/>
      <c r="E95" s="207"/>
      <c r="F95" s="207"/>
      <c r="G95" s="207"/>
      <c r="H95" s="207"/>
      <c r="I95" s="207"/>
      <c r="J95" s="207"/>
      <c r="K95" s="207"/>
      <c r="L95" s="207"/>
      <c r="M95" s="30"/>
      <c r="N95" s="30"/>
      <c r="O95" s="30"/>
      <c r="P95" s="30"/>
      <c r="Q95" s="30"/>
      <c r="R95" s="30"/>
      <c r="S95" s="30"/>
      <c r="T95" s="32"/>
      <c r="U95" s="30"/>
      <c r="V95" s="30"/>
      <c r="W95" s="30"/>
      <c r="X95" s="30"/>
      <c r="Y95" s="32"/>
      <c r="Z95" s="331"/>
      <c r="AA95" s="356"/>
      <c r="AB95" s="400"/>
      <c r="AC95" s="400"/>
      <c r="AD95" s="400"/>
      <c r="AE95" s="400"/>
      <c r="AF95" s="400"/>
      <c r="AG95" s="400"/>
      <c r="AH95" s="400"/>
      <c r="AI95" s="400"/>
      <c r="AJ95" s="400"/>
      <c r="AK95" s="400"/>
      <c r="AL95" s="400"/>
      <c r="AM95" s="400"/>
      <c r="AN95" s="400"/>
      <c r="AO95" s="400"/>
      <c r="AP95" s="400"/>
      <c r="AQ95" s="400"/>
      <c r="AR95" s="400"/>
      <c r="AS95" s="400"/>
      <c r="AT95" s="400"/>
      <c r="AU95" s="400"/>
      <c r="AV95" s="362"/>
      <c r="AW95" s="347">
        <v>0.05</v>
      </c>
      <c r="AX95" s="347">
        <v>-2.5000000000000001E-3</v>
      </c>
      <c r="AY95" s="347">
        <v>0</v>
      </c>
      <c r="AZ95" s="347">
        <v>7.4999999999999997E-3</v>
      </c>
      <c r="BA95" s="347">
        <v>7.4999999999999997E-3</v>
      </c>
      <c r="BB95" s="347">
        <v>0.01</v>
      </c>
      <c r="BC95" s="347">
        <v>0.01</v>
      </c>
      <c r="BD95" s="347">
        <v>1.4999999999999999E-2</v>
      </c>
      <c r="BE95" s="347">
        <v>1.4999999999999999E-2</v>
      </c>
      <c r="BF95" s="347">
        <v>0.02</v>
      </c>
      <c r="BG95" s="347">
        <v>0.02</v>
      </c>
      <c r="BH95" s="347">
        <v>1.7500000000000002E-2</v>
      </c>
      <c r="BI95" s="347">
        <v>2.2499999999999999E-2</v>
      </c>
      <c r="BJ95" s="347">
        <v>2.2499999999999999E-2</v>
      </c>
      <c r="BK95" s="347">
        <v>2.1999999999999999E-2</v>
      </c>
      <c r="BL95" s="347">
        <v>2.5000000000000001E-2</v>
      </c>
      <c r="BM95" s="347">
        <v>0.02</v>
      </c>
      <c r="BN95" s="347">
        <v>1.7500000000000002E-2</v>
      </c>
      <c r="BO95" s="347">
        <v>0.01</v>
      </c>
      <c r="BP95" s="30"/>
      <c r="BQ95" s="207"/>
      <c r="BR95" s="207"/>
      <c r="BS95" s="207"/>
      <c r="BT95" s="207"/>
      <c r="BU95" s="207"/>
      <c r="BV95" s="207"/>
      <c r="BW95" s="207"/>
      <c r="BX95" s="207"/>
      <c r="BY95" s="207"/>
      <c r="BZ95" s="207"/>
      <c r="CA95" s="30"/>
      <c r="CB95" s="30"/>
      <c r="CC95" s="30"/>
      <c r="CD95" s="30"/>
      <c r="CE95" s="30"/>
      <c r="CF95" s="30"/>
      <c r="CG95" s="30"/>
      <c r="CH95" s="30"/>
      <c r="CI95" s="30"/>
      <c r="CJ95" s="30"/>
      <c r="CK95" s="32"/>
      <c r="CL95" s="32"/>
      <c r="CM95" s="32"/>
      <c r="CN95" s="32"/>
      <c r="CO95" s="32"/>
      <c r="CP95" s="32"/>
      <c r="CQ95" s="32"/>
      <c r="CR95" s="32"/>
      <c r="CS95" s="32"/>
      <c r="CT95" s="32"/>
      <c r="CU95" s="32"/>
      <c r="CV95" s="31"/>
      <c r="CW95" s="30"/>
      <c r="CX95" s="30"/>
      <c r="CY95" s="30"/>
      <c r="CZ95" s="15"/>
      <c r="DA95" s="15"/>
      <c r="DB95" s="15"/>
      <c r="DC95" s="15"/>
      <c r="DD95" s="15"/>
      <c r="DE95" s="15"/>
      <c r="DF95" s="15"/>
    </row>
    <row r="96" spans="1:110" ht="12" outlineLevel="1">
      <c r="A96" s="1" t="s">
        <v>986</v>
      </c>
      <c r="B96" s="15" t="s">
        <v>565</v>
      </c>
      <c r="C96" s="209" t="e">
        <v>#DIV/0!</v>
      </c>
      <c r="D96" s="209">
        <v>6.8898905344494527E-2</v>
      </c>
      <c r="E96" s="209">
        <v>4.6894803548795945E-2</v>
      </c>
      <c r="F96" s="209">
        <v>3.7189884351456405E-2</v>
      </c>
      <c r="G96" s="209">
        <v>3.1700744967506737E-2</v>
      </c>
      <c r="H96" s="209">
        <v>3.4261689623934402E-2</v>
      </c>
      <c r="I96" s="209">
        <v>2.7513481605986934E-2</v>
      </c>
      <c r="J96" s="209">
        <v>2.0215724239551841E-2</v>
      </c>
      <c r="K96" s="209">
        <v>2.2982082987851041E-2</v>
      </c>
      <c r="L96" s="209">
        <v>2.6902366106489977E-2</v>
      </c>
      <c r="M96" s="32">
        <v>3.1662135463280366E-2</v>
      </c>
      <c r="N96" s="32">
        <v>3.6699791626738656E-2</v>
      </c>
      <c r="O96" s="32">
        <v>4.4994106966521195E-2</v>
      </c>
      <c r="P96" s="32">
        <v>4.1513639661607732E-2</v>
      </c>
      <c r="Q96" s="32">
        <v>6.288991748842826E-2</v>
      </c>
      <c r="R96" s="32">
        <v>6.5036600384684576E-2</v>
      </c>
      <c r="S96" s="32">
        <v>6.9981861203688017E-2</v>
      </c>
      <c r="T96" s="32">
        <v>8.6922481790973005E-2</v>
      </c>
      <c r="U96" s="32">
        <v>9.5208845208845205E-2</v>
      </c>
      <c r="V96" s="32">
        <v>7.4282649503888437E-2</v>
      </c>
      <c r="W96" s="32">
        <v>9.1405861897665183E-2</v>
      </c>
      <c r="X96" s="32">
        <v>8.106079559669753E-2</v>
      </c>
      <c r="Y96" s="32">
        <v>0.11178320832325188</v>
      </c>
      <c r="Z96" s="32">
        <v>6.9049355701434473E-2</v>
      </c>
      <c r="AA96" s="139">
        <v>0.12265084075173097</v>
      </c>
      <c r="AB96" s="209">
        <v>8.5924519344884875E-2</v>
      </c>
      <c r="AC96" s="209">
        <v>9.6826878208119457E-2</v>
      </c>
      <c r="AD96" s="209">
        <v>7.8229772016092977E-2</v>
      </c>
      <c r="AE96" s="209">
        <v>9.9283076254616548E-2</v>
      </c>
      <c r="AF96" s="209">
        <v>4.37696335078534E-2</v>
      </c>
      <c r="AG96" s="209">
        <v>4.0451895043731777E-2</v>
      </c>
      <c r="AH96" s="209">
        <v>3.4740456473439707E-2</v>
      </c>
      <c r="AI96" s="209">
        <v>5.1704925339870735E-2</v>
      </c>
      <c r="AJ96" s="209">
        <v>4.4196428571428574E-2</v>
      </c>
      <c r="AK96" s="209">
        <v>4.3594902749832326E-2</v>
      </c>
      <c r="AL96" s="209">
        <v>4.0381493506493504E-2</v>
      </c>
      <c r="AM96" s="209">
        <v>5.0859106529209622E-2</v>
      </c>
      <c r="AN96" s="209">
        <v>3.8461538461538464E-2</v>
      </c>
      <c r="AO96" s="209">
        <v>4.2128121606948968E-2</v>
      </c>
      <c r="AP96" s="209">
        <v>3.2649644202595231E-2</v>
      </c>
      <c r="AQ96" s="209">
        <v>4.4622936189201247E-2</v>
      </c>
      <c r="AR96" s="209">
        <v>3.3924272269643251E-2</v>
      </c>
      <c r="AS96" s="209">
        <v>3.3395950740972659E-2</v>
      </c>
      <c r="AT96" s="209">
        <v>2.9866332497911444E-2</v>
      </c>
      <c r="AU96" s="209">
        <v>3.982389433660196E-2</v>
      </c>
      <c r="AV96" s="208">
        <v>2.8393621159082068E-2</v>
      </c>
      <c r="AW96" s="347">
        <v>0.03</v>
      </c>
      <c r="AX96" s="347">
        <v>0.03</v>
      </c>
      <c r="AY96" s="347">
        <v>0.03</v>
      </c>
      <c r="AZ96" s="347">
        <v>0.03</v>
      </c>
      <c r="BA96" s="347">
        <v>0.03</v>
      </c>
      <c r="BB96" s="347">
        <v>0.03</v>
      </c>
      <c r="BC96" s="347">
        <v>0.03</v>
      </c>
      <c r="BD96" s="347">
        <v>0.03</v>
      </c>
      <c r="BE96" s="347">
        <v>0.03</v>
      </c>
      <c r="BF96" s="347">
        <v>0.03</v>
      </c>
      <c r="BG96" s="347">
        <v>0.03</v>
      </c>
      <c r="BH96" s="347">
        <v>0.03</v>
      </c>
      <c r="BI96" s="347">
        <v>0.03</v>
      </c>
      <c r="BJ96" s="347">
        <v>0.03</v>
      </c>
      <c r="BK96" s="347">
        <v>0.03</v>
      </c>
      <c r="BL96" s="347">
        <v>0.03</v>
      </c>
      <c r="BM96" s="347">
        <v>0.03</v>
      </c>
      <c r="BN96" s="347">
        <v>0.03</v>
      </c>
      <c r="BO96" s="347">
        <v>0.03</v>
      </c>
      <c r="BP96" s="30"/>
      <c r="BQ96" s="209" t="e">
        <v>#DIV/0!</v>
      </c>
      <c r="BR96" s="209">
        <v>0</v>
      </c>
      <c r="BS96" s="209">
        <v>0</v>
      </c>
      <c r="BT96" s="209">
        <v>0</v>
      </c>
      <c r="BU96" s="209">
        <v>0</v>
      </c>
      <c r="BV96" s="209">
        <v>0</v>
      </c>
      <c r="BW96" s="209">
        <v>0</v>
      </c>
      <c r="BX96" s="209">
        <v>0</v>
      </c>
      <c r="BY96" s="209">
        <v>0</v>
      </c>
      <c r="BZ96" s="209">
        <v>5.6026650514839488E-2</v>
      </c>
      <c r="CA96" s="32">
        <v>5.8861788617886178E-2</v>
      </c>
      <c r="CB96" s="32">
        <v>3.5745981658613549E-2</v>
      </c>
      <c r="CC96" s="32">
        <v>3.3280104627978056E-2</v>
      </c>
      <c r="CD96" s="32">
        <v>2.2721839711621984E-2</v>
      </c>
      <c r="CE96" s="32">
        <v>3.0284609008013264E-2</v>
      </c>
      <c r="CF96" s="32">
        <v>4.2106660526976265E-2</v>
      </c>
      <c r="CG96" s="32">
        <v>5.5156347029849999E-2</v>
      </c>
      <c r="CH96" s="32">
        <v>7.2444353570748701E-2</v>
      </c>
      <c r="CI96" s="32">
        <v>9.205683265405136E-2</v>
      </c>
      <c r="CJ96" s="32">
        <v>9.234073013600573E-2</v>
      </c>
      <c r="CK96" s="32">
        <v>9.7968341019568736E-2</v>
      </c>
      <c r="CL96" s="32">
        <v>9.4591317002182873E-2</v>
      </c>
      <c r="CM96" s="32">
        <v>9.4101974082596587E-2</v>
      </c>
      <c r="CN96" s="32">
        <v>9.2123287671232873E-2</v>
      </c>
      <c r="CO96" s="32">
        <v>4.5958626572830029E-2</v>
      </c>
      <c r="CP96" s="32">
        <v>3.8701025002394862E-2</v>
      </c>
      <c r="CQ96" s="32">
        <v>4.3827367012378722E-2</v>
      </c>
      <c r="CR96" s="32">
        <v>4.4782469950005316E-2</v>
      </c>
      <c r="CS96" s="32">
        <v>4.1340535773343623E-2</v>
      </c>
      <c r="CT96" s="32">
        <v>3.7940957049984014E-2</v>
      </c>
      <c r="CU96" s="32">
        <v>3.4802784222737818E-2</v>
      </c>
      <c r="CV96" s="31">
        <v>3.5703100532414656E-2</v>
      </c>
      <c r="CW96" s="32">
        <v>2.9830358023473714E-2</v>
      </c>
      <c r="CX96" s="32">
        <v>3.1655717579265857E-2</v>
      </c>
      <c r="CY96" s="32">
        <v>3.0176697891465182E-2</v>
      </c>
      <c r="CZ96" s="32">
        <v>3.0311811973921653E-2</v>
      </c>
      <c r="DA96" s="32">
        <v>3.0352861528488748E-2</v>
      </c>
      <c r="DB96" s="32">
        <v>3.0381413517882695E-2</v>
      </c>
      <c r="DC96" s="32">
        <v>3.0393820644967224E-2</v>
      </c>
      <c r="DD96" s="32">
        <v>3.0733833457201522E-2</v>
      </c>
      <c r="DE96" s="32">
        <v>3.0791951400776424E-2</v>
      </c>
      <c r="DF96" s="32">
        <v>3.0593973561254345E-2</v>
      </c>
    </row>
    <row r="97" spans="1:110" ht="12" outlineLevel="1">
      <c r="A97" s="1" t="s">
        <v>987</v>
      </c>
      <c r="B97" s="15" t="s">
        <v>566</v>
      </c>
      <c r="C97" s="46">
        <v>9.9502634351949411</v>
      </c>
      <c r="D97" s="46">
        <v>7.1054794520547944</v>
      </c>
      <c r="E97" s="46">
        <v>7.7133825079030558</v>
      </c>
      <c r="F97" s="46">
        <v>5.8622732321362463</v>
      </c>
      <c r="G97" s="46">
        <v>4.9918999404407387</v>
      </c>
      <c r="H97" s="46">
        <v>3.6190476190476191</v>
      </c>
      <c r="I97" s="46">
        <v>3.3219696969696968</v>
      </c>
      <c r="J97" s="46">
        <v>3.6347512617159334</v>
      </c>
      <c r="K97" s="46">
        <v>3.0826412671232877</v>
      </c>
      <c r="L97" s="46">
        <v>3.3941840903628933</v>
      </c>
      <c r="M97" s="46">
        <v>3.461211247296323</v>
      </c>
      <c r="N97" s="46">
        <v>3.5333963155408599</v>
      </c>
      <c r="O97" s="46">
        <v>3.4743364726027397</v>
      </c>
      <c r="P97" s="46">
        <v>3.9153225806451615</v>
      </c>
      <c r="Q97" s="46">
        <v>4.8050847457627119</v>
      </c>
      <c r="R97" s="46">
        <v>4.0491170160092427</v>
      </c>
      <c r="S97" s="46">
        <v>5.1178793808930791</v>
      </c>
      <c r="T97" s="46">
        <v>5.458840395030264</v>
      </c>
      <c r="U97" s="46">
        <v>4.6635684365447752</v>
      </c>
      <c r="V97" s="46">
        <v>5.2437907028969235</v>
      </c>
      <c r="W97" s="46">
        <v>5.7657534246575342</v>
      </c>
      <c r="X97" s="46">
        <v>5.5250000000000004</v>
      </c>
      <c r="Y97" s="46">
        <v>5.1544117647058822</v>
      </c>
      <c r="Z97" s="46">
        <v>4.9849239385453714</v>
      </c>
      <c r="AA97" s="46">
        <v>4.997565441475655</v>
      </c>
      <c r="AB97" s="46">
        <v>5.4752021383227536</v>
      </c>
      <c r="AC97" s="46">
        <v>5.5184714560218184</v>
      </c>
      <c r="AD97" s="46">
        <v>4.8761171822892617</v>
      </c>
      <c r="AE97" s="46">
        <v>5.0884483188044829</v>
      </c>
      <c r="AF97" s="46">
        <v>5.2469387755102037</v>
      </c>
      <c r="AG97" s="46">
        <v>4.363725490196078</v>
      </c>
      <c r="AH97" s="46">
        <v>3.4929549902152641</v>
      </c>
      <c r="AI97" s="46">
        <v>3.4901632714957285</v>
      </c>
      <c r="AJ97" s="46">
        <v>3.2215765612050893</v>
      </c>
      <c r="AK97" s="46">
        <v>2.7819063926940641</v>
      </c>
      <c r="AL97" s="46">
        <v>2.7592846270928466</v>
      </c>
      <c r="AM97" s="46">
        <v>2.545634530886534</v>
      </c>
      <c r="AN97" s="46">
        <v>2.6825726141078836</v>
      </c>
      <c r="AO97" s="46">
        <v>2.627853881278539</v>
      </c>
      <c r="AP97" s="46">
        <v>2.1400435063789756</v>
      </c>
      <c r="AQ97" s="46">
        <v>2.3958495195256591</v>
      </c>
      <c r="AR97" s="46">
        <v>2.4852359208523591</v>
      </c>
      <c r="AS97" s="46">
        <v>2.4529385771100309</v>
      </c>
      <c r="AT97" s="46">
        <v>2.7118749474745778</v>
      </c>
      <c r="AU97" s="46">
        <v>2.867707878893639</v>
      </c>
      <c r="AV97" s="213">
        <v>3.0198675496688741</v>
      </c>
      <c r="AW97" s="214">
        <v>3.0198675496688741</v>
      </c>
      <c r="AX97" s="214">
        <v>3.0198675496688741</v>
      </c>
      <c r="AY97" s="214">
        <v>3.0198675496688741</v>
      </c>
      <c r="AZ97" s="214">
        <v>3.0198675496688741</v>
      </c>
      <c r="BA97" s="214">
        <v>3.0198675496688741</v>
      </c>
      <c r="BB97" s="214">
        <v>3.0198675496688741</v>
      </c>
      <c r="BC97" s="214">
        <v>3.0198675496688741</v>
      </c>
      <c r="BD97" s="214">
        <v>3.0198675496688741</v>
      </c>
      <c r="BE97" s="214">
        <v>3.0198675496688741</v>
      </c>
      <c r="BF97" s="214">
        <v>3.0198675496688741</v>
      </c>
      <c r="BG97" s="214">
        <v>3.0198675496688741</v>
      </c>
      <c r="BH97" s="214">
        <v>3.0198675496688741</v>
      </c>
      <c r="BI97" s="214">
        <v>3.0198675496688741</v>
      </c>
      <c r="BJ97" s="214">
        <v>3.0198675496688741</v>
      </c>
      <c r="BK97" s="214">
        <v>3.0198675496688741</v>
      </c>
      <c r="BL97" s="214">
        <v>3.0198675496688741</v>
      </c>
      <c r="BM97" s="214">
        <v>3.0198675496688741</v>
      </c>
      <c r="BN97" s="214">
        <v>3.0198675496688741</v>
      </c>
      <c r="BO97" s="214">
        <v>3.0198675496688741</v>
      </c>
      <c r="BP97" s="30"/>
      <c r="BQ97" s="46" t="e">
        <v>#DIV/0!</v>
      </c>
      <c r="BR97" s="46" t="e">
        <v>#DIV/0!</v>
      </c>
      <c r="BS97" s="46" t="e">
        <v>#DIV/0!</v>
      </c>
      <c r="BT97" s="46" t="e">
        <v>#DIV/0!</v>
      </c>
      <c r="BU97" s="46" t="e">
        <v>#DIV/0!</v>
      </c>
      <c r="BV97" s="46" t="e">
        <v>#DIV/0!</v>
      </c>
      <c r="BW97" s="46" t="e">
        <v>#DIV/0!</v>
      </c>
      <c r="BX97" s="46" t="e">
        <v>#DIV/0!</v>
      </c>
      <c r="BY97" s="46" t="e">
        <v>#DIV/0!</v>
      </c>
      <c r="BZ97" s="46">
        <v>12.431818181818182</v>
      </c>
      <c r="CA97" s="46">
        <v>8</v>
      </c>
      <c r="CB97" s="46">
        <v>5.5180722891566267</v>
      </c>
      <c r="CC97" s="46">
        <v>3.3992248062015502</v>
      </c>
      <c r="CD97" s="46">
        <v>3.2520661157024793</v>
      </c>
      <c r="CE97" s="46">
        <v>3.4517543859649122</v>
      </c>
      <c r="CF97" s="46">
        <v>3.6352459016393444</v>
      </c>
      <c r="CG97" s="46">
        <v>4.4917355371900829</v>
      </c>
      <c r="CH97" s="46">
        <v>4.6062500000000002</v>
      </c>
      <c r="CI97" s="46">
        <v>4.9903381642512077</v>
      </c>
      <c r="CJ97" s="46">
        <v>5.6004016064257032</v>
      </c>
      <c r="CK97" s="46">
        <v>5.2093749999999996</v>
      </c>
      <c r="CL97" s="46">
        <v>5.1331592689295036</v>
      </c>
      <c r="CM97" s="46">
        <v>5.5199530516431921</v>
      </c>
      <c r="CN97" s="46">
        <v>5.0055350553505535</v>
      </c>
      <c r="CO97" s="46">
        <v>5.0949999999999998</v>
      </c>
      <c r="CP97" s="46">
        <v>3.591150442477876</v>
      </c>
      <c r="CQ97" s="46">
        <v>2.8796133567662565</v>
      </c>
      <c r="CR97" s="46">
        <v>2.653771760154739</v>
      </c>
      <c r="CS97" s="46">
        <v>2.5673913043478263</v>
      </c>
      <c r="CT97" s="46">
        <v>2.302995391705069</v>
      </c>
      <c r="CU97" s="46">
        <v>2.4746666666666668</v>
      </c>
      <c r="CV97" s="213">
        <v>2.8359375</v>
      </c>
      <c r="CW97" s="46">
        <v>3.0706327014143215</v>
      </c>
      <c r="CX97" s="46">
        <v>3.0268427716087971</v>
      </c>
      <c r="CY97" s="46">
        <v>3.0184347268837866</v>
      </c>
      <c r="CZ97" s="46">
        <v>3.0190510926785117</v>
      </c>
      <c r="DA97" s="46">
        <v>3.0199330038123726</v>
      </c>
      <c r="DB97" s="46">
        <v>3.0192493108878171</v>
      </c>
      <c r="DC97" s="46">
        <v>3.0180857903418747</v>
      </c>
      <c r="DD97" s="46">
        <v>3.020430587416072</v>
      </c>
      <c r="DE97" s="46">
        <v>3.0214347346790631</v>
      </c>
      <c r="DF97" s="46">
        <v>3.0195806905557201</v>
      </c>
    </row>
    <row r="98" spans="1:110" ht="12" outlineLevel="1">
      <c r="A98" s="1" t="s">
        <v>567</v>
      </c>
      <c r="B98" s="15" t="s">
        <v>645</v>
      </c>
      <c r="C98" s="207" t="s">
        <v>215</v>
      </c>
      <c r="D98" s="207" t="s">
        <v>215</v>
      </c>
      <c r="E98" s="207" t="s">
        <v>215</v>
      </c>
      <c r="F98" s="207">
        <v>7.9486692015209082E-2</v>
      </c>
      <c r="G98" s="207">
        <v>3.2943039493257942E-2</v>
      </c>
      <c r="H98" s="207">
        <v>0.17352635564713537</v>
      </c>
      <c r="I98" s="207">
        <v>0.29264709298274139</v>
      </c>
      <c r="J98" s="207">
        <v>0.11010395093595848</v>
      </c>
      <c r="K98" s="207">
        <v>3.5328101204407991E-2</v>
      </c>
      <c r="L98" s="207">
        <v>6.7432135260824255E-2</v>
      </c>
      <c r="M98" s="30">
        <v>6.4088378611750985E-2</v>
      </c>
      <c r="N98" s="30">
        <v>6.0234046505344585E-2</v>
      </c>
      <c r="O98" s="30">
        <v>9.0318187193404009E-2</v>
      </c>
      <c r="P98" s="30">
        <v>0.10798585671965077</v>
      </c>
      <c r="Q98" s="30">
        <v>8.1104936009155359E-2</v>
      </c>
      <c r="R98" s="30">
        <v>0.14514992956329253</v>
      </c>
      <c r="S98" s="30">
        <v>0.12232069962776926</v>
      </c>
      <c r="T98" s="32">
        <v>2.1797937574924431E-2</v>
      </c>
      <c r="U98" s="30">
        <v>0.14941111559765363</v>
      </c>
      <c r="V98" s="30">
        <v>0.2364864864864864</v>
      </c>
      <c r="W98" s="30">
        <v>7.1869133816036435E-2</v>
      </c>
      <c r="X98" s="30">
        <v>2.6577247888723399E-2</v>
      </c>
      <c r="Y98" s="32">
        <v>2.9021766324743625E-2</v>
      </c>
      <c r="Z98" s="32">
        <v>-2.1533994676990131E-2</v>
      </c>
      <c r="AA98" s="139">
        <v>2.4313153415998157E-2</v>
      </c>
      <c r="AB98" s="209">
        <v>5.9841740850642866E-2</v>
      </c>
      <c r="AC98" s="209">
        <v>6.1951103726560541E-2</v>
      </c>
      <c r="AD98" s="209">
        <v>7.3961735884274349E-2</v>
      </c>
      <c r="AE98" s="209">
        <v>6.7277603933839858E-2</v>
      </c>
      <c r="AF98" s="209">
        <v>0.19226591353465139</v>
      </c>
      <c r="AG98" s="209">
        <v>3.6858638743455518E-2</v>
      </c>
      <c r="AH98" s="209">
        <v>-0.18239795918367352</v>
      </c>
      <c r="AI98" s="209">
        <v>-9.5132296505756386E-2</v>
      </c>
      <c r="AJ98" s="209">
        <v>-3.1201248049922414E-3</v>
      </c>
      <c r="AK98" s="209">
        <v>0.10000000000000009</v>
      </c>
      <c r="AL98" s="209">
        <v>-2.4144869215291798E-2</v>
      </c>
      <c r="AM98" s="209">
        <v>-4.504870129870131E-2</v>
      </c>
      <c r="AN98" s="209">
        <v>5.4982817869415834E-2</v>
      </c>
      <c r="AO98" s="209">
        <v>1.5299617509562324E-2</v>
      </c>
      <c r="AP98" s="209">
        <v>-2.6710097719869652E-2</v>
      </c>
      <c r="AQ98" s="209">
        <v>-4.3742151527835893E-2</v>
      </c>
      <c r="AR98" s="209">
        <v>6.8942436412315899E-2</v>
      </c>
      <c r="AS98" s="209">
        <v>4.7931713722915381E-2</v>
      </c>
      <c r="AT98" s="209">
        <v>4.2997286579002258E-2</v>
      </c>
      <c r="AU98" s="209">
        <v>7.3934837092731742E-2</v>
      </c>
      <c r="AV98" s="208">
        <v>4.3626175705423265E-2</v>
      </c>
      <c r="AW98" s="207">
        <v>5.478563548324078E-2</v>
      </c>
      <c r="AX98" s="207">
        <v>0.11258993558265784</v>
      </c>
      <c r="AY98" s="207">
        <v>7.5265066854271145E-2</v>
      </c>
      <c r="AZ98" s="207">
        <v>1.1810076685132787E-2</v>
      </c>
      <c r="BA98" s="207">
        <v>1.710963119771125E-2</v>
      </c>
      <c r="BB98" s="207">
        <v>2.0895506665725039E-2</v>
      </c>
      <c r="BC98" s="207">
        <v>2.2574532609177078E-2</v>
      </c>
      <c r="BD98" s="207">
        <v>2.3665912820010515E-2</v>
      </c>
      <c r="BE98" s="207">
        <v>2.5025145215203048E-2</v>
      </c>
      <c r="BF98" s="207">
        <v>2.5597938495689254E-2</v>
      </c>
      <c r="BG98" s="207">
        <v>3.4632830842802775E-2</v>
      </c>
      <c r="BH98" s="207">
        <v>2.6547816017785886E-2</v>
      </c>
      <c r="BI98" s="207">
        <v>2.9606577686582369E-2</v>
      </c>
      <c r="BJ98" s="207">
        <v>4.9542909128181378E-2</v>
      </c>
      <c r="BK98" s="207">
        <v>4.8937942331447548E-2</v>
      </c>
      <c r="BL98" s="207">
        <v>5.3450992655617258E-2</v>
      </c>
      <c r="BM98" s="207">
        <v>4.7418575725883372E-2</v>
      </c>
      <c r="BN98" s="207">
        <v>3.9972733869503285E-2</v>
      </c>
      <c r="BO98" s="207">
        <v>3.3835892982346794E-2</v>
      </c>
      <c r="BP98" s="30"/>
      <c r="BQ98" s="207" t="e">
        <v>#DIV/0!</v>
      </c>
      <c r="BR98" s="207">
        <v>-6.1580054070291323E-2</v>
      </c>
      <c r="BS98" s="207">
        <v>-3.937259923175418E-2</v>
      </c>
      <c r="BT98" s="207">
        <v>3.8320559813395549E-2</v>
      </c>
      <c r="BU98" s="207">
        <v>9.0179717586649444E-2</v>
      </c>
      <c r="BV98" s="207">
        <v>3.0909626140712465E-2</v>
      </c>
      <c r="BW98" s="207">
        <v>-1.7133066818960541E-2</v>
      </c>
      <c r="BX98" s="207">
        <v>-4.1255084253341123E-2</v>
      </c>
      <c r="BY98" s="207">
        <v>6.0606060606049894E-4</v>
      </c>
      <c r="BZ98" s="207">
        <v>-6.8746214415505769E-2</v>
      </c>
      <c r="CA98" s="30">
        <v>5.5323577235772303E-2</v>
      </c>
      <c r="CB98" s="30">
        <v>5.5575756828715184E-2</v>
      </c>
      <c r="CC98" s="30">
        <v>0.2334103057390664</v>
      </c>
      <c r="CD98" s="30">
        <v>7.0707524952603684E-2</v>
      </c>
      <c r="CE98" s="30">
        <v>6.5728654324399116E-2</v>
      </c>
      <c r="CF98" s="30">
        <v>7.5536859921718991E-2</v>
      </c>
      <c r="CG98" s="30">
        <v>9.4124499060799227E-2</v>
      </c>
      <c r="CH98" s="30">
        <v>0.1335179401126676</v>
      </c>
      <c r="CI98" s="30">
        <v>8.6177324473899919E-2</v>
      </c>
      <c r="CJ98" s="30">
        <v>0.14860415175375796</v>
      </c>
      <c r="CK98" s="32">
        <v>2.7795089118783478E-2</v>
      </c>
      <c r="CL98" s="32">
        <v>1.3339801115692662E-3</v>
      </c>
      <c r="CM98" s="32">
        <v>6.0918008962092873E-2</v>
      </c>
      <c r="CN98" s="32">
        <v>7.0547945205479357E-2</v>
      </c>
      <c r="CO98" s="32">
        <v>0.11313712945190879</v>
      </c>
      <c r="CP98" s="32">
        <v>-0.14100967525625063</v>
      </c>
      <c r="CQ98" s="32">
        <v>4.8399687743950093E-2</v>
      </c>
      <c r="CR98" s="32">
        <v>-3.5102648654398494E-2</v>
      </c>
      <c r="CS98" s="32">
        <v>3.4395325763421969E-2</v>
      </c>
      <c r="CT98" s="32">
        <v>-3.5383139720771561E-2</v>
      </c>
      <c r="CU98" s="32">
        <v>5.8336095459065263E-2</v>
      </c>
      <c r="CV98" s="31">
        <v>5.8461217246059016E-2</v>
      </c>
      <c r="CW98" s="30">
        <v>4.9285702500722284E-2</v>
      </c>
      <c r="CX98" s="30">
        <v>9.3561385845119194E-2</v>
      </c>
      <c r="CY98" s="30">
        <v>1.4466633659695693E-2</v>
      </c>
      <c r="CZ98" s="30">
        <v>2.1739360400356178E-2</v>
      </c>
      <c r="DA98" s="30">
        <v>2.4349601414876076E-2</v>
      </c>
      <c r="DB98" s="30">
        <v>3.0145451160015213E-2</v>
      </c>
      <c r="DC98" s="30">
        <v>2.8094082280306854E-2</v>
      </c>
      <c r="DD98" s="30">
        <v>4.9236636186768656E-2</v>
      </c>
      <c r="DE98" s="30">
        <v>5.0397866224970889E-2</v>
      </c>
      <c r="DF98" s="30">
        <v>3.6875566015883043E-2</v>
      </c>
    </row>
    <row r="99" spans="1:110" ht="12" outlineLevel="1">
      <c r="A99" s="1" t="s">
        <v>568</v>
      </c>
      <c r="B99" s="15" t="s">
        <v>474</v>
      </c>
      <c r="C99" s="207">
        <v>0.4724672954061454</v>
      </c>
      <c r="D99" s="207">
        <v>0.46769413159454654</v>
      </c>
      <c r="E99" s="207">
        <v>0.47166133362756996</v>
      </c>
      <c r="F99" s="207">
        <v>0.47404012322488537</v>
      </c>
      <c r="G99" s="207">
        <v>0.46077730951903134</v>
      </c>
      <c r="H99" s="207">
        <v>0.47706461428315733</v>
      </c>
      <c r="I99" s="207">
        <v>0.48637552466957551</v>
      </c>
      <c r="J99" s="207">
        <v>0.47759266712149218</v>
      </c>
      <c r="K99" s="207">
        <v>0.47358881781062045</v>
      </c>
      <c r="L99" s="207">
        <v>0.4691004004293427</v>
      </c>
      <c r="M99" s="30">
        <v>0.46436937013703872</v>
      </c>
      <c r="N99" s="30">
        <v>0.45544295900824772</v>
      </c>
      <c r="O99" s="30">
        <v>0.46309616387156444</v>
      </c>
      <c r="P99" s="30">
        <v>0.4460295350466203</v>
      </c>
      <c r="Q99" s="30">
        <v>0.47884547531212879</v>
      </c>
      <c r="R99" s="30">
        <v>0.52092161016949157</v>
      </c>
      <c r="S99" s="30">
        <v>0.3968351240801628</v>
      </c>
      <c r="T99" s="32">
        <v>0.42467718794835008</v>
      </c>
      <c r="U99" s="30">
        <v>0.45107052134994557</v>
      </c>
      <c r="V99" s="30">
        <v>0.47320169252468264</v>
      </c>
      <c r="W99" s="30">
        <v>0.47713978751342961</v>
      </c>
      <c r="X99" s="30">
        <v>0.47396788990825689</v>
      </c>
      <c r="Y99" s="32">
        <v>0.45059158632778262</v>
      </c>
      <c r="Z99" s="32">
        <v>0.44478662560492743</v>
      </c>
      <c r="AA99" s="139">
        <v>0.45305946876008174</v>
      </c>
      <c r="AB99" s="209">
        <v>0.44331816301199833</v>
      </c>
      <c r="AC99" s="209">
        <v>0.45146316851664986</v>
      </c>
      <c r="AD99" s="209">
        <v>0.45149583128984794</v>
      </c>
      <c r="AE99" s="209">
        <v>0.46170953393927672</v>
      </c>
      <c r="AF99" s="209">
        <v>0.53152542372881351</v>
      </c>
      <c r="AG99" s="209">
        <v>0.48213068458467234</v>
      </c>
      <c r="AH99" s="209">
        <v>0.44977947072975138</v>
      </c>
      <c r="AI99" s="209">
        <v>0.45528455284552843</v>
      </c>
      <c r="AJ99" s="209">
        <v>0.45319148936170212</v>
      </c>
      <c r="AK99" s="209">
        <v>0.51890070548594291</v>
      </c>
      <c r="AL99" s="209">
        <v>0.44787605171352352</v>
      </c>
      <c r="AM99" s="209">
        <v>0.50694818485403426</v>
      </c>
      <c r="AN99" s="209">
        <v>0.53677584800093248</v>
      </c>
      <c r="AO99" s="209">
        <v>0.52087648533740327</v>
      </c>
      <c r="AP99" s="209">
        <v>0.53211444853377654</v>
      </c>
      <c r="AQ99" s="209">
        <v>0.50631648936170215</v>
      </c>
      <c r="AR99" s="209">
        <v>0.53542691104157358</v>
      </c>
      <c r="AS99" s="209">
        <v>0.49880195853734766</v>
      </c>
      <c r="AT99" s="209">
        <v>0.47409867172675524</v>
      </c>
      <c r="AU99" s="209">
        <v>0.49609261939218524</v>
      </c>
      <c r="AV99" s="208">
        <v>0.50401082439354405</v>
      </c>
      <c r="AW99" s="207">
        <v>0.52077405435479529</v>
      </c>
      <c r="AX99" s="207">
        <v>0.51451326163229072</v>
      </c>
      <c r="AY99" s="207">
        <v>0.5168940198225912</v>
      </c>
      <c r="AZ99" s="207">
        <v>0.51260291237023381</v>
      </c>
      <c r="BA99" s="207">
        <v>0.52106893192441983</v>
      </c>
      <c r="BB99" s="207">
        <v>0.51248220807035005</v>
      </c>
      <c r="BC99" s="207">
        <v>0.52311629167544149</v>
      </c>
      <c r="BD99" s="207">
        <v>0.50904934636413768</v>
      </c>
      <c r="BE99" s="207">
        <v>0.51804987181716755</v>
      </c>
      <c r="BF99" s="207">
        <v>0.50331316551223682</v>
      </c>
      <c r="BG99" s="207">
        <v>0.51302442024115946</v>
      </c>
      <c r="BH99" s="207">
        <v>0.49575191666025431</v>
      </c>
      <c r="BI99" s="207">
        <v>0.50486842946219135</v>
      </c>
      <c r="BJ99" s="207">
        <v>0.49539577400341483</v>
      </c>
      <c r="BK99" s="207">
        <v>0.5049108119524216</v>
      </c>
      <c r="BL99" s="207">
        <v>0.49619227046116748</v>
      </c>
      <c r="BM99" s="207">
        <v>0.50495139748324047</v>
      </c>
      <c r="BN99" s="207">
        <v>0.49600977016292319</v>
      </c>
      <c r="BO99" s="207">
        <v>0.50574068865259869</v>
      </c>
      <c r="BP99" s="30"/>
      <c r="BQ99" s="207">
        <v>0.73221159133399316</v>
      </c>
      <c r="BR99" s="207">
        <v>0.70710728836577641</v>
      </c>
      <c r="BS99" s="207">
        <v>0.65424024416830173</v>
      </c>
      <c r="BT99" s="207">
        <v>0.64406779661016944</v>
      </c>
      <c r="BU99" s="207">
        <v>0.6575687185443283</v>
      </c>
      <c r="BV99" s="207">
        <v>0.63133225166756801</v>
      </c>
      <c r="BW99" s="207">
        <v>0.60502724556161014</v>
      </c>
      <c r="BX99" s="207">
        <v>0.54708222811671092</v>
      </c>
      <c r="BY99" s="207">
        <v>0.51723057644110271</v>
      </c>
      <c r="BZ99" s="207">
        <v>0.48001873243833904</v>
      </c>
      <c r="CA99" s="30">
        <v>0.469723835757617</v>
      </c>
      <c r="CB99" s="30">
        <v>0.46727861535355519</v>
      </c>
      <c r="CC99" s="30">
        <v>0.48192527837535104</v>
      </c>
      <c r="CD99" s="30">
        <v>0.47554447806004141</v>
      </c>
      <c r="CE99" s="30">
        <v>0.46668189654588277</v>
      </c>
      <c r="CF99" s="30">
        <v>0.45935753410459013</v>
      </c>
      <c r="CG99" s="30">
        <v>0.46216760919753719</v>
      </c>
      <c r="CH99" s="30">
        <v>0.44994360670786315</v>
      </c>
      <c r="CI99" s="30">
        <v>0.43837077946529435</v>
      </c>
      <c r="CJ99" s="30">
        <v>0.47515546342907905</v>
      </c>
      <c r="CK99" s="32">
        <v>0.46201255042581801</v>
      </c>
      <c r="CL99" s="32">
        <v>0.44896960469795011</v>
      </c>
      <c r="CM99" s="32">
        <v>0.44744100520992952</v>
      </c>
      <c r="CN99" s="32">
        <v>0.45663923649997568</v>
      </c>
      <c r="CO99" s="32">
        <v>0.50689521219772748</v>
      </c>
      <c r="CP99" s="32">
        <v>0.45251312071053695</v>
      </c>
      <c r="CQ99" s="32">
        <v>0.48541333195642072</v>
      </c>
      <c r="CR99" s="32">
        <v>0.47669346786483791</v>
      </c>
      <c r="CS99" s="32">
        <v>0.52856016223524105</v>
      </c>
      <c r="CT99" s="32">
        <v>0.51877113543875741</v>
      </c>
      <c r="CU99" s="32">
        <v>0.51647166657680488</v>
      </c>
      <c r="CV99" s="31">
        <v>0.48500358765845492</v>
      </c>
      <c r="CW99" s="30">
        <v>0.51241977193974408</v>
      </c>
      <c r="CX99" s="30">
        <v>0.51570393872555853</v>
      </c>
      <c r="CY99" s="30">
        <v>0.51682313932887114</v>
      </c>
      <c r="CZ99" s="30">
        <v>0.5177765110089374</v>
      </c>
      <c r="DA99" s="30">
        <v>0.51354012461815801</v>
      </c>
      <c r="DB99" s="30">
        <v>0.50817600690923326</v>
      </c>
      <c r="DC99" s="30">
        <v>0.50032575150310654</v>
      </c>
      <c r="DD99" s="30">
        <v>0.50016627175026196</v>
      </c>
      <c r="DE99" s="30">
        <v>0.50057454810793289</v>
      </c>
      <c r="DF99" s="30">
        <v>0.5008591521892497</v>
      </c>
    </row>
    <row r="100" spans="1:110" ht="12" outlineLevel="1">
      <c r="AA100" s="32"/>
      <c r="AC100" s="15"/>
      <c r="AD100" s="361"/>
      <c r="AE100" s="361"/>
      <c r="AF100" s="361"/>
      <c r="AG100" s="361"/>
      <c r="AH100" s="361"/>
      <c r="AI100" s="361"/>
      <c r="AJ100" s="361"/>
      <c r="AK100" s="361"/>
      <c r="AL100" s="361"/>
      <c r="AM100" s="361"/>
      <c r="AN100" s="361"/>
      <c r="AO100" s="361"/>
      <c r="AP100" s="361"/>
      <c r="AQ100" s="361"/>
      <c r="AR100" s="361"/>
      <c r="AS100" s="361"/>
      <c r="AT100" s="361"/>
      <c r="AU100" s="361"/>
      <c r="AV100" s="406"/>
      <c r="AW100" s="41"/>
      <c r="AX100" s="41"/>
      <c r="AY100" s="41"/>
      <c r="AZ100" s="41"/>
      <c r="BA100" s="361"/>
      <c r="BB100" s="361"/>
      <c r="BC100" s="361"/>
      <c r="BD100" s="361"/>
      <c r="BE100" s="361"/>
      <c r="BF100" s="361"/>
      <c r="BG100" s="361"/>
      <c r="BH100" s="361"/>
      <c r="BI100" s="361"/>
      <c r="BJ100" s="361"/>
      <c r="BK100" s="361"/>
      <c r="BL100" s="361"/>
      <c r="BM100" s="361"/>
      <c r="BN100" s="361"/>
      <c r="BO100" s="361"/>
      <c r="CZ100" s="15"/>
      <c r="DA100" s="15"/>
      <c r="DB100" s="15"/>
      <c r="DC100" s="15"/>
      <c r="DD100" s="15"/>
      <c r="DE100" s="15"/>
      <c r="DF100" s="15"/>
    </row>
    <row r="101" spans="1:110" ht="12" outlineLevel="1">
      <c r="A101" s="1" t="s">
        <v>988</v>
      </c>
      <c r="B101" s="15" t="s">
        <v>569</v>
      </c>
      <c r="C101" s="41">
        <v>213</v>
      </c>
      <c r="D101" s="41">
        <v>303</v>
      </c>
      <c r="E101" s="41">
        <v>381</v>
      </c>
      <c r="F101" s="41">
        <v>419</v>
      </c>
      <c r="G101" s="41">
        <v>451</v>
      </c>
      <c r="H101" s="41">
        <v>465</v>
      </c>
      <c r="I101" s="41">
        <v>447</v>
      </c>
      <c r="J101" s="41">
        <v>430</v>
      </c>
      <c r="K101" s="41">
        <v>401</v>
      </c>
      <c r="L101" s="41">
        <v>386</v>
      </c>
      <c r="M101" s="41">
        <v>390</v>
      </c>
      <c r="N101" s="41">
        <v>397</v>
      </c>
      <c r="O101" s="41">
        <v>425</v>
      </c>
      <c r="P101" s="41">
        <v>462</v>
      </c>
      <c r="Q101" s="41">
        <v>509</v>
      </c>
      <c r="R101" s="41">
        <v>625</v>
      </c>
      <c r="S101" s="41">
        <v>723</v>
      </c>
      <c r="T101" s="41">
        <v>849</v>
      </c>
      <c r="U101" s="41">
        <v>1034</v>
      </c>
      <c r="V101" s="41">
        <v>1217</v>
      </c>
      <c r="W101" s="41">
        <v>1349</v>
      </c>
      <c r="X101" s="41">
        <v>1572</v>
      </c>
      <c r="Y101" s="41">
        <v>1743</v>
      </c>
      <c r="Z101" s="41">
        <v>1762</v>
      </c>
      <c r="AA101" s="41">
        <v>1857</v>
      </c>
      <c r="AB101" s="41">
        <v>2170</v>
      </c>
      <c r="AC101" s="41">
        <v>2332</v>
      </c>
      <c r="AD101" s="41">
        <v>2533</v>
      </c>
      <c r="AE101" s="41">
        <v>2689</v>
      </c>
      <c r="AF101" s="41">
        <v>2893</v>
      </c>
      <c r="AG101" s="41">
        <v>2249</v>
      </c>
      <c r="AH101" s="41">
        <v>2202</v>
      </c>
      <c r="AI101" s="41">
        <v>1917</v>
      </c>
      <c r="AJ101" s="41">
        <v>1856</v>
      </c>
      <c r="AK101" s="41">
        <v>1775</v>
      </c>
      <c r="AL101" s="41">
        <v>1421</v>
      </c>
      <c r="AM101" s="41">
        <v>1368</v>
      </c>
      <c r="AN101" s="41">
        <v>1323</v>
      </c>
      <c r="AO101" s="41">
        <v>1263</v>
      </c>
      <c r="AP101" s="41">
        <v>1039</v>
      </c>
      <c r="AQ101" s="41">
        <v>961</v>
      </c>
      <c r="AR101" s="41">
        <v>960</v>
      </c>
      <c r="AS101" s="41">
        <v>924</v>
      </c>
      <c r="AT101" s="41">
        <v>896</v>
      </c>
      <c r="AU101" s="41">
        <v>877</v>
      </c>
      <c r="AV101" s="211">
        <v>919</v>
      </c>
      <c r="AW101" s="41">
        <v>905</v>
      </c>
      <c r="AX101" s="41">
        <v>952.89407594936711</v>
      </c>
      <c r="AY101" s="41">
        <v>957.85698813443412</v>
      </c>
      <c r="AZ101" s="41">
        <v>971.74201171418486</v>
      </c>
      <c r="BA101" s="41">
        <v>985.14268254051342</v>
      </c>
      <c r="BB101" s="41">
        <v>996.74300632146128</v>
      </c>
      <c r="BC101" s="41">
        <v>1009.0955890937461</v>
      </c>
      <c r="BD101" s="41">
        <v>1020.4220219554085</v>
      </c>
      <c r="BE101" s="41">
        <v>1032.443684449895</v>
      </c>
      <c r="BF101" s="41">
        <v>1044.554859720304</v>
      </c>
      <c r="BG101" s="41">
        <v>1057.532276832266</v>
      </c>
      <c r="BH101" s="41">
        <v>1069.7127606060956</v>
      </c>
      <c r="BI101" s="41">
        <v>1084.8201349236435</v>
      </c>
      <c r="BJ101" s="41">
        <v>1097.4446778066711</v>
      </c>
      <c r="BK101" s="41">
        <v>1113.6000649556943</v>
      </c>
      <c r="BL101" s="41">
        <v>1130.6771874098206</v>
      </c>
      <c r="BM101" s="41">
        <v>1150.2681129281907</v>
      </c>
      <c r="BN101" s="41">
        <v>1172.2480424905411</v>
      </c>
      <c r="BO101" s="41">
        <v>1195.1055283503019</v>
      </c>
      <c r="BQ101" s="41"/>
      <c r="BR101" s="41"/>
      <c r="BS101" s="41"/>
      <c r="BT101" s="41"/>
      <c r="BU101" s="41"/>
      <c r="BV101" s="41"/>
      <c r="BW101" s="41"/>
      <c r="BX101" s="41"/>
      <c r="BY101" s="41"/>
      <c r="BZ101" s="41">
        <v>150</v>
      </c>
      <c r="CA101" s="41">
        <v>381</v>
      </c>
      <c r="CB101" s="41">
        <v>451</v>
      </c>
      <c r="CC101" s="41">
        <v>447</v>
      </c>
      <c r="CD101" s="41">
        <v>401</v>
      </c>
      <c r="CE101" s="41">
        <v>390</v>
      </c>
      <c r="CF101" s="41">
        <v>425</v>
      </c>
      <c r="CG101" s="47">
        <v>462</v>
      </c>
      <c r="CH101" s="41">
        <v>625</v>
      </c>
      <c r="CI101" s="41">
        <v>849</v>
      </c>
      <c r="CJ101" s="41">
        <v>1217</v>
      </c>
      <c r="CK101" s="41">
        <v>1572</v>
      </c>
      <c r="CL101" s="41">
        <v>1762</v>
      </c>
      <c r="CM101" s="41">
        <v>2170</v>
      </c>
      <c r="CN101" s="41">
        <v>2533</v>
      </c>
      <c r="CO101" s="41">
        <v>2893</v>
      </c>
      <c r="CP101" s="41">
        <v>2202</v>
      </c>
      <c r="CQ101" s="41">
        <v>1856</v>
      </c>
      <c r="CR101" s="41">
        <v>1421</v>
      </c>
      <c r="CS101" s="41">
        <v>1323</v>
      </c>
      <c r="CT101" s="41">
        <v>1039</v>
      </c>
      <c r="CU101" s="41">
        <v>960</v>
      </c>
      <c r="CV101" s="211">
        <v>896</v>
      </c>
      <c r="CW101" s="41">
        <v>919</v>
      </c>
      <c r="CX101" s="41">
        <v>952.89407594936711</v>
      </c>
      <c r="CY101" s="41">
        <v>971.74201171418486</v>
      </c>
      <c r="CZ101" s="41">
        <v>996.74300632146128</v>
      </c>
      <c r="DA101" s="41">
        <v>1020.4220219554085</v>
      </c>
      <c r="DB101" s="41">
        <v>1044.554859720304</v>
      </c>
      <c r="DC101" s="41">
        <v>1069.7127606060956</v>
      </c>
      <c r="DD101" s="41">
        <v>1097.4446778066711</v>
      </c>
      <c r="DE101" s="41">
        <v>1130.6771874098206</v>
      </c>
      <c r="DF101" s="41">
        <v>1172.2480424905411</v>
      </c>
    </row>
    <row r="102" spans="1:110" ht="12" outlineLevel="1">
      <c r="A102" s="1" t="s">
        <v>777</v>
      </c>
      <c r="B102" s="15" t="s">
        <v>696</v>
      </c>
      <c r="C102" s="40">
        <v>110</v>
      </c>
      <c r="D102" s="40">
        <v>107</v>
      </c>
      <c r="E102" s="40">
        <v>74</v>
      </c>
      <c r="F102" s="40">
        <v>62</v>
      </c>
      <c r="G102" s="40">
        <v>54</v>
      </c>
      <c r="H102" s="40">
        <v>59</v>
      </c>
      <c r="I102" s="40">
        <v>55</v>
      </c>
      <c r="J102" s="40">
        <v>45</v>
      </c>
      <c r="K102" s="40">
        <v>51</v>
      </c>
      <c r="L102" s="40">
        <v>62</v>
      </c>
      <c r="M102" s="40">
        <v>75</v>
      </c>
      <c r="N102" s="40">
        <v>90</v>
      </c>
      <c r="O102" s="40">
        <v>113</v>
      </c>
      <c r="P102" s="40">
        <v>111</v>
      </c>
      <c r="Q102" s="40">
        <v>175</v>
      </c>
      <c r="R102" s="40">
        <v>188</v>
      </c>
      <c r="S102" s="40">
        <v>223</v>
      </c>
      <c r="T102" s="40">
        <v>282</v>
      </c>
      <c r="U102" s="40">
        <v>310</v>
      </c>
      <c r="V102" s="40">
        <v>277</v>
      </c>
      <c r="W102" s="40">
        <v>368</v>
      </c>
      <c r="X102" s="40">
        <v>324</v>
      </c>
      <c r="Y102" s="40">
        <v>462</v>
      </c>
      <c r="Z102" s="141">
        <v>284</v>
      </c>
      <c r="AA102" s="141">
        <v>496</v>
      </c>
      <c r="AB102" s="141">
        <v>362</v>
      </c>
      <c r="AC102" s="141">
        <v>415</v>
      </c>
      <c r="AD102" s="141">
        <v>350</v>
      </c>
      <c r="AE102" s="141">
        <v>457</v>
      </c>
      <c r="AF102" s="141">
        <v>209</v>
      </c>
      <c r="AG102" s="141">
        <v>222</v>
      </c>
      <c r="AH102" s="141">
        <v>172</v>
      </c>
      <c r="AI102" s="141">
        <v>232</v>
      </c>
      <c r="AJ102" s="141">
        <v>198</v>
      </c>
      <c r="AK102" s="141">
        <v>195</v>
      </c>
      <c r="AL102" s="141">
        <v>199</v>
      </c>
      <c r="AM102" s="141">
        <v>222</v>
      </c>
      <c r="AN102" s="141">
        <v>181</v>
      </c>
      <c r="AO102" s="141">
        <v>194</v>
      </c>
      <c r="AP102" s="141">
        <v>156</v>
      </c>
      <c r="AQ102" s="141">
        <v>200</v>
      </c>
      <c r="AR102" s="141">
        <v>155</v>
      </c>
      <c r="AS102" s="141">
        <v>160</v>
      </c>
      <c r="AT102" s="141">
        <v>143</v>
      </c>
      <c r="AU102" s="141">
        <v>199</v>
      </c>
      <c r="AV102" s="226">
        <v>146</v>
      </c>
      <c r="AW102" s="41">
        <v>156.44999999999999</v>
      </c>
      <c r="AX102" s="41">
        <v>162.71123212964471</v>
      </c>
      <c r="AY102" s="41">
        <v>174.06469542190683</v>
      </c>
      <c r="AZ102" s="41">
        <v>174.95770389382326</v>
      </c>
      <c r="BA102" s="41">
        <v>176.12041282301382</v>
      </c>
      <c r="BB102" s="41">
        <v>177.95116568264496</v>
      </c>
      <c r="BC102" s="41">
        <v>179.80053808312738</v>
      </c>
      <c r="BD102" s="41">
        <v>181.96833007518887</v>
      </c>
      <c r="BE102" s="41">
        <v>184.05568194239365</v>
      </c>
      <c r="BF102" s="41">
        <v>186.52211395988849</v>
      </c>
      <c r="BG102" s="41">
        <v>188.76712796853721</v>
      </c>
      <c r="BH102" s="41">
        <v>192.98190278110329</v>
      </c>
      <c r="BI102" s="41">
        <v>193.77848295205175</v>
      </c>
      <c r="BJ102" s="41">
        <v>198.69543647789652</v>
      </c>
      <c r="BK102" s="41">
        <v>203.37883272394211</v>
      </c>
      <c r="BL102" s="41">
        <v>208.41918228977363</v>
      </c>
      <c r="BM102" s="41">
        <v>214.24963321817754</v>
      </c>
      <c r="BN102" s="41">
        <v>218.30212306790796</v>
      </c>
      <c r="BO102" s="41">
        <v>222.81377678844643</v>
      </c>
      <c r="BQ102" s="40"/>
      <c r="BR102" s="40"/>
      <c r="BS102" s="40"/>
      <c r="BT102" s="40"/>
      <c r="BU102" s="40"/>
      <c r="BV102" s="40"/>
      <c r="BW102" s="40"/>
      <c r="BX102" s="40"/>
      <c r="BY102" s="40"/>
      <c r="BZ102" s="40">
        <v>185</v>
      </c>
      <c r="CA102" s="41">
        <v>181</v>
      </c>
      <c r="CB102" s="41">
        <v>116</v>
      </c>
      <c r="CC102" s="41">
        <v>114</v>
      </c>
      <c r="CD102" s="41">
        <v>96</v>
      </c>
      <c r="CE102" s="41">
        <v>137</v>
      </c>
      <c r="CF102" s="41">
        <v>203</v>
      </c>
      <c r="CG102" s="41">
        <v>286</v>
      </c>
      <c r="CH102" s="41">
        <v>411</v>
      </c>
      <c r="CI102" s="41">
        <v>592</v>
      </c>
      <c r="CJ102" s="41">
        <v>645</v>
      </c>
      <c r="CK102" s="41">
        <v>786</v>
      </c>
      <c r="CL102" s="41">
        <v>780</v>
      </c>
      <c r="CM102" s="41">
        <v>777</v>
      </c>
      <c r="CN102" s="41">
        <v>807</v>
      </c>
      <c r="CO102" s="41">
        <v>431</v>
      </c>
      <c r="CP102" s="41">
        <v>404</v>
      </c>
      <c r="CQ102" s="41">
        <v>393</v>
      </c>
      <c r="CR102" s="41">
        <v>421</v>
      </c>
      <c r="CS102" s="41">
        <v>375</v>
      </c>
      <c r="CT102" s="41">
        <v>356</v>
      </c>
      <c r="CU102" s="41">
        <v>315</v>
      </c>
      <c r="CV102" s="211">
        <v>342</v>
      </c>
      <c r="CW102" s="41">
        <v>302.45</v>
      </c>
      <c r="CX102" s="41">
        <v>336.77592755155155</v>
      </c>
      <c r="CY102" s="41">
        <v>351.07811671683709</v>
      </c>
      <c r="CZ102" s="41">
        <v>357.75170376577233</v>
      </c>
      <c r="DA102" s="41">
        <v>366.02401201758255</v>
      </c>
      <c r="DB102" s="41">
        <v>375.28924192842567</v>
      </c>
      <c r="DC102" s="41">
        <v>386.76038573315503</v>
      </c>
      <c r="DD102" s="41">
        <v>402.07426920183866</v>
      </c>
      <c r="DE102" s="41">
        <v>422.66881550795119</v>
      </c>
      <c r="DF102" s="41">
        <v>441.11589985635442</v>
      </c>
    </row>
    <row r="103" spans="1:110" ht="12" outlineLevel="1">
      <c r="A103" s="1" t="s">
        <v>778</v>
      </c>
      <c r="B103" s="15" t="s">
        <v>697</v>
      </c>
      <c r="C103" s="225">
        <v>-13</v>
      </c>
      <c r="D103" s="225">
        <v>-24</v>
      </c>
      <c r="E103" s="225">
        <v>-26</v>
      </c>
      <c r="F103" s="40">
        <v>-37</v>
      </c>
      <c r="G103" s="40">
        <v>-46</v>
      </c>
      <c r="H103" s="40">
        <v>-63</v>
      </c>
      <c r="I103" s="40">
        <v>-66</v>
      </c>
      <c r="J103" s="40">
        <v>-57</v>
      </c>
      <c r="K103" s="40">
        <v>-64</v>
      </c>
      <c r="L103" s="40">
        <v>-57</v>
      </c>
      <c r="M103" s="40">
        <v>-57</v>
      </c>
      <c r="N103" s="40">
        <v>-58</v>
      </c>
      <c r="O103" s="40">
        <v>-64</v>
      </c>
      <c r="P103" s="40">
        <v>-62</v>
      </c>
      <c r="Q103" s="40">
        <v>-59</v>
      </c>
      <c r="R103" s="40">
        <v>-83</v>
      </c>
      <c r="S103" s="40">
        <v>-77</v>
      </c>
      <c r="T103" s="40">
        <v>-86</v>
      </c>
      <c r="U103" s="40">
        <v>-121</v>
      </c>
      <c r="V103" s="40">
        <v>-122</v>
      </c>
      <c r="W103" s="40">
        <v>-127</v>
      </c>
      <c r="X103" s="40">
        <v>-150</v>
      </c>
      <c r="Y103" s="40">
        <v>-170</v>
      </c>
      <c r="Z103" s="141">
        <v>-181</v>
      </c>
      <c r="AA103" s="141">
        <v>-202</v>
      </c>
      <c r="AB103" s="141">
        <v>-205</v>
      </c>
      <c r="AC103" s="141">
        <v>-221</v>
      </c>
      <c r="AD103" s="141">
        <v>-267</v>
      </c>
      <c r="AE103" s="141">
        <v>-275</v>
      </c>
      <c r="AF103" s="141">
        <v>-245</v>
      </c>
      <c r="AG103" s="141">
        <v>-255</v>
      </c>
      <c r="AH103" s="141">
        <v>-294</v>
      </c>
      <c r="AI103" s="141">
        <v>-271</v>
      </c>
      <c r="AJ103" s="141">
        <v>-281</v>
      </c>
      <c r="AK103" s="141">
        <v>-288</v>
      </c>
      <c r="AL103" s="141">
        <v>-252</v>
      </c>
      <c r="AM103" s="141">
        <v>-265</v>
      </c>
      <c r="AN103" s="141">
        <v>-241</v>
      </c>
      <c r="AO103" s="141">
        <v>-219</v>
      </c>
      <c r="AP103" s="141">
        <v>-233</v>
      </c>
      <c r="AQ103" s="141">
        <v>-201</v>
      </c>
      <c r="AR103" s="141">
        <v>-189</v>
      </c>
      <c r="AS103" s="141">
        <v>-186</v>
      </c>
      <c r="AT103" s="141">
        <v>-163</v>
      </c>
      <c r="AU103" s="141">
        <v>-157</v>
      </c>
      <c r="AV103" s="226">
        <v>-151</v>
      </c>
      <c r="AW103" s="41">
        <v>-153.80592405063294</v>
      </c>
      <c r="AX103" s="41">
        <v>-157.7483199445777</v>
      </c>
      <c r="AY103" s="41">
        <v>-160.17967184215601</v>
      </c>
      <c r="AZ103" s="41">
        <v>-161.55703306749467</v>
      </c>
      <c r="BA103" s="41">
        <v>-164.52008904206608</v>
      </c>
      <c r="BB103" s="41">
        <v>-165.59858291036028</v>
      </c>
      <c r="BC103" s="41">
        <v>-168.47410522146507</v>
      </c>
      <c r="BD103" s="41">
        <v>-169.94666758070224</v>
      </c>
      <c r="BE103" s="41">
        <v>-171.9445066719847</v>
      </c>
      <c r="BF103" s="41">
        <v>-173.54469684792639</v>
      </c>
      <c r="BG103" s="41">
        <v>-176.58664419470756</v>
      </c>
      <c r="BH103" s="41">
        <v>-177.87452846355532</v>
      </c>
      <c r="BI103" s="41">
        <v>-181.15394006902423</v>
      </c>
      <c r="BJ103" s="41">
        <v>-182.54004932887324</v>
      </c>
      <c r="BK103" s="41">
        <v>-186.3017102698158</v>
      </c>
      <c r="BL103" s="41">
        <v>-188.82825677140337</v>
      </c>
      <c r="BM103" s="41">
        <v>-192.26970365582704</v>
      </c>
      <c r="BN103" s="41">
        <v>-195.44463720814724</v>
      </c>
      <c r="BO103" s="41">
        <v>-200.28602359360946</v>
      </c>
      <c r="BQ103" s="40"/>
      <c r="BR103" s="40"/>
      <c r="BS103" s="40"/>
      <c r="BT103" s="40"/>
      <c r="BU103" s="40"/>
      <c r="BV103" s="40"/>
      <c r="BW103" s="40"/>
      <c r="BX103" s="40"/>
      <c r="BY103" s="40"/>
      <c r="BZ103" s="40">
        <v>-22</v>
      </c>
      <c r="CA103" s="41">
        <v>-50</v>
      </c>
      <c r="CB103" s="41">
        <v>-83</v>
      </c>
      <c r="CC103" s="41">
        <v>-129</v>
      </c>
      <c r="CD103" s="41">
        <v>-121</v>
      </c>
      <c r="CE103" s="41">
        <v>-114</v>
      </c>
      <c r="CF103" s="41">
        <v>-122</v>
      </c>
      <c r="CG103" s="41">
        <v>-121</v>
      </c>
      <c r="CH103" s="41">
        <v>-160</v>
      </c>
      <c r="CI103" s="41">
        <v>-207</v>
      </c>
      <c r="CJ103" s="41">
        <v>-249</v>
      </c>
      <c r="CK103" s="41">
        <v>-320</v>
      </c>
      <c r="CL103" s="41">
        <v>-383</v>
      </c>
      <c r="CM103" s="41">
        <v>-426</v>
      </c>
      <c r="CN103" s="41">
        <v>-542</v>
      </c>
      <c r="CO103" s="41">
        <v>-500</v>
      </c>
      <c r="CP103" s="41">
        <v>-565</v>
      </c>
      <c r="CQ103" s="41">
        <v>-569</v>
      </c>
      <c r="CR103" s="41">
        <v>-517</v>
      </c>
      <c r="CS103" s="41">
        <v>-460</v>
      </c>
      <c r="CT103" s="41">
        <v>-434</v>
      </c>
      <c r="CU103" s="41">
        <v>-375</v>
      </c>
      <c r="CV103" s="211">
        <v>-320</v>
      </c>
      <c r="CW103" s="41">
        <v>-304.80592405063294</v>
      </c>
      <c r="CX103" s="41">
        <v>-317.92799178673374</v>
      </c>
      <c r="CY103" s="41">
        <v>-326.07712210956072</v>
      </c>
      <c r="CZ103" s="41">
        <v>-334.07268813182532</v>
      </c>
      <c r="DA103" s="41">
        <v>-341.89117425268694</v>
      </c>
      <c r="DB103" s="41">
        <v>-350.13134104263395</v>
      </c>
      <c r="DC103" s="41">
        <v>-359.02846853257955</v>
      </c>
      <c r="DD103" s="41">
        <v>-368.84175959868901</v>
      </c>
      <c r="DE103" s="41">
        <v>-381.09796042723042</v>
      </c>
      <c r="DF103" s="41">
        <v>-395.7306608017567</v>
      </c>
    </row>
    <row r="104" spans="1:110" ht="12" outlineLevel="1">
      <c r="A104" s="1" t="s">
        <v>989</v>
      </c>
      <c r="B104" s="15" t="s">
        <v>564</v>
      </c>
      <c r="C104" s="225">
        <v>-7</v>
      </c>
      <c r="D104" s="225">
        <v>-12</v>
      </c>
      <c r="E104" s="225">
        <v>-12</v>
      </c>
      <c r="F104" s="40">
        <v>0</v>
      </c>
      <c r="G104" s="40">
        <v>0</v>
      </c>
      <c r="H104" s="40">
        <v>-31</v>
      </c>
      <c r="I104" s="40">
        <v>-10</v>
      </c>
      <c r="J104" s="40">
        <v>-16</v>
      </c>
      <c r="K104" s="40">
        <v>-8</v>
      </c>
      <c r="L104" s="40">
        <v>-1</v>
      </c>
      <c r="M104" s="40">
        <v>-9</v>
      </c>
      <c r="N104" s="40">
        <v>-4</v>
      </c>
      <c r="O104" s="40">
        <v>-12</v>
      </c>
      <c r="P104" s="40">
        <v>-2</v>
      </c>
      <c r="Q104" s="40">
        <v>0</v>
      </c>
      <c r="R104" s="40">
        <v>-7</v>
      </c>
      <c r="S104" s="40">
        <v>-20</v>
      </c>
      <c r="T104" s="40">
        <v>-11</v>
      </c>
      <c r="U104" s="40">
        <v>-6</v>
      </c>
      <c r="V104" s="40">
        <v>-23</v>
      </c>
      <c r="W104" s="40">
        <v>-21</v>
      </c>
      <c r="X104" s="40">
        <v>-1</v>
      </c>
      <c r="Y104" s="40">
        <v>-273</v>
      </c>
      <c r="Z104" s="141">
        <v>-8</v>
      </c>
      <c r="AA104" s="141">
        <v>0</v>
      </c>
      <c r="AB104" s="141">
        <v>-1</v>
      </c>
      <c r="AC104" s="141">
        <v>-14</v>
      </c>
      <c r="AD104" s="141">
        <v>-4</v>
      </c>
      <c r="AE104" s="141">
        <v>-13</v>
      </c>
      <c r="AF104" s="141">
        <v>-2</v>
      </c>
      <c r="AG104" s="141">
        <v>-25</v>
      </c>
      <c r="AH104" s="141">
        <v>-155</v>
      </c>
      <c r="AI104" s="141">
        <v>-16</v>
      </c>
      <c r="AJ104" s="141">
        <v>-5</v>
      </c>
      <c r="AK104" s="141">
        <v>-12</v>
      </c>
      <c r="AL104" s="141">
        <v>-3</v>
      </c>
      <c r="AM104" s="141">
        <v>-1</v>
      </c>
      <c r="AN104" s="141">
        <v>-2</v>
      </c>
      <c r="AO104" s="141">
        <v>0</v>
      </c>
      <c r="AP104" s="141">
        <v>-1</v>
      </c>
      <c r="AQ104" s="141">
        <v>0</v>
      </c>
      <c r="AR104" s="141">
        <v>0</v>
      </c>
      <c r="AS104" s="141">
        <v>0</v>
      </c>
      <c r="AT104" s="141">
        <v>0</v>
      </c>
      <c r="AU104" s="141">
        <v>0</v>
      </c>
      <c r="AV104" s="226">
        <v>0</v>
      </c>
      <c r="AW104" s="210">
        <v>0</v>
      </c>
      <c r="AX104" s="210">
        <v>0</v>
      </c>
      <c r="AY104" s="210">
        <v>0</v>
      </c>
      <c r="AZ104" s="210">
        <v>0</v>
      </c>
      <c r="BA104" s="210">
        <v>0</v>
      </c>
      <c r="BB104" s="210">
        <v>0</v>
      </c>
      <c r="BC104" s="210">
        <v>0</v>
      </c>
      <c r="BD104" s="210">
        <v>0</v>
      </c>
      <c r="BE104" s="210">
        <v>0</v>
      </c>
      <c r="BF104" s="210">
        <v>0</v>
      </c>
      <c r="BG104" s="210">
        <v>0</v>
      </c>
      <c r="BH104" s="210">
        <v>0</v>
      </c>
      <c r="BI104" s="210">
        <v>0</v>
      </c>
      <c r="BJ104" s="210">
        <v>0</v>
      </c>
      <c r="BK104" s="210">
        <v>0</v>
      </c>
      <c r="BL104" s="210">
        <v>0</v>
      </c>
      <c r="BM104" s="210">
        <v>0</v>
      </c>
      <c r="BN104" s="210">
        <v>0</v>
      </c>
      <c r="BO104" s="210">
        <v>0</v>
      </c>
      <c r="BQ104" s="40"/>
      <c r="BR104" s="40"/>
      <c r="BS104" s="40"/>
      <c r="BT104" s="40"/>
      <c r="BU104" s="40"/>
      <c r="BV104" s="40"/>
      <c r="BW104" s="40"/>
      <c r="BX104" s="40"/>
      <c r="BY104" s="40"/>
      <c r="BZ104" s="40">
        <v>-14</v>
      </c>
      <c r="CA104" s="41">
        <v>-24</v>
      </c>
      <c r="CB104" s="41">
        <v>0</v>
      </c>
      <c r="CC104" s="41">
        <v>-41</v>
      </c>
      <c r="CD104" s="41">
        <v>-24</v>
      </c>
      <c r="CE104" s="41">
        <v>-10</v>
      </c>
      <c r="CF104" s="41">
        <v>-16</v>
      </c>
      <c r="CG104" s="41">
        <v>-2</v>
      </c>
      <c r="CH104" s="41">
        <v>-27</v>
      </c>
      <c r="CI104" s="41">
        <v>-17</v>
      </c>
      <c r="CJ104" s="41">
        <v>-44</v>
      </c>
      <c r="CK104" s="41">
        <v>-274</v>
      </c>
      <c r="CL104" s="41">
        <v>-8</v>
      </c>
      <c r="CM104" s="41">
        <v>-15</v>
      </c>
      <c r="CN104" s="41">
        <v>-17</v>
      </c>
      <c r="CO104" s="41">
        <v>-27</v>
      </c>
      <c r="CP104" s="41">
        <v>-171</v>
      </c>
      <c r="CQ104" s="41">
        <v>-17</v>
      </c>
      <c r="CR104" s="41">
        <v>-4</v>
      </c>
      <c r="CS104" s="41">
        <v>-2</v>
      </c>
      <c r="CT104" s="41">
        <v>-1</v>
      </c>
      <c r="CU104" s="41">
        <v>0</v>
      </c>
      <c r="CV104" s="211">
        <v>0</v>
      </c>
      <c r="CW104" s="41">
        <v>0</v>
      </c>
      <c r="CX104" s="41">
        <v>0</v>
      </c>
      <c r="CY104" s="41">
        <v>0</v>
      </c>
      <c r="CZ104" s="41">
        <v>0</v>
      </c>
      <c r="DA104" s="41">
        <v>0</v>
      </c>
      <c r="DB104" s="41">
        <v>0</v>
      </c>
      <c r="DC104" s="41">
        <v>0</v>
      </c>
      <c r="DD104" s="41">
        <v>0</v>
      </c>
      <c r="DE104" s="41">
        <v>0</v>
      </c>
      <c r="DF104" s="41">
        <v>0</v>
      </c>
    </row>
    <row r="105" spans="1:110" ht="12" outlineLevel="1">
      <c r="A105" s="1" t="s">
        <v>864</v>
      </c>
      <c r="B105" s="15" t="s">
        <v>271</v>
      </c>
      <c r="C105" s="377">
        <v>0</v>
      </c>
      <c r="D105" s="41">
        <v>7</v>
      </c>
      <c r="E105" s="41">
        <v>2</v>
      </c>
      <c r="F105" s="41">
        <v>7</v>
      </c>
      <c r="G105" s="41">
        <v>6</v>
      </c>
      <c r="H105" s="41">
        <v>17</v>
      </c>
      <c r="I105" s="41">
        <v>4</v>
      </c>
      <c r="J105" s="41">
        <v>-1</v>
      </c>
      <c r="K105" s="41">
        <v>6</v>
      </c>
      <c r="L105" s="41">
        <v>0</v>
      </c>
      <c r="M105" s="41">
        <v>-2</v>
      </c>
      <c r="N105" s="41">
        <v>0</v>
      </c>
      <c r="O105" s="41">
        <v>0</v>
      </c>
      <c r="P105" s="41">
        <v>0</v>
      </c>
      <c r="Q105" s="41">
        <v>0</v>
      </c>
      <c r="R105" s="41">
        <v>0</v>
      </c>
      <c r="S105" s="41">
        <v>0</v>
      </c>
      <c r="T105" s="41">
        <v>0</v>
      </c>
      <c r="U105" s="41">
        <v>0</v>
      </c>
      <c r="V105" s="41">
        <v>0</v>
      </c>
      <c r="W105" s="41">
        <v>3</v>
      </c>
      <c r="X105" s="41">
        <v>-2</v>
      </c>
      <c r="Y105" s="41">
        <v>0</v>
      </c>
      <c r="Z105" s="41">
        <v>0</v>
      </c>
      <c r="AA105" s="41">
        <v>19</v>
      </c>
      <c r="AB105" s="41">
        <v>6</v>
      </c>
      <c r="AC105" s="41">
        <v>21</v>
      </c>
      <c r="AD105" s="41">
        <v>77</v>
      </c>
      <c r="AE105" s="41">
        <v>35</v>
      </c>
      <c r="AF105" s="41">
        <v>-606</v>
      </c>
      <c r="AG105" s="41">
        <v>11</v>
      </c>
      <c r="AH105" s="41">
        <v>-8</v>
      </c>
      <c r="AI105" s="41">
        <v>-6</v>
      </c>
      <c r="AJ105" s="41">
        <v>7</v>
      </c>
      <c r="AK105" s="41">
        <v>-249</v>
      </c>
      <c r="AL105" s="41">
        <v>3</v>
      </c>
      <c r="AM105" s="41">
        <v>-1</v>
      </c>
      <c r="AN105" s="41">
        <v>2</v>
      </c>
      <c r="AO105" s="41">
        <v>-199</v>
      </c>
      <c r="AP105" s="41">
        <v>0</v>
      </c>
      <c r="AQ105" s="41">
        <v>0</v>
      </c>
      <c r="AR105" s="41">
        <v>-2</v>
      </c>
      <c r="AS105" s="41">
        <v>-2</v>
      </c>
      <c r="AT105" s="41">
        <v>1</v>
      </c>
      <c r="AU105" s="41">
        <v>0</v>
      </c>
      <c r="AV105" s="211">
        <v>-9</v>
      </c>
      <c r="AW105" s="210">
        <v>45.25</v>
      </c>
      <c r="AX105" s="210">
        <v>0</v>
      </c>
      <c r="AY105" s="210">
        <v>0</v>
      </c>
      <c r="AZ105" s="210">
        <v>0</v>
      </c>
      <c r="BA105" s="210">
        <v>0</v>
      </c>
      <c r="BB105" s="210">
        <v>0</v>
      </c>
      <c r="BC105" s="210">
        <v>0</v>
      </c>
      <c r="BD105" s="210">
        <v>0</v>
      </c>
      <c r="BE105" s="210">
        <v>0</v>
      </c>
      <c r="BF105" s="210">
        <v>0</v>
      </c>
      <c r="BG105" s="210">
        <v>0</v>
      </c>
      <c r="BH105" s="210">
        <v>0</v>
      </c>
      <c r="BI105" s="210">
        <v>0</v>
      </c>
      <c r="BJ105" s="210">
        <v>0</v>
      </c>
      <c r="BK105" s="210">
        <v>0</v>
      </c>
      <c r="BL105" s="210">
        <v>0</v>
      </c>
      <c r="BM105" s="210">
        <v>0</v>
      </c>
      <c r="BN105" s="210">
        <v>0</v>
      </c>
      <c r="BO105" s="210">
        <v>0</v>
      </c>
      <c r="BQ105" s="41"/>
      <c r="BR105" s="41"/>
      <c r="BS105" s="41"/>
      <c r="BT105" s="41"/>
      <c r="BU105" s="41"/>
      <c r="BV105" s="41"/>
      <c r="BW105" s="41"/>
      <c r="BX105" s="41"/>
      <c r="BY105" s="41"/>
      <c r="BZ105" s="41">
        <v>98</v>
      </c>
      <c r="CA105" s="41">
        <v>9</v>
      </c>
      <c r="CB105" s="41">
        <v>13</v>
      </c>
      <c r="CC105" s="41">
        <v>21</v>
      </c>
      <c r="CD105" s="41">
        <v>5</v>
      </c>
      <c r="CE105" s="41">
        <v>-2</v>
      </c>
      <c r="CF105" s="41">
        <v>0</v>
      </c>
      <c r="CG105" s="41">
        <v>0</v>
      </c>
      <c r="CH105" s="41">
        <v>0</v>
      </c>
      <c r="CI105" s="41">
        <v>0</v>
      </c>
      <c r="CJ105" s="41">
        <v>3</v>
      </c>
      <c r="CK105" s="41">
        <v>-2</v>
      </c>
      <c r="CL105" s="41">
        <v>19</v>
      </c>
      <c r="CM105" s="41">
        <v>27</v>
      </c>
      <c r="CN105" s="41">
        <v>112</v>
      </c>
      <c r="CO105" s="41">
        <v>-595</v>
      </c>
      <c r="CP105" s="41">
        <v>-14</v>
      </c>
      <c r="CQ105" s="41">
        <v>-242</v>
      </c>
      <c r="CR105" s="41">
        <v>2</v>
      </c>
      <c r="CS105" s="41">
        <v>-197</v>
      </c>
      <c r="CT105" s="41">
        <v>0</v>
      </c>
      <c r="CU105" s="41">
        <v>-4</v>
      </c>
      <c r="CV105" s="211">
        <v>1</v>
      </c>
      <c r="CW105" s="41">
        <v>36.25</v>
      </c>
      <c r="CX105" s="41">
        <v>0</v>
      </c>
      <c r="CY105" s="41">
        <v>0</v>
      </c>
      <c r="CZ105" s="41">
        <v>0</v>
      </c>
      <c r="DA105" s="41">
        <v>0</v>
      </c>
      <c r="DB105" s="41">
        <v>0</v>
      </c>
      <c r="DC105" s="41">
        <v>0</v>
      </c>
      <c r="DD105" s="41">
        <v>0</v>
      </c>
      <c r="DE105" s="41">
        <v>0</v>
      </c>
      <c r="DF105" s="41">
        <v>0</v>
      </c>
    </row>
    <row r="106" spans="1:110" ht="12" outlineLevel="1">
      <c r="A106" s="1" t="s">
        <v>865</v>
      </c>
      <c r="B106" s="15" t="s">
        <v>462</v>
      </c>
      <c r="C106" s="40">
        <v>303</v>
      </c>
      <c r="D106" s="40">
        <v>381</v>
      </c>
      <c r="E106" s="40">
        <v>419</v>
      </c>
      <c r="F106" s="40">
        <v>451</v>
      </c>
      <c r="G106" s="40">
        <v>465</v>
      </c>
      <c r="H106" s="40">
        <v>447</v>
      </c>
      <c r="I106" s="40">
        <v>430</v>
      </c>
      <c r="J106" s="40">
        <v>401</v>
      </c>
      <c r="K106" s="40">
        <v>386</v>
      </c>
      <c r="L106" s="40">
        <v>390</v>
      </c>
      <c r="M106" s="40">
        <v>397</v>
      </c>
      <c r="N106" s="40">
        <v>425</v>
      </c>
      <c r="O106" s="40">
        <v>462</v>
      </c>
      <c r="P106" s="40">
        <v>509</v>
      </c>
      <c r="Q106" s="40">
        <v>625</v>
      </c>
      <c r="R106" s="40">
        <v>723</v>
      </c>
      <c r="S106" s="40">
        <v>849</v>
      </c>
      <c r="T106" s="40">
        <v>1034</v>
      </c>
      <c r="U106" s="40">
        <v>1217</v>
      </c>
      <c r="V106" s="40">
        <v>1349</v>
      </c>
      <c r="W106" s="40">
        <v>1572</v>
      </c>
      <c r="X106" s="40">
        <v>1743</v>
      </c>
      <c r="Y106" s="40">
        <v>1762</v>
      </c>
      <c r="Z106" s="141">
        <v>1857</v>
      </c>
      <c r="AA106" s="141">
        <v>2170</v>
      </c>
      <c r="AB106" s="141">
        <v>2332</v>
      </c>
      <c r="AC106" s="141">
        <v>2533</v>
      </c>
      <c r="AD106" s="141">
        <v>2689</v>
      </c>
      <c r="AE106" s="141">
        <v>2893</v>
      </c>
      <c r="AF106" s="141">
        <v>2249</v>
      </c>
      <c r="AG106" s="141">
        <v>2202</v>
      </c>
      <c r="AH106" s="141">
        <v>1917</v>
      </c>
      <c r="AI106" s="141">
        <v>1856</v>
      </c>
      <c r="AJ106" s="141">
        <v>1775</v>
      </c>
      <c r="AK106" s="141">
        <v>1421</v>
      </c>
      <c r="AL106" s="141">
        <v>1368</v>
      </c>
      <c r="AM106" s="141">
        <v>1323</v>
      </c>
      <c r="AN106" s="141">
        <v>1263</v>
      </c>
      <c r="AO106" s="141">
        <v>1039</v>
      </c>
      <c r="AP106" s="141">
        <v>961</v>
      </c>
      <c r="AQ106" s="141">
        <v>960</v>
      </c>
      <c r="AR106" s="141">
        <v>924</v>
      </c>
      <c r="AS106" s="141">
        <v>896</v>
      </c>
      <c r="AT106" s="141">
        <v>877</v>
      </c>
      <c r="AU106" s="141">
        <v>919</v>
      </c>
      <c r="AV106" s="226">
        <v>905</v>
      </c>
      <c r="AW106" s="41">
        <v>952.89407594936711</v>
      </c>
      <c r="AX106" s="41">
        <v>957.85698813443412</v>
      </c>
      <c r="AY106" s="41">
        <v>971.74201171418486</v>
      </c>
      <c r="AZ106" s="41">
        <v>985.14268254051342</v>
      </c>
      <c r="BA106" s="41">
        <v>996.74300632146128</v>
      </c>
      <c r="BB106" s="41">
        <v>1009.0955890937461</v>
      </c>
      <c r="BC106" s="41">
        <v>1020.4220219554085</v>
      </c>
      <c r="BD106" s="41">
        <v>1032.443684449895</v>
      </c>
      <c r="BE106" s="41">
        <v>1044.554859720304</v>
      </c>
      <c r="BF106" s="41">
        <v>1057.532276832266</v>
      </c>
      <c r="BG106" s="41">
        <v>1069.7127606060956</v>
      </c>
      <c r="BH106" s="41">
        <v>1084.8201349236435</v>
      </c>
      <c r="BI106" s="41">
        <v>1097.4446778066711</v>
      </c>
      <c r="BJ106" s="41">
        <v>1113.6000649556943</v>
      </c>
      <c r="BK106" s="41">
        <v>1130.6771874098206</v>
      </c>
      <c r="BL106" s="41">
        <v>1150.2681129281907</v>
      </c>
      <c r="BM106" s="41">
        <v>1172.2480424905411</v>
      </c>
      <c r="BN106" s="41">
        <v>1195.1055283503019</v>
      </c>
      <c r="BO106" s="41">
        <v>1217.6332815451387</v>
      </c>
      <c r="BQ106" s="40"/>
      <c r="BR106" s="40"/>
      <c r="BS106" s="40"/>
      <c r="BT106" s="40"/>
      <c r="BU106" s="40"/>
      <c r="BV106" s="40"/>
      <c r="BW106" s="40"/>
      <c r="BX106" s="40"/>
      <c r="BY106" s="225">
        <v>150</v>
      </c>
      <c r="BZ106" s="41">
        <v>397</v>
      </c>
      <c r="CA106" s="41">
        <v>419</v>
      </c>
      <c r="CB106" s="41">
        <v>465</v>
      </c>
      <c r="CC106" s="41">
        <v>430</v>
      </c>
      <c r="CD106" s="41">
        <v>386</v>
      </c>
      <c r="CE106" s="41">
        <v>397</v>
      </c>
      <c r="CF106" s="41">
        <v>462</v>
      </c>
      <c r="CG106" s="41">
        <v>625</v>
      </c>
      <c r="CH106" s="41">
        <v>849</v>
      </c>
      <c r="CI106" s="41">
        <v>1217</v>
      </c>
      <c r="CJ106" s="41">
        <v>1572</v>
      </c>
      <c r="CK106" s="41">
        <v>1762</v>
      </c>
      <c r="CL106" s="41">
        <v>2170</v>
      </c>
      <c r="CM106" s="41">
        <v>2533</v>
      </c>
      <c r="CN106" s="41">
        <v>2893</v>
      </c>
      <c r="CO106" s="41">
        <v>2202</v>
      </c>
      <c r="CP106" s="41">
        <v>1856</v>
      </c>
      <c r="CQ106" s="41">
        <v>1421</v>
      </c>
      <c r="CR106" s="41">
        <v>1323</v>
      </c>
      <c r="CS106" s="41">
        <v>1039</v>
      </c>
      <c r="CT106" s="41">
        <v>960</v>
      </c>
      <c r="CU106" s="41">
        <v>896</v>
      </c>
      <c r="CV106" s="211">
        <v>919</v>
      </c>
      <c r="CW106" s="41">
        <v>952.89407594936711</v>
      </c>
      <c r="CX106" s="41">
        <v>971.74201171418486</v>
      </c>
      <c r="CY106" s="41">
        <v>996.74300632146128</v>
      </c>
      <c r="CZ106" s="41">
        <v>1020.4220219554085</v>
      </c>
      <c r="DA106" s="41">
        <v>1044.554859720304</v>
      </c>
      <c r="DB106" s="41">
        <v>1069.7127606060956</v>
      </c>
      <c r="DC106" s="41">
        <v>1097.4446778066711</v>
      </c>
      <c r="DD106" s="41">
        <v>1130.6771874098206</v>
      </c>
      <c r="DE106" s="41">
        <v>1172.2480424905411</v>
      </c>
      <c r="DF106" s="41">
        <v>1217.6332815451387</v>
      </c>
    </row>
    <row r="107" spans="1:110" ht="12" outlineLevel="1">
      <c r="AA107" s="37"/>
      <c r="AC107" s="189"/>
      <c r="AD107" s="37"/>
      <c r="AE107" s="37"/>
      <c r="AV107" s="200"/>
      <c r="AW107" s="248"/>
      <c r="AX107" s="248"/>
      <c r="AY107" s="248"/>
      <c r="AZ107" s="248"/>
      <c r="BA107" s="248"/>
      <c r="CZ107" s="15"/>
      <c r="DA107" s="15"/>
      <c r="DB107" s="15"/>
      <c r="DC107" s="15"/>
      <c r="DD107" s="15"/>
      <c r="DE107" s="15"/>
      <c r="DF107" s="15"/>
    </row>
    <row r="108" spans="1:110" ht="12" outlineLevel="1">
      <c r="B108" s="17" t="s">
        <v>573</v>
      </c>
      <c r="Z108" s="189"/>
      <c r="AA108" s="189"/>
      <c r="AB108" s="189"/>
      <c r="AC108" s="41"/>
      <c r="AD108" s="41"/>
      <c r="AE108" s="189"/>
      <c r="AF108" s="189"/>
      <c r="AJ108" s="189"/>
      <c r="AK108" s="189"/>
      <c r="AL108" s="189"/>
      <c r="AM108" s="189"/>
      <c r="AN108" s="189"/>
      <c r="AO108" s="189"/>
      <c r="AP108" s="189"/>
      <c r="AQ108" s="189"/>
      <c r="AR108" s="189"/>
      <c r="AS108" s="189"/>
      <c r="AT108" s="189"/>
      <c r="AU108" s="189"/>
      <c r="AV108" s="235"/>
      <c r="AW108" s="558"/>
      <c r="AX108" s="248"/>
      <c r="AY108" s="248"/>
      <c r="AZ108" s="248"/>
      <c r="BA108" s="248"/>
      <c r="BF108" s="189"/>
      <c r="BG108" s="189"/>
      <c r="BH108" s="189"/>
      <c r="BI108" s="189"/>
      <c r="BJ108" s="189"/>
      <c r="BK108" s="189"/>
      <c r="BL108" s="189"/>
      <c r="BM108" s="189"/>
      <c r="BN108" s="189"/>
      <c r="BO108" s="189"/>
      <c r="CZ108" s="15"/>
      <c r="DA108" s="15"/>
      <c r="DB108" s="15"/>
      <c r="DC108" s="15"/>
      <c r="DD108" s="15"/>
      <c r="DE108" s="15"/>
      <c r="DF108" s="15"/>
    </row>
    <row r="109" spans="1:110" ht="12" outlineLevel="1">
      <c r="A109" s="1" t="s">
        <v>463</v>
      </c>
      <c r="B109" s="15" t="s">
        <v>489</v>
      </c>
      <c r="C109" s="248">
        <v>2.4844862251911126E-4</v>
      </c>
      <c r="D109" s="248">
        <v>9.4055390513575112E-3</v>
      </c>
      <c r="E109" s="345">
        <v>3.5087079491314066E-4</v>
      </c>
      <c r="F109" s="248">
        <v>1.5095909894823088E-2</v>
      </c>
      <c r="G109" s="345">
        <v>-3.9469063139124455E-3</v>
      </c>
      <c r="H109" s="248">
        <v>1.6966342630906638E-2</v>
      </c>
      <c r="I109" s="345">
        <v>-9.9383887708416226E-3</v>
      </c>
      <c r="J109" s="248">
        <v>8.2792596756552164E-3</v>
      </c>
      <c r="K109" s="345">
        <v>-6.6479056807626615E-3</v>
      </c>
      <c r="L109" s="248">
        <v>2.8386504136461415E-3</v>
      </c>
      <c r="M109" s="35">
        <v>-2.6327340403397275E-3</v>
      </c>
      <c r="N109" s="34">
        <v>5.4725596020843386E-5</v>
      </c>
      <c r="O109" s="35">
        <v>8.9541099741174469E-5</v>
      </c>
      <c r="P109" s="35">
        <v>2.569193731369644E-4</v>
      </c>
      <c r="Q109" s="35">
        <v>2.8632005077663692E-4</v>
      </c>
      <c r="R109" s="35">
        <v>1.5565315661572981E-4</v>
      </c>
      <c r="S109" s="35">
        <v>3.4925058837605464E-4</v>
      </c>
      <c r="T109" s="37">
        <v>5.5515568569900061E-4</v>
      </c>
      <c r="U109" s="35">
        <v>6.5459452850986336E-4</v>
      </c>
      <c r="V109" s="35">
        <v>3.8778341434116576E-4</v>
      </c>
      <c r="W109" s="35">
        <v>4.9255131288322305E-4</v>
      </c>
      <c r="X109" s="35">
        <v>4.3051501350122213E-4</v>
      </c>
      <c r="Y109" s="37">
        <v>3.7693265704056937E-4</v>
      </c>
      <c r="Z109" s="37">
        <v>2.7390678603765248E-4</v>
      </c>
      <c r="AA109" s="357">
        <v>4.5496894149418555E-4</v>
      </c>
      <c r="AB109" s="357">
        <v>2.2488750012874761E-4</v>
      </c>
      <c r="AC109" s="357">
        <v>2.1254739929965776E-4</v>
      </c>
      <c r="AD109" s="357">
        <v>1.7913738150028235E-4</v>
      </c>
      <c r="AE109" s="357">
        <v>1.4239959147354002E-4</v>
      </c>
      <c r="AF109" s="357">
        <v>1.3585079097105826E-4</v>
      </c>
      <c r="AG109" s="357">
        <v>1.3142747347121014E-4</v>
      </c>
      <c r="AH109" s="357">
        <v>1.4796715248114746E-4</v>
      </c>
      <c r="AI109" s="357">
        <v>1.3161958945270908E-4</v>
      </c>
      <c r="AJ109" s="357">
        <v>1.5525872483128096E-4</v>
      </c>
      <c r="AK109" s="357">
        <v>2.6853549771573335E-4</v>
      </c>
      <c r="AL109" s="357">
        <v>3.0770209126881036E-4</v>
      </c>
      <c r="AM109" s="357">
        <v>4.1108088969020982E-4</v>
      </c>
      <c r="AN109" s="357">
        <v>2.9238941197257936E-4</v>
      </c>
      <c r="AO109" s="357">
        <v>2.0329513336230661E-4</v>
      </c>
      <c r="AP109" s="357">
        <v>4.2649644966548904E-4</v>
      </c>
      <c r="AQ109" s="357">
        <v>1.2657086059028654E-4</v>
      </c>
      <c r="AR109" s="357">
        <v>1.2043377875134873E-4</v>
      </c>
      <c r="AS109" s="357">
        <v>8.6013201358586561E-5</v>
      </c>
      <c r="AT109" s="357">
        <v>6.6380794637203977E-5</v>
      </c>
      <c r="AU109" s="357">
        <v>6.5028692168214185E-5</v>
      </c>
      <c r="AV109" s="348">
        <v>5.2392380733122725E-5</v>
      </c>
      <c r="AW109" s="248">
        <v>5.0000000000000002E-5</v>
      </c>
      <c r="AX109" s="248">
        <v>2.7500000000000002E-4</v>
      </c>
      <c r="AY109" s="248">
        <v>2.7500000000000002E-4</v>
      </c>
      <c r="AZ109" s="248">
        <v>2.7500000000000002E-4</v>
      </c>
      <c r="BA109" s="248">
        <v>2.7500000000000002E-4</v>
      </c>
      <c r="BB109" s="248">
        <v>2.7500000000000002E-4</v>
      </c>
      <c r="BC109" s="248">
        <v>2.7500000000000002E-4</v>
      </c>
      <c r="BD109" s="248">
        <v>2.7500000000000002E-4</v>
      </c>
      <c r="BE109" s="248">
        <v>2.7500000000000002E-4</v>
      </c>
      <c r="BF109" s="248">
        <v>2.7500000000000002E-4</v>
      </c>
      <c r="BG109" s="248">
        <v>2.7500000000000002E-4</v>
      </c>
      <c r="BH109" s="248">
        <v>2.7500000000000002E-4</v>
      </c>
      <c r="BI109" s="248">
        <v>2.7500000000000002E-4</v>
      </c>
      <c r="BJ109" s="248">
        <v>2.7500000000000002E-4</v>
      </c>
      <c r="BK109" s="248">
        <v>2.7500000000000002E-4</v>
      </c>
      <c r="BL109" s="248">
        <v>2.9999999999999997E-4</v>
      </c>
      <c r="BM109" s="248">
        <v>2.9999999999999997E-4</v>
      </c>
      <c r="BN109" s="248">
        <v>2.9999999999999997E-4</v>
      </c>
      <c r="BO109" s="248">
        <v>2.9999999999999997E-4</v>
      </c>
      <c r="BP109" s="35"/>
      <c r="BQ109" s="394">
        <v>9.4055390513575112E-3</v>
      </c>
      <c r="BR109" s="394">
        <v>2.0786280738288664E-2</v>
      </c>
      <c r="BS109" s="394">
        <v>1.3146404523524611E-2</v>
      </c>
      <c r="BT109" s="394">
        <v>3.4121148277858229E-3</v>
      </c>
      <c r="BU109" s="394">
        <v>2.2651859995064601E-3</v>
      </c>
      <c r="BV109" s="376">
        <v>5.8483316478584815E-4</v>
      </c>
      <c r="BW109" s="376">
        <v>1.0496205333950699E-3</v>
      </c>
      <c r="BX109" s="376">
        <v>3.6060151849053376E-4</v>
      </c>
      <c r="BY109" s="376">
        <v>9.2711568201674847E-4</v>
      </c>
      <c r="BZ109" s="376">
        <v>1.7456993693889056E-4</v>
      </c>
      <c r="CA109" s="38">
        <v>2.1222804307550802E-4</v>
      </c>
      <c r="CB109" s="38">
        <v>1.059588177703244E-4</v>
      </c>
      <c r="CC109" s="38">
        <v>6.3028687270540968E-5</v>
      </c>
      <c r="CD109" s="38">
        <v>3.1256745209534394E-5</v>
      </c>
      <c r="CE109" s="38">
        <v>3.6483873185522839E-5</v>
      </c>
      <c r="CF109" s="38">
        <v>7.2967318856163933E-5</v>
      </c>
      <c r="CG109" s="35">
        <v>2.7083939122684659E-4</v>
      </c>
      <c r="CH109" s="35">
        <v>2.5276112950229843E-4</v>
      </c>
      <c r="CI109" s="35">
        <v>6.042384931745266E-4</v>
      </c>
      <c r="CJ109" s="35">
        <v>4.3896222917329361E-4</v>
      </c>
      <c r="CK109" s="37">
        <v>4.0366838803307029E-4</v>
      </c>
      <c r="CL109" s="37">
        <v>3.6658526612015142E-4</v>
      </c>
      <c r="CM109" s="37">
        <v>2.1823135270319073E-4</v>
      </c>
      <c r="CN109" s="37">
        <v>1.6018854282030576E-4</v>
      </c>
      <c r="CO109" s="37">
        <v>1.3466517833202676E-4</v>
      </c>
      <c r="CP109" s="37">
        <v>1.4007889727412013E-4</v>
      </c>
      <c r="CQ109" s="37">
        <v>2.1309695821900625E-4</v>
      </c>
      <c r="CR109" s="37">
        <v>3.6167353843753622E-4</v>
      </c>
      <c r="CS109" s="37">
        <v>2.4248668150092146E-4</v>
      </c>
      <c r="CT109" s="37">
        <v>2.7763614609871141E-4</v>
      </c>
      <c r="CU109" s="37">
        <v>1.0322239700650567E-4</v>
      </c>
      <c r="CV109" s="36">
        <v>6.569778735588518E-5</v>
      </c>
      <c r="CW109" s="35">
        <v>5.1151564479719828E-5</v>
      </c>
      <c r="CX109" s="35">
        <v>2.7500000000000002E-4</v>
      </c>
      <c r="CY109" s="35">
        <v>2.7500000000000007E-4</v>
      </c>
      <c r="CZ109" s="35">
        <v>2.7500000000000007E-4</v>
      </c>
      <c r="DA109" s="35">
        <v>2.7499999999999996E-4</v>
      </c>
      <c r="DB109" s="35">
        <v>2.7499999999999996E-4</v>
      </c>
      <c r="DC109" s="35">
        <v>2.7500000000000002E-4</v>
      </c>
      <c r="DD109" s="35">
        <v>2.7500000000000002E-4</v>
      </c>
      <c r="DE109" s="35">
        <v>2.9999999999999997E-4</v>
      </c>
      <c r="DF109" s="35">
        <v>3.0000000000000003E-4</v>
      </c>
    </row>
    <row r="110" spans="1:110" ht="12" outlineLevel="1">
      <c r="A110" s="1" t="s">
        <v>464</v>
      </c>
      <c r="B110" s="15" t="s">
        <v>491</v>
      </c>
      <c r="C110" s="345">
        <v>1.5182451858608156E-2</v>
      </c>
      <c r="D110" s="345">
        <v>3.9665721063796391E-4</v>
      </c>
      <c r="E110" s="345">
        <v>8.5840699600359185E-3</v>
      </c>
      <c r="F110" s="345">
        <v>-4.8931915229477986E-3</v>
      </c>
      <c r="G110" s="345">
        <v>1.0304902951080152E-2</v>
      </c>
      <c r="H110" s="345">
        <v>-7.911734590050375E-3</v>
      </c>
      <c r="I110" s="345">
        <v>1.5181158456926656E-2</v>
      </c>
      <c r="J110" s="345">
        <v>-3.928335785912891E-3</v>
      </c>
      <c r="K110" s="345">
        <v>1.1676786243153749E-2</v>
      </c>
      <c r="L110" s="345">
        <v>-1.3135289586190088E-3</v>
      </c>
      <c r="M110" s="35">
        <v>4.2602873108650999E-3</v>
      </c>
      <c r="N110" s="35">
        <v>1.389721671199545E-3</v>
      </c>
      <c r="O110" s="35">
        <v>2.9225293944736786E-3</v>
      </c>
      <c r="P110" s="35">
        <v>7.9417836015630982E-4</v>
      </c>
      <c r="Q110" s="35">
        <v>8.5785684071230776E-4</v>
      </c>
      <c r="R110" s="35">
        <v>6.3628065675408723E-3</v>
      </c>
      <c r="S110" s="35">
        <v>8.33182249747416E-3</v>
      </c>
      <c r="T110" s="37">
        <v>7.5882651692067054E-3</v>
      </c>
      <c r="U110" s="35">
        <v>4.659687606192355E-3</v>
      </c>
      <c r="V110" s="35">
        <v>3.1794209209253903E-3</v>
      </c>
      <c r="W110" s="35">
        <v>2.2699348119760389E-3</v>
      </c>
      <c r="X110" s="35">
        <v>2.1578310722187993E-3</v>
      </c>
      <c r="Y110" s="37">
        <v>3.7874191645817122E-3</v>
      </c>
      <c r="Z110" s="37">
        <v>4.3156064371074809E-3</v>
      </c>
      <c r="AA110" s="357">
        <v>2.499695012324157E-3</v>
      </c>
      <c r="AB110" s="357">
        <v>1.7323510353038803E-3</v>
      </c>
      <c r="AC110" s="357">
        <v>3.2410910548038825E-3</v>
      </c>
      <c r="AD110" s="357">
        <v>8.5657673148180672E-4</v>
      </c>
      <c r="AE110" s="357">
        <v>1.5692849985167638E-3</v>
      </c>
      <c r="AF110" s="357">
        <v>7.0849625729281528E-4</v>
      </c>
      <c r="AG110" s="357">
        <v>3.9215528481729061E-3</v>
      </c>
      <c r="AH110" s="357">
        <v>2.5216805600124137E-3</v>
      </c>
      <c r="AI110" s="357">
        <v>1.6852505664678675E-3</v>
      </c>
      <c r="AJ110" s="357">
        <v>8.0268488974422167E-4</v>
      </c>
      <c r="AK110" s="357">
        <v>1.3900548671651487E-4</v>
      </c>
      <c r="AL110" s="357">
        <v>2.2323985504333008E-4</v>
      </c>
      <c r="AM110" s="357">
        <v>2.929782297395464E-4</v>
      </c>
      <c r="AN110" s="357">
        <v>3.1245274664643024E-4</v>
      </c>
      <c r="AO110" s="357">
        <v>2.1425657346540879E-3</v>
      </c>
      <c r="AP110" s="357">
        <v>1.8153542952025368E-4</v>
      </c>
      <c r="AQ110" s="357">
        <v>1.5654912118276499E-4</v>
      </c>
      <c r="AR110" s="357">
        <v>-2.4804778497306067E-4</v>
      </c>
      <c r="AS110" s="357">
        <v>-2.4586026091275525E-4</v>
      </c>
      <c r="AT110" s="357">
        <v>2.9129592250658491E-4</v>
      </c>
      <c r="AU110" s="357">
        <v>6.5865056797017674E-4</v>
      </c>
      <c r="AV110" s="348">
        <v>1.1606176787024894E-4</v>
      </c>
      <c r="AW110" s="248">
        <v>1E-4</v>
      </c>
      <c r="AX110" s="248">
        <v>3.0000000000000001E-3</v>
      </c>
      <c r="AY110" s="248">
        <v>3.0000000000000001E-3</v>
      </c>
      <c r="AZ110" s="248">
        <v>3.0000000000000001E-3</v>
      </c>
      <c r="BA110" s="248">
        <v>3.0000000000000001E-3</v>
      </c>
      <c r="BB110" s="248">
        <v>3.0000000000000001E-3</v>
      </c>
      <c r="BC110" s="248">
        <v>3.0000000000000001E-3</v>
      </c>
      <c r="BD110" s="248">
        <v>3.0000000000000001E-3</v>
      </c>
      <c r="BE110" s="248">
        <v>3.0000000000000001E-3</v>
      </c>
      <c r="BF110" s="248">
        <v>3.0000000000000001E-3</v>
      </c>
      <c r="BG110" s="248">
        <v>3.0000000000000001E-3</v>
      </c>
      <c r="BH110" s="248">
        <v>3.15E-3</v>
      </c>
      <c r="BI110" s="248">
        <v>6.4999999999999997E-3</v>
      </c>
      <c r="BJ110" s="248">
        <v>1.0999999999999999E-2</v>
      </c>
      <c r="BK110" s="248">
        <v>1.0999999999999999E-2</v>
      </c>
      <c r="BL110" s="248">
        <v>3.8500000000000001E-3</v>
      </c>
      <c r="BM110" s="248">
        <v>3.8500000000000001E-3</v>
      </c>
      <c r="BN110" s="248">
        <v>3.8500000000000001E-3</v>
      </c>
      <c r="BO110" s="248">
        <v>3.8500000000000001E-3</v>
      </c>
      <c r="BP110" s="35"/>
      <c r="BQ110" s="395">
        <v>1.072231671251269E-2</v>
      </c>
      <c r="BR110" s="345">
        <v>1.8635472649953345E-2</v>
      </c>
      <c r="BS110" s="345">
        <v>2.1022561977737934E-2</v>
      </c>
      <c r="BT110" s="345">
        <v>6.5197626378071163E-3</v>
      </c>
      <c r="BU110" s="345">
        <v>3.8883281102880946E-3</v>
      </c>
      <c r="BV110" s="345">
        <v>1.7673974293778399E-3</v>
      </c>
      <c r="BW110" s="345">
        <v>1.7598559604574098E-3</v>
      </c>
      <c r="BX110" s="345">
        <v>3.8948058805823396E-3</v>
      </c>
      <c r="BY110" s="345">
        <v>4.7849746456400111E-3</v>
      </c>
      <c r="BZ110" s="345">
        <v>7.5831174993525726E-3</v>
      </c>
      <c r="CA110" s="35">
        <v>6.5304656184036842E-3</v>
      </c>
      <c r="CB110" s="35">
        <v>6.0170851543345887E-3</v>
      </c>
      <c r="CC110" s="35">
        <v>5.554289473033441E-3</v>
      </c>
      <c r="CD110" s="35">
        <v>4.1390982555749353E-3</v>
      </c>
      <c r="CE110" s="35">
        <v>1.5145077307842873E-3</v>
      </c>
      <c r="CF110" s="35">
        <v>2.1662329697630998E-3</v>
      </c>
      <c r="CG110" s="35">
        <v>8.3398351384474665E-4</v>
      </c>
      <c r="CH110" s="35">
        <v>7.3347989784871915E-3</v>
      </c>
      <c r="CI110" s="35">
        <v>6.0391852462567935E-3</v>
      </c>
      <c r="CJ110" s="35">
        <v>2.7270533683208188E-3</v>
      </c>
      <c r="CK110" s="37">
        <v>2.988236420876993E-3</v>
      </c>
      <c r="CL110" s="37">
        <v>3.3901585795823616E-3</v>
      </c>
      <c r="CM110" s="37">
        <v>2.5127481780924631E-3</v>
      </c>
      <c r="CN110" s="37">
        <v>1.2245043734302227E-3</v>
      </c>
      <c r="CO110" s="37">
        <v>2.2580181372003874E-3</v>
      </c>
      <c r="CP110" s="37">
        <v>2.0958388095871968E-3</v>
      </c>
      <c r="CQ110" s="37">
        <v>4.6222860693837794E-4</v>
      </c>
      <c r="CR110" s="37">
        <v>2.5576531075969714E-4</v>
      </c>
      <c r="CS110" s="37">
        <v>1.2495461821816919E-3</v>
      </c>
      <c r="CT110" s="37">
        <v>1.6658608786286464E-4</v>
      </c>
      <c r="CU110" s="37">
        <v>-2.4665636533731004E-4</v>
      </c>
      <c r="CV110" s="36">
        <v>4.736368265105804E-4</v>
      </c>
      <c r="CW110" s="35">
        <v>1.0772927245243748E-4</v>
      </c>
      <c r="CX110" s="35">
        <v>2.9993756397555418E-3</v>
      </c>
      <c r="CY110" s="35">
        <v>2.9996000372563289E-3</v>
      </c>
      <c r="CZ110" s="35">
        <v>2.9994580781388209E-3</v>
      </c>
      <c r="DA110" s="35">
        <v>2.9994488574936746E-3</v>
      </c>
      <c r="DB110" s="35">
        <v>2.9994578284752221E-3</v>
      </c>
      <c r="DC110" s="35">
        <v>4.8473465172743507E-3</v>
      </c>
      <c r="DD110" s="35">
        <v>1.0997931397790154E-2</v>
      </c>
      <c r="DE110" s="35">
        <v>3.8492849569211566E-3</v>
      </c>
      <c r="DF110" s="35">
        <v>3.8499999999999997E-3</v>
      </c>
    </row>
    <row r="111" spans="1:110" ht="12" outlineLevel="1">
      <c r="A111" s="1" t="s">
        <v>465</v>
      </c>
      <c r="B111" s="15" t="s">
        <v>490</v>
      </c>
      <c r="C111" s="248">
        <v>1.9551843608361742E-2</v>
      </c>
      <c r="D111" s="248">
        <v>5.0959211656205761E-3</v>
      </c>
      <c r="E111" s="345">
        <v>-1.1497356924348473E-3</v>
      </c>
      <c r="F111" s="248">
        <v>7.7821238805508893E-3</v>
      </c>
      <c r="G111" s="345">
        <v>-4.2341824782531605E-4</v>
      </c>
      <c r="H111" s="248">
        <v>7.1502729231531208E-3</v>
      </c>
      <c r="I111" s="345">
        <v>-4.5651791173510698E-3</v>
      </c>
      <c r="J111" s="248">
        <v>4.0517533613524757E-3</v>
      </c>
      <c r="K111" s="345">
        <v>-1.1398523325123785E-3</v>
      </c>
      <c r="L111" s="248">
        <v>4.1521734920861291E-3</v>
      </c>
      <c r="M111" s="35">
        <v>1.763334307794567E-2</v>
      </c>
      <c r="N111" s="34">
        <v>1.2022246897677689E-2</v>
      </c>
      <c r="O111" s="35">
        <v>1.3346103763438142E-2</v>
      </c>
      <c r="P111" s="35">
        <v>3.46032297698586E-2</v>
      </c>
      <c r="Q111" s="35">
        <v>4.308920607964023E-2</v>
      </c>
      <c r="R111" s="35">
        <v>4.988289408069687E-2</v>
      </c>
      <c r="S111" s="35">
        <v>6.5290689171122254E-2</v>
      </c>
      <c r="T111" s="37">
        <v>5.2178826524169795E-2</v>
      </c>
      <c r="U111" s="35">
        <v>3.7591564792868515E-2</v>
      </c>
      <c r="V111" s="35">
        <v>4.801109066875496E-2</v>
      </c>
      <c r="W111" s="35">
        <v>5.3352973948923015E-2</v>
      </c>
      <c r="X111" s="35">
        <v>4.769581621795993E-2</v>
      </c>
      <c r="Y111" s="37">
        <v>5.3739782718173895E-2</v>
      </c>
      <c r="Z111" s="37">
        <v>4.3930925047909415E-2</v>
      </c>
      <c r="AA111" s="357">
        <v>4.878575822377746E-2</v>
      </c>
      <c r="AB111" s="357">
        <v>5.1861229099855841E-2</v>
      </c>
      <c r="AC111" s="357">
        <v>5.4607143522384535E-2</v>
      </c>
      <c r="AD111" s="357">
        <v>5.3268610424322058E-2</v>
      </c>
      <c r="AE111" s="357">
        <v>6.4378233616190952E-2</v>
      </c>
      <c r="AF111" s="357">
        <v>6.5726077922881099E-2</v>
      </c>
      <c r="AG111" s="357">
        <v>6.8309948216608796E-2</v>
      </c>
      <c r="AH111" s="357">
        <v>7.1037800154727979E-2</v>
      </c>
      <c r="AI111" s="357">
        <v>7.1798756071070266E-2</v>
      </c>
      <c r="AJ111" s="357">
        <v>7.1656353161823394E-2</v>
      </c>
      <c r="AK111" s="357">
        <v>6.5743695849894854E-2</v>
      </c>
      <c r="AL111" s="357">
        <v>5.9868105977351413E-2</v>
      </c>
      <c r="AM111" s="357">
        <v>6.8094532212625555E-2</v>
      </c>
      <c r="AN111" s="357">
        <v>5.7344732864234985E-2</v>
      </c>
      <c r="AO111" s="357">
        <v>4.9300538547160176E-2</v>
      </c>
      <c r="AP111" s="357">
        <v>4.2094768377974039E-2</v>
      </c>
      <c r="AQ111" s="357">
        <v>4.286520879286377E-2</v>
      </c>
      <c r="AR111" s="357">
        <v>3.9509605188731707E-2</v>
      </c>
      <c r="AS111" s="357">
        <v>3.4383020814684022E-2</v>
      </c>
      <c r="AT111" s="357">
        <v>9.3367732862174001E-3</v>
      </c>
      <c r="AU111" s="357">
        <v>1.6768584808190792E-2</v>
      </c>
      <c r="AV111" s="348">
        <v>1.2860065483702872E-2</v>
      </c>
      <c r="AW111" s="248">
        <v>1.2860065483702872E-2</v>
      </c>
      <c r="AX111" s="248">
        <v>1.61E-2</v>
      </c>
      <c r="AY111" s="248">
        <v>1.61E-2</v>
      </c>
      <c r="AZ111" s="248">
        <v>1.61E-2</v>
      </c>
      <c r="BA111" s="248">
        <v>1.61E-2</v>
      </c>
      <c r="BB111" s="248">
        <v>1.61E-2</v>
      </c>
      <c r="BC111" s="248">
        <v>1.61E-2</v>
      </c>
      <c r="BD111" s="248">
        <v>1.61E-2</v>
      </c>
      <c r="BE111" s="248">
        <v>1.61E-2</v>
      </c>
      <c r="BF111" s="248">
        <v>1.61E-2</v>
      </c>
      <c r="BG111" s="248">
        <v>1.61E-2</v>
      </c>
      <c r="BH111" s="248">
        <v>1.61E-2</v>
      </c>
      <c r="BI111" s="248">
        <v>2.5000000000000001E-2</v>
      </c>
      <c r="BJ111" s="248">
        <v>0.05</v>
      </c>
      <c r="BK111" s="248">
        <v>0.05</v>
      </c>
      <c r="BL111" s="248">
        <v>1.6500000000000001E-2</v>
      </c>
      <c r="BM111" s="248">
        <v>1.6500000000000001E-2</v>
      </c>
      <c r="BN111" s="248">
        <v>1.6500000000000001E-2</v>
      </c>
      <c r="BO111" s="248">
        <v>1.6500000000000001E-2</v>
      </c>
      <c r="BP111" s="35"/>
      <c r="BQ111" s="394">
        <v>5.0959211656205761E-3</v>
      </c>
      <c r="BR111" s="394">
        <v>1.0468326595481203E-2</v>
      </c>
      <c r="BS111" s="394">
        <v>3.8322192508250382E-3</v>
      </c>
      <c r="BT111" s="394">
        <v>4.2712874718799122E-3</v>
      </c>
      <c r="BU111" s="394">
        <v>4.0330595122923469E-3</v>
      </c>
      <c r="BV111" s="376">
        <v>5.1215627169953985E-3</v>
      </c>
      <c r="BW111" s="376">
        <v>7.2918874485112884E-3</v>
      </c>
      <c r="BX111" s="376">
        <v>5.3808480602006159E-3</v>
      </c>
      <c r="BY111" s="376">
        <v>9.344573677729992E-3</v>
      </c>
      <c r="BZ111" s="376">
        <v>1.7671621766007301E-2</v>
      </c>
      <c r="CA111" s="38">
        <v>1.2056649909278343E-2</v>
      </c>
      <c r="CB111" s="38">
        <v>8.2608003721437416E-3</v>
      </c>
      <c r="CC111" s="38">
        <v>7.1598364619465003E-3</v>
      </c>
      <c r="CD111" s="38">
        <v>7.7644267903967121E-3</v>
      </c>
      <c r="CE111" s="38">
        <v>1.1192863525761369E-2</v>
      </c>
      <c r="CF111" s="38">
        <v>1.2851630269594008E-2</v>
      </c>
      <c r="CG111" s="35">
        <v>3.6698787721279179E-2</v>
      </c>
      <c r="CH111" s="35">
        <v>5.6773678411398056E-2</v>
      </c>
      <c r="CI111" s="35">
        <v>4.4636304040305178E-2</v>
      </c>
      <c r="CJ111" s="35">
        <v>5.0518625596804888E-2</v>
      </c>
      <c r="CK111" s="37">
        <v>5.0954783658767495E-2</v>
      </c>
      <c r="CL111" s="37">
        <v>4.6369036039786767E-2</v>
      </c>
      <c r="CM111" s="37">
        <v>5.2548794871804791E-2</v>
      </c>
      <c r="CN111" s="37">
        <v>5.9321330940659903E-2</v>
      </c>
      <c r="CO111" s="37">
        <v>6.7932737058772133E-2</v>
      </c>
      <c r="CP111" s="37">
        <v>7.2320981752004201E-2</v>
      </c>
      <c r="CQ111" s="37">
        <v>6.8374354720870542E-2</v>
      </c>
      <c r="CR111" s="37">
        <v>6.8325515034928619E-2</v>
      </c>
      <c r="CS111" s="37">
        <v>6.224492106135384E-2</v>
      </c>
      <c r="CT111" s="37">
        <v>4.6901290863629812E-2</v>
      </c>
      <c r="CU111" s="37">
        <v>3.854684039569687E-2</v>
      </c>
      <c r="CV111" s="36">
        <v>1.3463545946140021E-2</v>
      </c>
      <c r="CW111" s="35">
        <v>1.3977761245559061E-2</v>
      </c>
      <c r="CX111" s="35">
        <v>1.6251321274945767E-2</v>
      </c>
      <c r="CY111" s="35">
        <v>1.6197224400753118E-2</v>
      </c>
      <c r="CZ111" s="35">
        <v>1.623446401374264E-2</v>
      </c>
      <c r="DA111" s="35">
        <v>1.6240266830097466E-2</v>
      </c>
      <c r="DB111" s="35">
        <v>1.6241600736528545E-2</v>
      </c>
      <c r="DC111" s="35">
        <v>2.0765564958475397E-2</v>
      </c>
      <c r="DD111" s="35">
        <v>5.0482944775142313E-2</v>
      </c>
      <c r="DE111" s="35">
        <v>1.6662022624999825E-2</v>
      </c>
      <c r="DF111" s="35">
        <v>1.6500000000000001E-2</v>
      </c>
    </row>
    <row r="112" spans="1:110" ht="12" outlineLevel="1">
      <c r="A112" s="1" t="s">
        <v>466</v>
      </c>
      <c r="B112" s="15" t="s">
        <v>862</v>
      </c>
      <c r="C112" s="345">
        <v>5.9290900662211168E-3</v>
      </c>
      <c r="D112" s="345">
        <v>3.7705005653723605E-3</v>
      </c>
      <c r="E112" s="345">
        <v>5.0944057717344157E-3</v>
      </c>
      <c r="F112" s="345">
        <v>3.4058746102673134E-3</v>
      </c>
      <c r="G112" s="345">
        <v>4.1258361503037312E-3</v>
      </c>
      <c r="H112" s="345">
        <v>3.3353174700780702E-3</v>
      </c>
      <c r="I112" s="345">
        <v>3.0267525873852764E-3</v>
      </c>
      <c r="J112" s="345">
        <v>2.1678238102762655E-3</v>
      </c>
      <c r="K112" s="345">
        <v>2.4282480336368256E-3</v>
      </c>
      <c r="L112" s="345">
        <v>1.0104996799795963E-3</v>
      </c>
      <c r="M112" s="35">
        <v>1.2564098624213574E-3</v>
      </c>
      <c r="N112" s="35">
        <v>1.1225185420585659E-3</v>
      </c>
      <c r="O112" s="35">
        <v>1.8771110420952618E-3</v>
      </c>
      <c r="P112" s="35">
        <v>1.7161053701087899E-3</v>
      </c>
      <c r="Q112" s="35">
        <v>1.8917196142536961E-3</v>
      </c>
      <c r="R112" s="35">
        <v>4.6209039545618384E-3</v>
      </c>
      <c r="S112" s="35">
        <v>5.9989543094279502E-3</v>
      </c>
      <c r="T112" s="37">
        <v>5.3054953505144165E-3</v>
      </c>
      <c r="U112" s="35">
        <v>3.6227169465535233E-3</v>
      </c>
      <c r="V112" s="35">
        <v>3.1857361519135974E-3</v>
      </c>
      <c r="W112" s="35">
        <v>2.9822479129266981E-3</v>
      </c>
      <c r="X112" s="35">
        <v>2.6699587993513716E-3</v>
      </c>
      <c r="Y112" s="37">
        <v>3.4792449477294889E-3</v>
      </c>
      <c r="Z112" s="228">
        <v>3.3595787396660361E-3</v>
      </c>
      <c r="AA112" s="228">
        <v>2.7559957517636511E-3</v>
      </c>
      <c r="AB112" s="357">
        <v>2.314320644457293E-3</v>
      </c>
      <c r="AC112" s="357">
        <v>3.0064725959206961E-3</v>
      </c>
      <c r="AD112" s="357">
        <v>1.8443322019657605E-3</v>
      </c>
      <c r="AE112" s="357">
        <v>2.4000108517709222E-3</v>
      </c>
      <c r="AF112" s="357">
        <v>2.0220281268831723E-3</v>
      </c>
      <c r="AG112" s="357">
        <v>3.422463774690826E-3</v>
      </c>
      <c r="AH112" s="357">
        <v>2.84343953882855E-3</v>
      </c>
      <c r="AI112" s="357">
        <v>2.4183505620931581E-3</v>
      </c>
      <c r="AJ112" s="357">
        <v>1.9431805626357185E-3</v>
      </c>
      <c r="AK112" s="357">
        <v>1.5120014939617058E-3</v>
      </c>
      <c r="AL112" s="357">
        <v>1.3862604981392647E-3</v>
      </c>
      <c r="AM112" s="357">
        <v>1.5518677726958472E-3</v>
      </c>
      <c r="AN112" s="357">
        <v>1.2073319782547934E-3</v>
      </c>
      <c r="AO112" s="357">
        <v>1.7286966944026448E-3</v>
      </c>
      <c r="AP112" s="357">
        <v>8.6176343819739556E-4</v>
      </c>
      <c r="AQ112" s="357">
        <v>6.5203428416363079E-4</v>
      </c>
      <c r="AR112" s="357">
        <v>4.0632697484186645E-4</v>
      </c>
      <c r="AS112" s="357">
        <v>3.1230519516891518E-4</v>
      </c>
      <c r="AT112" s="357">
        <v>2.5946978829753344E-4</v>
      </c>
      <c r="AU112" s="357">
        <v>4.8469953507758429E-4</v>
      </c>
      <c r="AV112" s="348">
        <v>2.0482482958875391E-4</v>
      </c>
      <c r="AW112" s="345">
        <v>1.8881716249548064E-4</v>
      </c>
      <c r="AX112" s="345">
        <v>1.4750379066507733E-3</v>
      </c>
      <c r="AY112" s="345">
        <v>1.470478766460995E-3</v>
      </c>
      <c r="AZ112" s="345">
        <v>1.4622390533557857E-3</v>
      </c>
      <c r="BA112" s="345">
        <v>1.4614932724855388E-3</v>
      </c>
      <c r="BB112" s="345">
        <v>1.4631251739066842E-3</v>
      </c>
      <c r="BC112" s="345">
        <v>1.4657953265701518E-3</v>
      </c>
      <c r="BD112" s="345">
        <v>1.4689892451440936E-3</v>
      </c>
      <c r="BE112" s="345">
        <v>1.4722155374223762E-3</v>
      </c>
      <c r="BF112" s="345">
        <v>1.475474407462271E-3</v>
      </c>
      <c r="BG112" s="345">
        <v>1.4787660552366927E-3</v>
      </c>
      <c r="BH112" s="345">
        <v>1.5415183483124273E-3</v>
      </c>
      <c r="BI112" s="345">
        <v>2.948922920793406E-3</v>
      </c>
      <c r="BJ112" s="345">
        <v>4.9534649065008087E-3</v>
      </c>
      <c r="BK112" s="345">
        <v>4.9691697992847624E-3</v>
      </c>
      <c r="BL112" s="345">
        <v>1.857173093948779E-3</v>
      </c>
      <c r="BM112" s="345">
        <v>1.8626631960122545E-3</v>
      </c>
      <c r="BN112" s="345">
        <v>1.8653954300582394E-3</v>
      </c>
      <c r="BO112" s="345">
        <v>1.8653954300582387E-3</v>
      </c>
      <c r="BP112" s="35"/>
      <c r="BQ112" s="345">
        <v>1.0025704827465254E-2</v>
      </c>
      <c r="BR112" s="345">
        <v>1.8862478204468437E-2</v>
      </c>
      <c r="BS112" s="345">
        <v>1.8529140498349465E-2</v>
      </c>
      <c r="BT112" s="345">
        <v>5.6562164360752214E-3</v>
      </c>
      <c r="BU112" s="345">
        <v>3.4811870847959153E-3</v>
      </c>
      <c r="BV112" s="345">
        <v>1.5687012722167318E-3</v>
      </c>
      <c r="BW112" s="345">
        <v>1.7319277108433734E-3</v>
      </c>
      <c r="BX112" s="345">
        <v>2.990317881929569E-3</v>
      </c>
      <c r="BY112" s="345">
        <v>3.783982929861996E-3</v>
      </c>
      <c r="BZ112" s="345">
        <v>5.5290072554561613E-3</v>
      </c>
      <c r="CA112" s="35">
        <v>4.4457640896758696E-3</v>
      </c>
      <c r="CB112" s="35">
        <v>3.771107101152877E-3</v>
      </c>
      <c r="CC112" s="35">
        <v>3.1770727479576797E-3</v>
      </c>
      <c r="CD112" s="35">
        <v>2.302014404260205E-3</v>
      </c>
      <c r="CE112" s="35">
        <v>1.1337387541984969E-3</v>
      </c>
      <c r="CF112" s="35">
        <v>1.5111328261324772E-3</v>
      </c>
      <c r="CG112" s="35">
        <v>1.8062352809917106E-3</v>
      </c>
      <c r="CH112" s="35">
        <v>5.3007605439041256E-3</v>
      </c>
      <c r="CI112" s="35">
        <v>4.41709169090397E-3</v>
      </c>
      <c r="CJ112" s="35">
        <v>3.0821732160696354E-3</v>
      </c>
      <c r="CK112" s="37">
        <v>3.0840124221819211E-3</v>
      </c>
      <c r="CL112" s="37">
        <v>3.0540700356741371E-3</v>
      </c>
      <c r="CM112" s="37">
        <v>2.6696851907223101E-3</v>
      </c>
      <c r="CN112" s="37">
        <v>2.1327027012434468E-3</v>
      </c>
      <c r="CO112" s="37">
        <v>2.7222835240141704E-3</v>
      </c>
      <c r="CP112" s="37">
        <v>2.6298216388545826E-3</v>
      </c>
      <c r="CQ112" s="37">
        <v>1.7248281785426436E-3</v>
      </c>
      <c r="CR112" s="37">
        <v>1.4695777005191146E-3</v>
      </c>
      <c r="CS112" s="37">
        <v>1.4686056661776816E-3</v>
      </c>
      <c r="CT112" s="37">
        <v>7.5653662983378347E-4</v>
      </c>
      <c r="CU112" s="37">
        <v>3.5871193628575563E-4</v>
      </c>
      <c r="CV112" s="36">
        <v>3.7247258030639343E-4</v>
      </c>
      <c r="CW112" s="35">
        <v>1.9660660626973932E-4</v>
      </c>
      <c r="CX112" s="35">
        <v>1.4727338658492922E-3</v>
      </c>
      <c r="CY112" s="35">
        <v>1.4618628779188953E-3</v>
      </c>
      <c r="CZ112" s="35">
        <v>1.4644749274411899E-3</v>
      </c>
      <c r="DA112" s="35">
        <v>1.4706167814606444E-3</v>
      </c>
      <c r="DB112" s="35">
        <v>1.477139523059127E-3</v>
      </c>
      <c r="DC112" s="35">
        <v>2.2535116470866249E-3</v>
      </c>
      <c r="DD112" s="35">
        <v>4.9614195815653392E-3</v>
      </c>
      <c r="DE112" s="35">
        <v>1.8599475398048948E-3</v>
      </c>
      <c r="DF112" s="35">
        <v>1.865395430058239E-3</v>
      </c>
    </row>
    <row r="113" spans="1:110" ht="12" outlineLevel="1">
      <c r="A113" s="1" t="s">
        <v>467</v>
      </c>
      <c r="B113" s="15" t="s">
        <v>424</v>
      </c>
      <c r="C113" s="345">
        <v>1.6068060831201457E-2</v>
      </c>
      <c r="D113" s="345">
        <v>5.8357791640149276E-3</v>
      </c>
      <c r="E113" s="345">
        <v>8.1595427776899269E-3</v>
      </c>
      <c r="F113" s="345">
        <v>5.5729503487343419E-3</v>
      </c>
      <c r="G113" s="345">
        <v>6.9064022627590193E-3</v>
      </c>
      <c r="H113" s="345">
        <v>5.8413852415011265E-3</v>
      </c>
      <c r="I113" s="345">
        <v>5.5657139390622723E-3</v>
      </c>
      <c r="J113" s="345">
        <v>4.1432667974587306E-3</v>
      </c>
      <c r="K113" s="345">
        <v>4.6704553198857772E-3</v>
      </c>
      <c r="L113" s="345">
        <v>2.057068537409678E-3</v>
      </c>
      <c r="M113" s="35">
        <v>2.5748539607420794E-3</v>
      </c>
      <c r="N113" s="35">
        <v>2.3218915688662995E-3</v>
      </c>
      <c r="O113" s="35">
        <v>3.8763961929650253E-3</v>
      </c>
      <c r="P113" s="35">
        <v>3.4446283656310648E-3</v>
      </c>
      <c r="Q113" s="35">
        <v>3.7560430342969387E-3</v>
      </c>
      <c r="R113" s="35">
        <v>9.222335404066943E-3</v>
      </c>
      <c r="S113" s="35">
        <v>1.2549782649273457E-2</v>
      </c>
      <c r="T113" s="37">
        <v>1.1508505705611374E-2</v>
      </c>
      <c r="U113" s="35">
        <v>7.9340664870936502E-3</v>
      </c>
      <c r="V113" s="35">
        <v>6.9597137622918201E-3</v>
      </c>
      <c r="W113" s="35">
        <v>6.419637979577235E-3</v>
      </c>
      <c r="X113" s="35">
        <v>5.7397766510724349E-3</v>
      </c>
      <c r="Y113" s="37">
        <v>7.4578416298385812E-3</v>
      </c>
      <c r="Z113" s="228">
        <v>7.0172379258678051E-3</v>
      </c>
      <c r="AA113" s="228">
        <v>5.6979803939380342E-3</v>
      </c>
      <c r="AB113" s="357">
        <v>4.7673791899275749E-3</v>
      </c>
      <c r="AC113" s="357">
        <v>6.2114552623128644E-3</v>
      </c>
      <c r="AD113" s="357">
        <v>3.7850357944470155E-3</v>
      </c>
      <c r="AE113" s="357">
        <v>4.9814122073448324E-3</v>
      </c>
      <c r="AF113" s="357">
        <v>4.3432269882379458E-3</v>
      </c>
      <c r="AG113" s="357">
        <v>7.644459469554144E-3</v>
      </c>
      <c r="AH113" s="357">
        <v>6.4755102607569216E-3</v>
      </c>
      <c r="AI113" s="357">
        <v>5.623290071808465E-3</v>
      </c>
      <c r="AJ113" s="357">
        <v>4.5740480545214393E-3</v>
      </c>
      <c r="AK113" s="357">
        <v>3.523154933597253E-3</v>
      </c>
      <c r="AL113" s="357">
        <v>3.2039072843350145E-3</v>
      </c>
      <c r="AM113" s="357">
        <v>3.521152248686041E-3</v>
      </c>
      <c r="AN113" s="357">
        <v>2.6419626273151546E-3</v>
      </c>
      <c r="AO113" s="357">
        <v>3.8474936976154498E-3</v>
      </c>
      <c r="AP113" s="357">
        <v>2.078151631113999E-3</v>
      </c>
      <c r="AQ113" s="357">
        <v>1.5914147757570855E-3</v>
      </c>
      <c r="AR113" s="357">
        <v>9.5837542178055842E-4</v>
      </c>
      <c r="AS113" s="357">
        <v>7.1217864272469166E-4</v>
      </c>
      <c r="AT113" s="357">
        <v>5.8756899654790052E-4</v>
      </c>
      <c r="AU113" s="357">
        <v>1.1170718564776228E-3</v>
      </c>
      <c r="AV113" s="348">
        <v>4.8184728196468178E-4</v>
      </c>
      <c r="AW113" s="345">
        <v>4.5735682973494185E-4</v>
      </c>
      <c r="AX113" s="345">
        <v>3.7026498147234434E-3</v>
      </c>
      <c r="AY113" s="345">
        <v>3.7031269515830361E-3</v>
      </c>
      <c r="AZ113" s="345">
        <v>3.7078015487260526E-3</v>
      </c>
      <c r="BA113" s="345">
        <v>3.7062677731657953E-3</v>
      </c>
      <c r="BB113" s="345">
        <v>3.7020981449876348E-3</v>
      </c>
      <c r="BC113" s="345">
        <v>3.6966049148028819E-3</v>
      </c>
      <c r="BD113" s="345">
        <v>3.6904985300129658E-3</v>
      </c>
      <c r="BE113" s="345">
        <v>3.6844203449713803E-3</v>
      </c>
      <c r="BF113" s="345">
        <v>3.678370658344489E-3</v>
      </c>
      <c r="BG113" s="345">
        <v>3.6723497521739031E-3</v>
      </c>
      <c r="BH113" s="345">
        <v>3.8133685420265783E-3</v>
      </c>
      <c r="BI113" s="345">
        <v>7.2666430055082099E-3</v>
      </c>
      <c r="BJ113" s="345">
        <v>1.2157226111010493E-2</v>
      </c>
      <c r="BK113" s="345">
        <v>1.2143935002369544E-2</v>
      </c>
      <c r="BL113" s="345">
        <v>4.5187823784049608E-3</v>
      </c>
      <c r="BM113" s="345">
        <v>4.5121873409922847E-3</v>
      </c>
      <c r="BN113" s="345">
        <v>4.5089409448960723E-3</v>
      </c>
      <c r="BO113" s="345">
        <v>4.5089409448960732E-3</v>
      </c>
      <c r="BP113" s="35"/>
      <c r="BQ113" s="345">
        <v>1.6490837066919246E-2</v>
      </c>
      <c r="BR113" s="345">
        <v>2.4566057932410748E-2</v>
      </c>
      <c r="BS113" s="345">
        <v>2.4415765781397831E-2</v>
      </c>
      <c r="BT113" s="345">
        <v>7.5679577353174113E-3</v>
      </c>
      <c r="BU113" s="345">
        <v>4.665700655819607E-3</v>
      </c>
      <c r="BV113" s="345">
        <v>2.1000466675109536E-3</v>
      </c>
      <c r="BW113" s="345">
        <v>2.3084654742170883E-3</v>
      </c>
      <c r="BX113" s="345">
        <v>4.0869730136846201E-3</v>
      </c>
      <c r="BY113" s="345">
        <v>5.4117439033305971E-3</v>
      </c>
      <c r="BZ113" s="345">
        <v>8.246652879948033E-3</v>
      </c>
      <c r="CA113" s="35">
        <v>7.0050925936227942E-3</v>
      </c>
      <c r="CB113" s="35">
        <v>6.2392277445860239E-3</v>
      </c>
      <c r="CC113" s="35">
        <v>5.7126463036368293E-3</v>
      </c>
      <c r="CD113" s="35">
        <v>4.4136870624069402E-3</v>
      </c>
      <c r="CE113" s="35">
        <v>2.3144449370703E-3</v>
      </c>
      <c r="CF113" s="35">
        <v>3.1083215019220029E-3</v>
      </c>
      <c r="CG113" s="35">
        <v>3.6197974954661071E-3</v>
      </c>
      <c r="CH113" s="35">
        <v>1.0851054540975803E-2</v>
      </c>
      <c r="CI113" s="35">
        <v>9.6014636358332656E-3</v>
      </c>
      <c r="CJ113" s="35">
        <v>6.7152682062466794E-3</v>
      </c>
      <c r="CK113" s="37">
        <v>6.6100287460476113E-3</v>
      </c>
      <c r="CL113" s="37">
        <v>6.3620778199625543E-3</v>
      </c>
      <c r="CM113" s="37">
        <v>5.5161290296440709E-3</v>
      </c>
      <c r="CN113" s="37">
        <v>4.4138781561126519E-3</v>
      </c>
      <c r="CO113" s="37">
        <v>5.9060927886244122E-3</v>
      </c>
      <c r="CP113" s="37">
        <v>6.0297171886314668E-3</v>
      </c>
      <c r="CQ113" s="37">
        <v>4.0211049455974937E-3</v>
      </c>
      <c r="CR113" s="37">
        <v>3.3372216919809916E-3</v>
      </c>
      <c r="CS113" s="37">
        <v>3.3227044418645451E-3</v>
      </c>
      <c r="CT113" s="37">
        <v>1.8143885860682201E-3</v>
      </c>
      <c r="CU113" s="37">
        <v>8.3161978339390695E-4</v>
      </c>
      <c r="CV113" s="36">
        <v>8.5090478595976936E-4</v>
      </c>
      <c r="CW113" s="35">
        <v>4.6945284325044352E-4</v>
      </c>
      <c r="CX113" s="35">
        <v>3.7028905595407253E-3</v>
      </c>
      <c r="CY113" s="35">
        <v>3.7070279419644985E-3</v>
      </c>
      <c r="CZ113" s="35">
        <v>3.6993167923308132E-3</v>
      </c>
      <c r="DA113" s="35">
        <v>3.6874264892388809E-3</v>
      </c>
      <c r="DB113" s="35">
        <v>3.6753190987174928E-3</v>
      </c>
      <c r="DC113" s="35">
        <v>5.5637072970536839E-3</v>
      </c>
      <c r="DD113" s="35">
        <v>1.2150479890171793E-2</v>
      </c>
      <c r="DE113" s="35">
        <v>4.5154422750198538E-3</v>
      </c>
      <c r="DF113" s="35">
        <v>4.5089409448960732E-3</v>
      </c>
    </row>
    <row r="114" spans="1:110" ht="12" outlineLevel="1">
      <c r="A114" s="1" t="s">
        <v>468</v>
      </c>
      <c r="B114" s="15" t="s">
        <v>625</v>
      </c>
      <c r="C114" s="345">
        <v>1.4908795273156153E-2</v>
      </c>
      <c r="D114" s="345">
        <v>1.7561910997825222E-2</v>
      </c>
      <c r="E114" s="345">
        <v>1.451901436897686E-2</v>
      </c>
      <c r="F114" s="345">
        <v>1.3319073398238089E-2</v>
      </c>
      <c r="G114" s="345">
        <v>1.1299435028248588E-2</v>
      </c>
      <c r="H114" s="345">
        <v>8.9077703165684526E-3</v>
      </c>
      <c r="I114" s="345">
        <v>8.0443251353525501E-3</v>
      </c>
      <c r="J114" s="345">
        <v>6.3763860317026747E-3</v>
      </c>
      <c r="K114" s="345">
        <v>5.7823625776523445E-3</v>
      </c>
      <c r="L114" s="345">
        <v>6.3181943514397133E-3</v>
      </c>
      <c r="M114" s="35">
        <v>5.2635547847070356E-3</v>
      </c>
      <c r="N114" s="35">
        <v>5.4619703930576828E-3</v>
      </c>
      <c r="O114" s="35">
        <v>4.6800000000000001E-3</v>
      </c>
      <c r="P114" s="35">
        <v>6.5422042647654728E-3</v>
      </c>
      <c r="Q114" s="35">
        <v>1.488962294104868E-2</v>
      </c>
      <c r="R114" s="35">
        <v>2.3368346512451316E-2</v>
      </c>
      <c r="S114" s="35">
        <v>3.4112317625611982E-2</v>
      </c>
      <c r="T114" s="37">
        <v>4.0633186555933336E-2</v>
      </c>
      <c r="U114" s="35">
        <v>3.9187930045871559E-2</v>
      </c>
      <c r="V114" s="35">
        <v>3.4935307066804436E-2</v>
      </c>
      <c r="W114" s="35">
        <v>2.9625500968760782E-2</v>
      </c>
      <c r="X114" s="35">
        <v>2.7487254412725523E-2</v>
      </c>
      <c r="Y114" s="37">
        <v>2.5710171747509884E-2</v>
      </c>
      <c r="Z114" s="228">
        <v>2.124100034457119E-2</v>
      </c>
      <c r="AA114" s="228">
        <v>1.8194852188161397E-2</v>
      </c>
      <c r="AB114" s="228">
        <v>1.4551476854308363E-2</v>
      </c>
      <c r="AC114" s="228">
        <v>1.1367481683756581E-2</v>
      </c>
      <c r="AD114" s="228">
        <v>9.9045389707764896E-3</v>
      </c>
      <c r="AE114" s="228">
        <v>9.949757202504456E-3</v>
      </c>
      <c r="AF114" s="228">
        <v>1.1433670434265318E-2</v>
      </c>
      <c r="AG114" s="228">
        <v>1.2376594856672557E-2</v>
      </c>
      <c r="AH114" s="228">
        <v>1.1809031097115223E-2</v>
      </c>
      <c r="AI114" s="228">
        <v>9.6857415645885386E-3</v>
      </c>
      <c r="AJ114" s="228">
        <v>8.1416014217781836E-3</v>
      </c>
      <c r="AK114" s="228">
        <v>8.1747618083077601E-3</v>
      </c>
      <c r="AL114" s="228">
        <v>8.0507560825202502E-3</v>
      </c>
      <c r="AM114" s="228">
        <v>7.3919712044650566E-3</v>
      </c>
      <c r="AN114" s="228">
        <v>8.3474384380429929E-3</v>
      </c>
      <c r="AO114" s="228">
        <v>9.3525836559892293E-3</v>
      </c>
      <c r="AP114" s="228">
        <v>9.928138423862861E-3</v>
      </c>
      <c r="AQ114" s="228">
        <v>7.5521153609642106E-3</v>
      </c>
      <c r="AR114" s="228">
        <v>6.1074758506330833E-3</v>
      </c>
      <c r="AS114" s="228">
        <v>4.8327759197324413E-3</v>
      </c>
      <c r="AT114" s="228">
        <v>4.0320565154367783E-3</v>
      </c>
      <c r="AU114" s="228">
        <v>5.0175002226701283E-3</v>
      </c>
      <c r="AV114" s="39">
        <v>5.0503874292596425E-3</v>
      </c>
      <c r="AW114" s="248">
        <v>5.3029068007226249E-3</v>
      </c>
      <c r="AX114" s="248">
        <v>5.1438195967009465E-3</v>
      </c>
      <c r="AY114" s="248">
        <v>5.5296060664535174E-3</v>
      </c>
      <c r="AZ114" s="248">
        <v>5.944326521437531E-3</v>
      </c>
      <c r="BA114" s="248">
        <v>6.2415428475094074E-3</v>
      </c>
      <c r="BB114" s="248">
        <v>6.2415428475094074E-3</v>
      </c>
      <c r="BC114" s="248">
        <v>5.9294657051339366E-3</v>
      </c>
      <c r="BD114" s="248">
        <v>5.6329924198772396E-3</v>
      </c>
      <c r="BE114" s="248">
        <v>5.3513427988833772E-3</v>
      </c>
      <c r="BF114" s="248">
        <v>5.3513427988833772E-3</v>
      </c>
      <c r="BG114" s="248">
        <v>5.3513427988833772E-3</v>
      </c>
      <c r="BH114" s="248">
        <v>6.8229620685763053E-3</v>
      </c>
      <c r="BI114" s="248">
        <v>7.8464063788627504E-3</v>
      </c>
      <c r="BJ114" s="248">
        <v>8.6310470167490268E-3</v>
      </c>
      <c r="BK114" s="248">
        <v>8.1994946659115758E-3</v>
      </c>
      <c r="BL114" s="248">
        <v>8.0355047725933441E-3</v>
      </c>
      <c r="BM114" s="248">
        <v>7.8747946771414775E-3</v>
      </c>
      <c r="BN114" s="248">
        <v>7.8747946771414775E-3</v>
      </c>
      <c r="BO114" s="248">
        <v>7.8747946771414775E-3</v>
      </c>
      <c r="BP114" s="35"/>
      <c r="BQ114" s="345">
        <v>8.3287551167524621E-2</v>
      </c>
      <c r="BR114" s="345">
        <v>8.1401809341905496E-2</v>
      </c>
      <c r="BS114" s="345">
        <v>5.2650867334473495E-2</v>
      </c>
      <c r="BT114" s="345">
        <v>3.2000594367161371E-2</v>
      </c>
      <c r="BU114" s="345">
        <v>2.0490046528850676E-2</v>
      </c>
      <c r="BV114" s="345">
        <v>1.3556179734357439E-2</v>
      </c>
      <c r="BW114" s="345">
        <v>2.2182373228890585E-2</v>
      </c>
      <c r="BX114" s="345">
        <v>1.9945062958821529E-2</v>
      </c>
      <c r="BY114" s="345">
        <v>1.7097308778563594E-2</v>
      </c>
      <c r="BZ114" s="345">
        <v>1.4908795273156153E-2</v>
      </c>
      <c r="CA114" s="35">
        <v>1.451901436897686E-2</v>
      </c>
      <c r="CB114" s="35">
        <v>1.1299435028248588E-2</v>
      </c>
      <c r="CC114" s="35">
        <v>8.0443251353525501E-3</v>
      </c>
      <c r="CD114" s="35">
        <v>5.7823625776523445E-3</v>
      </c>
      <c r="CE114" s="35">
        <v>5.2635547847070356E-3</v>
      </c>
      <c r="CF114" s="35">
        <v>4.6800000000000001E-3</v>
      </c>
      <c r="CG114" s="35">
        <v>1.488962294104868E-2</v>
      </c>
      <c r="CH114" s="35">
        <v>3.4112317625611982E-2</v>
      </c>
      <c r="CI114" s="35">
        <v>3.9187930045871559E-2</v>
      </c>
      <c r="CJ114" s="35">
        <v>2.9625500968760782E-2</v>
      </c>
      <c r="CK114" s="37">
        <v>2.5710171747509884E-2</v>
      </c>
      <c r="CL114" s="37">
        <v>1.8194852188161397E-2</v>
      </c>
      <c r="CM114" s="37">
        <v>1.1367481683756581E-2</v>
      </c>
      <c r="CN114" s="37">
        <v>9.949757202504456E-3</v>
      </c>
      <c r="CO114" s="37">
        <v>1.2376594856672557E-2</v>
      </c>
      <c r="CP114" s="37">
        <v>9.6857415645885386E-3</v>
      </c>
      <c r="CQ114" s="37">
        <v>8.1747618083077601E-3</v>
      </c>
      <c r="CR114" s="37">
        <v>7.3919712044650566E-3</v>
      </c>
      <c r="CS114" s="37">
        <v>9.3525836559892293E-3</v>
      </c>
      <c r="CT114" s="37">
        <v>7.5521153609642106E-3</v>
      </c>
      <c r="CU114" s="37">
        <v>4.8327759197324413E-3</v>
      </c>
      <c r="CV114" s="36">
        <v>5.0175002226701283E-3</v>
      </c>
      <c r="CW114" s="35">
        <v>5.3029068007226249E-3</v>
      </c>
      <c r="CX114" s="35">
        <v>5.5296060664535174E-3</v>
      </c>
      <c r="CY114" s="35">
        <v>6.2415428475094074E-3</v>
      </c>
      <c r="CZ114" s="35">
        <v>5.9294657051339366E-3</v>
      </c>
      <c r="DA114" s="35">
        <v>5.3513427988833772E-3</v>
      </c>
      <c r="DB114" s="35">
        <v>5.3513427988833772E-3</v>
      </c>
      <c r="DC114" s="35">
        <v>7.8464063788627504E-3</v>
      </c>
      <c r="DD114" s="35">
        <v>8.1994946659115758E-3</v>
      </c>
      <c r="DE114" s="35">
        <v>7.8747946771414775E-3</v>
      </c>
      <c r="DF114" s="35">
        <v>7.8747946771414775E-3</v>
      </c>
    </row>
    <row r="115" spans="1:110" ht="12" outlineLevel="1">
      <c r="A115" s="1" t="s">
        <v>469</v>
      </c>
      <c r="B115" s="15" t="s">
        <v>515</v>
      </c>
      <c r="C115" s="207">
        <v>0.38402457757296465</v>
      </c>
      <c r="D115" s="207">
        <v>0.39214380825565914</v>
      </c>
      <c r="E115" s="207">
        <v>0.46502384737678853</v>
      </c>
      <c r="F115" s="207">
        <v>0.46192052980132453</v>
      </c>
      <c r="G115" s="207">
        <v>0.4627151051625239</v>
      </c>
      <c r="H115" s="207">
        <v>0.42974358974358973</v>
      </c>
      <c r="I115" s="207">
        <v>0.43146067415730338</v>
      </c>
      <c r="J115" s="207">
        <v>0.42971887550200805</v>
      </c>
      <c r="K115" s="207">
        <v>0.38288920056100983</v>
      </c>
      <c r="L115" s="207">
        <v>0.3940149625935162</v>
      </c>
      <c r="M115" s="30">
        <v>0.40974212034383956</v>
      </c>
      <c r="N115" s="30">
        <v>0.40320427236315087</v>
      </c>
      <c r="O115" s="30">
        <v>0.38461538461538464</v>
      </c>
      <c r="P115" s="30">
        <v>0.28366247755834828</v>
      </c>
      <c r="Q115" s="30">
        <v>0.25252525252525254</v>
      </c>
      <c r="R115" s="30">
        <v>0.32251082251082253</v>
      </c>
      <c r="S115" s="30">
        <v>0.27274352100089366</v>
      </c>
      <c r="T115" s="32">
        <v>0.24279835390946503</v>
      </c>
      <c r="U115" s="30">
        <v>0.28577960676726111</v>
      </c>
      <c r="V115" s="30">
        <v>0.27600064298344318</v>
      </c>
      <c r="W115" s="30">
        <v>0.30406737143881024</v>
      </c>
      <c r="X115" s="30">
        <v>0.32079356166947409</v>
      </c>
      <c r="Y115" s="32">
        <v>0.34122401847575057</v>
      </c>
      <c r="Z115" s="139">
        <v>0.32934898612593383</v>
      </c>
      <c r="AA115" s="139">
        <v>0.34404315196998125</v>
      </c>
      <c r="AB115" s="139">
        <v>0.40607734806629836</v>
      </c>
      <c r="AC115" s="139">
        <v>0.40706126687435101</v>
      </c>
      <c r="AD115" s="139">
        <v>0.41137370753323488</v>
      </c>
      <c r="AE115" s="139">
        <v>0.3902169915410077</v>
      </c>
      <c r="AF115" s="139">
        <v>0.42941380506416926</v>
      </c>
      <c r="AG115" s="139">
        <v>0.41191301607311692</v>
      </c>
      <c r="AH115" s="139">
        <v>0.4316326530612245</v>
      </c>
      <c r="AI115" s="139">
        <v>0.47651006711409394</v>
      </c>
      <c r="AJ115" s="139">
        <v>0.49950835791543757</v>
      </c>
      <c r="AK115" s="139">
        <v>0.43010752688172044</v>
      </c>
      <c r="AL115" s="139">
        <v>0.41870300751879697</v>
      </c>
      <c r="AM115" s="139">
        <v>0.40118284869393789</v>
      </c>
      <c r="AN115" s="139">
        <v>0.42054636398614853</v>
      </c>
      <c r="AO115" s="139">
        <v>0.36234241561610409</v>
      </c>
      <c r="AP115" s="139">
        <v>0.32713303679741207</v>
      </c>
      <c r="AQ115" s="139">
        <v>0.34961832061068704</v>
      </c>
      <c r="AR115" s="139">
        <v>0.37214745465184318</v>
      </c>
      <c r="AS115" s="139">
        <v>0.37508650519031139</v>
      </c>
      <c r="AT115" s="139">
        <v>0.34793388429752065</v>
      </c>
      <c r="AU115" s="139">
        <v>0.24720578566732412</v>
      </c>
      <c r="AV115" s="140">
        <v>0.21409749670619235</v>
      </c>
      <c r="AW115" s="347">
        <v>0.214</v>
      </c>
      <c r="AX115" s="347">
        <v>0.214</v>
      </c>
      <c r="AY115" s="347">
        <v>0.214</v>
      </c>
      <c r="AZ115" s="347">
        <v>0.214</v>
      </c>
      <c r="BA115" s="347">
        <v>0.214</v>
      </c>
      <c r="BB115" s="347">
        <v>0.214</v>
      </c>
      <c r="BC115" s="347">
        <v>0.214</v>
      </c>
      <c r="BD115" s="347">
        <v>0.214</v>
      </c>
      <c r="BE115" s="347">
        <v>0.214</v>
      </c>
      <c r="BF115" s="347">
        <v>0.214</v>
      </c>
      <c r="BG115" s="347">
        <v>0.214</v>
      </c>
      <c r="BH115" s="33">
        <v>0.214</v>
      </c>
      <c r="BI115" s="33">
        <v>0.214</v>
      </c>
      <c r="BJ115" s="347">
        <v>0.214</v>
      </c>
      <c r="BK115" s="347">
        <v>0.214</v>
      </c>
      <c r="BL115" s="347">
        <v>0.214</v>
      </c>
      <c r="BM115" s="347">
        <v>0.214</v>
      </c>
      <c r="BN115" s="347">
        <v>0.214</v>
      </c>
      <c r="BO115" s="347">
        <v>0.214</v>
      </c>
      <c r="BP115" s="30"/>
      <c r="BQ115" s="207">
        <v>0.45845884012658716</v>
      </c>
      <c r="BR115" s="207">
        <v>0.44087382266296005</v>
      </c>
      <c r="BS115" s="207">
        <v>0.35962877030162416</v>
      </c>
      <c r="BT115" s="207">
        <v>0.3724137931034483</v>
      </c>
      <c r="BU115" s="207">
        <v>0.37985074626865672</v>
      </c>
      <c r="BV115" s="207">
        <v>0.47187499999999999</v>
      </c>
      <c r="BW115" s="207">
        <v>0.46271186440677964</v>
      </c>
      <c r="BX115" s="207">
        <v>0.55271176112126752</v>
      </c>
      <c r="BY115" s="207">
        <v>0.48395904436860065</v>
      </c>
      <c r="BZ115" s="207">
        <v>0.38402457757296465</v>
      </c>
      <c r="CA115" s="30">
        <v>0.46502384737678853</v>
      </c>
      <c r="CB115" s="30">
        <v>0.4627151051625239</v>
      </c>
      <c r="CC115" s="30">
        <v>0.43146067415730338</v>
      </c>
      <c r="CD115" s="30">
        <v>0.38288920056100983</v>
      </c>
      <c r="CE115" s="30">
        <v>0.40974212034383956</v>
      </c>
      <c r="CF115" s="30">
        <v>0.38461538461538464</v>
      </c>
      <c r="CG115" s="30">
        <v>0.25252525252525254</v>
      </c>
      <c r="CH115" s="30">
        <v>0.27274352100089366</v>
      </c>
      <c r="CI115" s="30">
        <v>0.28577960676726111</v>
      </c>
      <c r="CJ115" s="30">
        <v>0.30406737143881024</v>
      </c>
      <c r="CK115" s="32">
        <v>0.34122401847575057</v>
      </c>
      <c r="CL115" s="32">
        <v>0.34404315196998125</v>
      </c>
      <c r="CM115" s="32">
        <v>0.40706126687435101</v>
      </c>
      <c r="CN115" s="32">
        <v>0.3902169915410077</v>
      </c>
      <c r="CO115" s="32">
        <v>0.41191301607311692</v>
      </c>
      <c r="CP115" s="32">
        <v>0.47651006711409394</v>
      </c>
      <c r="CQ115" s="32">
        <v>0.43010752688172044</v>
      </c>
      <c r="CR115" s="32">
        <v>0.40118284869393789</v>
      </c>
      <c r="CS115" s="32">
        <v>0.36234241561610409</v>
      </c>
      <c r="CT115" s="32">
        <v>0.34961832061068704</v>
      </c>
      <c r="CU115" s="32">
        <v>0.37508650519031139</v>
      </c>
      <c r="CV115" s="31">
        <v>0.24720578566732412</v>
      </c>
      <c r="CW115" s="30">
        <v>0.21400000000000002</v>
      </c>
      <c r="CX115" s="30">
        <v>0.214</v>
      </c>
      <c r="CY115" s="30">
        <v>0.214</v>
      </c>
      <c r="CZ115" s="30">
        <v>0.214</v>
      </c>
      <c r="DA115" s="30">
        <v>0.21400000000000002</v>
      </c>
      <c r="DB115" s="30">
        <v>0.214</v>
      </c>
      <c r="DC115" s="30">
        <v>0.214</v>
      </c>
      <c r="DD115" s="30">
        <v>0.214</v>
      </c>
      <c r="DE115" s="30">
        <v>0.21399999999999997</v>
      </c>
      <c r="DF115" s="30">
        <v>0.214</v>
      </c>
    </row>
    <row r="116" spans="1:110" ht="12" outlineLevel="1">
      <c r="A116" s="1" t="s">
        <v>470</v>
      </c>
      <c r="B116" s="15" t="s">
        <v>297</v>
      </c>
      <c r="C116" s="345">
        <v>9.9619777328953697E-3</v>
      </c>
      <c r="D116" s="345">
        <v>1.1416502975970699E-2</v>
      </c>
      <c r="E116" s="345">
        <v>1.0580663413254119E-2</v>
      </c>
      <c r="F116" s="345">
        <v>1.0295889046654509E-2</v>
      </c>
      <c r="G116" s="345">
        <v>1.0125880403715024E-2</v>
      </c>
      <c r="H116" s="345">
        <v>9.8657225508397735E-3</v>
      </c>
      <c r="I116" s="345">
        <v>1.0180197675725953E-2</v>
      </c>
      <c r="J116" s="345">
        <v>9.9824826626352791E-3</v>
      </c>
      <c r="K116" s="345">
        <v>9.9365837777359994E-3</v>
      </c>
      <c r="L116" s="345">
        <v>8.3100436681222706E-3</v>
      </c>
      <c r="M116" s="35">
        <v>8.132705633785103E-3</v>
      </c>
      <c r="N116" s="35">
        <v>8.119374131577357E-3</v>
      </c>
      <c r="O116" s="35">
        <v>7.2948061126959654E-3</v>
      </c>
      <c r="P116" s="35">
        <v>9.3905757145264987E-3</v>
      </c>
      <c r="Q116" s="35">
        <v>1.125024925224327E-2</v>
      </c>
      <c r="R116" s="35">
        <v>1.0637389921247624E-2</v>
      </c>
      <c r="S116" s="35">
        <v>1.3054205412273564E-2</v>
      </c>
      <c r="T116" s="35">
        <v>1.3781055019852525E-2</v>
      </c>
      <c r="U116" s="35">
        <v>1.3502228959775948E-2</v>
      </c>
      <c r="V116" s="35">
        <v>1.3620812361198048E-2</v>
      </c>
      <c r="W116" s="35">
        <v>1.2763836867233591E-2</v>
      </c>
      <c r="X116" s="35">
        <v>1.1968101053304819E-2</v>
      </c>
      <c r="Y116" s="37">
        <v>1.0848455125061305E-2</v>
      </c>
      <c r="Z116" s="228">
        <v>1.0069896500810974E-2</v>
      </c>
      <c r="AA116" s="228">
        <v>1.0036467802997382E-2</v>
      </c>
      <c r="AB116" s="228">
        <v>9.3112980139391077E-3</v>
      </c>
      <c r="AC116" s="228">
        <v>8.9256519416611359E-3</v>
      </c>
      <c r="AD116" s="228">
        <v>8.5782329546625381E-3</v>
      </c>
      <c r="AE116" s="228">
        <v>8.4517270858410695E-3</v>
      </c>
      <c r="AF116" s="228">
        <v>8.5609677303564377E-3</v>
      </c>
      <c r="AG116" s="228">
        <v>8.1696886371448139E-3</v>
      </c>
      <c r="AH116" s="228">
        <v>8.1478252474335086E-3</v>
      </c>
      <c r="AI116" s="228">
        <v>7.9030026660016506E-3</v>
      </c>
      <c r="AJ116" s="228">
        <v>7.5228544259119895E-3</v>
      </c>
      <c r="AK116" s="228">
        <v>7.4737839919426508E-3</v>
      </c>
      <c r="AL116" s="228">
        <v>9.7764837651907396E-3</v>
      </c>
      <c r="AM116" s="228">
        <v>9.4273762517243492E-3</v>
      </c>
      <c r="AN116" s="228">
        <v>1.1660712388956392E-2</v>
      </c>
      <c r="AO116" s="228">
        <v>1.3909681504956434E-2</v>
      </c>
      <c r="AP116" s="228">
        <v>1.2534297465059E-2</v>
      </c>
      <c r="AQ116" s="228">
        <v>1.2248246705090249E-2</v>
      </c>
      <c r="AR116" s="228">
        <v>1.0770690648678246E-2</v>
      </c>
      <c r="AS116" s="228">
        <v>1.0719392836674623E-2</v>
      </c>
      <c r="AT116" s="228">
        <v>1.1700174344182059E-2</v>
      </c>
      <c r="AU116" s="228">
        <v>1.155165152517899E-2</v>
      </c>
      <c r="AV116" s="39">
        <v>1.16115219818222E-2</v>
      </c>
      <c r="AW116" s="34">
        <v>1.17815219818222E-2</v>
      </c>
      <c r="AX116" s="34">
        <v>1.17815219818222E-2</v>
      </c>
      <c r="AY116" s="34">
        <v>1.17815219818222E-2</v>
      </c>
      <c r="AZ116" s="34">
        <v>1.17815219818222E-2</v>
      </c>
      <c r="BA116" s="34">
        <v>1.17815219818222E-2</v>
      </c>
      <c r="BB116" s="34">
        <v>1.17815219818222E-2</v>
      </c>
      <c r="BC116" s="34">
        <v>1.17815219818222E-2</v>
      </c>
      <c r="BD116" s="34">
        <v>1.17815219818222E-2</v>
      </c>
      <c r="BE116" s="34">
        <v>1.17815219818222E-2</v>
      </c>
      <c r="BF116" s="34">
        <v>1.17315219818222E-2</v>
      </c>
      <c r="BG116" s="34">
        <v>1.16815219818222E-2</v>
      </c>
      <c r="BH116" s="34">
        <v>1.2681521981822201E-2</v>
      </c>
      <c r="BI116" s="34">
        <v>1.39815219818222E-2</v>
      </c>
      <c r="BJ116" s="34">
        <v>1.3881521981822201E-2</v>
      </c>
      <c r="BK116" s="34">
        <v>1.2381521981822201E-2</v>
      </c>
      <c r="BL116" s="34">
        <v>1.2381521981822201E-2</v>
      </c>
      <c r="BM116" s="34">
        <v>1.2381521981822201E-2</v>
      </c>
      <c r="BN116" s="34">
        <v>1.2531521981822202E-2</v>
      </c>
      <c r="BO116" s="34">
        <v>1.2706521981822202E-2</v>
      </c>
      <c r="BP116" s="35"/>
      <c r="BQ116" s="345">
        <v>1.155591013941918E-2</v>
      </c>
      <c r="BR116" s="345">
        <v>7.34712464220661E-3</v>
      </c>
      <c r="BS116" s="345">
        <v>7.4578768069238563E-3</v>
      </c>
      <c r="BT116" s="345">
        <v>8.161201791131013E-3</v>
      </c>
      <c r="BU116" s="345">
        <v>7.5815092443085215E-3</v>
      </c>
      <c r="BV116" s="345">
        <v>1.3471883331606168E-2</v>
      </c>
      <c r="BW116" s="345">
        <v>1.2067599228224918E-2</v>
      </c>
      <c r="BX116" s="345">
        <v>1.1818328151342376E-2</v>
      </c>
      <c r="BY116" s="345">
        <v>1.0586947134661649E-2</v>
      </c>
      <c r="BZ116" s="345">
        <v>9.9619777328953697E-3</v>
      </c>
      <c r="CA116" s="35">
        <v>1.0580663413254119E-2</v>
      </c>
      <c r="CB116" s="35">
        <v>1.0125880403715024E-2</v>
      </c>
      <c r="CC116" s="35">
        <v>1.0180197675725953E-2</v>
      </c>
      <c r="CD116" s="35">
        <v>9.9365837777359994E-3</v>
      </c>
      <c r="CE116" s="35">
        <v>8.132705633785103E-3</v>
      </c>
      <c r="CF116" s="35">
        <v>7.2948061126959654E-3</v>
      </c>
      <c r="CG116" s="35">
        <v>1.125024925224327E-2</v>
      </c>
      <c r="CH116" s="35">
        <v>1.3054205412273564E-2</v>
      </c>
      <c r="CI116" s="35">
        <v>1.3502228959775948E-2</v>
      </c>
      <c r="CJ116" s="35">
        <v>1.2763836867233591E-2</v>
      </c>
      <c r="CK116" s="37">
        <v>1.0848455125061305E-2</v>
      </c>
      <c r="CL116" s="37">
        <v>1.0036467802997382E-2</v>
      </c>
      <c r="CM116" s="37">
        <v>8.9256519416611359E-3</v>
      </c>
      <c r="CN116" s="37">
        <v>8.4517270858410695E-3</v>
      </c>
      <c r="CO116" s="37">
        <v>8.1696886371448139E-3</v>
      </c>
      <c r="CP116" s="37">
        <v>7.9030026660016506E-3</v>
      </c>
      <c r="CQ116" s="37">
        <v>7.4737839919426508E-3</v>
      </c>
      <c r="CR116" s="37">
        <v>9.4273762517243492E-3</v>
      </c>
      <c r="CS116" s="37">
        <v>1.3909681504956434E-2</v>
      </c>
      <c r="CT116" s="37">
        <v>1.2248246705090249E-2</v>
      </c>
      <c r="CU116" s="37">
        <v>1.0719392836674623E-2</v>
      </c>
      <c r="CV116" s="36">
        <v>1.155165152517899E-2</v>
      </c>
      <c r="CW116" s="35">
        <v>1.17815219818222E-2</v>
      </c>
      <c r="CX116" s="35">
        <v>1.1781521981822198E-2</v>
      </c>
      <c r="CY116" s="35">
        <v>1.1781521981822198E-2</v>
      </c>
      <c r="CZ116" s="35">
        <v>1.17815219818222E-2</v>
      </c>
      <c r="DA116" s="35">
        <v>1.17815219818222E-2</v>
      </c>
      <c r="DB116" s="35">
        <v>1.16815219818222E-2</v>
      </c>
      <c r="DC116" s="35">
        <v>1.39815219818222E-2</v>
      </c>
      <c r="DD116" s="35">
        <v>1.2381521981822201E-2</v>
      </c>
      <c r="DE116" s="35">
        <v>1.2381521981822201E-2</v>
      </c>
      <c r="DF116" s="35">
        <v>1.27065219818222E-2</v>
      </c>
    </row>
    <row r="117" spans="1:110" ht="12" outlineLevel="1">
      <c r="A117" s="1" t="s">
        <v>711</v>
      </c>
      <c r="B117" s="15" t="s">
        <v>352</v>
      </c>
      <c r="C117" s="345">
        <v>3.7624422739696364E-3</v>
      </c>
      <c r="D117" s="345">
        <v>3.873449386269899E-3</v>
      </c>
      <c r="E117" s="345">
        <v>3.8964638204602334E-3</v>
      </c>
      <c r="F117" s="345">
        <v>3.6465724625830242E-3</v>
      </c>
      <c r="G117" s="345">
        <v>3.5942158060068919E-3</v>
      </c>
      <c r="H117" s="345">
        <v>3.0795114104260647E-3</v>
      </c>
      <c r="I117" s="345">
        <v>2.831478226908807E-3</v>
      </c>
      <c r="J117" s="345">
        <v>1.9934012048517381E-3</v>
      </c>
      <c r="K117" s="345">
        <v>2.5457439062321558E-3</v>
      </c>
      <c r="L117" s="345">
        <v>1.7683744399642934E-3</v>
      </c>
      <c r="M117" s="35">
        <v>1.385078342307882E-3</v>
      </c>
      <c r="N117" s="35">
        <v>1.7269516031670241E-3</v>
      </c>
      <c r="O117" s="35">
        <v>1.9109939128912051E-3</v>
      </c>
      <c r="P117" s="35">
        <v>4.4978068545089584E-3</v>
      </c>
      <c r="Q117" s="35">
        <v>8.095619964104326E-3</v>
      </c>
      <c r="R117" s="35">
        <v>8.1267998720685377E-3</v>
      </c>
      <c r="S117" s="35">
        <v>9.240554501322067E-3</v>
      </c>
      <c r="T117" s="37">
        <v>6.3240123538127382E-3</v>
      </c>
      <c r="U117" s="35">
        <v>3.9510598722230263E-3</v>
      </c>
      <c r="V117" s="35">
        <v>3.4696136307969874E-3</v>
      </c>
      <c r="W117" s="35">
        <v>2.8402361075492363E-3</v>
      </c>
      <c r="X117" s="35">
        <v>2.7924339736335444E-3</v>
      </c>
      <c r="Y117" s="37">
        <v>3.2173662957498497E-3</v>
      </c>
      <c r="Z117" s="228">
        <v>2.6724935790968869E-3</v>
      </c>
      <c r="AA117" s="228">
        <v>2.5085014605093813E-3</v>
      </c>
      <c r="AB117" s="357">
        <v>2.1068298280576734E-3</v>
      </c>
      <c r="AC117" s="357">
        <v>1.7433759329804287E-3</v>
      </c>
      <c r="AD117" s="357">
        <v>1.8737239502042585E-3</v>
      </c>
      <c r="AE117" s="357">
        <v>2.4421779531197526E-3</v>
      </c>
      <c r="AF117" s="357">
        <v>3.3325346866763957E-3</v>
      </c>
      <c r="AG117" s="357">
        <v>3.7672506873054901E-3</v>
      </c>
      <c r="AH117" s="357">
        <v>2.5980665837012132E-3</v>
      </c>
      <c r="AI117" s="357">
        <v>1.7110633962224857E-3</v>
      </c>
      <c r="AJ117" s="357">
        <v>1.4573854219767889E-3</v>
      </c>
      <c r="AK117" s="357">
        <v>9.7548483481400383E-4</v>
      </c>
      <c r="AL117" s="357">
        <v>1.3451861130092124E-3</v>
      </c>
      <c r="AM117" s="357">
        <v>1.3591521669362324E-3</v>
      </c>
      <c r="AN117" s="357">
        <v>5.5371883057493809E-3</v>
      </c>
      <c r="AO117" s="357">
        <v>3.5034919673226934E-3</v>
      </c>
      <c r="AP117" s="357">
        <v>-1.679070826011592E-3</v>
      </c>
      <c r="AQ117" s="357">
        <v>-2.5809690414810386E-4</v>
      </c>
      <c r="AR117" s="357">
        <v>-9.3818586061048838E-4</v>
      </c>
      <c r="AS117" s="357">
        <v>1.6742134174003699E-4</v>
      </c>
      <c r="AT117" s="357">
        <v>4.1082716480442792E-4</v>
      </c>
      <c r="AU117" s="357">
        <v>3.4358448056132556E-4</v>
      </c>
      <c r="AV117" s="348">
        <v>2.1084908928254079E-4</v>
      </c>
      <c r="AW117" s="345">
        <v>6.5724717428176178E-4</v>
      </c>
      <c r="AX117" s="345">
        <v>1.6473284391887184E-3</v>
      </c>
      <c r="AY117" s="345">
        <v>1.6618656589717595E-3</v>
      </c>
      <c r="AZ117" s="345">
        <v>1.6759633692039408E-3</v>
      </c>
      <c r="BA117" s="345">
        <v>1.6824092100692998E-3</v>
      </c>
      <c r="BB117" s="345">
        <v>1.6710095421166894E-3</v>
      </c>
      <c r="BC117" s="345">
        <v>1.6512704726777052E-3</v>
      </c>
      <c r="BD117" s="345">
        <v>1.657703462067437E-3</v>
      </c>
      <c r="BE117" s="345">
        <v>1.6635798542117932E-3</v>
      </c>
      <c r="BF117" s="345">
        <v>1.6710576686314665E-3</v>
      </c>
      <c r="BG117" s="345">
        <v>1.673537660557643E-3</v>
      </c>
      <c r="BH117" s="345">
        <v>3.3094722701261401E-3</v>
      </c>
      <c r="BI117" s="345">
        <v>5.0046668033193603E-3</v>
      </c>
      <c r="BJ117" s="345">
        <v>5.0366685182296625E-3</v>
      </c>
      <c r="BK117" s="345">
        <v>3.4831045059156929E-3</v>
      </c>
      <c r="BL117" s="345">
        <v>2.1436505792023245E-3</v>
      </c>
      <c r="BM117" s="345">
        <v>2.1502401630862232E-3</v>
      </c>
      <c r="BN117" s="345">
        <v>2.1469842140672151E-3</v>
      </c>
      <c r="BO117" s="345">
        <v>2.1712228229556706E-3</v>
      </c>
      <c r="BP117" s="35"/>
      <c r="BQ117" s="345">
        <v>2.6540645415881092E-2</v>
      </c>
      <c r="BR117" s="345">
        <v>8.7354354869488594E-3</v>
      </c>
      <c r="BS117" s="345">
        <v>5.3691609509780381E-3</v>
      </c>
      <c r="BT117" s="345">
        <v>3.0124118996625337E-3</v>
      </c>
      <c r="BU117" s="345">
        <v>2.0306924661309509E-3</v>
      </c>
      <c r="BV117" s="345">
        <v>4.183203392577951E-3</v>
      </c>
      <c r="BW117" s="345">
        <v>4.5839608433734941E-3</v>
      </c>
      <c r="BX117" s="345">
        <v>4.3698055008139832E-3</v>
      </c>
      <c r="BY117" s="345">
        <v>3.8530617257418296E-3</v>
      </c>
      <c r="BZ117" s="345">
        <v>3.8681197004574726E-3</v>
      </c>
      <c r="CA117" s="35">
        <v>3.8908408819257967E-3</v>
      </c>
      <c r="CB117" s="35">
        <v>3.6179058751685412E-3</v>
      </c>
      <c r="CC117" s="35">
        <v>2.9528087892783141E-3</v>
      </c>
      <c r="CD117" s="35">
        <v>2.2778251110455619E-3</v>
      </c>
      <c r="CE117" s="35">
        <v>1.5694954862543818E-3</v>
      </c>
      <c r="CF117" s="35">
        <v>1.8217351853144412E-3</v>
      </c>
      <c r="CG117" s="35">
        <v>6.3444391172062754E-3</v>
      </c>
      <c r="CH117" s="35">
        <v>8.6762713674613124E-3</v>
      </c>
      <c r="CI117" s="35">
        <v>5.0779823037475566E-3</v>
      </c>
      <c r="CJ117" s="35">
        <v>3.1492892157495437E-3</v>
      </c>
      <c r="CK117" s="37">
        <v>3.0098430000813471E-3</v>
      </c>
      <c r="CL117" s="37">
        <v>2.5927105196467677E-3</v>
      </c>
      <c r="CM117" s="37">
        <v>1.9202317480904469E-3</v>
      </c>
      <c r="CN117" s="37">
        <v>2.1686976835429139E-3</v>
      </c>
      <c r="CO117" s="37">
        <v>3.5498577153144782E-3</v>
      </c>
      <c r="CP117" s="37">
        <v>2.1523250136427606E-3</v>
      </c>
      <c r="CQ117" s="37">
        <v>1.2133760601608782E-3</v>
      </c>
      <c r="CR117" s="37">
        <v>1.3522155924915464E-3</v>
      </c>
      <c r="CS117" s="37">
        <v>4.5180250719039231E-3</v>
      </c>
      <c r="CT117" s="37">
        <v>-9.6611772323368296E-4</v>
      </c>
      <c r="CU117" s="37">
        <v>-3.7827804190134233E-4</v>
      </c>
      <c r="CV117" s="36">
        <v>3.7709000898787762E-4</v>
      </c>
      <c r="CW117" s="35">
        <v>4.4002671587409264E-4</v>
      </c>
      <c r="CX117" s="35">
        <v>1.6546750760820781E-3</v>
      </c>
      <c r="CY117" s="35">
        <v>1.6792146821571013E-3</v>
      </c>
      <c r="CZ117" s="35">
        <v>1.661031506363288E-3</v>
      </c>
      <c r="DA117" s="35">
        <v>1.6606678685130685E-3</v>
      </c>
      <c r="DB117" s="35">
        <v>1.6723121993465818E-3</v>
      </c>
      <c r="DC117" s="35">
        <v>4.1670559183194815E-3</v>
      </c>
      <c r="DD117" s="35">
        <v>4.2497738173290795E-3</v>
      </c>
      <c r="DE117" s="35">
        <v>2.146980652758122E-3</v>
      </c>
      <c r="DF117" s="35">
        <v>2.1591970158578357E-3</v>
      </c>
    </row>
    <row r="118" spans="1:110" ht="12" outlineLevel="1">
      <c r="A118" s="1" t="s">
        <v>712</v>
      </c>
      <c r="B118" s="15" t="s">
        <v>353</v>
      </c>
      <c r="C118" s="345">
        <v>1.0196362453060005E-2</v>
      </c>
      <c r="D118" s="345">
        <v>5.9951178442610685E-3</v>
      </c>
      <c r="E118" s="345">
        <v>6.2408384116489782E-3</v>
      </c>
      <c r="F118" s="345">
        <v>5.9667984299169811E-3</v>
      </c>
      <c r="G118" s="345">
        <v>6.0165016910869885E-3</v>
      </c>
      <c r="H118" s="345">
        <v>5.3933733940703613E-3</v>
      </c>
      <c r="I118" s="345">
        <v>5.2066356204130936E-3</v>
      </c>
      <c r="J118" s="345">
        <v>3.8099005034103262E-3</v>
      </c>
      <c r="K118" s="345">
        <v>4.8964450934286365E-3</v>
      </c>
      <c r="L118" s="345">
        <v>3.599869940466936E-3</v>
      </c>
      <c r="M118" s="35">
        <v>2.8385438241915694E-3</v>
      </c>
      <c r="N118" s="35">
        <v>3.5721408751789221E-3</v>
      </c>
      <c r="O118" s="35">
        <v>3.9463672433795562E-3</v>
      </c>
      <c r="P118" s="35">
        <v>9.0281595431341271E-3</v>
      </c>
      <c r="Q118" s="35">
        <v>1.607399783000367E-2</v>
      </c>
      <c r="R118" s="35">
        <v>1.6219353381702366E-2</v>
      </c>
      <c r="S118" s="35">
        <v>1.9331194166307263E-2</v>
      </c>
      <c r="T118" s="37">
        <v>1.3717839230441325E-2</v>
      </c>
      <c r="U118" s="35">
        <v>8.6531661687033468E-3</v>
      </c>
      <c r="V118" s="35">
        <v>7.5798862757633688E-3</v>
      </c>
      <c r="W118" s="35">
        <v>6.1139409329306997E-3</v>
      </c>
      <c r="X118" s="35">
        <v>6.0030691580023627E-3</v>
      </c>
      <c r="Y118" s="37">
        <v>6.8964987114636337E-3</v>
      </c>
      <c r="Z118" s="228">
        <v>5.5821056010555321E-3</v>
      </c>
      <c r="AA118" s="228">
        <v>5.1862896127472516E-3</v>
      </c>
      <c r="AB118" s="357">
        <v>4.3399589866926899E-3</v>
      </c>
      <c r="AC118" s="357">
        <v>3.6018627370141263E-3</v>
      </c>
      <c r="AD118" s="357">
        <v>3.8453550899760517E-3</v>
      </c>
      <c r="AE118" s="357">
        <v>5.0689333588648001E-3</v>
      </c>
      <c r="AF118" s="357">
        <v>7.158137118855358E-3</v>
      </c>
      <c r="AG118" s="357">
        <v>8.4145799887563114E-3</v>
      </c>
      <c r="AH118" s="357">
        <v>5.9167098829251063E-3</v>
      </c>
      <c r="AI118" s="357">
        <v>3.9786646150609378E-3</v>
      </c>
      <c r="AJ118" s="357">
        <v>3.4305360408910792E-3</v>
      </c>
      <c r="AK118" s="357">
        <v>2.2730031829659696E-3</v>
      </c>
      <c r="AL118" s="357">
        <v>3.1089766981324952E-3</v>
      </c>
      <c r="AM118" s="357">
        <v>3.0838849759733953E-3</v>
      </c>
      <c r="AN118" s="357">
        <v>1.211683681678238E-2</v>
      </c>
      <c r="AO118" s="357">
        <v>7.7975872271673118E-3</v>
      </c>
      <c r="AP118" s="357">
        <v>-4.0490970272895775E-3</v>
      </c>
      <c r="AQ118" s="357">
        <v>-6.2993501540384636E-4</v>
      </c>
      <c r="AR118" s="357">
        <v>-2.212834307200639E-3</v>
      </c>
      <c r="AS118" s="357">
        <v>3.8178648888333985E-4</v>
      </c>
      <c r="AT118" s="357">
        <v>9.3031757786750933E-4</v>
      </c>
      <c r="AU118" s="357">
        <v>7.9184840459173278E-4</v>
      </c>
      <c r="AV118" s="348">
        <v>4.9601926084599595E-4</v>
      </c>
      <c r="AW118" s="345">
        <v>1.5919976765298028E-3</v>
      </c>
      <c r="AX118" s="345">
        <v>4.1351346379973862E-3</v>
      </c>
      <c r="AY118" s="345">
        <v>4.1850992017108219E-3</v>
      </c>
      <c r="AZ118" s="345">
        <v>4.2497425859891235E-3</v>
      </c>
      <c r="BA118" s="345">
        <v>4.2664986243505735E-3</v>
      </c>
      <c r="BB118" s="345">
        <v>4.2281012154339308E-3</v>
      </c>
      <c r="BC118" s="345">
        <v>4.1643566699399942E-3</v>
      </c>
      <c r="BD118" s="345">
        <v>4.1645997138373796E-3</v>
      </c>
      <c r="BE118" s="345">
        <v>4.1633356696356887E-3</v>
      </c>
      <c r="BF118" s="345">
        <v>4.165961446439193E-3</v>
      </c>
      <c r="BG118" s="345">
        <v>4.15604320320894E-3</v>
      </c>
      <c r="BH118" s="345">
        <v>8.1868875965208435E-3</v>
      </c>
      <c r="BI118" s="345">
        <v>1.2332342349407764E-2</v>
      </c>
      <c r="BJ118" s="345">
        <v>1.236143168027028E-2</v>
      </c>
      <c r="BK118" s="345">
        <v>8.5122055463648875E-3</v>
      </c>
      <c r="BL118" s="345">
        <v>5.2158253284624694E-3</v>
      </c>
      <c r="BM118" s="345">
        <v>5.2088249044391442E-3</v>
      </c>
      <c r="BN118" s="345">
        <v>5.1895833316965637E-3</v>
      </c>
      <c r="BO118" s="345">
        <v>5.2481716901236391E-3</v>
      </c>
      <c r="BP118" s="35"/>
      <c r="BQ118" s="345">
        <v>4.3655530133418857E-2</v>
      </c>
      <c r="BR118" s="345">
        <v>1.1376830335389639E-2</v>
      </c>
      <c r="BS118" s="345">
        <v>7.0749194347889156E-3</v>
      </c>
      <c r="BT118" s="345">
        <v>4.0305752433038794E-3</v>
      </c>
      <c r="BU118" s="345">
        <v>2.7216587158947706E-3</v>
      </c>
      <c r="BV118" s="345">
        <v>5.6001244466958771E-3</v>
      </c>
      <c r="BW118" s="345">
        <v>6.1099059018680539E-3</v>
      </c>
      <c r="BX118" s="345">
        <v>5.9723674412010203E-3</v>
      </c>
      <c r="BY118" s="345">
        <v>5.510538416778823E-3</v>
      </c>
      <c r="BZ118" s="345">
        <v>5.7693974693707583E-3</v>
      </c>
      <c r="CA118" s="35">
        <v>6.1307123129266923E-3</v>
      </c>
      <c r="CB118" s="35">
        <v>5.9857591174622164E-3</v>
      </c>
      <c r="CC118" s="35">
        <v>5.3094006822036414E-3</v>
      </c>
      <c r="CD118" s="35">
        <v>4.3673085643781461E-3</v>
      </c>
      <c r="CE118" s="35">
        <v>3.2040105081211296E-3</v>
      </c>
      <c r="CF118" s="35">
        <v>3.7472143741415368E-3</v>
      </c>
      <c r="CG118" s="35">
        <v>1.2714614241169766E-2</v>
      </c>
      <c r="CH118" s="35">
        <v>1.7760978455987435E-2</v>
      </c>
      <c r="CI118" s="35">
        <v>1.103804626316438E-2</v>
      </c>
      <c r="CJ118" s="35">
        <v>6.8614968271532243E-3</v>
      </c>
      <c r="CK118" s="37">
        <v>6.4510598623179951E-3</v>
      </c>
      <c r="CL118" s="37">
        <v>5.4009979790745942E-3</v>
      </c>
      <c r="CM118" s="37">
        <v>3.9676011711403539E-3</v>
      </c>
      <c r="CN118" s="37">
        <v>4.4883739899710933E-3</v>
      </c>
      <c r="CO118" s="37">
        <v>7.7015449963662337E-3</v>
      </c>
      <c r="CP118" s="37">
        <v>4.9349016444840462E-3</v>
      </c>
      <c r="CQ118" s="37">
        <v>2.828752763365108E-3</v>
      </c>
      <c r="CR118" s="37">
        <v>3.0707074596352875E-3</v>
      </c>
      <c r="CS118" s="37">
        <v>1.0221982878455197E-2</v>
      </c>
      <c r="CT118" s="37">
        <v>-2.3170232619384701E-3</v>
      </c>
      <c r="CU118" s="37">
        <v>-8.7698086248812006E-4</v>
      </c>
      <c r="CV118" s="36">
        <v>8.6145319239728721E-4</v>
      </c>
      <c r="CW118" s="35">
        <v>1.0506859194234631E-3</v>
      </c>
      <c r="CX118" s="35">
        <v>4.1603448256405176E-3</v>
      </c>
      <c r="CY118" s="35">
        <v>4.2581940080284111E-3</v>
      </c>
      <c r="CZ118" s="35">
        <v>4.1958258410176941E-3</v>
      </c>
      <c r="DA118" s="35">
        <v>4.1639608396831255E-3</v>
      </c>
      <c r="DB118" s="35">
        <v>4.1609346099872272E-3</v>
      </c>
      <c r="DC118" s="35">
        <v>1.0288067270456685E-2</v>
      </c>
      <c r="DD118" s="35">
        <v>1.0407664672646788E-2</v>
      </c>
      <c r="DE118" s="35">
        <v>5.2122799141585945E-3</v>
      </c>
      <c r="DF118" s="35">
        <v>5.2191035080400381E-3</v>
      </c>
    </row>
    <row r="119" spans="1:110" ht="12" outlineLevel="1">
      <c r="Z119" s="228"/>
      <c r="AA119" s="37"/>
      <c r="AB119" s="357"/>
      <c r="AC119" s="37"/>
      <c r="AD119" s="37"/>
      <c r="AE119" s="37"/>
      <c r="AF119" s="37"/>
      <c r="AG119" s="37"/>
      <c r="AH119" s="37"/>
      <c r="AI119" s="37"/>
      <c r="AJ119" s="189"/>
      <c r="AK119" s="141"/>
      <c r="AL119" s="141"/>
      <c r="AM119" s="141"/>
      <c r="AN119" s="141"/>
      <c r="AO119" s="141"/>
      <c r="AP119" s="141"/>
      <c r="AQ119" s="141"/>
      <c r="AR119" s="141"/>
      <c r="AS119" s="144"/>
      <c r="AT119" s="144"/>
      <c r="AU119" s="144"/>
      <c r="AV119" s="540"/>
      <c r="AW119" s="41"/>
      <c r="AY119" s="542"/>
      <c r="AZ119" s="542"/>
      <c r="BA119" s="542"/>
      <c r="BB119" s="542"/>
      <c r="BC119" s="542"/>
      <c r="BD119" s="542"/>
      <c r="BE119" s="542"/>
      <c r="BF119" s="542"/>
      <c r="BG119" s="542"/>
      <c r="BH119" s="542"/>
      <c r="BI119" s="542"/>
      <c r="BJ119" s="542"/>
      <c r="BK119" s="542"/>
      <c r="BL119" s="542"/>
      <c r="BM119" s="542"/>
      <c r="BN119" s="542"/>
      <c r="BO119" s="542"/>
      <c r="BP119" s="542"/>
      <c r="CK119" s="41"/>
      <c r="CZ119" s="15"/>
      <c r="DA119" s="15"/>
      <c r="DB119" s="15"/>
      <c r="DC119" s="15"/>
      <c r="DD119" s="15"/>
      <c r="DE119" s="15"/>
      <c r="DF119" s="15"/>
    </row>
    <row r="120" spans="1:110" ht="12" outlineLevel="1">
      <c r="A120" s="1" t="s">
        <v>713</v>
      </c>
      <c r="B120" s="15" t="s">
        <v>354</v>
      </c>
      <c r="C120" s="40">
        <v>500</v>
      </c>
      <c r="D120" s="40">
        <v>589</v>
      </c>
      <c r="E120" s="40">
        <v>585</v>
      </c>
      <c r="F120" s="40">
        <v>558</v>
      </c>
      <c r="G120" s="40">
        <v>484</v>
      </c>
      <c r="H120" s="40">
        <v>419</v>
      </c>
      <c r="I120" s="40">
        <v>384</v>
      </c>
      <c r="J120" s="40">
        <v>321</v>
      </c>
      <c r="K120" s="40">
        <v>273</v>
      </c>
      <c r="L120" s="40">
        <v>316</v>
      </c>
      <c r="M120" s="40">
        <v>286</v>
      </c>
      <c r="N120" s="40">
        <v>302</v>
      </c>
      <c r="O120" s="40">
        <v>270</v>
      </c>
      <c r="P120" s="40">
        <v>316</v>
      </c>
      <c r="Q120" s="40">
        <v>675</v>
      </c>
      <c r="R120" s="40">
        <v>1341</v>
      </c>
      <c r="S120" s="40">
        <v>1526</v>
      </c>
      <c r="T120" s="40">
        <v>1593</v>
      </c>
      <c r="U120" s="40">
        <v>1875</v>
      </c>
      <c r="V120" s="40">
        <v>1717</v>
      </c>
      <c r="W120" s="40">
        <v>1697</v>
      </c>
      <c r="X120" s="40">
        <v>1714</v>
      </c>
      <c r="Y120" s="40">
        <v>1773</v>
      </c>
      <c r="Z120" s="141">
        <v>1543</v>
      </c>
      <c r="AA120" s="141">
        <v>1467</v>
      </c>
      <c r="AB120" s="141">
        <v>1470</v>
      </c>
      <c r="AC120" s="141">
        <v>1176</v>
      </c>
      <c r="AD120" s="141">
        <v>1114</v>
      </c>
      <c r="AE120" s="141">
        <v>1061</v>
      </c>
      <c r="AF120" s="141">
        <v>1238</v>
      </c>
      <c r="AG120" s="141">
        <v>1307</v>
      </c>
      <c r="AH120" s="141">
        <v>1269</v>
      </c>
      <c r="AI120" s="141">
        <v>1136</v>
      </c>
      <c r="AJ120" s="141">
        <v>1016</v>
      </c>
      <c r="AK120" s="141">
        <v>920</v>
      </c>
      <c r="AL120" s="141">
        <v>891</v>
      </c>
      <c r="AM120" s="141">
        <v>814</v>
      </c>
      <c r="AN120" s="141">
        <v>1093</v>
      </c>
      <c r="AO120" s="141">
        <v>891</v>
      </c>
      <c r="AP120" s="141">
        <v>809</v>
      </c>
      <c r="AQ120" s="141">
        <v>687</v>
      </c>
      <c r="AR120" s="141">
        <v>636</v>
      </c>
      <c r="AS120" s="141">
        <v>542</v>
      </c>
      <c r="AT120" s="141">
        <v>421</v>
      </c>
      <c r="AU120" s="141">
        <v>376</v>
      </c>
      <c r="AV120" s="226">
        <v>325</v>
      </c>
      <c r="AW120" s="41">
        <v>365.6487059262613</v>
      </c>
      <c r="AX120" s="41">
        <v>360.28838292268074</v>
      </c>
      <c r="AY120" s="41">
        <v>388.747469084165</v>
      </c>
      <c r="AZ120" s="41">
        <v>422.24567147102181</v>
      </c>
      <c r="BA120" s="41">
        <v>449.85114372001487</v>
      </c>
      <c r="BB120" s="41">
        <v>458.13057255720764</v>
      </c>
      <c r="BC120" s="41">
        <v>444.74636950565622</v>
      </c>
      <c r="BD120" s="41">
        <v>431.78423710715003</v>
      </c>
      <c r="BE120" s="41">
        <v>419.22972462972496</v>
      </c>
      <c r="BF120" s="41">
        <v>428.49360922536749</v>
      </c>
      <c r="BG120" s="41">
        <v>437.99276463595413</v>
      </c>
      <c r="BH120" s="41">
        <v>570.86015467754521</v>
      </c>
      <c r="BI120" s="41">
        <v>671.13506816116296</v>
      </c>
      <c r="BJ120" s="41">
        <v>756.06577352217971</v>
      </c>
      <c r="BK120" s="41">
        <v>736.90610784390685</v>
      </c>
      <c r="BL120" s="41">
        <v>740.95777858904171</v>
      </c>
      <c r="BM120" s="41">
        <v>745.07713088353592</v>
      </c>
      <c r="BN120" s="41">
        <v>752.52790219237124</v>
      </c>
      <c r="BO120" s="41">
        <v>760.05318121429491</v>
      </c>
      <c r="BP120" s="41"/>
      <c r="BQ120" s="40">
        <v>2404.8000000000002</v>
      </c>
      <c r="BR120" s="40">
        <v>2125.1</v>
      </c>
      <c r="BS120" s="40">
        <v>1085</v>
      </c>
      <c r="BT120" s="40">
        <v>702</v>
      </c>
      <c r="BU120" s="40">
        <v>509</v>
      </c>
      <c r="BV120" s="40">
        <v>453</v>
      </c>
      <c r="BW120" s="40">
        <v>819</v>
      </c>
      <c r="BX120" s="40">
        <v>907</v>
      </c>
      <c r="BY120" s="40">
        <v>709</v>
      </c>
      <c r="BZ120" s="40">
        <v>500</v>
      </c>
      <c r="CA120" s="41">
        <v>585</v>
      </c>
      <c r="CB120" s="41">
        <v>484</v>
      </c>
      <c r="CC120" s="41">
        <v>384</v>
      </c>
      <c r="CD120" s="41">
        <v>273</v>
      </c>
      <c r="CE120" s="41">
        <v>286</v>
      </c>
      <c r="CF120" s="41">
        <v>270</v>
      </c>
      <c r="CG120" s="41">
        <v>675</v>
      </c>
      <c r="CH120" s="41">
        <v>1526</v>
      </c>
      <c r="CI120" s="41">
        <v>1875</v>
      </c>
      <c r="CJ120" s="41">
        <v>1697</v>
      </c>
      <c r="CK120" s="41">
        <v>1773</v>
      </c>
      <c r="CL120" s="41">
        <v>1467</v>
      </c>
      <c r="CM120" s="41">
        <v>1176</v>
      </c>
      <c r="CN120" s="41">
        <v>1061</v>
      </c>
      <c r="CO120" s="41">
        <v>1307</v>
      </c>
      <c r="CP120" s="41">
        <v>1136</v>
      </c>
      <c r="CQ120" s="41">
        <v>920</v>
      </c>
      <c r="CR120" s="41">
        <v>814</v>
      </c>
      <c r="CS120" s="41">
        <v>891</v>
      </c>
      <c r="CT120" s="41">
        <v>687</v>
      </c>
      <c r="CU120" s="41">
        <v>542</v>
      </c>
      <c r="CV120" s="211">
        <v>376</v>
      </c>
      <c r="CW120" s="41">
        <v>365.6487059262613</v>
      </c>
      <c r="CX120" s="41">
        <v>388.747469084165</v>
      </c>
      <c r="CY120" s="41">
        <v>449.85114372001487</v>
      </c>
      <c r="CZ120" s="41">
        <v>444.74636950565622</v>
      </c>
      <c r="DA120" s="41">
        <v>419.22972462972496</v>
      </c>
      <c r="DB120" s="41">
        <v>437.99276463595413</v>
      </c>
      <c r="DC120" s="41">
        <v>671.13506816116296</v>
      </c>
      <c r="DD120" s="41">
        <v>736.90610784390685</v>
      </c>
      <c r="DE120" s="41">
        <v>745.07713088353592</v>
      </c>
      <c r="DF120" s="41">
        <v>760.05318121429491</v>
      </c>
    </row>
    <row r="121" spans="1:110" ht="12" outlineLevel="1">
      <c r="A121" s="1" t="s">
        <v>714</v>
      </c>
      <c r="B121" s="15" t="s">
        <v>421</v>
      </c>
      <c r="C121" s="40">
        <v>1386</v>
      </c>
      <c r="D121" s="40">
        <v>1546</v>
      </c>
      <c r="E121" s="40">
        <v>1496</v>
      </c>
      <c r="F121" s="40">
        <v>1530</v>
      </c>
      <c r="G121" s="40">
        <v>1534</v>
      </c>
      <c r="H121" s="40">
        <v>1828</v>
      </c>
      <c r="I121" s="40">
        <v>1992</v>
      </c>
      <c r="J121" s="40">
        <v>2080</v>
      </c>
      <c r="K121" s="40">
        <v>2167</v>
      </c>
      <c r="L121" s="40">
        <v>1903</v>
      </c>
      <c r="M121" s="40">
        <v>1940</v>
      </c>
      <c r="N121" s="40">
        <v>2016</v>
      </c>
      <c r="O121" s="40">
        <v>1992</v>
      </c>
      <c r="P121" s="40">
        <v>2340</v>
      </c>
      <c r="Q121" s="40">
        <v>2821</v>
      </c>
      <c r="R121" s="40">
        <v>2742</v>
      </c>
      <c r="S121" s="40">
        <v>3000</v>
      </c>
      <c r="T121" s="40">
        <v>3037</v>
      </c>
      <c r="U121" s="40">
        <v>3153</v>
      </c>
      <c r="V121" s="40">
        <v>3177</v>
      </c>
      <c r="W121" s="40">
        <v>3176</v>
      </c>
      <c r="X121" s="40">
        <v>2994</v>
      </c>
      <c r="Y121" s="40">
        <v>2765</v>
      </c>
      <c r="Z121" s="141">
        <v>2769</v>
      </c>
      <c r="AA121" s="141">
        <v>2887</v>
      </c>
      <c r="AB121" s="141">
        <v>2843</v>
      </c>
      <c r="AC121" s="141">
        <v>2757</v>
      </c>
      <c r="AD121" s="141">
        <v>2914</v>
      </c>
      <c r="AE121" s="141">
        <v>2956</v>
      </c>
      <c r="AF121" s="141">
        <v>2862</v>
      </c>
      <c r="AG121" s="141">
        <v>2876</v>
      </c>
      <c r="AH121" s="141">
        <v>2785</v>
      </c>
      <c r="AI121" s="141">
        <v>2662</v>
      </c>
      <c r="AJ121" s="141">
        <v>2579</v>
      </c>
      <c r="AK121" s="141">
        <v>2523</v>
      </c>
      <c r="AL121" s="141">
        <v>3378</v>
      </c>
      <c r="AM121" s="141">
        <v>3376</v>
      </c>
      <c r="AN121" s="141">
        <v>4501</v>
      </c>
      <c r="AO121" s="141">
        <v>5008</v>
      </c>
      <c r="AP121" s="141">
        <v>4285</v>
      </c>
      <c r="AQ121" s="141">
        <v>4195</v>
      </c>
      <c r="AR121" s="141">
        <v>3757</v>
      </c>
      <c r="AS121" s="141">
        <v>3853</v>
      </c>
      <c r="AT121" s="141">
        <v>4040</v>
      </c>
      <c r="AU121" s="141">
        <v>4032</v>
      </c>
      <c r="AV121" s="226">
        <v>4046</v>
      </c>
      <c r="AW121" s="41">
        <v>4260.4263323192172</v>
      </c>
      <c r="AX121" s="41">
        <v>4331.3927958408231</v>
      </c>
      <c r="AY121" s="41">
        <v>4377.3931462898699</v>
      </c>
      <c r="AZ121" s="41">
        <v>4427.7019982456177</v>
      </c>
      <c r="BA121" s="41">
        <v>4488.2634676707694</v>
      </c>
      <c r="BB121" s="41">
        <v>4563.6498088630251</v>
      </c>
      <c r="BC121" s="41">
        <v>4653.3404083764462</v>
      </c>
      <c r="BD121" s="41">
        <v>4745.1182775158122</v>
      </c>
      <c r="BE121" s="41">
        <v>4839.0340734024758</v>
      </c>
      <c r="BF121" s="41">
        <v>4914.1954559364031</v>
      </c>
      <c r="BG121" s="41">
        <v>4990.7655732779358</v>
      </c>
      <c r="BH121" s="41">
        <v>5649.0177188831549</v>
      </c>
      <c r="BI121" s="41">
        <v>6490.5767804873403</v>
      </c>
      <c r="BJ121" s="41">
        <v>6444.2820844527441</v>
      </c>
      <c r="BK121" s="41">
        <v>5755.1755510692392</v>
      </c>
      <c r="BL121" s="41">
        <v>5890.2296587117999</v>
      </c>
      <c r="BM121" s="41">
        <v>6028.7729407235211</v>
      </c>
      <c r="BN121" s="41">
        <v>6162.8285883124272</v>
      </c>
      <c r="BO121" s="41">
        <v>6311.38007111962</v>
      </c>
      <c r="BP121" s="41"/>
      <c r="BQ121" s="40">
        <v>932.8</v>
      </c>
      <c r="BR121" s="40">
        <v>564.70000000000005</v>
      </c>
      <c r="BS121" s="40">
        <v>567</v>
      </c>
      <c r="BT121" s="40">
        <v>678</v>
      </c>
      <c r="BU121" s="40">
        <v>709</v>
      </c>
      <c r="BV121" s="40">
        <v>1430</v>
      </c>
      <c r="BW121" s="40">
        <v>1401</v>
      </c>
      <c r="BX121" s="40">
        <v>1395</v>
      </c>
      <c r="BY121" s="40">
        <v>1373</v>
      </c>
      <c r="BZ121" s="40">
        <v>1386</v>
      </c>
      <c r="CA121" s="41">
        <v>1496</v>
      </c>
      <c r="CB121" s="41">
        <v>1534</v>
      </c>
      <c r="CC121" s="41">
        <v>1992</v>
      </c>
      <c r="CD121" s="41">
        <v>2167</v>
      </c>
      <c r="CE121" s="41">
        <v>1940</v>
      </c>
      <c r="CF121" s="41">
        <v>1992</v>
      </c>
      <c r="CG121" s="41">
        <v>2821</v>
      </c>
      <c r="CH121" s="41">
        <v>3000</v>
      </c>
      <c r="CI121" s="41">
        <v>3153</v>
      </c>
      <c r="CJ121" s="41">
        <v>3176</v>
      </c>
      <c r="CK121" s="41">
        <v>2765</v>
      </c>
      <c r="CL121" s="41">
        <v>2887</v>
      </c>
      <c r="CM121" s="41">
        <v>2757</v>
      </c>
      <c r="CN121" s="41">
        <v>2956</v>
      </c>
      <c r="CO121" s="41">
        <v>2876</v>
      </c>
      <c r="CP121" s="41">
        <v>2662</v>
      </c>
      <c r="CQ121" s="41">
        <v>2523</v>
      </c>
      <c r="CR121" s="41">
        <v>3376</v>
      </c>
      <c r="CS121" s="41">
        <v>5008</v>
      </c>
      <c r="CT121" s="41">
        <v>4195</v>
      </c>
      <c r="CU121" s="41">
        <v>3853</v>
      </c>
      <c r="CV121" s="211">
        <v>4032</v>
      </c>
      <c r="CW121" s="41">
        <v>4260.4263323192172</v>
      </c>
      <c r="CX121" s="41">
        <v>4377.3931462898699</v>
      </c>
      <c r="CY121" s="41">
        <v>4488.2634676707694</v>
      </c>
      <c r="CZ121" s="41">
        <v>4653.3404083764462</v>
      </c>
      <c r="DA121" s="41">
        <v>4839.0340734024758</v>
      </c>
      <c r="DB121" s="41">
        <v>4990.7655732779358</v>
      </c>
      <c r="DC121" s="41">
        <v>6490.5767804873403</v>
      </c>
      <c r="DD121" s="41">
        <v>5755.1755510692392</v>
      </c>
      <c r="DE121" s="41">
        <v>6028.7729407235211</v>
      </c>
      <c r="DF121" s="41">
        <v>6311.38007111962</v>
      </c>
    </row>
    <row r="122" spans="1:110" ht="12" outlineLevel="1">
      <c r="A122" s="1" t="s">
        <v>878</v>
      </c>
      <c r="B122" s="15" t="s">
        <v>422</v>
      </c>
      <c r="C122" s="41">
        <v>1886</v>
      </c>
      <c r="D122" s="41">
        <v>2135</v>
      </c>
      <c r="E122" s="41">
        <v>2081</v>
      </c>
      <c r="F122" s="41">
        <v>2088</v>
      </c>
      <c r="G122" s="41">
        <v>2018</v>
      </c>
      <c r="H122" s="41">
        <v>2247</v>
      </c>
      <c r="I122" s="41">
        <v>2376</v>
      </c>
      <c r="J122" s="41">
        <v>2401</v>
      </c>
      <c r="K122" s="41">
        <v>2440</v>
      </c>
      <c r="L122" s="41">
        <v>2219</v>
      </c>
      <c r="M122" s="41">
        <v>2226</v>
      </c>
      <c r="N122" s="41">
        <v>2318</v>
      </c>
      <c r="O122" s="41">
        <v>2262</v>
      </c>
      <c r="P122" s="41">
        <v>2656</v>
      </c>
      <c r="Q122" s="41">
        <v>3496</v>
      </c>
      <c r="R122" s="41">
        <v>4083</v>
      </c>
      <c r="S122" s="41">
        <v>4526</v>
      </c>
      <c r="T122" s="41">
        <v>4630</v>
      </c>
      <c r="U122" s="41">
        <v>5028</v>
      </c>
      <c r="V122" s="41">
        <v>4894</v>
      </c>
      <c r="W122" s="41">
        <v>4873</v>
      </c>
      <c r="X122" s="41">
        <v>4708</v>
      </c>
      <c r="Y122" s="41">
        <v>4538</v>
      </c>
      <c r="Z122" s="41">
        <v>4312</v>
      </c>
      <c r="AA122" s="41">
        <v>4354</v>
      </c>
      <c r="AB122" s="41">
        <v>4313</v>
      </c>
      <c r="AC122" s="41">
        <v>3933</v>
      </c>
      <c r="AD122" s="41">
        <v>4028</v>
      </c>
      <c r="AE122" s="41">
        <v>4017</v>
      </c>
      <c r="AF122" s="41">
        <v>4100</v>
      </c>
      <c r="AG122" s="41">
        <v>4183</v>
      </c>
      <c r="AH122" s="41">
        <v>4054</v>
      </c>
      <c r="AI122" s="41">
        <v>3798</v>
      </c>
      <c r="AJ122" s="41">
        <v>3595</v>
      </c>
      <c r="AK122" s="41">
        <v>3443</v>
      </c>
      <c r="AL122" s="41">
        <v>4269</v>
      </c>
      <c r="AM122" s="41">
        <v>4190</v>
      </c>
      <c r="AN122" s="41">
        <v>5594</v>
      </c>
      <c r="AO122" s="41">
        <v>5899</v>
      </c>
      <c r="AP122" s="41">
        <v>5094</v>
      </c>
      <c r="AQ122" s="41">
        <v>4882</v>
      </c>
      <c r="AR122" s="41">
        <v>4393</v>
      </c>
      <c r="AS122" s="41">
        <v>4395</v>
      </c>
      <c r="AT122" s="41">
        <v>4461</v>
      </c>
      <c r="AU122" s="41">
        <v>4408</v>
      </c>
      <c r="AV122" s="211">
        <v>4371</v>
      </c>
      <c r="AW122" s="41">
        <v>4626.0750382454789</v>
      </c>
      <c r="AX122" s="41">
        <v>4691.6811787635033</v>
      </c>
      <c r="AY122" s="41">
        <v>4766.1406153740354</v>
      </c>
      <c r="AZ122" s="41">
        <v>4849.9476697166392</v>
      </c>
      <c r="BA122" s="41">
        <v>4938.1146113907844</v>
      </c>
      <c r="BB122" s="41">
        <v>5021.7803814202325</v>
      </c>
      <c r="BC122" s="41">
        <v>5098.0867778821021</v>
      </c>
      <c r="BD122" s="41">
        <v>5176.9025146229624</v>
      </c>
      <c r="BE122" s="41">
        <v>5258.2637980322006</v>
      </c>
      <c r="BF122" s="41">
        <v>5342.6890651617705</v>
      </c>
      <c r="BG122" s="41">
        <v>5428.7583379138896</v>
      </c>
      <c r="BH122" s="41">
        <v>6219.8778735607002</v>
      </c>
      <c r="BI122" s="41">
        <v>7161.7118486485033</v>
      </c>
      <c r="BJ122" s="41">
        <v>7200.3478579749235</v>
      </c>
      <c r="BK122" s="41">
        <v>6492.0816589131464</v>
      </c>
      <c r="BL122" s="41">
        <v>6631.1874373008413</v>
      </c>
      <c r="BM122" s="41">
        <v>6773.8500716070566</v>
      </c>
      <c r="BN122" s="41">
        <v>6915.3564905047988</v>
      </c>
      <c r="BO122" s="41">
        <v>7071.4332523339144</v>
      </c>
      <c r="BP122" s="41"/>
      <c r="BQ122" s="41">
        <v>3337.6000000000004</v>
      </c>
      <c r="BR122" s="41">
        <v>2689.8</v>
      </c>
      <c r="BS122" s="41">
        <v>1652</v>
      </c>
      <c r="BT122" s="41">
        <v>1380</v>
      </c>
      <c r="BU122" s="41">
        <v>1218</v>
      </c>
      <c r="BV122" s="41">
        <v>1883</v>
      </c>
      <c r="BW122" s="41">
        <v>2220</v>
      </c>
      <c r="BX122" s="41">
        <v>2302</v>
      </c>
      <c r="BY122" s="41">
        <v>2082</v>
      </c>
      <c r="BZ122" s="41">
        <v>1886</v>
      </c>
      <c r="CA122" s="41">
        <v>2081</v>
      </c>
      <c r="CB122" s="41">
        <v>2018</v>
      </c>
      <c r="CC122" s="41">
        <v>2376</v>
      </c>
      <c r="CD122" s="41">
        <v>2440</v>
      </c>
      <c r="CE122" s="41">
        <v>2226</v>
      </c>
      <c r="CF122" s="41">
        <v>2262</v>
      </c>
      <c r="CG122" s="41">
        <v>3496</v>
      </c>
      <c r="CH122" s="41">
        <v>4526</v>
      </c>
      <c r="CI122" s="41">
        <v>5028</v>
      </c>
      <c r="CJ122" s="41">
        <v>4873</v>
      </c>
      <c r="CK122" s="41">
        <v>4538</v>
      </c>
      <c r="CL122" s="41">
        <v>4354</v>
      </c>
      <c r="CM122" s="41">
        <v>3933</v>
      </c>
      <c r="CN122" s="41">
        <v>4017</v>
      </c>
      <c r="CO122" s="41">
        <v>4183</v>
      </c>
      <c r="CP122" s="41">
        <v>3798</v>
      </c>
      <c r="CQ122" s="41">
        <v>3443</v>
      </c>
      <c r="CR122" s="41">
        <v>4190</v>
      </c>
      <c r="CS122" s="41">
        <v>5899</v>
      </c>
      <c r="CT122" s="41">
        <v>4882</v>
      </c>
      <c r="CU122" s="41">
        <v>4395</v>
      </c>
      <c r="CV122" s="211">
        <v>4408</v>
      </c>
      <c r="CW122" s="41">
        <v>4626.0750382454789</v>
      </c>
      <c r="CX122" s="41">
        <v>4766.1406153740354</v>
      </c>
      <c r="CY122" s="41">
        <v>4938.1146113907844</v>
      </c>
      <c r="CZ122" s="41">
        <v>5098.0867778821021</v>
      </c>
      <c r="DA122" s="41">
        <v>5258.2637980322006</v>
      </c>
      <c r="DB122" s="41">
        <v>5428.7583379138896</v>
      </c>
      <c r="DC122" s="41">
        <v>7161.7118486485033</v>
      </c>
      <c r="DD122" s="41">
        <v>6492.0816589131464</v>
      </c>
      <c r="DE122" s="41">
        <v>6773.8500716070566</v>
      </c>
      <c r="DF122" s="41">
        <v>7071.4332523339144</v>
      </c>
    </row>
    <row r="123" spans="1:110" ht="12" outlineLevel="1">
      <c r="A123" s="1" t="s">
        <v>2196</v>
      </c>
      <c r="B123" s="15" t="s">
        <v>2197</v>
      </c>
      <c r="C123" s="41">
        <v>0</v>
      </c>
      <c r="D123" s="41">
        <v>0</v>
      </c>
      <c r="E123" s="41">
        <v>0</v>
      </c>
      <c r="F123" s="41">
        <v>0</v>
      </c>
      <c r="G123" s="41">
        <v>0</v>
      </c>
      <c r="H123" s="41">
        <v>0</v>
      </c>
      <c r="I123" s="41">
        <v>0</v>
      </c>
      <c r="J123" s="41">
        <v>0</v>
      </c>
      <c r="K123" s="141">
        <v>0</v>
      </c>
      <c r="L123" s="141">
        <v>0</v>
      </c>
      <c r="M123" s="141">
        <v>0</v>
      </c>
      <c r="N123" s="141">
        <v>0</v>
      </c>
      <c r="O123" s="141">
        <v>0</v>
      </c>
      <c r="P123" s="141">
        <v>0</v>
      </c>
      <c r="Q123" s="141">
        <v>0</v>
      </c>
      <c r="R123" s="141">
        <v>0</v>
      </c>
      <c r="S123" s="141">
        <v>0</v>
      </c>
      <c r="T123" s="141">
        <v>0</v>
      </c>
      <c r="U123" s="141">
        <v>0</v>
      </c>
      <c r="V123" s="141">
        <v>0</v>
      </c>
      <c r="W123" s="141">
        <v>0</v>
      </c>
      <c r="X123" s="141">
        <v>0</v>
      </c>
      <c r="Y123" s="141">
        <v>0</v>
      </c>
      <c r="Z123" s="141">
        <v>0</v>
      </c>
      <c r="AA123" s="141">
        <v>0</v>
      </c>
      <c r="AB123" s="141">
        <v>0</v>
      </c>
      <c r="AC123" s="141">
        <v>0</v>
      </c>
      <c r="AD123" s="141">
        <v>0</v>
      </c>
      <c r="AE123" s="141">
        <v>0</v>
      </c>
      <c r="AF123" s="141">
        <v>0</v>
      </c>
      <c r="AG123" s="141">
        <v>0</v>
      </c>
      <c r="AH123" s="141">
        <v>0</v>
      </c>
      <c r="AI123" s="141">
        <v>0</v>
      </c>
      <c r="AJ123" s="141">
        <v>0</v>
      </c>
      <c r="AK123" s="141">
        <v>0</v>
      </c>
      <c r="AL123" s="141">
        <v>0</v>
      </c>
      <c r="AM123" s="141">
        <v>0</v>
      </c>
      <c r="AN123" s="141">
        <v>0</v>
      </c>
      <c r="AO123" s="141">
        <v>0</v>
      </c>
      <c r="AP123" s="141">
        <v>0</v>
      </c>
      <c r="AQ123" s="141">
        <v>0</v>
      </c>
      <c r="AR123" s="141">
        <v>0</v>
      </c>
      <c r="AS123" s="141">
        <v>0</v>
      </c>
      <c r="AT123" s="141">
        <v>0</v>
      </c>
      <c r="AU123" s="141">
        <v>0</v>
      </c>
      <c r="AV123" s="226">
        <v>0</v>
      </c>
      <c r="AW123" s="210">
        <v>210</v>
      </c>
      <c r="AX123" s="210">
        <v>210</v>
      </c>
      <c r="AY123" s="210">
        <v>210</v>
      </c>
      <c r="AZ123" s="210">
        <v>210</v>
      </c>
      <c r="BA123" s="210">
        <v>210</v>
      </c>
      <c r="BB123" s="210">
        <v>210</v>
      </c>
      <c r="BC123" s="210">
        <v>210</v>
      </c>
      <c r="BD123" s="210">
        <v>210</v>
      </c>
      <c r="BE123" s="210">
        <v>210</v>
      </c>
      <c r="BF123" s="210">
        <v>210</v>
      </c>
      <c r="BG123" s="210">
        <v>210</v>
      </c>
      <c r="BH123" s="210">
        <v>210</v>
      </c>
      <c r="BI123" s="210">
        <v>210</v>
      </c>
      <c r="BJ123" s="210">
        <v>210</v>
      </c>
      <c r="BK123" s="210">
        <v>210</v>
      </c>
      <c r="BL123" s="210">
        <v>210</v>
      </c>
      <c r="BM123" s="210">
        <v>210</v>
      </c>
      <c r="BN123" s="210">
        <v>210</v>
      </c>
      <c r="BO123" s="210">
        <v>210</v>
      </c>
      <c r="BP123" s="41"/>
      <c r="BQ123" s="141">
        <v>0</v>
      </c>
      <c r="BR123" s="141">
        <v>0</v>
      </c>
      <c r="BS123" s="141">
        <v>0</v>
      </c>
      <c r="BT123" s="141">
        <v>0</v>
      </c>
      <c r="BU123" s="141">
        <v>0</v>
      </c>
      <c r="BV123" s="141">
        <v>0</v>
      </c>
      <c r="BW123" s="141">
        <v>0</v>
      </c>
      <c r="BX123" s="141">
        <v>0</v>
      </c>
      <c r="BY123" s="141">
        <v>0</v>
      </c>
      <c r="BZ123" s="141">
        <v>0</v>
      </c>
      <c r="CA123" s="41">
        <v>0</v>
      </c>
      <c r="CB123" s="41">
        <v>0</v>
      </c>
      <c r="CC123" s="41">
        <v>0</v>
      </c>
      <c r="CD123" s="41">
        <v>0</v>
      </c>
      <c r="CE123" s="41">
        <v>0</v>
      </c>
      <c r="CF123" s="41">
        <v>0</v>
      </c>
      <c r="CG123" s="41">
        <v>0</v>
      </c>
      <c r="CH123" s="41">
        <v>0</v>
      </c>
      <c r="CI123" s="41">
        <v>0</v>
      </c>
      <c r="CJ123" s="41">
        <v>0</v>
      </c>
      <c r="CK123" s="41">
        <v>0</v>
      </c>
      <c r="CL123" s="41">
        <v>0</v>
      </c>
      <c r="CM123" s="41">
        <v>0</v>
      </c>
      <c r="CN123" s="41">
        <v>0</v>
      </c>
      <c r="CO123" s="41">
        <v>0</v>
      </c>
      <c r="CP123" s="41">
        <v>0</v>
      </c>
      <c r="CQ123" s="41">
        <v>0</v>
      </c>
      <c r="CR123" s="41">
        <v>0</v>
      </c>
      <c r="CS123" s="41">
        <v>0</v>
      </c>
      <c r="CT123" s="41">
        <v>0</v>
      </c>
      <c r="CU123" s="41">
        <v>0</v>
      </c>
      <c r="CV123" s="211">
        <v>0</v>
      </c>
      <c r="CW123" s="41">
        <v>210</v>
      </c>
      <c r="CX123" s="41">
        <v>210</v>
      </c>
      <c r="CY123" s="41">
        <v>210</v>
      </c>
      <c r="CZ123" s="41">
        <v>210</v>
      </c>
      <c r="DA123" s="41">
        <v>210</v>
      </c>
      <c r="DB123" s="41">
        <v>210</v>
      </c>
      <c r="DC123" s="41">
        <v>210</v>
      </c>
      <c r="DD123" s="41">
        <v>210</v>
      </c>
      <c r="DE123" s="41">
        <v>210</v>
      </c>
      <c r="DF123" s="41">
        <v>210</v>
      </c>
    </row>
    <row r="124" spans="1:110" ht="12" outlineLevel="1">
      <c r="A124" s="1" t="s">
        <v>879</v>
      </c>
      <c r="B124" s="15" t="s">
        <v>423</v>
      </c>
      <c r="C124" s="40">
        <v>1302</v>
      </c>
      <c r="D124" s="40">
        <v>1502</v>
      </c>
      <c r="E124" s="40">
        <v>1258</v>
      </c>
      <c r="F124" s="40">
        <v>1208</v>
      </c>
      <c r="G124" s="40">
        <v>1046</v>
      </c>
      <c r="H124" s="40">
        <v>975</v>
      </c>
      <c r="I124" s="40">
        <v>890</v>
      </c>
      <c r="J124" s="40">
        <v>747</v>
      </c>
      <c r="K124" s="40">
        <v>713</v>
      </c>
      <c r="L124" s="40">
        <v>802</v>
      </c>
      <c r="M124" s="40">
        <v>698</v>
      </c>
      <c r="N124" s="40">
        <v>749</v>
      </c>
      <c r="O124" s="40">
        <v>702</v>
      </c>
      <c r="P124" s="40">
        <v>1114</v>
      </c>
      <c r="Q124" s="40">
        <v>2673</v>
      </c>
      <c r="R124" s="40">
        <v>4158</v>
      </c>
      <c r="S124" s="40">
        <v>5595</v>
      </c>
      <c r="T124" s="40">
        <v>6561</v>
      </c>
      <c r="U124" s="40">
        <v>6561</v>
      </c>
      <c r="V124" s="40">
        <v>6221</v>
      </c>
      <c r="W124" s="40">
        <v>5581</v>
      </c>
      <c r="X124" s="40">
        <v>5343</v>
      </c>
      <c r="Y124" s="40">
        <v>5196</v>
      </c>
      <c r="Z124" s="141">
        <v>4685</v>
      </c>
      <c r="AA124" s="141">
        <v>4264</v>
      </c>
      <c r="AB124" s="141">
        <v>3620</v>
      </c>
      <c r="AC124" s="141">
        <v>2889</v>
      </c>
      <c r="AD124" s="141">
        <v>2708</v>
      </c>
      <c r="AE124" s="141">
        <v>2719</v>
      </c>
      <c r="AF124" s="141">
        <v>2883</v>
      </c>
      <c r="AG124" s="141">
        <v>3173</v>
      </c>
      <c r="AH124" s="141">
        <v>2940</v>
      </c>
      <c r="AI124" s="141">
        <v>2384</v>
      </c>
      <c r="AJ124" s="141">
        <v>2034</v>
      </c>
      <c r="AK124" s="141">
        <v>2139</v>
      </c>
      <c r="AL124" s="141">
        <v>2128</v>
      </c>
      <c r="AM124" s="141">
        <v>2029</v>
      </c>
      <c r="AN124" s="141">
        <v>2599</v>
      </c>
      <c r="AO124" s="141">
        <v>2459</v>
      </c>
      <c r="AP124" s="141">
        <v>2473</v>
      </c>
      <c r="AQ124" s="141">
        <v>1965</v>
      </c>
      <c r="AR124" s="141">
        <v>1709</v>
      </c>
      <c r="AS124" s="141">
        <v>1445</v>
      </c>
      <c r="AT124" s="141">
        <v>1210</v>
      </c>
      <c r="AU124" s="141">
        <v>1521</v>
      </c>
      <c r="AV124" s="226">
        <v>1518</v>
      </c>
      <c r="AW124" s="41">
        <v>1708.6388127395387</v>
      </c>
      <c r="AX124" s="41">
        <v>1683.5905744050503</v>
      </c>
      <c r="AY124" s="41">
        <v>1816.5769583372196</v>
      </c>
      <c r="AZ124" s="41">
        <v>1973.1106143505692</v>
      </c>
      <c r="BA124" s="41">
        <v>2102.1081482243685</v>
      </c>
      <c r="BB124" s="41">
        <v>2140.7970680243347</v>
      </c>
      <c r="BC124" s="41">
        <v>2078.254063110543</v>
      </c>
      <c r="BD124" s="41">
        <v>2017.6833509679909</v>
      </c>
      <c r="BE124" s="41">
        <v>1959.0174048117988</v>
      </c>
      <c r="BF124" s="41">
        <v>2002.3065851652686</v>
      </c>
      <c r="BG124" s="41">
        <v>2046.695161850253</v>
      </c>
      <c r="BH124" s="41">
        <v>2667.5708162502115</v>
      </c>
      <c r="BI124" s="41">
        <v>3136.1451783231914</v>
      </c>
      <c r="BJ124" s="41">
        <v>3533.0176332812139</v>
      </c>
      <c r="BK124" s="41">
        <v>3443.4864852519013</v>
      </c>
      <c r="BL124" s="41">
        <v>3462.4195261170175</v>
      </c>
      <c r="BM124" s="41">
        <v>3481.6688359043737</v>
      </c>
      <c r="BN124" s="41">
        <v>3516.4855242634171</v>
      </c>
      <c r="BO124" s="41">
        <v>3551.6503795060512</v>
      </c>
      <c r="BP124" s="41"/>
      <c r="BQ124" s="40">
        <v>5245.4</v>
      </c>
      <c r="BR124" s="40">
        <v>4820.2</v>
      </c>
      <c r="BS124" s="40">
        <v>3017</v>
      </c>
      <c r="BT124" s="40">
        <v>1885</v>
      </c>
      <c r="BU124" s="40">
        <v>1340</v>
      </c>
      <c r="BV124" s="40">
        <v>960</v>
      </c>
      <c r="BW124" s="40">
        <v>1770</v>
      </c>
      <c r="BX124" s="40">
        <v>1641</v>
      </c>
      <c r="BY124" s="40">
        <v>1465</v>
      </c>
      <c r="BZ124" s="40">
        <v>1302</v>
      </c>
      <c r="CA124" s="41">
        <v>1258</v>
      </c>
      <c r="CB124" s="41">
        <v>1046</v>
      </c>
      <c r="CC124" s="41">
        <v>890</v>
      </c>
      <c r="CD124" s="41">
        <v>713</v>
      </c>
      <c r="CE124" s="41">
        <v>698</v>
      </c>
      <c r="CF124" s="41">
        <v>702</v>
      </c>
      <c r="CG124" s="41">
        <v>2673</v>
      </c>
      <c r="CH124" s="41">
        <v>5595</v>
      </c>
      <c r="CI124" s="41">
        <v>6561</v>
      </c>
      <c r="CJ124" s="41">
        <v>5581</v>
      </c>
      <c r="CK124" s="41">
        <v>5196</v>
      </c>
      <c r="CL124" s="41">
        <v>4264</v>
      </c>
      <c r="CM124" s="41">
        <v>2889</v>
      </c>
      <c r="CN124" s="41">
        <v>2719</v>
      </c>
      <c r="CO124" s="41">
        <v>3173</v>
      </c>
      <c r="CP124" s="41">
        <v>2384</v>
      </c>
      <c r="CQ124" s="41">
        <v>2139</v>
      </c>
      <c r="CR124" s="41">
        <v>2029</v>
      </c>
      <c r="CS124" s="41">
        <v>2459</v>
      </c>
      <c r="CT124" s="41">
        <v>1965</v>
      </c>
      <c r="CU124" s="41">
        <v>1445</v>
      </c>
      <c r="CV124" s="211">
        <v>1521</v>
      </c>
      <c r="CW124" s="41">
        <v>1708.6388127395387</v>
      </c>
      <c r="CX124" s="41">
        <v>1816.5769583372196</v>
      </c>
      <c r="CY124" s="41">
        <v>2102.1081482243685</v>
      </c>
      <c r="CZ124" s="41">
        <v>2078.254063110543</v>
      </c>
      <c r="DA124" s="41">
        <v>1959.0174048117988</v>
      </c>
      <c r="DB124" s="41">
        <v>2046.695161850253</v>
      </c>
      <c r="DC124" s="41">
        <v>3136.1451783231914</v>
      </c>
      <c r="DD124" s="41">
        <v>3443.4864852519013</v>
      </c>
      <c r="DE124" s="41">
        <v>3481.6688359043737</v>
      </c>
      <c r="DF124" s="41">
        <v>3551.6503795060512</v>
      </c>
    </row>
    <row r="125" spans="1:110" ht="12" outlineLevel="1">
      <c r="A125" s="1" t="s">
        <v>880</v>
      </c>
      <c r="B125" s="15" t="s">
        <v>417</v>
      </c>
      <c r="C125" s="40">
        <v>351</v>
      </c>
      <c r="D125" s="40">
        <v>278</v>
      </c>
      <c r="E125" s="40">
        <v>216</v>
      </c>
      <c r="F125" s="40">
        <v>243</v>
      </c>
      <c r="G125" s="40">
        <v>213</v>
      </c>
      <c r="H125" s="40">
        <v>256</v>
      </c>
      <c r="I125" s="40">
        <v>293</v>
      </c>
      <c r="J125" s="40">
        <v>384</v>
      </c>
      <c r="K125" s="40">
        <v>381</v>
      </c>
      <c r="L125" s="40">
        <v>428</v>
      </c>
      <c r="M125" s="40">
        <v>499</v>
      </c>
      <c r="N125" s="40">
        <v>585</v>
      </c>
      <c r="O125" s="40">
        <v>561</v>
      </c>
      <c r="P125" s="40">
        <v>705</v>
      </c>
      <c r="Q125" s="40">
        <v>1060</v>
      </c>
      <c r="R125" s="40">
        <v>1586</v>
      </c>
      <c r="S125" s="40">
        <v>1597</v>
      </c>
      <c r="T125" s="40">
        <v>1523</v>
      </c>
      <c r="U125" s="40">
        <v>1555</v>
      </c>
      <c r="V125" s="40">
        <v>1955</v>
      </c>
      <c r="W125" s="40">
        <v>1834</v>
      </c>
      <c r="X125" s="40">
        <v>1876</v>
      </c>
      <c r="Y125" s="40">
        <v>1713</v>
      </c>
      <c r="Z125" s="141">
        <v>1696</v>
      </c>
      <c r="AA125" s="141">
        <v>1818</v>
      </c>
      <c r="AB125" s="141">
        <v>2061</v>
      </c>
      <c r="AC125" s="141">
        <v>1982</v>
      </c>
      <c r="AD125" s="141">
        <v>2248</v>
      </c>
      <c r="AE125" s="141">
        <v>2378</v>
      </c>
      <c r="AF125" s="141">
        <v>2573</v>
      </c>
      <c r="AG125" s="141">
        <v>2703</v>
      </c>
      <c r="AH125" s="141">
        <v>2771</v>
      </c>
      <c r="AI125" s="141">
        <v>2953</v>
      </c>
      <c r="AJ125" s="141">
        <v>3038</v>
      </c>
      <c r="AK125" s="141">
        <v>2911</v>
      </c>
      <c r="AL125" s="141">
        <v>3328</v>
      </c>
      <c r="AM125" s="141">
        <v>3744</v>
      </c>
      <c r="AN125" s="141">
        <v>3621</v>
      </c>
      <c r="AO125" s="141">
        <v>3844</v>
      </c>
      <c r="AP125" s="141">
        <v>3290</v>
      </c>
      <c r="AQ125" s="141">
        <v>3065</v>
      </c>
      <c r="AR125" s="141">
        <v>2823</v>
      </c>
      <c r="AS125" s="141">
        <v>2402</v>
      </c>
      <c r="AT125" s="141">
        <v>2502</v>
      </c>
      <c r="AU125" s="141">
        <v>2841</v>
      </c>
      <c r="AV125" s="226">
        <v>3490</v>
      </c>
      <c r="AW125" s="210">
        <v>4418.293449579045</v>
      </c>
      <c r="AX125" s="41">
        <v>4353.5223191730111</v>
      </c>
      <c r="AY125" s="41">
        <v>4697.4059209206644</v>
      </c>
      <c r="AZ125" s="41">
        <v>5102.1793709007397</v>
      </c>
      <c r="BA125" s="41">
        <v>5435.7483819034996</v>
      </c>
      <c r="BB125" s="41">
        <v>5535.7923465196409</v>
      </c>
      <c r="BC125" s="41">
        <v>5374.0651594352394</v>
      </c>
      <c r="BD125" s="41">
        <v>5217.4380368974516</v>
      </c>
      <c r="BE125" s="41">
        <v>5065.7363643832541</v>
      </c>
      <c r="BF125" s="41">
        <v>5177.6759390712014</v>
      </c>
      <c r="BG125" s="41">
        <v>5292.4583940529847</v>
      </c>
      <c r="BH125" s="41">
        <v>6897.9532572067274</v>
      </c>
      <c r="BI125" s="41">
        <v>8109.6189522334735</v>
      </c>
      <c r="BJ125" s="41">
        <v>9135.8738605179915</v>
      </c>
      <c r="BK125" s="41">
        <v>8904.3592291507211</v>
      </c>
      <c r="BL125" s="41">
        <v>8953.3173411936241</v>
      </c>
      <c r="BM125" s="41">
        <v>9003.0932790385741</v>
      </c>
      <c r="BN125" s="41">
        <v>9093.1242118289592</v>
      </c>
      <c r="BO125" s="41">
        <v>9184.0554539472487</v>
      </c>
      <c r="BP125" s="41"/>
      <c r="BQ125" s="40">
        <v>474.1</v>
      </c>
      <c r="BR125" s="40">
        <v>339.3</v>
      </c>
      <c r="BS125" s="40">
        <v>155</v>
      </c>
      <c r="BT125" s="40">
        <v>153</v>
      </c>
      <c r="BU125" s="40">
        <v>212</v>
      </c>
      <c r="BV125" s="40">
        <v>243</v>
      </c>
      <c r="BW125" s="40">
        <v>283</v>
      </c>
      <c r="BX125" s="40">
        <v>354</v>
      </c>
      <c r="BY125" s="40">
        <v>406</v>
      </c>
      <c r="BZ125" s="40">
        <v>351</v>
      </c>
      <c r="CA125" s="41">
        <v>216</v>
      </c>
      <c r="CB125" s="41">
        <v>213</v>
      </c>
      <c r="CC125" s="41">
        <v>293</v>
      </c>
      <c r="CD125" s="41">
        <v>381</v>
      </c>
      <c r="CE125" s="41">
        <v>499</v>
      </c>
      <c r="CF125" s="41">
        <v>561</v>
      </c>
      <c r="CG125" s="41">
        <v>1060</v>
      </c>
      <c r="CH125" s="41">
        <v>1597</v>
      </c>
      <c r="CI125" s="41">
        <v>1555</v>
      </c>
      <c r="CJ125" s="41">
        <v>1834</v>
      </c>
      <c r="CK125" s="41">
        <v>1713</v>
      </c>
      <c r="CL125" s="41">
        <v>1818</v>
      </c>
      <c r="CM125" s="41">
        <v>1982</v>
      </c>
      <c r="CN125" s="41">
        <v>2378</v>
      </c>
      <c r="CO125" s="41">
        <v>2703</v>
      </c>
      <c r="CP125" s="41">
        <v>2953</v>
      </c>
      <c r="CQ125" s="41">
        <v>2911</v>
      </c>
      <c r="CR125" s="41">
        <v>3744</v>
      </c>
      <c r="CS125" s="41">
        <v>3844</v>
      </c>
      <c r="CT125" s="41">
        <v>3065</v>
      </c>
      <c r="CU125" s="41">
        <v>2402</v>
      </c>
      <c r="CV125" s="211">
        <v>2841</v>
      </c>
      <c r="CW125" s="41">
        <v>4418.293449579045</v>
      </c>
      <c r="CX125" s="41">
        <v>4697.4059209206644</v>
      </c>
      <c r="CY125" s="41">
        <v>5435.7483819034996</v>
      </c>
      <c r="CZ125" s="41">
        <v>5374.0651594352394</v>
      </c>
      <c r="DA125" s="41">
        <v>5065.7363643832541</v>
      </c>
      <c r="DB125" s="41">
        <v>5292.4583940529847</v>
      </c>
      <c r="DC125" s="41">
        <v>8109.6189522334735</v>
      </c>
      <c r="DD125" s="41">
        <v>8904.3592291507211</v>
      </c>
      <c r="DE125" s="41">
        <v>9003.0932790385741</v>
      </c>
      <c r="DF125" s="41">
        <v>9184.0554539472487</v>
      </c>
    </row>
    <row r="126" spans="1:110" ht="12" outlineLevel="1">
      <c r="AA126" s="41"/>
      <c r="AB126" s="118"/>
      <c r="AC126" s="32"/>
      <c r="AG126" s="141"/>
      <c r="AH126" s="437"/>
      <c r="AI126" s="403"/>
      <c r="AJ126" s="141"/>
      <c r="AK126" s="141"/>
      <c r="AL126" s="141"/>
      <c r="AM126" s="141"/>
      <c r="AN126" s="41"/>
      <c r="AO126" s="41"/>
      <c r="AP126" s="41"/>
      <c r="AQ126" s="41"/>
      <c r="AR126" s="41"/>
      <c r="AS126" s="41"/>
      <c r="AT126" s="41"/>
      <c r="AU126" s="41"/>
      <c r="AV126" s="211"/>
      <c r="AW126" s="55"/>
      <c r="AX126" s="55"/>
      <c r="AY126" s="55"/>
      <c r="CZ126" s="15"/>
      <c r="DA126" s="15"/>
      <c r="DB126" s="15"/>
      <c r="DC126" s="15"/>
      <c r="DD126" s="15"/>
      <c r="DE126" s="15"/>
      <c r="DF126" s="15"/>
    </row>
    <row r="127" spans="1:110" ht="12" outlineLevel="1">
      <c r="B127" s="17" t="s">
        <v>418</v>
      </c>
      <c r="AA127" s="15"/>
      <c r="AC127" s="32"/>
      <c r="AE127" s="32"/>
      <c r="AH127" s="108"/>
      <c r="AI127" s="108"/>
      <c r="AJ127" s="32"/>
      <c r="AK127" s="32"/>
      <c r="AL127" s="32"/>
      <c r="AM127" s="32"/>
      <c r="AN127" s="41"/>
      <c r="AO127" s="41"/>
      <c r="AP127" s="37"/>
      <c r="AQ127" s="37"/>
      <c r="AR127" s="37"/>
      <c r="AS127" s="37"/>
      <c r="AT127" s="37"/>
      <c r="AU127" s="37"/>
      <c r="AV127" s="36"/>
      <c r="AW127" s="55"/>
      <c r="AX127" s="135"/>
      <c r="CZ127" s="15"/>
      <c r="DA127" s="15"/>
      <c r="DB127" s="15"/>
      <c r="DC127" s="15"/>
      <c r="DD127" s="15"/>
      <c r="DE127" s="15"/>
      <c r="DF127" s="15"/>
    </row>
    <row r="128" spans="1:110" ht="12" outlineLevel="1">
      <c r="A128" s="1" t="s">
        <v>730</v>
      </c>
      <c r="B128" s="15" t="s">
        <v>509</v>
      </c>
      <c r="C128" s="378">
        <v>0.3</v>
      </c>
      <c r="D128" s="378">
        <v>0.3</v>
      </c>
      <c r="E128" s="378">
        <v>0.3</v>
      </c>
      <c r="F128" s="378">
        <v>0.3</v>
      </c>
      <c r="G128" s="378">
        <v>0.3</v>
      </c>
      <c r="H128" s="378">
        <v>0.3</v>
      </c>
      <c r="I128" s="378">
        <v>0.3</v>
      </c>
      <c r="J128" s="378">
        <v>0.3</v>
      </c>
      <c r="K128" s="378">
        <v>0.3</v>
      </c>
      <c r="L128" s="378">
        <v>0.3</v>
      </c>
      <c r="M128" s="48">
        <v>0.3</v>
      </c>
      <c r="N128" s="48">
        <v>0.3</v>
      </c>
      <c r="O128" s="48">
        <v>0.3</v>
      </c>
      <c r="P128" s="48">
        <v>0.3</v>
      </c>
      <c r="Q128" s="48">
        <v>0.3</v>
      </c>
      <c r="R128" s="48">
        <v>0.3</v>
      </c>
      <c r="S128" s="48">
        <v>0.3</v>
      </c>
      <c r="T128" s="49">
        <v>0.3</v>
      </c>
      <c r="U128" s="48">
        <v>0.3</v>
      </c>
      <c r="V128" s="48">
        <v>0.3</v>
      </c>
      <c r="W128" s="48">
        <v>0.3</v>
      </c>
      <c r="X128" s="48">
        <v>0.3</v>
      </c>
      <c r="Y128" s="49">
        <v>0.3</v>
      </c>
      <c r="Z128" s="332">
        <v>0.3</v>
      </c>
      <c r="AA128" s="332">
        <v>0.3</v>
      </c>
      <c r="AB128" s="332">
        <v>0.3</v>
      </c>
      <c r="AC128" s="332">
        <v>0.3</v>
      </c>
      <c r="AD128" s="332">
        <v>0.3</v>
      </c>
      <c r="AE128" s="332">
        <v>0.3</v>
      </c>
      <c r="AF128" s="332">
        <v>0.3</v>
      </c>
      <c r="AG128" s="332">
        <v>0.3</v>
      </c>
      <c r="AH128" s="332">
        <v>0.3</v>
      </c>
      <c r="AI128" s="332">
        <v>0.3</v>
      </c>
      <c r="AJ128" s="332">
        <v>0.3</v>
      </c>
      <c r="AK128" s="332">
        <v>0.3</v>
      </c>
      <c r="AL128" s="332">
        <v>0.3</v>
      </c>
      <c r="AM128" s="332">
        <v>0.3</v>
      </c>
      <c r="AN128" s="332">
        <v>0.3</v>
      </c>
      <c r="AO128" s="332">
        <v>0.3</v>
      </c>
      <c r="AP128" s="332">
        <v>0.3</v>
      </c>
      <c r="AQ128" s="332">
        <v>0.3</v>
      </c>
      <c r="AR128" s="332">
        <v>0.3</v>
      </c>
      <c r="AS128" s="332">
        <v>0.3</v>
      </c>
      <c r="AT128" s="332">
        <v>0.3</v>
      </c>
      <c r="AU128" s="332">
        <v>0.3</v>
      </c>
      <c r="AV128" s="237">
        <v>0.3</v>
      </c>
      <c r="AW128" s="137">
        <v>0.3</v>
      </c>
      <c r="AX128" s="137">
        <v>0.3</v>
      </c>
      <c r="AY128" s="137">
        <v>0.3</v>
      </c>
      <c r="AZ128" s="137">
        <v>0.3</v>
      </c>
      <c r="BA128" s="137">
        <v>0.3</v>
      </c>
      <c r="BB128" s="137">
        <v>0.3</v>
      </c>
      <c r="BC128" s="137">
        <v>0.3</v>
      </c>
      <c r="BD128" s="137">
        <v>0.3</v>
      </c>
      <c r="BE128" s="137">
        <v>0.3</v>
      </c>
      <c r="BF128" s="137">
        <v>0.3</v>
      </c>
      <c r="BG128" s="137">
        <v>0.3</v>
      </c>
      <c r="BH128" s="137">
        <v>0.3</v>
      </c>
      <c r="BI128" s="137">
        <v>0.3</v>
      </c>
      <c r="BJ128" s="137">
        <v>0.3</v>
      </c>
      <c r="BK128" s="137">
        <v>0.3</v>
      </c>
      <c r="BL128" s="137">
        <v>0.3</v>
      </c>
      <c r="BM128" s="137">
        <v>0.3</v>
      </c>
      <c r="BN128" s="137">
        <v>0.3</v>
      </c>
      <c r="BO128" s="137">
        <v>0.3</v>
      </c>
      <c r="BP128" s="30"/>
      <c r="BQ128" s="378">
        <v>0.33</v>
      </c>
      <c r="BR128" s="378">
        <v>0.33</v>
      </c>
      <c r="BS128" s="378">
        <v>0.33</v>
      </c>
      <c r="BT128" s="378">
        <v>0.33</v>
      </c>
      <c r="BU128" s="378">
        <v>0.36</v>
      </c>
      <c r="BV128" s="378">
        <v>0.36</v>
      </c>
      <c r="BW128" s="378">
        <v>0.36</v>
      </c>
      <c r="BX128" s="378">
        <v>0.36</v>
      </c>
      <c r="BY128" s="378">
        <v>0.36</v>
      </c>
      <c r="BZ128" s="378">
        <v>0.34</v>
      </c>
      <c r="CA128" s="48">
        <v>0.3</v>
      </c>
      <c r="CB128" s="30">
        <v>0.3</v>
      </c>
      <c r="CC128" s="30">
        <v>0.3</v>
      </c>
      <c r="CD128" s="30">
        <v>0.3</v>
      </c>
      <c r="CE128" s="30">
        <v>0.3</v>
      </c>
      <c r="CF128" s="30">
        <v>0.3</v>
      </c>
      <c r="CG128" s="30">
        <v>0.3</v>
      </c>
      <c r="CH128" s="30">
        <v>0.3</v>
      </c>
      <c r="CI128" s="30">
        <v>0.3</v>
      </c>
      <c r="CJ128" s="30">
        <v>0.3</v>
      </c>
      <c r="CK128" s="32">
        <v>0.3</v>
      </c>
      <c r="CL128" s="32">
        <v>0.3</v>
      </c>
      <c r="CM128" s="32">
        <v>0.3</v>
      </c>
      <c r="CN128" s="32">
        <v>0.3</v>
      </c>
      <c r="CO128" s="32">
        <v>0.3</v>
      </c>
      <c r="CP128" s="32">
        <v>0.3</v>
      </c>
      <c r="CQ128" s="32">
        <v>0.3</v>
      </c>
      <c r="CR128" s="32">
        <v>0.3</v>
      </c>
      <c r="CS128" s="32">
        <v>0.3</v>
      </c>
      <c r="CT128" s="32">
        <v>0.3</v>
      </c>
      <c r="CU128" s="32">
        <v>0.3</v>
      </c>
      <c r="CV128" s="31">
        <v>0.3</v>
      </c>
      <c r="CW128" s="30">
        <v>0.3</v>
      </c>
      <c r="CX128" s="30">
        <v>0.3</v>
      </c>
      <c r="CY128" s="30">
        <v>0.3</v>
      </c>
      <c r="CZ128" s="30">
        <v>0.3</v>
      </c>
      <c r="DA128" s="30">
        <v>0.3</v>
      </c>
      <c r="DB128" s="30">
        <v>0.3</v>
      </c>
      <c r="DC128" s="30">
        <v>0.3</v>
      </c>
      <c r="DD128" s="30">
        <v>0.3</v>
      </c>
      <c r="DE128" s="30">
        <v>0.3</v>
      </c>
      <c r="DF128" s="30">
        <v>0.3</v>
      </c>
    </row>
    <row r="129" spans="1:110" ht="12" outlineLevel="1">
      <c r="A129" s="1" t="s">
        <v>506</v>
      </c>
      <c r="B129" s="15" t="s">
        <v>900</v>
      </c>
      <c r="C129" s="207">
        <v>0.32409972299168976</v>
      </c>
      <c r="D129" s="207">
        <v>0.29498327759197324</v>
      </c>
      <c r="E129" s="207">
        <v>0.29067342551894515</v>
      </c>
      <c r="F129" s="207">
        <v>0.27977315689981092</v>
      </c>
      <c r="G129" s="207">
        <v>0.28282899407936812</v>
      </c>
      <c r="H129" s="207">
        <v>0.29282888677105573</v>
      </c>
      <c r="I129" s="207">
        <v>0.29384259487128994</v>
      </c>
      <c r="J129" s="207">
        <v>0.27933344000731475</v>
      </c>
      <c r="K129" s="207">
        <v>0.2843500187778315</v>
      </c>
      <c r="L129" s="207">
        <v>0.29143364186224474</v>
      </c>
      <c r="M129" s="30">
        <v>0.29104268878087131</v>
      </c>
      <c r="N129" s="30">
        <v>0.29571021123192082</v>
      </c>
      <c r="O129" s="30">
        <v>0.28353744007210868</v>
      </c>
      <c r="P129" s="30">
        <v>0.28680793392062409</v>
      </c>
      <c r="Q129" s="30">
        <v>0.2194458426890033</v>
      </c>
      <c r="R129" s="30">
        <v>0.33229165245158915</v>
      </c>
      <c r="S129" s="30">
        <v>0.26049457705894974</v>
      </c>
      <c r="T129" s="32">
        <v>0.28200483091787437</v>
      </c>
      <c r="U129" s="30">
        <v>0.27646750524109015</v>
      </c>
      <c r="V129" s="30">
        <v>0.28623757195185767</v>
      </c>
      <c r="W129" s="30">
        <v>0.28089005235602094</v>
      </c>
      <c r="X129" s="30">
        <v>0.27806821010704508</v>
      </c>
      <c r="Y129" s="32">
        <v>0.27062629997688931</v>
      </c>
      <c r="Z129" s="32">
        <v>0.28433355810294447</v>
      </c>
      <c r="AA129" s="139">
        <v>0.26069518716577539</v>
      </c>
      <c r="AB129" s="32">
        <v>0.27461887103419858</v>
      </c>
      <c r="AC129" s="32">
        <v>0.27477386934673365</v>
      </c>
      <c r="AD129" s="32">
        <v>0.27508854781582054</v>
      </c>
      <c r="AE129" s="32">
        <v>0.27216748768472904</v>
      </c>
      <c r="AF129" s="32">
        <v>0.28910436335799949</v>
      </c>
      <c r="AG129" s="32">
        <v>0.27242990654205607</v>
      </c>
      <c r="AH129" s="32">
        <v>0.29482071713147412</v>
      </c>
      <c r="AI129" s="32">
        <v>0.2909239909854538</v>
      </c>
      <c r="AJ129" s="32">
        <v>0.29845660452996592</v>
      </c>
      <c r="AK129" s="32">
        <v>0.29983679179295875</v>
      </c>
      <c r="AL129" s="32">
        <v>0.28368083400160388</v>
      </c>
      <c r="AM129" s="32">
        <v>0.30251497005988026</v>
      </c>
      <c r="AN129" s="32">
        <v>0.38521739130434784</v>
      </c>
      <c r="AO129" s="32">
        <v>0.29600720504353045</v>
      </c>
      <c r="AP129" s="32">
        <v>0.32536101083032493</v>
      </c>
      <c r="AQ129" s="32">
        <v>0.29176782167291987</v>
      </c>
      <c r="AR129" s="32">
        <v>0.29903174960594459</v>
      </c>
      <c r="AS129" s="32">
        <v>0.28493380962387055</v>
      </c>
      <c r="AT129" s="32">
        <v>0.28964879852125691</v>
      </c>
      <c r="AU129" s="32">
        <v>0.29602817452553315</v>
      </c>
      <c r="AV129" s="31">
        <v>0.2955353615171869</v>
      </c>
      <c r="AW129" s="33">
        <v>0.2955353615171869</v>
      </c>
      <c r="AX129" s="33">
        <v>0.2955353615171869</v>
      </c>
      <c r="AY129" s="33">
        <v>0.2955353615171869</v>
      </c>
      <c r="AZ129" s="33">
        <v>0.2955353615171869</v>
      </c>
      <c r="BA129" s="33">
        <v>0.2955353615171869</v>
      </c>
      <c r="BB129" s="33">
        <v>0.2955353615171869</v>
      </c>
      <c r="BC129" s="33">
        <v>0.2955353615171869</v>
      </c>
      <c r="BD129" s="33">
        <v>0.2955353615171869</v>
      </c>
      <c r="BE129" s="33">
        <v>0.2955353615171869</v>
      </c>
      <c r="BF129" s="33">
        <v>0.2955353615171869</v>
      </c>
      <c r="BG129" s="33">
        <v>0.2955353615171869</v>
      </c>
      <c r="BH129" s="33">
        <v>0.2955353615171869</v>
      </c>
      <c r="BI129" s="33">
        <v>0.2955353615171869</v>
      </c>
      <c r="BJ129" s="33">
        <v>0.2955353615171869</v>
      </c>
      <c r="BK129" s="33">
        <v>0.2955353615171869</v>
      </c>
      <c r="BL129" s="33">
        <v>0.2955353615171869</v>
      </c>
      <c r="BM129" s="33">
        <v>0.2955353615171869</v>
      </c>
      <c r="BN129" s="33">
        <v>0.2955353615171869</v>
      </c>
      <c r="BO129" s="33">
        <v>0.2955353615171869</v>
      </c>
      <c r="BP129" s="30"/>
      <c r="BQ129" s="207">
        <v>0.18471160528144545</v>
      </c>
      <c r="BR129" s="207">
        <v>0.35439393939393943</v>
      </c>
      <c r="BS129" s="207">
        <v>0.3297161936560935</v>
      </c>
      <c r="BT129" s="207">
        <v>0.34006734006734007</v>
      </c>
      <c r="BU129" s="207">
        <v>0.29422835633626099</v>
      </c>
      <c r="BV129" s="207">
        <v>0.28328267477203645</v>
      </c>
      <c r="BW129" s="207">
        <v>0.32727272727272727</v>
      </c>
      <c r="BX129" s="207">
        <v>0.33123312331233123</v>
      </c>
      <c r="BY129" s="207">
        <v>0.33449612403100776</v>
      </c>
      <c r="BZ129" s="207">
        <v>0.32535714285714284</v>
      </c>
      <c r="CA129" s="30">
        <v>0.2927835726800832</v>
      </c>
      <c r="CB129" s="30">
        <v>0.28135548931851811</v>
      </c>
      <c r="CC129" s="30">
        <v>0.29335563552288657</v>
      </c>
      <c r="CD129" s="30">
        <v>0.28186969799029399</v>
      </c>
      <c r="CE129" s="30">
        <v>0.29123093084147317</v>
      </c>
      <c r="CF129" s="30">
        <v>0.28956370132650999</v>
      </c>
      <c r="CG129" s="30">
        <v>0.26032982521664516</v>
      </c>
      <c r="CH129" s="30">
        <v>0.28253261481945346</v>
      </c>
      <c r="CI129" s="30">
        <v>0.27904040404040403</v>
      </c>
      <c r="CJ129" s="30">
        <v>0.28356451190787751</v>
      </c>
      <c r="CK129" s="32">
        <v>0.274209012464046</v>
      </c>
      <c r="CL129" s="32">
        <v>0.27246279512140537</v>
      </c>
      <c r="CM129" s="32">
        <v>0.27469732424458237</v>
      </c>
      <c r="CN129" s="32">
        <v>0.27365883062085594</v>
      </c>
      <c r="CO129" s="32">
        <v>0.28040004878643737</v>
      </c>
      <c r="CP129" s="32">
        <v>0.29284974093264249</v>
      </c>
      <c r="CQ129" s="32">
        <v>0.29909463246389306</v>
      </c>
      <c r="CR129" s="32">
        <v>0.29226235948925022</v>
      </c>
      <c r="CS129" s="32">
        <v>0.33244539158231218</v>
      </c>
      <c r="CT129" s="32">
        <v>0.30837889099631821</v>
      </c>
      <c r="CU129" s="32">
        <v>0.29173913043478261</v>
      </c>
      <c r="CV129" s="31">
        <v>0.29274783765801732</v>
      </c>
      <c r="CW129" s="30">
        <v>0.29553536151718685</v>
      </c>
      <c r="CX129" s="30">
        <v>0.29553536151718679</v>
      </c>
      <c r="CY129" s="30">
        <v>0.29553536151718685</v>
      </c>
      <c r="CZ129" s="30">
        <v>0.29553536151718685</v>
      </c>
      <c r="DA129" s="30">
        <v>0.2955353615171869</v>
      </c>
      <c r="DB129" s="30">
        <v>0.29553536151718685</v>
      </c>
      <c r="DC129" s="30">
        <v>0.2955353615171869</v>
      </c>
      <c r="DD129" s="30">
        <v>0.2955353615171869</v>
      </c>
      <c r="DE129" s="30">
        <v>0.29553536151718696</v>
      </c>
      <c r="DF129" s="30">
        <v>0.2955353615171869</v>
      </c>
    </row>
    <row r="130" spans="1:110" ht="12" outlineLevel="1">
      <c r="A130" s="1" t="s">
        <v>901</v>
      </c>
      <c r="B130" s="15" t="s">
        <v>508</v>
      </c>
      <c r="C130" s="207">
        <v>0.32409972299168976</v>
      </c>
      <c r="D130" s="207">
        <v>0.29498327759197324</v>
      </c>
      <c r="E130" s="207">
        <v>0.29270565552699229</v>
      </c>
      <c r="F130" s="207">
        <v>0.27977315689981097</v>
      </c>
      <c r="G130" s="207">
        <v>0.29361538461538461</v>
      </c>
      <c r="H130" s="207">
        <v>0.30199999999999999</v>
      </c>
      <c r="I130" s="207">
        <v>0.30327218641546855</v>
      </c>
      <c r="J130" s="207">
        <v>0.28364678899082568</v>
      </c>
      <c r="K130" s="207">
        <v>0.2934173795587573</v>
      </c>
      <c r="L130" s="207">
        <v>0.29608660130718956</v>
      </c>
      <c r="M130" s="30">
        <v>0.29922403955876758</v>
      </c>
      <c r="N130" s="30">
        <v>0.29939745916515426</v>
      </c>
      <c r="O130" s="30">
        <v>0.29547636103151864</v>
      </c>
      <c r="P130" s="30">
        <v>0.3097537514428626</v>
      </c>
      <c r="Q130" s="30">
        <v>0.18549545454545455</v>
      </c>
      <c r="R130" s="30">
        <v>0.19081954887218044</v>
      </c>
      <c r="S130" s="30">
        <v>0.34149825783972126</v>
      </c>
      <c r="T130" s="32">
        <v>0.29006211180124225</v>
      </c>
      <c r="U130" s="30">
        <v>0.27976664014850172</v>
      </c>
      <c r="V130" s="30">
        <v>0.28623757195185767</v>
      </c>
      <c r="W130" s="30">
        <v>0.28089005235602094</v>
      </c>
      <c r="X130" s="30">
        <v>0.27806821010704508</v>
      </c>
      <c r="Y130" s="32">
        <v>0.28885051800690675</v>
      </c>
      <c r="Z130" s="32">
        <v>0.28433355810294447</v>
      </c>
      <c r="AA130" s="139">
        <v>0.26069518716577539</v>
      </c>
      <c r="AB130" s="32">
        <v>0.27461887103419858</v>
      </c>
      <c r="AC130" s="32">
        <v>0.27477386934673365</v>
      </c>
      <c r="AD130" s="32">
        <v>0.27508854781582054</v>
      </c>
      <c r="AE130" s="32">
        <v>0.27216748768472904</v>
      </c>
      <c r="AF130" s="32">
        <v>0.28910436335799949</v>
      </c>
      <c r="AG130" s="32">
        <v>0.27242990654205607</v>
      </c>
      <c r="AH130" s="32">
        <v>0.29482071713147412</v>
      </c>
      <c r="AI130" s="32">
        <v>0.2909239909854538</v>
      </c>
      <c r="AJ130" s="32">
        <v>0.29845660452996592</v>
      </c>
      <c r="AK130" s="32">
        <v>0.29983679179295875</v>
      </c>
      <c r="AL130" s="32">
        <v>0.28368083400160388</v>
      </c>
      <c r="AM130" s="32">
        <v>0.30251497005988026</v>
      </c>
      <c r="AN130" s="32">
        <v>0.38521739130434784</v>
      </c>
      <c r="AO130" s="32">
        <v>0.29600720504353045</v>
      </c>
      <c r="AP130" s="32">
        <v>0.32536101083032493</v>
      </c>
      <c r="AQ130" s="32">
        <v>0.29176782167291987</v>
      </c>
      <c r="AR130" s="32">
        <v>0.29903174960594459</v>
      </c>
      <c r="AS130" s="32">
        <v>0.28493380962387055</v>
      </c>
      <c r="AT130" s="32">
        <v>0.28964879852125691</v>
      </c>
      <c r="AU130" s="32">
        <v>0.29602817452553315</v>
      </c>
      <c r="AV130" s="31">
        <v>0.2955353615171869</v>
      </c>
      <c r="AW130" s="30">
        <v>0.2955353615171869</v>
      </c>
      <c r="AX130" s="30">
        <v>0.2955353615171869</v>
      </c>
      <c r="AY130" s="30">
        <v>0.2955353615171869</v>
      </c>
      <c r="AZ130" s="30">
        <v>0.2955353615171869</v>
      </c>
      <c r="BA130" s="30">
        <v>0.2955353615171869</v>
      </c>
      <c r="BB130" s="30">
        <v>0.2955353615171869</v>
      </c>
      <c r="BC130" s="30">
        <v>0.2955353615171869</v>
      </c>
      <c r="BD130" s="30">
        <v>0.2955353615171869</v>
      </c>
      <c r="BE130" s="30">
        <v>0.2955353615171869</v>
      </c>
      <c r="BF130" s="30">
        <v>0.2955353615171869</v>
      </c>
      <c r="BG130" s="30">
        <v>0.2955353615171869</v>
      </c>
      <c r="BH130" s="30">
        <v>0.2955353615171869</v>
      </c>
      <c r="BI130" s="30">
        <v>0.2955353615171869</v>
      </c>
      <c r="BJ130" s="30">
        <v>0.2955353615171869</v>
      </c>
      <c r="BK130" s="30">
        <v>0.2955353615171869</v>
      </c>
      <c r="BL130" s="30">
        <v>0.2955353615171869</v>
      </c>
      <c r="BM130" s="30">
        <v>0.2955353615171869</v>
      </c>
      <c r="BN130" s="30">
        <v>0.2955353615171869</v>
      </c>
      <c r="BO130" s="30">
        <v>0.2955353615171869</v>
      </c>
      <c r="BP130" s="30"/>
      <c r="BQ130" s="207">
        <v>0.18471160528144545</v>
      </c>
      <c r="BR130" s="207">
        <v>0.35439393939393943</v>
      </c>
      <c r="BS130" s="207">
        <v>0.3297161936560935</v>
      </c>
      <c r="BT130" s="207">
        <v>0.34006734006734007</v>
      </c>
      <c r="BU130" s="207">
        <v>0.29422835633626099</v>
      </c>
      <c r="BV130" s="207">
        <v>0.28328267477203645</v>
      </c>
      <c r="BW130" s="207">
        <v>0.32727272727272727</v>
      </c>
      <c r="BX130" s="207">
        <v>0.33123312331233123</v>
      </c>
      <c r="BY130" s="207">
        <v>0.33449612403100776</v>
      </c>
      <c r="BZ130" s="207">
        <v>0.32535714285714284</v>
      </c>
      <c r="CA130" s="30">
        <v>0.29382169780399869</v>
      </c>
      <c r="CB130" s="30">
        <v>0.28691180958193468</v>
      </c>
      <c r="CC130" s="30">
        <v>0.30266099948480168</v>
      </c>
      <c r="CD130" s="30">
        <v>0.28857759600090888</v>
      </c>
      <c r="CE130" s="30">
        <v>0.2977112467992909</v>
      </c>
      <c r="CF130" s="30">
        <v>0.29742383270236161</v>
      </c>
      <c r="CG130" s="30">
        <v>0.25279016461762871</v>
      </c>
      <c r="CH130" s="30">
        <v>0.26505245088689683</v>
      </c>
      <c r="CI130" s="30">
        <v>0.28450865398369329</v>
      </c>
      <c r="CJ130" s="30">
        <v>0.28356451190787751</v>
      </c>
      <c r="CK130" s="32">
        <v>0.2834840788006443</v>
      </c>
      <c r="CL130" s="32">
        <v>0.27246279512140537</v>
      </c>
      <c r="CM130" s="32">
        <v>0.27469732424458237</v>
      </c>
      <c r="CN130" s="32">
        <v>0.27365883062085594</v>
      </c>
      <c r="CO130" s="32">
        <v>0.28040004878643737</v>
      </c>
      <c r="CP130" s="32">
        <v>0.29284974093264249</v>
      </c>
      <c r="CQ130" s="32">
        <v>0.29909463246389306</v>
      </c>
      <c r="CR130" s="32">
        <v>0.29226235948925022</v>
      </c>
      <c r="CS130" s="32">
        <v>0.33244539158231218</v>
      </c>
      <c r="CT130" s="32">
        <v>0.30837889099631821</v>
      </c>
      <c r="CU130" s="32">
        <v>0.29173913043478261</v>
      </c>
      <c r="CV130" s="31">
        <v>0.29274783765801732</v>
      </c>
      <c r="CW130" s="30">
        <v>0.29553536151718685</v>
      </c>
      <c r="CX130" s="30">
        <v>0.29553536151718679</v>
      </c>
      <c r="CY130" s="30">
        <v>0.29553536151718685</v>
      </c>
      <c r="CZ130" s="30">
        <v>0.29553536151718685</v>
      </c>
      <c r="DA130" s="30">
        <v>0.2955353615171869</v>
      </c>
      <c r="DB130" s="30">
        <v>0.29553536151718685</v>
      </c>
      <c r="DC130" s="30">
        <v>0.2955353615171869</v>
      </c>
      <c r="DD130" s="30">
        <v>0.2955353615171869</v>
      </c>
      <c r="DE130" s="30">
        <v>0.29553536151718696</v>
      </c>
      <c r="DF130" s="30">
        <v>0.2955353615171869</v>
      </c>
    </row>
    <row r="131" spans="1:110" ht="12" outlineLevel="1">
      <c r="A131" s="1" t="s">
        <v>766</v>
      </c>
      <c r="B131" s="15" t="s">
        <v>767</v>
      </c>
      <c r="C131" s="207" t="e">
        <v>#VALUE!</v>
      </c>
      <c r="D131" s="346">
        <v>0</v>
      </c>
      <c r="E131" s="207">
        <v>0</v>
      </c>
      <c r="F131" s="346">
        <v>0.76369005721059968</v>
      </c>
      <c r="G131" s="207">
        <v>0.76369005721059968</v>
      </c>
      <c r="H131" s="346">
        <v>0.85463451301765236</v>
      </c>
      <c r="I131" s="207">
        <v>0.85463451301765236</v>
      </c>
      <c r="J131" s="346">
        <v>0.70158091990708604</v>
      </c>
      <c r="K131" s="207">
        <v>0.70158091990708604</v>
      </c>
      <c r="L131" s="346">
        <v>0.84711820380610192</v>
      </c>
      <c r="M131" s="50">
        <v>0.84711820380610192</v>
      </c>
      <c r="N131" s="45">
        <v>0.82202033184804357</v>
      </c>
      <c r="O131" s="50">
        <v>0.82202033184804357</v>
      </c>
      <c r="P131" s="45">
        <v>0.55773332190330727</v>
      </c>
      <c r="Q131" s="50">
        <v>0.55773332190330727</v>
      </c>
      <c r="R131" s="45">
        <v>0.76458841196267102</v>
      </c>
      <c r="S131" s="50">
        <v>0.76458841196267102</v>
      </c>
      <c r="T131" s="45">
        <v>0.82813250120019199</v>
      </c>
      <c r="U131" s="50">
        <v>0.82813250120019199</v>
      </c>
      <c r="V131" s="45">
        <v>0.66826295167609928</v>
      </c>
      <c r="W131" s="50">
        <v>0.66826295167609928</v>
      </c>
      <c r="X131" s="45">
        <v>0.7349494201825808</v>
      </c>
      <c r="Y131" s="50">
        <v>0.7349494201825808</v>
      </c>
      <c r="Z131" s="349">
        <v>0.7</v>
      </c>
      <c r="AA131" s="358">
        <v>0.6615772850868018</v>
      </c>
      <c r="AB131" s="399">
        <v>0.7</v>
      </c>
      <c r="AC131" s="358">
        <v>0.60730227606113663</v>
      </c>
      <c r="AD131" s="51">
        <v>0.59703381008789769</v>
      </c>
      <c r="AE131" s="358">
        <v>0.7276965761511216</v>
      </c>
      <c r="AF131" s="51">
        <v>0.70280261666017307</v>
      </c>
      <c r="AG131" s="358">
        <v>0.81531093804486809</v>
      </c>
      <c r="AH131" s="51">
        <v>0.75</v>
      </c>
      <c r="AI131" s="358">
        <v>0.62812073818732739</v>
      </c>
      <c r="AJ131" s="358">
        <v>0.63867668286899826</v>
      </c>
      <c r="AK131" s="358">
        <v>0.65620050352406212</v>
      </c>
      <c r="AL131" s="358">
        <v>0.71461467561306491</v>
      </c>
      <c r="AM131" s="358">
        <v>0.61793765293570635</v>
      </c>
      <c r="AN131" s="358">
        <v>0.4860483030956651</v>
      </c>
      <c r="AO131" s="358">
        <v>0.43268031185959865</v>
      </c>
      <c r="AP131" s="358">
        <v>0.56251343901098905</v>
      </c>
      <c r="AQ131" s="358">
        <v>0.62452339238233157</v>
      </c>
      <c r="AR131" s="358">
        <v>0.60929764017875976</v>
      </c>
      <c r="AS131" s="358">
        <v>0.61183294274417044</v>
      </c>
      <c r="AT131" s="358">
        <v>0.68507580412348834</v>
      </c>
      <c r="AU131" s="358">
        <v>0.54882925002240968</v>
      </c>
      <c r="AV131" s="440">
        <v>0.46933107605935198</v>
      </c>
      <c r="AW131" s="346">
        <v>0.6</v>
      </c>
      <c r="AX131" s="346">
        <v>0.6</v>
      </c>
      <c r="AY131" s="346">
        <v>0.6</v>
      </c>
      <c r="AZ131" s="346">
        <v>0.6</v>
      </c>
      <c r="BA131" s="346">
        <v>0.6</v>
      </c>
      <c r="BB131" s="346">
        <v>0.6</v>
      </c>
      <c r="BC131" s="346">
        <v>0.6</v>
      </c>
      <c r="BD131" s="346">
        <v>0.6</v>
      </c>
      <c r="BE131" s="346">
        <v>0.6</v>
      </c>
      <c r="BF131" s="346">
        <v>0.6</v>
      </c>
      <c r="BG131" s="346">
        <v>0.6</v>
      </c>
      <c r="BH131" s="346">
        <v>0.6</v>
      </c>
      <c r="BI131" s="346">
        <v>0.6</v>
      </c>
      <c r="BJ131" s="346">
        <v>0.6</v>
      </c>
      <c r="BK131" s="346">
        <v>0.6</v>
      </c>
      <c r="BL131" s="346">
        <v>0.6</v>
      </c>
      <c r="BM131" s="346">
        <v>0.6</v>
      </c>
      <c r="BN131" s="346">
        <v>0.6</v>
      </c>
      <c r="BO131" s="346">
        <v>0.6</v>
      </c>
      <c r="BP131" s="30"/>
      <c r="BQ131" s="358">
        <v>0.24959917824497946</v>
      </c>
      <c r="BR131" s="358">
        <v>-0.34846699368424278</v>
      </c>
      <c r="BS131" s="358">
        <v>-0.50459103200902466</v>
      </c>
      <c r="BT131" s="358">
        <v>-0.55557821803156537</v>
      </c>
      <c r="BU131" s="358">
        <v>-0.714554309116192</v>
      </c>
      <c r="BV131" s="358">
        <v>-0.9069470736371833</v>
      </c>
      <c r="BW131" s="358">
        <v>-0.79583767252705961</v>
      </c>
      <c r="BX131" s="358">
        <v>-0.7127072831856619</v>
      </c>
      <c r="BY131" s="358">
        <v>-0.55477617313432837</v>
      </c>
      <c r="BZ131" s="358">
        <v>-0.67820132916666664</v>
      </c>
      <c r="CA131" s="50">
        <v>0</v>
      </c>
      <c r="CB131" s="50">
        <v>0.76369005721059968</v>
      </c>
      <c r="CC131" s="50">
        <v>0.85463451301765236</v>
      </c>
      <c r="CD131" s="50">
        <v>0.70158091990708604</v>
      </c>
      <c r="CE131" s="50">
        <v>0.84711820380610192</v>
      </c>
      <c r="CF131" s="50">
        <v>0.82202033184804357</v>
      </c>
      <c r="CG131" s="50">
        <v>0.55773332190330727</v>
      </c>
      <c r="CH131" s="50">
        <v>0.76458841196267102</v>
      </c>
      <c r="CI131" s="50">
        <v>0.82813250120019199</v>
      </c>
      <c r="CJ131" s="50">
        <v>0.66826295167609928</v>
      </c>
      <c r="CK131" s="50">
        <v>0.7349494201825808</v>
      </c>
      <c r="CL131" s="43">
        <v>0.6615772850868018</v>
      </c>
      <c r="CM131" s="50">
        <v>0.60730227606113663</v>
      </c>
      <c r="CN131" s="50">
        <v>0.7276965761511216</v>
      </c>
      <c r="CO131" s="50">
        <v>0.81531093804486809</v>
      </c>
      <c r="CP131" s="50">
        <v>0.62812073818732739</v>
      </c>
      <c r="CQ131" s="50">
        <v>0.65620050352406212</v>
      </c>
      <c r="CR131" s="50">
        <v>0.72698547404200742</v>
      </c>
      <c r="CS131" s="50">
        <v>0.43268031185959865</v>
      </c>
      <c r="CT131" s="50">
        <v>0.62452339238233157</v>
      </c>
      <c r="CU131" s="50">
        <v>0.61183294274417044</v>
      </c>
      <c r="CV131" s="405">
        <v>0.71666055337332502</v>
      </c>
      <c r="CW131" s="50">
        <v>0.85078264659155556</v>
      </c>
      <c r="CX131" s="50">
        <v>0.78349618849873615</v>
      </c>
      <c r="CY131" s="50">
        <v>0.78248100404860521</v>
      </c>
      <c r="CZ131" s="50">
        <v>0.77927294703066341</v>
      </c>
      <c r="DA131" s="50">
        <v>0.77399146214382153</v>
      </c>
      <c r="DB131" s="50">
        <v>0.77495524745381383</v>
      </c>
      <c r="DC131" s="50">
        <v>0.84903733142669668</v>
      </c>
      <c r="DD131" s="50">
        <v>0.76471052250208815</v>
      </c>
      <c r="DE131" s="50">
        <v>0.57545395387235965</v>
      </c>
      <c r="DF131" s="50">
        <v>1.1625869578306707</v>
      </c>
    </row>
    <row r="132" spans="1:110" ht="12" outlineLevel="1">
      <c r="A132" s="1" t="s">
        <v>768</v>
      </c>
      <c r="B132" s="15" t="s">
        <v>622</v>
      </c>
      <c r="C132" s="346">
        <v>0.7</v>
      </c>
      <c r="D132" s="346">
        <v>0.7</v>
      </c>
      <c r="E132" s="346">
        <v>0.7</v>
      </c>
      <c r="F132" s="346">
        <v>0.7</v>
      </c>
      <c r="G132" s="346">
        <v>0.7</v>
      </c>
      <c r="H132" s="346">
        <v>0.7</v>
      </c>
      <c r="I132" s="346">
        <v>0.7</v>
      </c>
      <c r="J132" s="346">
        <v>0.7</v>
      </c>
      <c r="K132" s="346">
        <v>0.7</v>
      </c>
      <c r="L132" s="346">
        <v>0.7</v>
      </c>
      <c r="M132" s="366">
        <v>0.6</v>
      </c>
      <c r="N132" s="366">
        <v>0.6</v>
      </c>
      <c r="O132" s="366">
        <v>0.6</v>
      </c>
      <c r="P132" s="366">
        <v>0.6</v>
      </c>
      <c r="Q132" s="366">
        <v>0.6</v>
      </c>
      <c r="R132" s="366">
        <v>0.6</v>
      </c>
      <c r="S132" s="366">
        <v>0.6</v>
      </c>
      <c r="T132" s="366">
        <v>0.6</v>
      </c>
      <c r="U132" s="366">
        <v>0.6</v>
      </c>
      <c r="V132" s="366">
        <v>0.6</v>
      </c>
      <c r="W132" s="366">
        <v>0.6</v>
      </c>
      <c r="X132" s="366">
        <v>0.6</v>
      </c>
      <c r="Y132" s="366">
        <v>0.6</v>
      </c>
      <c r="Z132" s="366">
        <v>0.6</v>
      </c>
      <c r="AA132" s="366">
        <v>0.6</v>
      </c>
      <c r="AB132" s="366">
        <v>0.6</v>
      </c>
      <c r="AC132" s="366">
        <v>0.6</v>
      </c>
      <c r="AD132" s="366">
        <v>0.6</v>
      </c>
      <c r="AE132" s="366">
        <v>0.6</v>
      </c>
      <c r="AF132" s="366">
        <v>0.6</v>
      </c>
      <c r="AG132" s="366">
        <v>0.6</v>
      </c>
      <c r="AH132" s="366">
        <v>0.6</v>
      </c>
      <c r="AI132" s="366">
        <v>0.6</v>
      </c>
      <c r="AJ132" s="366">
        <v>0.6</v>
      </c>
      <c r="AK132" s="366">
        <v>0.6</v>
      </c>
      <c r="AL132" s="366">
        <v>0.6</v>
      </c>
      <c r="AM132" s="366">
        <v>0.6</v>
      </c>
      <c r="AN132" s="366">
        <v>0.6</v>
      </c>
      <c r="AO132" s="366">
        <v>0.6</v>
      </c>
      <c r="AP132" s="366">
        <v>0.6</v>
      </c>
      <c r="AQ132" s="366">
        <v>0.6</v>
      </c>
      <c r="AR132" s="366">
        <v>0.6</v>
      </c>
      <c r="AS132" s="366">
        <v>0.6</v>
      </c>
      <c r="AT132" s="366">
        <v>0.6</v>
      </c>
      <c r="AU132" s="366">
        <v>0.6</v>
      </c>
      <c r="AV132" s="367">
        <v>0.6</v>
      </c>
      <c r="AW132" s="366">
        <v>0.6</v>
      </c>
      <c r="AX132" s="366">
        <v>0.6</v>
      </c>
      <c r="AY132" s="366">
        <v>0.6</v>
      </c>
      <c r="AZ132" s="366">
        <v>0.6</v>
      </c>
      <c r="BA132" s="366">
        <v>0.6</v>
      </c>
      <c r="BB132" s="366">
        <v>0.6</v>
      </c>
      <c r="BC132" s="366">
        <v>0.6</v>
      </c>
      <c r="BD132" s="366">
        <v>0.6</v>
      </c>
      <c r="BE132" s="366">
        <v>0.6</v>
      </c>
      <c r="BF132" s="366">
        <v>0.6</v>
      </c>
      <c r="BG132" s="366">
        <v>0.6</v>
      </c>
      <c r="BH132" s="366">
        <v>0.6</v>
      </c>
      <c r="BI132" s="366">
        <v>0.6</v>
      </c>
      <c r="BJ132" s="366">
        <v>0.6</v>
      </c>
      <c r="BK132" s="366">
        <v>0.6</v>
      </c>
      <c r="BL132" s="366">
        <v>0.6</v>
      </c>
      <c r="BM132" s="366">
        <v>0.6</v>
      </c>
      <c r="BN132" s="366">
        <v>0.6</v>
      </c>
      <c r="BO132" s="366">
        <v>0.6</v>
      </c>
      <c r="BP132" s="42"/>
      <c r="BQ132" s="346">
        <v>0.7</v>
      </c>
      <c r="BR132" s="346">
        <v>0.7</v>
      </c>
      <c r="BS132" s="346">
        <v>0.7</v>
      </c>
      <c r="BT132" s="346">
        <v>0.7</v>
      </c>
      <c r="BU132" s="346">
        <v>0.7</v>
      </c>
      <c r="BV132" s="346">
        <v>0.7</v>
      </c>
      <c r="BW132" s="346">
        <v>0.7</v>
      </c>
      <c r="BX132" s="346">
        <v>0.7</v>
      </c>
      <c r="BY132" s="346">
        <v>0.7</v>
      </c>
      <c r="BZ132" s="346">
        <v>0.7</v>
      </c>
      <c r="CA132" s="42">
        <v>0.7</v>
      </c>
      <c r="CB132" s="42">
        <v>0.7</v>
      </c>
      <c r="CC132" s="42">
        <v>0.7</v>
      </c>
      <c r="CD132" s="42">
        <v>0.7</v>
      </c>
      <c r="CE132" s="42">
        <v>0.65013698630136985</v>
      </c>
      <c r="CF132" s="42">
        <v>0.6</v>
      </c>
      <c r="CG132" s="42">
        <v>0.6</v>
      </c>
      <c r="CH132" s="42">
        <v>0.6</v>
      </c>
      <c r="CI132" s="42">
        <v>0.6</v>
      </c>
      <c r="CJ132" s="42">
        <v>0.6</v>
      </c>
      <c r="CK132" s="43">
        <v>0.6</v>
      </c>
      <c r="CL132" s="43">
        <v>0.6</v>
      </c>
      <c r="CM132" s="43">
        <v>0.6</v>
      </c>
      <c r="CN132" s="43">
        <v>0.6</v>
      </c>
      <c r="CO132" s="43">
        <v>0.6</v>
      </c>
      <c r="CP132" s="43">
        <v>0.6</v>
      </c>
      <c r="CQ132" s="43">
        <v>0.6</v>
      </c>
      <c r="CR132" s="43">
        <v>0.6</v>
      </c>
      <c r="CS132" s="43">
        <v>0.6</v>
      </c>
      <c r="CT132" s="43">
        <v>0.6</v>
      </c>
      <c r="CU132" s="43">
        <v>0.6</v>
      </c>
      <c r="CV132" s="44">
        <v>0.6</v>
      </c>
      <c r="CW132" s="42">
        <v>0.6</v>
      </c>
      <c r="CX132" s="42">
        <v>0.6</v>
      </c>
      <c r="CY132" s="42">
        <v>0.6</v>
      </c>
      <c r="CZ132" s="42">
        <v>0.6</v>
      </c>
      <c r="DA132" s="42">
        <v>0.6</v>
      </c>
      <c r="DB132" s="42">
        <v>0.6</v>
      </c>
      <c r="DC132" s="42">
        <v>0.6</v>
      </c>
      <c r="DD132" s="42">
        <v>0.6</v>
      </c>
      <c r="DE132" s="42">
        <v>0.6</v>
      </c>
      <c r="DF132" s="42">
        <v>0.6</v>
      </c>
    </row>
    <row r="133" spans="1:110" ht="12" outlineLevel="1">
      <c r="C133" s="28"/>
      <c r="D133" s="28"/>
      <c r="E133" s="28"/>
      <c r="F133" s="28"/>
      <c r="X133" s="42"/>
      <c r="Y133" s="41"/>
      <c r="AD133" s="361"/>
      <c r="AJ133" s="41"/>
      <c r="AL133" s="41"/>
      <c r="AM133" s="41"/>
      <c r="AN133" s="41"/>
      <c r="AO133" s="41"/>
      <c r="AP133" s="41"/>
      <c r="AQ133" s="41"/>
      <c r="AR133" s="41"/>
      <c r="AS133" s="41"/>
      <c r="AT133" s="41"/>
      <c r="AU133" s="41"/>
      <c r="AV133" s="211"/>
      <c r="AW133" s="42"/>
      <c r="AX133" s="42"/>
      <c r="AY133" s="42"/>
      <c r="AZ133" s="42"/>
      <c r="BA133" s="42"/>
      <c r="BB133" s="42"/>
      <c r="BC133" s="42"/>
      <c r="BD133" s="42"/>
      <c r="BE133" s="42"/>
      <c r="BF133" s="42"/>
      <c r="BG133" s="42"/>
      <c r="BH133" s="42"/>
      <c r="BI133" s="42"/>
      <c r="BJ133" s="42"/>
      <c r="BK133" s="42"/>
      <c r="BL133" s="42"/>
      <c r="BM133" s="42"/>
      <c r="BN133" s="42"/>
      <c r="BO133" s="42"/>
      <c r="CZ133" s="15"/>
      <c r="DA133" s="15"/>
      <c r="DB133" s="15"/>
      <c r="DC133" s="15"/>
      <c r="DD133" s="15"/>
      <c r="DE133" s="15"/>
      <c r="DF133" s="15"/>
    </row>
    <row r="134" spans="1:110" ht="12" outlineLevel="1">
      <c r="B134" s="17" t="s">
        <v>623</v>
      </c>
      <c r="V134" s="42"/>
      <c r="W134" s="42"/>
      <c r="X134" s="41"/>
      <c r="Y134" s="41"/>
      <c r="Z134" s="43"/>
      <c r="AA134" s="43"/>
      <c r="AB134" s="43"/>
      <c r="AC134" s="32"/>
      <c r="AD134" s="32"/>
      <c r="AE134" s="32"/>
      <c r="AF134" s="32"/>
      <c r="AG134" s="32"/>
      <c r="AH134" s="32"/>
      <c r="AI134" s="32"/>
      <c r="AJ134" s="41"/>
      <c r="AK134" s="32"/>
      <c r="AL134" s="41"/>
      <c r="AM134" s="17"/>
      <c r="AN134" s="17"/>
      <c r="AO134" s="17"/>
      <c r="AP134" s="17"/>
      <c r="AQ134" s="17"/>
      <c r="AR134" s="17"/>
      <c r="AS134" s="543"/>
      <c r="AT134" s="543"/>
      <c r="AU134" s="543"/>
      <c r="AV134" s="531"/>
      <c r="AW134" s="84"/>
      <c r="AX134" s="84"/>
      <c r="AY134" s="84"/>
      <c r="AZ134" s="84"/>
      <c r="BA134" s="84"/>
      <c r="BB134" s="84"/>
      <c r="BC134" s="84"/>
      <c r="BD134" s="84"/>
      <c r="BE134" s="84"/>
      <c r="BF134" s="84"/>
      <c r="BG134" s="84"/>
      <c r="BH134" s="84"/>
      <c r="BI134" s="84"/>
      <c r="BJ134" s="84"/>
      <c r="BK134" s="84"/>
      <c r="BL134" s="84"/>
      <c r="BM134" s="84"/>
      <c r="BN134" s="84"/>
      <c r="BO134" s="84"/>
      <c r="BP134" s="84"/>
      <c r="CL134" s="32"/>
      <c r="CM134" s="32"/>
      <c r="CN134" s="32"/>
      <c r="CO134" s="32"/>
      <c r="CP134" s="32"/>
      <c r="CQ134" s="32"/>
      <c r="CR134" s="32"/>
      <c r="CS134" s="32"/>
      <c r="CT134" s="32"/>
      <c r="CU134" s="32"/>
      <c r="CV134" s="31"/>
      <c r="CW134" s="84"/>
      <c r="CX134" s="84"/>
      <c r="CY134" s="84"/>
      <c r="CZ134" s="84"/>
      <c r="DA134" s="84"/>
      <c r="DB134" s="15"/>
      <c r="DC134" s="15"/>
      <c r="DD134" s="15"/>
      <c r="DE134" s="15"/>
      <c r="DF134" s="15"/>
    </row>
    <row r="135" spans="1:110" ht="12" outlineLevel="1">
      <c r="A135" s="1" t="s">
        <v>769</v>
      </c>
      <c r="B135" s="15" t="s">
        <v>624</v>
      </c>
      <c r="C135" s="52">
        <v>0.39683440000000003</v>
      </c>
      <c r="D135" s="52">
        <v>0.38691354</v>
      </c>
      <c r="E135" s="52">
        <v>0.45635956000000005</v>
      </c>
      <c r="F135" s="52">
        <v>0.43651783999999999</v>
      </c>
      <c r="G135" s="52">
        <v>0.50596386000000004</v>
      </c>
      <c r="H135" s="52">
        <v>0.46628041999999997</v>
      </c>
      <c r="I135" s="52">
        <v>0.53572644000000003</v>
      </c>
      <c r="J135" s="52">
        <v>0.50596386000000004</v>
      </c>
      <c r="K135" s="52">
        <v>0.58533073999999996</v>
      </c>
      <c r="L135" s="52">
        <v>0.55556816000000009</v>
      </c>
      <c r="M135" s="52">
        <v>0.68453933999999994</v>
      </c>
      <c r="N135" s="52">
        <v>0.61509332000000005</v>
      </c>
      <c r="O135" s="52">
        <v>0.73414363999999999</v>
      </c>
      <c r="P135" s="52">
        <v>0.61509332000000005</v>
      </c>
      <c r="Q135" s="52">
        <v>0.73414363999999999</v>
      </c>
      <c r="R135" s="52">
        <v>0.45635956000000005</v>
      </c>
      <c r="S135" s="52">
        <v>0.55556816000000009</v>
      </c>
      <c r="T135" s="52">
        <v>0.51588472000000007</v>
      </c>
      <c r="U135" s="52">
        <v>0.73414363999999999</v>
      </c>
      <c r="V135" s="52">
        <v>0.63493504000000001</v>
      </c>
      <c r="W135" s="52">
        <v>0.75398536000000005</v>
      </c>
      <c r="X135" s="52">
        <v>0.65477676000000007</v>
      </c>
      <c r="Y135" s="52">
        <v>0.78374794000000003</v>
      </c>
      <c r="Z135" s="333">
        <v>0.72422277999999995</v>
      </c>
      <c r="AA135" s="333">
        <v>0.90279826000000007</v>
      </c>
      <c r="AB135" s="333">
        <v>0.82343137999999994</v>
      </c>
      <c r="AC135" s="333">
        <v>0.94248169999999998</v>
      </c>
      <c r="AD135" s="333">
        <v>0.85319396000000003</v>
      </c>
      <c r="AE135" s="333">
        <v>0.94248169999999998</v>
      </c>
      <c r="AF135" s="333">
        <v>0.79366880000000006</v>
      </c>
      <c r="AG135" s="333">
        <v>0.79366880000000006</v>
      </c>
      <c r="AH135" s="333">
        <v>0.79366880000000006</v>
      </c>
      <c r="AI135" s="333">
        <v>0.79366880000000006</v>
      </c>
      <c r="AJ135" s="333">
        <v>0.79366880000000006</v>
      </c>
      <c r="AK135" s="333">
        <v>0.79366880000000006</v>
      </c>
      <c r="AL135" s="333">
        <v>0.79366880000000006</v>
      </c>
      <c r="AM135" s="333">
        <v>0.79366880000000006</v>
      </c>
      <c r="AN135" s="333">
        <v>0.24802150000000001</v>
      </c>
      <c r="AO135" s="333">
        <v>0.34723009999999999</v>
      </c>
      <c r="AP135" s="333">
        <v>0.69446019999999997</v>
      </c>
      <c r="AQ135" s="333">
        <v>0.71430192000000003</v>
      </c>
      <c r="AR135" s="333">
        <v>0.71430192000000003</v>
      </c>
      <c r="AS135" s="333">
        <v>0.74</v>
      </c>
      <c r="AT135" s="333">
        <v>0.81</v>
      </c>
      <c r="AU135" s="333">
        <v>0.94000000000000006</v>
      </c>
      <c r="AV135" s="238">
        <v>0.83</v>
      </c>
      <c r="AW135" s="215">
        <v>0.83</v>
      </c>
      <c r="AX135" s="215">
        <v>0.83</v>
      </c>
      <c r="AY135" s="215">
        <v>0.83</v>
      </c>
      <c r="AZ135" s="215">
        <v>0.83</v>
      </c>
      <c r="BA135" s="215">
        <v>0.83</v>
      </c>
      <c r="BB135" s="215">
        <v>0.83</v>
      </c>
      <c r="BC135" s="215">
        <v>0.83</v>
      </c>
      <c r="BD135" s="215">
        <v>0.84</v>
      </c>
      <c r="BE135" s="215">
        <v>0.84</v>
      </c>
      <c r="BF135" s="215">
        <v>0.89</v>
      </c>
      <c r="BG135" s="215">
        <v>0.89</v>
      </c>
      <c r="BH135" s="215">
        <v>0.8</v>
      </c>
      <c r="BI135" s="215">
        <v>0.72</v>
      </c>
      <c r="BJ135" s="215">
        <v>0.72</v>
      </c>
      <c r="BK135" s="215">
        <v>0.78</v>
      </c>
      <c r="BL135" s="215">
        <v>1</v>
      </c>
      <c r="BM135" s="215">
        <v>1</v>
      </c>
      <c r="BN135" s="215">
        <v>1.03</v>
      </c>
      <c r="BO135" s="215">
        <v>1.03</v>
      </c>
      <c r="BP135" s="53"/>
      <c r="BQ135" s="52">
        <v>9.5210493420000014E-2</v>
      </c>
      <c r="BR135" s="52">
        <v>0.104731542762</v>
      </c>
      <c r="BS135" s="52">
        <v>0.23802623354999999</v>
      </c>
      <c r="BT135" s="52">
        <v>0.31419462828599998</v>
      </c>
      <c r="BU135" s="52">
        <v>0.39988407236399998</v>
      </c>
      <c r="BV135" s="52">
        <v>0.45701036841600001</v>
      </c>
      <c r="BW135" s="52">
        <v>0.49509456578400007</v>
      </c>
      <c r="BX135" s="52">
        <v>0.53317876315200008</v>
      </c>
      <c r="BY135" s="52">
        <v>0.60934715788799998</v>
      </c>
      <c r="BZ135" s="52">
        <v>0.69503660196599992</v>
      </c>
      <c r="CA135" s="53">
        <v>0.8432731</v>
      </c>
      <c r="CB135" s="53">
        <v>0.94248170000000009</v>
      </c>
      <c r="CC135" s="53">
        <v>1.0020068600000001</v>
      </c>
      <c r="CD135" s="53">
        <v>1.0912945999999999</v>
      </c>
      <c r="CE135" s="53">
        <v>1.2401075000000001</v>
      </c>
      <c r="CF135" s="53">
        <v>1.34923696</v>
      </c>
      <c r="CG135" s="53">
        <v>1.34923696</v>
      </c>
      <c r="CH135" s="53">
        <v>1.0119277200000001</v>
      </c>
      <c r="CI135" s="53">
        <v>1.2500283599999999</v>
      </c>
      <c r="CJ135" s="53">
        <v>1.3889203999999999</v>
      </c>
      <c r="CK135" s="53">
        <v>1.4385247000000001</v>
      </c>
      <c r="CL135" s="53">
        <v>1.62702104</v>
      </c>
      <c r="CM135" s="53">
        <v>1.7659130799999998</v>
      </c>
      <c r="CN135" s="53">
        <v>1.7956756600000001</v>
      </c>
      <c r="CO135" s="53">
        <v>1.5873376000000001</v>
      </c>
      <c r="CP135" s="53">
        <v>1.5873376000000001</v>
      </c>
      <c r="CQ135" s="53">
        <v>1.5873376000000001</v>
      </c>
      <c r="CR135" s="53">
        <v>1.5873376000000001</v>
      </c>
      <c r="CS135" s="53">
        <v>0.59525159999999999</v>
      </c>
      <c r="CT135" s="53">
        <v>1.40876212</v>
      </c>
      <c r="CU135" s="53">
        <v>1.45430192</v>
      </c>
      <c r="CV135" s="216">
        <v>1.75</v>
      </c>
      <c r="CW135" s="53">
        <v>1.66</v>
      </c>
      <c r="CX135" s="53">
        <v>1.66</v>
      </c>
      <c r="CY135" s="53">
        <v>1.66</v>
      </c>
      <c r="CZ135" s="53">
        <v>1.66</v>
      </c>
      <c r="DA135" s="53">
        <v>1.68</v>
      </c>
      <c r="DB135" s="53">
        <v>1.78</v>
      </c>
      <c r="DC135" s="53">
        <v>1.52</v>
      </c>
      <c r="DD135" s="53">
        <v>1.5</v>
      </c>
      <c r="DE135" s="53">
        <v>2</v>
      </c>
      <c r="DF135" s="53">
        <v>2.06</v>
      </c>
    </row>
    <row r="136" spans="1:110" ht="12" outlineLevel="1">
      <c r="A136" s="1" t="s">
        <v>770</v>
      </c>
      <c r="B136" s="15" t="s">
        <v>764</v>
      </c>
      <c r="C136" s="207">
        <v>0.65062295081967214</v>
      </c>
      <c r="D136" s="207">
        <v>0.57984393638170972</v>
      </c>
      <c r="E136" s="207">
        <v>0.66200382775119637</v>
      </c>
      <c r="F136" s="207">
        <v>0.61259981600735969</v>
      </c>
      <c r="G136" s="207">
        <v>0.66960051768766193</v>
      </c>
      <c r="H136" s="207">
        <v>0.68097275641025645</v>
      </c>
      <c r="I136" s="207">
        <v>0.70897906137184086</v>
      </c>
      <c r="J136" s="207">
        <v>0.5951197183098591</v>
      </c>
      <c r="K136" s="207">
        <v>0.68591725015913452</v>
      </c>
      <c r="L136" s="207">
        <v>0.59573705642815611</v>
      </c>
      <c r="M136" s="30">
        <v>0.68835089625203694</v>
      </c>
      <c r="N136" s="30">
        <v>0.59599478895257973</v>
      </c>
      <c r="O136" s="30">
        <v>0.70115752032520329</v>
      </c>
      <c r="P136" s="30">
        <v>0.62731332280147434</v>
      </c>
      <c r="Q136" s="30">
        <v>1.1337222222222219</v>
      </c>
      <c r="R136" s="30">
        <v>1.067447311827957</v>
      </c>
      <c r="S136" s="30">
        <v>0.57955371900826458</v>
      </c>
      <c r="T136" s="32">
        <v>0.55587341772151899</v>
      </c>
      <c r="U136" s="30">
        <v>0.68829142441860458</v>
      </c>
      <c r="V136" s="30">
        <v>0.61159219727640779</v>
      </c>
      <c r="W136" s="30">
        <v>0.72974433893352819</v>
      </c>
      <c r="X136" s="30">
        <v>0.61213914849428874</v>
      </c>
      <c r="Y136" s="32">
        <v>0.73267781569965873</v>
      </c>
      <c r="Z136" s="32">
        <v>0.63063633501259431</v>
      </c>
      <c r="AA136" s="32">
        <v>0.75431027190332323</v>
      </c>
      <c r="AB136" s="32">
        <v>0.64852021640091106</v>
      </c>
      <c r="AC136" s="32">
        <v>0.72763823284245621</v>
      </c>
      <c r="AD136" s="32">
        <v>0.64728163265306127</v>
      </c>
      <c r="AE136" s="32">
        <v>0.77897316384180781</v>
      </c>
      <c r="AF136" s="32">
        <v>0.83899352983465125</v>
      </c>
      <c r="AG136" s="32">
        <v>0.75378178307048604</v>
      </c>
      <c r="AH136" s="32">
        <v>0.70009824357675121</v>
      </c>
      <c r="AI136" s="32">
        <v>0.68035097324840776</v>
      </c>
      <c r="AJ136" s="32">
        <v>0.66390128325221875</v>
      </c>
      <c r="AK136" s="32">
        <v>0.76783383246492987</v>
      </c>
      <c r="AL136" s="32">
        <v>0.63595411425364767</v>
      </c>
      <c r="AM136" s="32">
        <v>0.78033996503785286</v>
      </c>
      <c r="AN136" s="32">
        <v>0.50180067622080682</v>
      </c>
      <c r="AO136" s="32">
        <v>0.4239358544776119</v>
      </c>
      <c r="AP136" s="32">
        <v>0.6661803545150502</v>
      </c>
      <c r="AQ136" s="32">
        <v>0.63371752788029923</v>
      </c>
      <c r="AR136" s="32">
        <v>0.64624317548345656</v>
      </c>
      <c r="AS136" s="32">
        <v>0.65036554254556145</v>
      </c>
      <c r="AT136" s="32">
        <v>0.63534267260903632</v>
      </c>
      <c r="AU136" s="32">
        <v>0.78821698460937495</v>
      </c>
      <c r="AV136" s="31">
        <v>0.70276854243806308</v>
      </c>
      <c r="AW136" s="30">
        <v>0.73918087499377982</v>
      </c>
      <c r="AX136" s="30">
        <v>0.71820796890693617</v>
      </c>
      <c r="AY136" s="30">
        <v>0.72472141683936209</v>
      </c>
      <c r="AZ136" s="30">
        <v>0.70689318505846099</v>
      </c>
      <c r="BA136" s="30">
        <v>0.72831080911411628</v>
      </c>
      <c r="BB136" s="30">
        <v>0.69220729086661548</v>
      </c>
      <c r="BC136" s="30">
        <v>0.71781465170078163</v>
      </c>
      <c r="BD136" s="30">
        <v>0.674187097140164</v>
      </c>
      <c r="BE136" s="30">
        <v>0.69390087978846704</v>
      </c>
      <c r="BF136" s="30">
        <v>0.67991628556352701</v>
      </c>
      <c r="BG136" s="30">
        <v>0.69536644809971337</v>
      </c>
      <c r="BH136" s="30">
        <v>0.65926601336238699</v>
      </c>
      <c r="BI136" s="30">
        <v>0.72945641909913395</v>
      </c>
      <c r="BJ136" s="30">
        <v>0.67933916559644236</v>
      </c>
      <c r="BK136" s="30">
        <v>0.65197777864952089</v>
      </c>
      <c r="BL136" s="30">
        <v>0.69297729031471589</v>
      </c>
      <c r="BM136" s="30">
        <v>0.70936769892728413</v>
      </c>
      <c r="BN136" s="30">
        <v>0.68527957162915898</v>
      </c>
      <c r="BO136" s="30">
        <v>0.70989814600130097</v>
      </c>
      <c r="BP136" s="30"/>
      <c r="BQ136" s="207">
        <v>-0.15382332421340633</v>
      </c>
      <c r="BR136" s="207">
        <v>0.36333267403314912</v>
      </c>
      <c r="BS136" s="207">
        <v>0.44918097694118253</v>
      </c>
      <c r="BT136" s="207">
        <v>0.4805506911791993</v>
      </c>
      <c r="BU136" s="207">
        <v>0.53385260211149999</v>
      </c>
      <c r="BV136" s="207">
        <v>0.5934440667807207</v>
      </c>
      <c r="BW136" s="207">
        <v>0.65382862401088349</v>
      </c>
      <c r="BX136" s="207">
        <v>0.59752226772131245</v>
      </c>
      <c r="BY136" s="207">
        <v>0.57354004314941109</v>
      </c>
      <c r="BZ136" s="207">
        <v>0.58974813478506771</v>
      </c>
      <c r="CA136" s="32">
        <v>0.62170502194051691</v>
      </c>
      <c r="CB136" s="32">
        <v>0.6420138023152272</v>
      </c>
      <c r="CC136" s="32">
        <v>0.69570451955943768</v>
      </c>
      <c r="CD136" s="32">
        <v>0.64064889881902343</v>
      </c>
      <c r="CE136" s="32">
        <v>0.64363089887640457</v>
      </c>
      <c r="CF136" s="32">
        <v>0.6492390018008749</v>
      </c>
      <c r="CG136" s="32">
        <v>0.83608356545960993</v>
      </c>
      <c r="CH136" s="32">
        <v>0.71499880597014931</v>
      </c>
      <c r="CI136" s="32">
        <v>0.62702030456852786</v>
      </c>
      <c r="CJ136" s="32">
        <v>0.67089569202566446</v>
      </c>
      <c r="CK136" s="32">
        <v>0.67283313284069435</v>
      </c>
      <c r="CL136" s="32">
        <v>0.6937508479802651</v>
      </c>
      <c r="CM136" s="32">
        <v>0.68856321192518632</v>
      </c>
      <c r="CN136" s="32">
        <v>0.71189535689535688</v>
      </c>
      <c r="CO136" s="32">
        <v>0.79403633893700121</v>
      </c>
      <c r="CP136" s="32">
        <v>0.69008104990453811</v>
      </c>
      <c r="CQ136" s="32">
        <v>0.7118701521196239</v>
      </c>
      <c r="CR136" s="32">
        <v>0.70080500797527057</v>
      </c>
      <c r="CS136" s="32">
        <v>0.45321286169505054</v>
      </c>
      <c r="CT136" s="32">
        <v>0.64937803959987095</v>
      </c>
      <c r="CU136" s="32">
        <v>0.64839579140752124</v>
      </c>
      <c r="CV136" s="31">
        <v>0.70925357699446923</v>
      </c>
      <c r="CW136" s="32">
        <v>0.72041415015115229</v>
      </c>
      <c r="CX136" s="32">
        <v>0.72144999187516967</v>
      </c>
      <c r="CY136" s="32">
        <v>0.71744218892589751</v>
      </c>
      <c r="CZ136" s="32">
        <v>0.70477844407646328</v>
      </c>
      <c r="DA136" s="32">
        <v>0.68390195329082581</v>
      </c>
      <c r="DB136" s="32">
        <v>0.68755458194130215</v>
      </c>
      <c r="DC136" s="32">
        <v>0.69099847072402865</v>
      </c>
      <c r="DD136" s="32">
        <v>0.66483075756780119</v>
      </c>
      <c r="DE136" s="32">
        <v>0.70107671023964313</v>
      </c>
      <c r="DF136" s="32">
        <v>0.69737165558855219</v>
      </c>
    </row>
    <row r="137" spans="1:110" ht="12" outlineLevel="1">
      <c r="A137" s="1" t="s">
        <v>771</v>
      </c>
      <c r="B137" s="15" t="s">
        <v>772</v>
      </c>
      <c r="C137" s="40">
        <v>0</v>
      </c>
      <c r="D137" s="41">
        <v>0</v>
      </c>
      <c r="E137" s="40">
        <v>0</v>
      </c>
      <c r="F137" s="41">
        <v>12.410550883562451</v>
      </c>
      <c r="G137" s="40">
        <v>0</v>
      </c>
      <c r="H137" s="41">
        <v>63.689610798135448</v>
      </c>
      <c r="I137" s="40">
        <v>111</v>
      </c>
      <c r="J137" s="41">
        <v>116.99520889299248</v>
      </c>
      <c r="K137" s="40">
        <v>78</v>
      </c>
      <c r="L137" s="41">
        <v>250.06756336374167</v>
      </c>
      <c r="M137" s="40">
        <v>341</v>
      </c>
      <c r="N137" s="41">
        <v>556.13925369300296</v>
      </c>
      <c r="O137" s="40">
        <v>580</v>
      </c>
      <c r="P137" s="41">
        <v>484.62629529472594</v>
      </c>
      <c r="Q137" s="40">
        <v>35</v>
      </c>
      <c r="R137" s="41">
        <v>97.557105393779921</v>
      </c>
      <c r="S137" s="40">
        <v>49</v>
      </c>
      <c r="T137" s="41">
        <v>163.21150812701455</v>
      </c>
      <c r="U137" s="40">
        <v>397</v>
      </c>
      <c r="V137" s="41">
        <v>506.00945332421168</v>
      </c>
      <c r="W137" s="40">
        <v>363</v>
      </c>
      <c r="X137" s="41">
        <v>498.5556377991611</v>
      </c>
      <c r="Y137" s="40">
        <v>386</v>
      </c>
      <c r="Z137" s="41">
        <v>478.9138571428573</v>
      </c>
      <c r="AA137" s="40">
        <v>265</v>
      </c>
      <c r="AB137" s="41">
        <v>212.88442857142866</v>
      </c>
      <c r="AC137" s="40">
        <v>0</v>
      </c>
      <c r="AD137" s="40">
        <v>0</v>
      </c>
      <c r="AE137" s="40">
        <v>0</v>
      </c>
      <c r="AF137" s="40">
        <v>0</v>
      </c>
      <c r="AG137" s="40">
        <v>0</v>
      </c>
      <c r="AH137" s="40">
        <v>0</v>
      </c>
      <c r="AI137" s="40">
        <v>0</v>
      </c>
      <c r="AJ137" s="40">
        <v>0</v>
      </c>
      <c r="AK137" s="40">
        <v>0</v>
      </c>
      <c r="AL137" s="40">
        <v>0</v>
      </c>
      <c r="AM137" s="40">
        <v>0</v>
      </c>
      <c r="AN137" s="40">
        <v>0</v>
      </c>
      <c r="AO137" s="40">
        <v>0</v>
      </c>
      <c r="AP137" s="40">
        <v>0</v>
      </c>
      <c r="AQ137" s="40">
        <v>0</v>
      </c>
      <c r="AR137" s="40">
        <v>0</v>
      </c>
      <c r="AS137" s="40">
        <v>0</v>
      </c>
      <c r="AT137" s="40">
        <v>0</v>
      </c>
      <c r="AU137" s="40">
        <v>-137</v>
      </c>
      <c r="AV137" s="429">
        <v>0</v>
      </c>
      <c r="AW137" s="41">
        <v>156.47341002835515</v>
      </c>
      <c r="AX137" s="41">
        <v>230.93392389294877</v>
      </c>
      <c r="AY137" s="41">
        <v>297.70068822074597</v>
      </c>
      <c r="AZ137" s="41">
        <v>385.86341340591696</v>
      </c>
      <c r="BA137" s="41">
        <v>448.44916503964794</v>
      </c>
      <c r="BB137" s="41">
        <v>555.06454447486351</v>
      </c>
      <c r="BC137" s="41">
        <v>629.99411879488969</v>
      </c>
      <c r="BD137" s="41">
        <v>761.87817133918713</v>
      </c>
      <c r="BE137" s="41">
        <v>867.54167995827117</v>
      </c>
      <c r="BF137" s="41">
        <v>998.82639814121944</v>
      </c>
      <c r="BG137" s="41">
        <v>1108.5672222589087</v>
      </c>
      <c r="BH137" s="41">
        <v>1254.2327715956644</v>
      </c>
      <c r="BI137" s="41">
        <v>1308.5627279571595</v>
      </c>
      <c r="BJ137" s="41">
        <v>1418.9098716152366</v>
      </c>
      <c r="BK137" s="41">
        <v>1574.8126669323751</v>
      </c>
      <c r="BL137" s="41">
        <v>1704.6650978515324</v>
      </c>
      <c r="BM137" s="41">
        <v>1809.1543227915656</v>
      </c>
      <c r="BN137" s="41">
        <v>1955.4970038735487</v>
      </c>
      <c r="BO137" s="41">
        <v>2062.1898780521042</v>
      </c>
      <c r="BP137" s="41"/>
      <c r="BQ137" s="40">
        <v>0</v>
      </c>
      <c r="BR137" s="40">
        <v>0</v>
      </c>
      <c r="BS137" s="40">
        <v>0</v>
      </c>
      <c r="BT137" s="40">
        <v>0</v>
      </c>
      <c r="BU137" s="40">
        <v>0</v>
      </c>
      <c r="BV137" s="40">
        <v>0</v>
      </c>
      <c r="BW137" s="40">
        <v>0</v>
      </c>
      <c r="BX137" s="40">
        <v>0</v>
      </c>
      <c r="BY137" s="40">
        <v>0</v>
      </c>
      <c r="BZ137" s="40">
        <v>0</v>
      </c>
      <c r="CA137" s="41">
        <v>0</v>
      </c>
      <c r="CB137" s="41">
        <v>0</v>
      </c>
      <c r="CC137" s="41">
        <v>111</v>
      </c>
      <c r="CD137" s="41">
        <v>78</v>
      </c>
      <c r="CE137" s="41">
        <v>341</v>
      </c>
      <c r="CF137" s="41">
        <v>580</v>
      </c>
      <c r="CG137" s="41">
        <v>35</v>
      </c>
      <c r="CH137" s="41">
        <v>49</v>
      </c>
      <c r="CI137" s="41">
        <v>397</v>
      </c>
      <c r="CJ137" s="41">
        <v>363</v>
      </c>
      <c r="CK137" s="41">
        <v>386</v>
      </c>
      <c r="CL137" s="41">
        <v>265</v>
      </c>
      <c r="CM137" s="41">
        <v>0</v>
      </c>
      <c r="CN137" s="41">
        <v>0</v>
      </c>
      <c r="CO137" s="41">
        <v>0</v>
      </c>
      <c r="CP137" s="41">
        <v>0</v>
      </c>
      <c r="CQ137" s="41">
        <v>0</v>
      </c>
      <c r="CR137" s="41">
        <v>0</v>
      </c>
      <c r="CS137" s="41">
        <v>0</v>
      </c>
      <c r="CT137" s="41">
        <v>0</v>
      </c>
      <c r="CU137" s="41">
        <v>0</v>
      </c>
      <c r="CV137" s="211">
        <v>-137</v>
      </c>
      <c r="CW137" s="41">
        <v>156.47341002835515</v>
      </c>
      <c r="CX137" s="41">
        <v>297.70068822074597</v>
      </c>
      <c r="CY137" s="41">
        <v>448.44916503964794</v>
      </c>
      <c r="CZ137" s="41">
        <v>629.99411879488969</v>
      </c>
      <c r="DA137" s="41">
        <v>867.54167995827117</v>
      </c>
      <c r="DB137" s="41">
        <v>1108.5672222589087</v>
      </c>
      <c r="DC137" s="41">
        <v>1308.5627279571595</v>
      </c>
      <c r="DD137" s="41">
        <v>1574.8126669323751</v>
      </c>
      <c r="DE137" s="41">
        <v>1809.1543227915656</v>
      </c>
      <c r="DF137" s="41">
        <v>2062.1898780521042</v>
      </c>
    </row>
    <row r="138" spans="1:110" ht="12" outlineLevel="1">
      <c r="A138" s="1" t="s">
        <v>907</v>
      </c>
      <c r="B138" s="15" t="s">
        <v>908</v>
      </c>
      <c r="C138" s="379">
        <v>1</v>
      </c>
      <c r="D138" s="379">
        <v>1</v>
      </c>
      <c r="E138" s="379">
        <v>1</v>
      </c>
      <c r="F138" s="379">
        <v>1</v>
      </c>
      <c r="G138" s="379">
        <v>1</v>
      </c>
      <c r="H138" s="379">
        <v>1</v>
      </c>
      <c r="I138" s="379">
        <v>1</v>
      </c>
      <c r="J138" s="379">
        <v>1</v>
      </c>
      <c r="K138" s="379">
        <v>1</v>
      </c>
      <c r="L138" s="379">
        <v>1</v>
      </c>
      <c r="M138" s="54">
        <v>1</v>
      </c>
      <c r="N138" s="54">
        <v>1</v>
      </c>
      <c r="O138" s="54">
        <v>1</v>
      </c>
      <c r="P138" s="54">
        <v>1</v>
      </c>
      <c r="Q138" s="54">
        <v>1</v>
      </c>
      <c r="R138" s="54">
        <v>1</v>
      </c>
      <c r="S138" s="54">
        <v>1</v>
      </c>
      <c r="T138" s="54">
        <v>1</v>
      </c>
      <c r="U138" s="54">
        <v>1</v>
      </c>
      <c r="V138" s="54">
        <v>1</v>
      </c>
      <c r="W138" s="54">
        <v>1</v>
      </c>
      <c r="X138" s="54">
        <v>1</v>
      </c>
      <c r="Y138" s="229">
        <v>1</v>
      </c>
      <c r="Z138" s="334">
        <v>1</v>
      </c>
      <c r="AA138" s="334">
        <v>1</v>
      </c>
      <c r="AB138" s="334">
        <v>1</v>
      </c>
      <c r="AC138" s="334">
        <v>1</v>
      </c>
      <c r="AD138" s="334">
        <v>1</v>
      </c>
      <c r="AE138" s="334">
        <v>1</v>
      </c>
      <c r="AF138" s="334">
        <v>1</v>
      </c>
      <c r="AG138" s="334">
        <v>1</v>
      </c>
      <c r="AH138" s="334">
        <v>1</v>
      </c>
      <c r="AI138" s="334">
        <v>1</v>
      </c>
      <c r="AJ138" s="334">
        <v>1</v>
      </c>
      <c r="AK138" s="334">
        <v>1</v>
      </c>
      <c r="AL138" s="334">
        <v>1</v>
      </c>
      <c r="AM138" s="334">
        <v>0.7</v>
      </c>
      <c r="AN138" s="334">
        <v>1</v>
      </c>
      <c r="AO138" s="334">
        <v>1</v>
      </c>
      <c r="AP138" s="334">
        <v>1</v>
      </c>
      <c r="AQ138" s="334">
        <v>1</v>
      </c>
      <c r="AR138" s="334">
        <v>1</v>
      </c>
      <c r="AS138" s="334">
        <v>1</v>
      </c>
      <c r="AT138" s="334">
        <v>1</v>
      </c>
      <c r="AU138" s="334">
        <v>0.56010638297872339</v>
      </c>
      <c r="AV138" s="538">
        <v>0.65</v>
      </c>
      <c r="AW138" s="45">
        <v>0.65</v>
      </c>
      <c r="AX138" s="45">
        <v>0.75</v>
      </c>
      <c r="AY138" s="45">
        <v>0.75</v>
      </c>
      <c r="AZ138" s="45">
        <v>0.75</v>
      </c>
      <c r="BA138" s="45">
        <v>0.75</v>
      </c>
      <c r="BB138" s="45">
        <v>0.75</v>
      </c>
      <c r="BC138" s="45">
        <v>0.75</v>
      </c>
      <c r="BD138" s="45">
        <v>0.75</v>
      </c>
      <c r="BE138" s="45">
        <v>0.75</v>
      </c>
      <c r="BF138" s="45">
        <v>0.75</v>
      </c>
      <c r="BG138" s="45">
        <v>0.75</v>
      </c>
      <c r="BH138" s="45">
        <v>0.75</v>
      </c>
      <c r="BI138" s="45">
        <v>0.75</v>
      </c>
      <c r="BJ138" s="45">
        <v>0.75</v>
      </c>
      <c r="BK138" s="45">
        <v>0.75</v>
      </c>
      <c r="BL138" s="45">
        <v>0.75</v>
      </c>
      <c r="BM138" s="45">
        <v>0.75</v>
      </c>
      <c r="BN138" s="45">
        <v>0.75</v>
      </c>
      <c r="BO138" s="45">
        <v>0.75</v>
      </c>
      <c r="BP138" s="42"/>
      <c r="BQ138" s="379">
        <v>0.5</v>
      </c>
      <c r="BR138" s="379">
        <v>0</v>
      </c>
      <c r="BS138" s="379">
        <v>0</v>
      </c>
      <c r="BT138" s="379">
        <v>0.18</v>
      </c>
      <c r="BU138" s="379">
        <v>0.79</v>
      </c>
      <c r="BV138" s="379">
        <v>1</v>
      </c>
      <c r="BW138" s="379">
        <v>0.63018263895895676</v>
      </c>
      <c r="BX138" s="379">
        <v>0.81586145222364936</v>
      </c>
      <c r="BY138" s="379">
        <v>1</v>
      </c>
      <c r="BZ138" s="379">
        <v>1</v>
      </c>
      <c r="CA138" s="42">
        <v>1</v>
      </c>
      <c r="CB138" s="42">
        <v>1</v>
      </c>
      <c r="CC138" s="42">
        <v>1</v>
      </c>
      <c r="CD138" s="42">
        <v>1</v>
      </c>
      <c r="CE138" s="42">
        <v>1</v>
      </c>
      <c r="CF138" s="42">
        <v>1</v>
      </c>
      <c r="CG138" s="42">
        <v>1</v>
      </c>
      <c r="CH138" s="42">
        <v>1</v>
      </c>
      <c r="CI138" s="42">
        <v>1</v>
      </c>
      <c r="CJ138" s="42">
        <v>1</v>
      </c>
      <c r="CK138" s="43">
        <v>1</v>
      </c>
      <c r="CL138" s="43">
        <v>1</v>
      </c>
      <c r="CM138" s="43">
        <v>1</v>
      </c>
      <c r="CN138" s="43">
        <v>1</v>
      </c>
      <c r="CO138" s="43">
        <v>1</v>
      </c>
      <c r="CP138" s="43">
        <v>1</v>
      </c>
      <c r="CQ138" s="43">
        <v>1</v>
      </c>
      <c r="CR138" s="43">
        <v>0.85</v>
      </c>
      <c r="CS138" s="43">
        <v>1</v>
      </c>
      <c r="CT138" s="43">
        <v>1</v>
      </c>
      <c r="CU138" s="43">
        <v>1</v>
      </c>
      <c r="CV138" s="44">
        <v>0.76371428571428568</v>
      </c>
      <c r="CW138" s="42">
        <v>0.65</v>
      </c>
      <c r="CX138" s="42">
        <v>0.75</v>
      </c>
      <c r="CY138" s="42">
        <v>0.75</v>
      </c>
      <c r="CZ138" s="42">
        <v>0.75</v>
      </c>
      <c r="DA138" s="42">
        <v>0.75</v>
      </c>
      <c r="DB138" s="42">
        <v>0.75</v>
      </c>
      <c r="DC138" s="42">
        <v>0.75000000000000011</v>
      </c>
      <c r="DD138" s="42">
        <v>0.75</v>
      </c>
      <c r="DE138" s="42">
        <v>0.75</v>
      </c>
      <c r="DF138" s="42">
        <v>0.75</v>
      </c>
    </row>
    <row r="139" spans="1:110" ht="12" outlineLevel="1">
      <c r="A139" s="1" t="s">
        <v>1050</v>
      </c>
      <c r="B139" s="15" t="s">
        <v>411</v>
      </c>
      <c r="C139" s="212" t="s">
        <v>215</v>
      </c>
      <c r="D139" s="212" t="s">
        <v>215</v>
      </c>
      <c r="E139" s="212" t="s">
        <v>215</v>
      </c>
      <c r="F139" s="212" t="s">
        <v>215</v>
      </c>
      <c r="G139" s="212" t="s">
        <v>215</v>
      </c>
      <c r="H139" s="212" t="s">
        <v>215</v>
      </c>
      <c r="I139" s="212" t="s">
        <v>215</v>
      </c>
      <c r="J139" s="212" t="s">
        <v>215</v>
      </c>
      <c r="K139" s="212" t="s">
        <v>215</v>
      </c>
      <c r="L139" s="212">
        <v>0</v>
      </c>
      <c r="M139" s="42">
        <v>0</v>
      </c>
      <c r="N139" s="42">
        <v>9.5279720279720273E-2</v>
      </c>
      <c r="O139" s="42">
        <v>0.19985517740767561</v>
      </c>
      <c r="P139" s="42">
        <v>0.40016778523489932</v>
      </c>
      <c r="Q139" s="42">
        <v>0.29980145598941099</v>
      </c>
      <c r="R139" s="42">
        <v>0.30010070493454177</v>
      </c>
      <c r="S139" s="42">
        <v>0.3000712758374911</v>
      </c>
      <c r="T139" s="43">
        <v>0.29969650986342944</v>
      </c>
      <c r="U139" s="42">
        <v>0.30026385224274404</v>
      </c>
      <c r="V139" s="42">
        <v>0.30024067388688325</v>
      </c>
      <c r="W139" s="42">
        <v>0.30015007503751878</v>
      </c>
      <c r="X139" s="42">
        <v>0.30016958733747878</v>
      </c>
      <c r="Y139" s="43">
        <v>0.20009306654257794</v>
      </c>
      <c r="Z139" s="430">
        <v>-3.8650737163192783E-3</v>
      </c>
      <c r="AA139" s="430">
        <v>0</v>
      </c>
      <c r="AB139" s="334">
        <v>0.16759809687360427</v>
      </c>
      <c r="AC139" s="334">
        <v>9.8206041958629434E-2</v>
      </c>
      <c r="AD139" s="431">
        <v>0.3713276444888316</v>
      </c>
      <c r="AE139" s="431">
        <v>8.5715346414607152E-2</v>
      </c>
      <c r="AF139" s="431">
        <v>8.6487609423580789E-2</v>
      </c>
      <c r="AG139" s="431">
        <v>8.6422525773913045E-2</v>
      </c>
      <c r="AH139" s="431">
        <v>0</v>
      </c>
      <c r="AI139" s="431">
        <v>0</v>
      </c>
      <c r="AJ139" s="431">
        <v>0</v>
      </c>
      <c r="AK139" s="431">
        <v>0</v>
      </c>
      <c r="AL139" s="431">
        <v>0</v>
      </c>
      <c r="AM139" s="431">
        <v>0</v>
      </c>
      <c r="AN139" s="431">
        <v>8.7776336195965421E-2</v>
      </c>
      <c r="AO139" s="431">
        <v>8.5647712230216874E-2</v>
      </c>
      <c r="AP139" s="431">
        <v>0</v>
      </c>
      <c r="AQ139" s="431">
        <v>0</v>
      </c>
      <c r="AR139" s="431">
        <v>9.3065968656867726E-2</v>
      </c>
      <c r="AS139" s="431">
        <v>9.4304361913043491E-2</v>
      </c>
      <c r="AT139" s="431">
        <v>0</v>
      </c>
      <c r="AU139" s="431">
        <v>0</v>
      </c>
      <c r="AV139" s="538">
        <v>0</v>
      </c>
      <c r="AW139" s="45">
        <v>0</v>
      </c>
      <c r="AX139" s="45">
        <v>0</v>
      </c>
      <c r="AY139" s="45">
        <v>0</v>
      </c>
      <c r="AZ139" s="45">
        <v>0</v>
      </c>
      <c r="BA139" s="45">
        <v>0</v>
      </c>
      <c r="BB139" s="45">
        <v>0</v>
      </c>
      <c r="BC139" s="45">
        <v>0</v>
      </c>
      <c r="BD139" s="45">
        <v>0</v>
      </c>
      <c r="BE139" s="45">
        <v>0</v>
      </c>
      <c r="BF139" s="45">
        <v>0</v>
      </c>
      <c r="BG139" s="45">
        <v>0</v>
      </c>
      <c r="BH139" s="45">
        <v>1</v>
      </c>
      <c r="BI139" s="45">
        <v>1</v>
      </c>
      <c r="BJ139" s="45">
        <v>0</v>
      </c>
      <c r="BK139" s="45">
        <v>0</v>
      </c>
      <c r="BL139" s="45">
        <v>0</v>
      </c>
      <c r="BM139" s="45">
        <v>0</v>
      </c>
      <c r="BN139" s="45">
        <v>0</v>
      </c>
      <c r="BO139" s="45">
        <v>0</v>
      </c>
      <c r="BP139" s="42"/>
      <c r="BQ139" s="212" t="s">
        <v>215</v>
      </c>
      <c r="BR139" s="212" t="s">
        <v>215</v>
      </c>
      <c r="BS139" s="212" t="s">
        <v>215</v>
      </c>
      <c r="BT139" s="212" t="s">
        <v>215</v>
      </c>
      <c r="BU139" s="212" t="s">
        <v>215</v>
      </c>
      <c r="BV139" s="212" t="s">
        <v>215</v>
      </c>
      <c r="BW139" s="212" t="s">
        <v>215</v>
      </c>
      <c r="BX139" s="212" t="s">
        <v>215</v>
      </c>
      <c r="BY139" s="212" t="s">
        <v>215</v>
      </c>
      <c r="BZ139" s="212" t="s">
        <v>215</v>
      </c>
      <c r="CA139" s="42" t="s">
        <v>215</v>
      </c>
      <c r="CB139" s="42" t="s">
        <v>215</v>
      </c>
      <c r="CC139" s="42" t="s">
        <v>215</v>
      </c>
      <c r="CD139" s="42" t="s">
        <v>215</v>
      </c>
      <c r="CE139" s="42">
        <v>0</v>
      </c>
      <c r="CF139" s="42">
        <v>0.19985517740767561</v>
      </c>
      <c r="CG139" s="42">
        <v>0.29980145598941099</v>
      </c>
      <c r="CH139" s="42">
        <v>0.3000712758374911</v>
      </c>
      <c r="CI139" s="42">
        <v>0.30026385224274404</v>
      </c>
      <c r="CJ139" s="42">
        <v>0.30015007503751878</v>
      </c>
      <c r="CK139" s="43">
        <v>0.20009306654257794</v>
      </c>
      <c r="CL139" s="365">
        <v>-2.0026043385632714E-3</v>
      </c>
      <c r="CM139" s="365">
        <v>0.13449864843844692</v>
      </c>
      <c r="CN139" s="365">
        <v>0.23579861270799291</v>
      </c>
      <c r="CO139" s="365">
        <v>8.6457807072503168E-2</v>
      </c>
      <c r="CP139" s="365">
        <v>0</v>
      </c>
      <c r="CQ139" s="365">
        <v>0</v>
      </c>
      <c r="CR139" s="365">
        <v>0</v>
      </c>
      <c r="CS139" s="365">
        <v>8.7270769792053893E-2</v>
      </c>
      <c r="CT139" s="365">
        <v>0</v>
      </c>
      <c r="CU139" s="365">
        <v>9.368188746060728E-2</v>
      </c>
      <c r="CV139" s="342">
        <v>0</v>
      </c>
      <c r="CW139" s="212">
        <v>0</v>
      </c>
      <c r="CX139" s="212">
        <v>0</v>
      </c>
      <c r="CY139" s="212">
        <v>0</v>
      </c>
      <c r="CZ139" s="212">
        <v>0</v>
      </c>
      <c r="DA139" s="212">
        <v>0</v>
      </c>
      <c r="DB139" s="212">
        <v>0</v>
      </c>
      <c r="DC139" s="212">
        <v>1</v>
      </c>
      <c r="DD139" s="212">
        <v>0</v>
      </c>
      <c r="DE139" s="212">
        <v>0</v>
      </c>
      <c r="DF139" s="212">
        <v>0</v>
      </c>
    </row>
    <row r="140" spans="1:110" ht="12" outlineLevel="1">
      <c r="AA140" s="119"/>
      <c r="AC140" s="409"/>
      <c r="AD140" s="361"/>
      <c r="AE140" s="420"/>
      <c r="AF140" s="361"/>
      <c r="AG140" s="361"/>
      <c r="AH140" s="438"/>
      <c r="AI140" s="487"/>
      <c r="AJ140" s="487"/>
      <c r="AK140" s="494"/>
      <c r="AL140" s="494"/>
      <c r="AM140" s="494"/>
      <c r="AN140" s="494"/>
      <c r="AO140" s="494"/>
      <c r="AP140" s="494"/>
      <c r="AQ140" s="494"/>
      <c r="AR140" s="494"/>
      <c r="AS140" s="494"/>
      <c r="AT140" s="494"/>
      <c r="AU140" s="494"/>
      <c r="AV140" s="491"/>
      <c r="CZ140" s="15"/>
      <c r="DA140" s="15"/>
      <c r="DB140" s="15"/>
      <c r="DC140" s="15"/>
      <c r="DD140" s="15"/>
      <c r="DE140" s="15"/>
      <c r="DF140" s="15"/>
    </row>
    <row r="141" spans="1:110" ht="12" outlineLevel="1">
      <c r="A141" s="1" t="s">
        <v>1051</v>
      </c>
      <c r="B141" s="15" t="s">
        <v>412</v>
      </c>
      <c r="C141" s="55" t="e">
        <v>#VALUE!</v>
      </c>
      <c r="D141" s="55">
        <v>7.459030769509809</v>
      </c>
      <c r="E141" s="55">
        <v>8.2654124743219199</v>
      </c>
      <c r="F141" s="55">
        <v>9.5757827446411738</v>
      </c>
      <c r="G141" s="55">
        <v>8.3662101874231212</v>
      </c>
      <c r="H141" s="55">
        <v>288.78544803575505</v>
      </c>
      <c r="I141" s="55">
        <v>10.281366736351401</v>
      </c>
      <c r="J141" s="55">
        <v>4.3343016633639309</v>
      </c>
      <c r="K141" s="55">
        <v>3.7295153847549045</v>
      </c>
      <c r="L141" s="55">
        <v>2.318347401334222</v>
      </c>
      <c r="M141" s="55">
        <v>7.9630193350171794</v>
      </c>
      <c r="N141" s="55">
        <v>8.1646147612204913</v>
      </c>
      <c r="O141" s="55">
        <v>20.159542620296861</v>
      </c>
      <c r="P141" s="55">
        <v>57.152303328542303</v>
      </c>
      <c r="Q141" s="55">
        <v>120.25167173007185</v>
      </c>
      <c r="R141" s="55">
        <v>118.33651518114311</v>
      </c>
      <c r="S141" s="55">
        <v>349.16327818354466</v>
      </c>
      <c r="T141" s="55">
        <v>29.231336799430665</v>
      </c>
      <c r="U141" s="55">
        <v>26.409000832588845</v>
      </c>
      <c r="V141" s="55">
        <v>36.992760708245441</v>
      </c>
      <c r="W141" s="55">
        <v>32.860054471084368</v>
      </c>
      <c r="X141" s="55">
        <v>50.902845116249864</v>
      </c>
      <c r="Y141" s="55">
        <v>38.202333265463039</v>
      </c>
      <c r="Z141" s="55">
        <v>26.509798545690046</v>
      </c>
      <c r="AA141" s="55">
        <v>0</v>
      </c>
      <c r="AB141" s="55">
        <v>0.40319085240616914</v>
      </c>
      <c r="AC141" s="55">
        <v>12.599714137685623</v>
      </c>
      <c r="AD141" s="55">
        <v>9.4749850315397453</v>
      </c>
      <c r="AE141" s="55">
        <v>137.79047380972997</v>
      </c>
      <c r="AF141" s="55">
        <v>15.018859252121274</v>
      </c>
      <c r="AG141" s="55">
        <v>9.9789735970471156</v>
      </c>
      <c r="AH141" s="55">
        <v>8.6051098392681524</v>
      </c>
      <c r="AI141" s="55">
        <v>1.389313023266368</v>
      </c>
      <c r="AJ141" s="55">
        <v>-38.964715760529089</v>
      </c>
      <c r="AK141" s="55">
        <v>-25.341411934046391</v>
      </c>
      <c r="AL141" s="55">
        <v>-40.765154432175677</v>
      </c>
      <c r="AM141" s="55">
        <v>1.42058652173273</v>
      </c>
      <c r="AN141" s="55">
        <v>1.6052025731642061</v>
      </c>
      <c r="AO141" s="55">
        <v>4.2262495388504249</v>
      </c>
      <c r="AP141" s="55">
        <v>5.2128293313280665</v>
      </c>
      <c r="AQ141" s="55">
        <v>-22.15347056606015</v>
      </c>
      <c r="AR141" s="55">
        <v>-29.694480115634633</v>
      </c>
      <c r="AS141" s="55">
        <v>173.53064193485807</v>
      </c>
      <c r="AT141" s="55">
        <v>13.443031000000246</v>
      </c>
      <c r="AU141" s="55">
        <v>1.9201039999998102</v>
      </c>
      <c r="AV141" s="217">
        <v>2.2237920000002305</v>
      </c>
      <c r="AW141" s="218">
        <v>-33.1493896655928</v>
      </c>
      <c r="AX141" s="218">
        <v>-31.506613567083058</v>
      </c>
      <c r="AY141" s="218">
        <v>0</v>
      </c>
      <c r="AZ141" s="218">
        <v>0</v>
      </c>
      <c r="BA141" s="218">
        <v>0</v>
      </c>
      <c r="BB141" s="218">
        <v>0</v>
      </c>
      <c r="BC141" s="218">
        <v>0</v>
      </c>
      <c r="BD141" s="218">
        <v>0</v>
      </c>
      <c r="BE141" s="218">
        <v>0</v>
      </c>
      <c r="BF141" s="218">
        <v>0</v>
      </c>
      <c r="BG141" s="218">
        <v>0</v>
      </c>
      <c r="BH141" s="218">
        <v>0</v>
      </c>
      <c r="BI141" s="218">
        <v>42.408080400466503</v>
      </c>
      <c r="BJ141" s="218">
        <v>36.798579987205549</v>
      </c>
      <c r="BK141" s="218">
        <v>0</v>
      </c>
      <c r="BL141" s="218">
        <v>0</v>
      </c>
      <c r="BM141" s="218">
        <v>0</v>
      </c>
      <c r="BN141" s="218">
        <v>0</v>
      </c>
      <c r="BO141" s="218">
        <v>0</v>
      </c>
      <c r="BP141" s="55"/>
      <c r="BQ141" s="55">
        <v>1062.911884655161</v>
      </c>
      <c r="BR141" s="55">
        <v>255.72379813846783</v>
      </c>
      <c r="BS141" s="55">
        <v>45.74269468574289</v>
      </c>
      <c r="BT141" s="55">
        <v>93.204812889205186</v>
      </c>
      <c r="BU141" s="55">
        <v>32.297365349375013</v>
      </c>
      <c r="BV141" s="55">
        <v>30.704206086972363</v>
      </c>
      <c r="BW141" s="55">
        <v>31.13623516509665</v>
      </c>
      <c r="BX141" s="55">
        <v>26.195100021570397</v>
      </c>
      <c r="BY141" s="55">
        <v>-59.700942257021779</v>
      </c>
      <c r="BZ141" s="55">
        <v>-18.042790645165951</v>
      </c>
      <c r="CA141" s="55">
        <v>15.724443243831729</v>
      </c>
      <c r="CB141" s="55">
        <v>17.941992932064295</v>
      </c>
      <c r="CC141" s="55">
        <v>299.06681477210645</v>
      </c>
      <c r="CD141" s="55">
        <v>8.0638170481188354</v>
      </c>
      <c r="CE141" s="55">
        <v>10.281366736351401</v>
      </c>
      <c r="CF141" s="55">
        <v>28.324157381517352</v>
      </c>
      <c r="CG141" s="55">
        <v>177.40397505861415</v>
      </c>
      <c r="CH141" s="55">
        <v>467.49979336468778</v>
      </c>
      <c r="CI141" s="55">
        <v>55.640337632019509</v>
      </c>
      <c r="CJ141" s="55">
        <v>69.852815179329809</v>
      </c>
      <c r="CK141" s="55">
        <v>89.105178381712904</v>
      </c>
      <c r="CL141" s="55">
        <v>26.509798545690046</v>
      </c>
      <c r="CM141" s="55">
        <v>13.002904990091793</v>
      </c>
      <c r="CN141" s="55">
        <v>147.26545884126972</v>
      </c>
      <c r="CO141" s="55">
        <v>24.99783284916839</v>
      </c>
      <c r="CP141" s="55">
        <v>9.9944228625345204</v>
      </c>
      <c r="CQ141" s="55">
        <v>-64.30612769457548</v>
      </c>
      <c r="CR141" s="55">
        <v>-39.344567910442947</v>
      </c>
      <c r="CS141" s="55">
        <v>5.831452112014631</v>
      </c>
      <c r="CT141" s="55">
        <v>-16.940641234732084</v>
      </c>
      <c r="CU141" s="55">
        <v>143.83616181922343</v>
      </c>
      <c r="CV141" s="217">
        <v>15.363135000000057</v>
      </c>
      <c r="CW141" s="55">
        <v>-30.925597665592704</v>
      </c>
      <c r="CX141" s="55">
        <v>-31.50661356708315</v>
      </c>
      <c r="CY141" s="55">
        <v>0</v>
      </c>
      <c r="CZ141" s="55">
        <v>0</v>
      </c>
      <c r="DA141" s="55">
        <v>0</v>
      </c>
      <c r="DB141" s="55">
        <v>0</v>
      </c>
      <c r="DC141" s="55">
        <v>42.408080400466588</v>
      </c>
      <c r="DD141" s="55">
        <v>36.798579987205358</v>
      </c>
      <c r="DE141" s="55">
        <v>0</v>
      </c>
      <c r="DF141" s="55">
        <v>0</v>
      </c>
    </row>
    <row r="142" spans="1:110" ht="12" outlineLevel="1">
      <c r="A142" s="1" t="s">
        <v>1052</v>
      </c>
      <c r="B142" s="15" t="s">
        <v>413</v>
      </c>
      <c r="C142" s="380">
        <v>15.230490382796001</v>
      </c>
      <c r="D142" s="380">
        <v>16.936495357600002</v>
      </c>
      <c r="E142" s="380">
        <v>16.822162406529998</v>
      </c>
      <c r="F142" s="380">
        <v>16.965126959560003</v>
      </c>
      <c r="G142" s="381">
        <v>17.034116620000002</v>
      </c>
      <c r="H142" s="381">
        <v>18.809950560000001</v>
      </c>
      <c r="I142" s="381">
        <v>18.869475720000001</v>
      </c>
      <c r="J142" s="381">
        <v>20.456813320000002</v>
      </c>
      <c r="K142" s="381">
        <v>23.810064000000001</v>
      </c>
      <c r="L142" s="381">
        <v>26.290279000000002</v>
      </c>
      <c r="M142" s="57">
        <v>26.64742996</v>
      </c>
      <c r="N142" s="57">
        <v>29.464954200000001</v>
      </c>
      <c r="O142" s="57">
        <v>29.464954200000001</v>
      </c>
      <c r="P142" s="57">
        <v>22.371539300000002</v>
      </c>
      <c r="Q142" s="57">
        <v>18.601612500000002</v>
      </c>
      <c r="R142" s="57">
        <v>15.6253545</v>
      </c>
      <c r="S142" s="57">
        <v>24.196977540000002</v>
      </c>
      <c r="T142" s="57">
        <v>25.159300959999999</v>
      </c>
      <c r="U142" s="57">
        <v>23.49259648</v>
      </c>
      <c r="V142" s="57">
        <v>23.62156766</v>
      </c>
      <c r="W142" s="57">
        <v>19.365518720000001</v>
      </c>
      <c r="X142" s="57">
        <v>23.075920360000001</v>
      </c>
      <c r="Y142" s="230">
        <v>24.554128500000001</v>
      </c>
      <c r="Z142" s="335">
        <v>28.304213580000003</v>
      </c>
      <c r="AA142" s="335">
        <v>30.536407080000004</v>
      </c>
      <c r="AB142" s="401">
        <v>32.798363160000001</v>
      </c>
      <c r="AC142" s="401">
        <v>30.675299120000002</v>
      </c>
      <c r="AD142" s="401">
        <v>36.350031040000005</v>
      </c>
      <c r="AE142" s="401">
        <v>26.86568888</v>
      </c>
      <c r="AF142" s="401">
        <v>23.274337560000003</v>
      </c>
      <c r="AG142" s="401">
        <v>27.411336179999999</v>
      </c>
      <c r="AH142" s="401">
        <v>31.568176520000002</v>
      </c>
      <c r="AI142" s="401">
        <v>29.3657456</v>
      </c>
      <c r="AJ142" s="401">
        <v>26.64742996</v>
      </c>
      <c r="AK142" s="401">
        <v>27.956983480000002</v>
      </c>
      <c r="AL142" s="401">
        <v>25.823998580000001</v>
      </c>
      <c r="AM142" s="401">
        <v>28.294292720000001</v>
      </c>
      <c r="AN142" s="401">
        <v>16.82577856</v>
      </c>
      <c r="AO142" s="401">
        <v>17.083720919999998</v>
      </c>
      <c r="AP142" s="335">
        <v>27.956983480000002</v>
      </c>
      <c r="AQ142" s="335">
        <v>27.927220899999998</v>
      </c>
      <c r="AR142" s="335">
        <v>27.381573600000003</v>
      </c>
      <c r="AS142" s="335">
        <v>22.8</v>
      </c>
      <c r="AT142" s="335">
        <v>22.93</v>
      </c>
      <c r="AU142" s="335">
        <v>25.66</v>
      </c>
      <c r="AV142" s="511">
        <v>29.4</v>
      </c>
      <c r="AW142" s="56">
        <v>30.932935845147316</v>
      </c>
      <c r="AX142" s="56">
        <v>32.545799999999993</v>
      </c>
      <c r="AY142" s="56">
        <v>34.242759980578072</v>
      </c>
      <c r="AZ142" s="56">
        <v>36.028200599999984</v>
      </c>
      <c r="BA142" s="56">
        <v>37.906735298499918</v>
      </c>
      <c r="BB142" s="56">
        <v>39.883218064199973</v>
      </c>
      <c r="BC142" s="56">
        <v>41.9627559754394</v>
      </c>
      <c r="BD142" s="56">
        <v>44.150722397069366</v>
      </c>
      <c r="BE142" s="56">
        <v>46.452770864811413</v>
      </c>
      <c r="BF142" s="56">
        <v>48.874849693555781</v>
      </c>
      <c r="BG142" s="56">
        <v>51.423217347346224</v>
      </c>
      <c r="BH142" s="56">
        <v>54.104458610766237</v>
      </c>
      <c r="BI142" s="56">
        <v>56.925501603512259</v>
      </c>
      <c r="BJ142" s="56">
        <v>59.893635682118216</v>
      </c>
      <c r="BK142" s="56">
        <v>63.016530275088066</v>
      </c>
      <c r="BL142" s="56">
        <v>66.302254700104854</v>
      </c>
      <c r="BM142" s="56">
        <v>69.759299014522469</v>
      </c>
      <c r="BN142" s="56">
        <v>73.39659595301606</v>
      </c>
      <c r="BO142" s="56">
        <v>77.223544009076363</v>
      </c>
      <c r="BP142" s="56"/>
      <c r="BQ142" s="380">
        <v>2.4901358599999996</v>
      </c>
      <c r="BR142" s="380">
        <v>4.4048618400000006</v>
      </c>
      <c r="BS142" s="380">
        <v>3.7004807799999999</v>
      </c>
      <c r="BT142" s="380">
        <v>6.2203792199999999</v>
      </c>
      <c r="BU142" s="380">
        <v>6.890891456046</v>
      </c>
      <c r="BV142" s="380">
        <v>10.750934387856001</v>
      </c>
      <c r="BW142" s="380">
        <v>8.594075930352</v>
      </c>
      <c r="BX142" s="380">
        <v>9.7692444570500001</v>
      </c>
      <c r="BY142" s="380">
        <v>12.657128428256</v>
      </c>
      <c r="BZ142" s="381">
        <v>15.230490382796001</v>
      </c>
      <c r="CA142" s="56">
        <v>16.822162406529998</v>
      </c>
      <c r="CB142" s="56">
        <v>17.034116620000002</v>
      </c>
      <c r="CC142" s="56">
        <v>18.869475720000001</v>
      </c>
      <c r="CD142" s="56">
        <v>23.810064000000001</v>
      </c>
      <c r="CE142" s="56">
        <v>26.64742996</v>
      </c>
      <c r="CF142" s="56">
        <v>29.464954200000001</v>
      </c>
      <c r="CG142" s="56">
        <v>18.601612500000002</v>
      </c>
      <c r="CH142" s="56">
        <v>24.196977540000002</v>
      </c>
      <c r="CI142" s="56">
        <v>23.49259648</v>
      </c>
      <c r="CJ142" s="56">
        <v>19.365518720000001</v>
      </c>
      <c r="CK142" s="59">
        <v>24.554128500000001</v>
      </c>
      <c r="CL142" s="59">
        <v>30.536407080000004</v>
      </c>
      <c r="CM142" s="59">
        <v>30.675299120000002</v>
      </c>
      <c r="CN142" s="59">
        <v>26.86568888</v>
      </c>
      <c r="CO142" s="59">
        <v>27.411336179999999</v>
      </c>
      <c r="CP142" s="59">
        <v>29.3657456</v>
      </c>
      <c r="CQ142" s="59">
        <v>27.956983480000002</v>
      </c>
      <c r="CR142" s="59">
        <v>28.294292720000001</v>
      </c>
      <c r="CS142" s="59">
        <v>17.083720919999998</v>
      </c>
      <c r="CT142" s="59">
        <v>27.927220899999998</v>
      </c>
      <c r="CU142" s="59">
        <v>22.8</v>
      </c>
      <c r="CV142" s="58">
        <v>25.66</v>
      </c>
      <c r="CW142" s="56">
        <v>30.932935845147316</v>
      </c>
      <c r="CX142" s="56">
        <v>34.242759980578072</v>
      </c>
      <c r="CY142" s="56">
        <v>37.906735298499918</v>
      </c>
      <c r="CZ142" s="56">
        <v>41.9627559754394</v>
      </c>
      <c r="DA142" s="56">
        <v>46.452770864811413</v>
      </c>
      <c r="DB142" s="56">
        <v>51.423217347346224</v>
      </c>
      <c r="DC142" s="56">
        <v>56.925501603512259</v>
      </c>
      <c r="DD142" s="56">
        <v>63.016530275088066</v>
      </c>
      <c r="DE142" s="56">
        <v>69.759299014522469</v>
      </c>
      <c r="DF142" s="56">
        <v>77.223544009076363</v>
      </c>
    </row>
    <row r="143" spans="1:110" ht="12" outlineLevel="1">
      <c r="A143" s="1" t="s">
        <v>635</v>
      </c>
      <c r="B143" s="15" t="s">
        <v>419</v>
      </c>
      <c r="C143" s="382" t="e">
        <v>#VALUE!</v>
      </c>
      <c r="D143" s="382">
        <v>12.199976486486637</v>
      </c>
      <c r="E143" s="382">
        <v>13.913401219511965</v>
      </c>
      <c r="F143" s="382">
        <v>12.427182526315681</v>
      </c>
      <c r="G143" s="382">
        <v>13.984826746988197</v>
      </c>
      <c r="H143" s="382">
        <v>12.774189368237343</v>
      </c>
      <c r="I143" s="382">
        <v>13.908656666666781</v>
      </c>
      <c r="J143" s="382">
        <v>3.4607651162790143</v>
      </c>
      <c r="K143" s="382">
        <v>25.472478378378693</v>
      </c>
      <c r="L143" s="382">
        <v>6.4701260869563448</v>
      </c>
      <c r="M143" s="56">
        <v>25.492842784810598</v>
      </c>
      <c r="N143" s="56">
        <v>17.514604691357608</v>
      </c>
      <c r="O143" s="56">
        <v>26.389487600000223</v>
      </c>
      <c r="P143" s="56">
        <v>25.108349382715954</v>
      </c>
      <c r="Q143" s="56">
        <v>18.361491098072079</v>
      </c>
      <c r="R143" s="56">
        <v>13.089788875638892</v>
      </c>
      <c r="S143" s="56">
        <v>14.357179901847571</v>
      </c>
      <c r="T143" s="59">
        <v>19.739090413793125</v>
      </c>
      <c r="U143" s="56">
        <v>22.416599694656714</v>
      </c>
      <c r="V143" s="56">
        <v>19.138879782016147</v>
      </c>
      <c r="W143" s="56">
        <v>22.793632331288201</v>
      </c>
      <c r="X143" s="56">
        <v>16.737767762376283</v>
      </c>
      <c r="Y143" s="59">
        <v>22.904360158311245</v>
      </c>
      <c r="Z143" s="336">
        <v>21.539205551331246</v>
      </c>
      <c r="AA143" s="359">
        <v>28.987094594594595</v>
      </c>
      <c r="AB143" s="59">
        <v>31.201081081081082</v>
      </c>
      <c r="AC143" s="359">
        <v>30.253486187789822</v>
      </c>
      <c r="AD143" s="401">
        <v>32.020000000000003</v>
      </c>
      <c r="AE143" s="59">
        <v>30.200035523978688</v>
      </c>
      <c r="AF143" s="425">
        <v>23.928902249362437</v>
      </c>
      <c r="AG143" s="59">
        <v>24.189307794220955</v>
      </c>
      <c r="AH143" s="425">
        <v>23.220059051330736</v>
      </c>
      <c r="AI143" s="59">
        <v>37.428570184813005</v>
      </c>
      <c r="AJ143" s="59">
        <v>29.642202630155069</v>
      </c>
      <c r="AK143" s="59">
        <v>32.121335706097121</v>
      </c>
      <c r="AL143" s="59">
        <v>28.382083083359724</v>
      </c>
      <c r="AM143" s="59">
        <v>26.045580071300439</v>
      </c>
      <c r="AN143" s="59">
        <v>-31.14871657689848</v>
      </c>
      <c r="AO143" s="59">
        <v>21.295477035291377</v>
      </c>
      <c r="AP143" s="59">
        <v>16.114089808230766</v>
      </c>
      <c r="AQ143" s="59">
        <v>28.483121780779253</v>
      </c>
      <c r="AR143" s="59">
        <v>30.072929262358791</v>
      </c>
      <c r="AS143" s="59">
        <v>1.2043982415420145</v>
      </c>
      <c r="AT143" s="59">
        <v>19.266488338827401</v>
      </c>
      <c r="AU143" s="59">
        <v>13.540933199453034</v>
      </c>
      <c r="AV143" s="511">
        <v>27.53</v>
      </c>
      <c r="AW143" s="59">
        <v>30.166467922573659</v>
      </c>
      <c r="AX143" s="56">
        <v>31.739367922573656</v>
      </c>
      <c r="AY143" s="56">
        <v>33.394279990289036</v>
      </c>
      <c r="AZ143" s="56">
        <v>35.135480290289024</v>
      </c>
      <c r="BA143" s="56">
        <v>36.967467949249951</v>
      </c>
      <c r="BB143" s="56">
        <v>38.894976681349945</v>
      </c>
      <c r="BC143" s="56">
        <v>40.922987019819686</v>
      </c>
      <c r="BD143" s="56">
        <v>43.056739186254383</v>
      </c>
      <c r="BE143" s="56">
        <v>45.301746630940386</v>
      </c>
      <c r="BF143" s="56">
        <v>47.663810279183593</v>
      </c>
      <c r="BG143" s="56">
        <v>50.149033520450999</v>
      </c>
      <c r="BH143" s="56">
        <v>52.763837979056234</v>
      </c>
      <c r="BI143" s="56">
        <v>55.514980107139245</v>
      </c>
      <c r="BJ143" s="56">
        <v>58.409568642815231</v>
      </c>
      <c r="BK143" s="56">
        <v>61.455082978603137</v>
      </c>
      <c r="BL143" s="56">
        <v>64.659392487596449</v>
      </c>
      <c r="BM143" s="56">
        <v>68.030776857313654</v>
      </c>
      <c r="BN143" s="56">
        <v>71.57794748376925</v>
      </c>
      <c r="BO143" s="56">
        <v>75.310069981046198</v>
      </c>
      <c r="BP143" s="56"/>
      <c r="BQ143" s="382">
        <v>0.13067875334281648</v>
      </c>
      <c r="BR143" s="382">
        <v>0.58696140559716203</v>
      </c>
      <c r="BS143" s="382">
        <v>0.98376364377207592</v>
      </c>
      <c r="BT143" s="382">
        <v>0.92269913252473645</v>
      </c>
      <c r="BU143" s="382">
        <v>4.7372285121380866</v>
      </c>
      <c r="BV143" s="382">
        <v>7.165142110394604</v>
      </c>
      <c r="BW143" s="382">
        <v>7.9007625262209951</v>
      </c>
      <c r="BX143" s="382">
        <v>7.2150898391060787</v>
      </c>
      <c r="BY143" s="382">
        <v>12.428614556962524</v>
      </c>
      <c r="BZ143" s="382">
        <v>16.350020670390965</v>
      </c>
      <c r="CA143" s="56">
        <v>13.100622820512783</v>
      </c>
      <c r="CB143" s="56">
        <v>13.153499775280945</v>
      </c>
      <c r="CC143" s="56">
        <v>12.813190266262218</v>
      </c>
      <c r="CD143" s="56">
        <v>13.64118249999996</v>
      </c>
      <c r="CE143" s="56">
        <v>21.20340666666684</v>
      </c>
      <c r="CF143" s="56">
        <v>23.831247330960835</v>
      </c>
      <c r="CG143" s="56">
        <v>20.535052829545421</v>
      </c>
      <c r="CH143" s="56">
        <v>14.036369840448479</v>
      </c>
      <c r="CI143" s="56">
        <v>13.209840760869636</v>
      </c>
      <c r="CJ143" s="56">
        <v>20.858142886002707</v>
      </c>
      <c r="CK143" s="59">
        <v>19.381589615384609</v>
      </c>
      <c r="CL143" s="59">
        <v>23.500744410646874</v>
      </c>
      <c r="CM143" s="59">
        <v>29.993297674418127</v>
      </c>
      <c r="CN143" s="59">
        <v>7.6596372895277254</v>
      </c>
      <c r="CO143" s="59">
        <v>15.921380161290276</v>
      </c>
      <c r="CP143" s="59">
        <v>32.318024206361159</v>
      </c>
      <c r="CQ143" s="59">
        <v>30.619166020256174</v>
      </c>
      <c r="CR143" s="59">
        <v>28.466445547181277</v>
      </c>
      <c r="CS143" s="59">
        <v>6.8593549653931616</v>
      </c>
      <c r="CT143" s="59">
        <v>32.289214582888889</v>
      </c>
      <c r="CU143" s="59">
        <v>-4.7554105403595708</v>
      </c>
      <c r="CV143" s="58">
        <v>18.550901232072682</v>
      </c>
      <c r="CW143" s="56">
        <v>33.920120520972169</v>
      </c>
      <c r="CX143" s="56">
        <v>31.739367922573564</v>
      </c>
      <c r="CY143" s="56" t="e">
        <v>#DIV/0!</v>
      </c>
      <c r="CZ143" s="56" t="e">
        <v>#DIV/0!</v>
      </c>
      <c r="DA143" s="56" t="e">
        <v>#DIV/0!</v>
      </c>
      <c r="DB143" s="56" t="e">
        <v>#DIV/0!</v>
      </c>
      <c r="DC143" s="56">
        <v>55.514980107139131</v>
      </c>
      <c r="DD143" s="56">
        <v>58.409568642815536</v>
      </c>
      <c r="DE143" s="56" t="e">
        <v>#DIV/0!</v>
      </c>
      <c r="DF143" s="56" t="e">
        <v>#DIV/0!</v>
      </c>
    </row>
    <row r="144" spans="1:110" ht="12" outlineLevel="1">
      <c r="AC144" s="41"/>
      <c r="AD144" s="41"/>
      <c r="AE144" s="41"/>
      <c r="AF144" s="37"/>
      <c r="AG144" s="434"/>
      <c r="AH144" s="41"/>
      <c r="AI144" s="109"/>
      <c r="AJ144" s="41"/>
      <c r="AK144" s="41"/>
      <c r="AL144" s="501"/>
      <c r="AM144" s="501"/>
      <c r="AN144" s="501"/>
      <c r="AO144" s="501"/>
      <c r="AP144" s="501"/>
      <c r="AQ144" s="501"/>
      <c r="AR144" s="501"/>
      <c r="AS144" s="501"/>
      <c r="AT144" s="501"/>
      <c r="AU144" s="501"/>
      <c r="AV144" s="496"/>
      <c r="AW144" s="501"/>
      <c r="AX144" s="41"/>
      <c r="CN144" s="43"/>
      <c r="CO144" s="43"/>
      <c r="CP144" s="43"/>
      <c r="CQ144" s="43"/>
      <c r="CR144" s="43"/>
      <c r="CS144" s="43"/>
      <c r="CT144" s="43"/>
      <c r="CU144" s="43"/>
      <c r="CV144" s="44"/>
      <c r="CZ144" s="15"/>
      <c r="DA144" s="15"/>
      <c r="DB144" s="15"/>
      <c r="DC144" s="15"/>
      <c r="DD144" s="15"/>
      <c r="DE144" s="15"/>
      <c r="DF144" s="15"/>
    </row>
    <row r="145" spans="1:110" ht="12" outlineLevel="1">
      <c r="A145" s="1" t="s">
        <v>866</v>
      </c>
      <c r="B145" s="15" t="s">
        <v>420</v>
      </c>
      <c r="C145" s="207">
        <v>0.5</v>
      </c>
      <c r="D145" s="207">
        <v>0.5</v>
      </c>
      <c r="E145" s="207">
        <v>0.5</v>
      </c>
      <c r="F145" s="207">
        <v>0.5</v>
      </c>
      <c r="G145" s="207">
        <v>0.5</v>
      </c>
      <c r="H145" s="207">
        <v>0.5</v>
      </c>
      <c r="I145" s="207">
        <v>0.5</v>
      </c>
      <c r="J145" s="207">
        <v>0.5</v>
      </c>
      <c r="K145" s="207">
        <v>0.5</v>
      </c>
      <c r="L145" s="207">
        <v>0.5</v>
      </c>
      <c r="M145" s="30">
        <v>0.5</v>
      </c>
      <c r="N145" s="30">
        <v>0.5</v>
      </c>
      <c r="O145" s="30">
        <v>0.5</v>
      </c>
      <c r="P145" s="30">
        <v>0.5</v>
      </c>
      <c r="Q145" s="30">
        <v>0.19377680206567857</v>
      </c>
      <c r="R145" s="30">
        <v>0.19688012159304194</v>
      </c>
      <c r="S145" s="30">
        <v>0.19743739699080229</v>
      </c>
      <c r="T145" s="32">
        <v>0.19613557634466594</v>
      </c>
      <c r="U145" s="30">
        <v>0.19379940589564684</v>
      </c>
      <c r="V145" s="30">
        <v>0.19507640476476959</v>
      </c>
      <c r="W145" s="30">
        <v>0.19447307574449119</v>
      </c>
      <c r="X145" s="30">
        <v>0.19652980970067827</v>
      </c>
      <c r="Y145" s="32">
        <v>0.19406083933664492</v>
      </c>
      <c r="Z145" s="32">
        <v>0.19482797693489226</v>
      </c>
      <c r="AA145" s="32">
        <v>0.19536317944385001</v>
      </c>
      <c r="AB145" s="32">
        <v>0.19792001148413566</v>
      </c>
      <c r="AC145" s="32">
        <v>0.19312570931655049</v>
      </c>
      <c r="AD145" s="32">
        <v>0.19446995982627202</v>
      </c>
      <c r="AE145" s="32">
        <v>0.1926261698417136</v>
      </c>
      <c r="AF145" s="32">
        <v>0.19097928190462207</v>
      </c>
      <c r="AG145" s="32">
        <v>0.26851187086871486</v>
      </c>
      <c r="AH145" s="32">
        <v>0.2677395757132407</v>
      </c>
      <c r="AI145" s="32">
        <v>0.28821347784968676</v>
      </c>
      <c r="AJ145" s="32">
        <v>0.28941702814456799</v>
      </c>
      <c r="AK145" s="32">
        <v>0.28337387405605596</v>
      </c>
      <c r="AL145" s="32">
        <v>0.29173568403134009</v>
      </c>
      <c r="AM145" s="32">
        <v>0.30745939594192107</v>
      </c>
      <c r="AN145" s="32">
        <v>0.30787172178531774</v>
      </c>
      <c r="AO145" s="32">
        <v>0.3085335565787638</v>
      </c>
      <c r="AP145" s="32">
        <v>0.29955396144099755</v>
      </c>
      <c r="AQ145" s="32">
        <v>0.29745928303790947</v>
      </c>
      <c r="AR145" s="32">
        <v>0.29813818982659451</v>
      </c>
      <c r="AS145" s="32">
        <v>0.30380780780780781</v>
      </c>
      <c r="AT145" s="32">
        <v>0.22642585502709642</v>
      </c>
      <c r="AU145" s="32">
        <v>0.24315744973312137</v>
      </c>
      <c r="AV145" s="31">
        <v>0.24868836774384792</v>
      </c>
      <c r="AW145" s="33">
        <v>0.25900000000000001</v>
      </c>
      <c r="AX145" s="33">
        <v>0.25900000000000001</v>
      </c>
      <c r="AY145" s="33">
        <v>0.25900000000000001</v>
      </c>
      <c r="AZ145" s="33">
        <v>0.25900000000000001</v>
      </c>
      <c r="BA145" s="33">
        <v>0.25900000000000001</v>
      </c>
      <c r="BB145" s="33">
        <v>0.25900000000000001</v>
      </c>
      <c r="BC145" s="33">
        <v>0.25900000000000001</v>
      </c>
      <c r="BD145" s="33">
        <v>0.25900000000000001</v>
      </c>
      <c r="BE145" s="33">
        <v>0.25900000000000001</v>
      </c>
      <c r="BF145" s="33">
        <v>0.25900000000000001</v>
      </c>
      <c r="BG145" s="33">
        <v>0.25900000000000001</v>
      </c>
      <c r="BH145" s="33">
        <v>0.26900000000000002</v>
      </c>
      <c r="BI145" s="33">
        <v>0.27900000000000003</v>
      </c>
      <c r="BJ145" s="33">
        <v>0.26900000000000002</v>
      </c>
      <c r="BK145" s="33">
        <v>0.25900000000000001</v>
      </c>
      <c r="BL145" s="33">
        <v>0.25900000000000001</v>
      </c>
      <c r="BM145" s="33">
        <v>0.25900000000000001</v>
      </c>
      <c r="BN145" s="33">
        <v>0.25900000000000001</v>
      </c>
      <c r="BO145" s="33">
        <v>0.25900000000000001</v>
      </c>
      <c r="BP145" s="30"/>
      <c r="BQ145" s="207">
        <v>0.5</v>
      </c>
      <c r="BR145" s="207">
        <v>0.5</v>
      </c>
      <c r="BS145" s="207">
        <v>0.5</v>
      </c>
      <c r="BT145" s="207">
        <v>0.5</v>
      </c>
      <c r="BU145" s="207">
        <v>0.5</v>
      </c>
      <c r="BV145" s="207">
        <v>0.5</v>
      </c>
      <c r="BW145" s="207">
        <v>0.5</v>
      </c>
      <c r="BX145" s="207">
        <v>0.5</v>
      </c>
      <c r="BY145" s="207">
        <v>0.5</v>
      </c>
      <c r="BZ145" s="207">
        <v>0.5</v>
      </c>
      <c r="CA145" s="30">
        <v>0.5</v>
      </c>
      <c r="CB145" s="30">
        <v>0.5</v>
      </c>
      <c r="CC145" s="30">
        <v>0.5</v>
      </c>
      <c r="CD145" s="30">
        <v>0.5</v>
      </c>
      <c r="CE145" s="30">
        <v>0.5</v>
      </c>
      <c r="CF145" s="30">
        <v>0.5</v>
      </c>
      <c r="CG145" s="30">
        <v>0.19377680206567857</v>
      </c>
      <c r="CH145" s="30">
        <v>0.19743739699080229</v>
      </c>
      <c r="CI145" s="30">
        <v>0.19379940589564684</v>
      </c>
      <c r="CJ145" s="30">
        <v>0.19447307574449119</v>
      </c>
      <c r="CK145" s="32">
        <v>0.19406083933664492</v>
      </c>
      <c r="CL145" s="32">
        <v>0.19536317944385001</v>
      </c>
      <c r="CM145" s="32">
        <v>0.19312570931655049</v>
      </c>
      <c r="CN145" s="32">
        <v>0.1926261698417136</v>
      </c>
      <c r="CO145" s="32">
        <v>0.26851187086871486</v>
      </c>
      <c r="CP145" s="32">
        <v>0.28821347784968676</v>
      </c>
      <c r="CQ145" s="32">
        <v>0.28337387405605596</v>
      </c>
      <c r="CR145" s="32">
        <v>0.30745939594192107</v>
      </c>
      <c r="CS145" s="32">
        <v>0.3085335565787638</v>
      </c>
      <c r="CT145" s="32">
        <v>0.29745928303790947</v>
      </c>
      <c r="CU145" s="32">
        <v>0.30380780780780781</v>
      </c>
      <c r="CV145" s="31">
        <v>0.24315744973312137</v>
      </c>
      <c r="CW145" s="30">
        <v>0.25900000000000001</v>
      </c>
      <c r="CX145" s="30">
        <v>0.25900000000000001</v>
      </c>
      <c r="CY145" s="30">
        <v>0.25900000000000001</v>
      </c>
      <c r="CZ145" s="30">
        <v>0.25900000000000001</v>
      </c>
      <c r="DA145" s="30">
        <v>0.25900000000000001</v>
      </c>
      <c r="DB145" s="30">
        <v>0.25900000000000001</v>
      </c>
      <c r="DC145" s="30">
        <v>0.27900000000000003</v>
      </c>
      <c r="DD145" s="30">
        <v>0.25900000000000001</v>
      </c>
      <c r="DE145" s="30">
        <v>0.25900000000000001</v>
      </c>
      <c r="DF145" s="30">
        <v>0.25900000000000001</v>
      </c>
    </row>
    <row r="146" spans="1:110" ht="12" outlineLevel="1">
      <c r="A146" s="1" t="s">
        <v>881</v>
      </c>
      <c r="B146" s="15" t="s">
        <v>259</v>
      </c>
      <c r="C146" s="207">
        <v>1.2857690854335804</v>
      </c>
      <c r="D146" s="207">
        <v>1.2472406051960807</v>
      </c>
      <c r="E146" s="207">
        <v>1.2711639448323619</v>
      </c>
      <c r="F146" s="207">
        <v>1.264143246193369</v>
      </c>
      <c r="G146" s="207">
        <v>1.2400859880524138</v>
      </c>
      <c r="H146" s="207">
        <v>1.2525832533918049</v>
      </c>
      <c r="I146" s="207">
        <v>1.2685855545613132</v>
      </c>
      <c r="J146" s="207">
        <v>1.2661735708615376</v>
      </c>
      <c r="K146" s="207">
        <v>1.2550849107099411</v>
      </c>
      <c r="L146" s="207">
        <v>1.2821522826643559</v>
      </c>
      <c r="M146" s="30">
        <v>1.2688711258577785</v>
      </c>
      <c r="N146" s="30">
        <v>1.2686830015313935</v>
      </c>
      <c r="O146" s="30">
        <v>1.29586</v>
      </c>
      <c r="P146" s="30">
        <v>0.97170526019062831</v>
      </c>
      <c r="Q146" s="30">
        <v>1.2069841411311211</v>
      </c>
      <c r="R146" s="30">
        <v>1.2441255978373882</v>
      </c>
      <c r="S146" s="30">
        <v>1.1747257906192652</v>
      </c>
      <c r="T146" s="32">
        <v>1.1305761477435297</v>
      </c>
      <c r="U146" s="30">
        <v>1.160180141437309</v>
      </c>
      <c r="V146" s="30">
        <v>1.082225167348039</v>
      </c>
      <c r="W146" s="30">
        <v>1.0985057196698251</v>
      </c>
      <c r="X146" s="30">
        <v>1.0599595639491515</v>
      </c>
      <c r="Y146" s="32">
        <v>1.0396093003923819</v>
      </c>
      <c r="Z146" s="32">
        <v>1.0362253132877532</v>
      </c>
      <c r="AA146" s="32">
        <v>1.0162917320953095</v>
      </c>
      <c r="AB146" s="32">
        <v>1.016738218127442</v>
      </c>
      <c r="AC146" s="32">
        <v>1.0091561543364838</v>
      </c>
      <c r="AD146" s="32">
        <v>1.037244431439962</v>
      </c>
      <c r="AE146" s="32">
        <v>1.0680638043275406</v>
      </c>
      <c r="AF146" s="32">
        <v>1.0885346024191949</v>
      </c>
      <c r="AG146" s="32">
        <v>1.0346919113316249</v>
      </c>
      <c r="AH146" s="32">
        <v>1.0171712952177441</v>
      </c>
      <c r="AI146" s="32">
        <v>0.97351859751762249</v>
      </c>
      <c r="AJ146" s="32">
        <v>0.97243303392734204</v>
      </c>
      <c r="AK146" s="32">
        <v>0.91527140285638942</v>
      </c>
      <c r="AL146" s="32">
        <v>0.92206504920116672</v>
      </c>
      <c r="AM146" s="32">
        <v>0.91952988666129909</v>
      </c>
      <c r="AN146" s="32">
        <v>0.89421974414892424</v>
      </c>
      <c r="AO146" s="32">
        <v>0.94885175070933581</v>
      </c>
      <c r="AP146" s="32">
        <v>0.92919426713236175</v>
      </c>
      <c r="AQ146" s="32">
        <v>0.8903924793998278</v>
      </c>
      <c r="AR146" s="32">
        <v>0.847927782403751</v>
      </c>
      <c r="AS146" s="32">
        <v>0.82149832775919729</v>
      </c>
      <c r="AT146" s="32">
        <v>0.8555923957413486</v>
      </c>
      <c r="AU146" s="32">
        <v>0.82696716687724114</v>
      </c>
      <c r="AV146" s="31">
        <v>0.8159669429186448</v>
      </c>
      <c r="AW146" s="33">
        <v>0.73275697289900443</v>
      </c>
      <c r="AX146" s="33">
        <v>0.73275697289900443</v>
      </c>
      <c r="AY146" s="33">
        <v>0.73275697289900443</v>
      </c>
      <c r="AZ146" s="33">
        <v>0.73275697289900443</v>
      </c>
      <c r="BA146" s="33">
        <v>0.73275697289900443</v>
      </c>
      <c r="BB146" s="33">
        <v>0.73275697289900443</v>
      </c>
      <c r="BC146" s="33">
        <v>0.73275697289900443</v>
      </c>
      <c r="BD146" s="33">
        <v>0.73275697289900443</v>
      </c>
      <c r="BE146" s="33">
        <v>0.73275697289900443</v>
      </c>
      <c r="BF146" s="33">
        <v>0.73275697289900443</v>
      </c>
      <c r="BG146" s="33">
        <v>0.73275697289900443</v>
      </c>
      <c r="BH146" s="33">
        <v>0.74275697289900444</v>
      </c>
      <c r="BI146" s="33">
        <v>0.75275697289900445</v>
      </c>
      <c r="BJ146" s="33">
        <v>0.74275697289900444</v>
      </c>
      <c r="BK146" s="33">
        <v>0.73275697289900443</v>
      </c>
      <c r="BL146" s="33">
        <v>0.73275697289900443</v>
      </c>
      <c r="BM146" s="33">
        <v>0.73275697289900443</v>
      </c>
      <c r="BN146" s="33">
        <v>0.73275697289900443</v>
      </c>
      <c r="BO146" s="33">
        <v>0.73275697289900443</v>
      </c>
      <c r="BP146" s="30"/>
      <c r="BQ146" s="207">
        <v>1.1756606128353082</v>
      </c>
      <c r="BR146" s="207">
        <v>1.1740946957606953</v>
      </c>
      <c r="BS146" s="207">
        <v>1.1688335485672403</v>
      </c>
      <c r="BT146" s="207">
        <v>1.1978336509583742</v>
      </c>
      <c r="BU146" s="207">
        <v>1.2194605815141439</v>
      </c>
      <c r="BV146" s="207">
        <v>1.2853405582565511</v>
      </c>
      <c r="BW146" s="207">
        <v>1.2433789500742873</v>
      </c>
      <c r="BX146" s="207">
        <v>1.1907542904370654</v>
      </c>
      <c r="BY146" s="207">
        <v>1.2251009499801602</v>
      </c>
      <c r="BZ146" s="207">
        <v>1.2857690854335804</v>
      </c>
      <c r="CA146" s="30">
        <v>1.2711639448323619</v>
      </c>
      <c r="CB146" s="30">
        <v>1.2400859880524138</v>
      </c>
      <c r="CC146" s="30">
        <v>1.2685855545613132</v>
      </c>
      <c r="CD146" s="30">
        <v>1.2550849107099411</v>
      </c>
      <c r="CE146" s="30">
        <v>1.2688711258577785</v>
      </c>
      <c r="CF146" s="30">
        <v>1.29586</v>
      </c>
      <c r="CG146" s="30">
        <v>1.2069841411311211</v>
      </c>
      <c r="CH146" s="30">
        <v>1.1747257906192652</v>
      </c>
      <c r="CI146" s="30">
        <v>1.160180141437309</v>
      </c>
      <c r="CJ146" s="30">
        <v>1.0985057196698251</v>
      </c>
      <c r="CK146" s="32">
        <v>1.0396093003923819</v>
      </c>
      <c r="CL146" s="32">
        <v>1.0162917320953095</v>
      </c>
      <c r="CM146" s="32">
        <v>1.0091561543364838</v>
      </c>
      <c r="CN146" s="32">
        <v>1.0680638043275406</v>
      </c>
      <c r="CO146" s="32">
        <v>1.0346919113316249</v>
      </c>
      <c r="CP146" s="32">
        <v>0.97351859751762249</v>
      </c>
      <c r="CQ146" s="32">
        <v>0.91527140285638942</v>
      </c>
      <c r="CR146" s="32">
        <v>0.91952988666129909</v>
      </c>
      <c r="CS146" s="32">
        <v>0.94885175070933581</v>
      </c>
      <c r="CT146" s="32">
        <v>0.8903924793998278</v>
      </c>
      <c r="CU146" s="32">
        <v>0.82149832775919729</v>
      </c>
      <c r="CV146" s="31">
        <v>0.82696716687724114</v>
      </c>
      <c r="CW146" s="30">
        <v>0.73275697289900443</v>
      </c>
      <c r="CX146" s="30">
        <v>0.73275697289900443</v>
      </c>
      <c r="CY146" s="30">
        <v>0.73275697289900443</v>
      </c>
      <c r="CZ146" s="30">
        <v>0.73275697289900443</v>
      </c>
      <c r="DA146" s="30">
        <v>0.73275697289900443</v>
      </c>
      <c r="DB146" s="30">
        <v>0.73275697289900443</v>
      </c>
      <c r="DC146" s="30">
        <v>0.75275697289900445</v>
      </c>
      <c r="DD146" s="30">
        <v>0.73275697289900443</v>
      </c>
      <c r="DE146" s="30">
        <v>0.73275697289900443</v>
      </c>
      <c r="DF146" s="30">
        <v>0.73275697289900443</v>
      </c>
    </row>
    <row r="147" spans="1:110" ht="12" outlineLevel="1">
      <c r="A147" s="1" t="s">
        <v>882</v>
      </c>
      <c r="B147" s="15" t="s">
        <v>260</v>
      </c>
      <c r="C147" s="207" t="s">
        <v>215</v>
      </c>
      <c r="D147" s="207" t="s">
        <v>215</v>
      </c>
      <c r="E147" s="207" t="s">
        <v>215</v>
      </c>
      <c r="F147" s="207" t="s">
        <v>215</v>
      </c>
      <c r="G147" s="207" t="s">
        <v>215</v>
      </c>
      <c r="H147" s="207" t="s">
        <v>215</v>
      </c>
      <c r="I147" s="207" t="s">
        <v>215</v>
      </c>
      <c r="J147" s="207" t="s">
        <v>215</v>
      </c>
      <c r="K147" s="207" t="s">
        <v>215</v>
      </c>
      <c r="L147" s="207" t="s">
        <v>215</v>
      </c>
      <c r="M147" s="30" t="s">
        <v>215</v>
      </c>
      <c r="N147" s="30" t="s">
        <v>215</v>
      </c>
      <c r="O147" s="30" t="s">
        <v>215</v>
      </c>
      <c r="P147" s="30" t="s">
        <v>215</v>
      </c>
      <c r="Q147" s="30">
        <v>0.21474431472169542</v>
      </c>
      <c r="R147" s="30">
        <v>0.16510222450816511</v>
      </c>
      <c r="S147" s="30">
        <v>0.17823510570147341</v>
      </c>
      <c r="T147" s="32">
        <v>0.18756848618465516</v>
      </c>
      <c r="U147" s="30">
        <v>0.19010524622419117</v>
      </c>
      <c r="V147" s="30">
        <v>0.20441952506596306</v>
      </c>
      <c r="W147" s="30">
        <v>0.15533360605848956</v>
      </c>
      <c r="X147" s="30">
        <v>0.17937296290547883</v>
      </c>
      <c r="Y147" s="32">
        <v>0.21614546010452795</v>
      </c>
      <c r="Z147" s="32">
        <v>0.22267335254275344</v>
      </c>
      <c r="AA147" s="32">
        <v>0.23965714179582664</v>
      </c>
      <c r="AB147" s="32">
        <v>0.24701109971916374</v>
      </c>
      <c r="AC147" s="32">
        <v>0.21351568393643686</v>
      </c>
      <c r="AD147" s="32">
        <v>0.158179623046482</v>
      </c>
      <c r="AE147" s="32">
        <v>0.16506251601251268</v>
      </c>
      <c r="AF147" s="32">
        <v>0.1638040548529987</v>
      </c>
      <c r="AG147" s="32">
        <v>0.16862479648371573</v>
      </c>
      <c r="AH147" s="32">
        <v>0.17437605569324513</v>
      </c>
      <c r="AI147" s="32">
        <v>0.17292804302253714</v>
      </c>
      <c r="AJ147" s="32">
        <v>0.15541585590979395</v>
      </c>
      <c r="AK147" s="32">
        <v>0.15876281896446326</v>
      </c>
      <c r="AL147" s="32">
        <v>0.13833204814155819</v>
      </c>
      <c r="AM147" s="32">
        <v>0.16220558810722022</v>
      </c>
      <c r="AN147" s="32">
        <v>0.12881919317052828</v>
      </c>
      <c r="AO147" s="32">
        <v>0.16471423753129349</v>
      </c>
      <c r="AP147" s="32">
        <v>0.16548240326851707</v>
      </c>
      <c r="AQ147" s="32">
        <v>0.21262493029330268</v>
      </c>
      <c r="AR147" s="32">
        <v>0.24517320329785244</v>
      </c>
      <c r="AS147" s="32">
        <v>0.23119406751693747</v>
      </c>
      <c r="AT147" s="32">
        <v>0.21474254458728348</v>
      </c>
      <c r="AU147" s="32">
        <v>0.21176695233572773</v>
      </c>
      <c r="AV147" s="31">
        <v>0.22537394404402078</v>
      </c>
      <c r="AW147" s="33">
        <v>0.21017394404402076</v>
      </c>
      <c r="AX147" s="33">
        <v>0.21017394404402076</v>
      </c>
      <c r="AY147" s="33">
        <v>0.21017394404402076</v>
      </c>
      <c r="AZ147" s="33">
        <v>0.21017394404402076</v>
      </c>
      <c r="BA147" s="33">
        <v>0.21017394404402076</v>
      </c>
      <c r="BB147" s="33">
        <v>0.21017394404402076</v>
      </c>
      <c r="BC147" s="33">
        <v>0.21017394404402076</v>
      </c>
      <c r="BD147" s="33">
        <v>0.21017394404402076</v>
      </c>
      <c r="BE147" s="33">
        <v>0.21017394404402076</v>
      </c>
      <c r="BF147" s="33">
        <v>0.21017394404402076</v>
      </c>
      <c r="BG147" s="33">
        <v>0.21017394404402076</v>
      </c>
      <c r="BH147" s="33">
        <v>0.22017394404402077</v>
      </c>
      <c r="BI147" s="33">
        <v>0.23017394404402078</v>
      </c>
      <c r="BJ147" s="33">
        <v>0.22017394404402077</v>
      </c>
      <c r="BK147" s="33">
        <v>0.21017394404402076</v>
      </c>
      <c r="BL147" s="33">
        <v>0.21017394404402076</v>
      </c>
      <c r="BM147" s="33">
        <v>0.21017394404402076</v>
      </c>
      <c r="BN147" s="33">
        <v>0.21017394404402076</v>
      </c>
      <c r="BO147" s="33">
        <v>0.21017394404402076</v>
      </c>
      <c r="BP147" s="30"/>
      <c r="BQ147" s="207" t="s">
        <v>215</v>
      </c>
      <c r="BR147" s="207" t="s">
        <v>215</v>
      </c>
      <c r="BS147" s="207" t="s">
        <v>215</v>
      </c>
      <c r="BT147" s="207" t="s">
        <v>215</v>
      </c>
      <c r="BU147" s="207" t="s">
        <v>215</v>
      </c>
      <c r="BV147" s="207" t="s">
        <v>215</v>
      </c>
      <c r="BW147" s="207" t="s">
        <v>215</v>
      </c>
      <c r="BX147" s="207" t="s">
        <v>215</v>
      </c>
      <c r="BY147" s="207" t="s">
        <v>215</v>
      </c>
      <c r="BZ147" s="207" t="s">
        <v>215</v>
      </c>
      <c r="CA147" s="30">
        <v>0</v>
      </c>
      <c r="CB147" s="30">
        <v>2.2649024505501925E-2</v>
      </c>
      <c r="CC147" s="30">
        <v>2.6008143964271639E-2</v>
      </c>
      <c r="CD147" s="30">
        <v>3.0944320990218273E-2</v>
      </c>
      <c r="CE147" s="30">
        <v>2.7263558577610047E-2</v>
      </c>
      <c r="CF147" s="30">
        <v>2.2801531813231211E-2</v>
      </c>
      <c r="CG147" s="30">
        <v>0.21474431472169542</v>
      </c>
      <c r="CH147" s="30">
        <v>0.17823510570147341</v>
      </c>
      <c r="CI147" s="30">
        <v>0.19010524622419117</v>
      </c>
      <c r="CJ147" s="30">
        <v>0.15533360605848956</v>
      </c>
      <c r="CK147" s="32">
        <v>0.21614546010452795</v>
      </c>
      <c r="CL147" s="32">
        <v>0.23965714179582664</v>
      </c>
      <c r="CM147" s="32">
        <v>0.21351568393643686</v>
      </c>
      <c r="CN147" s="32">
        <v>0.16506251601251268</v>
      </c>
      <c r="CO147" s="32">
        <v>0.16862479648371573</v>
      </c>
      <c r="CP147" s="32">
        <v>0.17292804302253714</v>
      </c>
      <c r="CQ147" s="32">
        <v>0.15876281896446326</v>
      </c>
      <c r="CR147" s="32">
        <v>0.16220558810722022</v>
      </c>
      <c r="CS147" s="32">
        <v>0.16471423753129349</v>
      </c>
      <c r="CT147" s="32">
        <v>0.21262493029330268</v>
      </c>
      <c r="CU147" s="32">
        <v>0.23119406751693747</v>
      </c>
      <c r="CV147" s="31">
        <v>0.21176695233572773</v>
      </c>
      <c r="CW147" s="30">
        <v>0.21017394404402073</v>
      </c>
      <c r="CX147" s="30">
        <v>0.21017394404402076</v>
      </c>
      <c r="CY147" s="30">
        <v>0.21017394404402076</v>
      </c>
      <c r="CZ147" s="30">
        <v>0.21017394404402073</v>
      </c>
      <c r="DA147" s="30">
        <v>0.21017394404402076</v>
      </c>
      <c r="DB147" s="30">
        <v>0.21017394404402079</v>
      </c>
      <c r="DC147" s="30">
        <v>0.23017394404402078</v>
      </c>
      <c r="DD147" s="30">
        <v>0.21017394404402076</v>
      </c>
      <c r="DE147" s="30">
        <v>0.21017394404402076</v>
      </c>
      <c r="DF147" s="30">
        <v>0.21017394404402076</v>
      </c>
    </row>
    <row r="148" spans="1:110" ht="12" outlineLevel="1">
      <c r="A148" s="1" t="s">
        <v>883</v>
      </c>
      <c r="B148" s="15" t="s">
        <v>261</v>
      </c>
      <c r="C148" s="207">
        <v>0.04</v>
      </c>
      <c r="D148" s="207">
        <v>0.04</v>
      </c>
      <c r="E148" s="207">
        <v>0.04</v>
      </c>
      <c r="F148" s="207">
        <v>0.04</v>
      </c>
      <c r="G148" s="207">
        <v>0.04</v>
      </c>
      <c r="H148" s="207">
        <v>0.04</v>
      </c>
      <c r="I148" s="207">
        <v>0.04</v>
      </c>
      <c r="J148" s="207">
        <v>0.04</v>
      </c>
      <c r="K148" s="207">
        <v>0.04</v>
      </c>
      <c r="L148" s="207">
        <v>0.04</v>
      </c>
      <c r="M148" s="30">
        <v>0.04</v>
      </c>
      <c r="N148" s="30">
        <v>0.04</v>
      </c>
      <c r="O148" s="30">
        <v>0.04</v>
      </c>
      <c r="P148" s="30">
        <v>0.04</v>
      </c>
      <c r="Q148" s="30">
        <v>0.04</v>
      </c>
      <c r="R148" s="30">
        <v>0.04</v>
      </c>
      <c r="S148" s="30">
        <v>0.04</v>
      </c>
      <c r="T148" s="32">
        <v>0.04</v>
      </c>
      <c r="U148" s="30">
        <v>0.04</v>
      </c>
      <c r="V148" s="30">
        <v>0.04</v>
      </c>
      <c r="W148" s="30">
        <v>0.04</v>
      </c>
      <c r="X148" s="30">
        <v>0.04</v>
      </c>
      <c r="Y148" s="32">
        <v>0.04</v>
      </c>
      <c r="Z148" s="32">
        <v>0.04</v>
      </c>
      <c r="AA148" s="32">
        <v>0.04</v>
      </c>
      <c r="AB148" s="32">
        <v>0.04</v>
      </c>
      <c r="AC148" s="32">
        <v>0.04</v>
      </c>
      <c r="AD148" s="32">
        <v>0.04</v>
      </c>
      <c r="AE148" s="32">
        <v>0.04</v>
      </c>
      <c r="AF148" s="32">
        <v>0.04</v>
      </c>
      <c r="AG148" s="32">
        <v>0.04</v>
      </c>
      <c r="AH148" s="32">
        <v>0.04</v>
      </c>
      <c r="AI148" s="32">
        <v>0.04</v>
      </c>
      <c r="AJ148" s="32">
        <v>0.04</v>
      </c>
      <c r="AK148" s="32">
        <v>0.04</v>
      </c>
      <c r="AL148" s="32">
        <v>0.04</v>
      </c>
      <c r="AM148" s="32">
        <v>0.04</v>
      </c>
      <c r="AN148" s="32">
        <v>0.04</v>
      </c>
      <c r="AO148" s="32">
        <v>0.04</v>
      </c>
      <c r="AP148" s="32">
        <v>0.04</v>
      </c>
      <c r="AQ148" s="32">
        <v>0.04</v>
      </c>
      <c r="AR148" s="32">
        <v>0.04</v>
      </c>
      <c r="AS148" s="32">
        <v>0.04</v>
      </c>
      <c r="AT148" s="32">
        <v>0.04</v>
      </c>
      <c r="AU148" s="32">
        <v>0.04</v>
      </c>
      <c r="AV148" s="31">
        <v>0.04</v>
      </c>
      <c r="AW148" s="33">
        <v>0.04</v>
      </c>
      <c r="AX148" s="33">
        <v>0.04</v>
      </c>
      <c r="AY148" s="33">
        <v>0.04</v>
      </c>
      <c r="AZ148" s="33">
        <v>0.04</v>
      </c>
      <c r="BA148" s="33">
        <v>0.04</v>
      </c>
      <c r="BB148" s="33">
        <v>0.04</v>
      </c>
      <c r="BC148" s="33">
        <v>0.04</v>
      </c>
      <c r="BD148" s="33">
        <v>0.04</v>
      </c>
      <c r="BE148" s="33">
        <v>0.04</v>
      </c>
      <c r="BF148" s="33">
        <v>0.04</v>
      </c>
      <c r="BG148" s="33">
        <v>0.04</v>
      </c>
      <c r="BH148" s="33">
        <v>0.04</v>
      </c>
      <c r="BI148" s="33">
        <v>0.04</v>
      </c>
      <c r="BJ148" s="33">
        <v>0.04</v>
      </c>
      <c r="BK148" s="33">
        <v>0.04</v>
      </c>
      <c r="BL148" s="33">
        <v>0.04</v>
      </c>
      <c r="BM148" s="33">
        <v>0.04</v>
      </c>
      <c r="BN148" s="33">
        <v>0.04</v>
      </c>
      <c r="BO148" s="33">
        <v>0.04</v>
      </c>
      <c r="BP148" s="30"/>
      <c r="BQ148" s="207">
        <v>0.04</v>
      </c>
      <c r="BR148" s="207">
        <v>0.04</v>
      </c>
      <c r="BS148" s="207">
        <v>0.04</v>
      </c>
      <c r="BT148" s="207">
        <v>0.04</v>
      </c>
      <c r="BU148" s="207">
        <v>0.04</v>
      </c>
      <c r="BV148" s="207">
        <v>0.04</v>
      </c>
      <c r="BW148" s="207">
        <v>0.04</v>
      </c>
      <c r="BX148" s="207">
        <v>0.04</v>
      </c>
      <c r="BY148" s="207">
        <v>0.04</v>
      </c>
      <c r="BZ148" s="207">
        <v>0.04</v>
      </c>
      <c r="CA148" s="30">
        <v>0.04</v>
      </c>
      <c r="CB148" s="30">
        <v>0.04</v>
      </c>
      <c r="CC148" s="30">
        <v>0.04</v>
      </c>
      <c r="CD148" s="30">
        <v>0.04</v>
      </c>
      <c r="CE148" s="30">
        <v>0.04</v>
      </c>
      <c r="CF148" s="30">
        <v>0.04</v>
      </c>
      <c r="CG148" s="30">
        <v>0.04</v>
      </c>
      <c r="CH148" s="30">
        <v>0.04</v>
      </c>
      <c r="CI148" s="30">
        <v>0.04</v>
      </c>
      <c r="CJ148" s="30">
        <v>0.04</v>
      </c>
      <c r="CK148" s="32">
        <v>0.04</v>
      </c>
      <c r="CL148" s="32">
        <v>0.04</v>
      </c>
      <c r="CM148" s="32">
        <v>0.04</v>
      </c>
      <c r="CN148" s="32">
        <v>0.04</v>
      </c>
      <c r="CO148" s="32">
        <v>0.04</v>
      </c>
      <c r="CP148" s="32">
        <v>0.04</v>
      </c>
      <c r="CQ148" s="32">
        <v>0.04</v>
      </c>
      <c r="CR148" s="32">
        <v>0.04</v>
      </c>
      <c r="CS148" s="32">
        <v>0.04</v>
      </c>
      <c r="CT148" s="32">
        <v>0.04</v>
      </c>
      <c r="CU148" s="32">
        <v>0.04</v>
      </c>
      <c r="CV148" s="31">
        <v>0.04</v>
      </c>
      <c r="CW148" s="30">
        <v>0.04</v>
      </c>
      <c r="CX148" s="30">
        <v>0.04</v>
      </c>
      <c r="CY148" s="30">
        <v>0.04</v>
      </c>
      <c r="CZ148" s="30">
        <v>0.04</v>
      </c>
      <c r="DA148" s="30">
        <v>0.04</v>
      </c>
      <c r="DB148" s="30">
        <v>0.04</v>
      </c>
      <c r="DC148" s="30">
        <v>0.04</v>
      </c>
      <c r="DD148" s="30">
        <v>0.04</v>
      </c>
      <c r="DE148" s="30">
        <v>0.04</v>
      </c>
      <c r="DF148" s="30">
        <v>0.04</v>
      </c>
    </row>
    <row r="149" spans="1:110" ht="12" outlineLevel="1">
      <c r="A149" s="1" t="s">
        <v>884</v>
      </c>
      <c r="B149" s="15" t="s">
        <v>272</v>
      </c>
      <c r="C149" s="16" t="s">
        <v>178</v>
      </c>
      <c r="D149" s="16" t="s">
        <v>178</v>
      </c>
      <c r="E149" s="16" t="s">
        <v>178</v>
      </c>
      <c r="F149" s="16" t="s">
        <v>178</v>
      </c>
      <c r="G149" s="16" t="s">
        <v>178</v>
      </c>
      <c r="H149" s="16" t="s">
        <v>178</v>
      </c>
      <c r="I149" s="16" t="s">
        <v>178</v>
      </c>
      <c r="J149" s="16" t="s">
        <v>178</v>
      </c>
      <c r="K149" s="16" t="s">
        <v>178</v>
      </c>
      <c r="L149" s="16" t="s">
        <v>178</v>
      </c>
      <c r="M149" s="16" t="s">
        <v>178</v>
      </c>
      <c r="N149" s="16" t="s">
        <v>178</v>
      </c>
      <c r="O149" s="16" t="s">
        <v>178</v>
      </c>
      <c r="P149" s="16" t="s">
        <v>178</v>
      </c>
      <c r="Q149" s="16" t="s">
        <v>178</v>
      </c>
      <c r="R149" s="16" t="s">
        <v>178</v>
      </c>
      <c r="S149" s="16" t="s">
        <v>178</v>
      </c>
      <c r="T149" s="16" t="s">
        <v>178</v>
      </c>
      <c r="U149" s="16" t="s">
        <v>178</v>
      </c>
      <c r="V149" s="16" t="s">
        <v>178</v>
      </c>
      <c r="W149" s="16" t="s">
        <v>178</v>
      </c>
      <c r="X149" s="16" t="s">
        <v>178</v>
      </c>
      <c r="Y149" s="16" t="s">
        <v>178</v>
      </c>
      <c r="Z149" s="16" t="s">
        <v>178</v>
      </c>
      <c r="AA149" s="16" t="s">
        <v>178</v>
      </c>
      <c r="AB149" s="16" t="s">
        <v>178</v>
      </c>
      <c r="AC149" s="16" t="s">
        <v>178</v>
      </c>
      <c r="AD149" s="16" t="s">
        <v>178</v>
      </c>
      <c r="AE149" s="16" t="s">
        <v>178</v>
      </c>
      <c r="AF149" s="16" t="s">
        <v>2386</v>
      </c>
      <c r="AG149" s="16" t="s">
        <v>178</v>
      </c>
      <c r="AH149" s="16" t="s">
        <v>178</v>
      </c>
      <c r="AI149" s="16" t="s">
        <v>178</v>
      </c>
      <c r="AJ149" s="16" t="s">
        <v>178</v>
      </c>
      <c r="AK149" s="16" t="s">
        <v>178</v>
      </c>
      <c r="AL149" s="16" t="s">
        <v>178</v>
      </c>
      <c r="AM149" s="16" t="s">
        <v>178</v>
      </c>
      <c r="AN149" s="16" t="s">
        <v>178</v>
      </c>
      <c r="AO149" s="16" t="s">
        <v>178</v>
      </c>
      <c r="AP149" s="16" t="s">
        <v>178</v>
      </c>
      <c r="AQ149" s="16" t="s">
        <v>178</v>
      </c>
      <c r="AR149" s="16" t="s">
        <v>178</v>
      </c>
      <c r="AS149" s="16" t="s">
        <v>178</v>
      </c>
      <c r="AT149" s="16" t="s">
        <v>178</v>
      </c>
      <c r="AU149" s="16" t="s">
        <v>178</v>
      </c>
      <c r="AV149" s="200" t="s">
        <v>178</v>
      </c>
      <c r="AW149" s="16" t="s">
        <v>178</v>
      </c>
      <c r="AX149" s="16" t="s">
        <v>178</v>
      </c>
      <c r="AY149" s="16" t="s">
        <v>178</v>
      </c>
      <c r="AZ149" s="16" t="s">
        <v>178</v>
      </c>
      <c r="BA149" s="16" t="s">
        <v>178</v>
      </c>
      <c r="BB149" s="16" t="s">
        <v>178</v>
      </c>
      <c r="BC149" s="16" t="s">
        <v>178</v>
      </c>
      <c r="BD149" s="16" t="s">
        <v>178</v>
      </c>
      <c r="BE149" s="16" t="s">
        <v>178</v>
      </c>
      <c r="BF149" s="16" t="s">
        <v>178</v>
      </c>
      <c r="BG149" s="16" t="s">
        <v>178</v>
      </c>
      <c r="BH149" s="16" t="s">
        <v>178</v>
      </c>
      <c r="BI149" s="16" t="s">
        <v>178</v>
      </c>
      <c r="BJ149" s="16" t="s">
        <v>178</v>
      </c>
      <c r="BK149" s="16" t="s">
        <v>178</v>
      </c>
      <c r="BL149" s="16" t="s">
        <v>178</v>
      </c>
      <c r="BM149" s="16" t="s">
        <v>178</v>
      </c>
      <c r="BN149" s="16" t="s">
        <v>178</v>
      </c>
      <c r="BO149" s="16" t="s">
        <v>178</v>
      </c>
      <c r="BQ149" s="16" t="s">
        <v>178</v>
      </c>
      <c r="BR149" s="16" t="s">
        <v>178</v>
      </c>
      <c r="BS149" s="16" t="s">
        <v>178</v>
      </c>
      <c r="BT149" s="16" t="s">
        <v>178</v>
      </c>
      <c r="BU149" s="16" t="s">
        <v>178</v>
      </c>
      <c r="BV149" s="16" t="s">
        <v>178</v>
      </c>
      <c r="BW149" s="16" t="s">
        <v>178</v>
      </c>
      <c r="BX149" s="16" t="s">
        <v>178</v>
      </c>
      <c r="BY149" s="16" t="s">
        <v>178</v>
      </c>
      <c r="BZ149" s="16" t="s">
        <v>178</v>
      </c>
      <c r="CA149" s="16" t="s">
        <v>178</v>
      </c>
      <c r="CB149" s="16" t="s">
        <v>178</v>
      </c>
      <c r="CC149" s="16" t="s">
        <v>178</v>
      </c>
      <c r="CD149" s="16" t="s">
        <v>178</v>
      </c>
      <c r="CE149" s="16" t="s">
        <v>178</v>
      </c>
      <c r="CF149" s="16" t="s">
        <v>178</v>
      </c>
      <c r="CG149" s="16" t="s">
        <v>178</v>
      </c>
      <c r="CH149" s="16" t="s">
        <v>178</v>
      </c>
      <c r="CI149" s="16" t="s">
        <v>178</v>
      </c>
      <c r="CJ149" s="16" t="s">
        <v>178</v>
      </c>
      <c r="CK149" s="16" t="s">
        <v>178</v>
      </c>
      <c r="CL149" s="16" t="s">
        <v>178</v>
      </c>
      <c r="CM149" s="16" t="s">
        <v>178</v>
      </c>
      <c r="CN149" s="16" t="s">
        <v>178</v>
      </c>
      <c r="CO149" s="16" t="s">
        <v>178</v>
      </c>
      <c r="CP149" s="16" t="s">
        <v>178</v>
      </c>
      <c r="CQ149" s="16" t="s">
        <v>178</v>
      </c>
      <c r="CR149" s="16" t="s">
        <v>178</v>
      </c>
      <c r="CS149" s="16" t="s">
        <v>178</v>
      </c>
      <c r="CT149" s="16" t="s">
        <v>178</v>
      </c>
      <c r="CU149" s="16" t="s">
        <v>178</v>
      </c>
      <c r="CV149" s="200" t="s">
        <v>178</v>
      </c>
      <c r="CW149" s="16" t="s">
        <v>178</v>
      </c>
      <c r="CX149" s="16" t="s">
        <v>178</v>
      </c>
      <c r="CY149" s="16" t="s">
        <v>178</v>
      </c>
      <c r="CZ149" s="16" t="s">
        <v>178</v>
      </c>
      <c r="DA149" s="16" t="s">
        <v>178</v>
      </c>
      <c r="DB149" s="16" t="s">
        <v>178</v>
      </c>
      <c r="DC149" s="16" t="s">
        <v>178</v>
      </c>
      <c r="DD149" s="16" t="s">
        <v>178</v>
      </c>
      <c r="DE149" s="16" t="s">
        <v>178</v>
      </c>
      <c r="DF149" s="16" t="s">
        <v>178</v>
      </c>
    </row>
    <row r="150" spans="1:110" ht="12" outlineLevel="1">
      <c r="A150" s="1" t="s">
        <v>885</v>
      </c>
      <c r="B150" s="15" t="s">
        <v>488</v>
      </c>
      <c r="C150" s="345">
        <v>6.6463497904822144E-2</v>
      </c>
      <c r="D150" s="345">
        <v>6.7406105539883909E-2</v>
      </c>
      <c r="E150" s="345">
        <v>6.9142089256665956E-2</v>
      </c>
      <c r="F150" s="345">
        <v>6.8820952470676905E-2</v>
      </c>
      <c r="G150" s="345">
        <v>6.3083252280434265E-2</v>
      </c>
      <c r="H150" s="345">
        <v>5.6806888808908607E-2</v>
      </c>
      <c r="I150" s="345">
        <v>5.6090591058861813E-2</v>
      </c>
      <c r="J150" s="345">
        <v>5.4490177736202058E-2</v>
      </c>
      <c r="K150" s="345">
        <v>5.3995709855036822E-2</v>
      </c>
      <c r="L150" s="345">
        <v>5.3777752728124066E-2</v>
      </c>
      <c r="M150" s="35">
        <v>5.4179727665172199E-2</v>
      </c>
      <c r="N150" s="35">
        <v>5.4146954907479491E-2</v>
      </c>
      <c r="O150" s="35">
        <v>5.1909329571155342E-2</v>
      </c>
      <c r="P150" s="35">
        <v>5.3292508766813962E-2</v>
      </c>
      <c r="Q150" s="35">
        <v>5.9132133287829389E-2</v>
      </c>
      <c r="R150" s="35">
        <v>6.3542697645274523E-2</v>
      </c>
      <c r="S150" s="35">
        <v>8.9642121799983335E-2</v>
      </c>
      <c r="T150" s="37">
        <v>8.4941014857748798E-2</v>
      </c>
      <c r="U150" s="35">
        <v>8.044898237221941E-2</v>
      </c>
      <c r="V150" s="35">
        <v>8.4855962094491283E-2</v>
      </c>
      <c r="W150" s="35">
        <v>8.5239530796816732E-2</v>
      </c>
      <c r="X150" s="35">
        <v>8.9226783131345758E-2</v>
      </c>
      <c r="Y150" s="37">
        <v>8.8378276616941948E-2</v>
      </c>
      <c r="Z150" s="37">
        <v>8.1762156598942287E-2</v>
      </c>
      <c r="AA150" s="37">
        <v>8.482749473125728E-2</v>
      </c>
      <c r="AB150" s="37">
        <v>8.3217830016078062E-2</v>
      </c>
      <c r="AC150" s="37">
        <v>8.7893364017824299E-2</v>
      </c>
      <c r="AD150" s="37">
        <v>8.7203997280691101E-2</v>
      </c>
      <c r="AE150" s="37">
        <v>9.5850842296180738E-2</v>
      </c>
      <c r="AF150" s="37">
        <v>9.811631709735151E-2</v>
      </c>
      <c r="AG150" s="37">
        <v>9.610555531080664E-2</v>
      </c>
      <c r="AH150" s="37">
        <v>0.10129206125327422</v>
      </c>
      <c r="AI150" s="37">
        <v>0.10568812593802814</v>
      </c>
      <c r="AJ150" s="37">
        <v>0.11043340062712083</v>
      </c>
      <c r="AK150" s="37">
        <v>0.11440816744281254</v>
      </c>
      <c r="AL150" s="37">
        <v>0.11488527370038684</v>
      </c>
      <c r="AM150" s="37">
        <v>0.11357177289962371</v>
      </c>
      <c r="AN150" s="37">
        <v>0.10698600482837875</v>
      </c>
      <c r="AO150" s="37">
        <v>0.11250535651072234</v>
      </c>
      <c r="AP150" s="37">
        <v>0.12442486635339543</v>
      </c>
      <c r="AQ150" s="37">
        <v>0.12343361708877491</v>
      </c>
      <c r="AR150" s="37">
        <v>0.11534561896280057</v>
      </c>
      <c r="AS150" s="37">
        <v>0.12287175788070848</v>
      </c>
      <c r="AT150" s="37">
        <v>0.13175466230706706</v>
      </c>
      <c r="AU150" s="37">
        <v>0.13337271852434765</v>
      </c>
      <c r="AV150" s="36">
        <v>0.1349695803169747</v>
      </c>
      <c r="AW150" s="35">
        <v>0.12212236565180917</v>
      </c>
      <c r="AX150" s="35">
        <v>0.12175823828181304</v>
      </c>
      <c r="AY150" s="35">
        <v>0.12068955882921238</v>
      </c>
      <c r="AZ150" s="35">
        <v>0.12008420126977067</v>
      </c>
      <c r="BA150" s="35">
        <v>0.11920191058850958</v>
      </c>
      <c r="BB150" s="35">
        <v>0.11868798594901797</v>
      </c>
      <c r="BC150" s="35">
        <v>0.11790122578297375</v>
      </c>
      <c r="BD150" s="35">
        <v>0.11761827374303047</v>
      </c>
      <c r="BE150" s="35">
        <v>0.11703250471299884</v>
      </c>
      <c r="BF150" s="35">
        <v>0.11697158786440359</v>
      </c>
      <c r="BG150" s="35">
        <v>0.11642362538654587</v>
      </c>
      <c r="BH150" s="35">
        <v>0.11242346229767258</v>
      </c>
      <c r="BI150" s="35">
        <v>0.11204994966243784</v>
      </c>
      <c r="BJ150" s="35">
        <v>0.11788582885487449</v>
      </c>
      <c r="BK150" s="35">
        <v>0.1207965718185805</v>
      </c>
      <c r="BL150" s="35">
        <v>0.12140750179930355</v>
      </c>
      <c r="BM150" s="35">
        <v>0.12065256322574316</v>
      </c>
      <c r="BN150" s="35">
        <v>0.1218997651723369</v>
      </c>
      <c r="BO150" s="35">
        <v>0.12270851663220257</v>
      </c>
      <c r="BP150" s="35"/>
      <c r="BQ150" s="345">
        <v>4.7954301628085012E-2</v>
      </c>
      <c r="BR150" s="345">
        <v>5.4811345303148587E-2</v>
      </c>
      <c r="BS150" s="345">
        <v>6.5147907980059719E-2</v>
      </c>
      <c r="BT150" s="345">
        <v>6.6240550820935051E-2</v>
      </c>
      <c r="BU150" s="345">
        <v>6.7078712961279763E-2</v>
      </c>
      <c r="BV150" s="345">
        <v>6.5682496914656094E-2</v>
      </c>
      <c r="BW150" s="345">
        <v>7.1570079933847855E-2</v>
      </c>
      <c r="BX150" s="345">
        <v>7.9034540017113283E-2</v>
      </c>
      <c r="BY150" s="345">
        <v>7.4332243538338172E-2</v>
      </c>
      <c r="BZ150" s="345">
        <v>7.4657332403740409E-2</v>
      </c>
      <c r="CA150" s="35">
        <v>6.9142089256665956E-2</v>
      </c>
      <c r="CB150" s="35">
        <v>6.3083252280434265E-2</v>
      </c>
      <c r="CC150" s="35">
        <v>5.6090591058861813E-2</v>
      </c>
      <c r="CD150" s="35">
        <v>5.3995709855036822E-2</v>
      </c>
      <c r="CE150" s="35">
        <v>5.1199114141679054E-2</v>
      </c>
      <c r="CF150" s="35">
        <v>4.9305863616199666E-2</v>
      </c>
      <c r="CG150" s="35">
        <v>5.9132133287829389E-2</v>
      </c>
      <c r="CH150" s="35">
        <v>8.9642121799983335E-2</v>
      </c>
      <c r="CI150" s="35">
        <v>8.044898237221941E-2</v>
      </c>
      <c r="CJ150" s="35">
        <v>8.5239530796816732E-2</v>
      </c>
      <c r="CK150" s="37">
        <v>8.8378276616941948E-2</v>
      </c>
      <c r="CL150" s="37">
        <v>8.482749473125728E-2</v>
      </c>
      <c r="CM150" s="37">
        <v>8.7893364017824299E-2</v>
      </c>
      <c r="CN150" s="37">
        <v>9.5850842296180738E-2</v>
      </c>
      <c r="CO150" s="37">
        <v>9.610555531080664E-2</v>
      </c>
      <c r="CP150" s="37">
        <v>0.10568812593802814</v>
      </c>
      <c r="CQ150" s="37">
        <v>0.11440816744281254</v>
      </c>
      <c r="CR150" s="37">
        <v>0.11357177289962371</v>
      </c>
      <c r="CS150" s="37">
        <v>0.11250535651072234</v>
      </c>
      <c r="CT150" s="37">
        <v>0.12343361708877491</v>
      </c>
      <c r="CU150" s="37">
        <v>0.12287175788070848</v>
      </c>
      <c r="CV150" s="36">
        <v>0.13337271852434765</v>
      </c>
      <c r="CW150" s="35">
        <v>0.12212236565180917</v>
      </c>
      <c r="CX150" s="35">
        <v>0.12068955882921241</v>
      </c>
      <c r="CY150" s="35">
        <v>0.11920191058850964</v>
      </c>
      <c r="CZ150" s="35">
        <v>0.11790122578297384</v>
      </c>
      <c r="DA150" s="35">
        <v>0.11703250471299896</v>
      </c>
      <c r="DB150" s="35">
        <v>0.11642362538654601</v>
      </c>
      <c r="DC150" s="35">
        <v>0.11204994966243799</v>
      </c>
      <c r="DD150" s="35">
        <v>0.12079657181858065</v>
      </c>
      <c r="DE150" s="35">
        <v>0.12065256322574332</v>
      </c>
      <c r="DF150" s="35">
        <v>0.12270851663220271</v>
      </c>
    </row>
    <row r="151" spans="1:110" ht="12" outlineLevel="1">
      <c r="A151" s="1" t="s">
        <v>886</v>
      </c>
      <c r="B151" s="15" t="s">
        <v>161</v>
      </c>
      <c r="C151" s="383">
        <v>0.05</v>
      </c>
      <c r="D151" s="383">
        <v>0.05</v>
      </c>
      <c r="E151" s="383">
        <v>0.05</v>
      </c>
      <c r="F151" s="383">
        <v>0.05</v>
      </c>
      <c r="G151" s="383">
        <v>0.05</v>
      </c>
      <c r="H151" s="383">
        <v>0.05</v>
      </c>
      <c r="I151" s="383">
        <v>0.05</v>
      </c>
      <c r="J151" s="383">
        <v>0.05</v>
      </c>
      <c r="K151" s="383">
        <v>0.05</v>
      </c>
      <c r="L151" s="383">
        <v>0.05</v>
      </c>
      <c r="M151" s="143">
        <v>0.05</v>
      </c>
      <c r="N151" s="143">
        <v>0.05</v>
      </c>
      <c r="O151" s="143">
        <v>0.05</v>
      </c>
      <c r="P151" s="143">
        <v>0.05</v>
      </c>
      <c r="Q151" s="143">
        <v>0.05</v>
      </c>
      <c r="R151" s="143">
        <v>6.5000000000000002E-2</v>
      </c>
      <c r="S151" s="143">
        <v>6.5000000000000002E-2</v>
      </c>
      <c r="T151" s="144">
        <v>6.5000000000000002E-2</v>
      </c>
      <c r="U151" s="143">
        <v>6.5000000000000002E-2</v>
      </c>
      <c r="V151" s="143">
        <v>9.4355962094491291E-2</v>
      </c>
      <c r="W151" s="143">
        <v>9.3039530796816733E-2</v>
      </c>
      <c r="X151" s="143">
        <v>9.3726783131345762E-2</v>
      </c>
      <c r="Y151" s="144">
        <v>9.0678276616941958E-2</v>
      </c>
      <c r="Z151" s="330">
        <v>8.2500000000000004E-2</v>
      </c>
      <c r="AA151" s="330">
        <v>8.2500000000000004E-2</v>
      </c>
      <c r="AB151" s="144">
        <v>8.7499999999999994E-2</v>
      </c>
      <c r="AC151" s="144">
        <v>0.09</v>
      </c>
      <c r="AD151" s="144">
        <v>0.09</v>
      </c>
      <c r="AE151" s="144">
        <v>0.09</v>
      </c>
      <c r="AF151" s="144">
        <v>0.1</v>
      </c>
      <c r="AG151" s="144">
        <v>0.1</v>
      </c>
      <c r="AH151" s="144">
        <v>0.1</v>
      </c>
      <c r="AI151" s="144">
        <v>0.105</v>
      </c>
      <c r="AJ151" s="144">
        <v>0.105</v>
      </c>
      <c r="AK151" s="144">
        <v>0.105</v>
      </c>
      <c r="AL151" s="144">
        <v>0.105</v>
      </c>
      <c r="AM151" s="144">
        <v>0.105</v>
      </c>
      <c r="AN151" s="144">
        <v>0.105</v>
      </c>
      <c r="AO151" s="144">
        <v>0.105</v>
      </c>
      <c r="AP151" s="144">
        <v>0.105</v>
      </c>
      <c r="AQ151" s="144">
        <v>0.105</v>
      </c>
      <c r="AR151" s="144">
        <v>0.105</v>
      </c>
      <c r="AS151" s="144">
        <v>0.105</v>
      </c>
      <c r="AT151" s="144">
        <v>0.11</v>
      </c>
      <c r="AU151" s="144">
        <v>0.11</v>
      </c>
      <c r="AV151" s="145">
        <v>0.11</v>
      </c>
      <c r="AW151" s="34">
        <v>0.11</v>
      </c>
      <c r="AX151" s="34">
        <v>0.11</v>
      </c>
      <c r="AY151" s="34">
        <v>0.11</v>
      </c>
      <c r="AZ151" s="34">
        <v>0.11</v>
      </c>
      <c r="BA151" s="34">
        <v>0.11</v>
      </c>
      <c r="BB151" s="34">
        <v>0.11</v>
      </c>
      <c r="BC151" s="34">
        <v>0.11</v>
      </c>
      <c r="BD151" s="34">
        <v>0.11</v>
      </c>
      <c r="BE151" s="34">
        <v>0.11</v>
      </c>
      <c r="BF151" s="34">
        <v>0.11</v>
      </c>
      <c r="BG151" s="34">
        <v>0.11</v>
      </c>
      <c r="BH151" s="34">
        <v>0.11</v>
      </c>
      <c r="BI151" s="34">
        <v>0.11</v>
      </c>
      <c r="BJ151" s="34">
        <v>0.11</v>
      </c>
      <c r="BK151" s="34">
        <v>0.11</v>
      </c>
      <c r="BL151" s="34">
        <v>0.11</v>
      </c>
      <c r="BM151" s="34">
        <v>0.11</v>
      </c>
      <c r="BN151" s="34">
        <v>0.11</v>
      </c>
      <c r="BO151" s="34">
        <v>0.11</v>
      </c>
      <c r="BP151" s="35"/>
      <c r="BQ151" s="345">
        <v>0.05</v>
      </c>
      <c r="BR151" s="345">
        <v>0.05</v>
      </c>
      <c r="BS151" s="345">
        <v>0.05</v>
      </c>
      <c r="BT151" s="345">
        <v>0.05</v>
      </c>
      <c r="BU151" s="345">
        <v>0.05</v>
      </c>
      <c r="BV151" s="345">
        <v>0.05</v>
      </c>
      <c r="BW151" s="345">
        <v>0.05</v>
      </c>
      <c r="BX151" s="345">
        <v>0.05</v>
      </c>
      <c r="BY151" s="345">
        <v>0.05</v>
      </c>
      <c r="BZ151" s="345">
        <v>0.05</v>
      </c>
      <c r="CA151" s="35">
        <v>0.05</v>
      </c>
      <c r="CB151" s="35">
        <v>0.05</v>
      </c>
      <c r="CC151" s="35">
        <v>0.05</v>
      </c>
      <c r="CD151" s="35">
        <v>0.05</v>
      </c>
      <c r="CE151" s="35">
        <v>0.05</v>
      </c>
      <c r="CF151" s="35">
        <v>0.05</v>
      </c>
      <c r="CG151" s="35">
        <v>0.05</v>
      </c>
      <c r="CH151" s="35">
        <v>6.5000000000000002E-2</v>
      </c>
      <c r="CI151" s="35">
        <v>6.5000000000000002E-2</v>
      </c>
      <c r="CJ151" s="35">
        <v>9.3039530796816733E-2</v>
      </c>
      <c r="CK151" s="37">
        <v>9.0678276616941958E-2</v>
      </c>
      <c r="CL151" s="37">
        <v>8.2500000000000004E-2</v>
      </c>
      <c r="CM151" s="37">
        <v>0.09</v>
      </c>
      <c r="CN151" s="37">
        <v>0.09</v>
      </c>
      <c r="CO151" s="37">
        <v>0.1</v>
      </c>
      <c r="CP151" s="37">
        <v>0.105</v>
      </c>
      <c r="CQ151" s="37">
        <v>0.105</v>
      </c>
      <c r="CR151" s="37">
        <v>0.105</v>
      </c>
      <c r="CS151" s="37">
        <v>0.105</v>
      </c>
      <c r="CT151" s="37">
        <v>0.105</v>
      </c>
      <c r="CU151" s="37">
        <v>0.105</v>
      </c>
      <c r="CV151" s="36">
        <v>0.11</v>
      </c>
      <c r="CW151" s="35">
        <v>0.11</v>
      </c>
      <c r="CX151" s="35">
        <v>0.11</v>
      </c>
      <c r="CY151" s="35">
        <v>0.11</v>
      </c>
      <c r="CZ151" s="35">
        <v>0.11</v>
      </c>
      <c r="DA151" s="35">
        <v>0.11</v>
      </c>
      <c r="DB151" s="35">
        <v>0.11</v>
      </c>
      <c r="DC151" s="35">
        <v>0.11</v>
      </c>
      <c r="DD151" s="35">
        <v>0.11</v>
      </c>
      <c r="DE151" s="35">
        <v>0.11</v>
      </c>
      <c r="DF151" s="35">
        <v>0.11</v>
      </c>
    </row>
    <row r="152" spans="1:110" ht="12" outlineLevel="1">
      <c r="A152" s="1" t="s">
        <v>887</v>
      </c>
      <c r="B152" s="15" t="s">
        <v>162</v>
      </c>
      <c r="C152" s="207">
        <v>0</v>
      </c>
      <c r="D152" s="207">
        <v>0</v>
      </c>
      <c r="E152" s="207" t="e">
        <v>#DIV/0!</v>
      </c>
      <c r="F152" s="207" t="e">
        <v>#DIV/0!</v>
      </c>
      <c r="G152" s="207" t="e">
        <v>#DIV/0!</v>
      </c>
      <c r="H152" s="207" t="e">
        <v>#DIV/0!</v>
      </c>
      <c r="I152" s="207" t="e">
        <v>#DIV/0!</v>
      </c>
      <c r="J152" s="207" t="e">
        <v>#DIV/0!</v>
      </c>
      <c r="K152" s="207" t="e">
        <v>#DIV/0!</v>
      </c>
      <c r="L152" s="207" t="e">
        <v>#DIV/0!</v>
      </c>
      <c r="M152" s="30">
        <v>1.5181752898848027E-2</v>
      </c>
      <c r="N152" s="30">
        <v>1.7986508254921943E-2</v>
      </c>
      <c r="O152" s="30">
        <v>1.7660185201208524E-2</v>
      </c>
      <c r="P152" s="30">
        <v>3.9801096689728394E-2</v>
      </c>
      <c r="Q152" s="30">
        <v>5.7146754619728055E-2</v>
      </c>
      <c r="R152" s="30">
        <v>0.12793714105774565</v>
      </c>
      <c r="S152" s="30">
        <v>9.101703010829322E-2</v>
      </c>
      <c r="T152" s="32">
        <v>4.8848034883035768E-2</v>
      </c>
      <c r="U152" s="30">
        <v>6.4306253449127188E-2</v>
      </c>
      <c r="V152" s="30">
        <v>6.2579857463301053E-2</v>
      </c>
      <c r="W152" s="30">
        <v>8.0556921563806241E-2</v>
      </c>
      <c r="X152" s="30">
        <v>7.1366794906206191E-2</v>
      </c>
      <c r="Y152" s="32">
        <v>7.1910649226542431E-2</v>
      </c>
      <c r="Z152" s="139">
        <v>4.6385386449148407E-2</v>
      </c>
      <c r="AA152" s="139">
        <v>4.5739435638875732E-2</v>
      </c>
      <c r="AB152" s="32">
        <v>4.6575566202090593E-2</v>
      </c>
      <c r="AC152" s="32">
        <v>4.6985557175036441E-2</v>
      </c>
      <c r="AD152" s="32">
        <v>4.8153017936440994E-2</v>
      </c>
      <c r="AE152" s="32">
        <v>5.5308590923188253E-2</v>
      </c>
      <c r="AF152" s="32">
        <v>6.9748074120341452E-2</v>
      </c>
      <c r="AG152" s="32">
        <v>6.6543391255889359E-2</v>
      </c>
      <c r="AH152" s="32" t="s">
        <v>215</v>
      </c>
      <c r="AI152" s="32" t="s">
        <v>215</v>
      </c>
      <c r="AJ152" s="32" t="s">
        <v>215</v>
      </c>
      <c r="AK152" s="32" t="s">
        <v>215</v>
      </c>
      <c r="AL152" s="32" t="s">
        <v>215</v>
      </c>
      <c r="AM152" s="32" t="s">
        <v>215</v>
      </c>
      <c r="AN152" s="32" t="s">
        <v>215</v>
      </c>
      <c r="AO152" s="32" t="s">
        <v>215</v>
      </c>
      <c r="AP152" s="32" t="s">
        <v>215</v>
      </c>
      <c r="AQ152" s="32" t="s">
        <v>215</v>
      </c>
      <c r="AR152" s="32" t="s">
        <v>215</v>
      </c>
      <c r="AS152" s="32" t="s">
        <v>215</v>
      </c>
      <c r="AT152" s="32" t="s">
        <v>215</v>
      </c>
      <c r="AU152" s="32" t="s">
        <v>215</v>
      </c>
      <c r="AV152" s="31" t="s">
        <v>215</v>
      </c>
      <c r="AW152" s="33" t="s">
        <v>215</v>
      </c>
      <c r="AX152" s="33" t="s">
        <v>215</v>
      </c>
      <c r="AY152" s="33" t="s">
        <v>215</v>
      </c>
      <c r="AZ152" s="33" t="s">
        <v>215</v>
      </c>
      <c r="BA152" s="33" t="s">
        <v>215</v>
      </c>
      <c r="BB152" s="33" t="s">
        <v>215</v>
      </c>
      <c r="BC152" s="33" t="s">
        <v>215</v>
      </c>
      <c r="BD152" s="33" t="s">
        <v>215</v>
      </c>
      <c r="BE152" s="33" t="s">
        <v>215</v>
      </c>
      <c r="BF152" s="33" t="s">
        <v>215</v>
      </c>
      <c r="BG152" s="33" t="s">
        <v>215</v>
      </c>
      <c r="BH152" s="33" t="s">
        <v>215</v>
      </c>
      <c r="BI152" s="33" t="s">
        <v>215</v>
      </c>
      <c r="BJ152" s="33" t="s">
        <v>215</v>
      </c>
      <c r="BK152" s="33" t="s">
        <v>215</v>
      </c>
      <c r="BL152" s="33" t="s">
        <v>215</v>
      </c>
      <c r="BM152" s="33" t="s">
        <v>215</v>
      </c>
      <c r="BN152" s="33" t="s">
        <v>215</v>
      </c>
      <c r="BO152" s="33" t="s">
        <v>215</v>
      </c>
      <c r="BP152" s="30"/>
      <c r="BQ152" s="207" t="e">
        <v>#DIV/0!</v>
      </c>
      <c r="BR152" s="207" t="s">
        <v>215</v>
      </c>
      <c r="BS152" s="207" t="s">
        <v>215</v>
      </c>
      <c r="BT152" s="207" t="s">
        <v>215</v>
      </c>
      <c r="BU152" s="207" t="s">
        <v>215</v>
      </c>
      <c r="BV152" s="207" t="s">
        <v>215</v>
      </c>
      <c r="BW152" s="207" t="s">
        <v>215</v>
      </c>
      <c r="BX152" s="207" t="s">
        <v>215</v>
      </c>
      <c r="BY152" s="207" t="s">
        <v>215</v>
      </c>
      <c r="BZ152" s="207" t="s">
        <v>215</v>
      </c>
      <c r="CA152" s="30" t="e">
        <v>#DIV/0!</v>
      </c>
      <c r="CB152" s="30" t="e">
        <v>#DIV/0!</v>
      </c>
      <c r="CC152" s="30" t="e">
        <v>#DIV/0!</v>
      </c>
      <c r="CD152" s="30" t="e">
        <v>#DIV/0!</v>
      </c>
      <c r="CE152" s="30">
        <v>1.5181752898848027E-2</v>
      </c>
      <c r="CF152" s="30">
        <v>1.7660185201208524E-2</v>
      </c>
      <c r="CG152" s="30">
        <v>5.7146754619728055E-2</v>
      </c>
      <c r="CH152" s="30">
        <v>9.101703010829322E-2</v>
      </c>
      <c r="CI152" s="30">
        <v>6.4306253449127188E-2</v>
      </c>
      <c r="CJ152" s="30">
        <v>8.0556921563806241E-2</v>
      </c>
      <c r="CK152" s="32">
        <v>7.1910649226542431E-2</v>
      </c>
      <c r="CL152" s="32">
        <v>4.5739435638875732E-2</v>
      </c>
      <c r="CM152" s="32">
        <v>4.6985557175036441E-2</v>
      </c>
      <c r="CN152" s="32">
        <v>5.5308590923188253E-2</v>
      </c>
      <c r="CO152" s="32">
        <v>6.6543391255889359E-2</v>
      </c>
      <c r="CP152" s="32" t="s">
        <v>215</v>
      </c>
      <c r="CQ152" s="32" t="s">
        <v>215</v>
      </c>
      <c r="CR152" s="32" t="s">
        <v>215</v>
      </c>
      <c r="CS152" s="32" t="s">
        <v>215</v>
      </c>
      <c r="CT152" s="32" t="s">
        <v>215</v>
      </c>
      <c r="CU152" s="32" t="s">
        <v>215</v>
      </c>
      <c r="CV152" s="31" t="s">
        <v>215</v>
      </c>
      <c r="CW152" s="30" t="s">
        <v>215</v>
      </c>
      <c r="CX152" s="30" t="s">
        <v>215</v>
      </c>
      <c r="CY152" s="30" t="s">
        <v>215</v>
      </c>
      <c r="CZ152" s="30" t="s">
        <v>215</v>
      </c>
      <c r="DA152" s="30" t="s">
        <v>215</v>
      </c>
      <c r="DB152" s="30" t="s">
        <v>215</v>
      </c>
      <c r="DC152" s="30" t="s">
        <v>215</v>
      </c>
      <c r="DD152" s="30" t="s">
        <v>215</v>
      </c>
      <c r="DE152" s="30" t="s">
        <v>215</v>
      </c>
      <c r="DF152" s="30" t="s">
        <v>215</v>
      </c>
    </row>
    <row r="153" spans="1:110" ht="12">
      <c r="AA153" s="360"/>
      <c r="AE153" s="37"/>
      <c r="AF153" s="37"/>
      <c r="AG153" s="37"/>
      <c r="AH153" s="43"/>
      <c r="AI153" s="43"/>
      <c r="AJ153" s="37"/>
      <c r="AK153" s="37"/>
      <c r="AM153" s="37"/>
      <c r="AT153" s="41"/>
      <c r="AV153" s="200"/>
      <c r="AW153" s="35">
        <v>-2.7886817261305041E-5</v>
      </c>
      <c r="AX153" s="41"/>
      <c r="AY153" s="35"/>
      <c r="AZ153" s="35"/>
      <c r="BA153" s="35"/>
      <c r="BB153" s="35"/>
      <c r="BC153" s="35"/>
      <c r="BD153" s="35"/>
      <c r="BE153" s="35"/>
      <c r="BF153" s="35"/>
      <c r="BG153" s="35"/>
      <c r="BH153" s="35"/>
      <c r="BI153" s="35"/>
      <c r="BJ153" s="35"/>
      <c r="BK153" s="35"/>
      <c r="BL153" s="35"/>
      <c r="BM153" s="35"/>
      <c r="BN153" s="35"/>
      <c r="BO153" s="35"/>
      <c r="CR153" s="189"/>
      <c r="CS153" s="189"/>
      <c r="CT153" s="189"/>
      <c r="CU153" s="189"/>
      <c r="CV153" s="235"/>
      <c r="CW153" s="30"/>
      <c r="CX153" s="30"/>
      <c r="CY153" s="30"/>
      <c r="CZ153" s="189"/>
      <c r="DA153" s="189"/>
      <c r="DB153" s="189"/>
      <c r="DC153" s="189"/>
      <c r="DD153" s="189"/>
      <c r="DE153" s="189"/>
      <c r="DF153" s="189"/>
    </row>
    <row r="154" spans="1:110" s="26" customFormat="1" ht="12" collapsed="1">
      <c r="A154" s="1" t="s">
        <v>888</v>
      </c>
      <c r="B154" s="2" t="s">
        <v>163</v>
      </c>
      <c r="C154" s="60">
        <v>141014</v>
      </c>
      <c r="D154" s="60">
        <v>143019</v>
      </c>
      <c r="E154" s="60">
        <v>149145</v>
      </c>
      <c r="F154" s="60">
        <v>158595</v>
      </c>
      <c r="G154" s="60">
        <v>165965</v>
      </c>
      <c r="H154" s="60">
        <v>205828</v>
      </c>
      <c r="I154" s="60">
        <v>221280</v>
      </c>
      <c r="J154" s="60">
        <v>237214</v>
      </c>
      <c r="K154" s="60">
        <v>249953</v>
      </c>
      <c r="L154" s="60">
        <v>259435</v>
      </c>
      <c r="M154" s="60">
        <v>273166</v>
      </c>
      <c r="N154" s="60">
        <v>285771</v>
      </c>
      <c r="O154" s="60">
        <v>307384</v>
      </c>
      <c r="P154" s="60">
        <v>337729</v>
      </c>
      <c r="Q154" s="60">
        <v>355347</v>
      </c>
      <c r="R154" s="60">
        <v>362812</v>
      </c>
      <c r="S154" s="60">
        <v>352107</v>
      </c>
      <c r="T154" s="60">
        <v>354305</v>
      </c>
      <c r="U154" s="60">
        <v>370082</v>
      </c>
      <c r="V154" s="60">
        <v>385847</v>
      </c>
      <c r="W154" s="60">
        <v>403767</v>
      </c>
      <c r="X154" s="60">
        <v>418922</v>
      </c>
      <c r="Y154" s="60">
        <v>432805</v>
      </c>
      <c r="Z154" s="60">
        <v>458846</v>
      </c>
      <c r="AA154" s="60">
        <v>487629</v>
      </c>
      <c r="AB154" s="60">
        <v>513485</v>
      </c>
      <c r="AC154" s="60">
        <v>525534</v>
      </c>
      <c r="AD154" s="60">
        <v>561907</v>
      </c>
      <c r="AE154" s="60">
        <v>573741</v>
      </c>
      <c r="AF154" s="60">
        <v>565451</v>
      </c>
      <c r="AG154" s="60">
        <v>579515</v>
      </c>
      <c r="AH154" s="60">
        <v>579776</v>
      </c>
      <c r="AI154" s="60">
        <v>583444</v>
      </c>
      <c r="AJ154" s="60">
        <v>594939</v>
      </c>
      <c r="AK154" s="60">
        <v>607813</v>
      </c>
      <c r="AL154" s="60">
        <v>613269</v>
      </c>
      <c r="AM154" s="60">
        <v>618295</v>
      </c>
      <c r="AN154" s="60">
        <v>660781</v>
      </c>
      <c r="AO154" s="60">
        <v>621272</v>
      </c>
      <c r="AP154" s="60">
        <v>617668</v>
      </c>
      <c r="AQ154" s="60">
        <v>632764</v>
      </c>
      <c r="AR154" s="60">
        <v>653973</v>
      </c>
      <c r="AS154" s="60">
        <v>673625</v>
      </c>
      <c r="AT154" s="60">
        <v>691106</v>
      </c>
      <c r="AU154" s="60">
        <v>707630</v>
      </c>
      <c r="AV154" s="219">
        <v>715512</v>
      </c>
      <c r="AW154" s="60">
        <v>806838.14850951452</v>
      </c>
      <c r="AX154" s="60">
        <v>820774.27299975697</v>
      </c>
      <c r="AY154" s="60">
        <v>833627.37125446089</v>
      </c>
      <c r="AZ154" s="60">
        <v>843870.71162429184</v>
      </c>
      <c r="BA154" s="60">
        <v>854825.55071815208</v>
      </c>
      <c r="BB154" s="60">
        <v>868192.56204246555</v>
      </c>
      <c r="BC154" s="60">
        <v>883858.87980151933</v>
      </c>
      <c r="BD154" s="60">
        <v>899861.77946194413</v>
      </c>
      <c r="BE154" s="60">
        <v>916208.68641745555</v>
      </c>
      <c r="BF154" s="60">
        <v>932907.21985801228</v>
      </c>
      <c r="BG154" s="60">
        <v>949965.19780197821</v>
      </c>
      <c r="BH154" s="60">
        <v>967390.64229774079</v>
      </c>
      <c r="BI154" s="60">
        <v>985191.78479928861</v>
      </c>
      <c r="BJ154" s="60">
        <v>1004861.3403547123</v>
      </c>
      <c r="BK154" s="60">
        <v>1026483.3832414948</v>
      </c>
      <c r="BL154" s="60">
        <v>1048610.9596336745</v>
      </c>
      <c r="BM154" s="60">
        <v>1071257.2649677929</v>
      </c>
      <c r="BN154" s="60">
        <v>1081969.8376174709</v>
      </c>
      <c r="BO154" s="60">
        <v>1092789.5359936457</v>
      </c>
      <c r="BP154" s="60"/>
      <c r="BQ154" s="60">
        <v>76335.8</v>
      </c>
      <c r="BR154" s="60">
        <v>73887.100000000006</v>
      </c>
      <c r="BS154" s="60">
        <v>75403</v>
      </c>
      <c r="BT154" s="60">
        <v>83940</v>
      </c>
      <c r="BU154" s="60">
        <v>92932</v>
      </c>
      <c r="BV154" s="60">
        <v>101064</v>
      </c>
      <c r="BW154" s="60">
        <v>113559</v>
      </c>
      <c r="BX154" s="60">
        <v>122409</v>
      </c>
      <c r="BY154" s="60">
        <v>135114</v>
      </c>
      <c r="BZ154" s="60">
        <v>141014</v>
      </c>
      <c r="CA154" s="60">
        <v>149145</v>
      </c>
      <c r="CB154" s="60">
        <v>165965</v>
      </c>
      <c r="CC154" s="60">
        <v>221280</v>
      </c>
      <c r="CD154" s="60">
        <v>249953</v>
      </c>
      <c r="CE154" s="60">
        <v>273166</v>
      </c>
      <c r="CF154" s="60">
        <v>307384</v>
      </c>
      <c r="CG154" s="60">
        <v>355347</v>
      </c>
      <c r="CH154" s="60">
        <v>352107</v>
      </c>
      <c r="CI154" s="60">
        <v>370082</v>
      </c>
      <c r="CJ154" s="60">
        <v>403767</v>
      </c>
      <c r="CK154" s="60">
        <v>432805</v>
      </c>
      <c r="CL154" s="60">
        <v>487629</v>
      </c>
      <c r="CM154" s="60">
        <v>525534</v>
      </c>
      <c r="CN154" s="60">
        <v>573741</v>
      </c>
      <c r="CO154" s="60">
        <v>579515</v>
      </c>
      <c r="CP154" s="60">
        <v>583444</v>
      </c>
      <c r="CQ154" s="60">
        <v>607813</v>
      </c>
      <c r="CR154" s="60">
        <v>618295</v>
      </c>
      <c r="CS154" s="60">
        <v>621272</v>
      </c>
      <c r="CT154" s="60">
        <v>632764</v>
      </c>
      <c r="CU154" s="60">
        <v>673625</v>
      </c>
      <c r="CV154" s="219">
        <v>707630</v>
      </c>
      <c r="CW154" s="60">
        <v>806838.14850951452</v>
      </c>
      <c r="CX154" s="60">
        <v>833627.37125446089</v>
      </c>
      <c r="CY154" s="60">
        <v>854825.55071815208</v>
      </c>
      <c r="CZ154" s="60">
        <v>883858.87980151933</v>
      </c>
      <c r="DA154" s="60">
        <v>916208.68641745555</v>
      </c>
      <c r="DB154" s="60">
        <v>949965.19780197821</v>
      </c>
      <c r="DC154" s="60">
        <v>985191.78479928861</v>
      </c>
      <c r="DD154" s="60">
        <v>1026483.3832414948</v>
      </c>
      <c r="DE154" s="60">
        <v>1071257.2649677929</v>
      </c>
      <c r="DF154" s="60">
        <v>1092789.5359936457</v>
      </c>
    </row>
    <row r="155" spans="1:110" ht="12" outlineLevel="1">
      <c r="AV155" s="200"/>
      <c r="AW155" s="62"/>
      <c r="AX155" s="41"/>
      <c r="AY155" s="41"/>
      <c r="CN155" s="43"/>
      <c r="CO155" s="32"/>
      <c r="CP155" s="32"/>
      <c r="CQ155" s="43"/>
      <c r="CR155" s="43"/>
      <c r="CS155" s="43"/>
      <c r="CT155" s="43"/>
      <c r="CU155" s="43"/>
      <c r="CV155" s="44"/>
      <c r="CZ155" s="15"/>
      <c r="DA155" s="15"/>
      <c r="DB155" s="15"/>
      <c r="DC155" s="15"/>
      <c r="DD155" s="15"/>
      <c r="DE155" s="15"/>
      <c r="DF155" s="15"/>
    </row>
    <row r="156" spans="1:110" ht="12" outlineLevel="1">
      <c r="B156" s="17" t="s">
        <v>442</v>
      </c>
      <c r="AV156" s="200"/>
      <c r="AW156" s="35"/>
      <c r="AX156" s="35"/>
      <c r="AZ156" s="41"/>
      <c r="CZ156" s="15"/>
      <c r="DA156" s="15"/>
      <c r="DB156" s="15"/>
      <c r="DC156" s="15"/>
      <c r="DD156" s="15"/>
      <c r="DE156" s="15"/>
      <c r="DF156" s="15"/>
    </row>
    <row r="157" spans="1:110" ht="12" outlineLevel="1">
      <c r="A157" s="1" t="s">
        <v>889</v>
      </c>
      <c r="B157" s="15" t="s">
        <v>164</v>
      </c>
      <c r="C157" s="40">
        <v>43969</v>
      </c>
      <c r="D157" s="40">
        <v>47812</v>
      </c>
      <c r="E157" s="40">
        <v>52381</v>
      </c>
      <c r="F157" s="40">
        <v>56942</v>
      </c>
      <c r="G157" s="40">
        <v>62482</v>
      </c>
      <c r="H157" s="40">
        <v>67745</v>
      </c>
      <c r="I157" s="40">
        <v>78660</v>
      </c>
      <c r="J157" s="40">
        <v>86421</v>
      </c>
      <c r="K157" s="40">
        <v>91196</v>
      </c>
      <c r="L157" s="40">
        <v>96846</v>
      </c>
      <c r="M157" s="40">
        <v>101945</v>
      </c>
      <c r="N157" s="40">
        <v>106953</v>
      </c>
      <c r="O157" s="40">
        <v>113994</v>
      </c>
      <c r="P157" s="40">
        <v>120807</v>
      </c>
      <c r="Q157" s="40">
        <v>128809</v>
      </c>
      <c r="R157" s="40">
        <v>137239</v>
      </c>
      <c r="S157" s="40">
        <v>141652</v>
      </c>
      <c r="T157" s="40">
        <v>149078</v>
      </c>
      <c r="U157" s="40">
        <v>159046</v>
      </c>
      <c r="V157" s="40">
        <v>165205</v>
      </c>
      <c r="W157" s="40">
        <v>169970</v>
      </c>
      <c r="X157" s="40">
        <v>178486</v>
      </c>
      <c r="Y157" s="40">
        <v>181971</v>
      </c>
      <c r="Z157" s="141">
        <v>187708</v>
      </c>
      <c r="AA157" s="141">
        <v>194755</v>
      </c>
      <c r="AB157" s="141">
        <v>201396</v>
      </c>
      <c r="AC157" s="141">
        <v>209122</v>
      </c>
      <c r="AD157" s="141">
        <v>217756</v>
      </c>
      <c r="AE157" s="141">
        <v>230879</v>
      </c>
      <c r="AF157" s="141">
        <v>242426</v>
      </c>
      <c r="AG157" s="141">
        <v>246351</v>
      </c>
      <c r="AH157" s="141">
        <v>255721</v>
      </c>
      <c r="AI157" s="141">
        <v>264105</v>
      </c>
      <c r="AJ157" s="141">
        <v>270631</v>
      </c>
      <c r="AK157" s="141">
        <v>271554</v>
      </c>
      <c r="AL157" s="141">
        <v>268766</v>
      </c>
      <c r="AM157" s="141">
        <v>264786</v>
      </c>
      <c r="AN157" s="141">
        <v>263596</v>
      </c>
      <c r="AO157" s="141">
        <v>274967</v>
      </c>
      <c r="AP157" s="141">
        <v>280545</v>
      </c>
      <c r="AQ157" s="141">
        <v>277720</v>
      </c>
      <c r="AR157" s="141">
        <v>277894</v>
      </c>
      <c r="AS157" s="141">
        <v>282343</v>
      </c>
      <c r="AT157" s="141">
        <v>292597</v>
      </c>
      <c r="AU157" s="141">
        <v>304133</v>
      </c>
      <c r="AV157" s="226">
        <v>314103</v>
      </c>
      <c r="AW157" s="41">
        <v>381256.84686544008</v>
      </c>
      <c r="AX157" s="41">
        <v>387763.37621404562</v>
      </c>
      <c r="AY157" s="41">
        <v>399872.45092645776</v>
      </c>
      <c r="AZ157" s="41">
        <v>407506.01601464377</v>
      </c>
      <c r="BA157" s="41">
        <v>414874.13229020446</v>
      </c>
      <c r="BB157" s="41">
        <v>422375.47147614358</v>
      </c>
      <c r="BC157" s="41">
        <v>430012.44237590366</v>
      </c>
      <c r="BD157" s="41">
        <v>437787.49734650226</v>
      </c>
      <c r="BE157" s="41">
        <v>445703.13308602426</v>
      </c>
      <c r="BF157" s="41">
        <v>453761.89143535256</v>
      </c>
      <c r="BG157" s="41">
        <v>461966.36019439506</v>
      </c>
      <c r="BH157" s="41">
        <v>470319.17395306984</v>
      </c>
      <c r="BI157" s="41">
        <v>478823.01493731519</v>
      </c>
      <c r="BJ157" s="41">
        <v>487480.61387039669</v>
      </c>
      <c r="BK157" s="41">
        <v>496294.7508497872</v>
      </c>
      <c r="BL157" s="41">
        <v>505268.25623990211</v>
      </c>
      <c r="BM157" s="41">
        <v>514404.01158097567</v>
      </c>
      <c r="BN157" s="41">
        <v>519548.05169678543</v>
      </c>
      <c r="BO157" s="41">
        <v>524743.53221375332</v>
      </c>
      <c r="BP157" s="41"/>
      <c r="BQ157" s="225">
        <v>17320.826875486106</v>
      </c>
      <c r="BR157" s="225">
        <v>16817.090062221592</v>
      </c>
      <c r="BS157" s="225">
        <v>17631.57616842254</v>
      </c>
      <c r="BT157" s="225">
        <v>19012.027716891749</v>
      </c>
      <c r="BU157" s="225">
        <v>20515.361115039243</v>
      </c>
      <c r="BV157" s="40">
        <v>22281</v>
      </c>
      <c r="BW157" s="40">
        <v>25071</v>
      </c>
      <c r="BX157" s="40">
        <v>31684</v>
      </c>
      <c r="BY157" s="40">
        <v>40571</v>
      </c>
      <c r="BZ157" s="40">
        <v>43969</v>
      </c>
      <c r="CA157" s="41">
        <v>52381</v>
      </c>
      <c r="CB157" s="41">
        <v>62482</v>
      </c>
      <c r="CC157" s="41">
        <v>78660</v>
      </c>
      <c r="CD157" s="41">
        <v>91196</v>
      </c>
      <c r="CE157" s="41">
        <v>101945</v>
      </c>
      <c r="CF157" s="41">
        <v>113994</v>
      </c>
      <c r="CG157" s="41">
        <v>128809</v>
      </c>
      <c r="CH157" s="41">
        <v>141652</v>
      </c>
      <c r="CI157" s="41">
        <v>159046</v>
      </c>
      <c r="CJ157" s="41">
        <v>169970</v>
      </c>
      <c r="CK157" s="41">
        <v>181971</v>
      </c>
      <c r="CL157" s="41">
        <v>194755</v>
      </c>
      <c r="CM157" s="41">
        <v>209122</v>
      </c>
      <c r="CN157" s="41">
        <v>230879</v>
      </c>
      <c r="CO157" s="41">
        <v>246351</v>
      </c>
      <c r="CP157" s="41">
        <v>264105</v>
      </c>
      <c r="CQ157" s="41">
        <v>271554</v>
      </c>
      <c r="CR157" s="41">
        <v>264786</v>
      </c>
      <c r="CS157" s="41">
        <v>274967</v>
      </c>
      <c r="CT157" s="41">
        <v>277720</v>
      </c>
      <c r="CU157" s="41">
        <v>282343</v>
      </c>
      <c r="CV157" s="211">
        <v>304133</v>
      </c>
      <c r="CW157" s="41">
        <v>381256.84686544008</v>
      </c>
      <c r="CX157" s="41">
        <v>399872.45092645776</v>
      </c>
      <c r="CY157" s="41">
        <v>414874.13229020446</v>
      </c>
      <c r="CZ157" s="41">
        <v>430012.44237590366</v>
      </c>
      <c r="DA157" s="41">
        <v>445703.13308602426</v>
      </c>
      <c r="DB157" s="41">
        <v>461966.36019439506</v>
      </c>
      <c r="DC157" s="41">
        <v>478823.01493731519</v>
      </c>
      <c r="DD157" s="41">
        <v>496294.7508497872</v>
      </c>
      <c r="DE157" s="41">
        <v>514404.01158097567</v>
      </c>
      <c r="DF157" s="41">
        <v>524743.53221375332</v>
      </c>
    </row>
    <row r="158" spans="1:110" ht="12" outlineLevel="1">
      <c r="A158" s="1" t="s">
        <v>736</v>
      </c>
      <c r="B158" s="15" t="s">
        <v>165</v>
      </c>
      <c r="C158" s="41">
        <v>22474.808451006931</v>
      </c>
      <c r="D158" s="41">
        <v>22186.300886810961</v>
      </c>
      <c r="E158" s="41">
        <v>23019.042308841468</v>
      </c>
      <c r="F158" s="41">
        <v>24957.731850858341</v>
      </c>
      <c r="G158" s="41">
        <v>27222.147207159578</v>
      </c>
      <c r="H158" s="41">
        <v>29247.155746407268</v>
      </c>
      <c r="I158" s="41">
        <v>28564.17185950392</v>
      </c>
      <c r="J158" s="41">
        <v>31566.028635747753</v>
      </c>
      <c r="K158" s="41">
        <v>33192.635205320243</v>
      </c>
      <c r="L158" s="41">
        <v>34410.034100545869</v>
      </c>
      <c r="M158" s="40">
        <v>36020</v>
      </c>
      <c r="N158" s="40">
        <v>37353</v>
      </c>
      <c r="O158" s="40">
        <v>39803</v>
      </c>
      <c r="P158" s="40">
        <v>40996</v>
      </c>
      <c r="Q158" s="40">
        <v>43798</v>
      </c>
      <c r="R158" s="40">
        <v>43751</v>
      </c>
      <c r="S158" s="40">
        <v>43043</v>
      </c>
      <c r="T158" s="40">
        <v>44533</v>
      </c>
      <c r="U158" s="40">
        <v>45720</v>
      </c>
      <c r="V158" s="40">
        <v>46196</v>
      </c>
      <c r="W158" s="40">
        <v>47836</v>
      </c>
      <c r="X158" s="40">
        <v>58125</v>
      </c>
      <c r="Y158" s="40">
        <v>61193</v>
      </c>
      <c r="Z158" s="141">
        <v>63182</v>
      </c>
      <c r="AA158" s="141">
        <v>65320</v>
      </c>
      <c r="AB158" s="141">
        <v>65658</v>
      </c>
      <c r="AC158" s="141">
        <v>67586</v>
      </c>
      <c r="AD158" s="141">
        <v>68431</v>
      </c>
      <c r="AE158" s="141">
        <v>71339</v>
      </c>
      <c r="AF158" s="141">
        <v>65920</v>
      </c>
      <c r="AG158" s="141">
        <v>67779</v>
      </c>
      <c r="AH158" s="141">
        <v>58382</v>
      </c>
      <c r="AI158" s="141">
        <v>58331</v>
      </c>
      <c r="AJ158" s="141">
        <v>57101</v>
      </c>
      <c r="AK158" s="141">
        <v>58222</v>
      </c>
      <c r="AL158" s="141">
        <v>57101</v>
      </c>
      <c r="AM158" s="141">
        <v>57074</v>
      </c>
      <c r="AN158" s="141">
        <v>57116</v>
      </c>
      <c r="AO158" s="141">
        <v>57089</v>
      </c>
      <c r="AP158" s="141">
        <v>56794</v>
      </c>
      <c r="AQ158" s="141">
        <v>57245</v>
      </c>
      <c r="AR158" s="141">
        <v>57625</v>
      </c>
      <c r="AS158" s="141">
        <v>59727</v>
      </c>
      <c r="AT158" s="141">
        <v>59911</v>
      </c>
      <c r="AU158" s="141">
        <v>61557</v>
      </c>
      <c r="AV158" s="226">
        <v>63874</v>
      </c>
      <c r="AW158" s="210">
        <v>78843.821880933028</v>
      </c>
      <c r="AX158" s="41">
        <v>80587.926064761137</v>
      </c>
      <c r="AY158" s="41">
        <v>82370.611577239702</v>
      </c>
      <c r="AZ158" s="41">
        <v>84192.731875939804</v>
      </c>
      <c r="BA158" s="41">
        <v>86055.159297767459</v>
      </c>
      <c r="BB158" s="41">
        <v>87958.785476593359</v>
      </c>
      <c r="BC158" s="41">
        <v>89904.521770121064</v>
      </c>
      <c r="BD158" s="41">
        <v>91893.299696197893</v>
      </c>
      <c r="BE158" s="41">
        <v>93926.071378777473</v>
      </c>
      <c r="BF158" s="41">
        <v>96003.810003747392</v>
      </c>
      <c r="BG158" s="41">
        <v>98127.510284840275</v>
      </c>
      <c r="BH158" s="41">
        <v>100298.18893985121</v>
      </c>
      <c r="BI158" s="41">
        <v>102516.88517738965</v>
      </c>
      <c r="BJ158" s="41">
        <v>104784.66119439866</v>
      </c>
      <c r="BK158" s="41">
        <v>107102.60268467994</v>
      </c>
      <c r="BL158" s="41">
        <v>109471.81935866772</v>
      </c>
      <c r="BM158" s="41">
        <v>111893.4454747008</v>
      </c>
      <c r="BN158" s="41">
        <v>113012.37992944781</v>
      </c>
      <c r="BO158" s="41">
        <v>114142.50372874229</v>
      </c>
      <c r="BP158" s="41"/>
      <c r="BQ158" s="41">
        <v>9872.7441793113776</v>
      </c>
      <c r="BR158" s="41">
        <v>9585.6178933197625</v>
      </c>
      <c r="BS158" s="41">
        <v>10049.868995298388</v>
      </c>
      <c r="BT158" s="41">
        <v>10836.716245025214</v>
      </c>
      <c r="BU158" s="41">
        <v>11693.605247081505</v>
      </c>
      <c r="BV158" s="41">
        <v>12700.006451225689</v>
      </c>
      <c r="BW158" s="41">
        <v>14519.071576628392</v>
      </c>
      <c r="BX158" s="41">
        <v>16894.205357544175</v>
      </c>
      <c r="BY158" s="41">
        <v>19984.348693489901</v>
      </c>
      <c r="BZ158" s="41">
        <v>20755.481447501785</v>
      </c>
      <c r="CA158" s="41">
        <v>23019.042308841468</v>
      </c>
      <c r="CB158" s="41">
        <v>27222.147207159578</v>
      </c>
      <c r="CC158" s="41">
        <v>28564.17185950392</v>
      </c>
      <c r="CD158" s="41">
        <v>33192.635205320243</v>
      </c>
      <c r="CE158" s="41">
        <v>36020</v>
      </c>
      <c r="CF158" s="41">
        <v>39803</v>
      </c>
      <c r="CG158" s="41">
        <v>43798</v>
      </c>
      <c r="CH158" s="41">
        <v>43043</v>
      </c>
      <c r="CI158" s="41">
        <v>45720</v>
      </c>
      <c r="CJ158" s="41">
        <v>47836</v>
      </c>
      <c r="CK158" s="41">
        <v>61193</v>
      </c>
      <c r="CL158" s="41">
        <v>65320</v>
      </c>
      <c r="CM158" s="41">
        <v>67586</v>
      </c>
      <c r="CN158" s="41">
        <v>71339</v>
      </c>
      <c r="CO158" s="41">
        <v>67779</v>
      </c>
      <c r="CP158" s="41">
        <v>58331</v>
      </c>
      <c r="CQ158" s="41">
        <v>58222</v>
      </c>
      <c r="CR158" s="41">
        <v>57074</v>
      </c>
      <c r="CS158" s="41">
        <v>57089</v>
      </c>
      <c r="CT158" s="41">
        <v>57245</v>
      </c>
      <c r="CU158" s="41">
        <v>59727</v>
      </c>
      <c r="CV158" s="211">
        <v>61557</v>
      </c>
      <c r="CW158" s="41">
        <v>78843.821880933028</v>
      </c>
      <c r="CX158" s="41">
        <v>82370.611577239702</v>
      </c>
      <c r="CY158" s="41">
        <v>86055.159297767459</v>
      </c>
      <c r="CZ158" s="41">
        <v>89904.521770121064</v>
      </c>
      <c r="DA158" s="41">
        <v>93926.071378777473</v>
      </c>
      <c r="DB158" s="41">
        <v>98127.510284840275</v>
      </c>
      <c r="DC158" s="41">
        <v>102516.88517738965</v>
      </c>
      <c r="DD158" s="41">
        <v>107102.60268467994</v>
      </c>
      <c r="DE158" s="41">
        <v>111893.4454747008</v>
      </c>
      <c r="DF158" s="41">
        <v>114142.50372874229</v>
      </c>
    </row>
    <row r="159" spans="1:110" ht="12" outlineLevel="1">
      <c r="A159" s="1" t="s">
        <v>737</v>
      </c>
      <c r="B159" s="15" t="s">
        <v>166</v>
      </c>
      <c r="C159" s="41">
        <v>21054.066117776962</v>
      </c>
      <c r="D159" s="41">
        <v>20783.796524810154</v>
      </c>
      <c r="E159" s="41">
        <v>21563.896297258114</v>
      </c>
      <c r="F159" s="41">
        <v>23380.031811313514</v>
      </c>
      <c r="G159" s="41">
        <v>25501.302421187829</v>
      </c>
      <c r="H159" s="41">
        <v>27398.300287368704</v>
      </c>
      <c r="I159" s="41">
        <v>26758.491145342607</v>
      </c>
      <c r="J159" s="41">
        <v>29570.585903832216</v>
      </c>
      <c r="K159" s="41">
        <v>31094.366733290419</v>
      </c>
      <c r="L159" s="41">
        <v>32234.807902685148</v>
      </c>
      <c r="M159" s="41">
        <v>33743</v>
      </c>
      <c r="N159" s="41">
        <v>35212</v>
      </c>
      <c r="O159" s="41">
        <v>40826</v>
      </c>
      <c r="P159" s="41">
        <v>51477</v>
      </c>
      <c r="Q159" s="41">
        <v>54576</v>
      </c>
      <c r="R159" s="41">
        <v>52267</v>
      </c>
      <c r="S159" s="41">
        <v>43925</v>
      </c>
      <c r="T159" s="41">
        <v>42876</v>
      </c>
      <c r="U159" s="41">
        <v>41357</v>
      </c>
      <c r="V159" s="41">
        <v>60426</v>
      </c>
      <c r="W159" s="41">
        <v>60506</v>
      </c>
      <c r="X159" s="41">
        <v>54739</v>
      </c>
      <c r="Y159" s="41">
        <v>54959</v>
      </c>
      <c r="Z159" s="41">
        <v>55383</v>
      </c>
      <c r="AA159" s="41">
        <v>55460</v>
      </c>
      <c r="AB159" s="41">
        <v>61142</v>
      </c>
      <c r="AC159" s="41">
        <v>63246</v>
      </c>
      <c r="AD159" s="41">
        <v>67480</v>
      </c>
      <c r="AE159" s="41">
        <v>69810</v>
      </c>
      <c r="AF159" s="41">
        <v>69235</v>
      </c>
      <c r="AG159" s="41">
        <v>71159</v>
      </c>
      <c r="AH159" s="41">
        <v>80094</v>
      </c>
      <c r="AI159" s="41">
        <v>80203</v>
      </c>
      <c r="AJ159" s="41">
        <v>82116</v>
      </c>
      <c r="AK159" s="41">
        <v>88731</v>
      </c>
      <c r="AL159" s="41">
        <v>87984</v>
      </c>
      <c r="AM159" s="41">
        <v>100708</v>
      </c>
      <c r="AN159" s="41">
        <v>119111</v>
      </c>
      <c r="AO159" s="41">
        <v>104349</v>
      </c>
      <c r="AP159" s="41">
        <v>92887</v>
      </c>
      <c r="AQ159" s="41">
        <v>93608</v>
      </c>
      <c r="AR159" s="41">
        <v>103931</v>
      </c>
      <c r="AS159" s="41">
        <v>113576</v>
      </c>
      <c r="AT159" s="41">
        <v>115558</v>
      </c>
      <c r="AU159" s="41">
        <v>117143</v>
      </c>
      <c r="AV159" s="211">
        <v>118515</v>
      </c>
      <c r="AW159" s="210">
        <v>122094.466110739</v>
      </c>
      <c r="AX159" s="41">
        <v>124795.31779557464</v>
      </c>
      <c r="AY159" s="41">
        <v>127555.91502053052</v>
      </c>
      <c r="AZ159" s="41">
        <v>130377.57941669965</v>
      </c>
      <c r="BA159" s="41">
        <v>133261.66185097644</v>
      </c>
      <c r="BB159" s="41">
        <v>136209.54307278187</v>
      </c>
      <c r="BC159" s="41">
        <v>139222.63437509487</v>
      </c>
      <c r="BD159" s="41">
        <v>142302.37827010633</v>
      </c>
      <c r="BE159" s="41">
        <v>145450.24917981934</v>
      </c>
      <c r="BF159" s="41">
        <v>148667.7541419261</v>
      </c>
      <c r="BG159" s="41">
        <v>151956.43353129961</v>
      </c>
      <c r="BH159" s="41">
        <v>155317.86179744545</v>
      </c>
      <c r="BI159" s="41">
        <v>158753.64821826672</v>
      </c>
      <c r="BJ159" s="41">
        <v>162265.43767050299</v>
      </c>
      <c r="BK159" s="41">
        <v>165854.91141721216</v>
      </c>
      <c r="BL159" s="41">
        <v>169523.7879126723</v>
      </c>
      <c r="BM159" s="41">
        <v>173273.82362508849</v>
      </c>
      <c r="BN159" s="41">
        <v>175006.56186133937</v>
      </c>
      <c r="BO159" s="41">
        <v>176756.62747995276</v>
      </c>
      <c r="BP159" s="41"/>
      <c r="BQ159" s="41">
        <v>14534.144467616614</v>
      </c>
      <c r="BR159" s="41">
        <v>13956.256682413108</v>
      </c>
      <c r="BS159" s="41">
        <v>14698.061542000502</v>
      </c>
      <c r="BT159" s="41">
        <v>15762.542786942362</v>
      </c>
      <c r="BU159" s="41">
        <v>17116.395060523402</v>
      </c>
      <c r="BV159" s="41">
        <v>19259.641341522201</v>
      </c>
      <c r="BW159" s="41">
        <v>22423.092350490406</v>
      </c>
      <c r="BX159" s="41">
        <v>23203.532725085526</v>
      </c>
      <c r="BY159" s="41">
        <v>23700.892935358246</v>
      </c>
      <c r="BZ159" s="41">
        <v>22702.148524494984</v>
      </c>
      <c r="CA159" s="41">
        <v>21563.896297258114</v>
      </c>
      <c r="CB159" s="41">
        <v>25501.302421187829</v>
      </c>
      <c r="CC159" s="41">
        <v>26758.491145342607</v>
      </c>
      <c r="CD159" s="41">
        <v>31094.366733290419</v>
      </c>
      <c r="CE159" s="41">
        <v>33743</v>
      </c>
      <c r="CF159" s="41">
        <v>40826</v>
      </c>
      <c r="CG159" s="41">
        <v>54576</v>
      </c>
      <c r="CH159" s="41">
        <v>43925</v>
      </c>
      <c r="CI159" s="41">
        <v>41357</v>
      </c>
      <c r="CJ159" s="41">
        <v>60506</v>
      </c>
      <c r="CK159" s="41">
        <v>54959</v>
      </c>
      <c r="CL159" s="41">
        <v>55460</v>
      </c>
      <c r="CM159" s="41">
        <v>63246</v>
      </c>
      <c r="CN159" s="41">
        <v>69810</v>
      </c>
      <c r="CO159" s="41">
        <v>71159</v>
      </c>
      <c r="CP159" s="41">
        <v>80203</v>
      </c>
      <c r="CQ159" s="41">
        <v>88731</v>
      </c>
      <c r="CR159" s="41">
        <v>100708</v>
      </c>
      <c r="CS159" s="41">
        <v>104349</v>
      </c>
      <c r="CT159" s="41">
        <v>93608</v>
      </c>
      <c r="CU159" s="41">
        <v>113576</v>
      </c>
      <c r="CV159" s="211">
        <v>117143</v>
      </c>
      <c r="CW159" s="41">
        <v>122094.466110739</v>
      </c>
      <c r="CX159" s="41">
        <v>127555.91502053052</v>
      </c>
      <c r="CY159" s="41">
        <v>133261.66185097644</v>
      </c>
      <c r="CZ159" s="41">
        <v>139222.63437509487</v>
      </c>
      <c r="DA159" s="41">
        <v>145450.24917981934</v>
      </c>
      <c r="DB159" s="41">
        <v>151956.43353129961</v>
      </c>
      <c r="DC159" s="41">
        <v>158753.64821826672</v>
      </c>
      <c r="DD159" s="41">
        <v>165854.91141721216</v>
      </c>
      <c r="DE159" s="41">
        <v>173273.82362508849</v>
      </c>
      <c r="DF159" s="41">
        <v>176756.62747995276</v>
      </c>
    </row>
    <row r="160" spans="1:110" ht="12" outlineLevel="1">
      <c r="A160" s="1" t="s">
        <v>738</v>
      </c>
      <c r="B160" s="15" t="s">
        <v>167</v>
      </c>
      <c r="C160" s="40">
        <v>4957.1254312161072</v>
      </c>
      <c r="D160" s="40">
        <v>5166.9025883788863</v>
      </c>
      <c r="E160" s="40">
        <v>5574.0613939004188</v>
      </c>
      <c r="F160" s="40">
        <v>5905.2363378281443</v>
      </c>
      <c r="G160" s="40">
        <v>6114.5503716525945</v>
      </c>
      <c r="H160" s="40">
        <v>6233.5439662240287</v>
      </c>
      <c r="I160" s="40">
        <v>6497.3369951534733</v>
      </c>
      <c r="J160" s="40">
        <v>6971.3854604200324</v>
      </c>
      <c r="K160" s="141">
        <v>7805.9980613893376</v>
      </c>
      <c r="L160" s="141">
        <v>8481.1579967689831</v>
      </c>
      <c r="M160" s="40">
        <v>8892</v>
      </c>
      <c r="N160" s="40">
        <v>9591</v>
      </c>
      <c r="O160" s="40">
        <v>10225</v>
      </c>
      <c r="P160" s="40">
        <v>8659</v>
      </c>
      <c r="Q160" s="40">
        <v>9081</v>
      </c>
      <c r="R160" s="40">
        <v>9367</v>
      </c>
      <c r="S160" s="40">
        <v>9761</v>
      </c>
      <c r="T160" s="40">
        <v>10317</v>
      </c>
      <c r="U160" s="40">
        <v>10349</v>
      </c>
      <c r="V160" s="40">
        <v>10701</v>
      </c>
      <c r="W160" s="40">
        <v>10787</v>
      </c>
      <c r="X160" s="40">
        <v>10902</v>
      </c>
      <c r="Y160" s="40">
        <v>10625</v>
      </c>
      <c r="Z160" s="141">
        <v>10963</v>
      </c>
      <c r="AA160" s="141">
        <v>11278</v>
      </c>
      <c r="AB160" s="141">
        <v>10816</v>
      </c>
      <c r="AC160" s="141">
        <v>10773</v>
      </c>
      <c r="AD160" s="141">
        <v>11234</v>
      </c>
      <c r="AE160" s="141">
        <v>11127</v>
      </c>
      <c r="AF160" s="141">
        <v>11254</v>
      </c>
      <c r="AG160" s="141">
        <v>11116</v>
      </c>
      <c r="AH160" s="141">
        <v>10992</v>
      </c>
      <c r="AI160" s="141">
        <v>10617</v>
      </c>
      <c r="AJ160" s="141">
        <v>10596</v>
      </c>
      <c r="AK160" s="141">
        <v>10131</v>
      </c>
      <c r="AL160" s="141">
        <v>9616</v>
      </c>
      <c r="AM160" s="141">
        <v>9027</v>
      </c>
      <c r="AN160" s="141">
        <v>8431</v>
      </c>
      <c r="AO160" s="141">
        <v>6745</v>
      </c>
      <c r="AP160" s="141">
        <v>6728</v>
      </c>
      <c r="AQ160" s="141">
        <v>6029</v>
      </c>
      <c r="AR160" s="141">
        <v>6105</v>
      </c>
      <c r="AS160" s="141">
        <v>5960</v>
      </c>
      <c r="AT160" s="141">
        <v>5900</v>
      </c>
      <c r="AU160" s="141">
        <v>5804</v>
      </c>
      <c r="AV160" s="226">
        <v>5847</v>
      </c>
      <c r="AW160" s="41">
        <v>5914.5512195076644</v>
      </c>
      <c r="AX160" s="41">
        <v>5973.8445954832268</v>
      </c>
      <c r="AY160" s="41">
        <v>6033.7323875529446</v>
      </c>
      <c r="AZ160" s="41">
        <v>6094.2205547381609</v>
      </c>
      <c r="BA160" s="41">
        <v>6155.3151157994089</v>
      </c>
      <c r="BB160" s="41">
        <v>6217.0221498352967</v>
      </c>
      <c r="BC160" s="41">
        <v>6279.347796887394</v>
      </c>
      <c r="BD160" s="41">
        <v>6342.2982585511882</v>
      </c>
      <c r="BE160" s="41">
        <v>6405.8797985931624</v>
      </c>
      <c r="BF160" s="41">
        <v>6470.0987435740572</v>
      </c>
      <c r="BG160" s="41">
        <v>6534.9614834783852</v>
      </c>
      <c r="BH160" s="41">
        <v>6600.4744723502545</v>
      </c>
      <c r="BI160" s="41">
        <v>6666.6442289355637</v>
      </c>
      <c r="BJ160" s="41">
        <v>6733.4773373306407</v>
      </c>
      <c r="BK160" s="41">
        <v>6800.9804476373783</v>
      </c>
      <c r="BL160" s="41">
        <v>6869.1602766249416</v>
      </c>
      <c r="BM160" s="41">
        <v>6938.0236083981044</v>
      </c>
      <c r="BN160" s="41">
        <v>7007.4038444820853</v>
      </c>
      <c r="BO160" s="41">
        <v>7077.4778829269062</v>
      </c>
      <c r="BP160" s="41"/>
      <c r="BQ160" s="40">
        <v>2250.2844775859039</v>
      </c>
      <c r="BR160" s="40">
        <v>2340.0353620455376</v>
      </c>
      <c r="BS160" s="40">
        <v>2387.4932942785717</v>
      </c>
      <c r="BT160" s="40">
        <v>2660.7132511406753</v>
      </c>
      <c r="BU160" s="40">
        <v>2763.6385773558513</v>
      </c>
      <c r="BV160" s="40">
        <v>2331.3522072521123</v>
      </c>
      <c r="BW160" s="40">
        <v>2661.8360728812045</v>
      </c>
      <c r="BX160" s="40">
        <v>3473.2619173703006</v>
      </c>
      <c r="BY160" s="40">
        <v>4763.7583711518519</v>
      </c>
      <c r="BZ160" s="40">
        <v>5028.3700280032317</v>
      </c>
      <c r="CA160" s="41">
        <v>5574.0613939004188</v>
      </c>
      <c r="CB160" s="41">
        <v>6114.5503716525945</v>
      </c>
      <c r="CC160" s="41">
        <v>6497.3369951534733</v>
      </c>
      <c r="CD160" s="41">
        <v>7805.9980613893376</v>
      </c>
      <c r="CE160" s="41">
        <v>8892</v>
      </c>
      <c r="CF160" s="41">
        <v>10225</v>
      </c>
      <c r="CG160" s="41">
        <v>9081</v>
      </c>
      <c r="CH160" s="41">
        <v>9761</v>
      </c>
      <c r="CI160" s="41">
        <v>10349</v>
      </c>
      <c r="CJ160" s="41">
        <v>10787</v>
      </c>
      <c r="CK160" s="41">
        <v>10625</v>
      </c>
      <c r="CL160" s="41">
        <v>11278</v>
      </c>
      <c r="CM160" s="41">
        <v>10773</v>
      </c>
      <c r="CN160" s="41">
        <v>11127</v>
      </c>
      <c r="CO160" s="41">
        <v>11116</v>
      </c>
      <c r="CP160" s="41">
        <v>10617</v>
      </c>
      <c r="CQ160" s="41">
        <v>10131</v>
      </c>
      <c r="CR160" s="41">
        <v>9027</v>
      </c>
      <c r="CS160" s="41">
        <v>6745</v>
      </c>
      <c r="CT160" s="41">
        <v>6029</v>
      </c>
      <c r="CU160" s="41">
        <v>5960</v>
      </c>
      <c r="CV160" s="211">
        <v>5804</v>
      </c>
      <c r="CW160" s="41">
        <v>5914.5512195076644</v>
      </c>
      <c r="CX160" s="41">
        <v>6033.7323875529446</v>
      </c>
      <c r="CY160" s="41">
        <v>6155.3151157994089</v>
      </c>
      <c r="CZ160" s="41">
        <v>6279.347796887394</v>
      </c>
      <c r="DA160" s="41">
        <v>6405.8797985931624</v>
      </c>
      <c r="DB160" s="41">
        <v>6534.9614834783852</v>
      </c>
      <c r="DC160" s="41">
        <v>6666.6442289355637</v>
      </c>
      <c r="DD160" s="41">
        <v>6800.9804476373783</v>
      </c>
      <c r="DE160" s="41">
        <v>6938.0236083981044</v>
      </c>
      <c r="DF160" s="41">
        <v>7077.4778829269062</v>
      </c>
    </row>
    <row r="161" spans="1:110" s="17" customFormat="1" ht="12" outlineLevel="1">
      <c r="A161" s="1" t="s">
        <v>739</v>
      </c>
      <c r="B161" s="17" t="s">
        <v>168</v>
      </c>
      <c r="C161" s="61">
        <v>92455</v>
      </c>
      <c r="D161" s="61">
        <v>95949</v>
      </c>
      <c r="E161" s="61">
        <v>102538</v>
      </c>
      <c r="F161" s="61">
        <v>111185</v>
      </c>
      <c r="G161" s="61">
        <v>121320</v>
      </c>
      <c r="H161" s="61">
        <v>130624</v>
      </c>
      <c r="I161" s="61">
        <v>140480</v>
      </c>
      <c r="J161" s="61">
        <v>154529</v>
      </c>
      <c r="K161" s="61">
        <v>163289</v>
      </c>
      <c r="L161" s="61">
        <v>171972</v>
      </c>
      <c r="M161" s="61">
        <v>180600</v>
      </c>
      <c r="N161" s="61">
        <v>189109</v>
      </c>
      <c r="O161" s="61">
        <v>204848</v>
      </c>
      <c r="P161" s="61">
        <v>221939</v>
      </c>
      <c r="Q161" s="61">
        <v>236264</v>
      </c>
      <c r="R161" s="61">
        <v>242624</v>
      </c>
      <c r="S161" s="61">
        <v>238381</v>
      </c>
      <c r="T161" s="61">
        <v>246804</v>
      </c>
      <c r="U161" s="61">
        <v>256472</v>
      </c>
      <c r="V161" s="61">
        <v>282528</v>
      </c>
      <c r="W161" s="61">
        <v>289099</v>
      </c>
      <c r="X161" s="61">
        <v>302252</v>
      </c>
      <c r="Y161" s="61">
        <v>308748</v>
      </c>
      <c r="Z161" s="194">
        <v>317236</v>
      </c>
      <c r="AA161" s="194">
        <v>326813</v>
      </c>
      <c r="AB161" s="194">
        <v>339012</v>
      </c>
      <c r="AC161" s="194">
        <v>350727</v>
      </c>
      <c r="AD161" s="194">
        <v>364901</v>
      </c>
      <c r="AE161" s="194">
        <v>383155</v>
      </c>
      <c r="AF161" s="194">
        <v>388835</v>
      </c>
      <c r="AG161" s="194">
        <v>396405</v>
      </c>
      <c r="AH161" s="194">
        <v>405189</v>
      </c>
      <c r="AI161" s="194">
        <v>413256</v>
      </c>
      <c r="AJ161" s="194">
        <v>420444</v>
      </c>
      <c r="AK161" s="194">
        <v>428638</v>
      </c>
      <c r="AL161" s="194">
        <v>423467</v>
      </c>
      <c r="AM161" s="194">
        <v>431595</v>
      </c>
      <c r="AN161" s="194">
        <v>448254</v>
      </c>
      <c r="AO161" s="194">
        <v>443150</v>
      </c>
      <c r="AP161" s="194">
        <v>436954</v>
      </c>
      <c r="AQ161" s="194">
        <v>434602</v>
      </c>
      <c r="AR161" s="194">
        <v>445555</v>
      </c>
      <c r="AS161" s="194">
        <v>461606</v>
      </c>
      <c r="AT161" s="194">
        <v>473966</v>
      </c>
      <c r="AU161" s="194">
        <v>488637</v>
      </c>
      <c r="AV161" s="227">
        <v>502339</v>
      </c>
      <c r="AW161" s="62">
        <v>588109.68607661978</v>
      </c>
      <c r="AX161" s="62">
        <v>599120.46466986462</v>
      </c>
      <c r="AY161" s="62">
        <v>615832.7099117809</v>
      </c>
      <c r="AZ161" s="62">
        <v>628170.54786202137</v>
      </c>
      <c r="BA161" s="62">
        <v>640346.2685547478</v>
      </c>
      <c r="BB161" s="62">
        <v>652760.822175354</v>
      </c>
      <c r="BC161" s="62">
        <v>665418.94631800696</v>
      </c>
      <c r="BD161" s="62">
        <v>678325.47357135755</v>
      </c>
      <c r="BE161" s="62">
        <v>691485.33344321419</v>
      </c>
      <c r="BF161" s="62">
        <v>704903.55432460015</v>
      </c>
      <c r="BG161" s="62">
        <v>718585.26549401332</v>
      </c>
      <c r="BH161" s="62">
        <v>732535.69916271674</v>
      </c>
      <c r="BI161" s="62">
        <v>746760.19256190711</v>
      </c>
      <c r="BJ161" s="62">
        <v>761264.19007262902</v>
      </c>
      <c r="BK161" s="62">
        <v>776053.24539931677</v>
      </c>
      <c r="BL161" s="62">
        <v>791133.02378786705</v>
      </c>
      <c r="BM161" s="62">
        <v>806509.30428916309</v>
      </c>
      <c r="BN161" s="62">
        <v>814574.39733205468</v>
      </c>
      <c r="BO161" s="62">
        <v>822720.14130537526</v>
      </c>
      <c r="BP161" s="62"/>
      <c r="BQ161" s="61">
        <v>43978</v>
      </c>
      <c r="BR161" s="61">
        <v>42699</v>
      </c>
      <c r="BS161" s="61">
        <v>44767</v>
      </c>
      <c r="BT161" s="61">
        <v>48272</v>
      </c>
      <c r="BU161" s="61">
        <v>52089</v>
      </c>
      <c r="BV161" s="61">
        <v>56572</v>
      </c>
      <c r="BW161" s="61">
        <v>64675</v>
      </c>
      <c r="BX161" s="61">
        <v>75255</v>
      </c>
      <c r="BY161" s="61">
        <v>89020</v>
      </c>
      <c r="BZ161" s="61">
        <v>92455</v>
      </c>
      <c r="CA161" s="62">
        <v>102538</v>
      </c>
      <c r="CB161" s="62">
        <v>121320</v>
      </c>
      <c r="CC161" s="62">
        <v>140480</v>
      </c>
      <c r="CD161" s="62">
        <v>163289</v>
      </c>
      <c r="CE161" s="62">
        <v>180600</v>
      </c>
      <c r="CF161" s="62">
        <v>204848</v>
      </c>
      <c r="CG161" s="62">
        <v>236264</v>
      </c>
      <c r="CH161" s="62">
        <v>238381</v>
      </c>
      <c r="CI161" s="62">
        <v>256472</v>
      </c>
      <c r="CJ161" s="62">
        <v>289099</v>
      </c>
      <c r="CK161" s="62">
        <v>308748</v>
      </c>
      <c r="CL161" s="62">
        <v>326813</v>
      </c>
      <c r="CM161" s="62">
        <v>350727</v>
      </c>
      <c r="CN161" s="62">
        <v>383155</v>
      </c>
      <c r="CO161" s="62">
        <v>396405</v>
      </c>
      <c r="CP161" s="62">
        <v>413256</v>
      </c>
      <c r="CQ161" s="62">
        <v>428638</v>
      </c>
      <c r="CR161" s="62">
        <v>431595</v>
      </c>
      <c r="CS161" s="62">
        <v>443150</v>
      </c>
      <c r="CT161" s="62">
        <v>434602</v>
      </c>
      <c r="CU161" s="62">
        <v>461606</v>
      </c>
      <c r="CV161" s="220">
        <v>488637</v>
      </c>
      <c r="CW161" s="62">
        <v>588109.68607661978</v>
      </c>
      <c r="CX161" s="62">
        <v>615832.7099117809</v>
      </c>
      <c r="CY161" s="62">
        <v>640346.2685547478</v>
      </c>
      <c r="CZ161" s="62">
        <v>665418.94631800696</v>
      </c>
      <c r="DA161" s="62">
        <v>691485.33344321419</v>
      </c>
      <c r="DB161" s="62">
        <v>718585.26549401332</v>
      </c>
      <c r="DC161" s="62">
        <v>746760.19256190711</v>
      </c>
      <c r="DD161" s="62">
        <v>776053.24539931677</v>
      </c>
      <c r="DE161" s="62">
        <v>806509.30428916309</v>
      </c>
      <c r="DF161" s="62">
        <v>822720.14130537526</v>
      </c>
    </row>
    <row r="162" spans="1:110" ht="12" outlineLevel="1">
      <c r="C162" s="41"/>
      <c r="D162" s="41"/>
      <c r="E162" s="41"/>
      <c r="F162" s="41"/>
      <c r="G162" s="41"/>
      <c r="H162" s="41"/>
      <c r="I162" s="41"/>
      <c r="J162" s="41"/>
      <c r="K162" s="41"/>
      <c r="L162" s="41"/>
      <c r="M162" s="41"/>
      <c r="N162" s="41"/>
      <c r="O162" s="41"/>
      <c r="P162" s="41"/>
      <c r="Q162" s="41"/>
      <c r="R162" s="41"/>
      <c r="S162" s="41"/>
      <c r="T162" s="41"/>
      <c r="U162" s="41"/>
      <c r="V162" s="41"/>
      <c r="W162" s="41"/>
      <c r="X162" s="41"/>
      <c r="Y162" s="41"/>
      <c r="Z162" s="41"/>
      <c r="AA162" s="361"/>
      <c r="AB162" s="41"/>
      <c r="AC162" s="41"/>
      <c r="AD162" s="41"/>
      <c r="AE162" s="41"/>
      <c r="AF162" s="41"/>
      <c r="AG162" s="41"/>
      <c r="AH162" s="41"/>
      <c r="AI162" s="41"/>
      <c r="AJ162" s="41"/>
      <c r="AK162" s="41"/>
      <c r="AL162" s="41"/>
      <c r="AM162" s="41"/>
      <c r="AN162" s="41"/>
      <c r="AO162" s="41"/>
      <c r="AP162" s="41"/>
      <c r="AQ162" s="41"/>
      <c r="AR162" s="41"/>
      <c r="AS162" s="41"/>
      <c r="AT162" s="41"/>
      <c r="AU162" s="41"/>
      <c r="AV162" s="211"/>
      <c r="AW162" s="41"/>
      <c r="AX162" s="41"/>
      <c r="AY162" s="41"/>
      <c r="AZ162" s="41"/>
      <c r="BA162" s="41"/>
      <c r="BB162" s="41"/>
      <c r="BC162" s="41"/>
      <c r="BD162" s="41"/>
      <c r="BE162" s="41"/>
      <c r="BF162" s="41"/>
      <c r="BG162" s="41"/>
      <c r="BH162" s="41"/>
      <c r="BI162" s="41"/>
      <c r="BJ162" s="41"/>
      <c r="BK162" s="41"/>
      <c r="BL162" s="41"/>
      <c r="BM162" s="41"/>
      <c r="BN162" s="41"/>
      <c r="BO162" s="41"/>
      <c r="BP162" s="41"/>
      <c r="BQ162" s="41"/>
      <c r="BR162" s="41"/>
      <c r="BS162" s="41"/>
      <c r="BT162" s="41"/>
      <c r="BU162" s="41"/>
      <c r="BV162" s="41"/>
      <c r="BW162" s="41"/>
      <c r="BX162" s="41"/>
      <c r="BY162" s="41"/>
      <c r="BZ162" s="41"/>
      <c r="CA162" s="41"/>
      <c r="CB162" s="41"/>
      <c r="CC162" s="41"/>
      <c r="CD162" s="41"/>
      <c r="CE162" s="41"/>
      <c r="CF162" s="41"/>
      <c r="CG162" s="41"/>
      <c r="CH162" s="41"/>
      <c r="CI162" s="41"/>
      <c r="CJ162" s="41"/>
      <c r="CK162" s="41"/>
      <c r="CL162" s="41"/>
      <c r="CM162" s="41"/>
      <c r="CN162" s="41"/>
      <c r="CO162" s="41"/>
      <c r="CP162" s="41"/>
      <c r="CQ162" s="41"/>
      <c r="CR162" s="41"/>
      <c r="CS162" s="41"/>
      <c r="CT162" s="41"/>
      <c r="CU162" s="41"/>
      <c r="CV162" s="211"/>
      <c r="CW162" s="41"/>
      <c r="CX162" s="41"/>
      <c r="CY162" s="41"/>
      <c r="CZ162" s="41"/>
      <c r="DA162" s="41"/>
      <c r="DB162" s="41"/>
      <c r="DC162" s="41"/>
      <c r="DD162" s="41"/>
      <c r="DE162" s="41"/>
      <c r="DF162" s="41"/>
    </row>
    <row r="163" spans="1:110" ht="12" outlineLevel="1">
      <c r="B163" s="17" t="s">
        <v>408</v>
      </c>
      <c r="C163" s="41"/>
      <c r="D163" s="41"/>
      <c r="E163" s="41"/>
      <c r="F163" s="41"/>
      <c r="G163" s="41"/>
      <c r="H163" s="41"/>
      <c r="I163" s="41"/>
      <c r="J163" s="41"/>
      <c r="K163" s="41"/>
      <c r="L163" s="41"/>
      <c r="M163" s="41"/>
      <c r="N163" s="41"/>
      <c r="O163" s="41"/>
      <c r="P163" s="41"/>
      <c r="Q163" s="41"/>
      <c r="R163" s="41"/>
      <c r="S163" s="41"/>
      <c r="T163" s="41"/>
      <c r="U163" s="41"/>
      <c r="V163" s="41"/>
      <c r="W163" s="41"/>
      <c r="X163" s="41"/>
      <c r="Y163" s="41"/>
      <c r="Z163" s="41"/>
      <c r="AA163" s="41"/>
      <c r="AB163" s="41"/>
      <c r="AC163" s="32"/>
      <c r="AD163" s="41"/>
      <c r="AE163" s="41"/>
      <c r="AF163" s="41"/>
      <c r="AG163" s="41"/>
      <c r="AH163" s="41"/>
      <c r="AI163" s="41"/>
      <c r="AJ163" s="41"/>
      <c r="AK163" s="41"/>
      <c r="AL163" s="41"/>
      <c r="AM163" s="41"/>
      <c r="AN163" s="41"/>
      <c r="AO163" s="41"/>
      <c r="AP163" s="41"/>
      <c r="AQ163" s="41"/>
      <c r="AR163" s="41"/>
      <c r="AS163" s="41"/>
      <c r="AT163" s="41"/>
      <c r="AU163" s="41"/>
      <c r="AV163" s="211"/>
      <c r="AW163" s="62"/>
      <c r="AX163" s="62"/>
      <c r="AY163" s="41"/>
      <c r="AZ163" s="41"/>
      <c r="BA163" s="41"/>
      <c r="BB163" s="41"/>
      <c r="BC163" s="41"/>
      <c r="BD163" s="41"/>
      <c r="BE163" s="41"/>
      <c r="BF163" s="41"/>
      <c r="BG163" s="41"/>
      <c r="BH163" s="41"/>
      <c r="BI163" s="41"/>
      <c r="BJ163" s="41"/>
      <c r="BK163" s="41"/>
      <c r="BL163" s="41"/>
      <c r="BM163" s="41"/>
      <c r="BN163" s="41"/>
      <c r="BO163" s="41"/>
      <c r="BP163" s="41"/>
      <c r="BQ163" s="41"/>
      <c r="BR163" s="41"/>
      <c r="BS163" s="41"/>
      <c r="BT163" s="41"/>
      <c r="BU163" s="41"/>
      <c r="BV163" s="41"/>
      <c r="BW163" s="41"/>
      <c r="BX163" s="41"/>
      <c r="BY163" s="41"/>
      <c r="BZ163" s="41"/>
      <c r="CA163" s="41"/>
      <c r="CB163" s="41"/>
      <c r="CC163" s="41"/>
      <c r="CD163" s="41"/>
      <c r="CE163" s="41"/>
      <c r="CF163" s="41"/>
      <c r="CG163" s="41"/>
      <c r="CH163" s="41"/>
      <c r="CI163" s="41"/>
      <c r="CJ163" s="41"/>
      <c r="CK163" s="41"/>
      <c r="CL163" s="41"/>
      <c r="CM163" s="41"/>
      <c r="CN163" s="41"/>
      <c r="CO163" s="41"/>
      <c r="CP163" s="41"/>
      <c r="CQ163" s="41"/>
      <c r="CR163" s="41"/>
      <c r="CS163" s="41"/>
      <c r="CT163" s="41"/>
      <c r="CU163" s="41"/>
      <c r="CV163" s="211"/>
      <c r="CW163" s="41"/>
      <c r="CX163" s="41"/>
      <c r="CY163" s="41"/>
      <c r="CZ163" s="41"/>
      <c r="DA163" s="41"/>
      <c r="DB163" s="41"/>
      <c r="DC163" s="41"/>
      <c r="DD163" s="41"/>
      <c r="DE163" s="41"/>
      <c r="DF163" s="41"/>
    </row>
    <row r="164" spans="1:110" ht="12" outlineLevel="1">
      <c r="A164" s="1" t="s">
        <v>602</v>
      </c>
      <c r="B164" s="15" t="s">
        <v>164</v>
      </c>
      <c r="C164" s="40">
        <v>9394</v>
      </c>
      <c r="D164" s="40">
        <v>9384</v>
      </c>
      <c r="E164" s="40">
        <v>9796</v>
      </c>
      <c r="F164" s="40">
        <v>10618</v>
      </c>
      <c r="G164" s="40">
        <v>10551</v>
      </c>
      <c r="H164" s="40">
        <v>28243</v>
      </c>
      <c r="I164" s="40">
        <v>31519</v>
      </c>
      <c r="J164" s="40">
        <v>33123</v>
      </c>
      <c r="K164" s="40">
        <v>34859</v>
      </c>
      <c r="L164" s="40">
        <v>34961</v>
      </c>
      <c r="M164" s="40">
        <v>37845</v>
      </c>
      <c r="N164" s="40">
        <v>40841</v>
      </c>
      <c r="O164" s="40">
        <v>42350</v>
      </c>
      <c r="P164" s="40">
        <v>45401</v>
      </c>
      <c r="Q164" s="40">
        <v>45307</v>
      </c>
      <c r="R164" s="40">
        <v>45573</v>
      </c>
      <c r="S164" s="40">
        <v>44689</v>
      </c>
      <c r="T164" s="40">
        <v>42021</v>
      </c>
      <c r="U164" s="40">
        <v>41554</v>
      </c>
      <c r="V164" s="40">
        <v>40202</v>
      </c>
      <c r="W164" s="40">
        <v>42562</v>
      </c>
      <c r="X164" s="40">
        <v>42681</v>
      </c>
      <c r="Y164" s="40">
        <v>44754</v>
      </c>
      <c r="Z164" s="141">
        <v>46080</v>
      </c>
      <c r="AA164" s="141">
        <v>52785</v>
      </c>
      <c r="AB164" s="141">
        <v>57254</v>
      </c>
      <c r="AC164" s="141">
        <v>55627</v>
      </c>
      <c r="AD164" s="141">
        <v>63311</v>
      </c>
      <c r="AE164" s="141">
        <v>61743</v>
      </c>
      <c r="AF164" s="141">
        <v>63649</v>
      </c>
      <c r="AG164" s="141">
        <v>69927</v>
      </c>
      <c r="AH164" s="141">
        <v>68592</v>
      </c>
      <c r="AI164" s="141">
        <v>70735</v>
      </c>
      <c r="AJ164" s="141">
        <v>73751</v>
      </c>
      <c r="AK164" s="141">
        <v>73833</v>
      </c>
      <c r="AL164" s="141">
        <v>79410</v>
      </c>
      <c r="AM164" s="141">
        <v>78518</v>
      </c>
      <c r="AN164" s="141">
        <v>85301</v>
      </c>
      <c r="AO164" s="141">
        <v>82894</v>
      </c>
      <c r="AP164" s="141">
        <v>87561</v>
      </c>
      <c r="AQ164" s="141">
        <v>94370</v>
      </c>
      <c r="AR164" s="141">
        <v>95794</v>
      </c>
      <c r="AS164" s="141">
        <v>91792</v>
      </c>
      <c r="AT164" s="141">
        <v>97939</v>
      </c>
      <c r="AU164" s="141">
        <v>99928</v>
      </c>
      <c r="AV164" s="226">
        <v>100407</v>
      </c>
      <c r="AW164" s="41">
        <v>102924.54422975238</v>
      </c>
      <c r="AX164" s="41">
        <v>105254.50500053352</v>
      </c>
      <c r="AY164" s="41">
        <v>104800.38821735643</v>
      </c>
      <c r="AZ164" s="41">
        <v>104002.61428319955</v>
      </c>
      <c r="BA164" s="41">
        <v>102725.03296266355</v>
      </c>
      <c r="BB164" s="41">
        <v>102383.8680786589</v>
      </c>
      <c r="BC164" s="41">
        <v>102895.43706419789</v>
      </c>
      <c r="BD164" s="41">
        <v>103415.10646678453</v>
      </c>
      <c r="BE164" s="41">
        <v>103942.77333052168</v>
      </c>
      <c r="BF164" s="41">
        <v>104478.33615814091</v>
      </c>
      <c r="BG164" s="41">
        <v>105021.69470982398</v>
      </c>
      <c r="BH164" s="41">
        <v>105572.74980815675</v>
      </c>
      <c r="BI164" s="41">
        <v>106131.40314871295</v>
      </c>
      <c r="BJ164" s="41">
        <v>107477.68411928535</v>
      </c>
      <c r="BK164" s="41">
        <v>109637.98557008298</v>
      </c>
      <c r="BL164" s="41">
        <v>111841.70908004165</v>
      </c>
      <c r="BM164" s="41">
        <v>114089.72743255048</v>
      </c>
      <c r="BN164" s="41">
        <v>115230.624706876</v>
      </c>
      <c r="BO164" s="41">
        <v>116382.93095394477</v>
      </c>
      <c r="BP164" s="41"/>
      <c r="BQ164" s="225">
        <v>4345.8013376269491</v>
      </c>
      <c r="BR164" s="225">
        <v>4545.454545454545</v>
      </c>
      <c r="BS164" s="225">
        <v>4556.1060193212779</v>
      </c>
      <c r="BT164" s="225">
        <v>5702.749566509784</v>
      </c>
      <c r="BU164" s="225">
        <v>6646.0242754520677</v>
      </c>
      <c r="BV164" s="225">
        <v>7543.2251672033681</v>
      </c>
      <c r="BW164" s="225">
        <v>8232.8461729006685</v>
      </c>
      <c r="BX164" s="40">
        <v>8000</v>
      </c>
      <c r="BY164" s="40">
        <v>8487</v>
      </c>
      <c r="BZ164" s="40">
        <v>9394</v>
      </c>
      <c r="CA164" s="41">
        <v>9796</v>
      </c>
      <c r="CB164" s="41">
        <v>10551</v>
      </c>
      <c r="CC164" s="41">
        <v>31519</v>
      </c>
      <c r="CD164" s="41">
        <v>34859</v>
      </c>
      <c r="CE164" s="41">
        <v>37845</v>
      </c>
      <c r="CF164" s="41">
        <v>42350</v>
      </c>
      <c r="CG164" s="41">
        <v>45307</v>
      </c>
      <c r="CH164" s="41">
        <v>44689</v>
      </c>
      <c r="CI164" s="41">
        <v>41554</v>
      </c>
      <c r="CJ164" s="41">
        <v>42562</v>
      </c>
      <c r="CK164" s="41">
        <v>44754</v>
      </c>
      <c r="CL164" s="41">
        <v>52785</v>
      </c>
      <c r="CM164" s="41">
        <v>55627</v>
      </c>
      <c r="CN164" s="41">
        <v>61743</v>
      </c>
      <c r="CO164" s="41">
        <v>69927</v>
      </c>
      <c r="CP164" s="41">
        <v>70735</v>
      </c>
      <c r="CQ164" s="41">
        <v>73833</v>
      </c>
      <c r="CR164" s="41">
        <v>78518</v>
      </c>
      <c r="CS164" s="41">
        <v>82894</v>
      </c>
      <c r="CT164" s="41">
        <v>94370</v>
      </c>
      <c r="CU164" s="41">
        <v>91792</v>
      </c>
      <c r="CV164" s="211">
        <v>99928</v>
      </c>
      <c r="CW164" s="41">
        <v>102924.54422975238</v>
      </c>
      <c r="CX164" s="41">
        <v>104800.38821735643</v>
      </c>
      <c r="CY164" s="41">
        <v>102725.03296266355</v>
      </c>
      <c r="CZ164" s="41">
        <v>102895.43706419789</v>
      </c>
      <c r="DA164" s="41">
        <v>103942.77333052168</v>
      </c>
      <c r="DB164" s="41">
        <v>105021.69470982398</v>
      </c>
      <c r="DC164" s="41">
        <v>106131.40314871295</v>
      </c>
      <c r="DD164" s="41">
        <v>109637.98557008298</v>
      </c>
      <c r="DE164" s="41">
        <v>114089.72743255048</v>
      </c>
      <c r="DF164" s="41">
        <v>116382.93095394477</v>
      </c>
    </row>
    <row r="165" spans="1:110" ht="12" outlineLevel="1">
      <c r="A165" s="1" t="s">
        <v>603</v>
      </c>
      <c r="B165" s="15" t="s">
        <v>409</v>
      </c>
      <c r="C165" s="41">
        <v>8502</v>
      </c>
      <c r="D165" s="41">
        <v>8658</v>
      </c>
      <c r="E165" s="41">
        <v>8839</v>
      </c>
      <c r="F165" s="41">
        <v>10330</v>
      </c>
      <c r="G165" s="41">
        <v>9887</v>
      </c>
      <c r="H165" s="41">
        <v>23382</v>
      </c>
      <c r="I165" s="41">
        <v>25670</v>
      </c>
      <c r="J165" s="41">
        <v>26890</v>
      </c>
      <c r="K165" s="41">
        <v>28505</v>
      </c>
      <c r="L165" s="41">
        <v>28042</v>
      </c>
      <c r="M165" s="41">
        <v>30003</v>
      </c>
      <c r="N165" s="41">
        <v>31107</v>
      </c>
      <c r="O165" s="41">
        <v>32493</v>
      </c>
      <c r="P165" s="41">
        <v>34222</v>
      </c>
      <c r="Q165" s="41">
        <v>36278</v>
      </c>
      <c r="R165" s="41">
        <v>35801</v>
      </c>
      <c r="S165" s="41">
        <v>35013</v>
      </c>
      <c r="T165" s="41">
        <v>32399</v>
      </c>
      <c r="U165" s="41">
        <v>31796</v>
      </c>
      <c r="V165" s="41">
        <v>30189</v>
      </c>
      <c r="W165" s="41">
        <v>31058</v>
      </c>
      <c r="X165" s="41">
        <v>31212</v>
      </c>
      <c r="Y165" s="41">
        <v>31864</v>
      </c>
      <c r="Z165" s="41">
        <v>32171</v>
      </c>
      <c r="AA165" s="41">
        <v>35785</v>
      </c>
      <c r="AB165" s="41">
        <v>38143</v>
      </c>
      <c r="AC165" s="41">
        <v>37539</v>
      </c>
      <c r="AD165" s="41">
        <v>42641</v>
      </c>
      <c r="AE165" s="41">
        <v>41102</v>
      </c>
      <c r="AF165" s="41">
        <v>41127</v>
      </c>
      <c r="AG165" s="41">
        <v>43968</v>
      </c>
      <c r="AH165" s="41">
        <v>42718</v>
      </c>
      <c r="AI165" s="41">
        <v>43106</v>
      </c>
      <c r="AJ165" s="41">
        <v>43708</v>
      </c>
      <c r="AK165" s="41">
        <v>42926</v>
      </c>
      <c r="AL165" s="41">
        <v>45724</v>
      </c>
      <c r="AM165" s="41">
        <v>43893</v>
      </c>
      <c r="AN165" s="41">
        <v>45963</v>
      </c>
      <c r="AO165" s="41">
        <v>39381</v>
      </c>
      <c r="AP165" s="41">
        <v>37989</v>
      </c>
      <c r="AQ165" s="41">
        <v>39462</v>
      </c>
      <c r="AR165" s="41">
        <v>39336</v>
      </c>
      <c r="AS165" s="41">
        <v>37185</v>
      </c>
      <c r="AT165" s="41">
        <v>39260</v>
      </c>
      <c r="AU165" s="41">
        <v>38463</v>
      </c>
      <c r="AV165" s="211">
        <v>37337</v>
      </c>
      <c r="AW165" s="41">
        <v>37310.056964388736</v>
      </c>
      <c r="AX165" s="41">
        <v>37215.853711108008</v>
      </c>
      <c r="AY165" s="41">
        <v>36689.311342975059</v>
      </c>
      <c r="AZ165" s="41">
        <v>36410.020619443705</v>
      </c>
      <c r="BA165" s="41">
        <v>35962.755302659774</v>
      </c>
      <c r="BB165" s="41">
        <v>35843.317723644548</v>
      </c>
      <c r="BC165" s="41">
        <v>36022.411657389544</v>
      </c>
      <c r="BD165" s="41">
        <v>36204.341446307648</v>
      </c>
      <c r="BE165" s="41">
        <v>36389.071046820864</v>
      </c>
      <c r="BF165" s="41">
        <v>36576.564925998988</v>
      </c>
      <c r="BG165" s="41">
        <v>36766.787991129459</v>
      </c>
      <c r="BH165" s="41">
        <v>36959.705521434138</v>
      </c>
      <c r="BI165" s="41">
        <v>37155.283101757122</v>
      </c>
      <c r="BJ165" s="41">
        <v>37626.599310834608</v>
      </c>
      <c r="BK165" s="41">
        <v>38382.893956982385</v>
      </c>
      <c r="BL165" s="41">
        <v>39154.390125517733</v>
      </c>
      <c r="BM165" s="41">
        <v>39941.39336704064</v>
      </c>
      <c r="BN165" s="41">
        <v>40340.807300711051</v>
      </c>
      <c r="BO165" s="41">
        <v>40744.215373718158</v>
      </c>
      <c r="BP165" s="41"/>
      <c r="BQ165" s="369">
        <v>4037.7926678226386</v>
      </c>
      <c r="BR165" s="369">
        <v>4223.2954545454522</v>
      </c>
      <c r="BS165" s="369">
        <v>4233.1920052018813</v>
      </c>
      <c r="BT165" s="369">
        <v>5298.5671909834009</v>
      </c>
      <c r="BU165" s="369">
        <v>6174.9873049294019</v>
      </c>
      <c r="BV165" s="369">
        <v>7008.5990834778295</v>
      </c>
      <c r="BW165" s="369">
        <v>7649.3432003963335</v>
      </c>
      <c r="BX165" s="41">
        <v>7433</v>
      </c>
      <c r="BY165" s="41">
        <v>7690</v>
      </c>
      <c r="BZ165" s="41">
        <v>8502</v>
      </c>
      <c r="CA165" s="41">
        <v>8839</v>
      </c>
      <c r="CB165" s="41">
        <v>9887</v>
      </c>
      <c r="CC165" s="41">
        <v>25670</v>
      </c>
      <c r="CD165" s="41">
        <v>28505</v>
      </c>
      <c r="CE165" s="41">
        <v>30003</v>
      </c>
      <c r="CF165" s="41">
        <v>32493</v>
      </c>
      <c r="CG165" s="41">
        <v>36278</v>
      </c>
      <c r="CH165" s="41">
        <v>35013</v>
      </c>
      <c r="CI165" s="41">
        <v>31796</v>
      </c>
      <c r="CJ165" s="41">
        <v>31058</v>
      </c>
      <c r="CK165" s="41">
        <v>31864</v>
      </c>
      <c r="CL165" s="41">
        <v>35785</v>
      </c>
      <c r="CM165" s="41">
        <v>37539</v>
      </c>
      <c r="CN165" s="41">
        <v>41102</v>
      </c>
      <c r="CO165" s="41">
        <v>43968</v>
      </c>
      <c r="CP165" s="41">
        <v>43106</v>
      </c>
      <c r="CQ165" s="41">
        <v>42926</v>
      </c>
      <c r="CR165" s="41">
        <v>43893</v>
      </c>
      <c r="CS165" s="41">
        <v>39381</v>
      </c>
      <c r="CT165" s="41">
        <v>39462</v>
      </c>
      <c r="CU165" s="41">
        <v>37185</v>
      </c>
      <c r="CV165" s="211">
        <v>38463</v>
      </c>
      <c r="CW165" s="41">
        <v>37310.056964388736</v>
      </c>
      <c r="CX165" s="41">
        <v>36689.311342975059</v>
      </c>
      <c r="CY165" s="41">
        <v>35962.755302659774</v>
      </c>
      <c r="CZ165" s="41">
        <v>36022.411657389544</v>
      </c>
      <c r="DA165" s="41">
        <v>36389.071046820864</v>
      </c>
      <c r="DB165" s="41">
        <v>36766.787991129459</v>
      </c>
      <c r="DC165" s="41">
        <v>37155.283101757122</v>
      </c>
      <c r="DD165" s="41">
        <v>38382.893956982385</v>
      </c>
      <c r="DE165" s="41">
        <v>39941.39336704064</v>
      </c>
      <c r="DF165" s="41">
        <v>40744.215373718158</v>
      </c>
    </row>
    <row r="166" spans="1:110" ht="12" outlineLevel="1">
      <c r="A166" s="1" t="s">
        <v>604</v>
      </c>
      <c r="B166" s="15" t="s">
        <v>167</v>
      </c>
      <c r="C166" s="40">
        <v>409</v>
      </c>
      <c r="D166" s="40">
        <v>425</v>
      </c>
      <c r="E166" s="40">
        <v>462</v>
      </c>
      <c r="F166" s="40">
        <v>515</v>
      </c>
      <c r="G166" s="40">
        <v>491</v>
      </c>
      <c r="H166" s="40">
        <v>983</v>
      </c>
      <c r="I166" s="40">
        <v>1032</v>
      </c>
      <c r="J166" s="40">
        <v>1043</v>
      </c>
      <c r="K166" s="40">
        <v>1026</v>
      </c>
      <c r="L166" s="40">
        <v>1033</v>
      </c>
      <c r="M166" s="40">
        <v>1081</v>
      </c>
      <c r="N166" s="40">
        <v>1152</v>
      </c>
      <c r="O166" s="40">
        <v>1149</v>
      </c>
      <c r="P166" s="40">
        <v>1222</v>
      </c>
      <c r="Q166" s="40">
        <v>1201</v>
      </c>
      <c r="R166" s="40">
        <v>1184</v>
      </c>
      <c r="S166" s="40">
        <v>1151</v>
      </c>
      <c r="T166" s="40">
        <v>1098</v>
      </c>
      <c r="U166" s="40">
        <v>1056</v>
      </c>
      <c r="V166" s="40">
        <v>1020</v>
      </c>
      <c r="W166" s="40">
        <v>1074</v>
      </c>
      <c r="X166" s="40">
        <v>1110</v>
      </c>
      <c r="Y166" s="40">
        <v>1113</v>
      </c>
      <c r="Z166" s="141">
        <v>1135</v>
      </c>
      <c r="AA166" s="141">
        <v>1297</v>
      </c>
      <c r="AB166" s="141">
        <v>1430</v>
      </c>
      <c r="AC166" s="141">
        <v>1408</v>
      </c>
      <c r="AD166" s="141">
        <v>1609</v>
      </c>
      <c r="AE166" s="141">
        <v>1535</v>
      </c>
      <c r="AF166" s="141">
        <v>1517</v>
      </c>
      <c r="AG166" s="141">
        <v>1586</v>
      </c>
      <c r="AH166" s="141">
        <v>1503</v>
      </c>
      <c r="AI166" s="141">
        <v>1508</v>
      </c>
      <c r="AJ166" s="141">
        <v>1558</v>
      </c>
      <c r="AK166" s="141">
        <v>1506</v>
      </c>
      <c r="AL166" s="141">
        <v>1552</v>
      </c>
      <c r="AM166" s="141">
        <v>1453</v>
      </c>
      <c r="AN166" s="141">
        <v>1389</v>
      </c>
      <c r="AO166" s="141">
        <v>1204</v>
      </c>
      <c r="AP166" s="141">
        <v>1181</v>
      </c>
      <c r="AQ166" s="141">
        <v>1077</v>
      </c>
      <c r="AR166" s="141">
        <v>1087</v>
      </c>
      <c r="AS166" s="141">
        <v>1091</v>
      </c>
      <c r="AT166" s="141">
        <v>1184</v>
      </c>
      <c r="AU166" s="141">
        <v>1174</v>
      </c>
      <c r="AV166" s="226">
        <v>1163</v>
      </c>
      <c r="AW166" s="41">
        <v>1162.160758753625</v>
      </c>
      <c r="AX166" s="41">
        <v>1159.2264473851301</v>
      </c>
      <c r="AY166" s="41">
        <v>1142.8253231882579</v>
      </c>
      <c r="AZ166" s="41">
        <v>1134.1257728369453</v>
      </c>
      <c r="BA166" s="41">
        <v>1120.1940278274451</v>
      </c>
      <c r="BB166" s="41">
        <v>1116.4736993491338</v>
      </c>
      <c r="BC166" s="41">
        <v>1122.0522473027838</v>
      </c>
      <c r="BD166" s="41">
        <v>1127.7191285335134</v>
      </c>
      <c r="BE166" s="41">
        <v>1133.4732203297713</v>
      </c>
      <c r="BF166" s="41">
        <v>1139.3134158860335</v>
      </c>
      <c r="BG166" s="41">
        <v>1145.2386221089955</v>
      </c>
      <c r="BH166" s="41">
        <v>1151.247757490637</v>
      </c>
      <c r="BI166" s="41">
        <v>1157.3397500426797</v>
      </c>
      <c r="BJ166" s="41">
        <v>1172.0206497174559</v>
      </c>
      <c r="BK166" s="41">
        <v>1195.5782647767767</v>
      </c>
      <c r="BL166" s="41">
        <v>1219.6093878987899</v>
      </c>
      <c r="BM166" s="41">
        <v>1244.1235365955556</v>
      </c>
      <c r="BN166" s="41">
        <v>1256.5647719615113</v>
      </c>
      <c r="BO166" s="41">
        <v>1269.1304196811263</v>
      </c>
      <c r="BP166" s="41"/>
      <c r="BQ166" s="225">
        <v>135.2630666336388</v>
      </c>
      <c r="BR166" s="225">
        <v>141.47727272727269</v>
      </c>
      <c r="BS166" s="225">
        <v>141.80879985137474</v>
      </c>
      <c r="BT166" s="225">
        <v>177.49808025761698</v>
      </c>
      <c r="BU166" s="225">
        <v>206.85750557344556</v>
      </c>
      <c r="BV166" s="225">
        <v>234.78288332920482</v>
      </c>
      <c r="BW166" s="225">
        <v>256.2473371315333</v>
      </c>
      <c r="BX166" s="40">
        <v>249</v>
      </c>
      <c r="BY166" s="40">
        <v>311</v>
      </c>
      <c r="BZ166" s="40">
        <v>409</v>
      </c>
      <c r="CA166" s="41">
        <v>462</v>
      </c>
      <c r="CB166" s="41">
        <v>491</v>
      </c>
      <c r="CC166" s="41">
        <v>1032</v>
      </c>
      <c r="CD166" s="41">
        <v>1026</v>
      </c>
      <c r="CE166" s="41">
        <v>1081</v>
      </c>
      <c r="CF166" s="41">
        <v>1149</v>
      </c>
      <c r="CG166" s="41">
        <v>1201</v>
      </c>
      <c r="CH166" s="41">
        <v>1151</v>
      </c>
      <c r="CI166" s="41">
        <v>1056</v>
      </c>
      <c r="CJ166" s="41">
        <v>1074</v>
      </c>
      <c r="CK166" s="41">
        <v>1113</v>
      </c>
      <c r="CL166" s="41">
        <v>1297</v>
      </c>
      <c r="CM166" s="41">
        <v>1408</v>
      </c>
      <c r="CN166" s="41">
        <v>1535</v>
      </c>
      <c r="CO166" s="41">
        <v>1586</v>
      </c>
      <c r="CP166" s="41">
        <v>1508</v>
      </c>
      <c r="CQ166" s="41">
        <v>1506</v>
      </c>
      <c r="CR166" s="41">
        <v>1453</v>
      </c>
      <c r="CS166" s="41">
        <v>1204</v>
      </c>
      <c r="CT166" s="41">
        <v>1077</v>
      </c>
      <c r="CU166" s="41">
        <v>1091</v>
      </c>
      <c r="CV166" s="211">
        <v>1174</v>
      </c>
      <c r="CW166" s="41">
        <v>1162.160758753625</v>
      </c>
      <c r="CX166" s="41">
        <v>1142.8253231882579</v>
      </c>
      <c r="CY166" s="41">
        <v>1120.1940278274451</v>
      </c>
      <c r="CZ166" s="41">
        <v>1122.0522473027838</v>
      </c>
      <c r="DA166" s="41">
        <v>1133.4732203297713</v>
      </c>
      <c r="DB166" s="41">
        <v>1145.2386221089955</v>
      </c>
      <c r="DC166" s="41">
        <v>1157.3397500426797</v>
      </c>
      <c r="DD166" s="41">
        <v>1195.5782647767767</v>
      </c>
      <c r="DE166" s="41">
        <v>1244.1235365955556</v>
      </c>
      <c r="DF166" s="41">
        <v>1269.1304196811263</v>
      </c>
    </row>
    <row r="167" spans="1:110" s="17" customFormat="1" ht="12" outlineLevel="1">
      <c r="A167" s="1" t="s">
        <v>605</v>
      </c>
      <c r="B167" s="17" t="s">
        <v>168</v>
      </c>
      <c r="C167" s="61">
        <v>18305</v>
      </c>
      <c r="D167" s="61">
        <v>18467</v>
      </c>
      <c r="E167" s="61">
        <v>19097</v>
      </c>
      <c r="F167" s="61">
        <v>21463</v>
      </c>
      <c r="G167" s="61">
        <v>20929</v>
      </c>
      <c r="H167" s="61">
        <v>52608</v>
      </c>
      <c r="I167" s="61">
        <v>58221</v>
      </c>
      <c r="J167" s="61">
        <v>61056</v>
      </c>
      <c r="K167" s="61">
        <v>64390</v>
      </c>
      <c r="L167" s="61">
        <v>64036</v>
      </c>
      <c r="M167" s="61">
        <v>68929</v>
      </c>
      <c r="N167" s="61">
        <v>73100</v>
      </c>
      <c r="O167" s="61">
        <v>75992</v>
      </c>
      <c r="P167" s="61">
        <v>80845</v>
      </c>
      <c r="Q167" s="61">
        <v>82786</v>
      </c>
      <c r="R167" s="61">
        <v>82558</v>
      </c>
      <c r="S167" s="61">
        <v>80853</v>
      </c>
      <c r="T167" s="61">
        <v>75518</v>
      </c>
      <c r="U167" s="61">
        <v>74406</v>
      </c>
      <c r="V167" s="61">
        <v>71411</v>
      </c>
      <c r="W167" s="61">
        <v>74694</v>
      </c>
      <c r="X167" s="61">
        <v>75003</v>
      </c>
      <c r="Y167" s="61">
        <v>77731</v>
      </c>
      <c r="Z167" s="194">
        <v>79386</v>
      </c>
      <c r="AA167" s="194">
        <v>89867</v>
      </c>
      <c r="AB167" s="194">
        <v>96827</v>
      </c>
      <c r="AC167" s="194">
        <v>94574</v>
      </c>
      <c r="AD167" s="194">
        <v>107561</v>
      </c>
      <c r="AE167" s="194">
        <v>104380</v>
      </c>
      <c r="AF167" s="194">
        <v>106293</v>
      </c>
      <c r="AG167" s="194">
        <v>115481</v>
      </c>
      <c r="AH167" s="194">
        <v>112813</v>
      </c>
      <c r="AI167" s="194">
        <v>115349</v>
      </c>
      <c r="AJ167" s="194">
        <v>119017</v>
      </c>
      <c r="AK167" s="194">
        <v>118265</v>
      </c>
      <c r="AL167" s="194">
        <v>126686</v>
      </c>
      <c r="AM167" s="194">
        <v>123864</v>
      </c>
      <c r="AN167" s="194">
        <v>132653</v>
      </c>
      <c r="AO167" s="194">
        <v>123479</v>
      </c>
      <c r="AP167" s="194">
        <v>126731</v>
      </c>
      <c r="AQ167" s="194">
        <v>134909</v>
      </c>
      <c r="AR167" s="194">
        <v>136217</v>
      </c>
      <c r="AS167" s="194">
        <v>130068</v>
      </c>
      <c r="AT167" s="194">
        <v>138383</v>
      </c>
      <c r="AU167" s="194">
        <v>139565</v>
      </c>
      <c r="AV167" s="227">
        <v>138907</v>
      </c>
      <c r="AW167" s="62">
        <v>141396.76195289474</v>
      </c>
      <c r="AX167" s="62">
        <v>143629.58515902664</v>
      </c>
      <c r="AY167" s="62">
        <v>142632.52488351977</v>
      </c>
      <c r="AZ167" s="62">
        <v>141546.76067548021</v>
      </c>
      <c r="BA167" s="62">
        <v>139807.98229315077</v>
      </c>
      <c r="BB167" s="62">
        <v>139343.65950165255</v>
      </c>
      <c r="BC167" s="62">
        <v>140039.90096889023</v>
      </c>
      <c r="BD167" s="62">
        <v>140747.16704162568</v>
      </c>
      <c r="BE167" s="62">
        <v>141465.31759767231</v>
      </c>
      <c r="BF167" s="62">
        <v>142194.2145000259</v>
      </c>
      <c r="BG167" s="62">
        <v>142933.72132306243</v>
      </c>
      <c r="BH167" s="62">
        <v>143683.70308708152</v>
      </c>
      <c r="BI167" s="62">
        <v>144444.02600051276</v>
      </c>
      <c r="BJ167" s="62">
        <v>146276.3040798374</v>
      </c>
      <c r="BK167" s="62">
        <v>149216.45779184214</v>
      </c>
      <c r="BL167" s="62">
        <v>152215.70859345817</v>
      </c>
      <c r="BM167" s="62">
        <v>155275.24433618668</v>
      </c>
      <c r="BN167" s="62">
        <v>156827.99677954856</v>
      </c>
      <c r="BO167" s="62">
        <v>158396.27674734406</v>
      </c>
      <c r="BP167" s="62"/>
      <c r="BQ167" s="384">
        <v>8518.8570720832267</v>
      </c>
      <c r="BR167" s="384">
        <v>8910.2272727272702</v>
      </c>
      <c r="BS167" s="384">
        <v>8931.106824374534</v>
      </c>
      <c r="BT167" s="384">
        <v>11178.814837750802</v>
      </c>
      <c r="BU167" s="384">
        <v>13027.869085954915</v>
      </c>
      <c r="BV167" s="384">
        <v>14786.607134010403</v>
      </c>
      <c r="BW167" s="384">
        <v>16138.436710428536</v>
      </c>
      <c r="BX167" s="61">
        <v>15682</v>
      </c>
      <c r="BY167" s="61">
        <v>16488</v>
      </c>
      <c r="BZ167" s="61">
        <v>18305</v>
      </c>
      <c r="CA167" s="62">
        <v>19097</v>
      </c>
      <c r="CB167" s="62">
        <v>20929</v>
      </c>
      <c r="CC167" s="62">
        <v>58221</v>
      </c>
      <c r="CD167" s="62">
        <v>64390</v>
      </c>
      <c r="CE167" s="62">
        <v>68929</v>
      </c>
      <c r="CF167" s="62">
        <v>75992</v>
      </c>
      <c r="CG167" s="62">
        <v>82786</v>
      </c>
      <c r="CH167" s="62">
        <v>80853</v>
      </c>
      <c r="CI167" s="62">
        <v>74406</v>
      </c>
      <c r="CJ167" s="62">
        <v>74694</v>
      </c>
      <c r="CK167" s="62">
        <v>77731</v>
      </c>
      <c r="CL167" s="62">
        <v>89867</v>
      </c>
      <c r="CM167" s="62">
        <v>94574</v>
      </c>
      <c r="CN167" s="62">
        <v>104380</v>
      </c>
      <c r="CO167" s="62">
        <v>115481</v>
      </c>
      <c r="CP167" s="62">
        <v>115349</v>
      </c>
      <c r="CQ167" s="62">
        <v>118265</v>
      </c>
      <c r="CR167" s="62">
        <v>123864</v>
      </c>
      <c r="CS167" s="62">
        <v>123479</v>
      </c>
      <c r="CT167" s="62">
        <v>134909</v>
      </c>
      <c r="CU167" s="62">
        <v>130068</v>
      </c>
      <c r="CV167" s="220">
        <v>139565</v>
      </c>
      <c r="CW167" s="62">
        <v>141396.76195289474</v>
      </c>
      <c r="CX167" s="62">
        <v>142632.52488351977</v>
      </c>
      <c r="CY167" s="62">
        <v>139807.98229315077</v>
      </c>
      <c r="CZ167" s="62">
        <v>140039.90096889023</v>
      </c>
      <c r="DA167" s="62">
        <v>141465.31759767231</v>
      </c>
      <c r="DB167" s="62">
        <v>142933.72132306243</v>
      </c>
      <c r="DC167" s="62">
        <v>144444.02600051276</v>
      </c>
      <c r="DD167" s="62">
        <v>149216.45779184214</v>
      </c>
      <c r="DE167" s="62">
        <v>155275.24433618668</v>
      </c>
      <c r="DF167" s="62">
        <v>158396.27674734406</v>
      </c>
    </row>
    <row r="168" spans="1:110" ht="12" outlineLevel="1">
      <c r="C168" s="41"/>
      <c r="D168" s="41"/>
      <c r="E168" s="41"/>
      <c r="F168" s="41"/>
      <c r="G168" s="41"/>
      <c r="H168" s="41"/>
      <c r="I168" s="41"/>
      <c r="J168" s="41"/>
      <c r="K168" s="41"/>
      <c r="L168" s="41"/>
      <c r="M168" s="41"/>
      <c r="N168" s="41"/>
      <c r="O168" s="41"/>
      <c r="P168" s="41"/>
      <c r="Q168" s="41"/>
      <c r="R168" s="41"/>
      <c r="S168" s="41"/>
      <c r="T168" s="41"/>
      <c r="U168" s="41"/>
      <c r="V168" s="41"/>
      <c r="W168" s="41"/>
      <c r="X168" s="41"/>
      <c r="Y168" s="41"/>
      <c r="Z168" s="41"/>
      <c r="AA168" s="41"/>
      <c r="AB168" s="41"/>
      <c r="AC168" s="41"/>
      <c r="AD168" s="41"/>
      <c r="AE168" s="41"/>
      <c r="AF168" s="41"/>
      <c r="AG168" s="41"/>
      <c r="AH168" s="41"/>
      <c r="AI168" s="41"/>
      <c r="AJ168" s="41"/>
      <c r="AK168" s="41"/>
      <c r="AL168" s="41"/>
      <c r="AM168" s="41"/>
      <c r="AN168" s="41"/>
      <c r="AO168" s="41"/>
      <c r="AP168" s="41"/>
      <c r="AQ168" s="41"/>
      <c r="AR168" s="41"/>
      <c r="AS168" s="41"/>
      <c r="AT168" s="41"/>
      <c r="AU168" s="41"/>
      <c r="AV168" s="211"/>
      <c r="AW168" s="41"/>
      <c r="AX168" s="41"/>
      <c r="AY168" s="41"/>
      <c r="AZ168" s="41"/>
      <c r="BA168" s="41"/>
      <c r="BB168" s="41"/>
      <c r="BC168" s="41"/>
      <c r="BD168" s="41"/>
      <c r="BE168" s="41"/>
      <c r="BF168" s="41"/>
      <c r="BG168" s="41"/>
      <c r="BH168" s="41"/>
      <c r="BI168" s="41"/>
      <c r="BJ168" s="41"/>
      <c r="BK168" s="41"/>
      <c r="BL168" s="41"/>
      <c r="BM168" s="41"/>
      <c r="BN168" s="41"/>
      <c r="BO168" s="41"/>
      <c r="BP168" s="41"/>
      <c r="BQ168" s="41"/>
      <c r="BR168" s="41"/>
      <c r="BS168" s="41"/>
      <c r="BT168" s="41"/>
      <c r="BU168" s="41"/>
      <c r="BV168" s="41"/>
      <c r="BW168" s="41"/>
      <c r="BX168" s="41"/>
      <c r="BY168" s="41"/>
      <c r="BZ168" s="41"/>
      <c r="CA168" s="41"/>
      <c r="CB168" s="41"/>
      <c r="CC168" s="41"/>
      <c r="CD168" s="41"/>
      <c r="CE168" s="41"/>
      <c r="CF168" s="41"/>
      <c r="CG168" s="41"/>
      <c r="CH168" s="41"/>
      <c r="CI168" s="41"/>
      <c r="CJ168" s="41"/>
      <c r="CK168" s="41"/>
      <c r="CL168" s="41"/>
      <c r="CM168" s="41"/>
      <c r="CN168" s="41"/>
      <c r="CO168" s="41"/>
      <c r="CP168" s="41"/>
      <c r="CQ168" s="41"/>
      <c r="CR168" s="41"/>
      <c r="CS168" s="41"/>
      <c r="CT168" s="41"/>
      <c r="CU168" s="41"/>
      <c r="CV168" s="211"/>
      <c r="CW168" s="41"/>
      <c r="CX168" s="41"/>
      <c r="CY168" s="41"/>
      <c r="CZ168" s="15"/>
      <c r="DA168" s="15"/>
      <c r="DB168" s="15"/>
      <c r="DC168" s="15"/>
      <c r="DD168" s="15"/>
      <c r="DE168" s="15"/>
      <c r="DF168" s="15"/>
    </row>
    <row r="169" spans="1:110" ht="12" outlineLevel="1">
      <c r="B169" s="17" t="s">
        <v>342</v>
      </c>
      <c r="C169" s="41"/>
      <c r="D169" s="41"/>
      <c r="E169" s="41"/>
      <c r="F169" s="41"/>
      <c r="G169" s="41"/>
      <c r="H169" s="41"/>
      <c r="I169" s="41"/>
      <c r="J169" s="41"/>
      <c r="K169" s="41"/>
      <c r="L169" s="41"/>
      <c r="M169" s="41"/>
      <c r="N169" s="41"/>
      <c r="O169" s="41"/>
      <c r="P169" s="41"/>
      <c r="Q169" s="41"/>
      <c r="R169" s="41"/>
      <c r="S169" s="41"/>
      <c r="T169" s="41"/>
      <c r="U169" s="41"/>
      <c r="V169" s="41"/>
      <c r="W169" s="41"/>
      <c r="X169" s="41"/>
      <c r="Y169" s="41"/>
      <c r="Z169" s="41"/>
      <c r="AA169" s="41"/>
      <c r="AB169" s="41"/>
      <c r="AC169" s="32"/>
      <c r="AD169" s="41"/>
      <c r="AE169" s="41"/>
      <c r="AF169" s="41"/>
      <c r="AG169" s="41"/>
      <c r="AH169" s="41"/>
      <c r="AI169" s="41"/>
      <c r="AJ169" s="41"/>
      <c r="AK169" s="41"/>
      <c r="AL169" s="41"/>
      <c r="AM169" s="41"/>
      <c r="AN169" s="41"/>
      <c r="AO169" s="41"/>
      <c r="AP169" s="41"/>
      <c r="AQ169" s="41"/>
      <c r="AR169" s="41"/>
      <c r="AS169" s="41"/>
      <c r="AT169" s="41"/>
      <c r="AU169" s="41"/>
      <c r="AV169" s="211"/>
      <c r="AW169" s="41"/>
      <c r="AX169" s="41"/>
      <c r="AY169" s="41"/>
      <c r="AZ169" s="41"/>
      <c r="BA169" s="41"/>
      <c r="BB169" s="41"/>
      <c r="BC169" s="41"/>
      <c r="BD169" s="41"/>
      <c r="BE169" s="41"/>
      <c r="BF169" s="41"/>
      <c r="BG169" s="41"/>
      <c r="BH169" s="41"/>
      <c r="BI169" s="41"/>
      <c r="BJ169" s="41"/>
      <c r="BK169" s="41"/>
      <c r="BL169" s="41"/>
      <c r="BM169" s="41"/>
      <c r="BN169" s="41"/>
      <c r="BO169" s="41"/>
      <c r="BP169" s="41"/>
      <c r="BQ169" s="41"/>
      <c r="BR169" s="41"/>
      <c r="BS169" s="41"/>
      <c r="BT169" s="41"/>
      <c r="BU169" s="41"/>
      <c r="BV169" s="41"/>
      <c r="BW169" s="41"/>
      <c r="BX169" s="41"/>
      <c r="BY169" s="41"/>
      <c r="BZ169" s="41"/>
      <c r="CA169" s="41"/>
      <c r="CB169" s="41"/>
      <c r="CC169" s="41"/>
      <c r="CD169" s="41"/>
      <c r="CE169" s="41"/>
      <c r="CF169" s="41"/>
      <c r="CG169" s="41"/>
      <c r="CH169" s="41"/>
      <c r="CI169" s="41"/>
      <c r="CJ169" s="41"/>
      <c r="CK169" s="41"/>
      <c r="CL169" s="41"/>
      <c r="CM169" s="41"/>
      <c r="CN169" s="41"/>
      <c r="CO169" s="41"/>
      <c r="CP169" s="41"/>
      <c r="CQ169" s="41"/>
      <c r="CR169" s="41"/>
      <c r="CS169" s="41"/>
      <c r="CT169" s="41"/>
      <c r="CU169" s="41"/>
      <c r="CV169" s="211"/>
      <c r="CW169" s="41"/>
      <c r="CX169" s="41"/>
      <c r="CY169" s="41"/>
      <c r="CZ169" s="15"/>
      <c r="DA169" s="15"/>
      <c r="DB169" s="15"/>
      <c r="DC169" s="15"/>
      <c r="DD169" s="15"/>
      <c r="DE169" s="15"/>
      <c r="DF169" s="15"/>
    </row>
    <row r="170" spans="1:110" ht="12" outlineLevel="1">
      <c r="A170" s="1" t="s">
        <v>606</v>
      </c>
      <c r="B170" s="15" t="s">
        <v>164</v>
      </c>
      <c r="C170" s="40">
        <v>320</v>
      </c>
      <c r="D170" s="40">
        <v>297</v>
      </c>
      <c r="E170" s="40">
        <v>323</v>
      </c>
      <c r="F170" s="40">
        <v>338</v>
      </c>
      <c r="G170" s="40">
        <v>361</v>
      </c>
      <c r="H170" s="40">
        <v>385</v>
      </c>
      <c r="I170" s="40">
        <v>464</v>
      </c>
      <c r="J170" s="40">
        <v>519</v>
      </c>
      <c r="K170" s="40">
        <v>592</v>
      </c>
      <c r="L170" s="40">
        <v>693</v>
      </c>
      <c r="M170" s="40">
        <v>766</v>
      </c>
      <c r="N170" s="40">
        <v>847</v>
      </c>
      <c r="O170" s="40">
        <v>1040</v>
      </c>
      <c r="P170" s="40">
        <v>1242</v>
      </c>
      <c r="Q170" s="40">
        <v>1710</v>
      </c>
      <c r="R170" s="40">
        <v>2067</v>
      </c>
      <c r="S170" s="40">
        <v>1749</v>
      </c>
      <c r="T170" s="40">
        <v>1737</v>
      </c>
      <c r="U170" s="40">
        <v>2058</v>
      </c>
      <c r="V170" s="40">
        <v>2368</v>
      </c>
      <c r="W170" s="40">
        <v>2850</v>
      </c>
      <c r="X170" s="40">
        <v>3374</v>
      </c>
      <c r="Y170" s="40">
        <v>3981</v>
      </c>
      <c r="Z170" s="141">
        <v>4494</v>
      </c>
      <c r="AA170" s="141">
        <v>5737</v>
      </c>
      <c r="AB170" s="141">
        <v>6063</v>
      </c>
      <c r="AC170" s="141">
        <v>6639</v>
      </c>
      <c r="AD170" s="141">
        <v>7430</v>
      </c>
      <c r="AE170" s="141">
        <v>7846</v>
      </c>
      <c r="AF170" s="141">
        <v>7226</v>
      </c>
      <c r="AG170" s="141">
        <v>6866</v>
      </c>
      <c r="AH170" s="141">
        <v>6501</v>
      </c>
      <c r="AI170" s="141">
        <v>2469</v>
      </c>
      <c r="AJ170" s="141">
        <v>729</v>
      </c>
      <c r="AK170" s="141">
        <v>767</v>
      </c>
      <c r="AL170" s="141">
        <v>770</v>
      </c>
      <c r="AM170" s="141">
        <v>504</v>
      </c>
      <c r="AN170" s="141">
        <v>531</v>
      </c>
      <c r="AO170" s="141">
        <v>489</v>
      </c>
      <c r="AP170" s="141">
        <v>472</v>
      </c>
      <c r="AQ170" s="141">
        <v>482</v>
      </c>
      <c r="AR170" s="141">
        <v>464</v>
      </c>
      <c r="AS170" s="141">
        <v>490</v>
      </c>
      <c r="AT170" s="141">
        <v>475</v>
      </c>
      <c r="AU170" s="141">
        <v>430</v>
      </c>
      <c r="AV170" s="226">
        <v>431</v>
      </c>
      <c r="AW170" s="41">
        <v>448.79167999999999</v>
      </c>
      <c r="AX170" s="41">
        <v>452.81070997014922</v>
      </c>
      <c r="AY170" s="41">
        <v>436.20069498691265</v>
      </c>
      <c r="AZ170" s="41">
        <v>430.34654795473841</v>
      </c>
      <c r="BA170" s="41">
        <v>433.35214289283505</v>
      </c>
      <c r="BB170" s="41">
        <v>441.57437639717807</v>
      </c>
      <c r="BC170" s="41">
        <v>454.99170567691988</v>
      </c>
      <c r="BD170" s="41">
        <v>468.85679643312051</v>
      </c>
      <c r="BE170" s="41">
        <v>483.1849466418181</v>
      </c>
      <c r="BF170" s="41">
        <v>497.99199358238604</v>
      </c>
      <c r="BG170" s="41">
        <v>513.29433299885534</v>
      </c>
      <c r="BH170" s="41">
        <v>529.1089389581133</v>
      </c>
      <c r="BI170" s="41">
        <v>545.4533844301626</v>
      </c>
      <c r="BJ170" s="41">
        <v>564.79795213378964</v>
      </c>
      <c r="BK170" s="41">
        <v>587.38987021914124</v>
      </c>
      <c r="BL170" s="41">
        <v>610.88546502790689</v>
      </c>
      <c r="BM170" s="41">
        <v>635.32088362902323</v>
      </c>
      <c r="BN170" s="41">
        <v>641.67409246531349</v>
      </c>
      <c r="BO170" s="41">
        <v>648.09083338996663</v>
      </c>
      <c r="BP170" s="41"/>
      <c r="BQ170" s="225">
        <v>243.90810007431267</v>
      </c>
      <c r="BR170" s="225">
        <v>255.11363636363643</v>
      </c>
      <c r="BS170" s="225">
        <v>255.71145033440681</v>
      </c>
      <c r="BT170" s="225">
        <v>320.06681942036175</v>
      </c>
      <c r="BU170" s="225">
        <v>373.00811245974745</v>
      </c>
      <c r="BV170" s="225">
        <v>423.36351250928914</v>
      </c>
      <c r="BW170" s="225">
        <v>462.0684914540501</v>
      </c>
      <c r="BX170" s="40">
        <v>449</v>
      </c>
      <c r="BY170" s="40">
        <v>370</v>
      </c>
      <c r="BZ170" s="40">
        <v>320</v>
      </c>
      <c r="CA170" s="41">
        <v>323</v>
      </c>
      <c r="CB170" s="41">
        <v>361</v>
      </c>
      <c r="CC170" s="41">
        <v>464</v>
      </c>
      <c r="CD170" s="41">
        <v>592</v>
      </c>
      <c r="CE170" s="41">
        <v>766</v>
      </c>
      <c r="CF170" s="41">
        <v>1040</v>
      </c>
      <c r="CG170" s="41">
        <v>1710</v>
      </c>
      <c r="CH170" s="41">
        <v>1749</v>
      </c>
      <c r="CI170" s="41">
        <v>2058</v>
      </c>
      <c r="CJ170" s="41">
        <v>2850</v>
      </c>
      <c r="CK170" s="41">
        <v>3981</v>
      </c>
      <c r="CL170" s="41">
        <v>5737</v>
      </c>
      <c r="CM170" s="41">
        <v>6639</v>
      </c>
      <c r="CN170" s="41">
        <v>7846</v>
      </c>
      <c r="CO170" s="41">
        <v>6866</v>
      </c>
      <c r="CP170" s="41">
        <v>2469</v>
      </c>
      <c r="CQ170" s="41">
        <v>767</v>
      </c>
      <c r="CR170" s="41">
        <v>504</v>
      </c>
      <c r="CS170" s="41">
        <v>489</v>
      </c>
      <c r="CT170" s="41">
        <v>482</v>
      </c>
      <c r="CU170" s="41">
        <v>490</v>
      </c>
      <c r="CV170" s="211">
        <v>430</v>
      </c>
      <c r="CW170" s="41">
        <v>448.79167999999999</v>
      </c>
      <c r="CX170" s="41">
        <v>436.20069498691265</v>
      </c>
      <c r="CY170" s="41">
        <v>433.35214289283505</v>
      </c>
      <c r="CZ170" s="41">
        <v>454.99170567691988</v>
      </c>
      <c r="DA170" s="41">
        <v>483.1849466418181</v>
      </c>
      <c r="DB170" s="41">
        <v>513.29433299885534</v>
      </c>
      <c r="DC170" s="41">
        <v>545.4533844301626</v>
      </c>
      <c r="DD170" s="41">
        <v>587.38987021914124</v>
      </c>
      <c r="DE170" s="41">
        <v>635.32088362902323</v>
      </c>
      <c r="DF170" s="41">
        <v>648.09083338996663</v>
      </c>
    </row>
    <row r="171" spans="1:110" ht="12" outlineLevel="1">
      <c r="A171" s="1" t="s">
        <v>735</v>
      </c>
      <c r="B171" s="15" t="s">
        <v>409</v>
      </c>
      <c r="C171" s="41">
        <v>15540</v>
      </c>
      <c r="D171" s="41">
        <v>13715</v>
      </c>
      <c r="E171" s="41">
        <v>13283</v>
      </c>
      <c r="F171" s="41">
        <v>12222</v>
      </c>
      <c r="G171" s="41">
        <v>10043</v>
      </c>
      <c r="H171" s="41">
        <v>8736</v>
      </c>
      <c r="I171" s="41">
        <v>9521</v>
      </c>
      <c r="J171" s="41">
        <v>8062</v>
      </c>
      <c r="K171" s="41">
        <v>8099</v>
      </c>
      <c r="L171" s="41">
        <v>8858</v>
      </c>
      <c r="M171" s="41">
        <v>9238</v>
      </c>
      <c r="N171" s="41">
        <v>8502</v>
      </c>
      <c r="O171" s="41">
        <v>10767</v>
      </c>
      <c r="P171" s="41">
        <v>17735</v>
      </c>
      <c r="Q171" s="41">
        <v>19011</v>
      </c>
      <c r="R171" s="41">
        <v>20240</v>
      </c>
      <c r="S171" s="41">
        <v>17039</v>
      </c>
      <c r="T171" s="41">
        <v>17384</v>
      </c>
      <c r="U171" s="41">
        <v>24591</v>
      </c>
      <c r="V171" s="41">
        <v>27927</v>
      </c>
      <c r="W171" s="41">
        <v>35101</v>
      </c>
      <c r="X171" s="41">
        <v>36653</v>
      </c>
      <c r="Y171" s="41">
        <v>40110</v>
      </c>
      <c r="Z171" s="41">
        <v>55467</v>
      </c>
      <c r="AA171" s="41">
        <v>63297</v>
      </c>
      <c r="AB171" s="41">
        <v>69263</v>
      </c>
      <c r="AC171" s="41">
        <v>71202</v>
      </c>
      <c r="AD171" s="41">
        <v>79223</v>
      </c>
      <c r="AE171" s="41">
        <v>75544</v>
      </c>
      <c r="AF171" s="41">
        <v>60891</v>
      </c>
      <c r="AG171" s="41">
        <v>58796</v>
      </c>
      <c r="AH171" s="41">
        <v>53357</v>
      </c>
      <c r="AI171" s="41">
        <v>51501</v>
      </c>
      <c r="AJ171" s="41">
        <v>54736</v>
      </c>
      <c r="AK171" s="41">
        <v>60131</v>
      </c>
      <c r="AL171" s="41">
        <v>62334</v>
      </c>
      <c r="AM171" s="41">
        <v>62325</v>
      </c>
      <c r="AN171" s="41">
        <v>79336</v>
      </c>
      <c r="AO171" s="41">
        <v>54148</v>
      </c>
      <c r="AP171" s="41">
        <v>53506</v>
      </c>
      <c r="AQ171" s="41">
        <v>62766</v>
      </c>
      <c r="AR171" s="41">
        <v>71731</v>
      </c>
      <c r="AS171" s="41">
        <v>81455</v>
      </c>
      <c r="AT171" s="41">
        <v>78276</v>
      </c>
      <c r="AU171" s="41">
        <v>78992</v>
      </c>
      <c r="AV171" s="211">
        <v>73829</v>
      </c>
      <c r="AW171" s="41">
        <v>76876.661120000004</v>
      </c>
      <c r="AX171" s="41">
        <v>77565.10883152239</v>
      </c>
      <c r="AY171" s="41">
        <v>74719.863364707126</v>
      </c>
      <c r="AZ171" s="41">
        <v>73717.065635615727</v>
      </c>
      <c r="BA171" s="41">
        <v>74231.914982912102</v>
      </c>
      <c r="BB171" s="41">
        <v>75640.358781965784</v>
      </c>
      <c r="BC171" s="41">
        <v>77938.706817682847</v>
      </c>
      <c r="BD171" s="41">
        <v>80313.755043760655</v>
      </c>
      <c r="BE171" s="41">
        <v>82768.12395735216</v>
      </c>
      <c r="BF171" s="41">
        <v>85304.526436644956</v>
      </c>
      <c r="BG171" s="41">
        <v>87925.771023138004</v>
      </c>
      <c r="BH171" s="41">
        <v>90634.765323291256</v>
      </c>
      <c r="BI171" s="41">
        <v>93434.519533861836</v>
      </c>
      <c r="BJ171" s="41">
        <v>96748.18563360913</v>
      </c>
      <c r="BK171" s="41">
        <v>100618.1130589535</v>
      </c>
      <c r="BL171" s="41">
        <v>104642.83758131164</v>
      </c>
      <c r="BM171" s="41">
        <v>108828.55108456411</v>
      </c>
      <c r="BN171" s="41">
        <v>109916.83659540975</v>
      </c>
      <c r="BO171" s="41">
        <v>111016.00496136387</v>
      </c>
      <c r="BP171" s="41"/>
      <c r="BQ171" s="369">
        <v>8692.1459004211065</v>
      </c>
      <c r="BR171" s="369">
        <v>9091.4772727272757</v>
      </c>
      <c r="BS171" s="369">
        <v>9112.7815518949719</v>
      </c>
      <c r="BT171" s="369">
        <v>11406.211976715384</v>
      </c>
      <c r="BU171" s="369">
        <v>13292.879303938571</v>
      </c>
      <c r="BV171" s="369">
        <v>15087.393237552638</v>
      </c>
      <c r="BW171" s="369">
        <v>16466.72145157295</v>
      </c>
      <c r="BX171" s="41">
        <v>16001</v>
      </c>
      <c r="BY171" s="41">
        <v>13727</v>
      </c>
      <c r="BZ171" s="41">
        <v>15540</v>
      </c>
      <c r="CA171" s="41">
        <v>13283</v>
      </c>
      <c r="CB171" s="41">
        <v>10043</v>
      </c>
      <c r="CC171" s="41">
        <v>9521</v>
      </c>
      <c r="CD171" s="41">
        <v>8099</v>
      </c>
      <c r="CE171" s="41">
        <v>9238</v>
      </c>
      <c r="CF171" s="41">
        <v>10767</v>
      </c>
      <c r="CG171" s="41">
        <v>19011</v>
      </c>
      <c r="CH171" s="41">
        <v>17039</v>
      </c>
      <c r="CI171" s="41">
        <v>24591</v>
      </c>
      <c r="CJ171" s="41">
        <v>35101</v>
      </c>
      <c r="CK171" s="41">
        <v>40110</v>
      </c>
      <c r="CL171" s="41">
        <v>63297</v>
      </c>
      <c r="CM171" s="41">
        <v>71202</v>
      </c>
      <c r="CN171" s="41">
        <v>75544</v>
      </c>
      <c r="CO171" s="41">
        <v>58796</v>
      </c>
      <c r="CP171" s="41">
        <v>51501</v>
      </c>
      <c r="CQ171" s="41">
        <v>60131</v>
      </c>
      <c r="CR171" s="41">
        <v>62325</v>
      </c>
      <c r="CS171" s="41">
        <v>54148</v>
      </c>
      <c r="CT171" s="41">
        <v>62766</v>
      </c>
      <c r="CU171" s="41">
        <v>81455</v>
      </c>
      <c r="CV171" s="211">
        <v>78992</v>
      </c>
      <c r="CW171" s="41">
        <v>76876.661120000004</v>
      </c>
      <c r="CX171" s="41">
        <v>74719.863364707126</v>
      </c>
      <c r="CY171" s="41">
        <v>74231.914982912102</v>
      </c>
      <c r="CZ171" s="41">
        <v>77938.706817682847</v>
      </c>
      <c r="DA171" s="41">
        <v>82768.12395735216</v>
      </c>
      <c r="DB171" s="41">
        <v>87925.771023138004</v>
      </c>
      <c r="DC171" s="41">
        <v>93434.519533861836</v>
      </c>
      <c r="DD171" s="41">
        <v>100618.1130589535</v>
      </c>
      <c r="DE171" s="41">
        <v>108828.55108456411</v>
      </c>
      <c r="DF171" s="41">
        <v>111016.00496136387</v>
      </c>
    </row>
    <row r="172" spans="1:110" ht="12" outlineLevel="1">
      <c r="A172" s="1" t="s">
        <v>599</v>
      </c>
      <c r="B172" s="15" t="s">
        <v>167</v>
      </c>
      <c r="C172" s="40">
        <v>70</v>
      </c>
      <c r="D172" s="40">
        <v>79</v>
      </c>
      <c r="E172" s="40">
        <v>108</v>
      </c>
      <c r="F172" s="40">
        <v>117</v>
      </c>
      <c r="G172" s="40">
        <v>134</v>
      </c>
      <c r="H172" s="40">
        <v>117</v>
      </c>
      <c r="I172" s="40">
        <v>128</v>
      </c>
      <c r="J172" s="40">
        <v>126</v>
      </c>
      <c r="K172" s="40">
        <v>134</v>
      </c>
      <c r="L172" s="40">
        <v>184</v>
      </c>
      <c r="M172" s="40">
        <v>198</v>
      </c>
      <c r="N172" s="40">
        <v>200</v>
      </c>
      <c r="O172" s="40">
        <v>201</v>
      </c>
      <c r="P172" s="40">
        <v>212</v>
      </c>
      <c r="Q172" s="40">
        <v>279</v>
      </c>
      <c r="R172" s="40">
        <v>306</v>
      </c>
      <c r="S172" s="40">
        <v>323</v>
      </c>
      <c r="T172" s="40">
        <v>352</v>
      </c>
      <c r="U172" s="40">
        <v>1060</v>
      </c>
      <c r="V172" s="40">
        <v>1036</v>
      </c>
      <c r="W172" s="40">
        <v>1053</v>
      </c>
      <c r="X172" s="40">
        <v>964</v>
      </c>
      <c r="Y172" s="40">
        <v>996</v>
      </c>
      <c r="Z172" s="141">
        <v>994</v>
      </c>
      <c r="AA172" s="141">
        <v>1103</v>
      </c>
      <c r="AB172" s="141">
        <v>1135</v>
      </c>
      <c r="AC172" s="141">
        <v>1241</v>
      </c>
      <c r="AD172" s="141">
        <v>1370</v>
      </c>
      <c r="AE172" s="141">
        <v>1445</v>
      </c>
      <c r="AF172" s="141">
        <v>1446</v>
      </c>
      <c r="AG172" s="141">
        <v>1396</v>
      </c>
      <c r="AH172" s="141">
        <v>1351</v>
      </c>
      <c r="AI172" s="141">
        <v>869</v>
      </c>
      <c r="AJ172" s="141">
        <v>13</v>
      </c>
      <c r="AK172" s="141">
        <v>12</v>
      </c>
      <c r="AL172" s="141">
        <v>12</v>
      </c>
      <c r="AM172" s="141">
        <v>7</v>
      </c>
      <c r="AN172" s="141">
        <v>7</v>
      </c>
      <c r="AO172" s="141">
        <v>6</v>
      </c>
      <c r="AP172" s="141">
        <v>5</v>
      </c>
      <c r="AQ172" s="141">
        <v>5</v>
      </c>
      <c r="AR172" s="141">
        <v>6</v>
      </c>
      <c r="AS172" s="141">
        <v>6</v>
      </c>
      <c r="AT172" s="141">
        <v>6</v>
      </c>
      <c r="AU172" s="141">
        <v>6</v>
      </c>
      <c r="AV172" s="226">
        <v>6</v>
      </c>
      <c r="AW172" s="41">
        <v>6.2476799999999999</v>
      </c>
      <c r="AX172" s="41">
        <v>6.3036293731343278</v>
      </c>
      <c r="AY172" s="41">
        <v>6.0723994661751171</v>
      </c>
      <c r="AZ172" s="41">
        <v>5.9909032197875414</v>
      </c>
      <c r="BA172" s="41">
        <v>6.032744448624153</v>
      </c>
      <c r="BB172" s="41">
        <v>6.1472070960163991</v>
      </c>
      <c r="BC172" s="41">
        <v>6.3339912623237087</v>
      </c>
      <c r="BD172" s="41">
        <v>6.5270087670503996</v>
      </c>
      <c r="BE172" s="41">
        <v>6.7264725750601109</v>
      </c>
      <c r="BF172" s="41">
        <v>6.9326031589195258</v>
      </c>
      <c r="BG172" s="41">
        <v>7.1456287656453155</v>
      </c>
      <c r="BH172" s="41">
        <v>7.3657856931523868</v>
      </c>
      <c r="BI172" s="41">
        <v>7.5933185767540001</v>
      </c>
      <c r="BJ172" s="41">
        <v>7.8626165030225907</v>
      </c>
      <c r="BK172" s="41">
        <v>8.1771211631434948</v>
      </c>
      <c r="BL172" s="41">
        <v>8.5042060096692342</v>
      </c>
      <c r="BM172" s="41">
        <v>8.8443742500560045</v>
      </c>
      <c r="BN172" s="41">
        <v>8.9328179925565649</v>
      </c>
      <c r="BO172" s="41">
        <v>9.022146172482131</v>
      </c>
      <c r="BP172" s="41"/>
      <c r="BQ172" s="225">
        <v>89.088927421352523</v>
      </c>
      <c r="BR172" s="225">
        <v>93.181818181818215</v>
      </c>
      <c r="BS172" s="225">
        <v>93.400173396086217</v>
      </c>
      <c r="BT172" s="225">
        <v>116.90636611345062</v>
      </c>
      <c r="BU172" s="225">
        <v>136.24349764676742</v>
      </c>
      <c r="BV172" s="225">
        <v>154.63611592766907</v>
      </c>
      <c r="BW172" s="225">
        <v>168.77334654446372</v>
      </c>
      <c r="BX172" s="40">
        <v>164</v>
      </c>
      <c r="BY172" s="40">
        <v>27</v>
      </c>
      <c r="BZ172" s="40">
        <v>70</v>
      </c>
      <c r="CA172" s="41">
        <v>108</v>
      </c>
      <c r="CB172" s="41">
        <v>134</v>
      </c>
      <c r="CC172" s="41">
        <v>128</v>
      </c>
      <c r="CD172" s="41">
        <v>134</v>
      </c>
      <c r="CE172" s="41">
        <v>198</v>
      </c>
      <c r="CF172" s="41">
        <v>201</v>
      </c>
      <c r="CG172" s="41">
        <v>279</v>
      </c>
      <c r="CH172" s="41">
        <v>323</v>
      </c>
      <c r="CI172" s="41">
        <v>1060</v>
      </c>
      <c r="CJ172" s="41">
        <v>1053</v>
      </c>
      <c r="CK172" s="41">
        <v>996</v>
      </c>
      <c r="CL172" s="41">
        <v>1103</v>
      </c>
      <c r="CM172" s="41">
        <v>1241</v>
      </c>
      <c r="CN172" s="41">
        <v>1445</v>
      </c>
      <c r="CO172" s="41">
        <v>1396</v>
      </c>
      <c r="CP172" s="41">
        <v>869</v>
      </c>
      <c r="CQ172" s="41">
        <v>12</v>
      </c>
      <c r="CR172" s="41">
        <v>7</v>
      </c>
      <c r="CS172" s="41">
        <v>6</v>
      </c>
      <c r="CT172" s="41">
        <v>5</v>
      </c>
      <c r="CU172" s="41">
        <v>6</v>
      </c>
      <c r="CV172" s="211">
        <v>6</v>
      </c>
      <c r="CW172" s="41">
        <v>6.2476799999999999</v>
      </c>
      <c r="CX172" s="41">
        <v>6.0723994661751171</v>
      </c>
      <c r="CY172" s="41">
        <v>6.032744448624153</v>
      </c>
      <c r="CZ172" s="41">
        <v>6.3339912623237087</v>
      </c>
      <c r="DA172" s="41">
        <v>6.7264725750601109</v>
      </c>
      <c r="DB172" s="41">
        <v>7.1456287656453155</v>
      </c>
      <c r="DC172" s="41">
        <v>7.5933185767540001</v>
      </c>
      <c r="DD172" s="41">
        <v>8.1771211631434948</v>
      </c>
      <c r="DE172" s="41">
        <v>8.8443742500560045</v>
      </c>
      <c r="DF172" s="41">
        <v>9.022146172482131</v>
      </c>
    </row>
    <row r="173" spans="1:110" s="17" customFormat="1" ht="12" outlineLevel="1">
      <c r="A173" s="1" t="s">
        <v>600</v>
      </c>
      <c r="B173" s="17" t="s">
        <v>168</v>
      </c>
      <c r="C173" s="61">
        <v>15930</v>
      </c>
      <c r="D173" s="61">
        <v>14091</v>
      </c>
      <c r="E173" s="61">
        <v>13714</v>
      </c>
      <c r="F173" s="61">
        <v>12677</v>
      </c>
      <c r="G173" s="61">
        <v>10538</v>
      </c>
      <c r="H173" s="61">
        <v>9238</v>
      </c>
      <c r="I173" s="61">
        <v>10113</v>
      </c>
      <c r="J173" s="61">
        <v>8707</v>
      </c>
      <c r="K173" s="61">
        <v>8825</v>
      </c>
      <c r="L173" s="61">
        <v>9735</v>
      </c>
      <c r="M173" s="61">
        <v>10202</v>
      </c>
      <c r="N173" s="61">
        <v>9549</v>
      </c>
      <c r="O173" s="61">
        <v>12008</v>
      </c>
      <c r="P173" s="61">
        <v>19189</v>
      </c>
      <c r="Q173" s="61">
        <v>21000</v>
      </c>
      <c r="R173" s="61">
        <v>22613</v>
      </c>
      <c r="S173" s="61">
        <v>19111</v>
      </c>
      <c r="T173" s="61">
        <v>19473</v>
      </c>
      <c r="U173" s="61">
        <v>27709</v>
      </c>
      <c r="V173" s="61">
        <v>31331</v>
      </c>
      <c r="W173" s="61">
        <v>39004</v>
      </c>
      <c r="X173" s="61">
        <v>40991</v>
      </c>
      <c r="Y173" s="61">
        <v>45087</v>
      </c>
      <c r="Z173" s="194">
        <v>60955</v>
      </c>
      <c r="AA173" s="194">
        <v>70137</v>
      </c>
      <c r="AB173" s="194">
        <v>76461</v>
      </c>
      <c r="AC173" s="194">
        <v>79082</v>
      </c>
      <c r="AD173" s="194">
        <v>88023</v>
      </c>
      <c r="AE173" s="194">
        <v>84835</v>
      </c>
      <c r="AF173" s="194">
        <v>69563</v>
      </c>
      <c r="AG173" s="194">
        <v>67058</v>
      </c>
      <c r="AH173" s="194">
        <v>61209</v>
      </c>
      <c r="AI173" s="194">
        <v>54839</v>
      </c>
      <c r="AJ173" s="194">
        <v>55478</v>
      </c>
      <c r="AK173" s="194">
        <v>60910</v>
      </c>
      <c r="AL173" s="194">
        <v>63116</v>
      </c>
      <c r="AM173" s="194">
        <v>62836</v>
      </c>
      <c r="AN173" s="194">
        <v>79874</v>
      </c>
      <c r="AO173" s="194">
        <v>54643</v>
      </c>
      <c r="AP173" s="194">
        <v>53983</v>
      </c>
      <c r="AQ173" s="194">
        <v>63253</v>
      </c>
      <c r="AR173" s="194">
        <v>72201</v>
      </c>
      <c r="AS173" s="194">
        <v>81951</v>
      </c>
      <c r="AT173" s="194">
        <v>78757</v>
      </c>
      <c r="AU173" s="194">
        <v>79428</v>
      </c>
      <c r="AV173" s="227">
        <v>74266</v>
      </c>
      <c r="AW173" s="62">
        <v>77331.70048</v>
      </c>
      <c r="AX173" s="62">
        <v>78024.223170865662</v>
      </c>
      <c r="AY173" s="62">
        <v>75162.136459160218</v>
      </c>
      <c r="AZ173" s="62">
        <v>74153.403086790262</v>
      </c>
      <c r="BA173" s="62">
        <v>74671.299870253555</v>
      </c>
      <c r="BB173" s="62">
        <v>76088.080365458984</v>
      </c>
      <c r="BC173" s="62">
        <v>78400.032514622086</v>
      </c>
      <c r="BD173" s="62">
        <v>80789.138848960822</v>
      </c>
      <c r="BE173" s="62">
        <v>83258.035376569038</v>
      </c>
      <c r="BF173" s="62">
        <v>85809.451033386256</v>
      </c>
      <c r="BG173" s="62">
        <v>88446.2109849025</v>
      </c>
      <c r="BH173" s="62">
        <v>91171.240047942527</v>
      </c>
      <c r="BI173" s="62">
        <v>93987.566236868748</v>
      </c>
      <c r="BJ173" s="62">
        <v>97320.846202245943</v>
      </c>
      <c r="BK173" s="62">
        <v>101213.68005033578</v>
      </c>
      <c r="BL173" s="62">
        <v>105262.22725234923</v>
      </c>
      <c r="BM173" s="62">
        <v>109472.71634244319</v>
      </c>
      <c r="BN173" s="62">
        <v>110567.44350586762</v>
      </c>
      <c r="BO173" s="62">
        <v>111673.11794092633</v>
      </c>
      <c r="BP173" s="62"/>
      <c r="BQ173" s="384">
        <v>9025.1429279167733</v>
      </c>
      <c r="BR173" s="384">
        <v>9439.7727272727298</v>
      </c>
      <c r="BS173" s="384">
        <v>9461.893175625466</v>
      </c>
      <c r="BT173" s="384">
        <v>11843.185162249198</v>
      </c>
      <c r="BU173" s="384">
        <v>13802.130914045085</v>
      </c>
      <c r="BV173" s="384">
        <v>15665.392865989597</v>
      </c>
      <c r="BW173" s="384">
        <v>17097.563289571466</v>
      </c>
      <c r="BX173" s="61">
        <v>16614</v>
      </c>
      <c r="BY173" s="61">
        <v>14124</v>
      </c>
      <c r="BZ173" s="61">
        <v>15930</v>
      </c>
      <c r="CA173" s="62">
        <v>13714</v>
      </c>
      <c r="CB173" s="62">
        <v>10538</v>
      </c>
      <c r="CC173" s="62">
        <v>10113</v>
      </c>
      <c r="CD173" s="62">
        <v>8825</v>
      </c>
      <c r="CE173" s="62">
        <v>10202</v>
      </c>
      <c r="CF173" s="62">
        <v>12008</v>
      </c>
      <c r="CG173" s="62">
        <v>21000</v>
      </c>
      <c r="CH173" s="62">
        <v>19111</v>
      </c>
      <c r="CI173" s="62">
        <v>27709</v>
      </c>
      <c r="CJ173" s="62">
        <v>39004</v>
      </c>
      <c r="CK173" s="62">
        <v>45087</v>
      </c>
      <c r="CL173" s="62">
        <v>70137</v>
      </c>
      <c r="CM173" s="62">
        <v>79082</v>
      </c>
      <c r="CN173" s="62">
        <v>84835</v>
      </c>
      <c r="CO173" s="62">
        <v>67058</v>
      </c>
      <c r="CP173" s="62">
        <v>54839</v>
      </c>
      <c r="CQ173" s="62">
        <v>60910</v>
      </c>
      <c r="CR173" s="62">
        <v>62836</v>
      </c>
      <c r="CS173" s="62">
        <v>54643</v>
      </c>
      <c r="CT173" s="62">
        <v>63253</v>
      </c>
      <c r="CU173" s="62">
        <v>81951</v>
      </c>
      <c r="CV173" s="220">
        <v>79428</v>
      </c>
      <c r="CW173" s="62">
        <v>77331.70048</v>
      </c>
      <c r="CX173" s="62">
        <v>75162.136459160218</v>
      </c>
      <c r="CY173" s="62">
        <v>74671.299870253555</v>
      </c>
      <c r="CZ173" s="62">
        <v>78400.032514622086</v>
      </c>
      <c r="DA173" s="62">
        <v>83258.035376569038</v>
      </c>
      <c r="DB173" s="62">
        <v>88446.2109849025</v>
      </c>
      <c r="DC173" s="62">
        <v>93987.566236868748</v>
      </c>
      <c r="DD173" s="62">
        <v>101213.68005033578</v>
      </c>
      <c r="DE173" s="62">
        <v>109472.71634244319</v>
      </c>
      <c r="DF173" s="62">
        <v>111673.11794092633</v>
      </c>
    </row>
    <row r="174" spans="1:110" ht="12" outlineLevel="1">
      <c r="C174" s="41"/>
      <c r="D174" s="41"/>
      <c r="E174" s="41"/>
      <c r="F174" s="41"/>
      <c r="G174" s="41"/>
      <c r="H174" s="41"/>
      <c r="I174" s="41"/>
      <c r="J174" s="41"/>
      <c r="K174" s="41"/>
      <c r="L174" s="41"/>
      <c r="M174" s="41"/>
      <c r="N174" s="41"/>
      <c r="O174" s="41"/>
      <c r="P174" s="41"/>
      <c r="Q174" s="41"/>
      <c r="R174" s="41"/>
      <c r="S174" s="41"/>
      <c r="T174" s="41"/>
      <c r="U174" s="41"/>
      <c r="V174" s="41"/>
      <c r="W174" s="41"/>
      <c r="X174" s="41"/>
      <c r="Y174" s="41"/>
      <c r="Z174" s="41"/>
      <c r="AA174" s="41"/>
      <c r="AB174" s="118"/>
      <c r="AC174" s="32"/>
      <c r="AD174" s="41"/>
      <c r="AE174" s="41"/>
      <c r="AF174" s="41"/>
      <c r="AG174" s="41"/>
      <c r="AH174" s="41"/>
      <c r="AI174" s="41"/>
      <c r="AJ174" s="41"/>
      <c r="AK174" s="41"/>
      <c r="AL174" s="41"/>
      <c r="AM174" s="41"/>
      <c r="AN174" s="41"/>
      <c r="AO174" s="41"/>
      <c r="AP174" s="41"/>
      <c r="AQ174" s="41"/>
      <c r="AR174" s="41"/>
      <c r="AS174" s="41"/>
      <c r="AT174" s="41"/>
      <c r="AU174" s="41"/>
      <c r="AV174" s="211"/>
      <c r="AW174" s="41"/>
      <c r="AX174" s="41"/>
      <c r="AY174" s="41"/>
      <c r="AZ174" s="41"/>
      <c r="BA174" s="41"/>
      <c r="BB174" s="41"/>
      <c r="BC174" s="41"/>
      <c r="BD174" s="41"/>
      <c r="BE174" s="41"/>
      <c r="BF174" s="41"/>
      <c r="BG174" s="41"/>
      <c r="BH174" s="41"/>
      <c r="BI174" s="41"/>
      <c r="BJ174" s="41"/>
      <c r="BK174" s="41"/>
      <c r="BL174" s="41"/>
      <c r="BM174" s="41"/>
      <c r="BN174" s="41"/>
      <c r="BO174" s="41"/>
      <c r="BP174" s="41"/>
      <c r="BQ174" s="41"/>
      <c r="BR174" s="41"/>
      <c r="BS174" s="41"/>
      <c r="BT174" s="41"/>
      <c r="BU174" s="41"/>
      <c r="BV174" s="41"/>
      <c r="BW174" s="41"/>
      <c r="BX174" s="41"/>
      <c r="BY174" s="41"/>
      <c r="BZ174" s="41"/>
      <c r="CA174" s="41"/>
      <c r="CB174" s="41"/>
      <c r="CC174" s="41"/>
      <c r="CD174" s="41"/>
      <c r="CE174" s="41"/>
      <c r="CF174" s="41"/>
      <c r="CG174" s="41"/>
      <c r="CH174" s="41"/>
      <c r="CI174" s="41"/>
      <c r="CJ174" s="41"/>
      <c r="CK174" s="41"/>
      <c r="CL174" s="41"/>
      <c r="CM174" s="41"/>
      <c r="CN174" s="41"/>
      <c r="CO174" s="41"/>
      <c r="CP174" s="41"/>
      <c r="CQ174" s="41"/>
      <c r="CR174" s="41"/>
      <c r="CS174" s="41"/>
      <c r="CT174" s="41"/>
      <c r="CU174" s="41"/>
      <c r="CV174" s="211"/>
      <c r="CW174" s="41"/>
      <c r="CX174" s="41"/>
      <c r="CY174" s="41"/>
      <c r="CZ174" s="41"/>
      <c r="DA174" s="41"/>
      <c r="DB174" s="41"/>
      <c r="DC174" s="41"/>
      <c r="DD174" s="41"/>
      <c r="DE174" s="41"/>
      <c r="DF174" s="41"/>
    </row>
    <row r="175" spans="1:110" ht="12" outlineLevel="1">
      <c r="B175" s="17" t="s">
        <v>343</v>
      </c>
      <c r="C175" s="41"/>
      <c r="D175" s="41"/>
      <c r="E175" s="41"/>
      <c r="F175" s="41"/>
      <c r="G175" s="41"/>
      <c r="H175" s="41"/>
      <c r="I175" s="41"/>
      <c r="J175" s="41"/>
      <c r="K175" s="41"/>
      <c r="L175" s="41"/>
      <c r="M175" s="41"/>
      <c r="N175" s="41"/>
      <c r="O175" s="41"/>
      <c r="P175" s="41"/>
      <c r="Q175" s="41"/>
      <c r="R175" s="41"/>
      <c r="S175" s="41"/>
      <c r="T175" s="41"/>
      <c r="U175" s="41"/>
      <c r="V175" s="41"/>
      <c r="W175" s="41"/>
      <c r="X175" s="41"/>
      <c r="Y175" s="41"/>
      <c r="Z175" s="41"/>
      <c r="AA175" s="41"/>
      <c r="AB175" s="118"/>
      <c r="AC175" s="32"/>
      <c r="AD175" s="41"/>
      <c r="AE175" s="41"/>
      <c r="AF175" s="41"/>
      <c r="AG175" s="41"/>
      <c r="AH175" s="41"/>
      <c r="AI175" s="41"/>
      <c r="AJ175" s="41"/>
      <c r="AK175" s="41"/>
      <c r="AL175" s="41"/>
      <c r="AM175" s="41"/>
      <c r="AN175" s="41"/>
      <c r="AO175" s="41"/>
      <c r="AP175" s="41"/>
      <c r="AQ175" s="41"/>
      <c r="AR175" s="41"/>
      <c r="AS175" s="41"/>
      <c r="AT175" s="41"/>
      <c r="AU175" s="41"/>
      <c r="AV175" s="211"/>
      <c r="AW175" s="41"/>
      <c r="AX175" s="41"/>
      <c r="AY175" s="41"/>
      <c r="AZ175" s="41"/>
      <c r="BA175" s="41"/>
      <c r="BB175" s="41"/>
      <c r="BC175" s="41"/>
      <c r="BD175" s="41"/>
      <c r="BE175" s="41"/>
      <c r="BF175" s="41"/>
      <c r="BG175" s="41"/>
      <c r="BH175" s="41"/>
      <c r="BI175" s="41"/>
      <c r="BJ175" s="41"/>
      <c r="BK175" s="41"/>
      <c r="BL175" s="41"/>
      <c r="BM175" s="41"/>
      <c r="BN175" s="41"/>
      <c r="BO175" s="41"/>
      <c r="BP175" s="41"/>
      <c r="BQ175" s="41"/>
      <c r="BR175" s="41"/>
      <c r="BS175" s="41"/>
      <c r="BT175" s="41"/>
      <c r="BU175" s="41"/>
      <c r="BV175" s="41"/>
      <c r="BW175" s="41"/>
      <c r="BX175" s="41"/>
      <c r="BY175" s="41"/>
      <c r="BZ175" s="41"/>
      <c r="CA175" s="41"/>
      <c r="CB175" s="41"/>
      <c r="CC175" s="41"/>
      <c r="CD175" s="41"/>
      <c r="CE175" s="41"/>
      <c r="CF175" s="41"/>
      <c r="CG175" s="41"/>
      <c r="CH175" s="41"/>
      <c r="CI175" s="41"/>
      <c r="CJ175" s="41"/>
      <c r="CK175" s="41"/>
      <c r="CL175" s="41"/>
      <c r="CM175" s="41"/>
      <c r="CN175" s="41"/>
      <c r="CO175" s="41"/>
      <c r="CP175" s="41"/>
      <c r="CQ175" s="41"/>
      <c r="CR175" s="41"/>
      <c r="CS175" s="41"/>
      <c r="CT175" s="41"/>
      <c r="CU175" s="41"/>
      <c r="CV175" s="211"/>
      <c r="CW175" s="30"/>
      <c r="CX175" s="41"/>
      <c r="CY175" s="41"/>
      <c r="CZ175" s="41"/>
      <c r="DA175" s="41"/>
      <c r="DB175" s="41"/>
      <c r="DC175" s="41"/>
      <c r="DD175" s="41"/>
      <c r="DE175" s="41"/>
      <c r="DF175" s="41"/>
    </row>
    <row r="176" spans="1:110" ht="12" outlineLevel="1">
      <c r="A176" s="1" t="s">
        <v>601</v>
      </c>
      <c r="B176" s="15" t="s">
        <v>164</v>
      </c>
      <c r="C176" s="41">
        <v>53683</v>
      </c>
      <c r="D176" s="41">
        <v>57493</v>
      </c>
      <c r="E176" s="41">
        <v>62500</v>
      </c>
      <c r="F176" s="41">
        <v>67898</v>
      </c>
      <c r="G176" s="41">
        <v>73394</v>
      </c>
      <c r="H176" s="41">
        <v>96373</v>
      </c>
      <c r="I176" s="41">
        <v>110643</v>
      </c>
      <c r="J176" s="41">
        <v>120063</v>
      </c>
      <c r="K176" s="41">
        <v>126647</v>
      </c>
      <c r="L176" s="41">
        <v>132500</v>
      </c>
      <c r="M176" s="41">
        <v>140556</v>
      </c>
      <c r="N176" s="41">
        <v>148641</v>
      </c>
      <c r="O176" s="41">
        <v>157384</v>
      </c>
      <c r="P176" s="41">
        <v>167450</v>
      </c>
      <c r="Q176" s="41">
        <v>175826</v>
      </c>
      <c r="R176" s="41">
        <v>184879</v>
      </c>
      <c r="S176" s="41">
        <v>188090</v>
      </c>
      <c r="T176" s="41">
        <v>192836</v>
      </c>
      <c r="U176" s="41">
        <v>202658</v>
      </c>
      <c r="V176" s="41">
        <v>207775</v>
      </c>
      <c r="W176" s="41">
        <v>215382</v>
      </c>
      <c r="X176" s="41">
        <v>224541</v>
      </c>
      <c r="Y176" s="41">
        <v>230706</v>
      </c>
      <c r="Z176" s="41">
        <v>238282</v>
      </c>
      <c r="AA176" s="41">
        <v>253277</v>
      </c>
      <c r="AB176" s="41">
        <v>264713</v>
      </c>
      <c r="AC176" s="41">
        <v>271388</v>
      </c>
      <c r="AD176" s="41">
        <v>288497</v>
      </c>
      <c r="AE176" s="41">
        <v>300468</v>
      </c>
      <c r="AF176" s="41">
        <v>313301</v>
      </c>
      <c r="AG176" s="41">
        <v>323144</v>
      </c>
      <c r="AH176" s="41">
        <v>330814</v>
      </c>
      <c r="AI176" s="41">
        <v>337309</v>
      </c>
      <c r="AJ176" s="41">
        <v>345111</v>
      </c>
      <c r="AK176" s="41">
        <v>346154</v>
      </c>
      <c r="AL176" s="41">
        <v>348946</v>
      </c>
      <c r="AM176" s="41">
        <v>343808</v>
      </c>
      <c r="AN176" s="41">
        <v>349428</v>
      </c>
      <c r="AO176" s="41">
        <v>358350</v>
      </c>
      <c r="AP176" s="41">
        <v>368578</v>
      </c>
      <c r="AQ176" s="41">
        <v>372572</v>
      </c>
      <c r="AR176" s="41">
        <v>374152</v>
      </c>
      <c r="AS176" s="41">
        <v>374625</v>
      </c>
      <c r="AT176" s="41">
        <v>391011</v>
      </c>
      <c r="AU176" s="41">
        <v>404491</v>
      </c>
      <c r="AV176" s="211">
        <v>414941</v>
      </c>
      <c r="AW176" s="41">
        <v>484630.18277519249</v>
      </c>
      <c r="AX176" s="41">
        <v>493470.69192454929</v>
      </c>
      <c r="AY176" s="41">
        <v>505109.03983880108</v>
      </c>
      <c r="AZ176" s="41">
        <v>511938.97684579802</v>
      </c>
      <c r="BA176" s="41">
        <v>518032.51739576086</v>
      </c>
      <c r="BB176" s="41">
        <v>525200.9139311997</v>
      </c>
      <c r="BC176" s="41">
        <v>533362.87114577845</v>
      </c>
      <c r="BD176" s="41">
        <v>541671.46060971986</v>
      </c>
      <c r="BE176" s="41">
        <v>550129.09136318776</v>
      </c>
      <c r="BF176" s="41">
        <v>558738.21958707576</v>
      </c>
      <c r="BG176" s="41">
        <v>567501.3492372178</v>
      </c>
      <c r="BH176" s="41">
        <v>576421.03270018473</v>
      </c>
      <c r="BI176" s="41">
        <v>585499.87147045834</v>
      </c>
      <c r="BJ176" s="41">
        <v>595523.09594181587</v>
      </c>
      <c r="BK176" s="41">
        <v>606520.12629008933</v>
      </c>
      <c r="BL176" s="41">
        <v>617720.85078497161</v>
      </c>
      <c r="BM176" s="41">
        <v>629129.05989715515</v>
      </c>
      <c r="BN176" s="41">
        <v>635420.3504961268</v>
      </c>
      <c r="BO176" s="41">
        <v>641774.55400108814</v>
      </c>
      <c r="BP176" s="41"/>
      <c r="BQ176" s="41">
        <v>13356.400000000001</v>
      </c>
      <c r="BR176" s="41">
        <v>14672.2</v>
      </c>
      <c r="BS176" s="41">
        <v>18101</v>
      </c>
      <c r="BT176" s="41">
        <v>25034.844102821895</v>
      </c>
      <c r="BU176" s="41">
        <v>27534.393502951061</v>
      </c>
      <c r="BV176" s="41">
        <v>30247.588679712655</v>
      </c>
      <c r="BW176" s="41">
        <v>33765.914664354714</v>
      </c>
      <c r="BX176" s="41">
        <v>40133</v>
      </c>
      <c r="BY176" s="41">
        <v>49428</v>
      </c>
      <c r="BZ176" s="41">
        <v>53683</v>
      </c>
      <c r="CA176" s="41">
        <v>62500</v>
      </c>
      <c r="CB176" s="41">
        <v>73394</v>
      </c>
      <c r="CC176" s="41">
        <v>110643</v>
      </c>
      <c r="CD176" s="41">
        <v>126647</v>
      </c>
      <c r="CE176" s="41">
        <v>140556</v>
      </c>
      <c r="CF176" s="41">
        <v>157384</v>
      </c>
      <c r="CG176" s="41">
        <v>175826</v>
      </c>
      <c r="CH176" s="41">
        <v>188090</v>
      </c>
      <c r="CI176" s="41">
        <v>202658</v>
      </c>
      <c r="CJ176" s="41">
        <v>215382</v>
      </c>
      <c r="CK176" s="41">
        <v>230706</v>
      </c>
      <c r="CL176" s="41">
        <v>253277</v>
      </c>
      <c r="CM176" s="41">
        <v>271388</v>
      </c>
      <c r="CN176" s="41">
        <v>300468</v>
      </c>
      <c r="CO176" s="41">
        <v>323144</v>
      </c>
      <c r="CP176" s="41">
        <v>337309</v>
      </c>
      <c r="CQ176" s="41">
        <v>346154</v>
      </c>
      <c r="CR176" s="41">
        <v>343808</v>
      </c>
      <c r="CS176" s="41">
        <v>358350</v>
      </c>
      <c r="CT176" s="41">
        <v>372572</v>
      </c>
      <c r="CU176" s="41">
        <v>374625</v>
      </c>
      <c r="CV176" s="211">
        <v>404491</v>
      </c>
      <c r="CW176" s="41">
        <v>484630.18277519249</v>
      </c>
      <c r="CX176" s="41">
        <v>505109.03983880108</v>
      </c>
      <c r="CY176" s="41">
        <v>518032.51739576086</v>
      </c>
      <c r="CZ176" s="41">
        <v>533362.87114577845</v>
      </c>
      <c r="DA176" s="41">
        <v>550129.09136318776</v>
      </c>
      <c r="DB176" s="41">
        <v>567501.3492372178</v>
      </c>
      <c r="DC176" s="41">
        <v>585499.87147045834</v>
      </c>
      <c r="DD176" s="41">
        <v>606520.12629008933</v>
      </c>
      <c r="DE176" s="41">
        <v>629129.05989715515</v>
      </c>
      <c r="DF176" s="41">
        <v>641774.55400108814</v>
      </c>
    </row>
    <row r="177" spans="1:110" ht="12" outlineLevel="1">
      <c r="A177" s="1" t="s">
        <v>608</v>
      </c>
      <c r="B177" s="15" t="s">
        <v>344</v>
      </c>
      <c r="C177" s="41">
        <v>73007</v>
      </c>
      <c r="D177" s="41">
        <v>71014</v>
      </c>
      <c r="E177" s="41">
        <v>72849</v>
      </c>
      <c r="F177" s="41">
        <v>77427</v>
      </c>
      <c r="G177" s="41">
        <v>79393</v>
      </c>
      <c r="H177" s="41">
        <v>96097</v>
      </c>
      <c r="I177" s="41">
        <v>98171</v>
      </c>
      <c r="J177" s="41">
        <v>104229</v>
      </c>
      <c r="K177" s="41">
        <v>109857</v>
      </c>
      <c r="L177" s="41">
        <v>113243</v>
      </c>
      <c r="M177" s="41">
        <v>119175</v>
      </c>
      <c r="N177" s="41">
        <v>123117</v>
      </c>
      <c r="O177" s="41">
        <v>135464</v>
      </c>
      <c r="P177" s="41">
        <v>154523</v>
      </c>
      <c r="Q177" s="41">
        <v>164224</v>
      </c>
      <c r="R177" s="41">
        <v>162916</v>
      </c>
      <c r="S177" s="41">
        <v>150255</v>
      </c>
      <c r="T177" s="41">
        <v>148959</v>
      </c>
      <c r="U177" s="41">
        <v>155929</v>
      </c>
      <c r="V177" s="41">
        <v>177495</v>
      </c>
      <c r="W177" s="41">
        <v>187415</v>
      </c>
      <c r="X177" s="41">
        <v>193705</v>
      </c>
      <c r="Y177" s="41">
        <v>200860</v>
      </c>
      <c r="Z177" s="41">
        <v>219295</v>
      </c>
      <c r="AA177" s="41">
        <v>233540</v>
      </c>
      <c r="AB177" s="41">
        <v>247587</v>
      </c>
      <c r="AC177" s="41">
        <v>252995</v>
      </c>
      <c r="AD177" s="41">
        <v>271988</v>
      </c>
      <c r="AE177" s="41">
        <v>271902</v>
      </c>
      <c r="AF177" s="41">
        <v>251390</v>
      </c>
      <c r="AG177" s="41">
        <v>255800</v>
      </c>
      <c r="AH177" s="41">
        <v>248397</v>
      </c>
      <c r="AI177" s="41">
        <v>246135</v>
      </c>
      <c r="AJ177" s="41">
        <v>249828</v>
      </c>
      <c r="AK177" s="41">
        <v>261659</v>
      </c>
      <c r="AL177" s="41">
        <v>264323</v>
      </c>
      <c r="AM177" s="41">
        <v>274487</v>
      </c>
      <c r="AN177" s="41">
        <v>311353</v>
      </c>
      <c r="AO177" s="41">
        <v>262922</v>
      </c>
      <c r="AP177" s="41">
        <v>249090</v>
      </c>
      <c r="AQ177" s="41">
        <v>260192</v>
      </c>
      <c r="AR177" s="41">
        <v>279821</v>
      </c>
      <c r="AS177" s="41">
        <v>299000</v>
      </c>
      <c r="AT177" s="41">
        <v>300095</v>
      </c>
      <c r="AU177" s="41">
        <v>303139</v>
      </c>
      <c r="AV177" s="211">
        <v>300571</v>
      </c>
      <c r="AW177" s="41">
        <v>322207.96573432203</v>
      </c>
      <c r="AX177" s="41">
        <v>327303.58107520768</v>
      </c>
      <c r="AY177" s="41">
        <v>328518.33141565981</v>
      </c>
      <c r="AZ177" s="41">
        <v>331931.73477849382</v>
      </c>
      <c r="BA177" s="41">
        <v>336793.03332239122</v>
      </c>
      <c r="BB177" s="41">
        <v>342991.64811126585</v>
      </c>
      <c r="BC177" s="41">
        <v>350496.00865574088</v>
      </c>
      <c r="BD177" s="41">
        <v>358190.31885222427</v>
      </c>
      <c r="BE177" s="41">
        <v>366079.59505426779</v>
      </c>
      <c r="BF177" s="41">
        <v>374169.00027093652</v>
      </c>
      <c r="BG177" s="41">
        <v>382463.84856476041</v>
      </c>
      <c r="BH177" s="41">
        <v>390969.60959755606</v>
      </c>
      <c r="BI177" s="41">
        <v>399691.91332883027</v>
      </c>
      <c r="BJ177" s="41">
        <v>409338.24441289646</v>
      </c>
      <c r="BK177" s="41">
        <v>419963.25695140543</v>
      </c>
      <c r="BL177" s="41">
        <v>430890.10884870286</v>
      </c>
      <c r="BM177" s="41">
        <v>442128.20507063775</v>
      </c>
      <c r="BN177" s="41">
        <v>446549.48712134408</v>
      </c>
      <c r="BO177" s="41">
        <v>451014.98199255753</v>
      </c>
      <c r="BP177" s="41"/>
      <c r="BQ177" s="41">
        <v>48165.599999999999</v>
      </c>
      <c r="BR177" s="41">
        <v>46376.800000000003</v>
      </c>
      <c r="BS177" s="41">
        <v>45059</v>
      </c>
      <c r="BT177" s="41">
        <v>46259.155897178105</v>
      </c>
      <c r="BU177" s="41">
        <v>51384.606497048939</v>
      </c>
      <c r="BV177" s="41">
        <v>56776.411320287341</v>
      </c>
      <c r="BW177" s="41">
        <v>64145.085335645286</v>
      </c>
      <c r="BX177" s="41">
        <v>67418</v>
      </c>
      <c r="BY177" s="41">
        <v>70204</v>
      </c>
      <c r="BZ177" s="41">
        <v>73007</v>
      </c>
      <c r="CA177" s="41">
        <v>72849</v>
      </c>
      <c r="CB177" s="41">
        <v>79393</v>
      </c>
      <c r="CC177" s="41">
        <v>98171</v>
      </c>
      <c r="CD177" s="41">
        <v>109857</v>
      </c>
      <c r="CE177" s="41">
        <v>119175</v>
      </c>
      <c r="CF177" s="41">
        <v>135464</v>
      </c>
      <c r="CG177" s="41">
        <v>164224</v>
      </c>
      <c r="CH177" s="41">
        <v>150255</v>
      </c>
      <c r="CI177" s="41">
        <v>155929</v>
      </c>
      <c r="CJ177" s="41">
        <v>187415</v>
      </c>
      <c r="CK177" s="41">
        <v>200860</v>
      </c>
      <c r="CL177" s="41">
        <v>233540</v>
      </c>
      <c r="CM177" s="41">
        <v>252995</v>
      </c>
      <c r="CN177" s="41">
        <v>271902</v>
      </c>
      <c r="CO177" s="41">
        <v>255800</v>
      </c>
      <c r="CP177" s="41">
        <v>246135</v>
      </c>
      <c r="CQ177" s="41">
        <v>261659</v>
      </c>
      <c r="CR177" s="41">
        <v>274487</v>
      </c>
      <c r="CS177" s="41">
        <v>262922</v>
      </c>
      <c r="CT177" s="41">
        <v>260192</v>
      </c>
      <c r="CU177" s="41">
        <v>299000</v>
      </c>
      <c r="CV177" s="211">
        <v>303139</v>
      </c>
      <c r="CW177" s="41">
        <v>322207.96573432203</v>
      </c>
      <c r="CX177" s="41">
        <v>328518.33141565981</v>
      </c>
      <c r="CY177" s="41">
        <v>336793.03332239122</v>
      </c>
      <c r="CZ177" s="41">
        <v>350496.00865574088</v>
      </c>
      <c r="DA177" s="41">
        <v>366079.59505426779</v>
      </c>
      <c r="DB177" s="41">
        <v>382463.84856476041</v>
      </c>
      <c r="DC177" s="41">
        <v>399691.91332883027</v>
      </c>
      <c r="DD177" s="41">
        <v>419963.25695140543</v>
      </c>
      <c r="DE177" s="41">
        <v>442128.20507063775</v>
      </c>
      <c r="DF177" s="41">
        <v>451014.98199255753</v>
      </c>
    </row>
    <row r="178" spans="1:110" s="17" customFormat="1" ht="12" outlineLevel="1">
      <c r="A178" s="1" t="s">
        <v>609</v>
      </c>
      <c r="B178" s="17" t="s">
        <v>168</v>
      </c>
      <c r="C178" s="62">
        <v>126690</v>
      </c>
      <c r="D178" s="62">
        <v>128507</v>
      </c>
      <c r="E178" s="62">
        <v>135349</v>
      </c>
      <c r="F178" s="62">
        <v>145325</v>
      </c>
      <c r="G178" s="62">
        <v>152787</v>
      </c>
      <c r="H178" s="62">
        <v>192470</v>
      </c>
      <c r="I178" s="62">
        <v>208814</v>
      </c>
      <c r="J178" s="62">
        <v>224292</v>
      </c>
      <c r="K178" s="62">
        <v>236504</v>
      </c>
      <c r="L178" s="62">
        <v>245743</v>
      </c>
      <c r="M178" s="62">
        <v>259731</v>
      </c>
      <c r="N178" s="62">
        <v>271758</v>
      </c>
      <c r="O178" s="62">
        <v>292848</v>
      </c>
      <c r="P178" s="62">
        <v>321973</v>
      </c>
      <c r="Q178" s="62">
        <v>340050</v>
      </c>
      <c r="R178" s="62">
        <v>347795</v>
      </c>
      <c r="S178" s="62">
        <v>338345</v>
      </c>
      <c r="T178" s="62">
        <v>341795</v>
      </c>
      <c r="U178" s="62">
        <v>358587</v>
      </c>
      <c r="V178" s="62">
        <v>385270</v>
      </c>
      <c r="W178" s="62">
        <v>402797</v>
      </c>
      <c r="X178" s="62">
        <v>418246</v>
      </c>
      <c r="Y178" s="62">
        <v>431566</v>
      </c>
      <c r="Z178" s="62">
        <v>457577</v>
      </c>
      <c r="AA178" s="62">
        <v>486817</v>
      </c>
      <c r="AB178" s="62">
        <v>512300</v>
      </c>
      <c r="AC178" s="62">
        <v>524383</v>
      </c>
      <c r="AD178" s="62">
        <v>560485</v>
      </c>
      <c r="AE178" s="62">
        <v>572370</v>
      </c>
      <c r="AF178" s="62">
        <v>564691</v>
      </c>
      <c r="AG178" s="62">
        <v>578944</v>
      </c>
      <c r="AH178" s="62">
        <v>579211</v>
      </c>
      <c r="AI178" s="62">
        <v>583444</v>
      </c>
      <c r="AJ178" s="62">
        <v>594939</v>
      </c>
      <c r="AK178" s="62">
        <v>607813</v>
      </c>
      <c r="AL178" s="62">
        <v>613269</v>
      </c>
      <c r="AM178" s="62">
        <v>618295</v>
      </c>
      <c r="AN178" s="62">
        <v>660781</v>
      </c>
      <c r="AO178" s="62">
        <v>621272</v>
      </c>
      <c r="AP178" s="62">
        <v>617668</v>
      </c>
      <c r="AQ178" s="62">
        <v>632764</v>
      </c>
      <c r="AR178" s="62">
        <v>653973</v>
      </c>
      <c r="AS178" s="62">
        <v>673625</v>
      </c>
      <c r="AT178" s="62">
        <v>691106</v>
      </c>
      <c r="AU178" s="62">
        <v>707630</v>
      </c>
      <c r="AV178" s="220">
        <v>715512</v>
      </c>
      <c r="AW178" s="62">
        <v>806838.14850951452</v>
      </c>
      <c r="AX178" s="62">
        <v>820774.27299975697</v>
      </c>
      <c r="AY178" s="62">
        <v>833627.37125446089</v>
      </c>
      <c r="AZ178" s="62">
        <v>843870.71162429184</v>
      </c>
      <c r="BA178" s="62">
        <v>854825.55071815208</v>
      </c>
      <c r="BB178" s="62">
        <v>868192.56204246555</v>
      </c>
      <c r="BC178" s="62">
        <v>883858.87980151933</v>
      </c>
      <c r="BD178" s="62">
        <v>899861.77946194413</v>
      </c>
      <c r="BE178" s="62">
        <v>916208.68641745555</v>
      </c>
      <c r="BF178" s="62">
        <v>932907.21985801228</v>
      </c>
      <c r="BG178" s="62">
        <v>949965.19780197821</v>
      </c>
      <c r="BH178" s="62">
        <v>967390.64229774079</v>
      </c>
      <c r="BI178" s="62">
        <v>985191.78479928861</v>
      </c>
      <c r="BJ178" s="62">
        <v>1004861.3403547123</v>
      </c>
      <c r="BK178" s="62">
        <v>1026483.3832414948</v>
      </c>
      <c r="BL178" s="62">
        <v>1048610.9596336745</v>
      </c>
      <c r="BM178" s="62">
        <v>1071257.2649677929</v>
      </c>
      <c r="BN178" s="62">
        <v>1081969.8376174709</v>
      </c>
      <c r="BO178" s="62">
        <v>1092789.5359936457</v>
      </c>
      <c r="BP178" s="62"/>
      <c r="BQ178" s="62">
        <v>61522</v>
      </c>
      <c r="BR178" s="62">
        <v>61049</v>
      </c>
      <c r="BS178" s="62">
        <v>63160</v>
      </c>
      <c r="BT178" s="62">
        <v>71294</v>
      </c>
      <c r="BU178" s="62">
        <v>78919</v>
      </c>
      <c r="BV178" s="62">
        <v>87024</v>
      </c>
      <c r="BW178" s="62">
        <v>97911</v>
      </c>
      <c r="BX178" s="62">
        <v>107551</v>
      </c>
      <c r="BY178" s="62">
        <v>119632</v>
      </c>
      <c r="BZ178" s="62">
        <v>126690</v>
      </c>
      <c r="CA178" s="62">
        <v>135349</v>
      </c>
      <c r="CB178" s="62">
        <v>152787</v>
      </c>
      <c r="CC178" s="62">
        <v>208814</v>
      </c>
      <c r="CD178" s="62">
        <v>236504</v>
      </c>
      <c r="CE178" s="62">
        <v>259731</v>
      </c>
      <c r="CF178" s="62">
        <v>292848</v>
      </c>
      <c r="CG178" s="62">
        <v>340050</v>
      </c>
      <c r="CH178" s="62">
        <v>338345</v>
      </c>
      <c r="CI178" s="62">
        <v>358587</v>
      </c>
      <c r="CJ178" s="62">
        <v>402797</v>
      </c>
      <c r="CK178" s="62">
        <v>431566</v>
      </c>
      <c r="CL178" s="62">
        <v>486817</v>
      </c>
      <c r="CM178" s="62">
        <v>524383</v>
      </c>
      <c r="CN178" s="62">
        <v>572370</v>
      </c>
      <c r="CO178" s="62">
        <v>578944</v>
      </c>
      <c r="CP178" s="62">
        <v>583444</v>
      </c>
      <c r="CQ178" s="62">
        <v>607813</v>
      </c>
      <c r="CR178" s="62">
        <v>618295</v>
      </c>
      <c r="CS178" s="62">
        <v>621272</v>
      </c>
      <c r="CT178" s="62">
        <v>632764</v>
      </c>
      <c r="CU178" s="62">
        <v>673625</v>
      </c>
      <c r="CV178" s="220">
        <v>707630</v>
      </c>
      <c r="CW178" s="62">
        <v>806838.14850951452</v>
      </c>
      <c r="CX178" s="62">
        <v>833627.37125446089</v>
      </c>
      <c r="CY178" s="62">
        <v>854825.55071815208</v>
      </c>
      <c r="CZ178" s="62">
        <v>883858.87980151933</v>
      </c>
      <c r="DA178" s="62">
        <v>916208.68641745555</v>
      </c>
      <c r="DB178" s="62">
        <v>949965.19780197821</v>
      </c>
      <c r="DC178" s="62">
        <v>985191.78479928861</v>
      </c>
      <c r="DD178" s="62">
        <v>1026483.3832414948</v>
      </c>
      <c r="DE178" s="62">
        <v>1071257.2649677929</v>
      </c>
      <c r="DF178" s="62">
        <v>1092789.5359936457</v>
      </c>
    </row>
    <row r="179" spans="1:110" ht="12" outlineLevel="1">
      <c r="A179" s="1" t="s">
        <v>610</v>
      </c>
      <c r="B179" s="15" t="s">
        <v>345</v>
      </c>
      <c r="C179" s="40">
        <v>14324</v>
      </c>
      <c r="D179" s="40">
        <v>14512</v>
      </c>
      <c r="E179" s="40">
        <v>13796</v>
      </c>
      <c r="F179" s="40">
        <v>13270</v>
      </c>
      <c r="G179" s="40">
        <v>13178</v>
      </c>
      <c r="H179" s="40">
        <v>13358</v>
      </c>
      <c r="I179" s="40">
        <v>12466</v>
      </c>
      <c r="J179" s="40">
        <v>12922</v>
      </c>
      <c r="K179" s="40">
        <v>13449</v>
      </c>
      <c r="L179" s="40">
        <v>13692</v>
      </c>
      <c r="M179" s="40">
        <v>13435</v>
      </c>
      <c r="N179" s="40">
        <v>14013</v>
      </c>
      <c r="O179" s="40">
        <v>14536</v>
      </c>
      <c r="P179" s="40">
        <v>15756</v>
      </c>
      <c r="Q179" s="40">
        <v>15297</v>
      </c>
      <c r="R179" s="40">
        <v>15017</v>
      </c>
      <c r="S179" s="40">
        <v>13762</v>
      </c>
      <c r="T179" s="40">
        <v>12510</v>
      </c>
      <c r="U179" s="40">
        <v>11495</v>
      </c>
      <c r="V179" s="40">
        <v>577</v>
      </c>
      <c r="W179" s="40">
        <v>970</v>
      </c>
      <c r="X179" s="40">
        <v>676</v>
      </c>
      <c r="Y179" s="40">
        <v>1239</v>
      </c>
      <c r="Z179" s="141">
        <v>1269</v>
      </c>
      <c r="AA179" s="141">
        <v>812</v>
      </c>
      <c r="AB179" s="141">
        <v>1185</v>
      </c>
      <c r="AC179" s="141">
        <v>1151</v>
      </c>
      <c r="AD179" s="141">
        <v>1422</v>
      </c>
      <c r="AE179" s="141">
        <v>1371</v>
      </c>
      <c r="AF179" s="141">
        <v>760</v>
      </c>
      <c r="AG179" s="141">
        <v>571</v>
      </c>
      <c r="AH179" s="141">
        <v>565</v>
      </c>
      <c r="AI179" s="141">
        <v>0</v>
      </c>
      <c r="AJ179" s="141">
        <v>0</v>
      </c>
      <c r="AK179" s="141">
        <v>0</v>
      </c>
      <c r="AL179" s="141">
        <v>0</v>
      </c>
      <c r="AM179" s="141">
        <v>0</v>
      </c>
      <c r="AN179" s="141">
        <v>0</v>
      </c>
      <c r="AO179" s="141">
        <v>0</v>
      </c>
      <c r="AP179" s="141">
        <v>0</v>
      </c>
      <c r="AQ179" s="141">
        <v>0</v>
      </c>
      <c r="AR179" s="141">
        <v>0</v>
      </c>
      <c r="AS179" s="141">
        <v>0</v>
      </c>
      <c r="AT179" s="141">
        <v>0</v>
      </c>
      <c r="AU179" s="141">
        <v>0</v>
      </c>
      <c r="AV179" s="226">
        <v>0</v>
      </c>
      <c r="AW179" s="41">
        <v>0</v>
      </c>
      <c r="AX179" s="41">
        <v>0</v>
      </c>
      <c r="AY179" s="41">
        <v>0</v>
      </c>
      <c r="AZ179" s="41">
        <v>0</v>
      </c>
      <c r="BA179" s="41">
        <v>0</v>
      </c>
      <c r="BB179" s="41">
        <v>0</v>
      </c>
      <c r="BC179" s="41">
        <v>0</v>
      </c>
      <c r="BD179" s="41">
        <v>0</v>
      </c>
      <c r="BE179" s="41">
        <v>0</v>
      </c>
      <c r="BF179" s="41">
        <v>0</v>
      </c>
      <c r="BG179" s="41">
        <v>0</v>
      </c>
      <c r="BH179" s="41">
        <v>0</v>
      </c>
      <c r="BI179" s="41">
        <v>0</v>
      </c>
      <c r="BJ179" s="41">
        <v>0</v>
      </c>
      <c r="BK179" s="41">
        <v>0</v>
      </c>
      <c r="BL179" s="41">
        <v>0</v>
      </c>
      <c r="BM179" s="41">
        <v>0</v>
      </c>
      <c r="BN179" s="41">
        <v>0</v>
      </c>
      <c r="BO179" s="41">
        <v>0</v>
      </c>
      <c r="BP179" s="41"/>
      <c r="BQ179" s="40">
        <v>14813.8</v>
      </c>
      <c r="BR179" s="40">
        <v>12838.1</v>
      </c>
      <c r="BS179" s="40">
        <v>12243</v>
      </c>
      <c r="BT179" s="40">
        <v>12646</v>
      </c>
      <c r="BU179" s="40">
        <v>14013</v>
      </c>
      <c r="BV179" s="40">
        <v>14040</v>
      </c>
      <c r="BW179" s="40">
        <v>15648</v>
      </c>
      <c r="BX179" s="40">
        <v>14858</v>
      </c>
      <c r="BY179" s="40">
        <v>15482</v>
      </c>
      <c r="BZ179" s="40">
        <v>14324</v>
      </c>
      <c r="CA179" s="41">
        <v>13796</v>
      </c>
      <c r="CB179" s="41">
        <v>13178</v>
      </c>
      <c r="CC179" s="41">
        <v>12466</v>
      </c>
      <c r="CD179" s="41">
        <v>13449</v>
      </c>
      <c r="CE179" s="41">
        <v>13435</v>
      </c>
      <c r="CF179" s="41">
        <v>14536</v>
      </c>
      <c r="CG179" s="41">
        <v>15297</v>
      </c>
      <c r="CH179" s="41">
        <v>13762</v>
      </c>
      <c r="CI179" s="41">
        <v>11495</v>
      </c>
      <c r="CJ179" s="41">
        <v>970</v>
      </c>
      <c r="CK179" s="41">
        <v>1239</v>
      </c>
      <c r="CL179" s="41">
        <v>812</v>
      </c>
      <c r="CM179" s="41">
        <v>1151</v>
      </c>
      <c r="CN179" s="41">
        <v>1371</v>
      </c>
      <c r="CO179" s="41">
        <v>571</v>
      </c>
      <c r="CP179" s="41">
        <v>0</v>
      </c>
      <c r="CQ179" s="41">
        <v>0</v>
      </c>
      <c r="CR179" s="41">
        <v>0</v>
      </c>
      <c r="CS179" s="41">
        <v>0</v>
      </c>
      <c r="CT179" s="41">
        <v>0</v>
      </c>
      <c r="CU179" s="41">
        <v>0</v>
      </c>
      <c r="CV179" s="211">
        <v>0</v>
      </c>
      <c r="CW179" s="41">
        <v>0</v>
      </c>
      <c r="CX179" s="41">
        <v>0</v>
      </c>
      <c r="CY179" s="41">
        <v>0</v>
      </c>
      <c r="CZ179" s="41">
        <v>0</v>
      </c>
      <c r="DA179" s="41">
        <v>0</v>
      </c>
      <c r="DB179" s="41">
        <v>0</v>
      </c>
      <c r="DC179" s="41">
        <v>0</v>
      </c>
      <c r="DD179" s="41">
        <v>0</v>
      </c>
      <c r="DE179" s="41">
        <v>0</v>
      </c>
      <c r="DF179" s="41">
        <v>0</v>
      </c>
    </row>
    <row r="180" spans="1:110" ht="12" outlineLevel="1">
      <c r="A180" s="1" t="s">
        <v>611</v>
      </c>
      <c r="B180" s="15" t="s">
        <v>589</v>
      </c>
      <c r="C180" s="40">
        <v>0</v>
      </c>
      <c r="D180" s="40">
        <v>0</v>
      </c>
      <c r="E180" s="40">
        <v>0</v>
      </c>
      <c r="F180" s="40">
        <v>0</v>
      </c>
      <c r="G180" s="40">
        <v>0</v>
      </c>
      <c r="H180" s="40">
        <v>0</v>
      </c>
      <c r="I180" s="40">
        <v>0</v>
      </c>
      <c r="J180" s="40">
        <v>0</v>
      </c>
      <c r="K180" s="40">
        <v>0</v>
      </c>
      <c r="L180" s="40">
        <v>0</v>
      </c>
      <c r="M180" s="40">
        <v>0</v>
      </c>
      <c r="N180" s="40">
        <v>0</v>
      </c>
      <c r="O180" s="40">
        <v>0</v>
      </c>
      <c r="P180" s="40">
        <v>0</v>
      </c>
      <c r="Q180" s="40">
        <v>0</v>
      </c>
      <c r="R180" s="40">
        <v>0</v>
      </c>
      <c r="S180" s="40">
        <v>0</v>
      </c>
      <c r="T180" s="40">
        <v>0</v>
      </c>
      <c r="U180" s="40">
        <v>0</v>
      </c>
      <c r="V180" s="40">
        <v>0</v>
      </c>
      <c r="W180" s="40">
        <v>0</v>
      </c>
      <c r="X180" s="40">
        <v>0</v>
      </c>
      <c r="Y180" s="40">
        <v>0</v>
      </c>
      <c r="Z180" s="141">
        <v>0</v>
      </c>
      <c r="AA180" s="141">
        <v>0</v>
      </c>
      <c r="AB180" s="141">
        <v>0</v>
      </c>
      <c r="AC180" s="141">
        <v>0</v>
      </c>
      <c r="AD180" s="141">
        <v>0</v>
      </c>
      <c r="AE180" s="141">
        <v>0</v>
      </c>
      <c r="AF180" s="141">
        <v>0</v>
      </c>
      <c r="AG180" s="141">
        <v>0</v>
      </c>
      <c r="AH180" s="141">
        <v>0</v>
      </c>
      <c r="AI180" s="141">
        <v>0</v>
      </c>
      <c r="AJ180" s="141">
        <v>0</v>
      </c>
      <c r="AK180" s="141">
        <v>0</v>
      </c>
      <c r="AL180" s="141">
        <v>0</v>
      </c>
      <c r="AM180" s="141">
        <v>0</v>
      </c>
      <c r="AN180" s="141">
        <v>0</v>
      </c>
      <c r="AO180" s="141">
        <v>0</v>
      </c>
      <c r="AP180" s="141">
        <v>0</v>
      </c>
      <c r="AQ180" s="141">
        <v>0</v>
      </c>
      <c r="AR180" s="141">
        <v>0</v>
      </c>
      <c r="AS180" s="141">
        <v>0</v>
      </c>
      <c r="AT180" s="141">
        <v>0</v>
      </c>
      <c r="AU180" s="141">
        <v>0</v>
      </c>
      <c r="AV180" s="226">
        <v>0</v>
      </c>
      <c r="AW180" s="41">
        <v>0</v>
      </c>
      <c r="AX180" s="41">
        <v>0</v>
      </c>
      <c r="AY180" s="41">
        <v>0</v>
      </c>
      <c r="AZ180" s="41">
        <v>0</v>
      </c>
      <c r="BA180" s="41">
        <v>0</v>
      </c>
      <c r="BB180" s="41">
        <v>0</v>
      </c>
      <c r="BC180" s="41">
        <v>0</v>
      </c>
      <c r="BD180" s="41">
        <v>0</v>
      </c>
      <c r="BE180" s="41">
        <v>0</v>
      </c>
      <c r="BF180" s="41">
        <v>0</v>
      </c>
      <c r="BG180" s="41">
        <v>0</v>
      </c>
      <c r="BH180" s="41">
        <v>0</v>
      </c>
      <c r="BI180" s="41">
        <v>0</v>
      </c>
      <c r="BJ180" s="41">
        <v>0</v>
      </c>
      <c r="BK180" s="41">
        <v>0</v>
      </c>
      <c r="BL180" s="41">
        <v>0</v>
      </c>
      <c r="BM180" s="41">
        <v>0</v>
      </c>
      <c r="BN180" s="41">
        <v>0</v>
      </c>
      <c r="BO180" s="41">
        <v>0</v>
      </c>
      <c r="BP180" s="41"/>
      <c r="BQ180" s="40">
        <v>0</v>
      </c>
      <c r="BR180" s="40">
        <v>0</v>
      </c>
      <c r="BS180" s="40">
        <v>0</v>
      </c>
      <c r="BT180" s="40">
        <v>0</v>
      </c>
      <c r="BU180" s="40">
        <v>0</v>
      </c>
      <c r="BV180" s="40">
        <v>0</v>
      </c>
      <c r="BW180" s="40">
        <v>0</v>
      </c>
      <c r="BX180" s="40">
        <v>0</v>
      </c>
      <c r="BY180" s="40">
        <v>0</v>
      </c>
      <c r="BZ180" s="40">
        <v>0</v>
      </c>
      <c r="CA180" s="41">
        <v>0</v>
      </c>
      <c r="CB180" s="41">
        <v>0</v>
      </c>
      <c r="CC180" s="41">
        <v>0</v>
      </c>
      <c r="CD180" s="41">
        <v>0</v>
      </c>
      <c r="CE180" s="41">
        <v>0</v>
      </c>
      <c r="CF180" s="41">
        <v>0</v>
      </c>
      <c r="CG180" s="41">
        <v>0</v>
      </c>
      <c r="CH180" s="41">
        <v>0</v>
      </c>
      <c r="CI180" s="41">
        <v>0</v>
      </c>
      <c r="CJ180" s="41">
        <v>0</v>
      </c>
      <c r="CK180" s="41">
        <v>0</v>
      </c>
      <c r="CL180" s="41">
        <v>0</v>
      </c>
      <c r="CM180" s="41">
        <v>0</v>
      </c>
      <c r="CN180" s="41">
        <v>0</v>
      </c>
      <c r="CO180" s="41">
        <v>0</v>
      </c>
      <c r="CP180" s="41">
        <v>0</v>
      </c>
      <c r="CQ180" s="41">
        <v>0</v>
      </c>
      <c r="CR180" s="41">
        <v>0</v>
      </c>
      <c r="CS180" s="41">
        <v>0</v>
      </c>
      <c r="CT180" s="41">
        <v>0</v>
      </c>
      <c r="CU180" s="41">
        <v>0</v>
      </c>
      <c r="CV180" s="211">
        <v>0</v>
      </c>
      <c r="CW180" s="41">
        <v>0</v>
      </c>
      <c r="CX180" s="41">
        <v>0</v>
      </c>
      <c r="CY180" s="41">
        <v>0</v>
      </c>
      <c r="CZ180" s="41">
        <v>0</v>
      </c>
      <c r="DA180" s="41">
        <v>0</v>
      </c>
      <c r="DB180" s="41">
        <v>0</v>
      </c>
      <c r="DC180" s="41">
        <v>0</v>
      </c>
      <c r="DD180" s="41">
        <v>0</v>
      </c>
      <c r="DE180" s="41">
        <v>0</v>
      </c>
      <c r="DF180" s="41">
        <v>0</v>
      </c>
    </row>
    <row r="181" spans="1:110" s="17" customFormat="1" ht="12" outlineLevel="1">
      <c r="A181" s="1" t="s">
        <v>612</v>
      </c>
      <c r="B181" s="17" t="s">
        <v>590</v>
      </c>
      <c r="C181" s="62">
        <v>141014</v>
      </c>
      <c r="D181" s="62">
        <v>143019</v>
      </c>
      <c r="E181" s="62">
        <v>149145</v>
      </c>
      <c r="F181" s="62">
        <v>158595</v>
      </c>
      <c r="G181" s="62">
        <v>165965</v>
      </c>
      <c r="H181" s="62">
        <v>205828</v>
      </c>
      <c r="I181" s="62">
        <v>221280</v>
      </c>
      <c r="J181" s="62">
        <v>237214</v>
      </c>
      <c r="K181" s="62">
        <v>249953</v>
      </c>
      <c r="L181" s="62">
        <v>259435</v>
      </c>
      <c r="M181" s="62">
        <v>273166</v>
      </c>
      <c r="N181" s="62">
        <v>285771</v>
      </c>
      <c r="O181" s="62">
        <v>307384</v>
      </c>
      <c r="P181" s="62">
        <v>337729</v>
      </c>
      <c r="Q181" s="62">
        <v>355347</v>
      </c>
      <c r="R181" s="62">
        <v>362812</v>
      </c>
      <c r="S181" s="62">
        <v>352107</v>
      </c>
      <c r="T181" s="62">
        <v>354305</v>
      </c>
      <c r="U181" s="62">
        <v>370082</v>
      </c>
      <c r="V181" s="62">
        <v>385847</v>
      </c>
      <c r="W181" s="62">
        <v>403767</v>
      </c>
      <c r="X181" s="62">
        <v>418922</v>
      </c>
      <c r="Y181" s="62">
        <v>432805</v>
      </c>
      <c r="Z181" s="62">
        <v>458846</v>
      </c>
      <c r="AA181" s="62">
        <v>487629</v>
      </c>
      <c r="AB181" s="62">
        <v>513485</v>
      </c>
      <c r="AC181" s="62">
        <v>525534</v>
      </c>
      <c r="AD181" s="62">
        <v>561907</v>
      </c>
      <c r="AE181" s="62">
        <v>573741</v>
      </c>
      <c r="AF181" s="62">
        <v>565451</v>
      </c>
      <c r="AG181" s="62">
        <v>579515</v>
      </c>
      <c r="AH181" s="62">
        <v>579776</v>
      </c>
      <c r="AI181" s="62">
        <v>583444</v>
      </c>
      <c r="AJ181" s="62">
        <v>594939</v>
      </c>
      <c r="AK181" s="62">
        <v>607813</v>
      </c>
      <c r="AL181" s="62">
        <v>613269</v>
      </c>
      <c r="AM181" s="62">
        <v>618295</v>
      </c>
      <c r="AN181" s="62">
        <v>660781</v>
      </c>
      <c r="AO181" s="62">
        <v>621272</v>
      </c>
      <c r="AP181" s="62">
        <v>617668</v>
      </c>
      <c r="AQ181" s="62">
        <v>632764</v>
      </c>
      <c r="AR181" s="62">
        <v>653973</v>
      </c>
      <c r="AS181" s="62">
        <v>673625</v>
      </c>
      <c r="AT181" s="62">
        <v>691106</v>
      </c>
      <c r="AU181" s="62">
        <v>707630</v>
      </c>
      <c r="AV181" s="220">
        <v>715512</v>
      </c>
      <c r="AW181" s="62">
        <v>806838.14850951452</v>
      </c>
      <c r="AX181" s="62">
        <v>820774.27299975697</v>
      </c>
      <c r="AY181" s="62">
        <v>833627.37125446089</v>
      </c>
      <c r="AZ181" s="62">
        <v>843870.71162429184</v>
      </c>
      <c r="BA181" s="62">
        <v>854825.55071815208</v>
      </c>
      <c r="BB181" s="62">
        <v>868192.56204246555</v>
      </c>
      <c r="BC181" s="62">
        <v>883858.87980151933</v>
      </c>
      <c r="BD181" s="62">
        <v>899861.77946194413</v>
      </c>
      <c r="BE181" s="62">
        <v>916208.68641745555</v>
      </c>
      <c r="BF181" s="62">
        <v>932907.21985801228</v>
      </c>
      <c r="BG181" s="62">
        <v>949965.19780197821</v>
      </c>
      <c r="BH181" s="62">
        <v>967390.64229774079</v>
      </c>
      <c r="BI181" s="62">
        <v>985191.78479928861</v>
      </c>
      <c r="BJ181" s="62">
        <v>1004861.3403547123</v>
      </c>
      <c r="BK181" s="62">
        <v>1026483.3832414948</v>
      </c>
      <c r="BL181" s="62">
        <v>1048610.9596336745</v>
      </c>
      <c r="BM181" s="62">
        <v>1071257.2649677929</v>
      </c>
      <c r="BN181" s="62">
        <v>1081969.8376174709</v>
      </c>
      <c r="BO181" s="62">
        <v>1092789.5359936457</v>
      </c>
      <c r="BP181" s="62"/>
      <c r="BQ181" s="62">
        <v>76335.8</v>
      </c>
      <c r="BR181" s="62">
        <v>73887.100000000006</v>
      </c>
      <c r="BS181" s="62">
        <v>75403</v>
      </c>
      <c r="BT181" s="62">
        <v>83940</v>
      </c>
      <c r="BU181" s="62">
        <v>92932</v>
      </c>
      <c r="BV181" s="62">
        <v>101064</v>
      </c>
      <c r="BW181" s="62">
        <v>113559</v>
      </c>
      <c r="BX181" s="62">
        <v>122409</v>
      </c>
      <c r="BY181" s="62">
        <v>135114</v>
      </c>
      <c r="BZ181" s="62">
        <v>141014</v>
      </c>
      <c r="CA181" s="62">
        <v>149145</v>
      </c>
      <c r="CB181" s="62">
        <v>165965</v>
      </c>
      <c r="CC181" s="62">
        <v>221280</v>
      </c>
      <c r="CD181" s="62">
        <v>249953</v>
      </c>
      <c r="CE181" s="62">
        <v>273166</v>
      </c>
      <c r="CF181" s="62">
        <v>307384</v>
      </c>
      <c r="CG181" s="62">
        <v>355347</v>
      </c>
      <c r="CH181" s="62">
        <v>352107</v>
      </c>
      <c r="CI181" s="62">
        <v>370082</v>
      </c>
      <c r="CJ181" s="62">
        <v>403767</v>
      </c>
      <c r="CK181" s="62">
        <v>432805</v>
      </c>
      <c r="CL181" s="62">
        <v>487629</v>
      </c>
      <c r="CM181" s="62">
        <v>525534</v>
      </c>
      <c r="CN181" s="62">
        <v>573741</v>
      </c>
      <c r="CO181" s="62">
        <v>579515</v>
      </c>
      <c r="CP181" s="62">
        <v>583444</v>
      </c>
      <c r="CQ181" s="62">
        <v>607813</v>
      </c>
      <c r="CR181" s="62">
        <v>618295</v>
      </c>
      <c r="CS181" s="62">
        <v>621272</v>
      </c>
      <c r="CT181" s="62">
        <v>632764</v>
      </c>
      <c r="CU181" s="62">
        <v>673625</v>
      </c>
      <c r="CV181" s="220">
        <v>707630</v>
      </c>
      <c r="CW181" s="62">
        <v>806838.14850951452</v>
      </c>
      <c r="CX181" s="62">
        <v>833627.37125446089</v>
      </c>
      <c r="CY181" s="62">
        <v>854825.55071815208</v>
      </c>
      <c r="CZ181" s="62">
        <v>883858.87980151933</v>
      </c>
      <c r="DA181" s="62">
        <v>916208.68641745555</v>
      </c>
      <c r="DB181" s="62">
        <v>949965.19780197821</v>
      </c>
      <c r="DC181" s="62">
        <v>985191.78479928861</v>
      </c>
      <c r="DD181" s="62">
        <v>1026483.3832414948</v>
      </c>
      <c r="DE181" s="62">
        <v>1071257.2649677929</v>
      </c>
      <c r="DF181" s="62">
        <v>1092789.5359936457</v>
      </c>
    </row>
    <row r="182" spans="1:110" ht="12" outlineLevel="1">
      <c r="C182" s="41"/>
      <c r="D182" s="41"/>
      <c r="E182" s="41"/>
      <c r="F182" s="41"/>
      <c r="G182" s="41"/>
      <c r="H182" s="41"/>
      <c r="I182" s="41"/>
      <c r="J182" s="41"/>
      <c r="K182" s="41"/>
      <c r="L182" s="41"/>
      <c r="M182" s="41"/>
      <c r="N182" s="41"/>
      <c r="O182" s="41"/>
      <c r="P182" s="41"/>
      <c r="Q182" s="41"/>
      <c r="R182" s="41"/>
      <c r="S182" s="41"/>
      <c r="T182" s="41"/>
      <c r="U182" s="41"/>
      <c r="V182" s="41"/>
      <c r="W182" s="41"/>
      <c r="X182" s="41"/>
      <c r="Y182" s="15"/>
      <c r="Z182" s="62"/>
      <c r="AA182" s="15"/>
      <c r="AB182" s="41"/>
      <c r="AC182" s="41"/>
      <c r="AD182" s="41"/>
      <c r="AE182" s="41"/>
      <c r="AF182" s="41"/>
      <c r="AG182" s="41"/>
      <c r="AH182" s="41"/>
      <c r="AI182" s="41"/>
      <c r="AJ182" s="41"/>
      <c r="AK182" s="41"/>
      <c r="AL182" s="41"/>
      <c r="AM182" s="41"/>
      <c r="AN182" s="41"/>
      <c r="AO182" s="41"/>
      <c r="AP182" s="41"/>
      <c r="AQ182" s="41"/>
      <c r="AR182" s="41"/>
      <c r="AS182" s="41"/>
      <c r="AT182" s="41"/>
      <c r="AU182" s="41"/>
      <c r="AV182" s="211"/>
      <c r="AW182" s="15"/>
      <c r="AX182" s="41"/>
      <c r="AY182" s="41"/>
      <c r="AZ182" s="41"/>
      <c r="BA182" s="41"/>
      <c r="BB182" s="41"/>
      <c r="BC182" s="41"/>
      <c r="BD182" s="41"/>
      <c r="BE182" s="41"/>
      <c r="BF182" s="41"/>
      <c r="BG182" s="41"/>
      <c r="BH182" s="41"/>
      <c r="BI182" s="41"/>
      <c r="BJ182" s="41"/>
      <c r="BK182" s="41"/>
      <c r="BL182" s="41"/>
      <c r="BM182" s="41"/>
      <c r="BN182" s="41"/>
      <c r="BO182" s="41"/>
      <c r="BP182" s="41"/>
      <c r="BQ182" s="41"/>
      <c r="BR182" s="41"/>
      <c r="BS182" s="41"/>
      <c r="BT182" s="41"/>
      <c r="BU182" s="41"/>
      <c r="BV182" s="41"/>
      <c r="BW182" s="41"/>
      <c r="BX182" s="41"/>
      <c r="BY182" s="41"/>
      <c r="BZ182" s="41"/>
      <c r="CA182" s="41"/>
      <c r="CB182" s="41"/>
      <c r="CC182" s="41"/>
      <c r="CD182" s="41"/>
      <c r="CE182" s="41"/>
      <c r="CF182" s="41"/>
      <c r="CG182" s="41"/>
      <c r="CH182" s="41"/>
      <c r="CI182" s="41"/>
      <c r="CJ182" s="41"/>
      <c r="CK182" s="41"/>
      <c r="CL182" s="41"/>
      <c r="CM182" s="43"/>
      <c r="CN182" s="41"/>
      <c r="CO182" s="32"/>
      <c r="CP182" s="41"/>
      <c r="CQ182" s="41"/>
      <c r="CR182" s="41"/>
      <c r="CS182" s="41"/>
      <c r="CT182" s="41"/>
      <c r="CU182" s="41"/>
      <c r="CV182" s="211"/>
      <c r="CW182" s="41"/>
      <c r="CX182" s="41"/>
      <c r="CY182" s="41"/>
      <c r="CZ182" s="41"/>
      <c r="DA182" s="41"/>
      <c r="DB182" s="41"/>
      <c r="DC182" s="41"/>
      <c r="DD182" s="41"/>
      <c r="DE182" s="41"/>
      <c r="DF182" s="41"/>
    </row>
    <row r="183" spans="1:110" s="17" customFormat="1" ht="12" outlineLevel="1">
      <c r="A183" s="1"/>
      <c r="B183" s="17" t="s">
        <v>591</v>
      </c>
      <c r="C183" s="62"/>
      <c r="D183" s="62"/>
      <c r="E183" s="62"/>
      <c r="F183" s="62"/>
      <c r="G183" s="62"/>
      <c r="H183" s="62"/>
      <c r="I183" s="62"/>
      <c r="J183" s="62"/>
      <c r="K183" s="62"/>
      <c r="L183" s="62"/>
      <c r="M183" s="62"/>
      <c r="N183" s="62"/>
      <c r="O183" s="62"/>
      <c r="P183" s="62"/>
      <c r="Q183" s="62"/>
      <c r="R183" s="62"/>
      <c r="S183" s="62"/>
      <c r="T183" s="62"/>
      <c r="U183" s="62"/>
      <c r="V183" s="62"/>
      <c r="W183" s="62"/>
      <c r="X183" s="62"/>
      <c r="Z183" s="62"/>
      <c r="AB183" s="402"/>
      <c r="AC183" s="62"/>
      <c r="AD183" s="62"/>
      <c r="AE183" s="62"/>
      <c r="AF183" s="62"/>
      <c r="AG183" s="62"/>
      <c r="AH183" s="62"/>
      <c r="AI183" s="62"/>
      <c r="AJ183" s="62"/>
      <c r="AK183" s="62"/>
      <c r="AL183" s="62"/>
      <c r="AM183" s="62"/>
      <c r="AN183" s="62"/>
      <c r="AO183" s="62"/>
      <c r="AP183" s="62"/>
      <c r="AQ183" s="62"/>
      <c r="AR183" s="62"/>
      <c r="AS183" s="62"/>
      <c r="AT183" s="62"/>
      <c r="AU183" s="62"/>
      <c r="AV183" s="220"/>
      <c r="AX183" s="62"/>
      <c r="AY183" s="62"/>
      <c r="AZ183" s="62"/>
      <c r="BA183" s="62"/>
      <c r="BB183" s="62"/>
      <c r="BC183" s="62"/>
      <c r="BD183" s="62"/>
      <c r="BE183" s="62"/>
      <c r="BF183" s="62"/>
      <c r="BG183" s="62"/>
      <c r="BH183" s="62"/>
      <c r="BI183" s="62"/>
      <c r="BJ183" s="62"/>
      <c r="BK183" s="62"/>
      <c r="BL183" s="62"/>
      <c r="BM183" s="62"/>
      <c r="BN183" s="62"/>
      <c r="BO183" s="62"/>
      <c r="BP183" s="62"/>
      <c r="BQ183" s="62"/>
      <c r="BR183" s="62"/>
      <c r="BS183" s="62"/>
      <c r="BT183" s="62"/>
      <c r="BU183" s="62"/>
      <c r="BV183" s="62"/>
      <c r="BW183" s="62"/>
      <c r="BX183" s="62"/>
      <c r="BY183" s="62"/>
      <c r="BZ183" s="62"/>
      <c r="CA183" s="62"/>
      <c r="CB183" s="62"/>
      <c r="CC183" s="62"/>
      <c r="CD183" s="62"/>
      <c r="CE183" s="62"/>
      <c r="CF183" s="62"/>
      <c r="CG183" s="62"/>
      <c r="CH183" s="62"/>
      <c r="CI183" s="62"/>
      <c r="CJ183" s="62"/>
      <c r="CK183" s="62"/>
      <c r="CL183" s="62"/>
      <c r="CM183" s="62"/>
      <c r="CN183" s="62"/>
      <c r="CO183" s="62"/>
      <c r="CP183" s="62"/>
      <c r="CQ183" s="62"/>
      <c r="CR183" s="62"/>
      <c r="CS183" s="62"/>
      <c r="CT183" s="62"/>
      <c r="CU183" s="62"/>
      <c r="CV183" s="220"/>
      <c r="CW183" s="62"/>
      <c r="CX183" s="62"/>
      <c r="CY183" s="62"/>
      <c r="CZ183" s="62"/>
      <c r="DA183" s="62"/>
      <c r="DB183" s="62"/>
      <c r="DC183" s="62"/>
      <c r="DD183" s="62"/>
      <c r="DE183" s="62"/>
      <c r="DF183" s="62"/>
    </row>
    <row r="184" spans="1:110" ht="12" outlineLevel="1">
      <c r="A184" s="1" t="s">
        <v>613</v>
      </c>
      <c r="B184" s="15" t="s">
        <v>592</v>
      </c>
      <c r="C184" s="41"/>
      <c r="D184" s="41"/>
      <c r="E184" s="41"/>
      <c r="F184" s="41"/>
      <c r="G184" s="41"/>
      <c r="H184" s="41"/>
      <c r="I184" s="41"/>
      <c r="J184" s="41"/>
      <c r="K184" s="41"/>
      <c r="L184" s="41"/>
      <c r="M184" s="41"/>
      <c r="N184" s="41"/>
      <c r="O184" s="41"/>
      <c r="P184" s="41"/>
      <c r="Q184" s="41"/>
      <c r="R184" s="41"/>
      <c r="S184" s="41"/>
      <c r="T184" s="41"/>
      <c r="U184" s="41"/>
      <c r="V184" s="41"/>
      <c r="W184" s="41"/>
      <c r="X184" s="41"/>
      <c r="Y184" s="141">
        <v>112266</v>
      </c>
      <c r="Z184" s="141">
        <v>117268</v>
      </c>
      <c r="AA184" s="141">
        <v>127633</v>
      </c>
      <c r="AB184" s="141">
        <v>138488</v>
      </c>
      <c r="AC184" s="141">
        <v>149090</v>
      </c>
      <c r="AD184" s="141">
        <v>158570</v>
      </c>
      <c r="AE184" s="141">
        <v>171968</v>
      </c>
      <c r="AF184" s="141">
        <v>178037</v>
      </c>
      <c r="AG184" s="141">
        <v>178653</v>
      </c>
      <c r="AH184" s="141">
        <v>192440</v>
      </c>
      <c r="AI184" s="141">
        <v>200701</v>
      </c>
      <c r="AJ184" s="141">
        <v>201776</v>
      </c>
      <c r="AK184" s="141">
        <v>201218</v>
      </c>
      <c r="AL184" s="141">
        <v>193065</v>
      </c>
      <c r="AM184" s="141">
        <v>209026</v>
      </c>
      <c r="AN184" s="141">
        <v>234545</v>
      </c>
      <c r="AO184" s="141">
        <v>259716</v>
      </c>
      <c r="AP184" s="141">
        <v>268580</v>
      </c>
      <c r="AQ184" s="141">
        <v>294048</v>
      </c>
      <c r="AR184" s="141">
        <v>310976</v>
      </c>
      <c r="AS184" s="141">
        <v>310787</v>
      </c>
      <c r="AT184" s="141">
        <v>293233</v>
      </c>
      <c r="AU184" s="141">
        <v>298870</v>
      </c>
      <c r="AV184" s="226">
        <v>303110</v>
      </c>
      <c r="AW184" s="41"/>
      <c r="AX184" s="41"/>
      <c r="AY184" s="41"/>
      <c r="AZ184" s="41"/>
      <c r="BA184" s="41"/>
      <c r="BB184" s="41"/>
      <c r="BC184" s="41"/>
      <c r="BD184" s="41"/>
      <c r="BE184" s="41"/>
      <c r="BF184" s="41"/>
      <c r="BG184" s="41"/>
      <c r="BH184" s="41"/>
      <c r="BI184" s="41"/>
      <c r="BJ184" s="41"/>
      <c r="BK184" s="41"/>
      <c r="BL184" s="41"/>
      <c r="BM184" s="41"/>
      <c r="BN184" s="41"/>
      <c r="BO184" s="41"/>
      <c r="BP184" s="41"/>
      <c r="BQ184" s="41"/>
      <c r="BR184" s="41"/>
      <c r="BS184" s="41"/>
      <c r="BT184" s="41"/>
      <c r="BU184" s="41"/>
      <c r="BV184" s="41"/>
      <c r="BW184" s="41"/>
      <c r="BX184" s="41"/>
      <c r="BY184" s="41"/>
      <c r="BZ184" s="41"/>
      <c r="CA184" s="41"/>
      <c r="CB184" s="41"/>
      <c r="CC184" s="41"/>
      <c r="CD184" s="41"/>
      <c r="CE184" s="41"/>
      <c r="CF184" s="41"/>
      <c r="CG184" s="41"/>
      <c r="CH184" s="41"/>
      <c r="CI184" s="41"/>
      <c r="CJ184" s="41"/>
      <c r="CK184" s="41">
        <v>112266</v>
      </c>
      <c r="CL184" s="41">
        <v>127633</v>
      </c>
      <c r="CM184" s="41">
        <v>149090</v>
      </c>
      <c r="CN184" s="41">
        <v>171968</v>
      </c>
      <c r="CO184" s="41">
        <v>178653</v>
      </c>
      <c r="CP184" s="41">
        <v>200701</v>
      </c>
      <c r="CQ184" s="41"/>
      <c r="CR184" s="41"/>
      <c r="CS184" s="41"/>
      <c r="CT184" s="41"/>
      <c r="CU184" s="41"/>
      <c r="CV184" s="211"/>
      <c r="CW184" s="41"/>
      <c r="CX184" s="41"/>
      <c r="CY184" s="41"/>
      <c r="CZ184" s="41"/>
      <c r="DA184" s="41"/>
      <c r="DB184" s="41"/>
      <c r="DC184" s="41"/>
      <c r="DD184" s="41"/>
      <c r="DE184" s="41"/>
      <c r="DF184" s="41"/>
    </row>
    <row r="185" spans="1:110" ht="12" outlineLevel="1">
      <c r="A185" s="1" t="s">
        <v>614</v>
      </c>
      <c r="B185" s="15" t="s">
        <v>593</v>
      </c>
      <c r="C185" s="41"/>
      <c r="D185" s="41"/>
      <c r="E185" s="41"/>
      <c r="F185" s="41"/>
      <c r="G185" s="41"/>
      <c r="H185" s="41"/>
      <c r="I185" s="41"/>
      <c r="J185" s="41"/>
      <c r="K185" s="41"/>
      <c r="L185" s="41"/>
      <c r="M185" s="41"/>
      <c r="N185" s="41"/>
      <c r="O185" s="41"/>
      <c r="P185" s="41"/>
      <c r="Q185" s="41"/>
      <c r="R185" s="41"/>
      <c r="S185" s="41"/>
      <c r="T185" s="41"/>
      <c r="U185" s="41"/>
      <c r="V185" s="41"/>
      <c r="W185" s="41"/>
      <c r="X185" s="41"/>
      <c r="Y185" s="141">
        <v>130298</v>
      </c>
      <c r="Z185" s="141">
        <v>130746</v>
      </c>
      <c r="AA185" s="141">
        <v>131745</v>
      </c>
      <c r="AB185" s="141">
        <v>129117</v>
      </c>
      <c r="AC185" s="141">
        <v>128225</v>
      </c>
      <c r="AD185" s="141">
        <v>125452</v>
      </c>
      <c r="AE185" s="141">
        <v>123784</v>
      </c>
      <c r="AF185" s="141">
        <v>124940</v>
      </c>
      <c r="AG185" s="141">
        <v>122035</v>
      </c>
      <c r="AH185" s="141">
        <v>124346</v>
      </c>
      <c r="AI185" s="141">
        <v>123244</v>
      </c>
      <c r="AJ185" s="141">
        <v>118273</v>
      </c>
      <c r="AK185" s="141">
        <v>115222</v>
      </c>
      <c r="AL185" s="141">
        <v>117195</v>
      </c>
      <c r="AM185" s="141">
        <v>107513</v>
      </c>
      <c r="AN185" s="141">
        <v>103789</v>
      </c>
      <c r="AO185" s="141">
        <v>92445</v>
      </c>
      <c r="AP185" s="141">
        <v>95679</v>
      </c>
      <c r="AQ185" s="141">
        <v>81682</v>
      </c>
      <c r="AR185" s="141">
        <v>74079</v>
      </c>
      <c r="AS185" s="141">
        <v>80731</v>
      </c>
      <c r="AT185" s="141">
        <v>114261</v>
      </c>
      <c r="AU185" s="141">
        <v>113131</v>
      </c>
      <c r="AV185" s="226">
        <v>117429</v>
      </c>
      <c r="AW185" s="41"/>
      <c r="AX185" s="41"/>
      <c r="AY185" s="41"/>
      <c r="AZ185" s="41"/>
      <c r="BA185" s="41"/>
      <c r="BB185" s="41"/>
      <c r="BC185" s="41"/>
      <c r="BD185" s="41"/>
      <c r="BE185" s="41"/>
      <c r="BF185" s="41"/>
      <c r="BG185" s="41"/>
      <c r="BH185" s="41"/>
      <c r="BI185" s="41"/>
      <c r="BJ185" s="41"/>
      <c r="BK185" s="41"/>
      <c r="BL185" s="41"/>
      <c r="BM185" s="41"/>
      <c r="BN185" s="41"/>
      <c r="BO185" s="41"/>
      <c r="BP185" s="41"/>
      <c r="BQ185" s="41"/>
      <c r="BR185" s="41"/>
      <c r="BS185" s="41"/>
      <c r="BT185" s="41"/>
      <c r="BU185" s="41"/>
      <c r="BV185" s="41"/>
      <c r="BW185" s="41"/>
      <c r="BX185" s="41"/>
      <c r="BY185" s="41"/>
      <c r="BZ185" s="41"/>
      <c r="CA185" s="41"/>
      <c r="CB185" s="41"/>
      <c r="CC185" s="41"/>
      <c r="CD185" s="41"/>
      <c r="CE185" s="41"/>
      <c r="CF185" s="41"/>
      <c r="CG185" s="41"/>
      <c r="CH185" s="41"/>
      <c r="CI185" s="41"/>
      <c r="CJ185" s="41"/>
      <c r="CK185" s="41">
        <v>130298</v>
      </c>
      <c r="CL185" s="41">
        <v>131745</v>
      </c>
      <c r="CM185" s="41">
        <v>128225</v>
      </c>
      <c r="CN185" s="41">
        <v>123784</v>
      </c>
      <c r="CO185" s="41">
        <v>122035</v>
      </c>
      <c r="CP185" s="41">
        <v>123244</v>
      </c>
      <c r="CQ185" s="41"/>
      <c r="CR185" s="41"/>
      <c r="CS185" s="41"/>
      <c r="CT185" s="41"/>
      <c r="CU185" s="41"/>
      <c r="CV185" s="211"/>
      <c r="CW185" s="41"/>
      <c r="CX185" s="41"/>
      <c r="CY185" s="41"/>
      <c r="CZ185" s="41"/>
      <c r="DA185" s="41"/>
      <c r="DB185" s="41"/>
      <c r="DC185" s="41"/>
      <c r="DD185" s="41"/>
      <c r="DE185" s="41"/>
      <c r="DF185" s="41"/>
    </row>
    <row r="186" spans="1:110" s="17" customFormat="1" ht="12" outlineLevel="1">
      <c r="A186" s="1" t="s">
        <v>615</v>
      </c>
      <c r="B186" s="17" t="s">
        <v>168</v>
      </c>
      <c r="C186" s="61">
        <v>62727.977153129206</v>
      </c>
      <c r="D186" s="61">
        <v>66517.948732476245</v>
      </c>
      <c r="E186" s="61">
        <v>70307.920311823298</v>
      </c>
      <c r="F186" s="61">
        <v>71708.662941912829</v>
      </c>
      <c r="G186" s="61">
        <v>73109.405572002346</v>
      </c>
      <c r="H186" s="61">
        <v>86525.24049431349</v>
      </c>
      <c r="I186" s="61">
        <v>99941.075416624633</v>
      </c>
      <c r="J186" s="61">
        <v>105005.6895404911</v>
      </c>
      <c r="K186" s="61">
        <v>115599.25524422228</v>
      </c>
      <c r="L186" s="61">
        <v>126754.84965709932</v>
      </c>
      <c r="M186" s="61">
        <v>132869.62924215361</v>
      </c>
      <c r="N186" s="61">
        <v>129780.11361038122</v>
      </c>
      <c r="O186" s="61">
        <v>149615.74874882057</v>
      </c>
      <c r="P186" s="61">
        <v>162076.0835691437</v>
      </c>
      <c r="Q186" s="61">
        <v>161679.33297187992</v>
      </c>
      <c r="R186" s="61">
        <v>174101.99844553179</v>
      </c>
      <c r="S186" s="61">
        <v>181165.90557216448</v>
      </c>
      <c r="T186" s="61">
        <v>178623.62958205296</v>
      </c>
      <c r="U186" s="61">
        <v>190529.94436917998</v>
      </c>
      <c r="V186" s="61">
        <v>201041.38960159526</v>
      </c>
      <c r="W186" s="61">
        <v>217881.74481220136</v>
      </c>
      <c r="X186" s="384">
        <v>222376.79190601452</v>
      </c>
      <c r="Y186" s="416">
        <v>242564</v>
      </c>
      <c r="Z186" s="416">
        <v>248014</v>
      </c>
      <c r="AA186" s="416">
        <v>259378</v>
      </c>
      <c r="AB186" s="416">
        <v>267605</v>
      </c>
      <c r="AC186" s="416">
        <v>277315</v>
      </c>
      <c r="AD186" s="416">
        <v>284022</v>
      </c>
      <c r="AE186" s="416">
        <v>295752</v>
      </c>
      <c r="AF186" s="416">
        <v>302977</v>
      </c>
      <c r="AG186" s="416">
        <v>300688</v>
      </c>
      <c r="AH186" s="416">
        <v>316786</v>
      </c>
      <c r="AI186" s="416">
        <v>323945</v>
      </c>
      <c r="AJ186" s="416">
        <v>320049</v>
      </c>
      <c r="AK186" s="416">
        <v>316440</v>
      </c>
      <c r="AL186" s="416">
        <v>310260</v>
      </c>
      <c r="AM186" s="416">
        <v>316539</v>
      </c>
      <c r="AN186" s="416">
        <v>338334</v>
      </c>
      <c r="AO186" s="416">
        <v>352161</v>
      </c>
      <c r="AP186" s="416">
        <v>364259</v>
      </c>
      <c r="AQ186" s="416">
        <v>375730</v>
      </c>
      <c r="AR186" s="416">
        <v>385055</v>
      </c>
      <c r="AS186" s="416">
        <v>391518</v>
      </c>
      <c r="AT186" s="416">
        <v>407494</v>
      </c>
      <c r="AU186" s="416">
        <v>412001</v>
      </c>
      <c r="AV186" s="549">
        <v>420539</v>
      </c>
      <c r="AW186" s="62">
        <v>487329.86913873028</v>
      </c>
      <c r="AX186" s="62">
        <v>496453.81560313603</v>
      </c>
      <c r="AY186" s="62">
        <v>510302.2123896096</v>
      </c>
      <c r="AZ186" s="62">
        <v>520525.81029335543</v>
      </c>
      <c r="BA186" s="62">
        <v>530615.07172252878</v>
      </c>
      <c r="BB186" s="62">
        <v>540902.23912442324</v>
      </c>
      <c r="BC186" s="62">
        <v>551391.23824826558</v>
      </c>
      <c r="BD186" s="62">
        <v>562086.07355929527</v>
      </c>
      <c r="BE186" s="62">
        <v>572990.82983362128</v>
      </c>
      <c r="BF186" s="62">
        <v>584109.67378571432</v>
      </c>
      <c r="BG186" s="62">
        <v>595446.85572921217</v>
      </c>
      <c r="BH186" s="62">
        <v>607006.71127172408</v>
      </c>
      <c r="BI186" s="62">
        <v>618793.663044338</v>
      </c>
      <c r="BJ186" s="62">
        <v>630812.22246654704</v>
      </c>
      <c r="BK186" s="62">
        <v>643066.99154732912</v>
      </c>
      <c r="BL186" s="62">
        <v>655562.66472312482</v>
      </c>
      <c r="BM186" s="62">
        <v>668304.03073347942</v>
      </c>
      <c r="BN186" s="62">
        <v>674987.07104081428</v>
      </c>
      <c r="BO186" s="62">
        <v>681736.94175122236</v>
      </c>
      <c r="BP186" s="62"/>
      <c r="BQ186" s="61">
        <v>31544.1</v>
      </c>
      <c r="BR186" s="61">
        <v>32040.800000000003</v>
      </c>
      <c r="BS186" s="61">
        <v>33994</v>
      </c>
      <c r="BT186" s="61">
        <v>36361</v>
      </c>
      <c r="BU186" s="61">
        <v>38864</v>
      </c>
      <c r="BV186" s="61">
        <v>42223</v>
      </c>
      <c r="BW186" s="61">
        <v>47406</v>
      </c>
      <c r="BX186" s="61">
        <v>48997</v>
      </c>
      <c r="BY186" s="61">
        <v>54995</v>
      </c>
      <c r="BZ186" s="61">
        <v>56047</v>
      </c>
      <c r="CA186" s="62">
        <v>70307.920311823298</v>
      </c>
      <c r="CB186" s="62">
        <v>73109.405572002346</v>
      </c>
      <c r="CC186" s="62">
        <v>99941.075416624633</v>
      </c>
      <c r="CD186" s="62">
        <v>115599.25524422228</v>
      </c>
      <c r="CE186" s="62">
        <v>132869.62924215361</v>
      </c>
      <c r="CF186" s="62">
        <v>149615.74874882057</v>
      </c>
      <c r="CG186" s="62">
        <v>161679.33297187992</v>
      </c>
      <c r="CH186" s="62">
        <v>181165.90557216448</v>
      </c>
      <c r="CI186" s="62">
        <v>190529.94436917998</v>
      </c>
      <c r="CJ186" s="62">
        <v>217881.74481220136</v>
      </c>
      <c r="CK186" s="62">
        <v>242564</v>
      </c>
      <c r="CL186" s="62">
        <v>259378</v>
      </c>
      <c r="CM186" s="62">
        <v>277315</v>
      </c>
      <c r="CN186" s="62">
        <v>295752</v>
      </c>
      <c r="CO186" s="62">
        <v>300688</v>
      </c>
      <c r="CP186" s="62">
        <v>323945</v>
      </c>
      <c r="CQ186" s="62">
        <v>316440</v>
      </c>
      <c r="CR186" s="62">
        <v>316539</v>
      </c>
      <c r="CS186" s="62">
        <v>352161</v>
      </c>
      <c r="CT186" s="62">
        <v>375730</v>
      </c>
      <c r="CU186" s="62">
        <v>391518</v>
      </c>
      <c r="CV186" s="220">
        <v>412001</v>
      </c>
      <c r="CW186" s="62">
        <v>487329.86913873028</v>
      </c>
      <c r="CX186" s="62">
        <v>510302.2123896096</v>
      </c>
      <c r="CY186" s="62">
        <v>530615.07172252878</v>
      </c>
      <c r="CZ186" s="62">
        <v>551391.23824826558</v>
      </c>
      <c r="DA186" s="62">
        <v>572990.82983362128</v>
      </c>
      <c r="DB186" s="62">
        <v>595446.85572921217</v>
      </c>
      <c r="DC186" s="62">
        <v>618793.663044338</v>
      </c>
      <c r="DD186" s="62">
        <v>643066.99154732912</v>
      </c>
      <c r="DE186" s="62">
        <v>668304.03073347942</v>
      </c>
      <c r="DF186" s="62">
        <v>681736.94175122236</v>
      </c>
    </row>
    <row r="187" spans="1:110" s="63" customFormat="1" ht="12" outlineLevel="1">
      <c r="A187" s="1" t="s">
        <v>616</v>
      </c>
      <c r="B187" s="63" t="s">
        <v>617</v>
      </c>
      <c r="C187" s="40"/>
      <c r="D187" s="40"/>
      <c r="E187" s="40"/>
      <c r="F187" s="40"/>
      <c r="G187" s="40"/>
      <c r="H187" s="40"/>
      <c r="I187" s="40"/>
      <c r="J187" s="40"/>
      <c r="K187" s="40"/>
      <c r="L187" s="40"/>
      <c r="M187" s="64"/>
      <c r="N187" s="64"/>
      <c r="O187" s="64"/>
      <c r="P187" s="64"/>
      <c r="Q187" s="64"/>
      <c r="R187" s="64"/>
      <c r="S187" s="64"/>
      <c r="T187" s="64"/>
      <c r="U187" s="64"/>
      <c r="V187" s="64"/>
      <c r="W187" s="64"/>
      <c r="X187" s="64"/>
      <c r="Y187" s="64">
        <v>47942</v>
      </c>
      <c r="Z187" s="337">
        <v>52231</v>
      </c>
      <c r="AA187" s="337">
        <v>51448</v>
      </c>
      <c r="AB187" s="337">
        <v>51217</v>
      </c>
      <c r="AC187" s="337">
        <v>49446</v>
      </c>
      <c r="AD187" s="337">
        <v>55857</v>
      </c>
      <c r="AE187" s="337">
        <v>57390</v>
      </c>
      <c r="AF187" s="337">
        <v>56513</v>
      </c>
      <c r="AG187" s="337">
        <v>52295</v>
      </c>
      <c r="AH187" s="337">
        <v>51875</v>
      </c>
      <c r="AI187" s="337">
        <v>50565</v>
      </c>
      <c r="AJ187" s="337">
        <v>43157</v>
      </c>
      <c r="AK187" s="337">
        <v>39671</v>
      </c>
      <c r="AL187" s="337">
        <v>39481</v>
      </c>
      <c r="AM187" s="337">
        <v>32953</v>
      </c>
      <c r="AN187" s="337">
        <v>34733</v>
      </c>
      <c r="AO187" s="337">
        <v>28258</v>
      </c>
      <c r="AP187" s="337">
        <v>34176</v>
      </c>
      <c r="AQ187" s="337">
        <v>31915</v>
      </c>
      <c r="AR187" s="337">
        <v>29914</v>
      </c>
      <c r="AS187" s="337">
        <v>29412</v>
      </c>
      <c r="AT187" s="337">
        <v>37920</v>
      </c>
      <c r="AU187" s="337">
        <v>33613</v>
      </c>
      <c r="AV187" s="548">
        <v>30572</v>
      </c>
      <c r="AW187" s="65">
        <v>35427.507934601221</v>
      </c>
      <c r="AX187" s="65">
        <v>36090.793126485478</v>
      </c>
      <c r="AY187" s="65">
        <v>37097.532540799184</v>
      </c>
      <c r="AZ187" s="65">
        <v>37840.759292927571</v>
      </c>
      <c r="BA187" s="65">
        <v>38574.220161985344</v>
      </c>
      <c r="BB187" s="65">
        <v>39322.068237456864</v>
      </c>
      <c r="BC187" s="65">
        <v>40084.588910246093</v>
      </c>
      <c r="BD187" s="65">
        <v>40862.073293689245</v>
      </c>
      <c r="BE187" s="65">
        <v>41654.8183394964</v>
      </c>
      <c r="BF187" s="65">
        <v>42463.126956065586</v>
      </c>
      <c r="BG187" s="65">
        <v>43287.308129218647</v>
      </c>
      <c r="BH187" s="65">
        <v>44127.67704540876</v>
      </c>
      <c r="BI187" s="65">
        <v>44984.555217450717</v>
      </c>
      <c r="BJ187" s="65">
        <v>45858.270612826112</v>
      </c>
      <c r="BK187" s="65">
        <v>46749.157784616771</v>
      </c>
      <c r="BL187" s="65">
        <v>47657.558005120518</v>
      </c>
      <c r="BM187" s="65">
        <v>48583.819402205118</v>
      </c>
      <c r="BN187" s="65">
        <v>49069.657596227175</v>
      </c>
      <c r="BO187" s="65">
        <v>49560.354172189443</v>
      </c>
      <c r="BP187" s="65"/>
      <c r="BQ187" s="40">
        <v>5902.9</v>
      </c>
      <c r="BR187" s="40">
        <v>3869.5</v>
      </c>
      <c r="BS187" s="40">
        <v>3274</v>
      </c>
      <c r="BT187" s="40">
        <v>2618</v>
      </c>
      <c r="BU187" s="40">
        <v>1135</v>
      </c>
      <c r="BV187" s="40">
        <v>927</v>
      </c>
      <c r="BW187" s="40">
        <v>5063</v>
      </c>
      <c r="BX187" s="40">
        <v>6787</v>
      </c>
      <c r="BY187" s="40">
        <v>7654</v>
      </c>
      <c r="BZ187" s="40">
        <v>2714</v>
      </c>
      <c r="CA187" s="65">
        <v>0</v>
      </c>
      <c r="CB187" s="65">
        <v>0</v>
      </c>
      <c r="CC187" s="65">
        <v>0</v>
      </c>
      <c r="CD187" s="65">
        <v>0</v>
      </c>
      <c r="CE187" s="65">
        <v>0</v>
      </c>
      <c r="CF187" s="65">
        <v>0</v>
      </c>
      <c r="CG187" s="65">
        <v>0</v>
      </c>
      <c r="CH187" s="65">
        <v>0</v>
      </c>
      <c r="CI187" s="65">
        <v>0</v>
      </c>
      <c r="CJ187" s="65">
        <v>0</v>
      </c>
      <c r="CK187" s="65">
        <v>47942</v>
      </c>
      <c r="CL187" s="65">
        <v>51448</v>
      </c>
      <c r="CM187" s="65">
        <v>49446</v>
      </c>
      <c r="CN187" s="65">
        <v>57390</v>
      </c>
      <c r="CO187" s="65">
        <v>52295</v>
      </c>
      <c r="CP187" s="65">
        <v>50565</v>
      </c>
      <c r="CQ187" s="65">
        <v>39671</v>
      </c>
      <c r="CR187" s="65">
        <v>32953</v>
      </c>
      <c r="CS187" s="65">
        <v>28258</v>
      </c>
      <c r="CT187" s="65">
        <v>31915</v>
      </c>
      <c r="CU187" s="65">
        <v>29412</v>
      </c>
      <c r="CV187" s="221">
        <v>33613</v>
      </c>
      <c r="CW187" s="65">
        <v>35427.507934601221</v>
      </c>
      <c r="CX187" s="65">
        <v>37097.532540799184</v>
      </c>
      <c r="CY187" s="65">
        <v>38574.220161985344</v>
      </c>
      <c r="CZ187" s="65">
        <v>40084.588910246093</v>
      </c>
      <c r="DA187" s="65">
        <v>41654.8183394964</v>
      </c>
      <c r="DB187" s="65">
        <v>43287.308129218647</v>
      </c>
      <c r="DC187" s="65">
        <v>44984.555217450717</v>
      </c>
      <c r="DD187" s="65">
        <v>46749.157784616771</v>
      </c>
      <c r="DE187" s="65">
        <v>48583.819402205118</v>
      </c>
      <c r="DF187" s="65">
        <v>49560.354172189443</v>
      </c>
    </row>
    <row r="188" spans="1:110" ht="12" outlineLevel="1">
      <c r="C188" s="41"/>
      <c r="D188" s="41"/>
      <c r="E188" s="41"/>
      <c r="F188" s="41"/>
      <c r="G188" s="41"/>
      <c r="H188" s="41"/>
      <c r="I188" s="41"/>
      <c r="J188" s="41"/>
      <c r="K188" s="41"/>
      <c r="L188" s="41"/>
      <c r="M188" s="41"/>
      <c r="N188" s="41"/>
      <c r="O188" s="41"/>
      <c r="P188" s="41"/>
      <c r="Q188" s="41"/>
      <c r="R188" s="41"/>
      <c r="S188" s="41"/>
      <c r="T188" s="41"/>
      <c r="U188" s="41"/>
      <c r="V188" s="41"/>
      <c r="W188" s="41"/>
      <c r="X188" s="41"/>
      <c r="Y188" s="41"/>
      <c r="Z188" s="41"/>
      <c r="AA188" s="41"/>
      <c r="AB188" s="41"/>
      <c r="AC188" s="41"/>
      <c r="AD188" s="37"/>
      <c r="AE188" s="37"/>
      <c r="AF188" s="41"/>
      <c r="AG188" s="41"/>
      <c r="AH188" s="41"/>
      <c r="AI188" s="41"/>
      <c r="AJ188" s="41"/>
      <c r="AK188" s="41"/>
      <c r="AL188" s="41"/>
      <c r="AM188" s="41"/>
      <c r="AN188" s="41"/>
      <c r="AO188" s="41"/>
      <c r="AP188" s="41"/>
      <c r="AQ188" s="41"/>
      <c r="AR188" s="41"/>
      <c r="AS188" s="41"/>
      <c r="AT188" s="41"/>
      <c r="AU188" s="41"/>
      <c r="AV188" s="211"/>
      <c r="AW188" s="41"/>
      <c r="AX188" s="41"/>
      <c r="AY188" s="41"/>
      <c r="AZ188" s="41"/>
      <c r="BA188" s="41"/>
      <c r="BB188" s="41"/>
      <c r="BC188" s="41"/>
      <c r="BD188" s="41"/>
      <c r="BE188" s="41"/>
      <c r="BF188" s="41"/>
      <c r="BG188" s="41"/>
      <c r="BH188" s="41"/>
      <c r="BI188" s="41"/>
      <c r="BJ188" s="41"/>
      <c r="BK188" s="41"/>
      <c r="BL188" s="41"/>
      <c r="BM188" s="41"/>
      <c r="BN188" s="41"/>
      <c r="BO188" s="41"/>
      <c r="BP188" s="41"/>
      <c r="BQ188" s="41"/>
      <c r="BR188" s="41"/>
      <c r="BS188" s="41"/>
      <c r="BT188" s="41"/>
      <c r="BU188" s="41"/>
      <c r="BV188" s="41"/>
      <c r="BW188" s="41"/>
      <c r="BX188" s="41"/>
      <c r="BY188" s="41"/>
      <c r="BZ188" s="41"/>
      <c r="CA188" s="41"/>
      <c r="CB188" s="41"/>
      <c r="CC188" s="41"/>
      <c r="CD188" s="41"/>
      <c r="CE188" s="41"/>
      <c r="CF188" s="41"/>
      <c r="CG188" s="41"/>
      <c r="CH188" s="41"/>
      <c r="CI188" s="41"/>
      <c r="CJ188" s="41"/>
      <c r="CK188" s="41"/>
      <c r="CL188" s="41"/>
      <c r="CM188" s="41"/>
      <c r="CN188" s="41"/>
      <c r="CO188" s="41"/>
      <c r="CP188" s="41"/>
      <c r="CQ188" s="41"/>
      <c r="CR188" s="41"/>
      <c r="CS188" s="41"/>
      <c r="CT188" s="41"/>
      <c r="CU188" s="41"/>
      <c r="CV188" s="211"/>
      <c r="CW188" s="41"/>
      <c r="CX188" s="41"/>
      <c r="CY188" s="41"/>
      <c r="CZ188" s="41"/>
      <c r="DA188" s="41"/>
      <c r="DB188" s="41"/>
      <c r="DC188" s="41"/>
      <c r="DD188" s="41"/>
      <c r="DE188" s="41"/>
      <c r="DF188" s="41"/>
    </row>
    <row r="189" spans="1:110" s="17" customFormat="1" ht="12" outlineLevel="1">
      <c r="A189" s="1"/>
      <c r="B189" s="17" t="s">
        <v>594</v>
      </c>
      <c r="C189" s="62"/>
      <c r="D189" s="62"/>
      <c r="E189" s="62"/>
      <c r="F189" s="62"/>
      <c r="G189" s="62"/>
      <c r="H189" s="62"/>
      <c r="I189" s="62"/>
      <c r="J189" s="62"/>
      <c r="K189" s="62"/>
      <c r="L189" s="62"/>
      <c r="M189" s="62"/>
      <c r="N189" s="62"/>
      <c r="O189" s="62"/>
      <c r="P189" s="62"/>
      <c r="Q189" s="62"/>
      <c r="R189" s="62"/>
      <c r="S189" s="62"/>
      <c r="T189" s="62"/>
      <c r="U189" s="62"/>
      <c r="V189" s="62"/>
      <c r="W189" s="62"/>
      <c r="X189" s="62"/>
      <c r="Y189" s="62"/>
      <c r="Z189" s="62"/>
      <c r="AA189" s="62"/>
      <c r="AB189" s="62"/>
      <c r="AC189" s="62"/>
      <c r="AD189" s="62"/>
      <c r="AE189" s="62"/>
      <c r="AF189" s="232"/>
      <c r="AG189" s="232"/>
      <c r="AH189" s="232"/>
      <c r="AI189" s="232"/>
      <c r="AJ189" s="62"/>
      <c r="AK189" s="62"/>
      <c r="AL189" s="62"/>
      <c r="AM189" s="62"/>
      <c r="AN189" s="62"/>
      <c r="AO189" s="62"/>
      <c r="AP189" s="62"/>
      <c r="AQ189" s="62"/>
      <c r="AR189" s="62"/>
      <c r="AS189" s="62"/>
      <c r="AT189" s="62"/>
      <c r="AU189" s="62"/>
      <c r="AV189" s="220"/>
      <c r="AW189" s="62"/>
      <c r="AX189" s="62"/>
      <c r="AY189" s="62"/>
      <c r="AZ189" s="62"/>
      <c r="BA189" s="62"/>
      <c r="BB189" s="62"/>
      <c r="BC189" s="62"/>
      <c r="BD189" s="62"/>
      <c r="BE189" s="62"/>
      <c r="BF189" s="62"/>
      <c r="BG189" s="62"/>
      <c r="BH189" s="62"/>
      <c r="BI189" s="62"/>
      <c r="BJ189" s="62"/>
      <c r="BK189" s="62"/>
      <c r="BL189" s="62"/>
      <c r="BM189" s="62"/>
      <c r="BN189" s="62"/>
      <c r="BO189" s="62"/>
      <c r="BP189" s="62"/>
      <c r="BQ189" s="62"/>
      <c r="BR189" s="62"/>
      <c r="BS189" s="62"/>
      <c r="BT189" s="62"/>
      <c r="BU189" s="62"/>
      <c r="BV189" s="62"/>
      <c r="BW189" s="62"/>
      <c r="BX189" s="62"/>
      <c r="BY189" s="62"/>
      <c r="BZ189" s="62"/>
      <c r="CA189" s="62"/>
      <c r="CB189" s="62"/>
      <c r="CC189" s="62"/>
      <c r="CD189" s="62"/>
      <c r="CE189" s="62"/>
      <c r="CF189" s="62"/>
      <c r="CG189" s="62"/>
      <c r="CH189" s="62"/>
      <c r="CI189" s="62"/>
      <c r="CJ189" s="62"/>
      <c r="CK189" s="62"/>
      <c r="CL189" s="62"/>
      <c r="CM189" s="62"/>
      <c r="CN189" s="62"/>
      <c r="CO189" s="62"/>
      <c r="CP189" s="62"/>
      <c r="CQ189" s="62"/>
      <c r="CR189" s="62"/>
      <c r="CS189" s="62"/>
      <c r="CT189" s="62"/>
      <c r="CU189" s="62"/>
      <c r="CV189" s="220"/>
      <c r="CW189" s="62"/>
      <c r="CX189" s="62"/>
      <c r="CY189" s="62"/>
      <c r="CZ189" s="62"/>
      <c r="DA189" s="62"/>
      <c r="DB189" s="62"/>
      <c r="DC189" s="62"/>
      <c r="DD189" s="62"/>
      <c r="DE189" s="62"/>
      <c r="DF189" s="62"/>
    </row>
    <row r="190" spans="1:110" ht="12" outlineLevel="1">
      <c r="A190" s="1" t="s">
        <v>251</v>
      </c>
      <c r="B190" s="15" t="s">
        <v>592</v>
      </c>
      <c r="C190" s="41"/>
      <c r="D190" s="41"/>
      <c r="E190" s="41"/>
      <c r="F190" s="41"/>
      <c r="G190" s="41"/>
      <c r="H190" s="41"/>
      <c r="I190" s="41"/>
      <c r="J190" s="41"/>
      <c r="K190" s="41"/>
      <c r="L190" s="41"/>
      <c r="M190" s="41"/>
      <c r="N190" s="41"/>
      <c r="O190" s="41"/>
      <c r="P190" s="41"/>
      <c r="Q190" s="41"/>
      <c r="R190" s="41"/>
      <c r="S190" s="41"/>
      <c r="T190" s="41"/>
      <c r="U190" s="41"/>
      <c r="V190" s="41"/>
      <c r="W190" s="41"/>
      <c r="X190" s="41"/>
      <c r="Y190" s="141">
        <v>24465</v>
      </c>
      <c r="Z190" s="141">
        <v>27320</v>
      </c>
      <c r="AA190" s="141">
        <v>31337</v>
      </c>
      <c r="AB190" s="141">
        <v>35309</v>
      </c>
      <c r="AC190" s="141">
        <v>35678</v>
      </c>
      <c r="AD190" s="141">
        <v>43044</v>
      </c>
      <c r="AE190" s="141">
        <v>43765</v>
      </c>
      <c r="AF190" s="141">
        <v>45828</v>
      </c>
      <c r="AG190" s="141">
        <v>47778</v>
      </c>
      <c r="AH190" s="141">
        <v>46594</v>
      </c>
      <c r="AI190" s="141">
        <v>46316</v>
      </c>
      <c r="AJ190" s="141">
        <v>48914</v>
      </c>
      <c r="AK190" s="141">
        <v>47471</v>
      </c>
      <c r="AL190" s="141">
        <v>51384</v>
      </c>
      <c r="AM190" s="141">
        <v>50145</v>
      </c>
      <c r="AN190" s="141">
        <v>60028</v>
      </c>
      <c r="AO190" s="141">
        <v>65535</v>
      </c>
      <c r="AP190" s="141">
        <v>72997</v>
      </c>
      <c r="AQ190" s="141">
        <v>80650</v>
      </c>
      <c r="AR190" s="141">
        <v>81302</v>
      </c>
      <c r="AS190" s="141">
        <v>73648</v>
      </c>
      <c r="AT190" s="141">
        <v>74410</v>
      </c>
      <c r="AU190" s="141">
        <v>72917</v>
      </c>
      <c r="AV190" s="226">
        <v>71394</v>
      </c>
      <c r="AW190" s="41"/>
      <c r="AX190" s="41"/>
      <c r="AY190" s="41"/>
      <c r="AZ190" s="41"/>
      <c r="BA190" s="41"/>
      <c r="BB190" s="41"/>
      <c r="BC190" s="41"/>
      <c r="BD190" s="41"/>
      <c r="BE190" s="41"/>
      <c r="BF190" s="41"/>
      <c r="BG190" s="41"/>
      <c r="BH190" s="41"/>
      <c r="BI190" s="41"/>
      <c r="BJ190" s="41"/>
      <c r="BK190" s="41"/>
      <c r="BL190" s="41"/>
      <c r="BM190" s="41"/>
      <c r="BN190" s="41"/>
      <c r="BO190" s="41"/>
      <c r="BP190" s="41"/>
      <c r="BQ190" s="41"/>
      <c r="BR190" s="41"/>
      <c r="BS190" s="41"/>
      <c r="BT190" s="41"/>
      <c r="BU190" s="41"/>
      <c r="BV190" s="41"/>
      <c r="BW190" s="41"/>
      <c r="BX190" s="41"/>
      <c r="BY190" s="41"/>
      <c r="BZ190" s="41"/>
      <c r="CA190" s="41"/>
      <c r="CB190" s="41"/>
      <c r="CC190" s="41"/>
      <c r="CD190" s="41"/>
      <c r="CE190" s="41"/>
      <c r="CF190" s="41"/>
      <c r="CG190" s="41"/>
      <c r="CH190" s="41"/>
      <c r="CI190" s="41"/>
      <c r="CJ190" s="41"/>
      <c r="CK190" s="41">
        <v>24465</v>
      </c>
      <c r="CL190" s="41">
        <v>31337</v>
      </c>
      <c r="CM190" s="41">
        <v>35678</v>
      </c>
      <c r="CN190" s="41">
        <v>43765</v>
      </c>
      <c r="CO190" s="41">
        <v>47778</v>
      </c>
      <c r="CP190" s="41">
        <v>46316</v>
      </c>
      <c r="CQ190" s="41"/>
      <c r="CR190" s="41"/>
      <c r="CS190" s="41"/>
      <c r="CT190" s="41"/>
      <c r="CU190" s="41"/>
      <c r="CV190" s="211"/>
      <c r="CW190" s="41"/>
      <c r="CX190" s="41"/>
      <c r="CY190" s="41"/>
      <c r="CZ190" s="41"/>
      <c r="DA190" s="41"/>
      <c r="DB190" s="41"/>
      <c r="DC190" s="41"/>
      <c r="DD190" s="41"/>
      <c r="DE190" s="41"/>
      <c r="DF190" s="41"/>
    </row>
    <row r="191" spans="1:110" ht="12" outlineLevel="1">
      <c r="A191" s="1" t="s">
        <v>249</v>
      </c>
      <c r="B191" s="15" t="s">
        <v>593</v>
      </c>
      <c r="C191" s="41"/>
      <c r="D191" s="41"/>
      <c r="E191" s="41"/>
      <c r="F191" s="41"/>
      <c r="G191" s="41"/>
      <c r="H191" s="41"/>
      <c r="I191" s="41"/>
      <c r="J191" s="41"/>
      <c r="K191" s="41"/>
      <c r="L191" s="41"/>
      <c r="M191" s="41"/>
      <c r="N191" s="41"/>
      <c r="O191" s="41"/>
      <c r="P191" s="41"/>
      <c r="Q191" s="41"/>
      <c r="R191" s="41"/>
      <c r="S191" s="41"/>
      <c r="T191" s="41"/>
      <c r="U191" s="41"/>
      <c r="V191" s="41"/>
      <c r="W191" s="41"/>
      <c r="X191" s="41"/>
      <c r="Y191" s="141">
        <v>28795</v>
      </c>
      <c r="Z191" s="141">
        <v>28356</v>
      </c>
      <c r="AA191" s="141">
        <v>32238</v>
      </c>
      <c r="AB191" s="141">
        <v>34190</v>
      </c>
      <c r="AC191" s="141">
        <v>32207</v>
      </c>
      <c r="AD191" s="141">
        <v>35646</v>
      </c>
      <c r="AE191" s="141">
        <v>32472</v>
      </c>
      <c r="AF191" s="141">
        <v>35546</v>
      </c>
      <c r="AG191" s="141">
        <v>39957</v>
      </c>
      <c r="AH191" s="141">
        <v>41160</v>
      </c>
      <c r="AI191" s="141">
        <v>43592</v>
      </c>
      <c r="AJ191" s="141">
        <v>46707</v>
      </c>
      <c r="AK191" s="141">
        <v>50819</v>
      </c>
      <c r="AL191" s="141">
        <v>51764</v>
      </c>
      <c r="AM191" s="141">
        <v>52316</v>
      </c>
      <c r="AN191" s="141">
        <v>52065</v>
      </c>
      <c r="AO191" s="141">
        <v>48001</v>
      </c>
      <c r="AP191" s="141">
        <v>41007</v>
      </c>
      <c r="AQ191" s="141">
        <v>40623</v>
      </c>
      <c r="AR191" s="141">
        <v>40949</v>
      </c>
      <c r="AS191" s="141">
        <v>55632</v>
      </c>
      <c r="AT191" s="141">
        <v>48990</v>
      </c>
      <c r="AU191" s="141">
        <v>52618</v>
      </c>
      <c r="AV191" s="226">
        <v>54562</v>
      </c>
      <c r="AW191" s="41"/>
      <c r="AX191" s="41"/>
      <c r="AY191" s="41"/>
      <c r="AZ191" s="41"/>
      <c r="BA191" s="41"/>
      <c r="BB191" s="41"/>
      <c r="BC191" s="41"/>
      <c r="BD191" s="41"/>
      <c r="BE191" s="41"/>
      <c r="BF191" s="41"/>
      <c r="BG191" s="41"/>
      <c r="BH191" s="41"/>
      <c r="BI191" s="41"/>
      <c r="BJ191" s="41"/>
      <c r="BK191" s="41"/>
      <c r="BL191" s="41"/>
      <c r="BM191" s="41"/>
      <c r="BN191" s="41"/>
      <c r="BO191" s="41"/>
      <c r="BP191" s="41"/>
      <c r="BQ191" s="41"/>
      <c r="BR191" s="41"/>
      <c r="BS191" s="41"/>
      <c r="BT191" s="41"/>
      <c r="BU191" s="41"/>
      <c r="BV191" s="41"/>
      <c r="BW191" s="41"/>
      <c r="BX191" s="41"/>
      <c r="BY191" s="41"/>
      <c r="BZ191" s="41"/>
      <c r="CA191" s="41"/>
      <c r="CB191" s="41"/>
      <c r="CC191" s="41"/>
      <c r="CD191" s="41"/>
      <c r="CE191" s="41"/>
      <c r="CF191" s="41"/>
      <c r="CG191" s="41"/>
      <c r="CH191" s="41"/>
      <c r="CI191" s="41"/>
      <c r="CJ191" s="41"/>
      <c r="CK191" s="41">
        <v>28795</v>
      </c>
      <c r="CL191" s="41">
        <v>32238</v>
      </c>
      <c r="CM191" s="41">
        <v>32207</v>
      </c>
      <c r="CN191" s="41">
        <v>32472</v>
      </c>
      <c r="CO191" s="41">
        <v>39957</v>
      </c>
      <c r="CP191" s="41">
        <v>43592</v>
      </c>
      <c r="CQ191" s="41"/>
      <c r="CR191" s="41"/>
      <c r="CS191" s="41"/>
      <c r="CT191" s="41"/>
      <c r="CU191" s="41"/>
      <c r="CV191" s="211"/>
      <c r="CW191" s="41"/>
      <c r="CX191" s="41"/>
      <c r="CY191" s="41"/>
      <c r="CZ191" s="41"/>
      <c r="DA191" s="41"/>
      <c r="DB191" s="41"/>
      <c r="DC191" s="41"/>
      <c r="DD191" s="41"/>
      <c r="DE191" s="41"/>
      <c r="DF191" s="41"/>
    </row>
    <row r="192" spans="1:110" s="17" customFormat="1" ht="12" outlineLevel="1">
      <c r="A192" s="1" t="s">
        <v>250</v>
      </c>
      <c r="B192" s="17" t="s">
        <v>168</v>
      </c>
      <c r="C192" s="61">
        <v>22398.644879773608</v>
      </c>
      <c r="D192" s="61">
        <v>23751.952149717901</v>
      </c>
      <c r="E192" s="61">
        <v>25105.259419662194</v>
      </c>
      <c r="F192" s="61">
        <v>25605.430765260418</v>
      </c>
      <c r="G192" s="61">
        <v>26105.602110858643</v>
      </c>
      <c r="H192" s="61">
        <v>30896.072580788696</v>
      </c>
      <c r="I192" s="61">
        <v>35686.543050718748</v>
      </c>
      <c r="J192" s="61">
        <v>37933.800232803056</v>
      </c>
      <c r="K192" s="61">
        <v>39032.480150533229</v>
      </c>
      <c r="L192" s="61">
        <v>32462.150342900684</v>
      </c>
      <c r="M192" s="61">
        <v>39524.370757846387</v>
      </c>
      <c r="N192" s="61">
        <v>40937.644253042119</v>
      </c>
      <c r="O192" s="61">
        <v>43516.222138840909</v>
      </c>
      <c r="P192" s="61">
        <v>48898.352731299216</v>
      </c>
      <c r="Q192" s="61">
        <v>60367.271544334217</v>
      </c>
      <c r="R192" s="61">
        <v>58268.159885004687</v>
      </c>
      <c r="S192" s="61">
        <v>57907.001870112937</v>
      </c>
      <c r="T192" s="61">
        <v>54185.811483048717</v>
      </c>
      <c r="U192" s="61">
        <v>52570.74893332088</v>
      </c>
      <c r="V192" s="61">
        <v>55229.391659277717</v>
      </c>
      <c r="W192" s="61">
        <v>57925.955505233294</v>
      </c>
      <c r="X192" s="384">
        <v>60119.932900425883</v>
      </c>
      <c r="Y192" s="416">
        <v>53260</v>
      </c>
      <c r="Z192" s="416">
        <v>55676</v>
      </c>
      <c r="AA192" s="416">
        <v>63575</v>
      </c>
      <c r="AB192" s="416">
        <v>69499</v>
      </c>
      <c r="AC192" s="416">
        <v>67885</v>
      </c>
      <c r="AD192" s="416">
        <v>78690</v>
      </c>
      <c r="AE192" s="416">
        <v>76237</v>
      </c>
      <c r="AF192" s="416">
        <v>81374</v>
      </c>
      <c r="AG192" s="416">
        <v>87735</v>
      </c>
      <c r="AH192" s="416">
        <v>87754</v>
      </c>
      <c r="AI192" s="416">
        <v>89908</v>
      </c>
      <c r="AJ192" s="416">
        <v>95621</v>
      </c>
      <c r="AK192" s="416">
        <v>98290</v>
      </c>
      <c r="AL192" s="416">
        <v>103148</v>
      </c>
      <c r="AM192" s="416">
        <v>102461</v>
      </c>
      <c r="AN192" s="416">
        <v>112093</v>
      </c>
      <c r="AO192" s="416">
        <v>113536</v>
      </c>
      <c r="AP192" s="416">
        <v>114004</v>
      </c>
      <c r="AQ192" s="416">
        <v>121273</v>
      </c>
      <c r="AR192" s="416">
        <v>122251</v>
      </c>
      <c r="AS192" s="416">
        <v>129280</v>
      </c>
      <c r="AT192" s="416">
        <v>123400</v>
      </c>
      <c r="AU192" s="416">
        <v>125535</v>
      </c>
      <c r="AV192" s="549">
        <v>125956</v>
      </c>
      <c r="AW192" s="62">
        <v>128213.62889227187</v>
      </c>
      <c r="AX192" s="62">
        <v>130238.27473266544</v>
      </c>
      <c r="AY192" s="62">
        <v>129334.17541397204</v>
      </c>
      <c r="AZ192" s="62">
        <v>128349.64247763457</v>
      </c>
      <c r="BA192" s="62">
        <v>126772.97917107199</v>
      </c>
      <c r="BB192" s="62">
        <v>126351.94753461056</v>
      </c>
      <c r="BC192" s="62">
        <v>126983.2748993034</v>
      </c>
      <c r="BD192" s="62">
        <v>127624.59898993574</v>
      </c>
      <c r="BE192" s="62">
        <v>128275.79274861896</v>
      </c>
      <c r="BF192" s="62">
        <v>128936.73091755823</v>
      </c>
      <c r="BG192" s="62">
        <v>129607.28979077836</v>
      </c>
      <c r="BH192" s="62">
        <v>130287.34697341704</v>
      </c>
      <c r="BI192" s="62">
        <v>130976.78114796651</v>
      </c>
      <c r="BJ192" s="62">
        <v>132638.22670333387</v>
      </c>
      <c r="BK192" s="62">
        <v>135304.25506007089</v>
      </c>
      <c r="BL192" s="62">
        <v>138023.87058677833</v>
      </c>
      <c r="BM192" s="62">
        <v>140798.15038557258</v>
      </c>
      <c r="BN192" s="62">
        <v>142206.1318894283</v>
      </c>
      <c r="BO192" s="62">
        <v>143628.1932083226</v>
      </c>
      <c r="BP192" s="62"/>
      <c r="BQ192" s="61">
        <v>18872.614192943132</v>
      </c>
      <c r="BR192" s="61">
        <v>19398.978625847303</v>
      </c>
      <c r="BS192" s="61">
        <v>18903.436508986313</v>
      </c>
      <c r="BT192" s="61">
        <v>21993.006759981894</v>
      </c>
      <c r="BU192" s="61">
        <v>26265.016456800899</v>
      </c>
      <c r="BV192" s="61">
        <v>30897.181024809874</v>
      </c>
      <c r="BW192" s="61">
        <v>31388.633669949715</v>
      </c>
      <c r="BX192" s="61">
        <v>27749.203445123218</v>
      </c>
      <c r="BY192" s="61">
        <v>24016.843992852097</v>
      </c>
      <c r="BZ192" s="61">
        <v>28368.433777999417</v>
      </c>
      <c r="CA192" s="62">
        <v>25105.259419662194</v>
      </c>
      <c r="CB192" s="62">
        <v>26105.602110858643</v>
      </c>
      <c r="CC192" s="62">
        <v>35686.543050718748</v>
      </c>
      <c r="CD192" s="62">
        <v>39032.480150533229</v>
      </c>
      <c r="CE192" s="62">
        <v>39524.370757846387</v>
      </c>
      <c r="CF192" s="62">
        <v>43516.222138840909</v>
      </c>
      <c r="CG192" s="62">
        <v>60367.271544334217</v>
      </c>
      <c r="CH192" s="62">
        <v>57907.001870112937</v>
      </c>
      <c r="CI192" s="62">
        <v>52570.74893332088</v>
      </c>
      <c r="CJ192" s="62">
        <v>57925.955505233294</v>
      </c>
      <c r="CK192" s="62">
        <v>53260</v>
      </c>
      <c r="CL192" s="62">
        <v>63575</v>
      </c>
      <c r="CM192" s="62">
        <v>67885</v>
      </c>
      <c r="CN192" s="62">
        <v>76237</v>
      </c>
      <c r="CO192" s="62">
        <v>87735</v>
      </c>
      <c r="CP192" s="62">
        <v>89908</v>
      </c>
      <c r="CQ192" s="62">
        <v>98290</v>
      </c>
      <c r="CR192" s="62">
        <v>102461</v>
      </c>
      <c r="CS192" s="62">
        <v>113536</v>
      </c>
      <c r="CT192" s="62">
        <v>121273</v>
      </c>
      <c r="CU192" s="62">
        <v>129280</v>
      </c>
      <c r="CV192" s="220">
        <v>125535</v>
      </c>
      <c r="CW192" s="62">
        <v>128213.62889227187</v>
      </c>
      <c r="CX192" s="62">
        <v>129334.17541397204</v>
      </c>
      <c r="CY192" s="62">
        <v>126772.97917107199</v>
      </c>
      <c r="CZ192" s="62">
        <v>126983.2748993034</v>
      </c>
      <c r="DA192" s="62">
        <v>128275.79274861896</v>
      </c>
      <c r="DB192" s="62">
        <v>129607.28979077836</v>
      </c>
      <c r="DC192" s="62">
        <v>130976.78114796651</v>
      </c>
      <c r="DD192" s="62">
        <v>135304.25506007089</v>
      </c>
      <c r="DE192" s="62">
        <v>140798.15038557258</v>
      </c>
      <c r="DF192" s="62">
        <v>143628.1932083226</v>
      </c>
    </row>
    <row r="193" spans="1:110" s="63" customFormat="1" ht="12" outlineLevel="1">
      <c r="A193" s="1" t="s">
        <v>618</v>
      </c>
      <c r="B193" s="63" t="s">
        <v>617</v>
      </c>
      <c r="C193" s="40"/>
      <c r="D193" s="40"/>
      <c r="E193" s="40"/>
      <c r="F193" s="40"/>
      <c r="G193" s="40"/>
      <c r="H193" s="40"/>
      <c r="I193" s="40"/>
      <c r="J193" s="40"/>
      <c r="K193" s="40"/>
      <c r="L193" s="40"/>
      <c r="M193" s="64"/>
      <c r="N193" s="64"/>
      <c r="O193" s="64"/>
      <c r="P193" s="64"/>
      <c r="Q193" s="64"/>
      <c r="R193" s="64"/>
      <c r="S193" s="64"/>
      <c r="T193" s="64"/>
      <c r="U193" s="64"/>
      <c r="V193" s="64"/>
      <c r="W193" s="64"/>
      <c r="X193" s="64"/>
      <c r="Y193" s="337">
        <v>1721</v>
      </c>
      <c r="Z193" s="337">
        <v>1303</v>
      </c>
      <c r="AA193" s="337">
        <v>2103</v>
      </c>
      <c r="AB193" s="337">
        <v>1504</v>
      </c>
      <c r="AC193" s="337">
        <v>1226</v>
      </c>
      <c r="AD193" s="337">
        <v>1435</v>
      </c>
      <c r="AE193" s="337">
        <v>677</v>
      </c>
      <c r="AF193" s="337">
        <v>1675</v>
      </c>
      <c r="AG193" s="337">
        <v>2133</v>
      </c>
      <c r="AH193" s="337">
        <v>924</v>
      </c>
      <c r="AI193" s="337">
        <v>1763</v>
      </c>
      <c r="AJ193" s="337">
        <v>1897</v>
      </c>
      <c r="AK193" s="337">
        <v>833</v>
      </c>
      <c r="AL193" s="337">
        <v>874</v>
      </c>
      <c r="AM193" s="337">
        <v>1375</v>
      </c>
      <c r="AN193" s="337">
        <v>1651</v>
      </c>
      <c r="AO193" s="337">
        <v>1650</v>
      </c>
      <c r="AP193" s="337">
        <v>1292</v>
      </c>
      <c r="AQ193" s="337">
        <v>1790</v>
      </c>
      <c r="AR193" s="337">
        <v>2018</v>
      </c>
      <c r="AS193" s="337">
        <v>1444</v>
      </c>
      <c r="AT193" s="337">
        <v>1392</v>
      </c>
      <c r="AU193" s="337">
        <v>2167</v>
      </c>
      <c r="AV193" s="548">
        <v>1800</v>
      </c>
      <c r="AW193" s="65">
        <v>1832.2631078002585</v>
      </c>
      <c r="AX193" s="65">
        <v>1861.1967236082264</v>
      </c>
      <c r="AY193" s="65">
        <v>1848.2765072338727</v>
      </c>
      <c r="AZ193" s="65">
        <v>1834.2068377825767</v>
      </c>
      <c r="BA193" s="65">
        <v>1811.6752080721012</v>
      </c>
      <c r="BB193" s="65">
        <v>1805.6583692900617</v>
      </c>
      <c r="BC193" s="65">
        <v>1814.6804822219358</v>
      </c>
      <c r="BD193" s="65">
        <v>1823.8454554120831</v>
      </c>
      <c r="BE193" s="65">
        <v>1833.1514731137393</v>
      </c>
      <c r="BF193" s="65">
        <v>1842.5967453047481</v>
      </c>
      <c r="BG193" s="65">
        <v>1852.1795041395494</v>
      </c>
      <c r="BH193" s="65">
        <v>1861.8980005093104</v>
      </c>
      <c r="BI193" s="65">
        <v>1871.750500701354</v>
      </c>
      <c r="BJ193" s="65">
        <v>1895.4937284924972</v>
      </c>
      <c r="BK193" s="65">
        <v>1933.5931524351965</v>
      </c>
      <c r="BL193" s="65">
        <v>1972.4583747991442</v>
      </c>
      <c r="BM193" s="65">
        <v>2012.1047881326069</v>
      </c>
      <c r="BN193" s="65">
        <v>2032.2258360139331</v>
      </c>
      <c r="BO193" s="65">
        <v>2052.5480943740727</v>
      </c>
      <c r="BP193" s="65"/>
      <c r="BQ193" s="40" t="e">
        <v>#DIV/0!</v>
      </c>
      <c r="BR193" s="40" t="e">
        <v>#DIV/0!</v>
      </c>
      <c r="BS193" s="40" t="e">
        <v>#DIV/0!</v>
      </c>
      <c r="BT193" s="40" t="e">
        <v>#DIV/0!</v>
      </c>
      <c r="BU193" s="40" t="e">
        <v>#DIV/0!</v>
      </c>
      <c r="BV193" s="40" t="e">
        <v>#DIV/0!</v>
      </c>
      <c r="BW193" s="40" t="e">
        <v>#DIV/0!</v>
      </c>
      <c r="BX193" s="40" t="e">
        <v>#DIV/0!</v>
      </c>
      <c r="BY193" s="40" t="e">
        <v>#DIV/0!</v>
      </c>
      <c r="BZ193" s="40" t="e">
        <v>#DIV/0!</v>
      </c>
      <c r="CA193" s="65">
        <v>0</v>
      </c>
      <c r="CB193" s="65">
        <v>0</v>
      </c>
      <c r="CC193" s="65">
        <v>0</v>
      </c>
      <c r="CD193" s="65">
        <v>0</v>
      </c>
      <c r="CE193" s="65">
        <v>0</v>
      </c>
      <c r="CF193" s="65">
        <v>0</v>
      </c>
      <c r="CG193" s="65">
        <v>0</v>
      </c>
      <c r="CH193" s="65">
        <v>0</v>
      </c>
      <c r="CI193" s="65">
        <v>0</v>
      </c>
      <c r="CJ193" s="65">
        <v>0</v>
      </c>
      <c r="CK193" s="65">
        <v>1721</v>
      </c>
      <c r="CL193" s="65">
        <v>2103</v>
      </c>
      <c r="CM193" s="65">
        <v>1226</v>
      </c>
      <c r="CN193" s="65">
        <v>677</v>
      </c>
      <c r="CO193" s="65">
        <v>2133</v>
      </c>
      <c r="CP193" s="65">
        <v>1763</v>
      </c>
      <c r="CQ193" s="65">
        <v>833</v>
      </c>
      <c r="CR193" s="65">
        <v>1375</v>
      </c>
      <c r="CS193" s="65">
        <v>1650</v>
      </c>
      <c r="CT193" s="65">
        <v>1790</v>
      </c>
      <c r="CU193" s="65">
        <v>1444</v>
      </c>
      <c r="CV193" s="221">
        <v>2167</v>
      </c>
      <c r="CW193" s="65">
        <v>1832.2631078002585</v>
      </c>
      <c r="CX193" s="65">
        <v>1848.2765072338727</v>
      </c>
      <c r="CY193" s="65">
        <v>1811.6752080721012</v>
      </c>
      <c r="CZ193" s="65">
        <v>1814.6804822219358</v>
      </c>
      <c r="DA193" s="65">
        <v>1833.1514731137393</v>
      </c>
      <c r="DB193" s="65">
        <v>1852.1795041395494</v>
      </c>
      <c r="DC193" s="65">
        <v>1871.750500701354</v>
      </c>
      <c r="DD193" s="65">
        <v>1933.5931524351965</v>
      </c>
      <c r="DE193" s="65">
        <v>2012.1047881326069</v>
      </c>
      <c r="DF193" s="65">
        <v>2052.5480943740727</v>
      </c>
    </row>
    <row r="194" spans="1:110" ht="12" outlineLevel="1">
      <c r="C194" s="41"/>
      <c r="D194" s="41"/>
      <c r="E194" s="41"/>
      <c r="F194" s="41"/>
      <c r="G194" s="41"/>
      <c r="H194" s="41"/>
      <c r="I194" s="41"/>
      <c r="J194" s="41"/>
      <c r="K194" s="41"/>
      <c r="L194" s="41"/>
      <c r="M194" s="41"/>
      <c r="N194" s="41"/>
      <c r="O194" s="41"/>
      <c r="P194" s="41"/>
      <c r="Q194" s="41"/>
      <c r="R194" s="41"/>
      <c r="S194" s="41"/>
      <c r="T194" s="41"/>
      <c r="U194" s="41"/>
      <c r="V194" s="41"/>
      <c r="W194" s="41"/>
      <c r="X194" s="41"/>
      <c r="Y194" s="41"/>
      <c r="Z194" s="41"/>
      <c r="AA194" s="41"/>
      <c r="AB194" s="41"/>
      <c r="AC194" s="41"/>
      <c r="AD194" s="41"/>
      <c r="AE194" s="41"/>
      <c r="AF194" s="41"/>
      <c r="AG194" s="41"/>
      <c r="AH194" s="41"/>
      <c r="AI194" s="41"/>
      <c r="AJ194" s="41"/>
      <c r="AK194" s="41"/>
      <c r="AL194" s="41"/>
      <c r="AM194" s="41"/>
      <c r="AN194" s="41"/>
      <c r="AO194" s="41"/>
      <c r="AP194" s="41"/>
      <c r="AQ194" s="41"/>
      <c r="AR194" s="41"/>
      <c r="AS194" s="41"/>
      <c r="AT194" s="41"/>
      <c r="AU194" s="41"/>
      <c r="AV194" s="211"/>
      <c r="AW194" s="41"/>
      <c r="AX194" s="41"/>
      <c r="AY194" s="41"/>
      <c r="AZ194" s="41"/>
      <c r="BA194" s="41"/>
      <c r="BB194" s="41"/>
      <c r="BC194" s="41"/>
      <c r="BD194" s="41"/>
      <c r="BE194" s="41"/>
      <c r="BF194" s="41"/>
      <c r="BG194" s="41"/>
      <c r="BH194" s="41"/>
      <c r="BI194" s="41"/>
      <c r="BJ194" s="41"/>
      <c r="BK194" s="41"/>
      <c r="BL194" s="41"/>
      <c r="BM194" s="41"/>
      <c r="BN194" s="41"/>
      <c r="BO194" s="41"/>
      <c r="BP194" s="41"/>
      <c r="BQ194" s="41"/>
      <c r="BR194" s="41"/>
      <c r="BS194" s="41"/>
      <c r="BT194" s="41"/>
      <c r="BU194" s="41"/>
      <c r="BV194" s="41"/>
      <c r="BW194" s="41"/>
      <c r="BX194" s="41"/>
      <c r="BY194" s="41"/>
      <c r="BZ194" s="41"/>
      <c r="CA194" s="41"/>
      <c r="CB194" s="41"/>
      <c r="CC194" s="41"/>
      <c r="CD194" s="41"/>
      <c r="CE194" s="41"/>
      <c r="CF194" s="41"/>
      <c r="CG194" s="41"/>
      <c r="CH194" s="41"/>
      <c r="CI194" s="41"/>
      <c r="CJ194" s="41"/>
      <c r="CK194" s="41"/>
      <c r="CL194" s="41"/>
      <c r="CM194" s="41"/>
      <c r="CN194" s="41"/>
      <c r="CO194" s="41"/>
      <c r="CP194" s="41"/>
      <c r="CQ194" s="41"/>
      <c r="CR194" s="41"/>
      <c r="CS194" s="41"/>
      <c r="CT194" s="41"/>
      <c r="CU194" s="41"/>
      <c r="CV194" s="211"/>
      <c r="CW194" s="41"/>
      <c r="CX194" s="41"/>
      <c r="CY194" s="41"/>
      <c r="CZ194" s="41"/>
      <c r="DA194" s="41"/>
      <c r="DB194" s="41"/>
      <c r="DC194" s="41"/>
      <c r="DD194" s="41"/>
      <c r="DE194" s="41"/>
      <c r="DF194" s="41"/>
    </row>
    <row r="195" spans="1:110" s="17" customFormat="1" ht="12" outlineLevel="1">
      <c r="A195" s="1"/>
      <c r="B195" s="17" t="s">
        <v>494</v>
      </c>
      <c r="C195" s="62"/>
      <c r="D195" s="62"/>
      <c r="E195" s="62"/>
      <c r="F195" s="62"/>
      <c r="G195" s="62"/>
      <c r="H195" s="62"/>
      <c r="I195" s="62"/>
      <c r="J195" s="62"/>
      <c r="K195" s="62"/>
      <c r="L195" s="62"/>
      <c r="M195" s="62"/>
      <c r="N195" s="62"/>
      <c r="O195" s="62"/>
      <c r="P195" s="62"/>
      <c r="Q195" s="62"/>
      <c r="R195" s="62"/>
      <c r="S195" s="62"/>
      <c r="T195" s="62"/>
      <c r="U195" s="62"/>
      <c r="V195" s="62"/>
      <c r="W195" s="62"/>
      <c r="X195" s="62"/>
      <c r="Y195" s="62"/>
      <c r="Z195" s="62"/>
      <c r="AA195" s="62"/>
      <c r="AB195" s="62"/>
      <c r="AC195" s="62"/>
      <c r="AD195" s="62"/>
      <c r="AE195" s="62"/>
      <c r="AF195" s="62"/>
      <c r="AG195" s="62"/>
      <c r="AH195" s="62"/>
      <c r="AI195" s="62"/>
      <c r="AJ195" s="62"/>
      <c r="AK195" s="62"/>
      <c r="AL195" s="62"/>
      <c r="AM195" s="62"/>
      <c r="AN195" s="62"/>
      <c r="AO195" s="62"/>
      <c r="AP195" s="62"/>
      <c r="AQ195" s="62"/>
      <c r="AR195" s="62"/>
      <c r="AS195" s="62"/>
      <c r="AT195" s="62"/>
      <c r="AU195" s="62"/>
      <c r="AV195" s="220"/>
      <c r="AW195" s="62"/>
      <c r="AX195" s="62"/>
      <c r="AY195" s="62"/>
      <c r="AZ195" s="62"/>
      <c r="BA195" s="62"/>
      <c r="BB195" s="62"/>
      <c r="BC195" s="62"/>
      <c r="BD195" s="62"/>
      <c r="BE195" s="62"/>
      <c r="BF195" s="62"/>
      <c r="BG195" s="62"/>
      <c r="BH195" s="62"/>
      <c r="BI195" s="62"/>
      <c r="BJ195" s="62"/>
      <c r="BK195" s="62"/>
      <c r="BL195" s="62"/>
      <c r="BM195" s="62"/>
      <c r="BN195" s="62"/>
      <c r="BO195" s="62"/>
      <c r="BP195" s="62"/>
      <c r="BQ195" s="62"/>
      <c r="BR195" s="62"/>
      <c r="BS195" s="62"/>
      <c r="BT195" s="62"/>
      <c r="BU195" s="62"/>
      <c r="BV195" s="62"/>
      <c r="BW195" s="62"/>
      <c r="BX195" s="62"/>
      <c r="BY195" s="62"/>
      <c r="BZ195" s="62"/>
      <c r="CA195" s="62"/>
      <c r="CB195" s="62"/>
      <c r="CC195" s="62"/>
      <c r="CD195" s="62"/>
      <c r="CE195" s="62"/>
      <c r="CF195" s="62"/>
      <c r="CG195" s="62"/>
      <c r="CH195" s="62"/>
      <c r="CI195" s="62"/>
      <c r="CJ195" s="62"/>
      <c r="CK195" s="62"/>
      <c r="CL195" s="62"/>
      <c r="CM195" s="62"/>
      <c r="CN195" s="62"/>
      <c r="CO195" s="62"/>
      <c r="CP195" s="62"/>
      <c r="CQ195" s="62"/>
      <c r="CR195" s="62"/>
      <c r="CS195" s="62"/>
      <c r="CT195" s="62"/>
      <c r="CU195" s="62"/>
      <c r="CV195" s="220"/>
      <c r="CW195" s="62"/>
      <c r="CX195" s="62"/>
      <c r="CY195" s="62"/>
      <c r="CZ195" s="62"/>
      <c r="DA195" s="62"/>
      <c r="DB195" s="62"/>
      <c r="DC195" s="62"/>
      <c r="DD195" s="62"/>
      <c r="DE195" s="62"/>
      <c r="DF195" s="62"/>
    </row>
    <row r="196" spans="1:110" ht="12" outlineLevel="1">
      <c r="A196" s="1" t="s">
        <v>248</v>
      </c>
      <c r="B196" s="15" t="s">
        <v>592</v>
      </c>
      <c r="C196" s="41"/>
      <c r="D196" s="41"/>
      <c r="E196" s="41"/>
      <c r="F196" s="41"/>
      <c r="G196" s="41"/>
      <c r="H196" s="41"/>
      <c r="I196" s="41"/>
      <c r="J196" s="41"/>
      <c r="K196" s="41"/>
      <c r="L196" s="41"/>
      <c r="M196" s="41"/>
      <c r="N196" s="41"/>
      <c r="O196" s="41"/>
      <c r="P196" s="41"/>
      <c r="Q196" s="41"/>
      <c r="R196" s="41"/>
      <c r="S196" s="41"/>
      <c r="T196" s="41"/>
      <c r="U196" s="41"/>
      <c r="V196" s="41"/>
      <c r="W196" s="41"/>
      <c r="X196" s="41"/>
      <c r="Y196" s="41">
        <v>17804</v>
      </c>
      <c r="Z196" s="41">
        <v>18424</v>
      </c>
      <c r="AA196" s="41">
        <v>22135</v>
      </c>
      <c r="AB196" s="41">
        <v>23067</v>
      </c>
      <c r="AC196" s="41">
        <v>25095</v>
      </c>
      <c r="AD196" s="41">
        <v>29214</v>
      </c>
      <c r="AE196" s="41">
        <v>33390</v>
      </c>
      <c r="AF196" s="41">
        <v>30091</v>
      </c>
      <c r="AG196" s="41">
        <v>30043</v>
      </c>
      <c r="AH196" s="41">
        <v>28482</v>
      </c>
      <c r="AI196" s="41">
        <v>26288</v>
      </c>
      <c r="AJ196" s="41">
        <v>23919</v>
      </c>
      <c r="AK196" s="41">
        <v>23049</v>
      </c>
      <c r="AL196" s="41">
        <v>25174</v>
      </c>
      <c r="AM196" s="41">
        <v>25435</v>
      </c>
      <c r="AN196" s="41">
        <v>31312</v>
      </c>
      <c r="AO196" s="41">
        <v>29839</v>
      </c>
      <c r="AP196" s="41">
        <v>33780</v>
      </c>
      <c r="AQ196" s="41">
        <v>41803</v>
      </c>
      <c r="AR196" s="41">
        <v>38155</v>
      </c>
      <c r="AS196" s="41">
        <v>35931</v>
      </c>
      <c r="AT196" s="41">
        <v>29578</v>
      </c>
      <c r="AU196" s="41">
        <v>27439</v>
      </c>
      <c r="AV196" s="211">
        <v>26048</v>
      </c>
      <c r="AW196" s="41"/>
      <c r="AX196" s="41"/>
      <c r="AY196" s="41"/>
      <c r="AZ196" s="41"/>
      <c r="BA196" s="41"/>
      <c r="BB196" s="41"/>
      <c r="BC196" s="41"/>
      <c r="BD196" s="41"/>
      <c r="BE196" s="41"/>
      <c r="BF196" s="41"/>
      <c r="BG196" s="41"/>
      <c r="BH196" s="41"/>
      <c r="BI196" s="41"/>
      <c r="BJ196" s="41"/>
      <c r="BK196" s="41"/>
      <c r="BL196" s="41"/>
      <c r="BM196" s="41"/>
      <c r="BN196" s="41"/>
      <c r="BO196" s="41"/>
      <c r="BP196" s="41"/>
      <c r="BQ196" s="41"/>
      <c r="BR196" s="41"/>
      <c r="BS196" s="41"/>
      <c r="BT196" s="41"/>
      <c r="BU196" s="41"/>
      <c r="BV196" s="41"/>
      <c r="BW196" s="41"/>
      <c r="BX196" s="41"/>
      <c r="BY196" s="41"/>
      <c r="BZ196" s="41"/>
      <c r="CA196" s="41"/>
      <c r="CB196" s="41"/>
      <c r="CC196" s="41"/>
      <c r="CD196" s="41"/>
      <c r="CE196" s="41"/>
      <c r="CF196" s="41"/>
      <c r="CG196" s="41"/>
      <c r="CH196" s="41"/>
      <c r="CI196" s="41"/>
      <c r="CJ196" s="41"/>
      <c r="CK196" s="41">
        <v>17804</v>
      </c>
      <c r="CL196" s="41">
        <v>22135</v>
      </c>
      <c r="CM196" s="41">
        <v>25095</v>
      </c>
      <c r="CN196" s="41">
        <v>33390</v>
      </c>
      <c r="CO196" s="41">
        <v>30043</v>
      </c>
      <c r="CP196" s="41">
        <v>26288</v>
      </c>
      <c r="CQ196" s="41"/>
      <c r="CR196" s="41"/>
      <c r="CS196" s="41"/>
      <c r="CT196" s="41"/>
      <c r="CU196" s="41"/>
      <c r="CV196" s="211"/>
      <c r="CW196" s="41"/>
      <c r="CX196" s="41"/>
      <c r="CY196" s="41"/>
      <c r="CZ196" s="41"/>
      <c r="DA196" s="41"/>
      <c r="DB196" s="41"/>
      <c r="DC196" s="41"/>
      <c r="DD196" s="41"/>
      <c r="DE196" s="41"/>
      <c r="DF196" s="41"/>
    </row>
    <row r="197" spans="1:110" ht="12" outlineLevel="1">
      <c r="A197" s="1" t="s">
        <v>246</v>
      </c>
      <c r="B197" s="15" t="s">
        <v>593</v>
      </c>
      <c r="C197" s="41"/>
      <c r="D197" s="41"/>
      <c r="E197" s="41"/>
      <c r="F197" s="41"/>
      <c r="G197" s="41"/>
      <c r="H197" s="41"/>
      <c r="I197" s="41"/>
      <c r="J197" s="41"/>
      <c r="K197" s="41"/>
      <c r="L197" s="41"/>
      <c r="M197" s="41"/>
      <c r="N197" s="41"/>
      <c r="O197" s="41"/>
      <c r="P197" s="41"/>
      <c r="Q197" s="41"/>
      <c r="R197" s="41"/>
      <c r="S197" s="41"/>
      <c r="T197" s="41"/>
      <c r="U197" s="41"/>
      <c r="V197" s="41"/>
      <c r="W197" s="41"/>
      <c r="X197" s="41"/>
      <c r="Y197" s="41">
        <v>70058</v>
      </c>
      <c r="Z197" s="41">
        <v>82631</v>
      </c>
      <c r="AA197" s="41">
        <v>80983</v>
      </c>
      <c r="AB197" s="41">
        <v>84572</v>
      </c>
      <c r="AC197" s="41">
        <v>85039</v>
      </c>
      <c r="AD197" s="41">
        <v>103441</v>
      </c>
      <c r="AE197" s="41">
        <v>101866</v>
      </c>
      <c r="AF197" s="41">
        <v>97000</v>
      </c>
      <c r="AG197" s="41">
        <v>91584</v>
      </c>
      <c r="AH197" s="41">
        <v>95078</v>
      </c>
      <c r="AI197" s="41">
        <v>81757</v>
      </c>
      <c r="AJ197" s="41">
        <v>82569</v>
      </c>
      <c r="AK197" s="41">
        <v>91387</v>
      </c>
      <c r="AL197" s="41">
        <v>97611</v>
      </c>
      <c r="AM197" s="41">
        <v>103904</v>
      </c>
      <c r="AN197" s="41">
        <v>122635</v>
      </c>
      <c r="AO197" s="41">
        <v>89318</v>
      </c>
      <c r="AP197" s="41">
        <v>89482</v>
      </c>
      <c r="AQ197" s="41">
        <v>92484</v>
      </c>
      <c r="AR197" s="41">
        <v>102538</v>
      </c>
      <c r="AS197" s="41">
        <v>97750</v>
      </c>
      <c r="AT197" s="41">
        <v>132700</v>
      </c>
      <c r="AU197" s="41">
        <v>124063</v>
      </c>
      <c r="AV197" s="211">
        <v>107642</v>
      </c>
      <c r="AW197" s="41"/>
      <c r="AX197" s="41"/>
      <c r="AY197" s="41"/>
      <c r="AZ197" s="41"/>
      <c r="BA197" s="41"/>
      <c r="BB197" s="41"/>
      <c r="BC197" s="41"/>
      <c r="BD197" s="41"/>
      <c r="BE197" s="41"/>
      <c r="BF197" s="41"/>
      <c r="BG197" s="41"/>
      <c r="BH197" s="41"/>
      <c r="BI197" s="41"/>
      <c r="BJ197" s="41"/>
      <c r="BK197" s="41"/>
      <c r="BL197" s="41"/>
      <c r="BM197" s="41"/>
      <c r="BN197" s="41"/>
      <c r="BO197" s="41"/>
      <c r="BP197" s="41"/>
      <c r="BQ197" s="41"/>
      <c r="BR197" s="41"/>
      <c r="BS197" s="41"/>
      <c r="BT197" s="41"/>
      <c r="BU197" s="41"/>
      <c r="BV197" s="41"/>
      <c r="BW197" s="41"/>
      <c r="BX197" s="41"/>
      <c r="BY197" s="41"/>
      <c r="BZ197" s="41"/>
      <c r="CA197" s="41"/>
      <c r="CB197" s="41"/>
      <c r="CC197" s="41"/>
      <c r="CD197" s="41"/>
      <c r="CE197" s="41"/>
      <c r="CF197" s="41"/>
      <c r="CG197" s="41"/>
      <c r="CH197" s="41"/>
      <c r="CI197" s="41"/>
      <c r="CJ197" s="41"/>
      <c r="CK197" s="41">
        <v>70058</v>
      </c>
      <c r="CL197" s="41">
        <v>80983</v>
      </c>
      <c r="CM197" s="41">
        <v>85039</v>
      </c>
      <c r="CN197" s="41">
        <v>101866</v>
      </c>
      <c r="CO197" s="41">
        <v>91584</v>
      </c>
      <c r="CP197" s="41">
        <v>81757</v>
      </c>
      <c r="CQ197" s="41"/>
      <c r="CR197" s="41"/>
      <c r="CS197" s="41"/>
      <c r="CT197" s="41"/>
      <c r="CU197" s="41"/>
      <c r="CV197" s="211"/>
      <c r="CW197" s="41"/>
      <c r="CX197" s="41"/>
      <c r="CY197" s="41"/>
      <c r="CZ197" s="41"/>
      <c r="DA197" s="41"/>
      <c r="DB197" s="41"/>
      <c r="DC197" s="41"/>
      <c r="DD197" s="41"/>
      <c r="DE197" s="41"/>
      <c r="DF197" s="41"/>
    </row>
    <row r="198" spans="1:110" s="17" customFormat="1" ht="12" outlineLevel="1">
      <c r="A198" s="1" t="s">
        <v>247</v>
      </c>
      <c r="B198" s="17" t="s">
        <v>168</v>
      </c>
      <c r="C198" s="62">
        <v>2668.3779670971853</v>
      </c>
      <c r="D198" s="62">
        <v>2829.5991178058539</v>
      </c>
      <c r="E198" s="62">
        <v>2990.8202685145079</v>
      </c>
      <c r="F198" s="62">
        <v>3050.4062928267522</v>
      </c>
      <c r="G198" s="62">
        <v>3109.992317139011</v>
      </c>
      <c r="H198" s="62">
        <v>3680.6869248978146</v>
      </c>
      <c r="I198" s="62">
        <v>4251.3815326566182</v>
      </c>
      <c r="J198" s="62">
        <v>4330.5102267058392</v>
      </c>
      <c r="K198" s="62">
        <v>29.264605244490667</v>
      </c>
      <c r="L198" s="62">
        <v>0</v>
      </c>
      <c r="M198" s="62">
        <v>0</v>
      </c>
      <c r="N198" s="62">
        <v>11615.242136576664</v>
      </c>
      <c r="O198" s="62">
        <v>12602.029112338525</v>
      </c>
      <c r="P198" s="62">
        <v>23322.563699557089</v>
      </c>
      <c r="Q198" s="62">
        <v>27457.395483785862</v>
      </c>
      <c r="R198" s="62">
        <v>34978.841669463523</v>
      </c>
      <c r="S198" s="62">
        <v>35478.092557722579</v>
      </c>
      <c r="T198" s="62">
        <v>48165.558934898319</v>
      </c>
      <c r="U198" s="62">
        <v>53885.306697499138</v>
      </c>
      <c r="V198" s="62">
        <v>63080.21873912702</v>
      </c>
      <c r="W198" s="62">
        <v>77092.299682565354</v>
      </c>
      <c r="X198" s="62">
        <v>84180.275193559588</v>
      </c>
      <c r="Y198" s="62">
        <v>87862</v>
      </c>
      <c r="Z198" s="62">
        <v>101055</v>
      </c>
      <c r="AA198" s="62">
        <v>103118</v>
      </c>
      <c r="AB198" s="62">
        <v>107639</v>
      </c>
      <c r="AC198" s="62">
        <v>110134</v>
      </c>
      <c r="AD198" s="62">
        <v>132655</v>
      </c>
      <c r="AE198" s="62">
        <v>135256</v>
      </c>
      <c r="AF198" s="62">
        <v>127091</v>
      </c>
      <c r="AG198" s="62">
        <v>121627</v>
      </c>
      <c r="AH198" s="62">
        <v>123560</v>
      </c>
      <c r="AI198" s="62">
        <v>108045</v>
      </c>
      <c r="AJ198" s="62">
        <v>106488</v>
      </c>
      <c r="AK198" s="62">
        <v>114436</v>
      </c>
      <c r="AL198" s="62">
        <v>122785</v>
      </c>
      <c r="AM198" s="62">
        <v>129339</v>
      </c>
      <c r="AN198" s="62">
        <v>153947</v>
      </c>
      <c r="AO198" s="62">
        <v>119157</v>
      </c>
      <c r="AP198" s="62">
        <v>123262</v>
      </c>
      <c r="AQ198" s="62">
        <v>134287</v>
      </c>
      <c r="AR198" s="62">
        <v>140693</v>
      </c>
      <c r="AS198" s="62">
        <v>133681</v>
      </c>
      <c r="AT198" s="62">
        <v>162278</v>
      </c>
      <c r="AU198" s="62">
        <v>151502</v>
      </c>
      <c r="AV198" s="220">
        <v>133690</v>
      </c>
      <c r="AW198" s="62">
        <v>139208.72320000001</v>
      </c>
      <c r="AX198" s="62">
        <v>140455.36848238806</v>
      </c>
      <c r="AY198" s="62">
        <v>135303.18077215858</v>
      </c>
      <c r="AZ198" s="62">
        <v>133487.30857556607</v>
      </c>
      <c r="BA198" s="62">
        <v>134419.60088942718</v>
      </c>
      <c r="BB198" s="62">
        <v>136970.01944440542</v>
      </c>
      <c r="BC198" s="62">
        <v>141131.88197667609</v>
      </c>
      <c r="BD198" s="62">
        <v>145432.63367782798</v>
      </c>
      <c r="BE198" s="62">
        <v>149877.0197599644</v>
      </c>
      <c r="BF198" s="62">
        <v>154469.95271932526</v>
      </c>
      <c r="BG198" s="62">
        <v>159216.51827985371</v>
      </c>
      <c r="BH198" s="62">
        <v>164121.98155292377</v>
      </c>
      <c r="BI198" s="62">
        <v>169191.79342104038</v>
      </c>
      <c r="BJ198" s="62">
        <v>175192.20004818169</v>
      </c>
      <c r="BK198" s="62">
        <v>182199.88805010894</v>
      </c>
      <c r="BL198" s="62">
        <v>189487.88357211335</v>
      </c>
      <c r="BM198" s="62">
        <v>197067.39891499787</v>
      </c>
      <c r="BN198" s="62">
        <v>199038.07290414782</v>
      </c>
      <c r="BO198" s="62">
        <v>201028.45363318938</v>
      </c>
      <c r="BP198" s="62"/>
      <c r="BQ198" s="62">
        <v>1700.7858070568691</v>
      </c>
      <c r="BR198" s="62">
        <v>1748.2213741526939</v>
      </c>
      <c r="BS198" s="62">
        <v>1703.5634910136869</v>
      </c>
      <c r="BT198" s="62">
        <v>1981.993240018106</v>
      </c>
      <c r="BU198" s="62">
        <v>2366.9835431991014</v>
      </c>
      <c r="BV198" s="62">
        <v>3680.8189751901264</v>
      </c>
      <c r="BW198" s="62">
        <v>3739.3663300502849</v>
      </c>
      <c r="BX198" s="62">
        <v>3305.7965548767825</v>
      </c>
      <c r="BY198" s="62">
        <v>2861.1560071479034</v>
      </c>
      <c r="BZ198" s="62">
        <v>3379.5662220005834</v>
      </c>
      <c r="CA198" s="62">
        <v>2990.8202685145079</v>
      </c>
      <c r="CB198" s="62">
        <v>3109.992317139011</v>
      </c>
      <c r="CC198" s="62">
        <v>4251.3815326566182</v>
      </c>
      <c r="CD198" s="62">
        <v>29.264605244490667</v>
      </c>
      <c r="CE198" s="62">
        <v>0</v>
      </c>
      <c r="CF198" s="62">
        <v>12602.029112338525</v>
      </c>
      <c r="CG198" s="62">
        <v>27457.395483785862</v>
      </c>
      <c r="CH198" s="62">
        <v>35478.092557722579</v>
      </c>
      <c r="CI198" s="62">
        <v>53885.306697499138</v>
      </c>
      <c r="CJ198" s="62">
        <v>77092.299682565354</v>
      </c>
      <c r="CK198" s="62">
        <v>87862</v>
      </c>
      <c r="CL198" s="62">
        <v>103118</v>
      </c>
      <c r="CM198" s="62">
        <v>110134</v>
      </c>
      <c r="CN198" s="62">
        <v>135256</v>
      </c>
      <c r="CO198" s="62">
        <v>121627</v>
      </c>
      <c r="CP198" s="62">
        <v>108045</v>
      </c>
      <c r="CQ198" s="62">
        <v>114436</v>
      </c>
      <c r="CR198" s="62">
        <v>129339</v>
      </c>
      <c r="CS198" s="62">
        <v>119157</v>
      </c>
      <c r="CT198" s="62">
        <v>134287</v>
      </c>
      <c r="CU198" s="62">
        <v>133681</v>
      </c>
      <c r="CV198" s="220">
        <v>151502</v>
      </c>
      <c r="CW198" s="62">
        <v>139208.72320000001</v>
      </c>
      <c r="CX198" s="62">
        <v>135303.18077215858</v>
      </c>
      <c r="CY198" s="62">
        <v>134419.60088942718</v>
      </c>
      <c r="CZ198" s="62">
        <v>141131.88197667609</v>
      </c>
      <c r="DA198" s="62">
        <v>149877.0197599644</v>
      </c>
      <c r="DB198" s="62">
        <v>159216.51827985371</v>
      </c>
      <c r="DC198" s="62">
        <v>169191.79342104038</v>
      </c>
      <c r="DD198" s="62">
        <v>182199.88805010894</v>
      </c>
      <c r="DE198" s="62">
        <v>197067.39891499787</v>
      </c>
      <c r="DF198" s="62">
        <v>201028.45363318938</v>
      </c>
    </row>
    <row r="199" spans="1:110" s="63" customFormat="1" ht="12" outlineLevel="1">
      <c r="A199" s="1" t="s">
        <v>619</v>
      </c>
      <c r="B199" s="63" t="s">
        <v>617</v>
      </c>
      <c r="C199" s="41"/>
      <c r="D199" s="41"/>
      <c r="E199" s="41"/>
      <c r="F199" s="41"/>
      <c r="G199" s="41"/>
      <c r="H199" s="41"/>
      <c r="I199" s="41"/>
      <c r="J199" s="41"/>
      <c r="K199" s="41"/>
      <c r="L199" s="41"/>
      <c r="M199" s="65"/>
      <c r="N199" s="65"/>
      <c r="O199" s="65"/>
      <c r="P199" s="65"/>
      <c r="Q199" s="65"/>
      <c r="R199" s="65"/>
      <c r="S199" s="65"/>
      <c r="T199" s="65"/>
      <c r="U199" s="65"/>
      <c r="V199" s="65"/>
      <c r="W199" s="65"/>
      <c r="X199" s="65"/>
      <c r="Y199" s="65">
        <v>7175</v>
      </c>
      <c r="Z199" s="65">
        <v>8030</v>
      </c>
      <c r="AA199" s="65">
        <v>4724</v>
      </c>
      <c r="AB199" s="65">
        <v>4986</v>
      </c>
      <c r="AC199" s="65">
        <v>2083</v>
      </c>
      <c r="AD199" s="65">
        <v>2354</v>
      </c>
      <c r="AE199" s="65">
        <v>5379</v>
      </c>
      <c r="AF199" s="65">
        <v>6888</v>
      </c>
      <c r="AG199" s="65">
        <v>7001</v>
      </c>
      <c r="AH199" s="65">
        <v>4629</v>
      </c>
      <c r="AI199" s="65">
        <v>2894</v>
      </c>
      <c r="AJ199" s="65">
        <v>5234</v>
      </c>
      <c r="AK199" s="65">
        <v>2242</v>
      </c>
      <c r="AL199" s="65">
        <v>3215</v>
      </c>
      <c r="AM199" s="65">
        <v>2318</v>
      </c>
      <c r="AN199" s="65">
        <v>1494</v>
      </c>
      <c r="AO199" s="65">
        <v>2583</v>
      </c>
      <c r="AP199" s="65">
        <v>4532</v>
      </c>
      <c r="AQ199" s="65">
        <v>4003</v>
      </c>
      <c r="AR199" s="65">
        <v>5013</v>
      </c>
      <c r="AS199" s="65">
        <v>3193</v>
      </c>
      <c r="AT199" s="65">
        <v>5233</v>
      </c>
      <c r="AU199" s="65">
        <v>6139</v>
      </c>
      <c r="AV199" s="221">
        <v>6723</v>
      </c>
      <c r="AW199" s="65">
        <v>6121.1298728289776</v>
      </c>
      <c r="AX199" s="65">
        <v>6141.352259034139</v>
      </c>
      <c r="AY199" s="65">
        <v>5595.4002310139122</v>
      </c>
      <c r="AZ199" s="65">
        <v>5292.9060729456269</v>
      </c>
      <c r="BA199" s="65">
        <v>5124.8408950137782</v>
      </c>
      <c r="BB199" s="65">
        <v>5096.6760743088871</v>
      </c>
      <c r="BC199" s="65">
        <v>5203.5078187059253</v>
      </c>
      <c r="BD199" s="65">
        <v>5315.6213568211242</v>
      </c>
      <c r="BE199" s="65">
        <v>5433.2217711038211</v>
      </c>
      <c r="BF199" s="65">
        <v>5556.5225896188067</v>
      </c>
      <c r="BG199" s="65">
        <v>5685.7460916649979</v>
      </c>
      <c r="BH199" s="65">
        <v>5821.1236256276679</v>
      </c>
      <c r="BI199" s="65">
        <v>5962.8959394759504</v>
      </c>
      <c r="BJ199" s="65">
        <v>6196.6085295623407</v>
      </c>
      <c r="BK199" s="65">
        <v>6528.0057092064981</v>
      </c>
      <c r="BL199" s="65">
        <v>6874.1617571936713</v>
      </c>
      <c r="BM199" s="65">
        <v>7235.6947536718963</v>
      </c>
      <c r="BN199" s="65">
        <v>7308.0517012085966</v>
      </c>
      <c r="BO199" s="65">
        <v>7381.1322182206895</v>
      </c>
      <c r="BP199" s="65"/>
      <c r="BQ199" s="41" t="e">
        <v>#DIV/0!</v>
      </c>
      <c r="BR199" s="41" t="e">
        <v>#DIV/0!</v>
      </c>
      <c r="BS199" s="41" t="e">
        <v>#DIV/0!</v>
      </c>
      <c r="BT199" s="41" t="e">
        <v>#DIV/0!</v>
      </c>
      <c r="BU199" s="41" t="e">
        <v>#DIV/0!</v>
      </c>
      <c r="BV199" s="41" t="e">
        <v>#DIV/0!</v>
      </c>
      <c r="BW199" s="41" t="e">
        <v>#DIV/0!</v>
      </c>
      <c r="BX199" s="41" t="e">
        <v>#DIV/0!</v>
      </c>
      <c r="BY199" s="41" t="e">
        <v>#DIV/0!</v>
      </c>
      <c r="BZ199" s="41" t="e">
        <v>#DIV/0!</v>
      </c>
      <c r="CA199" s="65">
        <v>0</v>
      </c>
      <c r="CB199" s="65">
        <v>0</v>
      </c>
      <c r="CC199" s="65">
        <v>0</v>
      </c>
      <c r="CD199" s="65">
        <v>0</v>
      </c>
      <c r="CE199" s="65">
        <v>0</v>
      </c>
      <c r="CF199" s="65">
        <v>0</v>
      </c>
      <c r="CG199" s="65">
        <v>0</v>
      </c>
      <c r="CH199" s="65">
        <v>0</v>
      </c>
      <c r="CI199" s="65">
        <v>0</v>
      </c>
      <c r="CJ199" s="65">
        <v>0</v>
      </c>
      <c r="CK199" s="65">
        <v>7175</v>
      </c>
      <c r="CL199" s="65">
        <v>4724</v>
      </c>
      <c r="CM199" s="65">
        <v>2083</v>
      </c>
      <c r="CN199" s="65">
        <v>5379</v>
      </c>
      <c r="CO199" s="65">
        <v>7001</v>
      </c>
      <c r="CP199" s="65">
        <v>2894</v>
      </c>
      <c r="CQ199" s="65">
        <v>2242</v>
      </c>
      <c r="CR199" s="65">
        <v>2318</v>
      </c>
      <c r="CS199" s="65">
        <v>2583</v>
      </c>
      <c r="CT199" s="65">
        <v>4003</v>
      </c>
      <c r="CU199" s="65">
        <v>3193</v>
      </c>
      <c r="CV199" s="221">
        <v>6139</v>
      </c>
      <c r="CW199" s="65">
        <v>6121.1298728289776</v>
      </c>
      <c r="CX199" s="65">
        <v>5595.4002310139122</v>
      </c>
      <c r="CY199" s="65">
        <v>5124.8408950137782</v>
      </c>
      <c r="CZ199" s="65">
        <v>5203.5078187059253</v>
      </c>
      <c r="DA199" s="65">
        <v>5433.2217711038211</v>
      </c>
      <c r="DB199" s="65">
        <v>5685.7460916649979</v>
      </c>
      <c r="DC199" s="65">
        <v>5962.8959394759504</v>
      </c>
      <c r="DD199" s="65">
        <v>6528.0057092064981</v>
      </c>
      <c r="DE199" s="65">
        <v>7235.6947536718963</v>
      </c>
      <c r="DF199" s="65">
        <v>7381.1322182206895</v>
      </c>
    </row>
    <row r="200" spans="1:110" ht="12" outlineLevel="1">
      <c r="C200" s="41"/>
      <c r="D200" s="41"/>
      <c r="E200" s="41"/>
      <c r="F200" s="41"/>
      <c r="G200" s="41"/>
      <c r="H200" s="41"/>
      <c r="I200" s="41"/>
      <c r="J200" s="41"/>
      <c r="K200" s="41"/>
      <c r="L200" s="41"/>
      <c r="M200" s="41"/>
      <c r="N200" s="41"/>
      <c r="O200" s="41"/>
      <c r="P200" s="41"/>
      <c r="Q200" s="41"/>
      <c r="R200" s="41"/>
      <c r="S200" s="41"/>
      <c r="T200" s="41"/>
      <c r="U200" s="41"/>
      <c r="V200" s="41"/>
      <c r="W200" s="41"/>
      <c r="X200" s="41"/>
      <c r="Y200" s="41"/>
      <c r="Z200" s="41"/>
      <c r="AA200" s="41"/>
      <c r="AB200" s="41"/>
      <c r="AC200" s="41"/>
      <c r="AD200" s="41"/>
      <c r="AE200" s="41"/>
      <c r="AF200" s="41"/>
      <c r="AG200" s="41"/>
      <c r="AH200" s="41"/>
      <c r="AI200" s="41"/>
      <c r="AJ200" s="41"/>
      <c r="AK200" s="41"/>
      <c r="AL200" s="41"/>
      <c r="AM200" s="41"/>
      <c r="AN200" s="41"/>
      <c r="AO200" s="41"/>
      <c r="AP200" s="41"/>
      <c r="AQ200" s="41"/>
      <c r="AR200" s="41"/>
      <c r="AS200" s="41"/>
      <c r="AT200" s="41"/>
      <c r="AU200" s="41"/>
      <c r="AV200" s="211"/>
      <c r="AW200" s="41"/>
      <c r="AX200" s="41"/>
      <c r="AY200" s="41"/>
      <c r="AZ200" s="41"/>
      <c r="BA200" s="41"/>
      <c r="BB200" s="41"/>
      <c r="BC200" s="41"/>
      <c r="BD200" s="41"/>
      <c r="BE200" s="41"/>
      <c r="BF200" s="41"/>
      <c r="BG200" s="41"/>
      <c r="BH200" s="41"/>
      <c r="BI200" s="41"/>
      <c r="BJ200" s="41"/>
      <c r="BK200" s="41"/>
      <c r="BL200" s="41"/>
      <c r="BM200" s="41"/>
      <c r="BN200" s="41"/>
      <c r="BO200" s="41"/>
      <c r="BP200" s="41"/>
      <c r="BQ200" s="41"/>
      <c r="BR200" s="41"/>
      <c r="BS200" s="41"/>
      <c r="BT200" s="41"/>
      <c r="BU200" s="41"/>
      <c r="BV200" s="41"/>
      <c r="BW200" s="41"/>
      <c r="BX200" s="41"/>
      <c r="BY200" s="41"/>
      <c r="BZ200" s="41"/>
      <c r="CA200" s="41"/>
      <c r="CB200" s="41"/>
      <c r="CC200" s="41"/>
      <c r="CD200" s="41"/>
      <c r="CE200" s="41"/>
      <c r="CF200" s="41"/>
      <c r="CG200" s="41"/>
      <c r="CH200" s="41"/>
      <c r="CI200" s="41"/>
      <c r="CJ200" s="41"/>
      <c r="CK200" s="41"/>
      <c r="CL200" s="41"/>
      <c r="CM200" s="41"/>
      <c r="CN200" s="41"/>
      <c r="CO200" s="41"/>
      <c r="CP200" s="41"/>
      <c r="CQ200" s="41"/>
      <c r="CR200" s="41"/>
      <c r="CS200" s="41"/>
      <c r="CT200" s="41"/>
      <c r="CU200" s="41"/>
      <c r="CV200" s="211"/>
      <c r="CW200" s="41"/>
      <c r="CX200" s="41"/>
      <c r="CY200" s="41"/>
      <c r="CZ200" s="41"/>
      <c r="DA200" s="41"/>
      <c r="DB200" s="41"/>
      <c r="DC200" s="41"/>
      <c r="DD200" s="41"/>
      <c r="DE200" s="41"/>
      <c r="DF200" s="41"/>
    </row>
    <row r="201" spans="1:110" s="17" customFormat="1" ht="12" outlineLevel="1">
      <c r="A201" s="1"/>
      <c r="B201" s="17" t="s">
        <v>499</v>
      </c>
      <c r="C201" s="62"/>
      <c r="D201" s="62"/>
      <c r="E201" s="62"/>
      <c r="F201" s="62"/>
      <c r="G201" s="62"/>
      <c r="H201" s="62"/>
      <c r="I201" s="62"/>
      <c r="J201" s="62"/>
      <c r="K201" s="62"/>
      <c r="L201" s="62"/>
      <c r="M201" s="62"/>
      <c r="N201" s="62"/>
      <c r="O201" s="62"/>
      <c r="P201" s="62"/>
      <c r="Q201" s="62"/>
      <c r="R201" s="62"/>
      <c r="S201" s="62"/>
      <c r="T201" s="62"/>
      <c r="U201" s="62"/>
      <c r="V201" s="62"/>
      <c r="W201" s="62"/>
      <c r="X201" s="62"/>
      <c r="Y201" s="62"/>
      <c r="Z201" s="62"/>
      <c r="AA201" s="62"/>
      <c r="AB201" s="62"/>
      <c r="AC201" s="62"/>
      <c r="AD201" s="62"/>
      <c r="AE201" s="62"/>
      <c r="AF201" s="62"/>
      <c r="AG201" s="62"/>
      <c r="AH201" s="62"/>
      <c r="AI201" s="62"/>
      <c r="AJ201" s="62"/>
      <c r="AK201" s="62"/>
      <c r="AL201" s="62"/>
      <c r="AM201" s="62"/>
      <c r="AN201" s="62"/>
      <c r="AO201" s="62"/>
      <c r="AP201" s="62"/>
      <c r="AQ201" s="62"/>
      <c r="AR201" s="62"/>
      <c r="AS201" s="62"/>
      <c r="AT201" s="62"/>
      <c r="AU201" s="62"/>
      <c r="AV201" s="220"/>
      <c r="AW201" s="62"/>
      <c r="AX201" s="62"/>
      <c r="AY201" s="62"/>
      <c r="AZ201" s="62"/>
      <c r="BA201" s="62"/>
      <c r="BB201" s="62"/>
      <c r="BC201" s="62"/>
      <c r="BD201" s="62"/>
      <c r="BE201" s="62"/>
      <c r="BF201" s="62"/>
      <c r="BG201" s="62"/>
      <c r="BH201" s="62"/>
      <c r="BI201" s="62"/>
      <c r="BJ201" s="62"/>
      <c r="BK201" s="62"/>
      <c r="BL201" s="62"/>
      <c r="BM201" s="62"/>
      <c r="BN201" s="62"/>
      <c r="BO201" s="62"/>
      <c r="BP201" s="62"/>
      <c r="BQ201" s="62"/>
      <c r="BR201" s="62"/>
      <c r="BS201" s="62"/>
      <c r="BT201" s="62"/>
      <c r="BU201" s="62"/>
      <c r="BV201" s="62"/>
      <c r="BW201" s="62"/>
      <c r="BX201" s="62"/>
      <c r="BY201" s="62"/>
      <c r="BZ201" s="62"/>
      <c r="CA201" s="62"/>
      <c r="CB201" s="62"/>
      <c r="CC201" s="62"/>
      <c r="CD201" s="62"/>
      <c r="CE201" s="62"/>
      <c r="CF201" s="62"/>
      <c r="CG201" s="62"/>
      <c r="CH201" s="62"/>
      <c r="CI201" s="62"/>
      <c r="CJ201" s="62"/>
      <c r="CK201" s="62"/>
      <c r="CL201" s="62"/>
      <c r="CM201" s="62"/>
      <c r="CN201" s="62"/>
      <c r="CO201" s="62"/>
      <c r="CP201" s="62"/>
      <c r="CQ201" s="62"/>
      <c r="CR201" s="62"/>
      <c r="CS201" s="62"/>
      <c r="CT201" s="62"/>
      <c r="CU201" s="62"/>
      <c r="CV201" s="220"/>
      <c r="CW201" s="62"/>
      <c r="CX201" s="62"/>
      <c r="CY201" s="62"/>
      <c r="CZ201" s="62"/>
      <c r="DA201" s="62"/>
      <c r="DB201" s="62"/>
      <c r="DC201" s="62"/>
      <c r="DD201" s="62"/>
      <c r="DE201" s="62"/>
      <c r="DF201" s="62"/>
    </row>
    <row r="202" spans="1:110" ht="12" outlineLevel="1">
      <c r="A202" s="1" t="s">
        <v>620</v>
      </c>
      <c r="B202" s="15" t="s">
        <v>592</v>
      </c>
      <c r="C202" s="40">
        <v>45024</v>
      </c>
      <c r="D202" s="225">
        <v>47248</v>
      </c>
      <c r="E202" s="40">
        <v>49472</v>
      </c>
      <c r="F202" s="225">
        <v>51351.5</v>
      </c>
      <c r="G202" s="40">
        <v>53231</v>
      </c>
      <c r="H202" s="225">
        <v>61244.5</v>
      </c>
      <c r="I202" s="40">
        <v>69258</v>
      </c>
      <c r="J202" s="225">
        <v>72731</v>
      </c>
      <c r="K202" s="40">
        <v>76204</v>
      </c>
      <c r="L202" s="40">
        <v>80977</v>
      </c>
      <c r="M202" s="40">
        <v>89786</v>
      </c>
      <c r="N202" s="40">
        <v>95966</v>
      </c>
      <c r="O202" s="40">
        <v>104231</v>
      </c>
      <c r="P202" s="40">
        <v>105594</v>
      </c>
      <c r="Q202" s="40">
        <v>107933</v>
      </c>
      <c r="R202" s="40">
        <v>121692</v>
      </c>
      <c r="S202" s="40">
        <v>121473</v>
      </c>
      <c r="T202" s="40">
        <v>117076</v>
      </c>
      <c r="U202" s="40">
        <v>121989</v>
      </c>
      <c r="V202" s="40">
        <v>125170</v>
      </c>
      <c r="W202" s="40">
        <v>144146</v>
      </c>
      <c r="X202" s="40">
        <v>142635</v>
      </c>
      <c r="Y202" s="40">
        <v>154535</v>
      </c>
      <c r="Z202" s="141">
        <v>163012</v>
      </c>
      <c r="AA202" s="141">
        <v>181105</v>
      </c>
      <c r="AB202" s="141">
        <v>196864</v>
      </c>
      <c r="AC202" s="141">
        <v>209863</v>
      </c>
      <c r="AD202" s="141">
        <v>230828</v>
      </c>
      <c r="AE202" s="141">
        <v>249123</v>
      </c>
      <c r="AF202" s="141">
        <v>253956</v>
      </c>
      <c r="AG202" s="141">
        <v>256474</v>
      </c>
      <c r="AH202" s="141">
        <v>267516</v>
      </c>
      <c r="AI202" s="141">
        <v>273305</v>
      </c>
      <c r="AJ202" s="141">
        <v>274609</v>
      </c>
      <c r="AK202" s="141">
        <v>271738</v>
      </c>
      <c r="AL202" s="141">
        <v>269623</v>
      </c>
      <c r="AM202" s="141">
        <v>284606</v>
      </c>
      <c r="AN202" s="141">
        <v>325885</v>
      </c>
      <c r="AO202" s="141">
        <v>355090</v>
      </c>
      <c r="AP202" s="141">
        <v>375357</v>
      </c>
      <c r="AQ202" s="141">
        <v>416501</v>
      </c>
      <c r="AR202" s="141">
        <v>430433</v>
      </c>
      <c r="AS202" s="141">
        <v>420366</v>
      </c>
      <c r="AT202" s="141">
        <v>397221</v>
      </c>
      <c r="AU202" s="141">
        <v>399226</v>
      </c>
      <c r="AV202" s="226">
        <v>400552</v>
      </c>
      <c r="AW202" s="41">
        <v>444463.65579734981</v>
      </c>
      <c r="AX202" s="41">
        <v>451763.04817739798</v>
      </c>
      <c r="AY202" s="41">
        <v>456351.71912369411</v>
      </c>
      <c r="AZ202" s="41">
        <v>460723.13970888167</v>
      </c>
      <c r="BA202" s="41">
        <v>466285.11145790544</v>
      </c>
      <c r="BB202" s="41">
        <v>473597.05698176933</v>
      </c>
      <c r="BC202" s="41">
        <v>482596.53708888998</v>
      </c>
      <c r="BD202" s="41">
        <v>491804.90836443164</v>
      </c>
      <c r="BE202" s="41">
        <v>501227.29584959202</v>
      </c>
      <c r="BF202" s="41">
        <v>510868.97240947146</v>
      </c>
      <c r="BG202" s="41">
        <v>520735.36306498264</v>
      </c>
      <c r="BH202" s="41">
        <v>530832.04947653133</v>
      </c>
      <c r="BI202" s="41">
        <v>541164.7745841213</v>
      </c>
      <c r="BJ202" s="41">
        <v>552754.31012091332</v>
      </c>
      <c r="BK202" s="41">
        <v>565667.70676997362</v>
      </c>
      <c r="BL202" s="41">
        <v>578919.59486320557</v>
      </c>
      <c r="BM202" s="41">
        <v>592520.03149407706</v>
      </c>
      <c r="BN202" s="41">
        <v>598445.23180901771</v>
      </c>
      <c r="BO202" s="41">
        <v>604429.68412710796</v>
      </c>
      <c r="BP202" s="41"/>
      <c r="BQ202" s="41">
        <v>19875</v>
      </c>
      <c r="BR202" s="41">
        <v>23756.3</v>
      </c>
      <c r="BS202" s="41">
        <v>25541</v>
      </c>
      <c r="BT202" s="41">
        <v>25353</v>
      </c>
      <c r="BU202" s="41">
        <v>38864</v>
      </c>
      <c r="BV202" s="41">
        <v>33943</v>
      </c>
      <c r="BW202" s="41">
        <v>36794</v>
      </c>
      <c r="BX202" s="41">
        <v>38134</v>
      </c>
      <c r="BY202" s="41">
        <v>38348</v>
      </c>
      <c r="BZ202" s="41">
        <v>45024</v>
      </c>
      <c r="CA202" s="41">
        <v>49472</v>
      </c>
      <c r="CB202" s="41">
        <v>53231</v>
      </c>
      <c r="CC202" s="41">
        <v>69258</v>
      </c>
      <c r="CD202" s="41">
        <v>76204</v>
      </c>
      <c r="CE202" s="41">
        <v>89786</v>
      </c>
      <c r="CF202" s="41">
        <v>104231</v>
      </c>
      <c r="CG202" s="41">
        <v>107933</v>
      </c>
      <c r="CH202" s="41">
        <v>121473</v>
      </c>
      <c r="CI202" s="41">
        <v>121989</v>
      </c>
      <c r="CJ202" s="41">
        <v>144146</v>
      </c>
      <c r="CK202" s="41">
        <v>154535</v>
      </c>
      <c r="CL202" s="41">
        <v>181105</v>
      </c>
      <c r="CM202" s="41">
        <v>209863</v>
      </c>
      <c r="CN202" s="41">
        <v>249123</v>
      </c>
      <c r="CO202" s="41">
        <v>256474</v>
      </c>
      <c r="CP202" s="41">
        <v>273305</v>
      </c>
      <c r="CQ202" s="41">
        <v>271738</v>
      </c>
      <c r="CR202" s="41">
        <v>284606</v>
      </c>
      <c r="CS202" s="41">
        <v>355090</v>
      </c>
      <c r="CT202" s="41">
        <v>416501</v>
      </c>
      <c r="CU202" s="41">
        <v>420366</v>
      </c>
      <c r="CV202" s="211">
        <v>399226</v>
      </c>
      <c r="CW202" s="41">
        <v>444463.65579734981</v>
      </c>
      <c r="CX202" s="41">
        <v>456351.71912369411</v>
      </c>
      <c r="CY202" s="41">
        <v>466285.11145790544</v>
      </c>
      <c r="CZ202" s="41">
        <v>482596.53708888998</v>
      </c>
      <c r="DA202" s="41">
        <v>501227.29584959202</v>
      </c>
      <c r="DB202" s="41">
        <v>520735.36306498264</v>
      </c>
      <c r="DC202" s="41">
        <v>541164.7745841213</v>
      </c>
      <c r="DD202" s="41">
        <v>565667.70676997362</v>
      </c>
      <c r="DE202" s="41">
        <v>592520.03149407706</v>
      </c>
      <c r="DF202" s="41">
        <v>604429.68412710796</v>
      </c>
    </row>
    <row r="203" spans="1:110" ht="12" outlineLevel="1">
      <c r="A203" s="1" t="s">
        <v>621</v>
      </c>
      <c r="B203" s="15" t="s">
        <v>593</v>
      </c>
      <c r="C203" s="40">
        <v>42771</v>
      </c>
      <c r="D203" s="225">
        <v>45851.5</v>
      </c>
      <c r="E203" s="40">
        <v>48932</v>
      </c>
      <c r="F203" s="225">
        <v>49013</v>
      </c>
      <c r="G203" s="40">
        <v>49094</v>
      </c>
      <c r="H203" s="225">
        <v>59857.5</v>
      </c>
      <c r="I203" s="40">
        <v>70621</v>
      </c>
      <c r="J203" s="225">
        <v>74539</v>
      </c>
      <c r="K203" s="40">
        <v>78457</v>
      </c>
      <c r="L203" s="40">
        <v>78240</v>
      </c>
      <c r="M203" s="40">
        <v>82608</v>
      </c>
      <c r="N203" s="40">
        <v>86367</v>
      </c>
      <c r="O203" s="40">
        <v>101503</v>
      </c>
      <c r="P203" s="40">
        <v>128703</v>
      </c>
      <c r="Q203" s="40">
        <v>141571</v>
      </c>
      <c r="R203" s="40">
        <v>145657</v>
      </c>
      <c r="S203" s="40">
        <v>153078</v>
      </c>
      <c r="T203" s="40">
        <v>163899</v>
      </c>
      <c r="U203" s="40">
        <v>174997</v>
      </c>
      <c r="V203" s="40">
        <v>194181</v>
      </c>
      <c r="W203" s="40">
        <v>208754</v>
      </c>
      <c r="X203" s="40">
        <v>224042</v>
      </c>
      <c r="Y203" s="40">
        <v>229151</v>
      </c>
      <c r="Z203" s="141">
        <v>241733</v>
      </c>
      <c r="AA203" s="141">
        <v>244966</v>
      </c>
      <c r="AB203" s="141">
        <v>247879</v>
      </c>
      <c r="AC203" s="141">
        <v>245471</v>
      </c>
      <c r="AD203" s="141">
        <v>264539</v>
      </c>
      <c r="AE203" s="141">
        <v>258122</v>
      </c>
      <c r="AF203" s="141">
        <v>257486</v>
      </c>
      <c r="AG203" s="141">
        <v>253576</v>
      </c>
      <c r="AH203" s="141">
        <v>260584</v>
      </c>
      <c r="AI203" s="141">
        <v>248593</v>
      </c>
      <c r="AJ203" s="141">
        <v>247549</v>
      </c>
      <c r="AK203" s="141">
        <v>257428</v>
      </c>
      <c r="AL203" s="141">
        <v>266570</v>
      </c>
      <c r="AM203" s="141">
        <v>263733</v>
      </c>
      <c r="AN203" s="141">
        <v>278489</v>
      </c>
      <c r="AO203" s="141">
        <v>229764</v>
      </c>
      <c r="AP203" s="141">
        <v>226168</v>
      </c>
      <c r="AQ203" s="141">
        <v>214789</v>
      </c>
      <c r="AR203" s="141">
        <v>217566</v>
      </c>
      <c r="AS203" s="141">
        <v>234113</v>
      </c>
      <c r="AT203" s="141">
        <v>295951</v>
      </c>
      <c r="AU203" s="141">
        <v>289812</v>
      </c>
      <c r="AV203" s="226">
        <v>279633</v>
      </c>
      <c r="AW203" s="41">
        <v>310288.56543365237</v>
      </c>
      <c r="AX203" s="41">
        <v>315384.41064079158</v>
      </c>
      <c r="AY203" s="41">
        <v>318587.8494520461</v>
      </c>
      <c r="AZ203" s="41">
        <v>321639.62163767428</v>
      </c>
      <c r="BA203" s="41">
        <v>325522.54032512248</v>
      </c>
      <c r="BB203" s="41">
        <v>330627.14912166982</v>
      </c>
      <c r="BC203" s="41">
        <v>336909.85803535511</v>
      </c>
      <c r="BD203" s="41">
        <v>343338.39786262735</v>
      </c>
      <c r="BE203" s="41">
        <v>349916.34649261262</v>
      </c>
      <c r="BF203" s="41">
        <v>356647.38501312624</v>
      </c>
      <c r="BG203" s="41">
        <v>363535.30073486164</v>
      </c>
      <c r="BH203" s="41">
        <v>370583.99032153358</v>
      </c>
      <c r="BI203" s="41">
        <v>377797.46302922373</v>
      </c>
      <c r="BJ203" s="41">
        <v>385888.33909714944</v>
      </c>
      <c r="BK203" s="41">
        <v>394903.42788753542</v>
      </c>
      <c r="BL203" s="41">
        <v>404154.82401881105</v>
      </c>
      <c r="BM203" s="41">
        <v>413649.5485399731</v>
      </c>
      <c r="BN203" s="41">
        <v>417786.04402537277</v>
      </c>
      <c r="BO203" s="41">
        <v>421963.90446562658</v>
      </c>
      <c r="BP203" s="41"/>
      <c r="BQ203" s="40">
        <v>32242.5</v>
      </c>
      <c r="BR203" s="40">
        <v>29431.7</v>
      </c>
      <c r="BS203" s="40">
        <v>29060</v>
      </c>
      <c r="BT203" s="40">
        <v>34983</v>
      </c>
      <c r="BU203" s="40">
        <v>28632</v>
      </c>
      <c r="BV203" s="40">
        <v>42858</v>
      </c>
      <c r="BW203" s="40">
        <v>45740</v>
      </c>
      <c r="BX203" s="40">
        <v>41918</v>
      </c>
      <c r="BY203" s="40">
        <v>43525</v>
      </c>
      <c r="BZ203" s="40">
        <v>42771</v>
      </c>
      <c r="CA203" s="41">
        <v>48932</v>
      </c>
      <c r="CB203" s="41">
        <v>49094</v>
      </c>
      <c r="CC203" s="41">
        <v>70621</v>
      </c>
      <c r="CD203" s="41">
        <v>78457</v>
      </c>
      <c r="CE203" s="41">
        <v>82608</v>
      </c>
      <c r="CF203" s="41">
        <v>101503</v>
      </c>
      <c r="CG203" s="41">
        <v>141571</v>
      </c>
      <c r="CH203" s="41">
        <v>153078</v>
      </c>
      <c r="CI203" s="41">
        <v>174997</v>
      </c>
      <c r="CJ203" s="41">
        <v>208754</v>
      </c>
      <c r="CK203" s="41">
        <v>229151</v>
      </c>
      <c r="CL203" s="41">
        <v>244966</v>
      </c>
      <c r="CM203" s="41">
        <v>245471</v>
      </c>
      <c r="CN203" s="41">
        <v>258122</v>
      </c>
      <c r="CO203" s="41">
        <v>253576</v>
      </c>
      <c r="CP203" s="41">
        <v>248593</v>
      </c>
      <c r="CQ203" s="41">
        <v>257428</v>
      </c>
      <c r="CR203" s="41">
        <v>263733</v>
      </c>
      <c r="CS203" s="41">
        <v>229764</v>
      </c>
      <c r="CT203" s="41">
        <v>214789</v>
      </c>
      <c r="CU203" s="41">
        <v>234113</v>
      </c>
      <c r="CV203" s="211">
        <v>289812</v>
      </c>
      <c r="CW203" s="41">
        <v>310288.56543365237</v>
      </c>
      <c r="CX203" s="41">
        <v>318587.8494520461</v>
      </c>
      <c r="CY203" s="41">
        <v>325522.54032512248</v>
      </c>
      <c r="CZ203" s="41">
        <v>336909.85803535511</v>
      </c>
      <c r="DA203" s="41">
        <v>349916.34649261262</v>
      </c>
      <c r="DB203" s="41">
        <v>363535.30073486164</v>
      </c>
      <c r="DC203" s="41">
        <v>377797.46302922373</v>
      </c>
      <c r="DD203" s="41">
        <v>394903.42788753542</v>
      </c>
      <c r="DE203" s="41">
        <v>413649.5485399731</v>
      </c>
      <c r="DF203" s="41">
        <v>421963.90446562658</v>
      </c>
    </row>
    <row r="204" spans="1:110" s="17" customFormat="1" ht="12" outlineLevel="1">
      <c r="A204" s="1" t="s">
        <v>1056</v>
      </c>
      <c r="B204" s="17" t="s">
        <v>499</v>
      </c>
      <c r="C204" s="62">
        <v>87795</v>
      </c>
      <c r="D204" s="62">
        <v>93099.5</v>
      </c>
      <c r="E204" s="62">
        <v>98404</v>
      </c>
      <c r="F204" s="62">
        <v>100364.5</v>
      </c>
      <c r="G204" s="62">
        <v>102325</v>
      </c>
      <c r="H204" s="62">
        <v>121102</v>
      </c>
      <c r="I204" s="62">
        <v>139879</v>
      </c>
      <c r="J204" s="62">
        <v>147270</v>
      </c>
      <c r="K204" s="62">
        <v>154661</v>
      </c>
      <c r="L204" s="62">
        <v>159217</v>
      </c>
      <c r="M204" s="62">
        <v>172394</v>
      </c>
      <c r="N204" s="62">
        <v>182333</v>
      </c>
      <c r="O204" s="62">
        <v>205734</v>
      </c>
      <c r="P204" s="62">
        <v>234297</v>
      </c>
      <c r="Q204" s="62">
        <v>249504</v>
      </c>
      <c r="R204" s="62">
        <v>267349</v>
      </c>
      <c r="S204" s="62">
        <v>274551</v>
      </c>
      <c r="T204" s="62">
        <v>280975</v>
      </c>
      <c r="U204" s="62">
        <v>296986</v>
      </c>
      <c r="V204" s="62">
        <v>319351</v>
      </c>
      <c r="W204" s="62">
        <v>352900</v>
      </c>
      <c r="X204" s="62">
        <v>366677</v>
      </c>
      <c r="Y204" s="62">
        <v>383686</v>
      </c>
      <c r="Z204" s="62">
        <v>404745</v>
      </c>
      <c r="AA204" s="62">
        <v>426071</v>
      </c>
      <c r="AB204" s="62">
        <v>444743</v>
      </c>
      <c r="AC204" s="62">
        <v>455334</v>
      </c>
      <c r="AD204" s="62">
        <v>495367</v>
      </c>
      <c r="AE204" s="62">
        <v>507245</v>
      </c>
      <c r="AF204" s="62">
        <v>511442</v>
      </c>
      <c r="AG204" s="62">
        <v>510050</v>
      </c>
      <c r="AH204" s="62">
        <v>528100</v>
      </c>
      <c r="AI204" s="62">
        <v>521898</v>
      </c>
      <c r="AJ204" s="62">
        <v>522158</v>
      </c>
      <c r="AK204" s="62">
        <v>529166</v>
      </c>
      <c r="AL204" s="62">
        <v>536193</v>
      </c>
      <c r="AM204" s="62">
        <v>548339</v>
      </c>
      <c r="AN204" s="62">
        <v>604374</v>
      </c>
      <c r="AO204" s="62">
        <v>584854</v>
      </c>
      <c r="AP204" s="62">
        <v>601525</v>
      </c>
      <c r="AQ204" s="62">
        <v>631290</v>
      </c>
      <c r="AR204" s="62">
        <v>647999</v>
      </c>
      <c r="AS204" s="62">
        <v>654479</v>
      </c>
      <c r="AT204" s="62">
        <v>693172</v>
      </c>
      <c r="AU204" s="62">
        <v>689038</v>
      </c>
      <c r="AV204" s="220">
        <v>680185</v>
      </c>
      <c r="AW204" s="62">
        <v>754752.22123100213</v>
      </c>
      <c r="AX204" s="62">
        <v>767147.45881818957</v>
      </c>
      <c r="AY204" s="62">
        <v>774939.56857574021</v>
      </c>
      <c r="AZ204" s="62">
        <v>782362.76134655601</v>
      </c>
      <c r="BA204" s="62">
        <v>791807.65178302792</v>
      </c>
      <c r="BB204" s="62">
        <v>804224.20610343921</v>
      </c>
      <c r="BC204" s="62">
        <v>819506.39512424509</v>
      </c>
      <c r="BD204" s="62">
        <v>835143.30622705899</v>
      </c>
      <c r="BE204" s="62">
        <v>851143.64234220469</v>
      </c>
      <c r="BF204" s="62">
        <v>867516.35742259771</v>
      </c>
      <c r="BG204" s="62">
        <v>884270.66379984422</v>
      </c>
      <c r="BH204" s="62">
        <v>901416.03979806486</v>
      </c>
      <c r="BI204" s="62">
        <v>918962.23761334491</v>
      </c>
      <c r="BJ204" s="62">
        <v>938642.64921806264</v>
      </c>
      <c r="BK204" s="62">
        <v>960571.13465750893</v>
      </c>
      <c r="BL204" s="62">
        <v>983074.41888201644</v>
      </c>
      <c r="BM204" s="62">
        <v>1006169.5800340499</v>
      </c>
      <c r="BN204" s="62">
        <v>1016231.2758343903</v>
      </c>
      <c r="BO204" s="62">
        <v>1026393.5885927344</v>
      </c>
      <c r="BP204" s="62"/>
      <c r="BQ204" s="61">
        <v>52117.5</v>
      </c>
      <c r="BR204" s="61">
        <v>53188</v>
      </c>
      <c r="BS204" s="61">
        <v>54601</v>
      </c>
      <c r="BT204" s="61">
        <v>60336</v>
      </c>
      <c r="BU204" s="61">
        <v>67496</v>
      </c>
      <c r="BV204" s="61">
        <v>76801</v>
      </c>
      <c r="BW204" s="61">
        <v>82534</v>
      </c>
      <c r="BX204" s="61">
        <v>80052</v>
      </c>
      <c r="BY204" s="61">
        <v>81873</v>
      </c>
      <c r="BZ204" s="61">
        <v>87795</v>
      </c>
      <c r="CA204" s="62">
        <v>98404</v>
      </c>
      <c r="CB204" s="62">
        <v>102325</v>
      </c>
      <c r="CC204" s="62">
        <v>139879</v>
      </c>
      <c r="CD204" s="62">
        <v>154661</v>
      </c>
      <c r="CE204" s="62">
        <v>172394</v>
      </c>
      <c r="CF204" s="62">
        <v>205734</v>
      </c>
      <c r="CG204" s="62">
        <v>249504</v>
      </c>
      <c r="CH204" s="62">
        <v>274551</v>
      </c>
      <c r="CI204" s="62">
        <v>296986</v>
      </c>
      <c r="CJ204" s="62">
        <v>352900</v>
      </c>
      <c r="CK204" s="62">
        <v>383686</v>
      </c>
      <c r="CL204" s="62">
        <v>426071</v>
      </c>
      <c r="CM204" s="62">
        <v>455334</v>
      </c>
      <c r="CN204" s="62">
        <v>507245</v>
      </c>
      <c r="CO204" s="62">
        <v>510050</v>
      </c>
      <c r="CP204" s="62">
        <v>521898</v>
      </c>
      <c r="CQ204" s="62">
        <v>529166</v>
      </c>
      <c r="CR204" s="62">
        <v>548339</v>
      </c>
      <c r="CS204" s="62">
        <v>584854</v>
      </c>
      <c r="CT204" s="62">
        <v>631290</v>
      </c>
      <c r="CU204" s="62">
        <v>654479</v>
      </c>
      <c r="CV204" s="220">
        <v>689038</v>
      </c>
      <c r="CW204" s="62">
        <v>754752.22123100213</v>
      </c>
      <c r="CX204" s="62">
        <v>774939.56857574021</v>
      </c>
      <c r="CY204" s="62">
        <v>791807.65178302792</v>
      </c>
      <c r="CZ204" s="62">
        <v>819506.39512424509</v>
      </c>
      <c r="DA204" s="62">
        <v>851143.64234220469</v>
      </c>
      <c r="DB204" s="62">
        <v>884270.66379984422</v>
      </c>
      <c r="DC204" s="62">
        <v>918962.23761334491</v>
      </c>
      <c r="DD204" s="62">
        <v>960571.13465750893</v>
      </c>
      <c r="DE204" s="62">
        <v>1006169.5800340499</v>
      </c>
      <c r="DF204" s="62">
        <v>1026393.5885927344</v>
      </c>
    </row>
    <row r="205" spans="1:110" s="63" customFormat="1" ht="12" outlineLevel="1">
      <c r="A205" s="1" t="s">
        <v>1057</v>
      </c>
      <c r="B205" s="63" t="s">
        <v>617</v>
      </c>
      <c r="C205" s="40">
        <v>7776</v>
      </c>
      <c r="D205" s="225">
        <v>9724.5</v>
      </c>
      <c r="E205" s="40">
        <v>11673</v>
      </c>
      <c r="F205" s="225">
        <v>10910.5</v>
      </c>
      <c r="G205" s="40">
        <v>10148</v>
      </c>
      <c r="H205" s="225">
        <v>13606.5</v>
      </c>
      <c r="I205" s="40">
        <v>17065</v>
      </c>
      <c r="J205" s="225">
        <v>19844.5</v>
      </c>
      <c r="K205" s="40">
        <v>22624</v>
      </c>
      <c r="L205" s="40">
        <v>23238</v>
      </c>
      <c r="M205" s="64">
        <v>23248</v>
      </c>
      <c r="N205" s="64">
        <v>23004</v>
      </c>
      <c r="O205" s="64">
        <v>31903</v>
      </c>
      <c r="P205" s="64">
        <v>46923</v>
      </c>
      <c r="Q205" s="64">
        <v>52346</v>
      </c>
      <c r="R205" s="64">
        <v>46405</v>
      </c>
      <c r="S205" s="64">
        <v>44711</v>
      </c>
      <c r="T205" s="64">
        <v>44695</v>
      </c>
      <c r="U205" s="64">
        <v>39530</v>
      </c>
      <c r="V205" s="64">
        <v>51513</v>
      </c>
      <c r="W205" s="64">
        <v>55554</v>
      </c>
      <c r="X205" s="64">
        <v>59603</v>
      </c>
      <c r="Y205" s="64">
        <v>56838</v>
      </c>
      <c r="Z205" s="337">
        <v>61564</v>
      </c>
      <c r="AA205" s="337">
        <v>58275</v>
      </c>
      <c r="AB205" s="337">
        <v>57707</v>
      </c>
      <c r="AC205" s="337">
        <v>52755</v>
      </c>
      <c r="AD205" s="337">
        <v>59646</v>
      </c>
      <c r="AE205" s="337">
        <v>63446</v>
      </c>
      <c r="AF205" s="337">
        <v>65076</v>
      </c>
      <c r="AG205" s="337">
        <v>61429</v>
      </c>
      <c r="AH205" s="337">
        <v>57428</v>
      </c>
      <c r="AI205" s="337">
        <v>55222</v>
      </c>
      <c r="AJ205" s="337">
        <v>50288</v>
      </c>
      <c r="AK205" s="337">
        <v>42746</v>
      </c>
      <c r="AL205" s="337">
        <v>43570</v>
      </c>
      <c r="AM205" s="337">
        <v>36646</v>
      </c>
      <c r="AN205" s="337">
        <v>37878</v>
      </c>
      <c r="AO205" s="337">
        <v>32491</v>
      </c>
      <c r="AP205" s="337">
        <v>40000</v>
      </c>
      <c r="AQ205" s="337">
        <v>37708</v>
      </c>
      <c r="AR205" s="337">
        <v>36945</v>
      </c>
      <c r="AS205" s="337">
        <v>34049</v>
      </c>
      <c r="AT205" s="337">
        <v>44545</v>
      </c>
      <c r="AU205" s="337">
        <v>41919</v>
      </c>
      <c r="AV205" s="548">
        <v>39095</v>
      </c>
      <c r="AW205" s="65">
        <v>43380.900915230457</v>
      </c>
      <c r="AX205" s="65">
        <v>44093.342109127843</v>
      </c>
      <c r="AY205" s="65">
        <v>44541.209279046969</v>
      </c>
      <c r="AZ205" s="65">
        <v>44967.872203655774</v>
      </c>
      <c r="BA205" s="65">
        <v>45510.736265071224</v>
      </c>
      <c r="BB205" s="65">
        <v>46224.402681055813</v>
      </c>
      <c r="BC205" s="65">
        <v>47102.777211173954</v>
      </c>
      <c r="BD205" s="65">
        <v>48001.540105922453</v>
      </c>
      <c r="BE205" s="65">
        <v>48921.19158371396</v>
      </c>
      <c r="BF205" s="65">
        <v>49862.24629098914</v>
      </c>
      <c r="BG205" s="65">
        <v>50825.233725023194</v>
      </c>
      <c r="BH205" s="65">
        <v>51810.698671545739</v>
      </c>
      <c r="BI205" s="65">
        <v>52819.201657628022</v>
      </c>
      <c r="BJ205" s="65">
        <v>53950.37287088095</v>
      </c>
      <c r="BK205" s="65">
        <v>55210.756646258465</v>
      </c>
      <c r="BL205" s="65">
        <v>56504.178137113333</v>
      </c>
      <c r="BM205" s="65">
        <v>57831.61894400962</v>
      </c>
      <c r="BN205" s="65">
        <v>58409.935133449704</v>
      </c>
      <c r="BO205" s="65">
        <v>58994.034484784206</v>
      </c>
      <c r="BP205" s="65"/>
      <c r="BQ205" s="40">
        <v>7336.3</v>
      </c>
      <c r="BR205" s="40">
        <v>5019.5</v>
      </c>
      <c r="BS205" s="40">
        <v>4806</v>
      </c>
      <c r="BT205" s="40">
        <v>4695</v>
      </c>
      <c r="BU205" s="40">
        <v>3338</v>
      </c>
      <c r="BV205" s="40">
        <v>6861</v>
      </c>
      <c r="BW205" s="40">
        <v>10134</v>
      </c>
      <c r="BX205" s="40">
        <v>10394</v>
      </c>
      <c r="BY205" s="40">
        <v>13938</v>
      </c>
      <c r="BZ205" s="40">
        <v>7776</v>
      </c>
      <c r="CA205" s="65">
        <v>11673</v>
      </c>
      <c r="CB205" s="65">
        <v>10148</v>
      </c>
      <c r="CC205" s="65">
        <v>17065</v>
      </c>
      <c r="CD205" s="65">
        <v>22624</v>
      </c>
      <c r="CE205" s="65">
        <v>23248</v>
      </c>
      <c r="CF205" s="65">
        <v>31903</v>
      </c>
      <c r="CG205" s="65">
        <v>52346</v>
      </c>
      <c r="CH205" s="65">
        <v>44711</v>
      </c>
      <c r="CI205" s="65">
        <v>39530</v>
      </c>
      <c r="CJ205" s="65">
        <v>55554</v>
      </c>
      <c r="CK205" s="65">
        <v>56838</v>
      </c>
      <c r="CL205" s="65">
        <v>58275</v>
      </c>
      <c r="CM205" s="65">
        <v>52755</v>
      </c>
      <c r="CN205" s="65">
        <v>63446</v>
      </c>
      <c r="CO205" s="65">
        <v>61429</v>
      </c>
      <c r="CP205" s="65">
        <v>55222</v>
      </c>
      <c r="CQ205" s="65">
        <v>42746</v>
      </c>
      <c r="CR205" s="65">
        <v>36646</v>
      </c>
      <c r="CS205" s="65">
        <v>32491</v>
      </c>
      <c r="CT205" s="65">
        <v>37708</v>
      </c>
      <c r="CU205" s="65">
        <v>34049</v>
      </c>
      <c r="CV205" s="221">
        <v>41919</v>
      </c>
      <c r="CW205" s="65">
        <v>43380.900915230457</v>
      </c>
      <c r="CX205" s="65">
        <v>44541.209279046969</v>
      </c>
      <c r="CY205" s="65">
        <v>45510.736265071224</v>
      </c>
      <c r="CZ205" s="65">
        <v>47102.777211173954</v>
      </c>
      <c r="DA205" s="65">
        <v>48921.19158371396</v>
      </c>
      <c r="DB205" s="65">
        <v>50825.233725023194</v>
      </c>
      <c r="DC205" s="65">
        <v>52819.201657628022</v>
      </c>
      <c r="DD205" s="65">
        <v>55210.756646258465</v>
      </c>
      <c r="DE205" s="65">
        <v>57831.61894400962</v>
      </c>
      <c r="DF205" s="65">
        <v>58994.034484784206</v>
      </c>
    </row>
    <row r="206" spans="1:110" ht="12" outlineLevel="1">
      <c r="C206" s="41"/>
      <c r="D206" s="41"/>
      <c r="E206" s="41"/>
      <c r="F206" s="41"/>
      <c r="G206" s="41"/>
      <c r="H206" s="41"/>
      <c r="I206" s="41"/>
      <c r="J206" s="41"/>
      <c r="K206" s="41"/>
      <c r="L206" s="41"/>
      <c r="M206" s="41"/>
      <c r="N206" s="41"/>
      <c r="O206" s="41"/>
      <c r="P206" s="41"/>
      <c r="Q206" s="41"/>
      <c r="R206" s="41"/>
      <c r="S206" s="41"/>
      <c r="T206" s="41"/>
      <c r="U206" s="41"/>
      <c r="V206" s="41"/>
      <c r="W206" s="41"/>
      <c r="X206" s="41"/>
      <c r="Y206" s="41"/>
      <c r="Z206" s="41"/>
      <c r="AA206" s="41"/>
      <c r="AB206" s="41"/>
      <c r="AC206" s="41"/>
      <c r="AD206" s="41"/>
      <c r="AE206" s="41"/>
      <c r="AF206" s="41"/>
      <c r="AG206" s="41"/>
      <c r="AH206" s="41"/>
      <c r="AI206" s="41"/>
      <c r="AJ206" s="41"/>
      <c r="AK206" s="41"/>
      <c r="AL206" s="41"/>
      <c r="AM206" s="41"/>
      <c r="AN206" s="41"/>
      <c r="AO206" s="41"/>
      <c r="AP206" s="41"/>
      <c r="AQ206" s="41"/>
      <c r="AR206" s="41"/>
      <c r="AS206" s="41"/>
      <c r="AT206" s="41"/>
      <c r="AU206" s="41"/>
      <c r="AV206" s="211"/>
      <c r="AW206" s="41"/>
      <c r="AX206" s="41"/>
      <c r="AY206" s="41"/>
      <c r="AZ206" s="41"/>
      <c r="BA206" s="41"/>
      <c r="BB206" s="41"/>
      <c r="BC206" s="41"/>
      <c r="BD206" s="41"/>
      <c r="BE206" s="41"/>
      <c r="BF206" s="41"/>
      <c r="BG206" s="41"/>
      <c r="BH206" s="41"/>
      <c r="BI206" s="41"/>
      <c r="BJ206" s="41"/>
      <c r="BK206" s="41"/>
      <c r="BL206" s="41"/>
      <c r="BM206" s="41"/>
      <c r="BN206" s="41"/>
      <c r="BO206" s="41"/>
      <c r="BP206" s="41"/>
      <c r="BQ206" s="41"/>
      <c r="BR206" s="41"/>
      <c r="BS206" s="41"/>
      <c r="BT206" s="41"/>
      <c r="BU206" s="41"/>
      <c r="BV206" s="41"/>
      <c r="BW206" s="41"/>
      <c r="BX206" s="41" t="s">
        <v>2374</v>
      </c>
      <c r="BY206" s="41"/>
      <c r="BZ206" s="41"/>
      <c r="CA206" s="41"/>
      <c r="CB206" s="41"/>
      <c r="CC206" s="41"/>
      <c r="CD206" s="41"/>
      <c r="CE206" s="41"/>
      <c r="CF206" s="41"/>
      <c r="CG206" s="41"/>
      <c r="CH206" s="41"/>
      <c r="CI206" s="41"/>
      <c r="CJ206" s="41"/>
      <c r="CK206" s="41"/>
      <c r="CL206" s="41"/>
      <c r="CM206" s="41"/>
      <c r="CN206" s="41"/>
      <c r="CO206" s="41"/>
      <c r="CP206" s="41"/>
      <c r="CQ206" s="41"/>
      <c r="CR206" s="41"/>
      <c r="CS206" s="41"/>
      <c r="CT206" s="41"/>
      <c r="CU206" s="41"/>
      <c r="CV206" s="211"/>
      <c r="CW206" s="41"/>
      <c r="CX206" s="41"/>
      <c r="CY206" s="41"/>
      <c r="CZ206" s="41"/>
      <c r="DA206" s="41"/>
      <c r="DB206" s="41"/>
      <c r="DC206" s="41"/>
      <c r="DD206" s="41"/>
      <c r="DE206" s="41"/>
      <c r="DF206" s="41"/>
    </row>
    <row r="207" spans="1:110" s="17" customFormat="1" ht="12" outlineLevel="1">
      <c r="A207" s="1"/>
      <c r="B207" s="17" t="s">
        <v>500</v>
      </c>
      <c r="C207" s="62"/>
      <c r="D207" s="62"/>
      <c r="E207" s="62"/>
      <c r="F207" s="62"/>
      <c r="G207" s="62"/>
      <c r="H207" s="62"/>
      <c r="I207" s="62"/>
      <c r="J207" s="62"/>
      <c r="K207" s="62"/>
      <c r="L207" s="62"/>
      <c r="M207" s="62"/>
      <c r="N207" s="62"/>
      <c r="O207" s="62"/>
      <c r="P207" s="62"/>
      <c r="Q207" s="62"/>
      <c r="R207" s="62"/>
      <c r="S207" s="62"/>
      <c r="T207" s="62"/>
      <c r="U207" s="62"/>
      <c r="V207" s="62"/>
      <c r="W207" s="62"/>
      <c r="X207" s="62"/>
      <c r="Y207" s="62"/>
      <c r="Z207" s="62"/>
      <c r="AA207" s="62"/>
      <c r="AB207" s="62"/>
      <c r="AC207" s="62"/>
      <c r="AD207" s="62"/>
      <c r="AE207" s="62"/>
      <c r="AF207" s="62"/>
      <c r="AG207" s="62"/>
      <c r="AH207" s="62"/>
      <c r="AI207" s="62"/>
      <c r="AJ207" s="62"/>
      <c r="AK207" s="62"/>
      <c r="AL207" s="62"/>
      <c r="AM207" s="62"/>
      <c r="AN207" s="62"/>
      <c r="AO207" s="62"/>
      <c r="AP207" s="62"/>
      <c r="AQ207" s="62"/>
      <c r="AR207" s="62"/>
      <c r="AS207" s="62"/>
      <c r="AT207" s="62"/>
      <c r="AU207" s="62"/>
      <c r="AV207" s="220"/>
      <c r="AW207" s="62"/>
      <c r="AX207" s="62"/>
      <c r="AY207" s="62"/>
      <c r="AZ207" s="62"/>
      <c r="BA207" s="62"/>
      <c r="BB207" s="62"/>
      <c r="BC207" s="62"/>
      <c r="BD207" s="62"/>
      <c r="BE207" s="62"/>
      <c r="BF207" s="62"/>
      <c r="BG207" s="62"/>
      <c r="BH207" s="62"/>
      <c r="BI207" s="62"/>
      <c r="BJ207" s="62"/>
      <c r="BK207" s="62"/>
      <c r="BL207" s="62"/>
      <c r="BM207" s="62"/>
      <c r="BN207" s="62"/>
      <c r="BO207" s="62"/>
      <c r="BP207" s="62"/>
      <c r="BQ207" s="62"/>
      <c r="BR207" s="62"/>
      <c r="BS207" s="62"/>
      <c r="BT207" s="62"/>
      <c r="BU207" s="62"/>
      <c r="BV207" s="62"/>
      <c r="BW207" s="62"/>
      <c r="BX207" s="62"/>
      <c r="BY207" s="62"/>
      <c r="BZ207" s="62"/>
      <c r="CA207" s="62"/>
      <c r="CB207" s="62"/>
      <c r="CC207" s="62"/>
      <c r="CD207" s="62"/>
      <c r="CE207" s="62"/>
      <c r="CF207" s="62"/>
      <c r="CG207" s="62"/>
      <c r="CH207" s="62"/>
      <c r="CI207" s="62"/>
      <c r="CJ207" s="62"/>
      <c r="CK207" s="62"/>
      <c r="CL207" s="62"/>
      <c r="CM207" s="62"/>
      <c r="CN207" s="62"/>
      <c r="CO207" s="62"/>
      <c r="CP207" s="62"/>
      <c r="CQ207" s="62"/>
      <c r="CR207" s="62"/>
      <c r="CS207" s="62"/>
      <c r="CT207" s="62"/>
      <c r="CU207" s="62"/>
      <c r="CV207" s="220"/>
      <c r="CW207" s="62"/>
      <c r="CX207" s="62"/>
      <c r="CY207" s="62"/>
      <c r="CZ207" s="62"/>
      <c r="DA207" s="62"/>
      <c r="DB207" s="62"/>
      <c r="DC207" s="62"/>
      <c r="DD207" s="62"/>
      <c r="DE207" s="62"/>
      <c r="DF207" s="62"/>
    </row>
    <row r="208" spans="1:110" ht="12" outlineLevel="1">
      <c r="A208" s="1" t="s">
        <v>1058</v>
      </c>
      <c r="B208" s="15" t="s">
        <v>435</v>
      </c>
      <c r="C208" s="41">
        <v>4774</v>
      </c>
      <c r="D208" s="41">
        <v>5064</v>
      </c>
      <c r="E208" s="41">
        <v>0</v>
      </c>
      <c r="F208" s="41">
        <v>0</v>
      </c>
      <c r="G208" s="41">
        <v>0</v>
      </c>
      <c r="H208" s="41">
        <v>0</v>
      </c>
      <c r="I208" s="41">
        <v>0</v>
      </c>
      <c r="J208" s="41">
        <v>0</v>
      </c>
      <c r="K208" s="41">
        <v>0</v>
      </c>
      <c r="L208" s="41">
        <v>0</v>
      </c>
      <c r="M208" s="41">
        <v>19036.009999999998</v>
      </c>
      <c r="N208" s="41">
        <v>21460.53</v>
      </c>
      <c r="O208" s="41">
        <v>22536.57</v>
      </c>
      <c r="P208" s="41">
        <v>21532.07</v>
      </c>
      <c r="Q208" s="41">
        <v>20526.099999999999</v>
      </c>
      <c r="R208" s="41">
        <v>16672.25</v>
      </c>
      <c r="S208" s="41">
        <v>19952.310000000001</v>
      </c>
      <c r="T208" s="41">
        <v>33942</v>
      </c>
      <c r="U208" s="41">
        <v>34429</v>
      </c>
      <c r="V208" s="41">
        <v>35219</v>
      </c>
      <c r="W208" s="41">
        <v>32536</v>
      </c>
      <c r="X208" s="41">
        <v>33531</v>
      </c>
      <c r="Y208" s="41">
        <v>33486</v>
      </c>
      <c r="Z208" s="41">
        <v>34817</v>
      </c>
      <c r="AA208" s="41">
        <v>35899</v>
      </c>
      <c r="AB208" s="41">
        <v>36736</v>
      </c>
      <c r="AC208" s="41">
        <v>37735</v>
      </c>
      <c r="AD208" s="41">
        <v>40309</v>
      </c>
      <c r="AE208" s="41">
        <v>38692</v>
      </c>
      <c r="AF208" s="41">
        <v>38424</v>
      </c>
      <c r="AG208" s="41">
        <v>39478</v>
      </c>
      <c r="AH208" s="41">
        <v>0</v>
      </c>
      <c r="AI208" s="41">
        <v>0</v>
      </c>
      <c r="AJ208" s="41">
        <v>0</v>
      </c>
      <c r="AK208" s="41">
        <v>0</v>
      </c>
      <c r="AL208" s="41">
        <v>0</v>
      </c>
      <c r="AM208" s="41">
        <v>0</v>
      </c>
      <c r="AN208" s="41">
        <v>0</v>
      </c>
      <c r="AO208" s="41">
        <v>0</v>
      </c>
      <c r="AP208" s="41">
        <v>0</v>
      </c>
      <c r="AQ208" s="41">
        <v>0</v>
      </c>
      <c r="AR208" s="41">
        <v>0</v>
      </c>
      <c r="AS208" s="41">
        <v>0</v>
      </c>
      <c r="AT208" s="41">
        <v>0</v>
      </c>
      <c r="AU208" s="41">
        <v>0</v>
      </c>
      <c r="AV208" s="211">
        <v>0</v>
      </c>
      <c r="AW208" s="41">
        <v>0</v>
      </c>
      <c r="AX208" s="41">
        <v>0</v>
      </c>
      <c r="AY208" s="41">
        <v>0</v>
      </c>
      <c r="AZ208" s="41">
        <v>0</v>
      </c>
      <c r="BA208" s="41">
        <v>0</v>
      </c>
      <c r="BB208" s="41">
        <v>0</v>
      </c>
      <c r="BC208" s="41">
        <v>0</v>
      </c>
      <c r="BD208" s="41">
        <v>0</v>
      </c>
      <c r="BE208" s="41">
        <v>0</v>
      </c>
      <c r="BF208" s="41">
        <v>0</v>
      </c>
      <c r="BG208" s="41">
        <v>0</v>
      </c>
      <c r="BH208" s="41">
        <v>0</v>
      </c>
      <c r="BI208" s="41">
        <v>0</v>
      </c>
      <c r="BJ208" s="41">
        <v>0</v>
      </c>
      <c r="BK208" s="41">
        <v>0</v>
      </c>
      <c r="BL208" s="41">
        <v>0</v>
      </c>
      <c r="BM208" s="41">
        <v>0</v>
      </c>
      <c r="BN208" s="41">
        <v>0</v>
      </c>
      <c r="BO208" s="41">
        <v>0</v>
      </c>
      <c r="BP208" s="41"/>
      <c r="BQ208" s="41">
        <v>0</v>
      </c>
      <c r="BR208" s="41">
        <v>0</v>
      </c>
      <c r="BS208" s="41">
        <v>0</v>
      </c>
      <c r="BT208" s="41">
        <v>0</v>
      </c>
      <c r="BU208" s="41">
        <v>0</v>
      </c>
      <c r="BV208" s="41">
        <v>0</v>
      </c>
      <c r="BW208" s="41">
        <v>0</v>
      </c>
      <c r="BX208" s="369">
        <v>4063</v>
      </c>
      <c r="BY208" s="41">
        <v>4739</v>
      </c>
      <c r="BZ208" s="41">
        <v>4774</v>
      </c>
      <c r="CA208" s="41">
        <v>0</v>
      </c>
      <c r="CB208" s="41">
        <v>0</v>
      </c>
      <c r="CC208" s="41">
        <v>0</v>
      </c>
      <c r="CD208" s="41">
        <v>0</v>
      </c>
      <c r="CE208" s="41">
        <v>19036.009999999998</v>
      </c>
      <c r="CF208" s="41">
        <v>22536.57</v>
      </c>
      <c r="CG208" s="41">
        <v>20526.099999999999</v>
      </c>
      <c r="CH208" s="41">
        <v>19952.310000000001</v>
      </c>
      <c r="CI208" s="41">
        <v>34429</v>
      </c>
      <c r="CJ208" s="41">
        <v>32536</v>
      </c>
      <c r="CK208" s="41">
        <v>33486</v>
      </c>
      <c r="CL208" s="41">
        <v>35899</v>
      </c>
      <c r="CM208" s="41">
        <v>37735</v>
      </c>
      <c r="CN208" s="41">
        <v>38692</v>
      </c>
      <c r="CO208" s="41">
        <v>39478</v>
      </c>
      <c r="CP208" s="41">
        <v>0</v>
      </c>
      <c r="CQ208" s="41">
        <v>0</v>
      </c>
      <c r="CR208" s="41">
        <v>0</v>
      </c>
      <c r="CS208" s="41">
        <v>0</v>
      </c>
      <c r="CT208" s="41">
        <v>0</v>
      </c>
      <c r="CU208" s="41">
        <v>0</v>
      </c>
      <c r="CV208" s="211">
        <v>0</v>
      </c>
      <c r="CW208" s="41">
        <v>0</v>
      </c>
      <c r="CX208" s="41">
        <v>0</v>
      </c>
      <c r="CY208" s="41">
        <v>0</v>
      </c>
      <c r="CZ208" s="41">
        <v>0</v>
      </c>
      <c r="DA208" s="41">
        <v>0</v>
      </c>
      <c r="DB208" s="41">
        <v>0</v>
      </c>
      <c r="DC208" s="41">
        <v>0</v>
      </c>
      <c r="DD208" s="41">
        <v>0</v>
      </c>
      <c r="DE208" s="41">
        <v>0</v>
      </c>
      <c r="DF208" s="41">
        <v>0</v>
      </c>
    </row>
    <row r="209" spans="1:110" ht="12" outlineLevel="1">
      <c r="A209" s="1" t="s">
        <v>1059</v>
      </c>
      <c r="B209" s="15" t="s">
        <v>436</v>
      </c>
      <c r="C209" s="40">
        <v>11036</v>
      </c>
      <c r="D209" s="40">
        <v>9368.2900000000009</v>
      </c>
      <c r="E209" s="40">
        <v>13054.58</v>
      </c>
      <c r="F209" s="40">
        <v>13547.764999999999</v>
      </c>
      <c r="G209" s="40">
        <v>14040.949999999999</v>
      </c>
      <c r="H209" s="40">
        <v>14536.829999999998</v>
      </c>
      <c r="I209" s="40">
        <v>15032.71</v>
      </c>
      <c r="J209" s="40">
        <v>15281.875</v>
      </c>
      <c r="K209" s="40">
        <v>15531.039999999999</v>
      </c>
      <c r="L209" s="40">
        <v>16528.189999999999</v>
      </c>
      <c r="M209" s="40">
        <v>0</v>
      </c>
      <c r="N209" s="40">
        <v>0</v>
      </c>
      <c r="O209" s="40">
        <v>0</v>
      </c>
      <c r="P209" s="40">
        <v>0</v>
      </c>
      <c r="Q209" s="40">
        <v>0</v>
      </c>
      <c r="R209" s="40">
        <v>0</v>
      </c>
      <c r="S209" s="40">
        <v>0</v>
      </c>
      <c r="T209" s="40">
        <v>10666</v>
      </c>
      <c r="U209" s="40">
        <v>10064</v>
      </c>
      <c r="V209" s="40">
        <v>10237</v>
      </c>
      <c r="W209" s="40">
        <v>16121</v>
      </c>
      <c r="X209" s="40">
        <v>17450</v>
      </c>
      <c r="Y209" s="40">
        <v>18181</v>
      </c>
      <c r="Z209" s="141">
        <v>19988</v>
      </c>
      <c r="AA209" s="141">
        <v>22679</v>
      </c>
      <c r="AB209" s="141">
        <v>24916</v>
      </c>
      <c r="AC209" s="141">
        <v>23676</v>
      </c>
      <c r="AD209" s="141">
        <v>28096</v>
      </c>
      <c r="AE209" s="141">
        <v>26700</v>
      </c>
      <c r="AF209" s="141">
        <v>8206</v>
      </c>
      <c r="AG209" s="141">
        <v>8773</v>
      </c>
      <c r="AH209" s="141">
        <v>27258</v>
      </c>
      <c r="AI209" s="141">
        <v>28925</v>
      </c>
      <c r="AJ209" s="141">
        <v>30596</v>
      </c>
      <c r="AK209" s="141">
        <v>30734</v>
      </c>
      <c r="AL209" s="141">
        <v>33816</v>
      </c>
      <c r="AM209" s="141">
        <v>35754</v>
      </c>
      <c r="AN209" s="141">
        <v>31653</v>
      </c>
      <c r="AO209" s="141">
        <v>32608</v>
      </c>
      <c r="AP209" s="141">
        <v>33495</v>
      </c>
      <c r="AQ209" s="141">
        <v>37280</v>
      </c>
      <c r="AR209" s="141">
        <v>34719</v>
      </c>
      <c r="AS209" s="141">
        <v>30324</v>
      </c>
      <c r="AT209" s="141">
        <v>34580</v>
      </c>
      <c r="AU209" s="141">
        <v>34545</v>
      </c>
      <c r="AV209" s="226">
        <v>37159</v>
      </c>
      <c r="AW209" s="41">
        <v>37794.597731145303</v>
      </c>
      <c r="AX209" s="41">
        <v>39129.219463526366</v>
      </c>
      <c r="AY209" s="41">
        <v>40510.970025832132</v>
      </c>
      <c r="AZ209" s="41">
        <v>41941.513654869326</v>
      </c>
      <c r="BA209" s="41">
        <v>43422.573355806897</v>
      </c>
      <c r="BB209" s="41">
        <v>44955.932977433818</v>
      </c>
      <c r="BC209" s="41">
        <v>46543.439360699442</v>
      </c>
      <c r="BD209" s="41">
        <v>48187.004563124137</v>
      </c>
      <c r="BE209" s="41">
        <v>49888.608161759454</v>
      </c>
      <c r="BF209" s="41">
        <v>51650.29963747158</v>
      </c>
      <c r="BG209" s="41">
        <v>53474.200843419785</v>
      </c>
      <c r="BH209" s="41">
        <v>55362.508560703041</v>
      </c>
      <c r="BI209" s="41">
        <v>57317.497144252862</v>
      </c>
      <c r="BJ209" s="41">
        <v>59341.52126215928</v>
      </c>
      <c r="BK209" s="41">
        <v>61437.018731729273</v>
      </c>
      <c r="BL209" s="41">
        <v>63606.513455693457</v>
      </c>
      <c r="BM209" s="41">
        <v>65852.618462097627</v>
      </c>
      <c r="BN209" s="41">
        <v>68178.039051540443</v>
      </c>
      <c r="BO209" s="41">
        <v>70585.57605554795</v>
      </c>
      <c r="BP209" s="41"/>
      <c r="BQ209" s="40">
        <v>9700</v>
      </c>
      <c r="BR209" s="40">
        <v>9700</v>
      </c>
      <c r="BS209" s="40">
        <v>10000</v>
      </c>
      <c r="BT209" s="40">
        <v>10000</v>
      </c>
      <c r="BU209" s="40">
        <v>11312</v>
      </c>
      <c r="BV209" s="40">
        <v>13478</v>
      </c>
      <c r="BW209" s="40">
        <v>14439</v>
      </c>
      <c r="BX209" s="40">
        <v>11205</v>
      </c>
      <c r="BY209" s="40">
        <v>10807</v>
      </c>
      <c r="BZ209" s="40">
        <v>14262.009999999998</v>
      </c>
      <c r="CA209" s="41">
        <v>13054.58</v>
      </c>
      <c r="CB209" s="41">
        <v>14040.949999999999</v>
      </c>
      <c r="CC209" s="41">
        <v>15032.71</v>
      </c>
      <c r="CD209" s="41">
        <v>15531.039999999999</v>
      </c>
      <c r="CE209" s="41">
        <v>0</v>
      </c>
      <c r="CF209" s="41">
        <v>0</v>
      </c>
      <c r="CG209" s="41">
        <v>0</v>
      </c>
      <c r="CH209" s="41">
        <v>0</v>
      </c>
      <c r="CI209" s="41">
        <v>10064</v>
      </c>
      <c r="CJ209" s="41">
        <v>16121</v>
      </c>
      <c r="CK209" s="41">
        <v>18181</v>
      </c>
      <c r="CL209" s="41">
        <v>22679</v>
      </c>
      <c r="CM209" s="41">
        <v>23676</v>
      </c>
      <c r="CN209" s="41">
        <v>26700</v>
      </c>
      <c r="CO209" s="41">
        <v>8773</v>
      </c>
      <c r="CP209" s="41">
        <v>28925</v>
      </c>
      <c r="CQ209" s="41">
        <v>30734</v>
      </c>
      <c r="CR209" s="41">
        <v>35754</v>
      </c>
      <c r="CS209" s="41">
        <v>32608</v>
      </c>
      <c r="CT209" s="41">
        <v>37280</v>
      </c>
      <c r="CU209" s="41">
        <v>30324</v>
      </c>
      <c r="CV209" s="211">
        <v>34545</v>
      </c>
      <c r="CW209" s="41">
        <v>37794.597731145303</v>
      </c>
      <c r="CX209" s="41">
        <v>40510.970025832132</v>
      </c>
      <c r="CY209" s="41">
        <v>43422.573355806897</v>
      </c>
      <c r="CZ209" s="41">
        <v>46543.439360699442</v>
      </c>
      <c r="DA209" s="41">
        <v>49888.608161759454</v>
      </c>
      <c r="DB209" s="41">
        <v>53474.200843419785</v>
      </c>
      <c r="DC209" s="41">
        <v>57317.497144252862</v>
      </c>
      <c r="DD209" s="41">
        <v>61437.018731729273</v>
      </c>
      <c r="DE209" s="41">
        <v>65852.618462097627</v>
      </c>
      <c r="DF209" s="41">
        <v>70585.57605554795</v>
      </c>
    </row>
    <row r="210" spans="1:110" s="17" customFormat="1" ht="12" outlineLevel="1">
      <c r="A210" s="1" t="s">
        <v>1060</v>
      </c>
      <c r="B210" s="17" t="s">
        <v>387</v>
      </c>
      <c r="C210" s="61">
        <v>15810</v>
      </c>
      <c r="D210" s="384">
        <v>14432.29</v>
      </c>
      <c r="E210" s="61">
        <v>13054.58</v>
      </c>
      <c r="F210" s="384">
        <v>13547.764999999999</v>
      </c>
      <c r="G210" s="61">
        <v>14040.949999999999</v>
      </c>
      <c r="H210" s="384">
        <v>14536.829999999998</v>
      </c>
      <c r="I210" s="61">
        <v>15032.71</v>
      </c>
      <c r="J210" s="384">
        <v>15281.875</v>
      </c>
      <c r="K210" s="61">
        <v>15531.039999999999</v>
      </c>
      <c r="L210" s="61">
        <v>16528.189999999999</v>
      </c>
      <c r="M210" s="61">
        <v>19036.009999999998</v>
      </c>
      <c r="N210" s="61">
        <v>21460.53</v>
      </c>
      <c r="O210" s="61">
        <v>22536.57</v>
      </c>
      <c r="P210" s="61">
        <v>21532.07</v>
      </c>
      <c r="Q210" s="61">
        <v>20526.099999999999</v>
      </c>
      <c r="R210" s="61">
        <v>16672.25</v>
      </c>
      <c r="S210" s="61">
        <v>19952.310000000001</v>
      </c>
      <c r="T210" s="61">
        <v>44608</v>
      </c>
      <c r="U210" s="61">
        <v>44493</v>
      </c>
      <c r="V210" s="61">
        <v>45456</v>
      </c>
      <c r="W210" s="61">
        <v>48657</v>
      </c>
      <c r="X210" s="61">
        <v>50981</v>
      </c>
      <c r="Y210" s="61">
        <v>51667</v>
      </c>
      <c r="Z210" s="194">
        <v>54805</v>
      </c>
      <c r="AA210" s="194">
        <v>58578</v>
      </c>
      <c r="AB210" s="194">
        <v>61652</v>
      </c>
      <c r="AC210" s="194">
        <v>61411</v>
      </c>
      <c r="AD210" s="194">
        <v>68405</v>
      </c>
      <c r="AE210" s="194">
        <v>65392</v>
      </c>
      <c r="AF210" s="194">
        <v>46630</v>
      </c>
      <c r="AG210" s="194">
        <v>48251</v>
      </c>
      <c r="AH210" s="194">
        <v>27258</v>
      </c>
      <c r="AI210" s="194">
        <v>28925</v>
      </c>
      <c r="AJ210" s="194">
        <v>30596</v>
      </c>
      <c r="AK210" s="194">
        <v>30734</v>
      </c>
      <c r="AL210" s="194">
        <v>33816</v>
      </c>
      <c r="AM210" s="194">
        <v>35754</v>
      </c>
      <c r="AN210" s="194">
        <v>31653</v>
      </c>
      <c r="AO210" s="194">
        <v>32608</v>
      </c>
      <c r="AP210" s="194">
        <v>33495</v>
      </c>
      <c r="AQ210" s="194">
        <v>37280</v>
      </c>
      <c r="AR210" s="194">
        <v>34719</v>
      </c>
      <c r="AS210" s="194">
        <v>30324</v>
      </c>
      <c r="AT210" s="194">
        <v>34580</v>
      </c>
      <c r="AU210" s="194">
        <v>34545</v>
      </c>
      <c r="AV210" s="227">
        <v>37159</v>
      </c>
      <c r="AW210" s="62">
        <v>37794.597731145303</v>
      </c>
      <c r="AX210" s="62">
        <v>39129.219463526366</v>
      </c>
      <c r="AY210" s="62">
        <v>40510.970025832132</v>
      </c>
      <c r="AZ210" s="62">
        <v>41941.513654869326</v>
      </c>
      <c r="BA210" s="62">
        <v>43422.573355806897</v>
      </c>
      <c r="BB210" s="62">
        <v>44955.932977433818</v>
      </c>
      <c r="BC210" s="62">
        <v>46543.439360699442</v>
      </c>
      <c r="BD210" s="62">
        <v>48187.004563124137</v>
      </c>
      <c r="BE210" s="62">
        <v>49888.608161759454</v>
      </c>
      <c r="BF210" s="62">
        <v>51650.29963747158</v>
      </c>
      <c r="BG210" s="62">
        <v>53474.200843419785</v>
      </c>
      <c r="BH210" s="62">
        <v>55362.508560703041</v>
      </c>
      <c r="BI210" s="62">
        <v>57317.497144252862</v>
      </c>
      <c r="BJ210" s="62">
        <v>59341.52126215928</v>
      </c>
      <c r="BK210" s="62">
        <v>61437.018731729273</v>
      </c>
      <c r="BL210" s="62">
        <v>63606.513455693457</v>
      </c>
      <c r="BM210" s="62">
        <v>65852.618462097627</v>
      </c>
      <c r="BN210" s="62">
        <v>68178.039051540443</v>
      </c>
      <c r="BO210" s="62">
        <v>70585.57605554795</v>
      </c>
      <c r="BP210" s="62"/>
      <c r="BQ210" s="61">
        <v>9700</v>
      </c>
      <c r="BR210" s="61">
        <v>9700</v>
      </c>
      <c r="BS210" s="61">
        <v>10000</v>
      </c>
      <c r="BT210" s="61">
        <v>10000</v>
      </c>
      <c r="BU210" s="61">
        <v>11312</v>
      </c>
      <c r="BV210" s="61">
        <v>13478</v>
      </c>
      <c r="BW210" s="61">
        <v>14439</v>
      </c>
      <c r="BX210" s="61">
        <v>15268</v>
      </c>
      <c r="BY210" s="61">
        <v>15546</v>
      </c>
      <c r="BZ210" s="62">
        <v>19036.009999999998</v>
      </c>
      <c r="CA210" s="62">
        <v>13054.58</v>
      </c>
      <c r="CB210" s="62">
        <v>14040.949999999999</v>
      </c>
      <c r="CC210" s="62">
        <v>15032.71</v>
      </c>
      <c r="CD210" s="62">
        <v>15531.039999999999</v>
      </c>
      <c r="CE210" s="62">
        <v>19036.009999999998</v>
      </c>
      <c r="CF210" s="62">
        <v>22536.57</v>
      </c>
      <c r="CG210" s="62">
        <v>20526.099999999999</v>
      </c>
      <c r="CH210" s="62">
        <v>19952.310000000001</v>
      </c>
      <c r="CI210" s="62">
        <v>44493</v>
      </c>
      <c r="CJ210" s="62">
        <v>48657</v>
      </c>
      <c r="CK210" s="62">
        <v>51667</v>
      </c>
      <c r="CL210" s="62">
        <v>58578</v>
      </c>
      <c r="CM210" s="62">
        <v>61411</v>
      </c>
      <c r="CN210" s="62">
        <v>65392</v>
      </c>
      <c r="CO210" s="62">
        <v>48251</v>
      </c>
      <c r="CP210" s="62">
        <v>28925</v>
      </c>
      <c r="CQ210" s="62">
        <v>30734</v>
      </c>
      <c r="CR210" s="62">
        <v>35754</v>
      </c>
      <c r="CS210" s="62">
        <v>32608</v>
      </c>
      <c r="CT210" s="62">
        <v>37280</v>
      </c>
      <c r="CU210" s="62">
        <v>30324</v>
      </c>
      <c r="CV210" s="220">
        <v>34545</v>
      </c>
      <c r="CW210" s="62">
        <v>37794.597731145303</v>
      </c>
      <c r="CX210" s="62">
        <v>40510.970025832132</v>
      </c>
      <c r="CY210" s="62">
        <v>43422.573355806897</v>
      </c>
      <c r="CZ210" s="62">
        <v>46543.439360699442</v>
      </c>
      <c r="DA210" s="62">
        <v>49888.608161759454</v>
      </c>
      <c r="DB210" s="62">
        <v>53474.200843419785</v>
      </c>
      <c r="DC210" s="62">
        <v>57317.497144252862</v>
      </c>
      <c r="DD210" s="62">
        <v>61437.018731729273</v>
      </c>
      <c r="DE210" s="62">
        <v>65852.618462097627</v>
      </c>
      <c r="DF210" s="62">
        <v>70585.57605554795</v>
      </c>
    </row>
    <row r="211" spans="1:110" ht="12">
      <c r="C211" s="41"/>
      <c r="D211" s="41"/>
      <c r="E211" s="41"/>
      <c r="F211" s="41"/>
      <c r="G211" s="41"/>
      <c r="H211" s="41"/>
      <c r="I211" s="41"/>
      <c r="J211" s="41"/>
      <c r="K211" s="41"/>
      <c r="L211" s="41"/>
      <c r="M211" s="41"/>
      <c r="N211" s="41"/>
      <c r="O211" s="41"/>
      <c r="P211" s="41"/>
      <c r="Q211" s="41"/>
      <c r="R211" s="41"/>
      <c r="S211" s="41"/>
      <c r="T211" s="41"/>
      <c r="U211" s="41"/>
      <c r="V211" s="41"/>
      <c r="W211" s="41"/>
      <c r="X211" s="41"/>
      <c r="Y211" s="41"/>
      <c r="Z211" s="41"/>
      <c r="AA211" s="41"/>
      <c r="AB211" s="41"/>
      <c r="AC211" s="41"/>
      <c r="AD211" s="41"/>
      <c r="AE211" s="41"/>
      <c r="AF211" s="37"/>
      <c r="AG211" s="41"/>
      <c r="AH211" s="41"/>
      <c r="AI211" s="41"/>
      <c r="AJ211" s="41"/>
      <c r="AK211" s="41"/>
      <c r="AL211" s="41"/>
      <c r="AM211" s="41"/>
      <c r="AN211" s="41"/>
      <c r="AO211" s="41"/>
      <c r="AP211" s="41"/>
      <c r="AQ211" s="41"/>
      <c r="AR211" s="41"/>
      <c r="AS211" s="41"/>
      <c r="AT211" s="41"/>
      <c r="AU211" s="41"/>
      <c r="AV211" s="211"/>
      <c r="AW211" s="41"/>
      <c r="AX211" s="41"/>
      <c r="AY211" s="41"/>
      <c r="AZ211" s="41"/>
      <c r="BA211" s="41"/>
      <c r="BB211" s="41"/>
      <c r="BC211" s="41"/>
      <c r="BD211" s="41"/>
      <c r="BE211" s="41"/>
      <c r="BF211" s="41"/>
      <c r="BG211" s="41"/>
      <c r="BH211" s="41"/>
      <c r="BI211" s="41"/>
      <c r="BJ211" s="41"/>
      <c r="BK211" s="41"/>
      <c r="BL211" s="41"/>
      <c r="BM211" s="41"/>
      <c r="BN211" s="41"/>
      <c r="BO211" s="41"/>
      <c r="BP211" s="41"/>
      <c r="BQ211" s="41"/>
      <c r="BR211" s="41"/>
      <c r="BS211" s="41"/>
      <c r="BT211" s="41"/>
      <c r="BU211" s="41"/>
      <c r="BV211" s="41"/>
      <c r="BW211" s="41"/>
      <c r="BX211" s="41"/>
      <c r="BY211" s="41"/>
      <c r="BZ211" s="41"/>
      <c r="CA211" s="41"/>
      <c r="CB211" s="41"/>
      <c r="CC211" s="41"/>
      <c r="CD211" s="41"/>
      <c r="CE211" s="41"/>
      <c r="CF211" s="41"/>
      <c r="CG211" s="41"/>
      <c r="CH211" s="41"/>
      <c r="CI211" s="41"/>
      <c r="CJ211" s="41"/>
      <c r="CK211" s="41"/>
      <c r="CL211" s="41"/>
      <c r="CM211" s="41"/>
      <c r="CN211" s="41"/>
      <c r="CO211" s="41"/>
      <c r="CP211" s="41"/>
      <c r="CQ211" s="41"/>
      <c r="CR211" s="41"/>
      <c r="CS211" s="41"/>
      <c r="CT211" s="41"/>
      <c r="CU211" s="41"/>
      <c r="CV211" s="211"/>
      <c r="CW211" s="41"/>
      <c r="CX211" s="41"/>
      <c r="CY211" s="41"/>
      <c r="CZ211" s="15"/>
      <c r="DA211" s="15"/>
      <c r="DB211" s="15"/>
      <c r="DC211" s="15"/>
      <c r="DD211" s="15"/>
      <c r="DE211" s="15"/>
      <c r="DF211" s="15"/>
    </row>
    <row r="212" spans="1:110" s="26" customFormat="1" ht="12" collapsed="1">
      <c r="A212" s="1" t="s">
        <v>1061</v>
      </c>
      <c r="B212" s="2" t="s">
        <v>388</v>
      </c>
      <c r="C212" s="60">
        <v>141502</v>
      </c>
      <c r="D212" s="60">
        <v>143948</v>
      </c>
      <c r="E212" s="60">
        <v>147880</v>
      </c>
      <c r="F212" s="60">
        <v>159152</v>
      </c>
      <c r="G212" s="60">
        <v>165141</v>
      </c>
      <c r="H212" s="60">
        <v>199086</v>
      </c>
      <c r="I212" s="60">
        <v>225220</v>
      </c>
      <c r="J212" s="60">
        <v>244906</v>
      </c>
      <c r="K212" s="60">
        <v>261414</v>
      </c>
      <c r="L212" s="60">
        <v>294364</v>
      </c>
      <c r="M212" s="60">
        <v>305962</v>
      </c>
      <c r="N212" s="60">
        <v>323667</v>
      </c>
      <c r="O212" s="60">
        <v>343005</v>
      </c>
      <c r="P212" s="60">
        <v>378814</v>
      </c>
      <c r="Q212" s="60">
        <v>402736</v>
      </c>
      <c r="R212" s="60">
        <v>435103</v>
      </c>
      <c r="S212" s="60">
        <v>419867</v>
      </c>
      <c r="T212" s="60">
        <v>428636</v>
      </c>
      <c r="U212" s="60">
        <v>449861</v>
      </c>
      <c r="V212" s="60">
        <v>458029</v>
      </c>
      <c r="W212" s="60">
        <v>476814</v>
      </c>
      <c r="X212" s="60">
        <v>508762</v>
      </c>
      <c r="Y212" s="60">
        <v>538161</v>
      </c>
      <c r="Z212" s="60">
        <v>556264</v>
      </c>
      <c r="AA212" s="60">
        <v>595998</v>
      </c>
      <c r="AB212" s="60">
        <v>632400</v>
      </c>
      <c r="AC212" s="60">
        <v>661515</v>
      </c>
      <c r="AD212" s="60">
        <v>702203</v>
      </c>
      <c r="AE212" s="60">
        <v>731739</v>
      </c>
      <c r="AF212" s="60">
        <v>731395</v>
      </c>
      <c r="AG212" s="60">
        <v>730275</v>
      </c>
      <c r="AH212" s="60">
        <v>743906</v>
      </c>
      <c r="AI212" s="60">
        <v>752073</v>
      </c>
      <c r="AJ212" s="60">
        <v>765186</v>
      </c>
      <c r="AK212" s="60">
        <v>784501</v>
      </c>
      <c r="AL212" s="60">
        <v>811528</v>
      </c>
      <c r="AM212" s="60">
        <v>814832</v>
      </c>
      <c r="AN212" s="60">
        <v>856651</v>
      </c>
      <c r="AO212" s="60">
        <v>869110</v>
      </c>
      <c r="AP212" s="60">
        <v>857524</v>
      </c>
      <c r="AQ212" s="60">
        <v>869825</v>
      </c>
      <c r="AR212" s="60">
        <v>899678</v>
      </c>
      <c r="AS212" s="60">
        <v>920340</v>
      </c>
      <c r="AT212" s="60">
        <v>972972</v>
      </c>
      <c r="AU212" s="60">
        <v>977175</v>
      </c>
      <c r="AV212" s="219">
        <v>1015621</v>
      </c>
      <c r="AW212" s="60">
        <v>1028156.6315352701</v>
      </c>
      <c r="AX212" s="60">
        <v>1103820.4238355912</v>
      </c>
      <c r="AY212" s="60">
        <v>1121613.4335162474</v>
      </c>
      <c r="AZ212" s="60">
        <v>1136689.8704778219</v>
      </c>
      <c r="BA212" s="60">
        <v>1150573.5213912681</v>
      </c>
      <c r="BB212" s="60">
        <v>1166651.9938891805</v>
      </c>
      <c r="BC212" s="60">
        <v>1186071.4991834844</v>
      </c>
      <c r="BD212" s="60">
        <v>1207347.2256960229</v>
      </c>
      <c r="BE212" s="60">
        <v>1229081.5506189775</v>
      </c>
      <c r="BF212" s="60">
        <v>1251284.6277433943</v>
      </c>
      <c r="BG212" s="60">
        <v>1273966.8781893053</v>
      </c>
      <c r="BH212" s="60">
        <v>1297138.9973944968</v>
      </c>
      <c r="BI212" s="60">
        <v>1320811.9623405682</v>
      </c>
      <c r="BJ212" s="60">
        <v>1346063.1422144878</v>
      </c>
      <c r="BK212" s="60">
        <v>1374023.8528790679</v>
      </c>
      <c r="BL212" s="60">
        <v>1403713.7152745936</v>
      </c>
      <c r="BM212" s="60">
        <v>1434101.89035024</v>
      </c>
      <c r="BN212" s="60">
        <v>1456720.181766426</v>
      </c>
      <c r="BO212" s="60">
        <v>1471287.3835840905</v>
      </c>
      <c r="BP212" s="60"/>
      <c r="BQ212" s="60">
        <v>81611.8</v>
      </c>
      <c r="BR212" s="60">
        <v>82595</v>
      </c>
      <c r="BS212" s="60">
        <v>83457</v>
      </c>
      <c r="BT212" s="60">
        <v>90912</v>
      </c>
      <c r="BU212" s="60">
        <v>99731</v>
      </c>
      <c r="BV212" s="60">
        <v>113242</v>
      </c>
      <c r="BW212" s="60">
        <v>119728</v>
      </c>
      <c r="BX212" s="60">
        <v>120191</v>
      </c>
      <c r="BY212" s="60">
        <v>133158</v>
      </c>
      <c r="BZ212" s="60">
        <v>139301</v>
      </c>
      <c r="CA212" s="60">
        <v>145908.61369863016</v>
      </c>
      <c r="CB212" s="60">
        <v>162138.29589041098</v>
      </c>
      <c r="CC212" s="60">
        <v>212153</v>
      </c>
      <c r="CD212" s="60">
        <v>253137.38630136987</v>
      </c>
      <c r="CE212" s="60">
        <v>300706</v>
      </c>
      <c r="CF212" s="60">
        <v>333361</v>
      </c>
      <c r="CG212" s="60">
        <v>390775</v>
      </c>
      <c r="CH212" s="60">
        <v>427464</v>
      </c>
      <c r="CI212" s="60">
        <v>439277</v>
      </c>
      <c r="CJ212" s="60">
        <v>474302</v>
      </c>
      <c r="CK212" s="60">
        <v>523461</v>
      </c>
      <c r="CL212" s="60">
        <v>575339</v>
      </c>
      <c r="CM212" s="60">
        <v>646997</v>
      </c>
      <c r="CN212" s="60">
        <v>717012</v>
      </c>
      <c r="CO212" s="60">
        <v>730835</v>
      </c>
      <c r="CP212" s="60">
        <v>748000</v>
      </c>
      <c r="CQ212" s="60">
        <v>774884</v>
      </c>
      <c r="CR212" s="60">
        <v>813219</v>
      </c>
      <c r="CS212" s="60">
        <v>862882</v>
      </c>
      <c r="CT212" s="60">
        <v>863691</v>
      </c>
      <c r="CU212" s="60">
        <v>910037</v>
      </c>
      <c r="CV212" s="219">
        <v>975079</v>
      </c>
      <c r="CW212" s="60">
        <v>1021888.8157676351</v>
      </c>
      <c r="CX212" s="60">
        <v>1112741.3026617831</v>
      </c>
      <c r="CY212" s="60">
        <v>1143650.7146344264</v>
      </c>
      <c r="CZ212" s="60">
        <v>1176388.3485983794</v>
      </c>
      <c r="DA212" s="60">
        <v>1218214.3881575002</v>
      </c>
      <c r="DB212" s="60">
        <v>1262656.8245423031</v>
      </c>
      <c r="DC212" s="60">
        <v>1309007.9085866367</v>
      </c>
      <c r="DD212" s="60">
        <v>1360081.799890154</v>
      </c>
      <c r="DE212" s="60">
        <v>1418907.8028124168</v>
      </c>
      <c r="DF212" s="60">
        <v>1464023.7377462413</v>
      </c>
    </row>
    <row r="213" spans="1:110" ht="12" outlineLevel="1">
      <c r="C213" s="41"/>
      <c r="D213" s="41"/>
      <c r="E213" s="41"/>
      <c r="F213" s="41"/>
      <c r="G213" s="41"/>
      <c r="H213" s="41"/>
      <c r="I213" s="41"/>
      <c r="J213" s="41"/>
      <c r="K213" s="41"/>
      <c r="L213" s="41"/>
      <c r="M213" s="41"/>
      <c r="N213" s="41"/>
      <c r="O213" s="41"/>
      <c r="P213" s="41"/>
      <c r="Q213" s="41"/>
      <c r="R213" s="41"/>
      <c r="S213" s="41"/>
      <c r="T213" s="41"/>
      <c r="U213" s="41"/>
      <c r="V213" s="41"/>
      <c r="W213" s="41"/>
      <c r="X213" s="41"/>
      <c r="Y213" s="41"/>
      <c r="Z213" s="41"/>
      <c r="AA213" s="41"/>
      <c r="AB213" s="41"/>
      <c r="AC213" s="41"/>
      <c r="AD213" s="41"/>
      <c r="AE213" s="41"/>
      <c r="AF213" s="41"/>
      <c r="AG213" s="41"/>
      <c r="AH213" s="41"/>
      <c r="AI213" s="41"/>
      <c r="AJ213" s="41"/>
      <c r="AK213" s="41"/>
      <c r="AL213" s="41"/>
      <c r="AM213" s="41"/>
      <c r="AN213" s="41"/>
      <c r="AO213" s="41"/>
      <c r="AP213" s="41"/>
      <c r="AQ213" s="41"/>
      <c r="AR213" s="41"/>
      <c r="AS213" s="32"/>
      <c r="AT213" s="32"/>
      <c r="AU213" s="32"/>
      <c r="AV213" s="31"/>
      <c r="AW213" s="41"/>
      <c r="AX213" s="41"/>
      <c r="AY213" s="41"/>
      <c r="AZ213" s="41"/>
      <c r="BA213" s="41"/>
      <c r="BB213" s="41"/>
      <c r="BC213" s="41"/>
      <c r="BD213" s="41"/>
      <c r="BE213" s="41"/>
      <c r="BF213" s="41"/>
      <c r="BG213" s="41"/>
      <c r="BH213" s="41"/>
      <c r="BI213" s="41"/>
      <c r="BJ213" s="41"/>
      <c r="BK213" s="41"/>
      <c r="BL213" s="41"/>
      <c r="BM213" s="41"/>
      <c r="BN213" s="41"/>
      <c r="BO213" s="41"/>
      <c r="BP213" s="41"/>
      <c r="BQ213" s="41"/>
      <c r="BR213" s="41"/>
      <c r="BS213" s="41"/>
      <c r="BT213" s="41"/>
      <c r="BU213" s="41"/>
      <c r="BV213" s="41"/>
      <c r="BW213" s="41"/>
      <c r="BX213" s="41"/>
      <c r="BY213" s="41"/>
      <c r="BZ213" s="41"/>
      <c r="CA213" s="41"/>
      <c r="CB213" s="41"/>
      <c r="CC213" s="41"/>
      <c r="CD213" s="41"/>
      <c r="CE213" s="41"/>
      <c r="CF213" s="41"/>
      <c r="CG213" s="41"/>
      <c r="CH213" s="41"/>
      <c r="CI213" s="41"/>
      <c r="CJ213" s="41"/>
      <c r="CK213" s="41"/>
      <c r="CL213" s="41"/>
      <c r="CM213" s="41"/>
      <c r="CN213" s="41"/>
      <c r="CO213" s="32"/>
      <c r="CP213" s="32"/>
      <c r="CQ213" s="41"/>
      <c r="CR213" s="32"/>
      <c r="CS213" s="32"/>
      <c r="CT213" s="32"/>
      <c r="CU213" s="32"/>
      <c r="CV213" s="31"/>
      <c r="CW213" s="30"/>
      <c r="CX213" s="30"/>
      <c r="CY213" s="30"/>
      <c r="CZ213" s="15"/>
      <c r="DA213" s="15"/>
      <c r="DB213" s="15"/>
      <c r="DC213" s="15"/>
      <c r="DD213" s="15"/>
      <c r="DE213" s="15"/>
      <c r="DF213" s="15"/>
    </row>
    <row r="214" spans="1:110" s="17" customFormat="1" ht="12" outlineLevel="1">
      <c r="A214" s="1"/>
      <c r="B214" s="17" t="s">
        <v>442</v>
      </c>
      <c r="C214" s="62"/>
      <c r="D214" s="62"/>
      <c r="E214" s="62"/>
      <c r="F214" s="62"/>
      <c r="G214" s="62"/>
      <c r="H214" s="62"/>
      <c r="I214" s="62"/>
      <c r="J214" s="62"/>
      <c r="K214" s="62"/>
      <c r="L214" s="62"/>
      <c r="M214" s="62"/>
      <c r="N214" s="62"/>
      <c r="O214" s="62"/>
      <c r="P214" s="62"/>
      <c r="Q214" s="62"/>
      <c r="R214" s="62"/>
      <c r="S214" s="62"/>
      <c r="T214" s="62"/>
      <c r="U214" s="62"/>
      <c r="V214" s="62"/>
      <c r="W214" s="62"/>
      <c r="X214" s="62"/>
      <c r="Y214" s="62"/>
      <c r="Z214" s="62"/>
      <c r="AA214" s="62"/>
      <c r="AB214" s="62"/>
      <c r="AC214" s="62"/>
      <c r="AD214" s="62"/>
      <c r="AE214" s="62"/>
      <c r="AF214" s="62"/>
      <c r="AG214" s="62"/>
      <c r="AH214" s="62"/>
      <c r="AI214" s="62"/>
      <c r="AJ214" s="62"/>
      <c r="AK214" s="62"/>
      <c r="AL214" s="62"/>
      <c r="AM214" s="62"/>
      <c r="AN214" s="62"/>
      <c r="AO214" s="62"/>
      <c r="AP214" s="62"/>
      <c r="AQ214" s="62"/>
      <c r="AR214" s="62"/>
      <c r="AS214" s="62"/>
      <c r="AT214" s="62"/>
      <c r="AU214" s="62"/>
      <c r="AV214" s="220"/>
      <c r="AW214" s="41"/>
      <c r="AX214" s="41"/>
      <c r="AY214" s="62"/>
      <c r="AZ214" s="62"/>
      <c r="BA214" s="62"/>
      <c r="BB214" s="62"/>
      <c r="BC214" s="62"/>
      <c r="BD214" s="62"/>
      <c r="BE214" s="62"/>
      <c r="BF214" s="62"/>
      <c r="BG214" s="62"/>
      <c r="BH214" s="62"/>
      <c r="BI214" s="62"/>
      <c r="BJ214" s="62"/>
      <c r="BK214" s="62"/>
      <c r="BL214" s="62"/>
      <c r="BM214" s="62"/>
      <c r="BN214" s="62"/>
      <c r="BO214" s="62"/>
      <c r="BP214" s="62"/>
      <c r="BQ214" s="62"/>
      <c r="BR214" s="62"/>
      <c r="BS214" s="62"/>
      <c r="BT214" s="62"/>
      <c r="BU214" s="62"/>
      <c r="BV214" s="62"/>
      <c r="BW214" s="62"/>
      <c r="BX214" s="62"/>
      <c r="BY214" s="62"/>
      <c r="BZ214" s="62"/>
      <c r="CA214" s="62"/>
      <c r="CB214" s="62"/>
      <c r="CC214" s="62"/>
      <c r="CD214" s="62"/>
      <c r="CE214" s="62"/>
      <c r="CF214" s="62"/>
      <c r="CG214" s="62"/>
      <c r="CH214" s="62"/>
      <c r="CI214" s="62"/>
      <c r="CJ214" s="62"/>
      <c r="CK214" s="62"/>
      <c r="CL214" s="62"/>
      <c r="CM214" s="62"/>
      <c r="CN214" s="62"/>
      <c r="CO214" s="62"/>
      <c r="CP214" s="41"/>
      <c r="CQ214" s="62"/>
      <c r="CR214" s="62"/>
      <c r="CS214" s="62"/>
      <c r="CT214" s="62"/>
      <c r="CU214" s="62"/>
      <c r="CV214" s="220"/>
      <c r="CW214" s="62"/>
      <c r="CX214" s="62"/>
      <c r="CY214" s="62"/>
    </row>
    <row r="215" spans="1:110" ht="12" outlineLevel="1">
      <c r="A215" s="1" t="s">
        <v>191</v>
      </c>
      <c r="B215" s="15" t="s">
        <v>164</v>
      </c>
      <c r="C215" s="41">
        <v>87715.641109206859</v>
      </c>
      <c r="D215" s="41">
        <v>45776.85109095931</v>
      </c>
      <c r="E215" s="41">
        <v>49673.939518066974</v>
      </c>
      <c r="F215" s="41">
        <v>54304.413341141</v>
      </c>
      <c r="G215" s="41">
        <v>58891.329808884235</v>
      </c>
      <c r="H215" s="41">
        <v>64831.98371875898</v>
      </c>
      <c r="I215" s="41">
        <v>72714.364997575176</v>
      </c>
      <c r="J215" s="41">
        <v>82552.608114308183</v>
      </c>
      <c r="K215" s="41">
        <v>87665.71842795673</v>
      </c>
      <c r="L215" s="41">
        <v>92789.705288602156</v>
      </c>
      <c r="M215" s="41">
        <v>98926.138396466675</v>
      </c>
      <c r="N215" s="41">
        <v>103850.16786812268</v>
      </c>
      <c r="O215" s="41">
        <v>108458.59656430915</v>
      </c>
      <c r="P215" s="41">
        <v>116856.23596796178</v>
      </c>
      <c r="Q215" s="41">
        <v>124510.55627319848</v>
      </c>
      <c r="R215" s="41">
        <v>133151.48518662536</v>
      </c>
      <c r="S215" s="41">
        <v>137614.98102333536</v>
      </c>
      <c r="T215" s="41">
        <v>143503.09154044231</v>
      </c>
      <c r="U215" s="41">
        <v>153191.00555491284</v>
      </c>
      <c r="V215" s="41">
        <v>163324.66006982754</v>
      </c>
      <c r="W215" s="41">
        <v>166105.69264307173</v>
      </c>
      <c r="X215" s="41">
        <v>173664.76768010631</v>
      </c>
      <c r="Y215" s="41">
        <v>181480.8648164917</v>
      </c>
      <c r="Z215" s="41">
        <v>184356.5877926847</v>
      </c>
      <c r="AA215" s="41">
        <v>190585.11367526659</v>
      </c>
      <c r="AB215" s="41">
        <v>197444.33680980859</v>
      </c>
      <c r="AC215" s="41">
        <v>208958.896723621</v>
      </c>
      <c r="AD215" s="41">
        <v>213244.93779874995</v>
      </c>
      <c r="AE215" s="41">
        <v>225312.64228892894</v>
      </c>
      <c r="AF215" s="41">
        <v>222576.93421958582</v>
      </c>
      <c r="AG215" s="41">
        <v>229401.83090401249</v>
      </c>
      <c r="AH215" s="41">
        <v>234947.40476125223</v>
      </c>
      <c r="AI215" s="41">
        <v>242844.63600932833</v>
      </c>
      <c r="AJ215" s="41">
        <v>250086.7332997481</v>
      </c>
      <c r="AK215" s="41">
        <v>252511.20712722681</v>
      </c>
      <c r="AL215" s="41">
        <v>254461.89697279091</v>
      </c>
      <c r="AM215" s="41">
        <v>249961.28277013829</v>
      </c>
      <c r="AN215" s="41">
        <v>245572.84739085913</v>
      </c>
      <c r="AO215" s="41">
        <v>250808.27990226654</v>
      </c>
      <c r="AP215" s="41">
        <v>256402.87473298609</v>
      </c>
      <c r="AQ215" s="41">
        <v>254524.9400669607</v>
      </c>
      <c r="AR215" s="41">
        <v>253780.03405983251</v>
      </c>
      <c r="AS215" s="41">
        <v>253297.66798506549</v>
      </c>
      <c r="AT215" s="41">
        <v>265897.42861051846</v>
      </c>
      <c r="AU215" s="41">
        <v>269369.50481143314</v>
      </c>
      <c r="AV215" s="211">
        <v>280636.65624596359</v>
      </c>
      <c r="AW215" s="210">
        <v>308707.89432491211</v>
      </c>
      <c r="AX215" s="210">
        <v>354382.76041426242</v>
      </c>
      <c r="AY215" s="41">
        <v>361847.25473286508</v>
      </c>
      <c r="AZ215" s="41">
        <v>370917.20783411199</v>
      </c>
      <c r="BA215" s="41">
        <v>377809.12035357719</v>
      </c>
      <c r="BB215" s="41">
        <v>384640.28705869016</v>
      </c>
      <c r="BC215" s="41">
        <v>391594.96808899828</v>
      </c>
      <c r="BD215" s="41">
        <v>398675.3967070154</v>
      </c>
      <c r="BE215" s="41">
        <v>405883.84655487485</v>
      </c>
      <c r="BF215" s="41">
        <v>413222.63238443329</v>
      </c>
      <c r="BG215" s="41">
        <v>420694.11080057622</v>
      </c>
      <c r="BH215" s="41">
        <v>428300.68101796135</v>
      </c>
      <c r="BI215" s="41">
        <v>436044.78563144704</v>
      </c>
      <c r="BJ215" s="41">
        <v>443928.91140044917</v>
      </c>
      <c r="BK215" s="41">
        <v>451955.59004748065</v>
      </c>
      <c r="BL215" s="41">
        <v>460127.39907112898</v>
      </c>
      <c r="BM215" s="41">
        <v>468446.96257373394</v>
      </c>
      <c r="BN215" s="41">
        <v>475007.23396588111</v>
      </c>
      <c r="BO215" s="41">
        <v>479757.30630554003</v>
      </c>
      <c r="BP215" s="41"/>
      <c r="BQ215" s="41">
        <v>24163.566665310798</v>
      </c>
      <c r="BR215" s="41">
        <v>12287.73790197008</v>
      </c>
      <c r="BS215" s="41">
        <v>12675.170815393769</v>
      </c>
      <c r="BT215" s="41">
        <v>13915.359480327232</v>
      </c>
      <c r="BU215" s="41">
        <v>15012.752475349133</v>
      </c>
      <c r="BV215" s="41">
        <v>16497.919890032572</v>
      </c>
      <c r="BW215" s="41">
        <v>18551.467956405075</v>
      </c>
      <c r="BX215" s="41">
        <v>23060.506612452769</v>
      </c>
      <c r="BY215" s="41">
        <v>30211.474526629499</v>
      </c>
      <c r="BZ215" s="41">
        <v>36022.960512303522</v>
      </c>
      <c r="CA215" s="41">
        <v>47720.05682721574</v>
      </c>
      <c r="CB215" s="41">
        <v>56591.588127796531</v>
      </c>
      <c r="CC215" s="41">
        <v>68773.174358167074</v>
      </c>
      <c r="CD215" s="41">
        <v>85102.159010428833</v>
      </c>
      <c r="CE215" s="41">
        <v>96036.823182917855</v>
      </c>
      <c r="CF215" s="41">
        <v>105736.30028131267</v>
      </c>
      <c r="CG215" s="41">
        <v>121551.78734671777</v>
      </c>
      <c r="CH215" s="41">
        <v>135949.46843979799</v>
      </c>
      <c r="CI215" s="41">
        <v>148977.06645901827</v>
      </c>
      <c r="CJ215" s="41">
        <v>165571.04225533837</v>
      </c>
      <c r="CK215" s="41">
        <v>177164.05515985173</v>
      </c>
      <c r="CL215" s="41">
        <v>187215.59077307204</v>
      </c>
      <c r="CM215" s="41">
        <v>203623.83948120906</v>
      </c>
      <c r="CN215" s="41">
        <v>219176.54823031923</v>
      </c>
      <c r="CO215" s="41">
        <v>223868.84446872817</v>
      </c>
      <c r="CP215" s="41">
        <v>238860.91449362651</v>
      </c>
      <c r="CQ215" s="41">
        <v>249860.39524571976</v>
      </c>
      <c r="CR215" s="41">
        <v>249977.72338424591</v>
      </c>
      <c r="CS215" s="41">
        <v>254236.06859713403</v>
      </c>
      <c r="CT215" s="41">
        <v>252983.67283583517</v>
      </c>
      <c r="CU215" s="41">
        <v>253538.19024700412</v>
      </c>
      <c r="CV215" s="211">
        <v>267638.22297974414</v>
      </c>
      <c r="CW215" s="41">
        <v>294672.27528543788</v>
      </c>
      <c r="CX215" s="41">
        <v>358125.23290824681</v>
      </c>
      <c r="CY215" s="41">
        <v>374372.60506989859</v>
      </c>
      <c r="CZ215" s="41">
        <v>388127.15453415969</v>
      </c>
      <c r="DA215" s="41">
        <v>402279.62163094518</v>
      </c>
      <c r="DB215" s="41">
        <v>416968.60649444471</v>
      </c>
      <c r="DC215" s="41">
        <v>432183.34168718843</v>
      </c>
      <c r="DD215" s="41">
        <v>447953.24617416633</v>
      </c>
      <c r="DE215" s="41">
        <v>464287.18082243146</v>
      </c>
      <c r="DF215" s="41">
        <v>477388.77708412107</v>
      </c>
    </row>
    <row r="216" spans="1:110" ht="12" outlineLevel="1">
      <c r="A216" s="1" t="s">
        <v>395</v>
      </c>
      <c r="B216" s="15" t="s">
        <v>165</v>
      </c>
      <c r="C216" s="41">
        <v>36705.759459334673</v>
      </c>
      <c r="D216" s="41">
        <v>36657.546003783398</v>
      </c>
      <c r="E216" s="41">
        <v>36446.631637656719</v>
      </c>
      <c r="F216" s="41">
        <v>37276.271472921828</v>
      </c>
      <c r="G216" s="41">
        <v>38773.616339921587</v>
      </c>
      <c r="H216" s="41">
        <v>41323.215997115054</v>
      </c>
      <c r="I216" s="41">
        <v>41538.811777111441</v>
      </c>
      <c r="J216" s="41">
        <v>42765.372708702685</v>
      </c>
      <c r="K216" s="41">
        <v>44978.506847460638</v>
      </c>
      <c r="L216" s="41">
        <v>46751.455275162465</v>
      </c>
      <c r="M216" s="41">
        <v>48548.177014952489</v>
      </c>
      <c r="N216" s="41">
        <v>50121.484047870239</v>
      </c>
      <c r="O216" s="41">
        <v>51888.534127326006</v>
      </c>
      <c r="P216" s="41">
        <v>55287.993279061171</v>
      </c>
      <c r="Q216" s="41">
        <v>57785.456110911262</v>
      </c>
      <c r="R216" s="41">
        <v>58987.977727895806</v>
      </c>
      <c r="S216" s="41">
        <v>57027.929197464022</v>
      </c>
      <c r="T216" s="41">
        <v>56194.888610381713</v>
      </c>
      <c r="U216" s="41">
        <v>56806.019371075388</v>
      </c>
      <c r="V216" s="41">
        <v>52378.573239068581</v>
      </c>
      <c r="W216" s="41">
        <v>47366.94561686329</v>
      </c>
      <c r="X216" s="41">
        <v>53629.567738116719</v>
      </c>
      <c r="Y216" s="41">
        <v>61037.709586157951</v>
      </c>
      <c r="Z216" s="41">
        <v>63275.752555322899</v>
      </c>
      <c r="AA216" s="41">
        <v>65070.806585362079</v>
      </c>
      <c r="AB216" s="41">
        <v>66275.639055017658</v>
      </c>
      <c r="AC216" s="41">
        <v>69011.9488494744</v>
      </c>
      <c r="AD216" s="41">
        <v>69231.995861882679</v>
      </c>
      <c r="AE216" s="41">
        <v>71597.726933111713</v>
      </c>
      <c r="AF216" s="41">
        <v>65549.695990678461</v>
      </c>
      <c r="AG216" s="41">
        <v>63374.768507865148</v>
      </c>
      <c r="AH216" s="41">
        <v>59569.344205399073</v>
      </c>
      <c r="AI216" s="41">
        <v>54788.204556720921</v>
      </c>
      <c r="AJ216" s="41">
        <v>53985.5401511335</v>
      </c>
      <c r="AK216" s="41">
        <v>53709.250421042962</v>
      </c>
      <c r="AL216" s="41">
        <v>54310.981167813829</v>
      </c>
      <c r="AM216" s="41">
        <v>53489.312120056791</v>
      </c>
      <c r="AN216" s="41">
        <v>53071.382907748943</v>
      </c>
      <c r="AO216" s="41">
        <v>53185.160522052851</v>
      </c>
      <c r="AP216" s="41">
        <v>52563.992466799376</v>
      </c>
      <c r="AQ216" s="41">
        <v>51992.816387013569</v>
      </c>
      <c r="AR216" s="41">
        <v>52467.562934794587</v>
      </c>
      <c r="AS216" s="41">
        <v>53057.880742227673</v>
      </c>
      <c r="AT216" s="41">
        <v>55330.011069164102</v>
      </c>
      <c r="AU216" s="41">
        <v>54831.79161502717</v>
      </c>
      <c r="AV216" s="211">
        <v>56937.053859023828</v>
      </c>
      <c r="AW216" s="210">
        <v>63211.406407215538</v>
      </c>
      <c r="AX216" s="210">
        <v>73572.589736319555</v>
      </c>
      <c r="AY216" s="41">
        <v>74864.674065317144</v>
      </c>
      <c r="AZ216" s="41">
        <v>76520.755520316015</v>
      </c>
      <c r="BA216" s="41">
        <v>78213.471153180901</v>
      </c>
      <c r="BB216" s="41">
        <v>79943.631348560404</v>
      </c>
      <c r="BC216" s="41">
        <v>81712.064417621892</v>
      </c>
      <c r="BD216" s="41">
        <v>83519.616994604105</v>
      </c>
      <c r="BE216" s="41">
        <v>85367.154442141706</v>
      </c>
      <c r="BF216" s="41">
        <v>87255.561265556302</v>
      </c>
      <c r="BG216" s="41">
        <v>89185.74153631166</v>
      </c>
      <c r="BH216" s="41">
        <v>91158.619324836414</v>
      </c>
      <c r="BI216" s="41">
        <v>93175.139142921107</v>
      </c>
      <c r="BJ216" s="41">
        <v>95236.26639590165</v>
      </c>
      <c r="BK216" s="41">
        <v>97342.987844845382</v>
      </c>
      <c r="BL216" s="41">
        <v>99496.312078961171</v>
      </c>
      <c r="BM216" s="41">
        <v>101697.26999845986</v>
      </c>
      <c r="BN216" s="41">
        <v>103323.83659003221</v>
      </c>
      <c r="BO216" s="41">
        <v>104357.07495593255</v>
      </c>
      <c r="BP216" s="41"/>
      <c r="BQ216" s="41">
        <v>17219.586579240306</v>
      </c>
      <c r="BR216" s="41">
        <v>16957.055519758494</v>
      </c>
      <c r="BS216" s="41">
        <v>16453.187862188955</v>
      </c>
      <c r="BT216" s="41">
        <v>17383.217164858321</v>
      </c>
      <c r="BU216" s="41">
        <v>18682.415656933586</v>
      </c>
      <c r="BV216" s="41">
        <v>20218.0740548582</v>
      </c>
      <c r="BW216" s="41">
        <v>22294.936529109189</v>
      </c>
      <c r="BX216" s="41">
        <v>25158.838783874206</v>
      </c>
      <c r="BY216" s="41">
        <v>28105.620834955142</v>
      </c>
      <c r="BZ216" s="41">
        <v>30059.967512143543</v>
      </c>
      <c r="CA216" s="41">
        <v>36552.377744509278</v>
      </c>
      <c r="CB216" s="41">
        <v>38022.892749069651</v>
      </c>
      <c r="CC216" s="41">
        <v>41431.013887113251</v>
      </c>
      <c r="CD216" s="41">
        <v>43868.908087480631</v>
      </c>
      <c r="CE216" s="41">
        <v>47782.788551818099</v>
      </c>
      <c r="CF216" s="41">
        <v>50823.582360752647</v>
      </c>
      <c r="CG216" s="41">
        <v>56787.212043869244</v>
      </c>
      <c r="CH216" s="41">
        <v>58258.097811413048</v>
      </c>
      <c r="CI216" s="41">
        <v>56489.784161042859</v>
      </c>
      <c r="CJ216" s="41">
        <v>53353.051131109823</v>
      </c>
      <c r="CK216" s="41">
        <v>55996.247006946018</v>
      </c>
      <c r="CL216" s="41">
        <v>63890.427557825133</v>
      </c>
      <c r="CM216" s="41">
        <v>67997.295233427954</v>
      </c>
      <c r="CN216" s="41">
        <v>70458.624452067073</v>
      </c>
      <c r="CO216" s="41">
        <v>66171.320329314578</v>
      </c>
      <c r="CP216" s="41">
        <v>59278.644014307014</v>
      </c>
      <c r="CQ216" s="41">
        <v>54366.637444856475</v>
      </c>
      <c r="CR216" s="41">
        <v>53737.240547619076</v>
      </c>
      <c r="CS216" s="41">
        <v>53773.396904240668</v>
      </c>
      <c r="CT216" s="41">
        <v>52334.567757179706</v>
      </c>
      <c r="CU216" s="41">
        <v>52763.53049304185</v>
      </c>
      <c r="CV216" s="211">
        <v>55080.218849692705</v>
      </c>
      <c r="CW216" s="41">
        <v>60074.230133119687</v>
      </c>
      <c r="CX216" s="41">
        <v>74220.401879351222</v>
      </c>
      <c r="CY216" s="41">
        <v>77369.432125286636</v>
      </c>
      <c r="CZ216" s="41">
        <v>80830.270394144653</v>
      </c>
      <c r="DA216" s="41">
        <v>84443.385718372898</v>
      </c>
      <c r="DB216" s="41">
        <v>88223.295483496666</v>
      </c>
      <c r="DC216" s="41">
        <v>92169.64158979393</v>
      </c>
      <c r="DD216" s="41">
        <v>96292.51304016661</v>
      </c>
      <c r="DE216" s="41">
        <v>100596.79103871052</v>
      </c>
      <c r="DF216" s="41">
        <v>103841.87116800416</v>
      </c>
    </row>
    <row r="217" spans="1:110" ht="12" outlineLevel="1">
      <c r="A217" s="1" t="s">
        <v>396</v>
      </c>
      <c r="B217" s="15" t="s">
        <v>166</v>
      </c>
      <c r="C217" s="41">
        <v>42001.658156347345</v>
      </c>
      <c r="D217" s="41">
        <v>20867.125092924678</v>
      </c>
      <c r="E217" s="41">
        <v>20995.246493997569</v>
      </c>
      <c r="F217" s="41">
        <v>22325.161669387038</v>
      </c>
      <c r="G217" s="41">
        <v>24104.759309557041</v>
      </c>
      <c r="H217" s="41">
        <v>26335.446424550631</v>
      </c>
      <c r="I217" s="41">
        <v>26897.829304571031</v>
      </c>
      <c r="J217" s="41">
        <v>28168.670065490278</v>
      </c>
      <c r="K217" s="41">
        <v>29942.160132933925</v>
      </c>
      <c r="L217" s="41">
        <v>31249.909332184256</v>
      </c>
      <c r="M217" s="41">
        <v>32833.125019123217</v>
      </c>
      <c r="N217" s="41">
        <v>34279.831905266685</v>
      </c>
      <c r="O217" s="41">
        <v>37325.579281714345</v>
      </c>
      <c r="P217" s="41">
        <v>45937.543488105992</v>
      </c>
      <c r="Q217" s="41">
        <v>52900.126692365549</v>
      </c>
      <c r="R217" s="41">
        <v>53472.697151621556</v>
      </c>
      <c r="S217" s="41">
        <v>47464.637634762956</v>
      </c>
      <c r="T217" s="41">
        <v>42844.604439864932</v>
      </c>
      <c r="U217" s="41">
        <v>41878.393020040545</v>
      </c>
      <c r="V217" s="41">
        <v>51267.918605917192</v>
      </c>
      <c r="W217" s="41">
        <v>59931.360103563668</v>
      </c>
      <c r="X217" s="41">
        <v>57436.221937041839</v>
      </c>
      <c r="Y217" s="41">
        <v>55230.132605663101</v>
      </c>
      <c r="Z217" s="41">
        <v>55026.860087320129</v>
      </c>
      <c r="AA217" s="41">
        <v>55234.168416572516</v>
      </c>
      <c r="AB217" s="41">
        <v>58115.22515580499</v>
      </c>
      <c r="AC217" s="41">
        <v>63315.078134595242</v>
      </c>
      <c r="AD217" s="41">
        <v>65303.570900068364</v>
      </c>
      <c r="AE217" s="41">
        <v>68949.530598029698</v>
      </c>
      <c r="AF217" s="41">
        <v>65387.455908055716</v>
      </c>
      <c r="AG217" s="41">
        <v>65892.29985849974</v>
      </c>
      <c r="AH217" s="41">
        <v>70779.688595168991</v>
      </c>
      <c r="AI217" s="41">
        <v>74885.185847547647</v>
      </c>
      <c r="AJ217" s="41">
        <v>75913.775138539044</v>
      </c>
      <c r="AK217" s="41">
        <v>79568.380172939709</v>
      </c>
      <c r="AL217" s="41">
        <v>83223.338250567715</v>
      </c>
      <c r="AM217" s="41">
        <v>88399.433173266967</v>
      </c>
      <c r="AN217" s="41">
        <v>102163.92257989723</v>
      </c>
      <c r="AO217" s="41">
        <v>104065.11072420586</v>
      </c>
      <c r="AP217" s="41">
        <v>91036.516584403667</v>
      </c>
      <c r="AQ217" s="41">
        <v>85027.054710196477</v>
      </c>
      <c r="AR217" s="41">
        <v>90227.125573051177</v>
      </c>
      <c r="AS217" s="41">
        <v>98340.552070690872</v>
      </c>
      <c r="AT217" s="41">
        <v>105969.56448889022</v>
      </c>
      <c r="AU217" s="41">
        <v>105043.40847472945</v>
      </c>
      <c r="AV217" s="211">
        <v>106972.53660028093</v>
      </c>
      <c r="AW217" s="210">
        <v>109309.67649386461</v>
      </c>
      <c r="AX217" s="210">
        <v>112007.62860178275</v>
      </c>
      <c r="AY217" s="41">
        <v>115932.51306821629</v>
      </c>
      <c r="AZ217" s="41">
        <v>118497.05618979826</v>
      </c>
      <c r="BA217" s="41">
        <v>121118.32956977277</v>
      </c>
      <c r="BB217" s="41">
        <v>123797.58813818567</v>
      </c>
      <c r="BC217" s="41">
        <v>126536.11458539052</v>
      </c>
      <c r="BD217" s="41">
        <v>129335.21997613389</v>
      </c>
      <c r="BE217" s="41">
        <v>132196.24437722593</v>
      </c>
      <c r="BF217" s="41">
        <v>135120.55749909452</v>
      </c>
      <c r="BG217" s="41">
        <v>138109.55935153196</v>
      </c>
      <c r="BH217" s="41">
        <v>141164.68091394717</v>
      </c>
      <c r="BI217" s="41">
        <v>144287.3848204446</v>
      </c>
      <c r="BJ217" s="41">
        <v>147479.16606005764</v>
      </c>
      <c r="BK217" s="41">
        <v>150741.55269247215</v>
      </c>
      <c r="BL217" s="41">
        <v>154076.10657958229</v>
      </c>
      <c r="BM217" s="41">
        <v>157484.42413322924</v>
      </c>
      <c r="BN217" s="41">
        <v>160003.26168896694</v>
      </c>
      <c r="BO217" s="41">
        <v>161603.29430585663</v>
      </c>
      <c r="BP217" s="41"/>
      <c r="BQ217" s="41">
        <v>20275.981700593951</v>
      </c>
      <c r="BR217" s="41">
        <v>10254.948557416568</v>
      </c>
      <c r="BS217" s="41">
        <v>10543.176785463082</v>
      </c>
      <c r="BT217" s="41">
        <v>11567.373682781428</v>
      </c>
      <c r="BU217" s="41">
        <v>12487.628708670216</v>
      </c>
      <c r="BV217" s="41">
        <v>14022.896312718591</v>
      </c>
      <c r="BW217" s="41">
        <v>16330.374607677357</v>
      </c>
      <c r="BX217" s="41">
        <v>18538.861585044877</v>
      </c>
      <c r="BY217" s="41">
        <v>19611.817327889887</v>
      </c>
      <c r="BZ217" s="41">
        <v>19772.592029324296</v>
      </c>
      <c r="CA217" s="41">
        <v>20931.010284692533</v>
      </c>
      <c r="CB217" s="41">
        <v>23212.522684485506</v>
      </c>
      <c r="CC217" s="41">
        <v>26616.637864560831</v>
      </c>
      <c r="CD217" s="41">
        <v>29052.985660763548</v>
      </c>
      <c r="CE217" s="41">
        <v>32239.52824418954</v>
      </c>
      <c r="CF217" s="41">
        <v>36513.32170509822</v>
      </c>
      <c r="CG217" s="41">
        <v>47760.050808480817</v>
      </c>
      <c r="CH217" s="41">
        <v>49512.345923399458</v>
      </c>
      <c r="CI217" s="41">
        <v>42251.901182442176</v>
      </c>
      <c r="CJ217" s="41">
        <v>51260.616739780227</v>
      </c>
      <c r="CK217" s="41">
        <v>58124.082243990561</v>
      </c>
      <c r="CL217" s="41">
        <v>54873.192499513811</v>
      </c>
      <c r="CM217" s="41">
        <v>59848.348604789091</v>
      </c>
      <c r="CN217" s="41">
        <v>66278.837551126824</v>
      </c>
      <c r="CO217" s="41">
        <v>66128.632181363573</v>
      </c>
      <c r="CP217" s="41">
        <v>70827.780924475956</v>
      </c>
      <c r="CQ217" s="41">
        <v>78799.975376947696</v>
      </c>
      <c r="CR217" s="41">
        <v>88293.861990879217</v>
      </c>
      <c r="CS217" s="41">
        <v>96586.559997484976</v>
      </c>
      <c r="CT217" s="41">
        <v>90611.664330015774</v>
      </c>
      <c r="CU217" s="41">
        <v>94294.953104744505</v>
      </c>
      <c r="CV217" s="211">
        <v>105505.21777494113</v>
      </c>
      <c r="CW217" s="41">
        <v>108141.10654707278</v>
      </c>
      <c r="CX217" s="41">
        <v>113975.44738906312</v>
      </c>
      <c r="CY217" s="41">
        <v>119811.28366523753</v>
      </c>
      <c r="CZ217" s="41">
        <v>125170.60276788016</v>
      </c>
      <c r="DA217" s="41">
        <v>130765.7321766799</v>
      </c>
      <c r="DB217" s="41">
        <v>136619.15294839875</v>
      </c>
      <c r="DC217" s="41">
        <v>142730.31054378013</v>
      </c>
      <c r="DD217" s="41">
        <v>149114.828399049</v>
      </c>
      <c r="DE217" s="41">
        <v>155780.26535640578</v>
      </c>
      <c r="DF217" s="41">
        <v>160805.4698229144</v>
      </c>
    </row>
    <row r="218" spans="1:110" ht="12" outlineLevel="1">
      <c r="A218" s="1" t="s">
        <v>397</v>
      </c>
      <c r="B218" s="15" t="s">
        <v>167</v>
      </c>
      <c r="C218" s="41">
        <v>9889.181815776441</v>
      </c>
      <c r="D218" s="41">
        <v>5049.4778123326141</v>
      </c>
      <c r="E218" s="41">
        <v>5325.182350278742</v>
      </c>
      <c r="F218" s="41">
        <v>5702.1535165501327</v>
      </c>
      <c r="G218" s="41">
        <v>5927.2945416371385</v>
      </c>
      <c r="H218" s="41">
        <v>6147.3538595753353</v>
      </c>
      <c r="I218" s="41">
        <v>6322.9939207423531</v>
      </c>
      <c r="J218" s="41">
        <v>6735.3491114988528</v>
      </c>
      <c r="K218" s="41">
        <v>7293.6145916487039</v>
      </c>
      <c r="L218" s="41">
        <v>8036.9301040511273</v>
      </c>
      <c r="M218" s="41">
        <v>8645.5595694576223</v>
      </c>
      <c r="N218" s="41">
        <v>9188.5161787403977</v>
      </c>
      <c r="O218" s="41">
        <v>9727.2900266505094</v>
      </c>
      <c r="P218" s="41">
        <v>9398.2272648710623</v>
      </c>
      <c r="Q218" s="41">
        <v>8848.8609235246986</v>
      </c>
      <c r="R218" s="41">
        <v>9232.8399338572908</v>
      </c>
      <c r="S218" s="41">
        <v>9438.4521444376442</v>
      </c>
      <c r="T218" s="41">
        <v>9910.4154093110465</v>
      </c>
      <c r="U218" s="41">
        <v>10274.582053971222</v>
      </c>
      <c r="V218" s="41">
        <v>10602.84808518669</v>
      </c>
      <c r="W218" s="41">
        <v>10649.001636501307</v>
      </c>
      <c r="X218" s="41">
        <v>10809.442644735134</v>
      </c>
      <c r="Y218" s="41">
        <v>10838.292991687265</v>
      </c>
      <c r="Z218" s="41">
        <v>10765.799564672263</v>
      </c>
      <c r="AA218" s="41">
        <v>11082.911322798818</v>
      </c>
      <c r="AB218" s="41">
        <v>11011.798979368754</v>
      </c>
      <c r="AC218" s="41">
        <v>10989.076292309359</v>
      </c>
      <c r="AD218" s="41">
        <v>10993.495439299026</v>
      </c>
      <c r="AE218" s="41">
        <v>11230.100179929654</v>
      </c>
      <c r="AF218" s="41">
        <v>10524.913881679995</v>
      </c>
      <c r="AG218" s="41">
        <v>10499.100729622627</v>
      </c>
      <c r="AH218" s="41">
        <v>10345.562438179712</v>
      </c>
      <c r="AI218" s="41">
        <v>10094.973586403097</v>
      </c>
      <c r="AJ218" s="41">
        <v>9920.951410579346</v>
      </c>
      <c r="AK218" s="41">
        <v>9653.1622787905053</v>
      </c>
      <c r="AL218" s="41">
        <v>9299.7836088275508</v>
      </c>
      <c r="AM218" s="41">
        <v>8733.9719365379351</v>
      </c>
      <c r="AN218" s="41">
        <v>8113.8471214947112</v>
      </c>
      <c r="AO218" s="41">
        <v>7067.4488514747518</v>
      </c>
      <c r="AP218" s="41">
        <v>6218.6162158108591</v>
      </c>
      <c r="AQ218" s="41">
        <v>5816.1888358292526</v>
      </c>
      <c r="AR218" s="41">
        <v>5542.2774323217336</v>
      </c>
      <c r="AS218" s="41">
        <v>5454.8992020159594</v>
      </c>
      <c r="AT218" s="41">
        <v>5484.9958314271908</v>
      </c>
      <c r="AU218" s="41">
        <v>5283.2950988102057</v>
      </c>
      <c r="AV218" s="211">
        <v>5288.7532947316586</v>
      </c>
      <c r="AW218" s="41">
        <v>5247.1185398021325</v>
      </c>
      <c r="AX218" s="41">
        <v>5461.6400633395224</v>
      </c>
      <c r="AY218" s="41">
        <v>5516.3930049745004</v>
      </c>
      <c r="AZ218" s="41">
        <v>5571.6948448493677</v>
      </c>
      <c r="BA218" s="41">
        <v>5627.5510856689807</v>
      </c>
      <c r="BB218" s="41">
        <v>5683.9672853028096</v>
      </c>
      <c r="BC218" s="41">
        <v>5740.9490573379699</v>
      </c>
      <c r="BD218" s="41">
        <v>5798.5020716377812</v>
      </c>
      <c r="BE218" s="41">
        <v>5856.6320549059483</v>
      </c>
      <c r="BF218" s="41">
        <v>5915.3447912563788</v>
      </c>
      <c r="BG218" s="41">
        <v>5974.646122788723</v>
      </c>
      <c r="BH218" s="41">
        <v>6034.541950169677</v>
      </c>
      <c r="BI218" s="41">
        <v>6095.038233220127</v>
      </c>
      <c r="BJ218" s="41">
        <v>6156.1409915081567</v>
      </c>
      <c r="BK218" s="41">
        <v>6217.8563049480254</v>
      </c>
      <c r="BL218" s="41">
        <v>6280.1903144051266</v>
      </c>
      <c r="BM218" s="41">
        <v>6343.1492223070363</v>
      </c>
      <c r="BN218" s="41">
        <v>6406.6596084396624</v>
      </c>
      <c r="BO218" s="41">
        <v>6470.7262045240595</v>
      </c>
      <c r="BP218" s="41"/>
      <c r="BQ218" s="41">
        <v>3139.2784756146375</v>
      </c>
      <c r="BR218" s="41">
        <v>1652.2580208548591</v>
      </c>
      <c r="BS218" s="41">
        <v>1739.464536954197</v>
      </c>
      <c r="BT218" s="41">
        <v>1917.0496720330214</v>
      </c>
      <c r="BU218" s="41">
        <v>2060.2031590470629</v>
      </c>
      <c r="BV218" s="41">
        <v>1964.1097423906367</v>
      </c>
      <c r="BW218" s="41">
        <v>1956.2209068083841</v>
      </c>
      <c r="BX218" s="41">
        <v>2492.7930186281474</v>
      </c>
      <c r="BY218" s="41">
        <v>3444.0873105254632</v>
      </c>
      <c r="BZ218" s="41">
        <v>4172.4799462286428</v>
      </c>
      <c r="CA218" s="41">
        <v>5186.9524038564368</v>
      </c>
      <c r="CB218" s="41">
        <v>5814.4156167305036</v>
      </c>
      <c r="CC218" s="41">
        <v>6235.1738901588442</v>
      </c>
      <c r="CD218" s="41">
        <v>7013.717104340697</v>
      </c>
      <c r="CE218" s="41">
        <v>8302.8600210745153</v>
      </c>
      <c r="CF218" s="41">
        <v>9360.7956528364684</v>
      </c>
      <c r="CG218" s="41">
        <v>9664.9498009321687</v>
      </c>
      <c r="CH218" s="41">
        <v>9471.0878253895153</v>
      </c>
      <c r="CI218" s="41">
        <v>9963.2481974966831</v>
      </c>
      <c r="CJ218" s="41">
        <v>10636.289873771584</v>
      </c>
      <c r="CK218" s="41">
        <v>10778.615589211673</v>
      </c>
      <c r="CL218" s="41">
        <v>10884.789169589028</v>
      </c>
      <c r="CM218" s="41">
        <v>11117.51668057389</v>
      </c>
      <c r="CN218" s="41">
        <v>10908.989766486875</v>
      </c>
      <c r="CO218" s="41">
        <v>10434.203020593677</v>
      </c>
      <c r="CP218" s="41">
        <v>10169.660567590518</v>
      </c>
      <c r="CQ218" s="41">
        <v>9677.9919324760594</v>
      </c>
      <c r="CR218" s="41">
        <v>8929.1740772558132</v>
      </c>
      <c r="CS218" s="41">
        <v>7428.974501140332</v>
      </c>
      <c r="CT218" s="41">
        <v>5847.0950769693491</v>
      </c>
      <c r="CU218" s="41">
        <v>5498.4686209629481</v>
      </c>
      <c r="CV218" s="211">
        <v>5383.8691627452499</v>
      </c>
      <c r="CW218" s="41">
        <v>5267.9359172668956</v>
      </c>
      <c r="CX218" s="41">
        <v>5489.091538186648</v>
      </c>
      <c r="CY218" s="41">
        <v>5599.6994806575567</v>
      </c>
      <c r="CZ218" s="41">
        <v>5712.5362285423562</v>
      </c>
      <c r="DA218" s="41">
        <v>5827.5670632718648</v>
      </c>
      <c r="DB218" s="41">
        <v>5945.0766917232804</v>
      </c>
      <c r="DC218" s="41">
        <v>6064.872963315519</v>
      </c>
      <c r="DD218" s="41">
        <v>6187.0831897533508</v>
      </c>
      <c r="DE218" s="41">
        <v>6311.6697683560824</v>
      </c>
      <c r="DF218" s="41">
        <v>6438.7806689422505</v>
      </c>
    </row>
    <row r="219" spans="1:110" s="17" customFormat="1" ht="12" outlineLevel="1">
      <c r="A219" s="1" t="s">
        <v>482</v>
      </c>
      <c r="B219" s="17" t="s">
        <v>168</v>
      </c>
      <c r="C219" s="61">
        <v>106509</v>
      </c>
      <c r="D219" s="61">
        <v>108351</v>
      </c>
      <c r="E219" s="61">
        <v>112441</v>
      </c>
      <c r="F219" s="61">
        <v>119608</v>
      </c>
      <c r="G219" s="61">
        <v>127697</v>
      </c>
      <c r="H219" s="61">
        <v>138638</v>
      </c>
      <c r="I219" s="61">
        <v>147474</v>
      </c>
      <c r="J219" s="61">
        <v>160222</v>
      </c>
      <c r="K219" s="61">
        <v>169880</v>
      </c>
      <c r="L219" s="61">
        <v>178828</v>
      </c>
      <c r="M219" s="61">
        <v>188953</v>
      </c>
      <c r="N219" s="61">
        <v>197440</v>
      </c>
      <c r="O219" s="61">
        <v>207400</v>
      </c>
      <c r="P219" s="61">
        <v>227480</v>
      </c>
      <c r="Q219" s="61">
        <v>244045</v>
      </c>
      <c r="R219" s="61">
        <v>254845</v>
      </c>
      <c r="S219" s="61">
        <v>251546</v>
      </c>
      <c r="T219" s="61">
        <v>252453</v>
      </c>
      <c r="U219" s="61">
        <v>262150</v>
      </c>
      <c r="V219" s="61">
        <v>277574</v>
      </c>
      <c r="W219" s="61">
        <v>284053</v>
      </c>
      <c r="X219" s="61">
        <v>295540</v>
      </c>
      <c r="Y219" s="61">
        <v>308587</v>
      </c>
      <c r="Z219" s="194">
        <v>313425</v>
      </c>
      <c r="AA219" s="194">
        <v>321973</v>
      </c>
      <c r="AB219" s="194">
        <v>332847</v>
      </c>
      <c r="AC219" s="194">
        <v>352275</v>
      </c>
      <c r="AD219" s="194">
        <v>358774</v>
      </c>
      <c r="AE219" s="194">
        <v>377090</v>
      </c>
      <c r="AF219" s="194">
        <v>364039</v>
      </c>
      <c r="AG219" s="194">
        <v>369168</v>
      </c>
      <c r="AH219" s="194">
        <v>375642</v>
      </c>
      <c r="AI219" s="194">
        <v>382613</v>
      </c>
      <c r="AJ219" s="194">
        <v>389907</v>
      </c>
      <c r="AK219" s="194">
        <v>395442</v>
      </c>
      <c r="AL219" s="194">
        <v>401296</v>
      </c>
      <c r="AM219" s="194">
        <v>400584</v>
      </c>
      <c r="AN219" s="194">
        <v>408922</v>
      </c>
      <c r="AO219" s="194">
        <v>415126</v>
      </c>
      <c r="AP219" s="194">
        <v>406222</v>
      </c>
      <c r="AQ219" s="194">
        <v>397361</v>
      </c>
      <c r="AR219" s="194">
        <v>402017</v>
      </c>
      <c r="AS219" s="194">
        <v>410151</v>
      </c>
      <c r="AT219" s="194">
        <v>432682</v>
      </c>
      <c r="AU219" s="194">
        <v>434528</v>
      </c>
      <c r="AV219" s="227">
        <v>449835</v>
      </c>
      <c r="AW219" s="554">
        <v>486476.09576579439</v>
      </c>
      <c r="AX219" s="554">
        <v>545424.61881570425</v>
      </c>
      <c r="AY219" s="62">
        <v>558160.83487137302</v>
      </c>
      <c r="AZ219" s="62">
        <v>571506.71438907564</v>
      </c>
      <c r="BA219" s="62">
        <v>582768.47216219991</v>
      </c>
      <c r="BB219" s="62">
        <v>594065.47383073904</v>
      </c>
      <c r="BC219" s="62">
        <v>605584.09614934854</v>
      </c>
      <c r="BD219" s="62">
        <v>617328.73574939102</v>
      </c>
      <c r="BE219" s="62">
        <v>629303.8774291483</v>
      </c>
      <c r="BF219" s="62">
        <v>641514.09594034054</v>
      </c>
      <c r="BG219" s="62">
        <v>653964.05781120865</v>
      </c>
      <c r="BH219" s="62">
        <v>666658.52320691466</v>
      </c>
      <c r="BI219" s="62">
        <v>679602.3478280328</v>
      </c>
      <c r="BJ219" s="62">
        <v>692800.48484791664</v>
      </c>
      <c r="BK219" s="62">
        <v>706257.98688974627</v>
      </c>
      <c r="BL219" s="62">
        <v>719980.00804407755</v>
      </c>
      <c r="BM219" s="62">
        <v>733971.80592773005</v>
      </c>
      <c r="BN219" s="62">
        <v>744740.99185331992</v>
      </c>
      <c r="BO219" s="62">
        <v>752188.40177185321</v>
      </c>
      <c r="BP219" s="62"/>
      <c r="BQ219" s="61">
        <v>41009</v>
      </c>
      <c r="BR219" s="61">
        <v>41152</v>
      </c>
      <c r="BS219" s="61">
        <v>41411</v>
      </c>
      <c r="BT219" s="61">
        <v>44783</v>
      </c>
      <c r="BU219" s="61">
        <v>48243</v>
      </c>
      <c r="BV219" s="61">
        <v>52703</v>
      </c>
      <c r="BW219" s="61">
        <v>59133</v>
      </c>
      <c r="BX219" s="61">
        <v>69251</v>
      </c>
      <c r="BY219" s="61">
        <v>81373</v>
      </c>
      <c r="BZ219" s="61">
        <v>90028</v>
      </c>
      <c r="CA219" s="62">
        <v>110390.39726027397</v>
      </c>
      <c r="CB219" s="62">
        <v>123641.4191780822</v>
      </c>
      <c r="CC219" s="62">
        <v>143056</v>
      </c>
      <c r="CD219" s="62">
        <v>165037.7698630137</v>
      </c>
      <c r="CE219" s="194">
        <v>184362</v>
      </c>
      <c r="CF219" s="194">
        <v>202434</v>
      </c>
      <c r="CG219" s="194">
        <v>235764</v>
      </c>
      <c r="CH219" s="194">
        <v>253191</v>
      </c>
      <c r="CI219" s="194">
        <v>257682</v>
      </c>
      <c r="CJ219" s="194">
        <v>280821</v>
      </c>
      <c r="CK219" s="194">
        <v>302063</v>
      </c>
      <c r="CL219" s="194">
        <v>316864</v>
      </c>
      <c r="CM219" s="194">
        <v>342587</v>
      </c>
      <c r="CN219" s="194">
        <v>366823</v>
      </c>
      <c r="CO219" s="194">
        <v>366603</v>
      </c>
      <c r="CP219" s="194">
        <v>379137</v>
      </c>
      <c r="CQ219" s="194">
        <v>392705</v>
      </c>
      <c r="CR219" s="194">
        <v>400938</v>
      </c>
      <c r="CS219" s="194">
        <v>412025</v>
      </c>
      <c r="CT219" s="194">
        <v>401777</v>
      </c>
      <c r="CU219" s="194">
        <v>406095</v>
      </c>
      <c r="CV219" s="227">
        <v>433607</v>
      </c>
      <c r="CW219" s="62">
        <v>468155.5478828972</v>
      </c>
      <c r="CX219" s="62">
        <v>551810.17371484777</v>
      </c>
      <c r="CY219" s="62">
        <v>577153.02034108038</v>
      </c>
      <c r="CZ219" s="62">
        <v>599840.56392472691</v>
      </c>
      <c r="DA219" s="62">
        <v>623316.30658926966</v>
      </c>
      <c r="DB219" s="62">
        <v>647756.13161806343</v>
      </c>
      <c r="DC219" s="62">
        <v>673148.166784078</v>
      </c>
      <c r="DD219" s="62">
        <v>699547.67080313538</v>
      </c>
      <c r="DE219" s="62">
        <v>726975.90698590374</v>
      </c>
      <c r="DF219" s="62">
        <v>748474.89874398184</v>
      </c>
    </row>
    <row r="220" spans="1:110" ht="12" outlineLevel="1">
      <c r="C220" s="41"/>
      <c r="D220" s="41"/>
      <c r="E220" s="41"/>
      <c r="F220" s="41"/>
      <c r="G220" s="41"/>
      <c r="H220" s="41"/>
      <c r="I220" s="41"/>
      <c r="J220" s="41"/>
      <c r="K220" s="41"/>
      <c r="L220" s="41"/>
      <c r="M220" s="41"/>
      <c r="N220" s="41"/>
      <c r="O220" s="41"/>
      <c r="P220" s="41"/>
      <c r="Q220" s="41"/>
      <c r="R220" s="41"/>
      <c r="S220" s="41"/>
      <c r="T220" s="41"/>
      <c r="U220" s="41"/>
      <c r="V220" s="41"/>
      <c r="W220" s="41"/>
      <c r="X220" s="41"/>
      <c r="Y220" s="41"/>
      <c r="Z220" s="41"/>
      <c r="AA220" s="41"/>
      <c r="AB220" s="41"/>
      <c r="AC220" s="41"/>
      <c r="AD220" s="41"/>
      <c r="AE220" s="41"/>
      <c r="AF220" s="41"/>
      <c r="AG220" s="41"/>
      <c r="AH220" s="41"/>
      <c r="AI220" s="41"/>
      <c r="AJ220" s="41"/>
      <c r="AK220" s="41"/>
      <c r="AL220" s="41"/>
      <c r="AM220" s="41"/>
      <c r="AN220" s="41"/>
      <c r="AO220" s="41"/>
      <c r="AP220" s="41"/>
      <c r="AQ220" s="41"/>
      <c r="AR220" s="41"/>
      <c r="AS220" s="41"/>
      <c r="AT220" s="41"/>
      <c r="AU220" s="41"/>
      <c r="AV220" s="211"/>
      <c r="AW220" s="41"/>
      <c r="AX220" s="41"/>
      <c r="AY220" s="41"/>
      <c r="AZ220" s="41"/>
      <c r="BA220" s="41"/>
      <c r="BB220" s="41"/>
      <c r="BC220" s="41"/>
      <c r="BD220" s="41"/>
      <c r="BE220" s="41"/>
      <c r="BF220" s="41"/>
      <c r="BG220" s="41"/>
      <c r="BH220" s="41"/>
      <c r="BI220" s="41"/>
      <c r="BJ220" s="41"/>
      <c r="BK220" s="41"/>
      <c r="BL220" s="41"/>
      <c r="BM220" s="41"/>
      <c r="BN220" s="41"/>
      <c r="BO220" s="41"/>
      <c r="BP220" s="41"/>
      <c r="BQ220" s="41"/>
      <c r="BR220" s="41"/>
      <c r="BS220" s="41"/>
      <c r="BT220" s="41"/>
      <c r="BU220" s="41"/>
      <c r="BV220" s="41"/>
      <c r="BW220" s="41"/>
      <c r="BX220" s="41"/>
      <c r="BY220" s="41"/>
      <c r="BZ220" s="41"/>
      <c r="CA220" s="41"/>
      <c r="CB220" s="41"/>
      <c r="CC220" s="41"/>
      <c r="CD220" s="41"/>
      <c r="CE220" s="41"/>
      <c r="CF220" s="41"/>
      <c r="CG220" s="41"/>
      <c r="CH220" s="41"/>
      <c r="CI220" s="41"/>
      <c r="CJ220" s="41"/>
      <c r="CK220" s="41"/>
      <c r="CL220" s="41"/>
      <c r="CM220" s="41"/>
      <c r="CN220" s="41"/>
      <c r="CO220" s="41"/>
      <c r="CP220" s="41"/>
      <c r="CQ220" s="41"/>
      <c r="CR220" s="41"/>
      <c r="CS220" s="41"/>
      <c r="CT220" s="41"/>
      <c r="CU220" s="41"/>
      <c r="CV220" s="211"/>
      <c r="CW220" s="41"/>
      <c r="CX220" s="41"/>
      <c r="CY220" s="41"/>
      <c r="CZ220" s="41"/>
      <c r="DA220" s="41"/>
      <c r="DB220" s="41"/>
      <c r="DC220" s="41"/>
      <c r="DD220" s="41"/>
      <c r="DE220" s="41"/>
      <c r="DF220" s="41"/>
    </row>
    <row r="221" spans="1:110" s="17" customFormat="1" ht="12" outlineLevel="1">
      <c r="A221" s="1"/>
      <c r="B221" s="17" t="s">
        <v>408</v>
      </c>
      <c r="C221" s="62"/>
      <c r="D221" s="62"/>
      <c r="E221" s="62"/>
      <c r="F221" s="62"/>
      <c r="G221" s="62"/>
      <c r="H221" s="62"/>
      <c r="I221" s="62"/>
      <c r="J221" s="62"/>
      <c r="K221" s="62"/>
      <c r="L221" s="62"/>
      <c r="M221" s="62"/>
      <c r="N221" s="62"/>
      <c r="O221" s="62"/>
      <c r="P221" s="62"/>
      <c r="Q221" s="62"/>
      <c r="R221" s="62"/>
      <c r="S221" s="62"/>
      <c r="T221" s="62"/>
      <c r="U221" s="62"/>
      <c r="V221" s="62"/>
      <c r="W221" s="62"/>
      <c r="X221" s="62"/>
      <c r="Y221" s="62"/>
      <c r="Z221" s="62"/>
      <c r="AA221" s="62"/>
      <c r="AB221" s="62"/>
      <c r="AC221" s="62"/>
      <c r="AD221" s="62"/>
      <c r="AE221" s="62"/>
      <c r="AF221" s="62"/>
      <c r="AG221" s="62"/>
      <c r="AH221" s="62"/>
      <c r="AI221" s="62"/>
      <c r="AJ221" s="62"/>
      <c r="AK221" s="62"/>
      <c r="AL221" s="62"/>
      <c r="AM221" s="62"/>
      <c r="AN221" s="62"/>
      <c r="AO221" s="62"/>
      <c r="AP221" s="62"/>
      <c r="AQ221" s="62"/>
      <c r="AR221" s="62"/>
      <c r="AS221" s="62"/>
      <c r="AT221" s="62"/>
      <c r="AU221" s="62"/>
      <c r="AV221" s="220"/>
      <c r="AW221" s="62"/>
      <c r="AX221" s="62"/>
      <c r="AY221" s="62"/>
      <c r="AZ221" s="62"/>
      <c r="BA221" s="62"/>
      <c r="BB221" s="62"/>
      <c r="BC221" s="62"/>
      <c r="BD221" s="62"/>
      <c r="BE221" s="62"/>
      <c r="BF221" s="62"/>
      <c r="BG221" s="62"/>
      <c r="BH221" s="62"/>
      <c r="BI221" s="62"/>
      <c r="BJ221" s="62"/>
      <c r="BK221" s="62"/>
      <c r="BL221" s="62"/>
      <c r="BM221" s="62"/>
      <c r="BN221" s="62"/>
      <c r="BO221" s="62"/>
      <c r="BP221" s="62"/>
      <c r="BQ221" s="62"/>
      <c r="BR221" s="62"/>
      <c r="BS221" s="62"/>
      <c r="BT221" s="62"/>
      <c r="BU221" s="62"/>
      <c r="BV221" s="62"/>
      <c r="BW221" s="62"/>
      <c r="BX221" s="62"/>
      <c r="BY221" s="62"/>
      <c r="BZ221" s="62"/>
      <c r="CA221" s="62"/>
      <c r="CB221" s="62"/>
      <c r="CC221" s="62"/>
      <c r="CD221" s="62"/>
      <c r="CE221" s="62"/>
      <c r="CF221" s="62"/>
      <c r="CG221" s="62"/>
      <c r="CH221" s="62"/>
      <c r="CI221" s="62"/>
      <c r="CJ221" s="62"/>
      <c r="CK221" s="62"/>
      <c r="CL221" s="62"/>
      <c r="CM221" s="62"/>
      <c r="CN221" s="62"/>
      <c r="CO221" s="62"/>
      <c r="CP221" s="62"/>
      <c r="CQ221" s="62"/>
      <c r="CR221" s="62"/>
      <c r="CS221" s="62"/>
      <c r="CT221" s="62"/>
      <c r="CU221" s="62"/>
      <c r="CV221" s="220"/>
      <c r="CW221" s="62"/>
      <c r="CX221" s="62"/>
      <c r="CY221" s="62"/>
      <c r="CZ221" s="62"/>
      <c r="DA221" s="62"/>
      <c r="DB221" s="62"/>
      <c r="DC221" s="62"/>
      <c r="DD221" s="62"/>
      <c r="DE221" s="62"/>
      <c r="DF221" s="62"/>
    </row>
    <row r="222" spans="1:110" ht="12" outlineLevel="1">
      <c r="A222" s="1" t="s">
        <v>483</v>
      </c>
      <c r="B222" s="15" t="s">
        <v>164</v>
      </c>
      <c r="C222" s="41">
        <v>8981.3927342256211</v>
      </c>
      <c r="D222" s="41">
        <v>9061.156097030349</v>
      </c>
      <c r="E222" s="41">
        <v>9452.139282291555</v>
      </c>
      <c r="F222" s="41">
        <v>10161.19935897436</v>
      </c>
      <c r="G222" s="41">
        <v>10256.917814682016</v>
      </c>
      <c r="H222" s="41">
        <v>22014.936888913064</v>
      </c>
      <c r="I222" s="41">
        <v>29635.921284140433</v>
      </c>
      <c r="J222" s="41">
        <v>32081.72970480478</v>
      </c>
      <c r="K222" s="41">
        <v>34021.347655564947</v>
      </c>
      <c r="L222" s="41">
        <v>35808.668961113792</v>
      </c>
      <c r="M222" s="41">
        <v>35265.996585567627</v>
      </c>
      <c r="N222" s="41">
        <v>39269.039182138862</v>
      </c>
      <c r="O222" s="41">
        <v>42383.373876532612</v>
      </c>
      <c r="P222" s="41">
        <v>43903.195470456587</v>
      </c>
      <c r="Q222" s="41">
        <v>43093.658927709301</v>
      </c>
      <c r="R222" s="41">
        <v>45096.473775885424</v>
      </c>
      <c r="S222" s="41">
        <v>43287.492371994544</v>
      </c>
      <c r="T222" s="41">
        <v>42609.45514193808</v>
      </c>
      <c r="U222" s="41">
        <v>42809.304214135162</v>
      </c>
      <c r="V222" s="41">
        <v>41270.75309463231</v>
      </c>
      <c r="W222" s="41">
        <v>41841.123383867765</v>
      </c>
      <c r="X222" s="41">
        <v>41592.242750355719</v>
      </c>
      <c r="Y222" s="41">
        <v>42904.598484947688</v>
      </c>
      <c r="Z222" s="41">
        <v>45332.882132423605</v>
      </c>
      <c r="AA222" s="41">
        <v>49553.706049523491</v>
      </c>
      <c r="AB222" s="41">
        <v>55020.678816673273</v>
      </c>
      <c r="AC222" s="41">
        <v>56728.598643685247</v>
      </c>
      <c r="AD222" s="41">
        <v>59382.209711331539</v>
      </c>
      <c r="AE222" s="41">
        <v>61147.777834397311</v>
      </c>
      <c r="AF222" s="41">
        <v>64139.055844840106</v>
      </c>
      <c r="AG222" s="41">
        <v>67796.86397864492</v>
      </c>
      <c r="AH222" s="41">
        <v>70044.036899787112</v>
      </c>
      <c r="AI222" s="41">
        <v>70757.173166434382</v>
      </c>
      <c r="AJ222" s="41">
        <v>71217.148536903813</v>
      </c>
      <c r="AK222" s="41">
        <v>73540.721200933913</v>
      </c>
      <c r="AL222" s="41">
        <v>77179.22842119445</v>
      </c>
      <c r="AM222" s="41">
        <v>79327.697689084016</v>
      </c>
      <c r="AN222" s="41">
        <v>82271.282897429803</v>
      </c>
      <c r="AO222" s="41">
        <v>83183.411014633079</v>
      </c>
      <c r="AP222" s="41">
        <v>86389.027416969751</v>
      </c>
      <c r="AQ222" s="41">
        <v>91683.795073383269</v>
      </c>
      <c r="AR222" s="41">
        <v>95435.498579996012</v>
      </c>
      <c r="AS222" s="41">
        <v>94063.863236757607</v>
      </c>
      <c r="AT222" s="41">
        <v>96162.761885781758</v>
      </c>
      <c r="AU222" s="41">
        <v>98245.819131636134</v>
      </c>
      <c r="AV222" s="211">
        <v>100682.59616765779</v>
      </c>
      <c r="AW222" s="41">
        <v>102188.57291951188</v>
      </c>
      <c r="AX222" s="41">
        <v>104624.78919919049</v>
      </c>
      <c r="AY222" s="41">
        <v>105567.53431450964</v>
      </c>
      <c r="AZ222" s="41">
        <v>104938.37012682715</v>
      </c>
      <c r="BA222" s="41">
        <v>103895.35639975662</v>
      </c>
      <c r="BB222" s="41">
        <v>103081.82121913567</v>
      </c>
      <c r="BC222" s="41">
        <v>103167.46140851892</v>
      </c>
      <c r="BD222" s="41">
        <v>103685.73209603854</v>
      </c>
      <c r="BE222" s="41">
        <v>104212.09311310503</v>
      </c>
      <c r="BF222" s="41">
        <v>104746.441707451</v>
      </c>
      <c r="BG222" s="41">
        <v>105288.67649183189</v>
      </c>
      <c r="BH222" s="41">
        <v>105838.69724489508</v>
      </c>
      <c r="BI222" s="41">
        <v>106396.40471796019</v>
      </c>
      <c r="BJ222" s="41">
        <v>107353.7697913287</v>
      </c>
      <c r="BK222" s="41">
        <v>109116.07703599092</v>
      </c>
      <c r="BL222" s="41">
        <v>111309.31018441432</v>
      </c>
      <c r="BM222" s="41">
        <v>113546.62731912106</v>
      </c>
      <c r="BN222" s="41">
        <v>115249.79862469835</v>
      </c>
      <c r="BO222" s="41">
        <v>116402.29661094533</v>
      </c>
      <c r="BP222" s="41"/>
      <c r="BQ222" s="41">
        <v>4207.9144712513807</v>
      </c>
      <c r="BR222" s="41">
        <v>4315.9103180740985</v>
      </c>
      <c r="BS222" s="41">
        <v>4490.7537303915333</v>
      </c>
      <c r="BT222" s="41">
        <v>5679.887769417167</v>
      </c>
      <c r="BU222" s="41">
        <v>6547.6342303277643</v>
      </c>
      <c r="BV222" s="41">
        <v>7301.6196913658969</v>
      </c>
      <c r="BW222" s="41">
        <v>7507.715852569826</v>
      </c>
      <c r="BX222" s="41">
        <v>7799.0052289248824</v>
      </c>
      <c r="BY222" s="41">
        <v>8520.2479017718379</v>
      </c>
      <c r="BZ222" s="41">
        <v>8869.321357744373</v>
      </c>
      <c r="CA222" s="41">
        <v>9256.1120962564855</v>
      </c>
      <c r="CB222" s="41">
        <v>10208.927465655986</v>
      </c>
      <c r="CC222" s="41">
        <v>25825.429086526747</v>
      </c>
      <c r="CD222" s="41">
        <v>33048.881669293412</v>
      </c>
      <c r="CE222" s="41">
        <v>35557.714294286634</v>
      </c>
      <c r="CF222" s="41">
        <v>40631.779176240845</v>
      </c>
      <c r="CG222" s="41">
        <v>43118.534501001399</v>
      </c>
      <c r="CH222" s="41">
        <v>44108.428870868192</v>
      </c>
      <c r="CI222" s="41">
        <v>42699.058779201208</v>
      </c>
      <c r="CJ222" s="41">
        <v>41598.775157612341</v>
      </c>
      <c r="CK222" s="41">
        <v>42387.141899294737</v>
      </c>
      <c r="CL222" s="41">
        <v>47508.92723660187</v>
      </c>
      <c r="CM222" s="41">
        <v>55706.326012112273</v>
      </c>
      <c r="CN222" s="41">
        <v>60338.588819526121</v>
      </c>
      <c r="CO222" s="41">
        <v>65973.041467108764</v>
      </c>
      <c r="CP222" s="41">
        <v>70478.468717237789</v>
      </c>
      <c r="CQ222" s="41">
        <v>72330.412458157472</v>
      </c>
      <c r="CR222" s="41">
        <v>78407.637300777686</v>
      </c>
      <c r="CS222" s="41">
        <v>83366.909870099422</v>
      </c>
      <c r="CT222" s="41">
        <v>88731.475517438885</v>
      </c>
      <c r="CU222" s="41">
        <v>94747.801955851828</v>
      </c>
      <c r="CV222" s="211">
        <v>97207.144011785451</v>
      </c>
      <c r="CW222" s="41">
        <v>101435.58454358485</v>
      </c>
      <c r="CX222" s="41">
        <v>105097.45318851489</v>
      </c>
      <c r="CY222" s="41">
        <v>104415.43447736441</v>
      </c>
      <c r="CZ222" s="41">
        <v>103124.75862915521</v>
      </c>
      <c r="DA222" s="41">
        <v>103948.91260457177</v>
      </c>
      <c r="DB222" s="41">
        <v>105018.30188701733</v>
      </c>
      <c r="DC222" s="41">
        <v>106118.31496426745</v>
      </c>
      <c r="DD222" s="41">
        <v>108237.33753317305</v>
      </c>
      <c r="DE222" s="41">
        <v>112427.96875176769</v>
      </c>
      <c r="DF222" s="41">
        <v>115827.62638218656</v>
      </c>
    </row>
    <row r="223" spans="1:110" ht="12" outlineLevel="1">
      <c r="A223" s="1" t="s">
        <v>1062</v>
      </c>
      <c r="B223" s="15" t="s">
        <v>344</v>
      </c>
      <c r="C223" s="41">
        <v>8519.6072657743789</v>
      </c>
      <c r="D223" s="41">
        <v>8682.843902969651</v>
      </c>
      <c r="E223" s="41">
        <v>9059.8607177084432</v>
      </c>
      <c r="F223" s="41">
        <v>10027.80064102564</v>
      </c>
      <c r="G223" s="41">
        <v>10283.082185317986</v>
      </c>
      <c r="H223" s="41">
        <v>19716.063111086936</v>
      </c>
      <c r="I223" s="41">
        <v>25324.078715859567</v>
      </c>
      <c r="J223" s="41">
        <v>27115.27029519522</v>
      </c>
      <c r="K223" s="41">
        <v>28757.652344435057</v>
      </c>
      <c r="L223" s="41">
        <v>30057.331038886205</v>
      </c>
      <c r="M223" s="41">
        <v>29140.003414432369</v>
      </c>
      <c r="N223" s="41">
        <v>31611.960817861142</v>
      </c>
      <c r="O223" s="41">
        <v>33574.626123467388</v>
      </c>
      <c r="P223" s="41">
        <v>34564.804529543413</v>
      </c>
      <c r="Q223" s="41">
        <v>34644.341072290707</v>
      </c>
      <c r="R223" s="41">
        <v>36950.526224114576</v>
      </c>
      <c r="S223" s="41">
        <v>35080.507628005456</v>
      </c>
      <c r="T223" s="41">
        <v>34231.544858061912</v>
      </c>
      <c r="U223" s="41">
        <v>33985.695785864838</v>
      </c>
      <c r="V223" s="41">
        <v>32338.246905367687</v>
      </c>
      <c r="W223" s="41">
        <v>32021.876616132231</v>
      </c>
      <c r="X223" s="41">
        <v>31448.757249644284</v>
      </c>
      <c r="Y223" s="41">
        <v>32042.401515052316</v>
      </c>
      <c r="Z223" s="41">
        <v>33080.117867576395</v>
      </c>
      <c r="AA223" s="41">
        <v>35280.293950476509</v>
      </c>
      <c r="AB223" s="41">
        <v>38328.321183326727</v>
      </c>
      <c r="AC223" s="41">
        <v>39460.401356314753</v>
      </c>
      <c r="AD223" s="41">
        <v>41537.790288668461</v>
      </c>
      <c r="AE223" s="41">
        <v>42485.222165602689</v>
      </c>
      <c r="AF223" s="41">
        <v>43621.944155159894</v>
      </c>
      <c r="AG223" s="41">
        <v>44765.136021355072</v>
      </c>
      <c r="AH223" s="41">
        <v>45395.963100212881</v>
      </c>
      <c r="AI223" s="41">
        <v>45114.826833565625</v>
      </c>
      <c r="AJ223" s="41">
        <v>44301.851463096187</v>
      </c>
      <c r="AK223" s="41">
        <v>44696.278799066087</v>
      </c>
      <c r="AL223" s="41">
        <v>46187.771578805558</v>
      </c>
      <c r="AM223" s="41">
        <v>46524.302310915991</v>
      </c>
      <c r="AN223" s="41">
        <v>46553.717102570197</v>
      </c>
      <c r="AO223" s="41">
        <v>43490.588985366921</v>
      </c>
      <c r="AP223" s="41">
        <v>40420.972583030256</v>
      </c>
      <c r="AQ223" s="41">
        <v>40169.204926616723</v>
      </c>
      <c r="AR223" s="41">
        <v>40631.50142000398</v>
      </c>
      <c r="AS223" s="41">
        <v>39463.136763242386</v>
      </c>
      <c r="AT223" s="41">
        <v>39898.238114218242</v>
      </c>
      <c r="AU223" s="41">
        <v>39762.180868363866</v>
      </c>
      <c r="AV223" s="211">
        <v>39269.403832342214</v>
      </c>
      <c r="AW223" s="41">
        <v>38684.017835865801</v>
      </c>
      <c r="AX223" s="41">
        <v>38621.236724448594</v>
      </c>
      <c r="AY223" s="41">
        <v>38299.550436109632</v>
      </c>
      <c r="AZ223" s="41">
        <v>37881.947077606899</v>
      </c>
      <c r="BA223" s="41">
        <v>37505.427118679101</v>
      </c>
      <c r="BB223" s="41">
        <v>37211.747155660734</v>
      </c>
      <c r="BC223" s="41">
        <v>37242.662607444589</v>
      </c>
      <c r="BD223" s="41">
        <v>37429.754352177843</v>
      </c>
      <c r="BE223" s="41">
        <v>37619.766643850839</v>
      </c>
      <c r="BF223" s="41">
        <v>37812.662389682817</v>
      </c>
      <c r="BG223" s="41">
        <v>38008.404989655821</v>
      </c>
      <c r="BH223" s="41">
        <v>38206.958264629917</v>
      </c>
      <c r="BI223" s="41">
        <v>38408.286386592401</v>
      </c>
      <c r="BJ223" s="41">
        <v>38753.887838182156</v>
      </c>
      <c r="BK223" s="41">
        <v>39390.067242303769</v>
      </c>
      <c r="BL223" s="41">
        <v>40181.807593874073</v>
      </c>
      <c r="BM223" s="41">
        <v>40989.46192651095</v>
      </c>
      <c r="BN223" s="41">
        <v>41604.293710004451</v>
      </c>
      <c r="BO223" s="41">
        <v>42020.336647104479</v>
      </c>
      <c r="BP223" s="41"/>
      <c r="BQ223" s="41">
        <v>4040.6498710191377</v>
      </c>
      <c r="BR223" s="41">
        <v>4144.3528829306524</v>
      </c>
      <c r="BS223" s="41">
        <v>4312.2462696084667</v>
      </c>
      <c r="BT223" s="41">
        <v>5454.1122305828321</v>
      </c>
      <c r="BU223" s="41">
        <v>6287.3657696722348</v>
      </c>
      <c r="BV223" s="41">
        <v>7011.3803086341013</v>
      </c>
      <c r="BW223" s="41">
        <v>7209.2841474301749</v>
      </c>
      <c r="BX223" s="41">
        <v>7488.9947710751185</v>
      </c>
      <c r="BY223" s="41">
        <v>8104.7520982281621</v>
      </c>
      <c r="BZ223" s="41">
        <v>8388.678642255627</v>
      </c>
      <c r="CA223" s="41">
        <v>8870.8358489489947</v>
      </c>
      <c r="CB223" s="41">
        <v>10155.091712426209</v>
      </c>
      <c r="CC223" s="41">
        <v>22520.070913473253</v>
      </c>
      <c r="CD223" s="41">
        <v>27934.211481391521</v>
      </c>
      <c r="CE223" s="41">
        <v>29645.285705713362</v>
      </c>
      <c r="CF223" s="41">
        <v>32794.220823759148</v>
      </c>
      <c r="CG223" s="41">
        <v>34984.465498998601</v>
      </c>
      <c r="CH223" s="41">
        <v>36093.571129131808</v>
      </c>
      <c r="CI223" s="41">
        <v>34169.941220798799</v>
      </c>
      <c r="CJ223" s="41">
        <v>32137.224842387659</v>
      </c>
      <c r="CK223" s="41">
        <v>31606.858100705263</v>
      </c>
      <c r="CL223" s="41">
        <v>34124.07276339813</v>
      </c>
      <c r="CM223" s="41">
        <v>39066.673987887727</v>
      </c>
      <c r="CN223" s="41">
        <v>41941.411180473879</v>
      </c>
      <c r="CO223" s="41">
        <v>44187.958532891236</v>
      </c>
      <c r="CP223" s="41">
        <v>45178.531282762204</v>
      </c>
      <c r="CQ223" s="41">
        <v>44551.587541842528</v>
      </c>
      <c r="CR223" s="41">
        <v>46204.362699222314</v>
      </c>
      <c r="CS223" s="41">
        <v>44382.090129900585</v>
      </c>
      <c r="CT223" s="41">
        <v>40607.524482561108</v>
      </c>
      <c r="CU223" s="41">
        <v>40045.718592093377</v>
      </c>
      <c r="CV223" s="211">
        <v>39830.023111502211</v>
      </c>
      <c r="CW223" s="41">
        <v>38976.710834104008</v>
      </c>
      <c r="CX223" s="41">
        <v>38459.952914130707</v>
      </c>
      <c r="CY223" s="41">
        <v>37693.171317377346</v>
      </c>
      <c r="CZ223" s="41">
        <v>37227.24723148661</v>
      </c>
      <c r="DA223" s="41">
        <v>37524.760498014344</v>
      </c>
      <c r="DB223" s="41">
        <v>37910.801830217228</v>
      </c>
      <c r="DC223" s="41">
        <v>38307.898117559052</v>
      </c>
      <c r="DD223" s="41">
        <v>39072.849018878747</v>
      </c>
      <c r="DE223" s="41">
        <v>40585.634760192508</v>
      </c>
      <c r="DF223" s="41">
        <v>41812.885100386105</v>
      </c>
    </row>
    <row r="224" spans="1:110" s="17" customFormat="1" ht="12" outlineLevel="1">
      <c r="A224" s="1" t="s">
        <v>400</v>
      </c>
      <c r="B224" s="17" t="s">
        <v>168</v>
      </c>
      <c r="C224" s="61">
        <v>17501</v>
      </c>
      <c r="D224" s="61">
        <v>17744</v>
      </c>
      <c r="E224" s="61">
        <v>18512</v>
      </c>
      <c r="F224" s="61">
        <v>20189</v>
      </c>
      <c r="G224" s="61">
        <v>20540</v>
      </c>
      <c r="H224" s="61">
        <v>41731</v>
      </c>
      <c r="I224" s="61">
        <v>54960</v>
      </c>
      <c r="J224" s="61">
        <v>59197</v>
      </c>
      <c r="K224" s="61">
        <v>62779</v>
      </c>
      <c r="L224" s="61">
        <v>65866</v>
      </c>
      <c r="M224" s="61">
        <v>64406</v>
      </c>
      <c r="N224" s="61">
        <v>70881</v>
      </c>
      <c r="O224" s="61">
        <v>75958</v>
      </c>
      <c r="P224" s="61">
        <v>78468</v>
      </c>
      <c r="Q224" s="61">
        <v>77738</v>
      </c>
      <c r="R224" s="61">
        <v>82047</v>
      </c>
      <c r="S224" s="61">
        <v>78368</v>
      </c>
      <c r="T224" s="61">
        <v>76841</v>
      </c>
      <c r="U224" s="61">
        <v>76795</v>
      </c>
      <c r="V224" s="61">
        <v>73609</v>
      </c>
      <c r="W224" s="61">
        <v>73863</v>
      </c>
      <c r="X224" s="61">
        <v>73041</v>
      </c>
      <c r="Y224" s="61">
        <v>74947</v>
      </c>
      <c r="Z224" s="194">
        <v>78413</v>
      </c>
      <c r="AA224" s="194">
        <v>84834</v>
      </c>
      <c r="AB224" s="194">
        <v>93349</v>
      </c>
      <c r="AC224" s="194">
        <v>96189</v>
      </c>
      <c r="AD224" s="194">
        <v>100920</v>
      </c>
      <c r="AE224" s="194">
        <v>103633</v>
      </c>
      <c r="AF224" s="194">
        <v>107761</v>
      </c>
      <c r="AG224" s="194">
        <v>112562</v>
      </c>
      <c r="AH224" s="194">
        <v>115440</v>
      </c>
      <c r="AI224" s="194">
        <v>115872</v>
      </c>
      <c r="AJ224" s="194">
        <v>115519</v>
      </c>
      <c r="AK224" s="194">
        <v>118237</v>
      </c>
      <c r="AL224" s="194">
        <v>123367</v>
      </c>
      <c r="AM224" s="194">
        <v>125852</v>
      </c>
      <c r="AN224" s="194">
        <v>128825</v>
      </c>
      <c r="AO224" s="194">
        <v>126674</v>
      </c>
      <c r="AP224" s="194">
        <v>126810</v>
      </c>
      <c r="AQ224" s="194">
        <v>131853</v>
      </c>
      <c r="AR224" s="194">
        <v>136067</v>
      </c>
      <c r="AS224" s="194">
        <v>133527</v>
      </c>
      <c r="AT224" s="194">
        <v>136061</v>
      </c>
      <c r="AU224" s="194">
        <v>138008</v>
      </c>
      <c r="AV224" s="227">
        <v>139952</v>
      </c>
      <c r="AW224" s="62">
        <v>140872.59075537766</v>
      </c>
      <c r="AX224" s="62">
        <v>143246.0259236391</v>
      </c>
      <c r="AY224" s="62">
        <v>143867.08475061928</v>
      </c>
      <c r="AZ224" s="62">
        <v>142820.31720443405</v>
      </c>
      <c r="BA224" s="62">
        <v>141400.78351843572</v>
      </c>
      <c r="BB224" s="62">
        <v>140293.56837479639</v>
      </c>
      <c r="BC224" s="62">
        <v>140410.12401596349</v>
      </c>
      <c r="BD224" s="62">
        <v>141115.48644821637</v>
      </c>
      <c r="BE224" s="62">
        <v>141831.85975695588</v>
      </c>
      <c r="BF224" s="62">
        <v>142559.10409713379</v>
      </c>
      <c r="BG224" s="62">
        <v>143297.08148148769</v>
      </c>
      <c r="BH224" s="62">
        <v>144045.65550952501</v>
      </c>
      <c r="BI224" s="62">
        <v>144804.69110455262</v>
      </c>
      <c r="BJ224" s="62">
        <v>146107.65762951085</v>
      </c>
      <c r="BK224" s="62">
        <v>148506.1442782947</v>
      </c>
      <c r="BL224" s="62">
        <v>151491.1177782884</v>
      </c>
      <c r="BM224" s="62">
        <v>154536.089245632</v>
      </c>
      <c r="BN224" s="62">
        <v>156854.09233470281</v>
      </c>
      <c r="BO224" s="62">
        <v>158422.63325804984</v>
      </c>
      <c r="BP224" s="62"/>
      <c r="BQ224" s="384">
        <v>8248.564342270518</v>
      </c>
      <c r="BR224" s="384">
        <v>8460.263201004751</v>
      </c>
      <c r="BS224" s="61">
        <v>8803</v>
      </c>
      <c r="BT224" s="61">
        <v>11134</v>
      </c>
      <c r="BU224" s="61">
        <v>12835</v>
      </c>
      <c r="BV224" s="61">
        <v>14313</v>
      </c>
      <c r="BW224" s="61">
        <v>14717</v>
      </c>
      <c r="BX224" s="61">
        <v>15288</v>
      </c>
      <c r="BY224" s="61">
        <v>16625</v>
      </c>
      <c r="BZ224" s="61">
        <v>17258</v>
      </c>
      <c r="CA224" s="62">
        <v>18126.94794520548</v>
      </c>
      <c r="CB224" s="62">
        <v>20364.019178082195</v>
      </c>
      <c r="CC224" s="62">
        <v>48345.5</v>
      </c>
      <c r="CD224" s="62">
        <v>60983.093150684937</v>
      </c>
      <c r="CE224" s="194">
        <v>65203</v>
      </c>
      <c r="CF224" s="194">
        <v>73426</v>
      </c>
      <c r="CG224" s="194">
        <v>78103</v>
      </c>
      <c r="CH224" s="194">
        <v>80202</v>
      </c>
      <c r="CI224" s="194">
        <v>76869</v>
      </c>
      <c r="CJ224" s="194">
        <v>73736</v>
      </c>
      <c r="CK224" s="61">
        <v>73994</v>
      </c>
      <c r="CL224" s="194">
        <v>81633</v>
      </c>
      <c r="CM224" s="194">
        <v>94773</v>
      </c>
      <c r="CN224" s="194">
        <v>102280</v>
      </c>
      <c r="CO224" s="194">
        <v>110161</v>
      </c>
      <c r="CP224" s="194">
        <v>115657</v>
      </c>
      <c r="CQ224" s="194">
        <v>116882</v>
      </c>
      <c r="CR224" s="194">
        <v>124612</v>
      </c>
      <c r="CS224" s="194">
        <v>127749</v>
      </c>
      <c r="CT224" s="194">
        <v>129339</v>
      </c>
      <c r="CU224" s="194">
        <v>134794</v>
      </c>
      <c r="CV224" s="227">
        <v>137038</v>
      </c>
      <c r="CW224" s="62">
        <v>140412.29537768883</v>
      </c>
      <c r="CX224" s="62">
        <v>143557.40610264559</v>
      </c>
      <c r="CY224" s="62">
        <v>142108.60579474174</v>
      </c>
      <c r="CZ224" s="62">
        <v>140352.0058606418</v>
      </c>
      <c r="DA224" s="62">
        <v>141473.67310258612</v>
      </c>
      <c r="DB224" s="62">
        <v>142929.10371723454</v>
      </c>
      <c r="DC224" s="62">
        <v>144426.21308182654</v>
      </c>
      <c r="DD224" s="62">
        <v>147310.1865520518</v>
      </c>
      <c r="DE224" s="62">
        <v>153013.60351196022</v>
      </c>
      <c r="DF224" s="62">
        <v>157640.51148257271</v>
      </c>
    </row>
    <row r="225" spans="1:110" ht="12" outlineLevel="1">
      <c r="C225" s="41"/>
      <c r="D225" s="41"/>
      <c r="E225" s="41"/>
      <c r="F225" s="41"/>
      <c r="G225" s="41"/>
      <c r="H225" s="41"/>
      <c r="I225" s="41"/>
      <c r="J225" s="41"/>
      <c r="K225" s="41"/>
      <c r="L225" s="41"/>
      <c r="M225" s="41"/>
      <c r="N225" s="41"/>
      <c r="O225" s="41"/>
      <c r="P225" s="41"/>
      <c r="Q225" s="41"/>
      <c r="R225" s="41"/>
      <c r="S225" s="41"/>
      <c r="T225" s="41"/>
      <c r="U225" s="41"/>
      <c r="V225" s="41"/>
      <c r="W225" s="41"/>
      <c r="X225" s="41"/>
      <c r="Y225" s="41"/>
      <c r="Z225" s="41"/>
      <c r="AA225" s="41"/>
      <c r="AB225" s="41"/>
      <c r="AC225" s="41"/>
      <c r="AD225" s="41"/>
      <c r="AE225" s="41"/>
      <c r="AF225" s="41"/>
      <c r="AG225" s="41"/>
      <c r="AH225" s="41"/>
      <c r="AI225" s="41"/>
      <c r="AJ225" s="41"/>
      <c r="AK225" s="41"/>
      <c r="AL225" s="41"/>
      <c r="AM225" s="41"/>
      <c r="AN225" s="41"/>
      <c r="AO225" s="41"/>
      <c r="AP225" s="41"/>
      <c r="AQ225" s="41"/>
      <c r="AR225" s="41"/>
      <c r="AS225" s="41"/>
      <c r="AT225" s="41"/>
      <c r="AU225" s="41"/>
      <c r="AV225" s="211"/>
      <c r="AW225" s="41"/>
      <c r="AX225" s="41"/>
      <c r="AY225" s="41"/>
      <c r="AZ225" s="41"/>
      <c r="BA225" s="41"/>
      <c r="BB225" s="41"/>
      <c r="BC225" s="41"/>
      <c r="BD225" s="41"/>
      <c r="BE225" s="41"/>
      <c r="BF225" s="41"/>
      <c r="BG225" s="41"/>
      <c r="BH225" s="41"/>
      <c r="BI225" s="41"/>
      <c r="BJ225" s="41"/>
      <c r="BK225" s="41"/>
      <c r="BL225" s="41"/>
      <c r="BM225" s="41"/>
      <c r="BN225" s="41"/>
      <c r="BO225" s="41"/>
      <c r="BP225" s="41"/>
      <c r="BQ225" s="41"/>
      <c r="BR225" s="41"/>
      <c r="BS225" s="41"/>
      <c r="BT225" s="41"/>
      <c r="BU225" s="41"/>
      <c r="BV225" s="41"/>
      <c r="BW225" s="41"/>
      <c r="BX225" s="41"/>
      <c r="BY225" s="41"/>
      <c r="BZ225" s="41"/>
      <c r="CA225" s="41"/>
      <c r="CB225" s="41"/>
      <c r="CC225" s="41"/>
      <c r="CD225" s="41"/>
      <c r="CE225" s="41"/>
      <c r="CF225" s="41"/>
      <c r="CG225" s="41"/>
      <c r="CH225" s="41"/>
      <c r="CI225" s="41"/>
      <c r="CJ225" s="41"/>
      <c r="CK225" s="41"/>
      <c r="CL225" s="41"/>
      <c r="CM225" s="41"/>
      <c r="CN225" s="41"/>
      <c r="CO225" s="41"/>
      <c r="CP225" s="41"/>
      <c r="CQ225" s="41"/>
      <c r="CR225" s="41"/>
      <c r="CS225" s="41"/>
      <c r="CT225" s="41"/>
      <c r="CU225" s="41"/>
      <c r="CV225" s="211"/>
      <c r="CW225" s="41"/>
      <c r="CX225" s="41"/>
      <c r="CY225" s="41"/>
      <c r="CZ225" s="41"/>
      <c r="DA225" s="41"/>
      <c r="DB225" s="41"/>
      <c r="DC225" s="41"/>
      <c r="DD225" s="41"/>
      <c r="DE225" s="41"/>
      <c r="DF225" s="41"/>
    </row>
    <row r="226" spans="1:110" s="17" customFormat="1" ht="12" outlineLevel="1">
      <c r="A226" s="1"/>
      <c r="B226" s="17" t="s">
        <v>342</v>
      </c>
      <c r="C226" s="62"/>
      <c r="D226" s="62"/>
      <c r="E226" s="62"/>
      <c r="F226" s="62"/>
      <c r="G226" s="62"/>
      <c r="H226" s="62"/>
      <c r="I226" s="62"/>
      <c r="J226" s="62"/>
      <c r="K226" s="62"/>
      <c r="L226" s="62"/>
      <c r="M226" s="62"/>
      <c r="N226" s="62"/>
      <c r="O226" s="62"/>
      <c r="P226" s="62"/>
      <c r="Q226" s="62"/>
      <c r="R226" s="62"/>
      <c r="S226" s="62"/>
      <c r="T226" s="62"/>
      <c r="U226" s="62"/>
      <c r="V226" s="62"/>
      <c r="W226" s="62"/>
      <c r="X226" s="62"/>
      <c r="Y226" s="62"/>
      <c r="Z226" s="62"/>
      <c r="AA226" s="62"/>
      <c r="AB226" s="62"/>
      <c r="AC226" s="62"/>
      <c r="AD226" s="62"/>
      <c r="AE226" s="62"/>
      <c r="AF226" s="62"/>
      <c r="AG226" s="62"/>
      <c r="AH226" s="62"/>
      <c r="AI226" s="62"/>
      <c r="AJ226" s="62"/>
      <c r="AK226" s="62"/>
      <c r="AL226" s="62"/>
      <c r="AM226" s="62"/>
      <c r="AN226" s="62"/>
      <c r="AO226" s="62"/>
      <c r="AP226" s="62"/>
      <c r="AQ226" s="62"/>
      <c r="AR226" s="62"/>
      <c r="AS226" s="62"/>
      <c r="AT226" s="62"/>
      <c r="AU226" s="62"/>
      <c r="AV226" s="220"/>
      <c r="AW226" s="62"/>
      <c r="AX226" s="62"/>
      <c r="AY226" s="62"/>
      <c r="AZ226" s="62"/>
      <c r="BA226" s="62"/>
      <c r="BB226" s="62"/>
      <c r="BC226" s="62"/>
      <c r="BD226" s="62"/>
      <c r="BE226" s="62"/>
      <c r="BF226" s="62"/>
      <c r="BG226" s="62"/>
      <c r="BH226" s="62"/>
      <c r="BI226" s="62"/>
      <c r="BJ226" s="62"/>
      <c r="BK226" s="62"/>
      <c r="BL226" s="62"/>
      <c r="BM226" s="62"/>
      <c r="BN226" s="62"/>
      <c r="BO226" s="62"/>
      <c r="BP226" s="62"/>
      <c r="BQ226" s="62"/>
      <c r="BR226" s="62"/>
      <c r="BS226" s="62"/>
      <c r="BT226" s="62"/>
      <c r="BU226" s="62"/>
      <c r="BV226" s="62"/>
      <c r="BW226" s="62"/>
      <c r="BX226" s="62"/>
      <c r="BY226" s="62"/>
      <c r="BZ226" s="62"/>
      <c r="CA226" s="62"/>
      <c r="CB226" s="62"/>
      <c r="CC226" s="62"/>
      <c r="CD226" s="62"/>
      <c r="CE226" s="62"/>
      <c r="CF226" s="62"/>
      <c r="CG226" s="62"/>
      <c r="CH226" s="62"/>
      <c r="CI226" s="62"/>
      <c r="CJ226" s="62"/>
      <c r="CK226" s="62"/>
      <c r="CL226" s="62"/>
      <c r="CM226" s="62"/>
      <c r="CN226" s="62"/>
      <c r="CO226" s="62"/>
      <c r="CP226" s="62"/>
      <c r="CQ226" s="62"/>
      <c r="CR226" s="62"/>
      <c r="CS226" s="62"/>
      <c r="CT226" s="62"/>
      <c r="CU226" s="62"/>
      <c r="CV226" s="220"/>
      <c r="CW226" s="62"/>
      <c r="CX226" s="62"/>
      <c r="CY226" s="62"/>
      <c r="CZ226" s="62"/>
      <c r="DA226" s="62"/>
      <c r="DB226" s="62"/>
      <c r="DC226" s="62"/>
      <c r="DD226" s="62"/>
      <c r="DE226" s="62"/>
      <c r="DF226" s="62"/>
    </row>
    <row r="227" spans="1:110" ht="12" outlineLevel="1">
      <c r="A227" s="1" t="s">
        <v>401</v>
      </c>
      <c r="B227" s="15" t="s">
        <v>164</v>
      </c>
      <c r="C227" s="41">
        <v>309.35342121782799</v>
      </c>
      <c r="D227" s="41">
        <v>315.08700576263283</v>
      </c>
      <c r="E227" s="41">
        <v>291.32530120481925</v>
      </c>
      <c r="F227" s="41">
        <v>333.36781478534351</v>
      </c>
      <c r="G227" s="41">
        <v>334.88167133318973</v>
      </c>
      <c r="H227" s="41">
        <v>363.72026699029124</v>
      </c>
      <c r="I227" s="41">
        <v>437.77179473928999</v>
      </c>
      <c r="J227" s="41">
        <v>488.00047821466524</v>
      </c>
      <c r="K227" s="41">
        <v>556.76739676020986</v>
      </c>
      <c r="L227" s="41">
        <v>646.79256465517244</v>
      </c>
      <c r="M227" s="41">
        <v>743.80679139288759</v>
      </c>
      <c r="N227" s="41">
        <v>848.43587666447263</v>
      </c>
      <c r="O227" s="41">
        <v>960.26302361181979</v>
      </c>
      <c r="P227" s="41">
        <v>1234.4466455107863</v>
      </c>
      <c r="Q227" s="41">
        <v>1369.7503296922043</v>
      </c>
      <c r="R227" s="41">
        <v>2133.3689037672252</v>
      </c>
      <c r="S227" s="41">
        <v>1846.3572044866264</v>
      </c>
      <c r="T227" s="41">
        <v>1736.9466618287372</v>
      </c>
      <c r="U227" s="41">
        <v>2053.2991395023528</v>
      </c>
      <c r="V227" s="41">
        <v>2272.0733062330623</v>
      </c>
      <c r="W227" s="41">
        <v>2621.7973981659202</v>
      </c>
      <c r="X227" s="41">
        <v>3086.129883117695</v>
      </c>
      <c r="Y227" s="41">
        <v>3772.0030088989056</v>
      </c>
      <c r="Z227" s="41">
        <v>4608.5739612606321</v>
      </c>
      <c r="AA227" s="41">
        <v>5359.2327449424829</v>
      </c>
      <c r="AB227" s="41">
        <v>6150.2503444794611</v>
      </c>
      <c r="AC227" s="41">
        <v>6447.239027150049</v>
      </c>
      <c r="AD227" s="41">
        <v>7255.0424463660574</v>
      </c>
      <c r="AE227" s="41">
        <v>7678.386513785882</v>
      </c>
      <c r="AF227" s="41">
        <v>7724.6952939804924</v>
      </c>
      <c r="AG227" s="41">
        <v>7151.6737544008611</v>
      </c>
      <c r="AH227" s="41">
        <v>6742.4320596879943</v>
      </c>
      <c r="AI227" s="41">
        <v>4627.7649765614233</v>
      </c>
      <c r="AJ227" s="41">
        <v>1623.9451943036884</v>
      </c>
      <c r="AK227" s="41">
        <v>756.12344915283359</v>
      </c>
      <c r="AL227" s="41">
        <v>759.01968941996029</v>
      </c>
      <c r="AM227" s="41">
        <v>642.22943661077238</v>
      </c>
      <c r="AN227" s="41">
        <v>485.13222619297875</v>
      </c>
      <c r="AO227" s="41">
        <v>497.37862128950246</v>
      </c>
      <c r="AP227" s="41">
        <v>472.61743965533111</v>
      </c>
      <c r="AQ227" s="41">
        <v>472.80922242314648</v>
      </c>
      <c r="AR227" s="41">
        <v>481.91148286503164</v>
      </c>
      <c r="AS227" s="41">
        <v>469.17748715553478</v>
      </c>
      <c r="AT227" s="41">
        <v>483.43672996988329</v>
      </c>
      <c r="AU227" s="41">
        <v>444.14998261529223</v>
      </c>
      <c r="AV227" s="211">
        <v>415.64338881153463</v>
      </c>
      <c r="AW227" s="41">
        <v>424.71497714679816</v>
      </c>
      <c r="AX227" s="41">
        <v>435.24398690798097</v>
      </c>
      <c r="AY227" s="41">
        <v>429.16575266951992</v>
      </c>
      <c r="AZ227" s="41">
        <v>418.32129224339144</v>
      </c>
      <c r="BA227" s="41">
        <v>416.9461681486311</v>
      </c>
      <c r="BB227" s="41">
        <v>422.36634545735376</v>
      </c>
      <c r="BC227" s="41">
        <v>432.81273478136882</v>
      </c>
      <c r="BD227" s="41">
        <v>445.98318486118166</v>
      </c>
      <c r="BE227" s="41">
        <v>459.5933291309035</v>
      </c>
      <c r="BF227" s="41">
        <v>473.65819797737612</v>
      </c>
      <c r="BG227" s="41">
        <v>488.19335172937929</v>
      </c>
      <c r="BH227" s="41">
        <v>503.2148994941071</v>
      </c>
      <c r="BI227" s="41">
        <v>518.73951867862854</v>
      </c>
      <c r="BJ227" s="41">
        <v>535.96820901507181</v>
      </c>
      <c r="BK227" s="41">
        <v>556.21283511051649</v>
      </c>
      <c r="BL227" s="41">
        <v>578.46134851493707</v>
      </c>
      <c r="BM227" s="41">
        <v>601.59980245553459</v>
      </c>
      <c r="BN227" s="41">
        <v>616.46285639855387</v>
      </c>
      <c r="BO227" s="41">
        <v>622.62748496253937</v>
      </c>
      <c r="BP227" s="41"/>
      <c r="BQ227" s="41">
        <v>240.82430542437319</v>
      </c>
      <c r="BR227" s="41">
        <v>247.00504530810562</v>
      </c>
      <c r="BS227" s="41">
        <v>257.01155651859881</v>
      </c>
      <c r="BT227" s="41">
        <v>278.71295293126281</v>
      </c>
      <c r="BU227" s="41">
        <v>318.08896111713022</v>
      </c>
      <c r="BV227" s="41">
        <v>393.97628506079218</v>
      </c>
      <c r="BW227" s="41">
        <v>474.18767304682797</v>
      </c>
      <c r="BX227" s="41">
        <v>457.21572168051046</v>
      </c>
      <c r="BY227" s="41">
        <v>456.10130782744488</v>
      </c>
      <c r="BZ227" s="41">
        <v>346.37752046316632</v>
      </c>
      <c r="CA227" s="41">
        <v>303.23870376394223</v>
      </c>
      <c r="CB227" s="41">
        <v>334.12266928317371</v>
      </c>
      <c r="CC227" s="41">
        <v>400.74603086479061</v>
      </c>
      <c r="CD227" s="41">
        <v>522.28973622915601</v>
      </c>
      <c r="CE227" s="41">
        <v>696.16502864350662</v>
      </c>
      <c r="CF227" s="41">
        <v>868.44124268347593</v>
      </c>
      <c r="CG227" s="41">
        <v>1479.80792535143</v>
      </c>
      <c r="CH227" s="41">
        <v>1932.1107676198549</v>
      </c>
      <c r="CI227" s="41">
        <v>1956.0271678769757</v>
      </c>
      <c r="CJ227" s="41">
        <v>2415.4131278761261</v>
      </c>
      <c r="CK227" s="41">
        <v>3404.0867036900499</v>
      </c>
      <c r="CL227" s="41">
        <v>5328.7741789904885</v>
      </c>
      <c r="CM227" s="41">
        <v>6442.8285406013983</v>
      </c>
      <c r="CN227" s="41">
        <v>7646.4738251676154</v>
      </c>
      <c r="CO227" s="41">
        <v>7191.099840018961</v>
      </c>
      <c r="CP227" s="41">
        <v>4769.3145032281354</v>
      </c>
      <c r="CQ227" s="41">
        <v>1605.4612653241065</v>
      </c>
      <c r="CR227" s="41">
        <v>640.64579057100832</v>
      </c>
      <c r="CS227" s="41">
        <v>559.92389278083738</v>
      </c>
      <c r="CT227" s="41">
        <v>459.31752561579697</v>
      </c>
      <c r="CU227" s="41">
        <v>475.52704118054413</v>
      </c>
      <c r="CV227" s="211">
        <v>463.73953883045812</v>
      </c>
      <c r="CW227" s="41">
        <v>420.17918297916646</v>
      </c>
      <c r="CX227" s="41">
        <v>432.19654344047854</v>
      </c>
      <c r="CY227" s="41">
        <v>417.63184646437463</v>
      </c>
      <c r="CZ227" s="41">
        <v>427.60385024172297</v>
      </c>
      <c r="DA227" s="41">
        <v>452.78825699604255</v>
      </c>
      <c r="DB227" s="41">
        <v>480.94568602290093</v>
      </c>
      <c r="DC227" s="41">
        <v>510.99847568799049</v>
      </c>
      <c r="DD227" s="41">
        <v>546.11825442730856</v>
      </c>
      <c r="DE227" s="41">
        <v>590.03057548523577</v>
      </c>
      <c r="DF227" s="41">
        <v>619.55361537720967</v>
      </c>
    </row>
    <row r="228" spans="1:110" ht="12" outlineLevel="1">
      <c r="A228" s="1" t="s">
        <v>1063</v>
      </c>
      <c r="B228" s="15" t="s">
        <v>344</v>
      </c>
      <c r="C228" s="41">
        <v>15090.646578782173</v>
      </c>
      <c r="D228" s="41">
        <v>15015.912994237367</v>
      </c>
      <c r="E228" s="41">
        <v>12773.674698795181</v>
      </c>
      <c r="F228" s="41">
        <v>12976.632185214658</v>
      </c>
      <c r="G228" s="41">
        <v>10787.118328666811</v>
      </c>
      <c r="H228" s="41">
        <v>9278.2797330097092</v>
      </c>
      <c r="I228" s="41">
        <v>9540.2282052607097</v>
      </c>
      <c r="J228" s="41">
        <v>8854.9995217853339</v>
      </c>
      <c r="K228" s="41">
        <v>8229.2326032397905</v>
      </c>
      <c r="L228" s="41">
        <v>8695.2074353448279</v>
      </c>
      <c r="M228" s="41">
        <v>9420.193208607112</v>
      </c>
      <c r="N228" s="41">
        <v>9540.5641233355273</v>
      </c>
      <c r="O228" s="41">
        <v>10009.73697638818</v>
      </c>
      <c r="P228" s="41">
        <v>15641.553354489213</v>
      </c>
      <c r="Q228" s="41">
        <v>17278.249670307796</v>
      </c>
      <c r="R228" s="41">
        <v>22500.631096232773</v>
      </c>
      <c r="S228" s="41">
        <v>18341.642795513373</v>
      </c>
      <c r="T228" s="41">
        <v>17488.053338171263</v>
      </c>
      <c r="U228" s="41">
        <v>23474.700860497647</v>
      </c>
      <c r="V228" s="41">
        <v>28035.926693766938</v>
      </c>
      <c r="W228" s="41">
        <v>32718.20260183408</v>
      </c>
      <c r="X228" s="41">
        <v>36578.870116882303</v>
      </c>
      <c r="Y228" s="41">
        <v>40372.996991101099</v>
      </c>
      <c r="Z228" s="41">
        <v>53055.426038739366</v>
      </c>
      <c r="AA228" s="41">
        <v>63309.767255057515</v>
      </c>
      <c r="AB228" s="41">
        <v>70257.749655520543</v>
      </c>
      <c r="AC228" s="41">
        <v>72502.760972849952</v>
      </c>
      <c r="AD228" s="41">
        <v>78916.95755363394</v>
      </c>
      <c r="AE228" s="41">
        <v>79207.613486214119</v>
      </c>
      <c r="AF228" s="41">
        <v>71407.304706019509</v>
      </c>
      <c r="AG228" s="41">
        <v>62183.326245599143</v>
      </c>
      <c r="AH228" s="41">
        <v>57956.567940312008</v>
      </c>
      <c r="AI228" s="41">
        <v>55243.235023438581</v>
      </c>
      <c r="AJ228" s="41">
        <v>54395.054805696309</v>
      </c>
      <c r="AK228" s="41">
        <v>58069.87655084717</v>
      </c>
      <c r="AL228" s="41">
        <v>60488.980310580046</v>
      </c>
      <c r="AM228" s="41">
        <v>62850.770563389226</v>
      </c>
      <c r="AN228" s="41">
        <v>66406.867773807026</v>
      </c>
      <c r="AO228" s="41">
        <v>65096.621378710501</v>
      </c>
      <c r="AP228" s="41">
        <v>52949.382560344668</v>
      </c>
      <c r="AQ228" s="41">
        <v>57630.190777576856</v>
      </c>
      <c r="AR228" s="41">
        <v>68521.088517134966</v>
      </c>
      <c r="AS228" s="41">
        <v>75342.822512844461</v>
      </c>
      <c r="AT228" s="41">
        <v>80026.563270030121</v>
      </c>
      <c r="AU228" s="41">
        <v>77188.850017384713</v>
      </c>
      <c r="AV228" s="211">
        <v>73779.356611188457</v>
      </c>
      <c r="AW228" s="41">
        <v>72758.307047874347</v>
      </c>
      <c r="AX228" s="41">
        <v>74562.041237472804</v>
      </c>
      <c r="AY228" s="41">
        <v>73520.773430055691</v>
      </c>
      <c r="AZ228" s="41">
        <v>71662.999101602778</v>
      </c>
      <c r="BA228" s="41">
        <v>71427.425348617573</v>
      </c>
      <c r="BB228" s="41">
        <v>72355.960827943636</v>
      </c>
      <c r="BC228" s="41">
        <v>74145.541235689932</v>
      </c>
      <c r="BD228" s="41">
        <v>76401.782956439303</v>
      </c>
      <c r="BE228" s="41">
        <v>78733.349086729126</v>
      </c>
      <c r="BF228" s="41">
        <v>81142.814495729835</v>
      </c>
      <c r="BG228" s="41">
        <v>83632.84483744482</v>
      </c>
      <c r="BH228" s="41">
        <v>86206.199777604153</v>
      </c>
      <c r="BI228" s="41">
        <v>88865.736337903771</v>
      </c>
      <c r="BJ228" s="41">
        <v>91817.198869206055</v>
      </c>
      <c r="BK228" s="41">
        <v>95285.324084419874</v>
      </c>
      <c r="BL228" s="41">
        <v>99096.737047796647</v>
      </c>
      <c r="BM228" s="41">
        <v>103060.60652970853</v>
      </c>
      <c r="BN228" s="41">
        <v>105606.80974985426</v>
      </c>
      <c r="BO228" s="41">
        <v>106662.87784735284</v>
      </c>
      <c r="BP228" s="41"/>
      <c r="BQ228" s="41">
        <v>8670.2113523051066</v>
      </c>
      <c r="BR228" s="41">
        <v>8892.7317536871433</v>
      </c>
      <c r="BS228" s="41">
        <v>9252.9884434813994</v>
      </c>
      <c r="BT228" s="41">
        <v>10034.287047068738</v>
      </c>
      <c r="BU228" s="41">
        <v>11451.91103888287</v>
      </c>
      <c r="BV228" s="41">
        <v>14184.023714939209</v>
      </c>
      <c r="BW228" s="41">
        <v>17071.812326953168</v>
      </c>
      <c r="BX228" s="41">
        <v>16460.784278319486</v>
      </c>
      <c r="BY228" s="41">
        <v>16661.898692172555</v>
      </c>
      <c r="BZ228" s="41">
        <v>14740.622479536834</v>
      </c>
      <c r="CA228" s="41">
        <v>13897.8654058251</v>
      </c>
      <c r="CB228" s="41">
        <v>11884.874590990801</v>
      </c>
      <c r="CC228" s="41">
        <v>9409.2539691352104</v>
      </c>
      <c r="CD228" s="41">
        <v>8542.9732774694749</v>
      </c>
      <c r="CE228" s="41">
        <v>9057.834971356493</v>
      </c>
      <c r="CF228" s="41">
        <v>9811.5587573165249</v>
      </c>
      <c r="CG228" s="41">
        <v>16282.19207464857</v>
      </c>
      <c r="CH228" s="41">
        <v>20472.889232380145</v>
      </c>
      <c r="CI228" s="41">
        <v>22099.972832123025</v>
      </c>
      <c r="CJ228" s="41">
        <v>30416.586872123873</v>
      </c>
      <c r="CK228" s="41">
        <v>38500.913296309955</v>
      </c>
      <c r="CL228" s="41">
        <v>57853.22582100951</v>
      </c>
      <c r="CM228" s="41">
        <v>71239.171459398596</v>
      </c>
      <c r="CN228" s="41">
        <v>78883.526174832383</v>
      </c>
      <c r="CO228" s="41">
        <v>67052.900159981044</v>
      </c>
      <c r="CP228" s="41">
        <v>57508.685496771868</v>
      </c>
      <c r="CQ228" s="41">
        <v>55820.538734675894</v>
      </c>
      <c r="CR228" s="41">
        <v>61733.354209428995</v>
      </c>
      <c r="CS228" s="41">
        <v>65683.076107219167</v>
      </c>
      <c r="CT228" s="41">
        <v>55309.682474384208</v>
      </c>
      <c r="CU228" s="41">
        <v>71941.300356079737</v>
      </c>
      <c r="CV228" s="211">
        <v>78603.819365279138</v>
      </c>
      <c r="CW228" s="41">
        <v>73268.831829531409</v>
      </c>
      <c r="CX228" s="41">
        <v>74039.980939507499</v>
      </c>
      <c r="CY228" s="41">
        <v>71544.889521338962</v>
      </c>
      <c r="CZ228" s="41">
        <v>73253.202511827389</v>
      </c>
      <c r="DA228" s="41">
        <v>77567.566021584222</v>
      </c>
      <c r="DB228" s="41">
        <v>82391.240667055419</v>
      </c>
      <c r="DC228" s="41">
        <v>87539.611258521487</v>
      </c>
      <c r="DD228" s="41">
        <v>93556.012333272171</v>
      </c>
      <c r="DE228" s="41">
        <v>101078.67178875259</v>
      </c>
      <c r="DF228" s="41">
        <v>106136.29046723027</v>
      </c>
    </row>
    <row r="229" spans="1:110" s="17" customFormat="1" ht="12" outlineLevel="1">
      <c r="A229" s="1" t="s">
        <v>402</v>
      </c>
      <c r="B229" s="17" t="s">
        <v>168</v>
      </c>
      <c r="C229" s="61">
        <v>15400</v>
      </c>
      <c r="D229" s="61">
        <v>15331</v>
      </c>
      <c r="E229" s="61">
        <v>13065</v>
      </c>
      <c r="F229" s="61">
        <v>13310</v>
      </c>
      <c r="G229" s="61">
        <v>11122</v>
      </c>
      <c r="H229" s="61">
        <v>9642</v>
      </c>
      <c r="I229" s="61">
        <v>9978</v>
      </c>
      <c r="J229" s="61">
        <v>9343</v>
      </c>
      <c r="K229" s="61">
        <v>8786</v>
      </c>
      <c r="L229" s="61">
        <v>9342</v>
      </c>
      <c r="M229" s="61">
        <v>10164</v>
      </c>
      <c r="N229" s="61">
        <v>10389</v>
      </c>
      <c r="O229" s="61">
        <v>10970</v>
      </c>
      <c r="P229" s="61">
        <v>16876</v>
      </c>
      <c r="Q229" s="61">
        <v>18648</v>
      </c>
      <c r="R229" s="61">
        <v>24634</v>
      </c>
      <c r="S229" s="61">
        <v>20188</v>
      </c>
      <c r="T229" s="61">
        <v>19225</v>
      </c>
      <c r="U229" s="61">
        <v>25528</v>
      </c>
      <c r="V229" s="61">
        <v>30308</v>
      </c>
      <c r="W229" s="61">
        <v>35340</v>
      </c>
      <c r="X229" s="61">
        <v>39665</v>
      </c>
      <c r="Y229" s="61">
        <v>44145</v>
      </c>
      <c r="Z229" s="194">
        <v>57664</v>
      </c>
      <c r="AA229" s="194">
        <v>68669</v>
      </c>
      <c r="AB229" s="194">
        <v>76408</v>
      </c>
      <c r="AC229" s="194">
        <v>78950</v>
      </c>
      <c r="AD229" s="194">
        <v>86172</v>
      </c>
      <c r="AE229" s="194">
        <v>86886</v>
      </c>
      <c r="AF229" s="194">
        <v>79132</v>
      </c>
      <c r="AG229" s="194">
        <v>69335</v>
      </c>
      <c r="AH229" s="194">
        <v>64699</v>
      </c>
      <c r="AI229" s="194">
        <v>59871</v>
      </c>
      <c r="AJ229" s="194">
        <v>56019</v>
      </c>
      <c r="AK229" s="194">
        <v>58826</v>
      </c>
      <c r="AL229" s="194">
        <v>61248</v>
      </c>
      <c r="AM229" s="194">
        <v>63493</v>
      </c>
      <c r="AN229" s="194">
        <v>66892</v>
      </c>
      <c r="AO229" s="194">
        <v>65594</v>
      </c>
      <c r="AP229" s="194">
        <v>53422</v>
      </c>
      <c r="AQ229" s="194">
        <v>58103</v>
      </c>
      <c r="AR229" s="194">
        <v>69003</v>
      </c>
      <c r="AS229" s="194">
        <v>75812</v>
      </c>
      <c r="AT229" s="194">
        <v>80510</v>
      </c>
      <c r="AU229" s="194">
        <v>77633</v>
      </c>
      <c r="AV229" s="227">
        <v>74195</v>
      </c>
      <c r="AW229" s="62">
        <v>73183.022025021142</v>
      </c>
      <c r="AX229" s="62">
        <v>74997.285224380772</v>
      </c>
      <c r="AY229" s="62">
        <v>73949.939182725211</v>
      </c>
      <c r="AZ229" s="62">
        <v>72081.320393846181</v>
      </c>
      <c r="BA229" s="62">
        <v>71844.371516766216</v>
      </c>
      <c r="BB229" s="62">
        <v>72778.32717340099</v>
      </c>
      <c r="BC229" s="62">
        <v>74578.353970471289</v>
      </c>
      <c r="BD229" s="62">
        <v>76847.766141300468</v>
      </c>
      <c r="BE229" s="62">
        <v>79192.942415860016</v>
      </c>
      <c r="BF229" s="62">
        <v>81616.472693707212</v>
      </c>
      <c r="BG229" s="62">
        <v>84121.038189174171</v>
      </c>
      <c r="BH229" s="62">
        <v>86709.414677098248</v>
      </c>
      <c r="BI229" s="62">
        <v>89384.475856582401</v>
      </c>
      <c r="BJ229" s="62">
        <v>92353.167078221129</v>
      </c>
      <c r="BK229" s="62">
        <v>95841.536919530394</v>
      </c>
      <c r="BL229" s="62">
        <v>99675.198396311607</v>
      </c>
      <c r="BM229" s="62">
        <v>103662.20633216407</v>
      </c>
      <c r="BN229" s="62">
        <v>106223.27260625282</v>
      </c>
      <c r="BO229" s="62">
        <v>107285.50533231537</v>
      </c>
      <c r="BP229" s="62"/>
      <c r="BQ229" s="384">
        <v>8911.0356577294806</v>
      </c>
      <c r="BR229" s="384">
        <v>9139.736798995249</v>
      </c>
      <c r="BS229" s="61">
        <v>9510</v>
      </c>
      <c r="BT229" s="61">
        <v>10313</v>
      </c>
      <c r="BU229" s="61">
        <v>11770</v>
      </c>
      <c r="BV229" s="61">
        <v>14578</v>
      </c>
      <c r="BW229" s="61">
        <v>17546</v>
      </c>
      <c r="BX229" s="61">
        <v>16918</v>
      </c>
      <c r="BY229" s="61">
        <v>17118</v>
      </c>
      <c r="BZ229" s="61">
        <v>15087</v>
      </c>
      <c r="CA229" s="62">
        <v>14201.104109589041</v>
      </c>
      <c r="CB229" s="62">
        <v>12218.997260273973</v>
      </c>
      <c r="CC229" s="62">
        <v>9810</v>
      </c>
      <c r="CD229" s="62">
        <v>9065.2630136986299</v>
      </c>
      <c r="CE229" s="194">
        <v>9754</v>
      </c>
      <c r="CF229" s="194">
        <v>10680</v>
      </c>
      <c r="CG229" s="194">
        <v>17762</v>
      </c>
      <c r="CH229" s="194">
        <v>22405</v>
      </c>
      <c r="CI229" s="194">
        <v>24056</v>
      </c>
      <c r="CJ229" s="194">
        <v>32832</v>
      </c>
      <c r="CK229" s="61">
        <v>41905</v>
      </c>
      <c r="CL229" s="194">
        <v>63182</v>
      </c>
      <c r="CM229" s="194">
        <v>77682</v>
      </c>
      <c r="CN229" s="194">
        <v>86530</v>
      </c>
      <c r="CO229" s="194">
        <v>74244</v>
      </c>
      <c r="CP229" s="194">
        <v>62278</v>
      </c>
      <c r="CQ229" s="194">
        <v>57426</v>
      </c>
      <c r="CR229" s="194">
        <v>62374</v>
      </c>
      <c r="CS229" s="194">
        <v>66243</v>
      </c>
      <c r="CT229" s="194">
        <v>55769</v>
      </c>
      <c r="CU229" s="194">
        <v>72416</v>
      </c>
      <c r="CV229" s="227">
        <v>79068</v>
      </c>
      <c r="CW229" s="62">
        <v>73689.011012510571</v>
      </c>
      <c r="CX229" s="62">
        <v>74472.177482947984</v>
      </c>
      <c r="CY229" s="62">
        <v>71962.521367803361</v>
      </c>
      <c r="CZ229" s="62">
        <v>73680.80636206911</v>
      </c>
      <c r="DA229" s="62">
        <v>78020.354278580257</v>
      </c>
      <c r="DB229" s="62">
        <v>82872.186353078316</v>
      </c>
      <c r="DC229" s="62">
        <v>88050.609734209487</v>
      </c>
      <c r="DD229" s="62">
        <v>94102.130587699474</v>
      </c>
      <c r="DE229" s="62">
        <v>101668.70236423785</v>
      </c>
      <c r="DF229" s="62">
        <v>106755.84408260747</v>
      </c>
    </row>
    <row r="230" spans="1:110" ht="12" outlineLevel="1">
      <c r="C230" s="41"/>
      <c r="D230" s="41"/>
      <c r="E230" s="41"/>
      <c r="F230" s="41"/>
      <c r="G230" s="41"/>
      <c r="H230" s="41"/>
      <c r="I230" s="41"/>
      <c r="J230" s="41"/>
      <c r="K230" s="41"/>
      <c r="L230" s="41"/>
      <c r="M230" s="41"/>
      <c r="N230" s="41"/>
      <c r="O230" s="41"/>
      <c r="P230" s="41"/>
      <c r="Q230" s="41"/>
      <c r="R230" s="41"/>
      <c r="S230" s="41"/>
      <c r="T230" s="41"/>
      <c r="U230" s="41"/>
      <c r="V230" s="41"/>
      <c r="W230" s="41"/>
      <c r="X230" s="41"/>
      <c r="Y230" s="41"/>
      <c r="Z230" s="41"/>
      <c r="AA230" s="41"/>
      <c r="AB230" s="41"/>
      <c r="AC230" s="41"/>
      <c r="AD230" s="41"/>
      <c r="AE230" s="41"/>
      <c r="AF230" s="41"/>
      <c r="AG230" s="41"/>
      <c r="AH230" s="41"/>
      <c r="AI230" s="41"/>
      <c r="AJ230" s="41"/>
      <c r="AK230" s="41"/>
      <c r="AL230" s="41"/>
      <c r="AM230" s="41"/>
      <c r="AN230" s="41"/>
      <c r="AO230" s="41"/>
      <c r="AP230" s="41"/>
      <c r="AQ230" s="41"/>
      <c r="AR230" s="41"/>
      <c r="AS230" s="41"/>
      <c r="AT230" s="41"/>
      <c r="AU230" s="41"/>
      <c r="AV230" s="211"/>
      <c r="AW230" s="41"/>
      <c r="AX230" s="41"/>
      <c r="AY230" s="41"/>
      <c r="AZ230" s="41"/>
      <c r="BA230" s="41"/>
      <c r="BB230" s="41"/>
      <c r="BC230" s="41"/>
      <c r="BD230" s="41"/>
      <c r="BE230" s="41"/>
      <c r="BF230" s="41"/>
      <c r="BG230" s="41"/>
      <c r="BH230" s="41"/>
      <c r="BI230" s="41"/>
      <c r="BJ230" s="41"/>
      <c r="BK230" s="41"/>
      <c r="BL230" s="41"/>
      <c r="BM230" s="41"/>
      <c r="BN230" s="41"/>
      <c r="BO230" s="41"/>
      <c r="BP230" s="41"/>
      <c r="BQ230" s="41"/>
      <c r="BR230" s="41"/>
      <c r="BS230" s="41"/>
      <c r="BT230" s="41"/>
      <c r="BU230" s="41"/>
      <c r="BV230" s="41"/>
      <c r="BW230" s="41"/>
      <c r="BX230" s="41"/>
      <c r="BY230" s="41"/>
      <c r="BZ230" s="41"/>
      <c r="CA230" s="41"/>
      <c r="CB230" s="41"/>
      <c r="CC230" s="41"/>
      <c r="CD230" s="41"/>
      <c r="CE230" s="41"/>
      <c r="CF230" s="41"/>
      <c r="CG230" s="41"/>
      <c r="CH230" s="41"/>
      <c r="CI230" s="41"/>
      <c r="CJ230" s="41"/>
      <c r="CK230" s="41"/>
      <c r="CL230" s="41"/>
      <c r="CM230" s="41"/>
      <c r="CN230" s="41"/>
      <c r="CO230" s="41"/>
      <c r="CP230" s="41"/>
      <c r="CQ230" s="41"/>
      <c r="CR230" s="41"/>
      <c r="CS230" s="41"/>
      <c r="CT230" s="41"/>
      <c r="CU230" s="41"/>
      <c r="CV230" s="211"/>
      <c r="CW230" s="41"/>
      <c r="CX230" s="41"/>
      <c r="CY230" s="41"/>
      <c r="CZ230" s="41"/>
      <c r="DA230" s="41"/>
      <c r="DB230" s="41"/>
      <c r="DC230" s="41"/>
      <c r="DD230" s="41"/>
      <c r="DE230" s="41"/>
      <c r="DF230" s="41"/>
    </row>
    <row r="231" spans="1:110" s="17" customFormat="1" ht="12" outlineLevel="1">
      <c r="A231" s="1"/>
      <c r="B231" s="17" t="s">
        <v>343</v>
      </c>
      <c r="C231" s="62"/>
      <c r="D231" s="62"/>
      <c r="E231" s="62"/>
      <c r="F231" s="62"/>
      <c r="G231" s="62"/>
      <c r="H231" s="62"/>
      <c r="I231" s="62"/>
      <c r="J231" s="62"/>
      <c r="K231" s="62"/>
      <c r="L231" s="62"/>
      <c r="M231" s="62"/>
      <c r="N231" s="62"/>
      <c r="O231" s="62"/>
      <c r="P231" s="62"/>
      <c r="Q231" s="62"/>
      <c r="R231" s="62"/>
      <c r="S231" s="62"/>
      <c r="T231" s="62"/>
      <c r="U231" s="62"/>
      <c r="V231" s="62"/>
      <c r="W231" s="62"/>
      <c r="X231" s="62"/>
      <c r="Y231" s="62"/>
      <c r="Z231" s="62"/>
      <c r="AA231" s="62"/>
      <c r="AB231" s="62"/>
      <c r="AC231" s="62"/>
      <c r="AD231" s="62"/>
      <c r="AE231" s="62"/>
      <c r="AF231" s="62"/>
      <c r="AG231" s="62"/>
      <c r="AH231" s="62"/>
      <c r="AI231" s="62"/>
      <c r="AJ231" s="62"/>
      <c r="AK231" s="62"/>
      <c r="AL231" s="62"/>
      <c r="AM231" s="62"/>
      <c r="AN231" s="62"/>
      <c r="AO231" s="62"/>
      <c r="AP231" s="62"/>
      <c r="AQ231" s="62"/>
      <c r="AR231" s="62"/>
      <c r="AS231" s="62"/>
      <c r="AT231" s="62"/>
      <c r="AU231" s="62"/>
      <c r="AV231" s="220"/>
      <c r="AW231" s="62"/>
      <c r="AX231" s="62"/>
      <c r="AY231" s="62"/>
      <c r="AZ231" s="62"/>
      <c r="BA231" s="62"/>
      <c r="BB231" s="62"/>
      <c r="BC231" s="62"/>
      <c r="BD231" s="62"/>
      <c r="BE231" s="62"/>
      <c r="BF231" s="62"/>
      <c r="BG231" s="62"/>
      <c r="BH231" s="62"/>
      <c r="BI231" s="62"/>
      <c r="BJ231" s="62"/>
      <c r="BK231" s="62"/>
      <c r="BL231" s="62"/>
      <c r="BM231" s="62"/>
      <c r="BN231" s="62"/>
      <c r="BO231" s="62"/>
      <c r="BP231" s="62"/>
      <c r="BQ231" s="62"/>
      <c r="BR231" s="62"/>
      <c r="BS231" s="62"/>
      <c r="BT231" s="62"/>
      <c r="BU231" s="62"/>
      <c r="BV231" s="62"/>
      <c r="BW231" s="62"/>
      <c r="BX231" s="62"/>
      <c r="BY231" s="62"/>
      <c r="BZ231" s="62"/>
      <c r="CA231" s="62"/>
      <c r="CB231" s="62"/>
      <c r="CC231" s="62"/>
      <c r="CD231" s="62"/>
      <c r="CE231" s="62"/>
      <c r="CF231" s="62"/>
      <c r="CG231" s="62"/>
      <c r="CH231" s="62"/>
      <c r="CI231" s="62"/>
      <c r="CJ231" s="62"/>
      <c r="CK231" s="62"/>
      <c r="CL231" s="62"/>
      <c r="CM231" s="62"/>
      <c r="CN231" s="62"/>
      <c r="CO231" s="62"/>
      <c r="CP231" s="62"/>
      <c r="CQ231" s="62"/>
      <c r="CR231" s="62"/>
      <c r="CS231" s="62"/>
      <c r="CT231" s="62"/>
      <c r="CU231" s="62"/>
      <c r="CV231" s="220"/>
      <c r="CW231" s="62"/>
      <c r="CX231" s="62"/>
      <c r="CY231" s="62"/>
      <c r="CZ231" s="62"/>
      <c r="DA231" s="62"/>
      <c r="DB231" s="62"/>
      <c r="DC231" s="62"/>
      <c r="DD231" s="62"/>
      <c r="DE231" s="62"/>
      <c r="DF231" s="62"/>
    </row>
    <row r="232" spans="1:110" ht="12" outlineLevel="1">
      <c r="A232" s="1" t="s">
        <v>405</v>
      </c>
      <c r="B232" s="15" t="s">
        <v>164</v>
      </c>
      <c r="C232" s="41">
        <v>97006.387264650315</v>
      </c>
      <c r="D232" s="41">
        <v>55153.094193752288</v>
      </c>
      <c r="E232" s="41">
        <v>59417.404101563356</v>
      </c>
      <c r="F232" s="41">
        <v>64798.980514900701</v>
      </c>
      <c r="G232" s="41">
        <v>69483.129294899438</v>
      </c>
      <c r="H232" s="41">
        <v>87210.640874662335</v>
      </c>
      <c r="I232" s="41">
        <v>102788.05807645491</v>
      </c>
      <c r="J232" s="41">
        <v>115122.33829732763</v>
      </c>
      <c r="K232" s="41">
        <v>122243.83348028189</v>
      </c>
      <c r="L232" s="41">
        <v>129245.16681437111</v>
      </c>
      <c r="M232" s="41">
        <v>134935.94177342718</v>
      </c>
      <c r="N232" s="41">
        <v>143967.64292692603</v>
      </c>
      <c r="O232" s="41">
        <v>151802.23346445357</v>
      </c>
      <c r="P232" s="41">
        <v>161993.87808392916</v>
      </c>
      <c r="Q232" s="41">
        <v>168973.96553059999</v>
      </c>
      <c r="R232" s="41">
        <v>180381.32786627801</v>
      </c>
      <c r="S232" s="41">
        <v>182748.83059981652</v>
      </c>
      <c r="T232" s="41">
        <v>187849.49334420913</v>
      </c>
      <c r="U232" s="41">
        <v>198053.60890855035</v>
      </c>
      <c r="V232" s="41">
        <v>206867.48647069294</v>
      </c>
      <c r="W232" s="41">
        <v>210568.6134251054</v>
      </c>
      <c r="X232" s="41">
        <v>218343.1403135797</v>
      </c>
      <c r="Y232" s="41">
        <v>228157.46631033829</v>
      </c>
      <c r="Z232" s="41">
        <v>234298.04388636895</v>
      </c>
      <c r="AA232" s="41">
        <v>245498.05246973256</v>
      </c>
      <c r="AB232" s="41">
        <v>258615.26597096131</v>
      </c>
      <c r="AC232" s="41">
        <v>272134.73439445626</v>
      </c>
      <c r="AD232" s="41">
        <v>279882.18995644752</v>
      </c>
      <c r="AE232" s="41">
        <v>294138.80663711211</v>
      </c>
      <c r="AF232" s="41">
        <v>294440.68535840639</v>
      </c>
      <c r="AG232" s="41">
        <v>304350.36863705824</v>
      </c>
      <c r="AH232" s="41">
        <v>311733.87372072734</v>
      </c>
      <c r="AI232" s="41">
        <v>318229.57415232412</v>
      </c>
      <c r="AJ232" s="41">
        <v>322927.82703095564</v>
      </c>
      <c r="AK232" s="41">
        <v>326808.05177731358</v>
      </c>
      <c r="AL232" s="41">
        <v>332400.14508340531</v>
      </c>
      <c r="AM232" s="41">
        <v>329931.2098958331</v>
      </c>
      <c r="AN232" s="41">
        <v>328329.2625144819</v>
      </c>
      <c r="AO232" s="41">
        <v>334489.0695381891</v>
      </c>
      <c r="AP232" s="41">
        <v>343264.51958961121</v>
      </c>
      <c r="AQ232" s="41">
        <v>346681.54436276708</v>
      </c>
      <c r="AR232" s="41">
        <v>349697.44412269356</v>
      </c>
      <c r="AS232" s="41">
        <v>347830.70870897861</v>
      </c>
      <c r="AT232" s="41">
        <v>362543.62722627009</v>
      </c>
      <c r="AU232" s="41">
        <v>368059.47392568458</v>
      </c>
      <c r="AV232" s="211">
        <v>381734.89580243296</v>
      </c>
      <c r="AW232" s="41">
        <v>411321.18222157081</v>
      </c>
      <c r="AX232" s="41">
        <v>459442.79360036092</v>
      </c>
      <c r="AY232" s="41">
        <v>467843.95480004424</v>
      </c>
      <c r="AZ232" s="41">
        <v>476273.89925318252</v>
      </c>
      <c r="BA232" s="41">
        <v>482121.42292148247</v>
      </c>
      <c r="BB232" s="41">
        <v>488144.47462328314</v>
      </c>
      <c r="BC232" s="41">
        <v>495195.24223229854</v>
      </c>
      <c r="BD232" s="41">
        <v>502807.11198791512</v>
      </c>
      <c r="BE232" s="41">
        <v>510555.5329971108</v>
      </c>
      <c r="BF232" s="41">
        <v>518442.73228986165</v>
      </c>
      <c r="BG232" s="41">
        <v>526470.98064413748</v>
      </c>
      <c r="BH232" s="41">
        <v>534642.59316235047</v>
      </c>
      <c r="BI232" s="41">
        <v>542959.92986808589</v>
      </c>
      <c r="BJ232" s="41">
        <v>551818.6494007929</v>
      </c>
      <c r="BK232" s="41">
        <v>561627.87991858204</v>
      </c>
      <c r="BL232" s="41">
        <v>572015.17060405819</v>
      </c>
      <c r="BM232" s="41">
        <v>582595.18969531055</v>
      </c>
      <c r="BN232" s="41">
        <v>590873.49544697802</v>
      </c>
      <c r="BO232" s="41">
        <v>596782.23040144797</v>
      </c>
      <c r="BP232" s="41"/>
      <c r="BQ232" s="41">
        <v>28612.305441986551</v>
      </c>
      <c r="BR232" s="41">
        <v>16850.653265352285</v>
      </c>
      <c r="BS232" s="41">
        <v>17422.936102303902</v>
      </c>
      <c r="BT232" s="41">
        <v>19873.960202675662</v>
      </c>
      <c r="BU232" s="41">
        <v>21878.475666794027</v>
      </c>
      <c r="BV232" s="41">
        <v>24193.51586645926</v>
      </c>
      <c r="BW232" s="41">
        <v>26533.371482021728</v>
      </c>
      <c r="BX232" s="41">
        <v>31316.727563058161</v>
      </c>
      <c r="BY232" s="41">
        <v>39187.823736228784</v>
      </c>
      <c r="BZ232" s="41">
        <v>45238.659390511064</v>
      </c>
      <c r="CA232" s="41">
        <v>57279.407627236164</v>
      </c>
      <c r="CB232" s="41">
        <v>67134.638262735694</v>
      </c>
      <c r="CC232" s="41">
        <v>94999.349475558614</v>
      </c>
      <c r="CD232" s="41">
        <v>118673.33041595141</v>
      </c>
      <c r="CE232" s="41">
        <v>132290.70250584799</v>
      </c>
      <c r="CF232" s="41">
        <v>147236.52070023699</v>
      </c>
      <c r="CG232" s="41">
        <v>166150.1297730706</v>
      </c>
      <c r="CH232" s="41">
        <v>181990.00807828605</v>
      </c>
      <c r="CI232" s="41">
        <v>193632.15240609646</v>
      </c>
      <c r="CJ232" s="41">
        <v>209585.23054082683</v>
      </c>
      <c r="CK232" s="41">
        <v>222955.28376283654</v>
      </c>
      <c r="CL232" s="41">
        <v>240053.2921886644</v>
      </c>
      <c r="CM232" s="41">
        <v>265772.99403392273</v>
      </c>
      <c r="CN232" s="41">
        <v>287161.61087501299</v>
      </c>
      <c r="CO232" s="41">
        <v>297032.98577585589</v>
      </c>
      <c r="CP232" s="41">
        <v>314108.69771409238</v>
      </c>
      <c r="CQ232" s="41">
        <v>323796.26896920131</v>
      </c>
      <c r="CR232" s="41">
        <v>329026.00647559459</v>
      </c>
      <c r="CS232" s="41">
        <v>338162.90236001433</v>
      </c>
      <c r="CT232" s="41">
        <v>342174.46587888984</v>
      </c>
      <c r="CU232" s="41">
        <v>348761.51924403646</v>
      </c>
      <c r="CV232" s="211">
        <v>365309.10653036006</v>
      </c>
      <c r="CW232" s="41">
        <v>396528.03901200183</v>
      </c>
      <c r="CX232" s="41">
        <v>463654.88264020218</v>
      </c>
      <c r="CY232" s="41">
        <v>479205.67139372742</v>
      </c>
      <c r="CZ232" s="41">
        <v>491679.51701355656</v>
      </c>
      <c r="DA232" s="41">
        <v>506681.32249251299</v>
      </c>
      <c r="DB232" s="41">
        <v>522467.85406748491</v>
      </c>
      <c r="DC232" s="41">
        <v>538812.65512714384</v>
      </c>
      <c r="DD232" s="41">
        <v>556736.7019617667</v>
      </c>
      <c r="DE232" s="41">
        <v>577305.18014968431</v>
      </c>
      <c r="DF232" s="41">
        <v>593835.95708168484</v>
      </c>
    </row>
    <row r="233" spans="1:110" ht="12" outlineLevel="1">
      <c r="A233" s="1" t="s">
        <v>335</v>
      </c>
      <c r="B233" s="15" t="s">
        <v>344</v>
      </c>
      <c r="C233" s="41">
        <v>42403.612735349685</v>
      </c>
      <c r="D233" s="41">
        <v>86272.905806247712</v>
      </c>
      <c r="E233" s="41">
        <v>84600.595898436644</v>
      </c>
      <c r="F233" s="41">
        <v>88308.019485099299</v>
      </c>
      <c r="G233" s="41">
        <v>89875.870705100562</v>
      </c>
      <c r="H233" s="41">
        <v>102800.35912533767</v>
      </c>
      <c r="I233" s="41">
        <v>109623.94192354509</v>
      </c>
      <c r="J233" s="41">
        <v>113639.66170267237</v>
      </c>
      <c r="K233" s="41">
        <v>119201.16651971811</v>
      </c>
      <c r="L233" s="41">
        <v>124790.83318562889</v>
      </c>
      <c r="M233" s="41">
        <v>128587.05822657282</v>
      </c>
      <c r="N233" s="41">
        <v>134742.35707307397</v>
      </c>
      <c r="O233" s="41">
        <v>142525.76653554643</v>
      </c>
      <c r="P233" s="41">
        <v>160830.12191607084</v>
      </c>
      <c r="Q233" s="41">
        <v>171457.03446940001</v>
      </c>
      <c r="R233" s="41">
        <v>181144.67213372199</v>
      </c>
      <c r="S233" s="41">
        <v>167353.16940018348</v>
      </c>
      <c r="T233" s="41">
        <v>160669.50665579087</v>
      </c>
      <c r="U233" s="41">
        <v>166419.39109144965</v>
      </c>
      <c r="V233" s="41">
        <v>174623.51352930706</v>
      </c>
      <c r="W233" s="41">
        <v>182687.3865748946</v>
      </c>
      <c r="X233" s="41">
        <v>189902.8596864203</v>
      </c>
      <c r="Y233" s="41">
        <v>199521.53368966171</v>
      </c>
      <c r="Z233" s="41">
        <v>215203.95611363105</v>
      </c>
      <c r="AA233" s="41">
        <v>229977.94753026744</v>
      </c>
      <c r="AB233" s="41">
        <v>243988.73402903869</v>
      </c>
      <c r="AC233" s="41">
        <v>255279.26560554374</v>
      </c>
      <c r="AD233" s="41">
        <v>265983.81004355248</v>
      </c>
      <c r="AE233" s="41">
        <v>273470.19336288789</v>
      </c>
      <c r="AF233" s="41">
        <v>256491.31464159361</v>
      </c>
      <c r="AG233" s="41">
        <v>246714.63136294176</v>
      </c>
      <c r="AH233" s="41">
        <v>244047.12627927266</v>
      </c>
      <c r="AI233" s="41">
        <v>240126.42584767588</v>
      </c>
      <c r="AJ233" s="41">
        <v>238517.17296904436</v>
      </c>
      <c r="AK233" s="41">
        <v>245696.94822268642</v>
      </c>
      <c r="AL233" s="41">
        <v>253510.85491659469</v>
      </c>
      <c r="AM233" s="41">
        <v>259997.7901041669</v>
      </c>
      <c r="AN233" s="41">
        <v>276309.7374855181</v>
      </c>
      <c r="AO233" s="41">
        <v>272904.9304618109</v>
      </c>
      <c r="AP233" s="41">
        <v>243189.48041038879</v>
      </c>
      <c r="AQ233" s="41">
        <v>240635.45563723292</v>
      </c>
      <c r="AR233" s="41">
        <v>257389.55587730644</v>
      </c>
      <c r="AS233" s="41">
        <v>271659.29129102139</v>
      </c>
      <c r="AT233" s="41">
        <v>286709.37277372991</v>
      </c>
      <c r="AU233" s="41">
        <v>282109.52607431542</v>
      </c>
      <c r="AV233" s="211">
        <v>282247.10419756704</v>
      </c>
      <c r="AW233" s="41">
        <v>289210.52632462239</v>
      </c>
      <c r="AX233" s="41">
        <v>304225.13636336318</v>
      </c>
      <c r="AY233" s="41">
        <v>308133.90400467318</v>
      </c>
      <c r="AZ233" s="41">
        <v>310134.45273417333</v>
      </c>
      <c r="BA233" s="41">
        <v>313892.20427591936</v>
      </c>
      <c r="BB233" s="41">
        <v>318992.89475565334</v>
      </c>
      <c r="BC233" s="41">
        <v>325377.33190348482</v>
      </c>
      <c r="BD233" s="41">
        <v>332484.87635099271</v>
      </c>
      <c r="BE233" s="41">
        <v>339773.14660485339</v>
      </c>
      <c r="BF233" s="41">
        <v>347246.94044131984</v>
      </c>
      <c r="BG233" s="41">
        <v>354911.19683773303</v>
      </c>
      <c r="BH233" s="41">
        <v>362771.00023118744</v>
      </c>
      <c r="BI233" s="41">
        <v>370831.5849210819</v>
      </c>
      <c r="BJ233" s="41">
        <v>379442.66015485569</v>
      </c>
      <c r="BK233" s="41">
        <v>388977.78816898924</v>
      </c>
      <c r="BL233" s="41">
        <v>399131.1536146194</v>
      </c>
      <c r="BM233" s="41">
        <v>409574.91181021556</v>
      </c>
      <c r="BN233" s="41">
        <v>416944.86134729756</v>
      </c>
      <c r="BO233" s="41">
        <v>421114.30996077042</v>
      </c>
      <c r="BP233" s="41"/>
      <c r="BQ233" s="41">
        <v>29556.294558013447</v>
      </c>
      <c r="BR233" s="41">
        <v>41901.346734647712</v>
      </c>
      <c r="BS233" s="41">
        <v>42301.063897696098</v>
      </c>
      <c r="BT233" s="41">
        <v>46356.039797324338</v>
      </c>
      <c r="BU233" s="41">
        <v>50969.524333205976</v>
      </c>
      <c r="BV233" s="41">
        <v>57400.48413354074</v>
      </c>
      <c r="BW233" s="41">
        <v>64862.628517978272</v>
      </c>
      <c r="BX233" s="41">
        <v>70140.272436941843</v>
      </c>
      <c r="BY233" s="41">
        <v>75928.176263771224</v>
      </c>
      <c r="BZ233" s="41">
        <v>77134.340609488936</v>
      </c>
      <c r="CA233" s="41">
        <v>85439.041687832345</v>
      </c>
      <c r="CB233" s="41">
        <v>89089.797353702685</v>
      </c>
      <c r="CC233" s="41">
        <v>106212.15052444139</v>
      </c>
      <c r="CD233" s="41">
        <v>116412.79561144586</v>
      </c>
      <c r="CE233" s="41">
        <v>127028.29749415201</v>
      </c>
      <c r="CF233" s="41">
        <v>139303.47929976301</v>
      </c>
      <c r="CG233" s="41">
        <v>165478.8702269294</v>
      </c>
      <c r="CH233" s="41">
        <v>173807.99192171395</v>
      </c>
      <c r="CI233" s="41">
        <v>164974.84759390354</v>
      </c>
      <c r="CJ233" s="41">
        <v>177803.76945917317</v>
      </c>
      <c r="CK233" s="41">
        <v>195006.71623716346</v>
      </c>
      <c r="CL233" s="41">
        <v>221625.7078113356</v>
      </c>
      <c r="CM233" s="41">
        <v>249269.00596607727</v>
      </c>
      <c r="CN233" s="41">
        <v>268471.38912498701</v>
      </c>
      <c r="CO233" s="41">
        <v>253975.01422414411</v>
      </c>
      <c r="CP233" s="41">
        <v>242963.30228590762</v>
      </c>
      <c r="CQ233" s="41">
        <v>243216.73103079869</v>
      </c>
      <c r="CR233" s="41">
        <v>258897.99352440541</v>
      </c>
      <c r="CS233" s="41">
        <v>267854.09763998567</v>
      </c>
      <c r="CT233" s="41">
        <v>244710.53412111016</v>
      </c>
      <c r="CU233" s="41">
        <v>264543.97116692242</v>
      </c>
      <c r="CV233" s="211">
        <v>284403.14826416044</v>
      </c>
      <c r="CW233" s="41">
        <v>285728.81526109471</v>
      </c>
      <c r="CX233" s="41">
        <v>306184.87466023915</v>
      </c>
      <c r="CY233" s="41">
        <v>312018.47610989807</v>
      </c>
      <c r="CZ233" s="41">
        <v>322193.85913388117</v>
      </c>
      <c r="DA233" s="41">
        <v>336129.01147792308</v>
      </c>
      <c r="DB233" s="41">
        <v>351089.56762089138</v>
      </c>
      <c r="DC233" s="41">
        <v>366812.33447297011</v>
      </c>
      <c r="DD233" s="41">
        <v>384223.2859811199</v>
      </c>
      <c r="DE233" s="41">
        <v>404353.03271241748</v>
      </c>
      <c r="DF233" s="41">
        <v>419035.29722747707</v>
      </c>
    </row>
    <row r="234" spans="1:110" s="17" customFormat="1" ht="12" outlineLevel="1">
      <c r="A234" s="1" t="s">
        <v>336</v>
      </c>
      <c r="B234" s="17" t="s">
        <v>168</v>
      </c>
      <c r="C234" s="62">
        <v>139410</v>
      </c>
      <c r="D234" s="62">
        <v>141426</v>
      </c>
      <c r="E234" s="62">
        <v>144018</v>
      </c>
      <c r="F234" s="62">
        <v>153107</v>
      </c>
      <c r="G234" s="62">
        <v>159359</v>
      </c>
      <c r="H234" s="62">
        <v>190011</v>
      </c>
      <c r="I234" s="62">
        <v>212412</v>
      </c>
      <c r="J234" s="62">
        <v>228762</v>
      </c>
      <c r="K234" s="62">
        <v>241445</v>
      </c>
      <c r="L234" s="62">
        <v>254036</v>
      </c>
      <c r="M234" s="62">
        <v>263523</v>
      </c>
      <c r="N234" s="62">
        <v>278710</v>
      </c>
      <c r="O234" s="62">
        <v>294328</v>
      </c>
      <c r="P234" s="62">
        <v>322824</v>
      </c>
      <c r="Q234" s="62">
        <v>340431</v>
      </c>
      <c r="R234" s="62">
        <v>361526</v>
      </c>
      <c r="S234" s="62">
        <v>350102</v>
      </c>
      <c r="T234" s="62">
        <v>348519</v>
      </c>
      <c r="U234" s="62">
        <v>364473</v>
      </c>
      <c r="V234" s="62">
        <v>381491</v>
      </c>
      <c r="W234" s="62">
        <v>393256</v>
      </c>
      <c r="X234" s="62">
        <v>408246</v>
      </c>
      <c r="Y234" s="62">
        <v>427679</v>
      </c>
      <c r="Z234" s="62">
        <v>449502</v>
      </c>
      <c r="AA234" s="62">
        <v>475476</v>
      </c>
      <c r="AB234" s="62">
        <v>502604</v>
      </c>
      <c r="AC234" s="62">
        <v>527414</v>
      </c>
      <c r="AD234" s="62">
        <v>545866</v>
      </c>
      <c r="AE234" s="62">
        <v>567609</v>
      </c>
      <c r="AF234" s="62">
        <v>550932</v>
      </c>
      <c r="AG234" s="62">
        <v>551065</v>
      </c>
      <c r="AH234" s="62">
        <v>555781</v>
      </c>
      <c r="AI234" s="62">
        <v>558356</v>
      </c>
      <c r="AJ234" s="62">
        <v>561445</v>
      </c>
      <c r="AK234" s="62">
        <v>572505</v>
      </c>
      <c r="AL234" s="62">
        <v>585911</v>
      </c>
      <c r="AM234" s="62">
        <v>589929</v>
      </c>
      <c r="AN234" s="62">
        <v>604639</v>
      </c>
      <c r="AO234" s="62">
        <v>607394</v>
      </c>
      <c r="AP234" s="62">
        <v>586454</v>
      </c>
      <c r="AQ234" s="62">
        <v>587317</v>
      </c>
      <c r="AR234" s="62">
        <v>607087</v>
      </c>
      <c r="AS234" s="62">
        <v>619490</v>
      </c>
      <c r="AT234" s="62">
        <v>649253</v>
      </c>
      <c r="AU234" s="62">
        <v>650169</v>
      </c>
      <c r="AV234" s="220">
        <v>663982</v>
      </c>
      <c r="AW234" s="62">
        <v>700531.7085461932</v>
      </c>
      <c r="AX234" s="62">
        <v>763667.92996372411</v>
      </c>
      <c r="AY234" s="62">
        <v>775977.85880471743</v>
      </c>
      <c r="AZ234" s="62">
        <v>786408.35198735585</v>
      </c>
      <c r="BA234" s="62">
        <v>796013.62719740183</v>
      </c>
      <c r="BB234" s="62">
        <v>807137.36937893648</v>
      </c>
      <c r="BC234" s="62">
        <v>820572.57413578336</v>
      </c>
      <c r="BD234" s="62">
        <v>835291.98833890783</v>
      </c>
      <c r="BE234" s="62">
        <v>850328.67960196419</v>
      </c>
      <c r="BF234" s="62">
        <v>865689.67273118149</v>
      </c>
      <c r="BG234" s="62">
        <v>881382.17748187052</v>
      </c>
      <c r="BH234" s="62">
        <v>897413.59339353791</v>
      </c>
      <c r="BI234" s="62">
        <v>913791.51478916779</v>
      </c>
      <c r="BJ234" s="62">
        <v>931261.30955564859</v>
      </c>
      <c r="BK234" s="62">
        <v>950605.66808757128</v>
      </c>
      <c r="BL234" s="62">
        <v>971146.32421867759</v>
      </c>
      <c r="BM234" s="62">
        <v>992170.10150552611</v>
      </c>
      <c r="BN234" s="62">
        <v>1007818.3567942756</v>
      </c>
      <c r="BO234" s="62">
        <v>1017896.5403622184</v>
      </c>
      <c r="BP234" s="62"/>
      <c r="BQ234" s="62">
        <v>58168.6</v>
      </c>
      <c r="BR234" s="62">
        <v>58752</v>
      </c>
      <c r="BS234" s="62">
        <v>59724</v>
      </c>
      <c r="BT234" s="62">
        <v>66230</v>
      </c>
      <c r="BU234" s="62">
        <v>72848</v>
      </c>
      <c r="BV234" s="62">
        <v>81594</v>
      </c>
      <c r="BW234" s="62">
        <v>91396</v>
      </c>
      <c r="BX234" s="62">
        <v>101457</v>
      </c>
      <c r="BY234" s="62">
        <v>115116</v>
      </c>
      <c r="BZ234" s="62">
        <v>122373</v>
      </c>
      <c r="CA234" s="62">
        <v>142718.44931506852</v>
      </c>
      <c r="CB234" s="62">
        <v>156224.43561643836</v>
      </c>
      <c r="CC234" s="62">
        <v>201211.5</v>
      </c>
      <c r="CD234" s="62">
        <v>235086.12602739726</v>
      </c>
      <c r="CE234" s="62">
        <v>259319</v>
      </c>
      <c r="CF234" s="62">
        <v>286540</v>
      </c>
      <c r="CG234" s="62">
        <v>331629</v>
      </c>
      <c r="CH234" s="62">
        <v>355798</v>
      </c>
      <c r="CI234" s="62">
        <v>358607</v>
      </c>
      <c r="CJ234" s="62">
        <v>387389</v>
      </c>
      <c r="CK234" s="62">
        <v>417962</v>
      </c>
      <c r="CL234" s="62">
        <v>461679</v>
      </c>
      <c r="CM234" s="62">
        <v>515042</v>
      </c>
      <c r="CN234" s="62">
        <v>555633</v>
      </c>
      <c r="CO234" s="62">
        <v>551008</v>
      </c>
      <c r="CP234" s="62">
        <v>557072</v>
      </c>
      <c r="CQ234" s="62">
        <v>567013</v>
      </c>
      <c r="CR234" s="62">
        <v>587924</v>
      </c>
      <c r="CS234" s="62">
        <v>606017</v>
      </c>
      <c r="CT234" s="62">
        <v>586885</v>
      </c>
      <c r="CU234" s="62">
        <v>613305.49041095888</v>
      </c>
      <c r="CV234" s="220">
        <v>649712.25479452056</v>
      </c>
      <c r="CW234" s="62">
        <v>682256.85427309666</v>
      </c>
      <c r="CX234" s="62">
        <v>769839.75730044127</v>
      </c>
      <c r="CY234" s="62">
        <v>791224.14750362549</v>
      </c>
      <c r="CZ234" s="62">
        <v>813873.37614743772</v>
      </c>
      <c r="DA234" s="62">
        <v>842810.33397043601</v>
      </c>
      <c r="DB234" s="62">
        <v>873557.42168837623</v>
      </c>
      <c r="DC234" s="62">
        <v>905624.98960011394</v>
      </c>
      <c r="DD234" s="62">
        <v>940959.98794288654</v>
      </c>
      <c r="DE234" s="62">
        <v>981658.21286210173</v>
      </c>
      <c r="DF234" s="62">
        <v>1012871.254309162</v>
      </c>
    </row>
    <row r="235" spans="1:110" ht="12" outlineLevel="1">
      <c r="A235" s="1" t="s">
        <v>337</v>
      </c>
      <c r="B235" s="15" t="s">
        <v>345</v>
      </c>
      <c r="C235" s="40">
        <v>0</v>
      </c>
      <c r="D235" s="40">
        <v>0</v>
      </c>
      <c r="E235" s="40">
        <v>0</v>
      </c>
      <c r="F235" s="40">
        <v>0</v>
      </c>
      <c r="G235" s="40">
        <v>0</v>
      </c>
      <c r="H235" s="40">
        <v>0</v>
      </c>
      <c r="I235" s="40">
        <v>0</v>
      </c>
      <c r="J235" s="40">
        <v>0</v>
      </c>
      <c r="K235" s="40">
        <v>0</v>
      </c>
      <c r="L235" s="40">
        <v>0</v>
      </c>
      <c r="M235" s="40">
        <v>0</v>
      </c>
      <c r="N235" s="40">
        <v>0</v>
      </c>
      <c r="O235" s="40">
        <v>0</v>
      </c>
      <c r="P235" s="40">
        <v>0</v>
      </c>
      <c r="Q235" s="40">
        <v>0</v>
      </c>
      <c r="R235" s="40">
        <v>0</v>
      </c>
      <c r="S235" s="40">
        <v>0</v>
      </c>
      <c r="T235" s="40">
        <v>0</v>
      </c>
      <c r="U235" s="40">
        <v>0</v>
      </c>
      <c r="V235" s="40">
        <v>0</v>
      </c>
      <c r="W235" s="40">
        <v>0</v>
      </c>
      <c r="X235" s="40">
        <v>0</v>
      </c>
      <c r="Y235" s="40">
        <v>0</v>
      </c>
      <c r="Z235" s="141">
        <v>0</v>
      </c>
      <c r="AA235" s="141">
        <v>0</v>
      </c>
      <c r="AB235" s="141">
        <v>0</v>
      </c>
      <c r="AC235" s="141">
        <v>0</v>
      </c>
      <c r="AD235" s="141">
        <v>0</v>
      </c>
      <c r="AE235" s="141">
        <v>0</v>
      </c>
      <c r="AF235" s="141">
        <v>0</v>
      </c>
      <c r="AG235" s="141">
        <v>0</v>
      </c>
      <c r="AH235" s="141">
        <v>0</v>
      </c>
      <c r="AI235" s="141">
        <v>0</v>
      </c>
      <c r="AJ235" s="141">
        <v>0</v>
      </c>
      <c r="AK235" s="141">
        <v>0</v>
      </c>
      <c r="AL235" s="141">
        <v>0</v>
      </c>
      <c r="AM235" s="141">
        <v>0</v>
      </c>
      <c r="AN235" s="141">
        <v>0</v>
      </c>
      <c r="AO235" s="141">
        <v>0</v>
      </c>
      <c r="AP235" s="141">
        <v>0</v>
      </c>
      <c r="AQ235" s="141">
        <v>0</v>
      </c>
      <c r="AR235" s="141">
        <v>0</v>
      </c>
      <c r="AS235" s="141">
        <v>0</v>
      </c>
      <c r="AT235" s="141">
        <v>0</v>
      </c>
      <c r="AU235" s="141">
        <v>0</v>
      </c>
      <c r="AV235" s="226">
        <v>0</v>
      </c>
      <c r="AW235" s="41">
        <v>0</v>
      </c>
      <c r="AX235" s="41">
        <v>0</v>
      </c>
      <c r="AY235" s="41">
        <v>0</v>
      </c>
      <c r="AZ235" s="41">
        <v>0</v>
      </c>
      <c r="BA235" s="41">
        <v>0</v>
      </c>
      <c r="BB235" s="41">
        <v>0</v>
      </c>
      <c r="BC235" s="41">
        <v>0</v>
      </c>
      <c r="BD235" s="41">
        <v>0</v>
      </c>
      <c r="BE235" s="41">
        <v>0</v>
      </c>
      <c r="BF235" s="41">
        <v>0</v>
      </c>
      <c r="BG235" s="41">
        <v>0</v>
      </c>
      <c r="BH235" s="41">
        <v>0</v>
      </c>
      <c r="BI235" s="41">
        <v>0</v>
      </c>
      <c r="BJ235" s="41">
        <v>0</v>
      </c>
      <c r="BK235" s="41">
        <v>0</v>
      </c>
      <c r="BL235" s="41">
        <v>0</v>
      </c>
      <c r="BM235" s="41">
        <v>0</v>
      </c>
      <c r="BN235" s="41">
        <v>0</v>
      </c>
      <c r="BO235" s="41">
        <v>0</v>
      </c>
      <c r="BP235" s="41"/>
      <c r="BQ235" s="40">
        <v>0</v>
      </c>
      <c r="BR235" s="40">
        <v>0</v>
      </c>
      <c r="BS235" s="40">
        <v>0</v>
      </c>
      <c r="BT235" s="40">
        <v>0</v>
      </c>
      <c r="BU235" s="40">
        <v>0</v>
      </c>
      <c r="BV235" s="40">
        <v>0</v>
      </c>
      <c r="BW235" s="40">
        <v>0</v>
      </c>
      <c r="BX235" s="40">
        <v>0</v>
      </c>
      <c r="BY235" s="40">
        <v>0</v>
      </c>
      <c r="BZ235" s="40">
        <v>0</v>
      </c>
      <c r="CA235" s="41">
        <v>0</v>
      </c>
      <c r="CB235" s="41">
        <v>0</v>
      </c>
      <c r="CC235" s="41">
        <v>0</v>
      </c>
      <c r="CD235" s="41">
        <v>0</v>
      </c>
      <c r="CE235" s="141">
        <v>0</v>
      </c>
      <c r="CF235" s="141">
        <v>0</v>
      </c>
      <c r="CG235" s="141">
        <v>0</v>
      </c>
      <c r="CH235" s="141">
        <v>0</v>
      </c>
      <c r="CI235" s="141">
        <v>0</v>
      </c>
      <c r="CJ235" s="141">
        <v>0</v>
      </c>
      <c r="CK235" s="141">
        <v>0</v>
      </c>
      <c r="CL235" s="141">
        <v>0</v>
      </c>
      <c r="CM235" s="141">
        <v>0</v>
      </c>
      <c r="CN235" s="141">
        <v>0</v>
      </c>
      <c r="CO235" s="141">
        <v>0</v>
      </c>
      <c r="CP235" s="141">
        <v>0</v>
      </c>
      <c r="CQ235" s="141">
        <v>0</v>
      </c>
      <c r="CR235" s="141">
        <v>0</v>
      </c>
      <c r="CS235" s="141">
        <v>0</v>
      </c>
      <c r="CT235" s="141">
        <v>0</v>
      </c>
      <c r="CU235" s="141">
        <v>0</v>
      </c>
      <c r="CV235" s="226">
        <v>0</v>
      </c>
      <c r="CW235" s="41">
        <v>0</v>
      </c>
      <c r="CX235" s="41">
        <v>0</v>
      </c>
      <c r="CY235" s="41">
        <v>0</v>
      </c>
      <c r="CZ235" s="41">
        <v>0</v>
      </c>
      <c r="DA235" s="41">
        <v>0</v>
      </c>
      <c r="DB235" s="41">
        <v>0</v>
      </c>
      <c r="DC235" s="41">
        <v>0</v>
      </c>
      <c r="DD235" s="41">
        <v>0</v>
      </c>
      <c r="DE235" s="41">
        <v>0</v>
      </c>
      <c r="DF235" s="41">
        <v>0</v>
      </c>
    </row>
    <row r="236" spans="1:110" ht="12" outlineLevel="1">
      <c r="A236" s="1" t="s">
        <v>338</v>
      </c>
      <c r="B236" s="15" t="s">
        <v>589</v>
      </c>
      <c r="C236" s="40">
        <v>0</v>
      </c>
      <c r="D236" s="40">
        <v>0</v>
      </c>
      <c r="E236" s="40">
        <v>0</v>
      </c>
      <c r="F236" s="40">
        <v>0</v>
      </c>
      <c r="G236" s="40">
        <v>0</v>
      </c>
      <c r="H236" s="40">
        <v>0</v>
      </c>
      <c r="I236" s="40">
        <v>0</v>
      </c>
      <c r="J236" s="40">
        <v>0</v>
      </c>
      <c r="K236" s="40">
        <v>0</v>
      </c>
      <c r="L236" s="40">
        <v>0</v>
      </c>
      <c r="M236" s="40">
        <v>0</v>
      </c>
      <c r="N236" s="40">
        <v>0</v>
      </c>
      <c r="O236" s="40">
        <v>0</v>
      </c>
      <c r="P236" s="40">
        <v>0</v>
      </c>
      <c r="Q236" s="40">
        <v>0</v>
      </c>
      <c r="R236" s="40">
        <v>0</v>
      </c>
      <c r="S236" s="40">
        <v>0</v>
      </c>
      <c r="T236" s="40">
        <v>0</v>
      </c>
      <c r="U236" s="40">
        <v>0</v>
      </c>
      <c r="V236" s="40">
        <v>0</v>
      </c>
      <c r="W236" s="40">
        <v>0</v>
      </c>
      <c r="X236" s="40">
        <v>0</v>
      </c>
      <c r="Y236" s="40">
        <v>0</v>
      </c>
      <c r="Z236" s="141">
        <v>0</v>
      </c>
      <c r="AA236" s="141">
        <v>0</v>
      </c>
      <c r="AB236" s="141">
        <v>0</v>
      </c>
      <c r="AC236" s="141">
        <v>0</v>
      </c>
      <c r="AD236" s="141">
        <v>0</v>
      </c>
      <c r="AE236" s="141">
        <v>0</v>
      </c>
      <c r="AF236" s="141">
        <v>0</v>
      </c>
      <c r="AG236" s="141">
        <v>0</v>
      </c>
      <c r="AH236" s="141">
        <v>0</v>
      </c>
      <c r="AI236" s="141">
        <v>0</v>
      </c>
      <c r="AJ236" s="141">
        <v>0</v>
      </c>
      <c r="AK236" s="141">
        <v>0</v>
      </c>
      <c r="AL236" s="141">
        <v>0</v>
      </c>
      <c r="AM236" s="141">
        <v>0</v>
      </c>
      <c r="AN236" s="141">
        <v>0</v>
      </c>
      <c r="AO236" s="141">
        <v>0</v>
      </c>
      <c r="AP236" s="141">
        <v>0</v>
      </c>
      <c r="AQ236" s="141">
        <v>0</v>
      </c>
      <c r="AR236" s="141">
        <v>0</v>
      </c>
      <c r="AS236" s="141">
        <v>0</v>
      </c>
      <c r="AT236" s="141">
        <v>0</v>
      </c>
      <c r="AU236" s="141">
        <v>0</v>
      </c>
      <c r="AV236" s="226">
        <v>0</v>
      </c>
      <c r="AW236" s="210">
        <v>0</v>
      </c>
      <c r="AX236" s="210">
        <v>0</v>
      </c>
      <c r="AY236" s="210">
        <v>0</v>
      </c>
      <c r="AZ236" s="210">
        <v>0</v>
      </c>
      <c r="BA236" s="210">
        <v>0</v>
      </c>
      <c r="BB236" s="210">
        <v>0</v>
      </c>
      <c r="BC236" s="210">
        <v>0</v>
      </c>
      <c r="BD236" s="210">
        <v>0</v>
      </c>
      <c r="BE236" s="210">
        <v>0</v>
      </c>
      <c r="BF236" s="210">
        <v>0</v>
      </c>
      <c r="BG236" s="210">
        <v>0</v>
      </c>
      <c r="BH236" s="210">
        <v>0</v>
      </c>
      <c r="BI236" s="210">
        <v>0</v>
      </c>
      <c r="BJ236" s="210">
        <v>0</v>
      </c>
      <c r="BK236" s="210">
        <v>0</v>
      </c>
      <c r="BL236" s="210">
        <v>0</v>
      </c>
      <c r="BM236" s="210">
        <v>0</v>
      </c>
      <c r="BN236" s="210">
        <v>0</v>
      </c>
      <c r="BO236" s="210">
        <v>0</v>
      </c>
      <c r="BP236" s="41"/>
      <c r="BQ236" s="40">
        <v>0</v>
      </c>
      <c r="BR236" s="40">
        <v>0</v>
      </c>
      <c r="BS236" s="40">
        <v>0</v>
      </c>
      <c r="BT236" s="40">
        <v>0</v>
      </c>
      <c r="BU236" s="40">
        <v>0</v>
      </c>
      <c r="BV236" s="40">
        <v>0</v>
      </c>
      <c r="BW236" s="40">
        <v>0</v>
      </c>
      <c r="BX236" s="40">
        <v>0</v>
      </c>
      <c r="BY236" s="40">
        <v>0</v>
      </c>
      <c r="BZ236" s="40">
        <v>0</v>
      </c>
      <c r="CA236" s="41">
        <v>0</v>
      </c>
      <c r="CB236" s="41">
        <v>0</v>
      </c>
      <c r="CC236" s="41">
        <v>0</v>
      </c>
      <c r="CD236" s="41">
        <v>0</v>
      </c>
      <c r="CE236" s="141">
        <v>0</v>
      </c>
      <c r="CF236" s="141">
        <v>0</v>
      </c>
      <c r="CG236" s="141">
        <v>0</v>
      </c>
      <c r="CH236" s="141">
        <v>0</v>
      </c>
      <c r="CI236" s="141">
        <v>0</v>
      </c>
      <c r="CJ236" s="141">
        <v>0</v>
      </c>
      <c r="CK236" s="141">
        <v>0</v>
      </c>
      <c r="CL236" s="141">
        <v>0</v>
      </c>
      <c r="CM236" s="141">
        <v>0</v>
      </c>
      <c r="CN236" s="141">
        <v>0</v>
      </c>
      <c r="CO236" s="141">
        <v>0</v>
      </c>
      <c r="CP236" s="141">
        <v>0</v>
      </c>
      <c r="CQ236" s="141">
        <v>0</v>
      </c>
      <c r="CR236" s="141">
        <v>0</v>
      </c>
      <c r="CS236" s="141">
        <v>0</v>
      </c>
      <c r="CT236" s="141">
        <v>0</v>
      </c>
      <c r="CU236" s="141">
        <v>0</v>
      </c>
      <c r="CV236" s="226">
        <v>0</v>
      </c>
      <c r="CW236" s="41">
        <v>0</v>
      </c>
      <c r="CX236" s="41">
        <v>0</v>
      </c>
      <c r="CY236" s="41">
        <v>0</v>
      </c>
      <c r="CZ236" s="41">
        <v>0</v>
      </c>
      <c r="DA236" s="41">
        <v>0</v>
      </c>
      <c r="DB236" s="41">
        <v>0</v>
      </c>
      <c r="DC236" s="41">
        <v>0</v>
      </c>
      <c r="DD236" s="41">
        <v>0</v>
      </c>
      <c r="DE236" s="41">
        <v>0</v>
      </c>
      <c r="DF236" s="41">
        <v>0</v>
      </c>
    </row>
    <row r="237" spans="1:110" s="17" customFormat="1" ht="12" outlineLevel="1">
      <c r="A237" s="1" t="s">
        <v>339</v>
      </c>
      <c r="B237" s="17" t="s">
        <v>590</v>
      </c>
      <c r="C237" s="62">
        <v>139410</v>
      </c>
      <c r="D237" s="62">
        <v>141426</v>
      </c>
      <c r="E237" s="62">
        <v>144018</v>
      </c>
      <c r="F237" s="62">
        <v>153107</v>
      </c>
      <c r="G237" s="62">
        <v>159359</v>
      </c>
      <c r="H237" s="62">
        <v>190011</v>
      </c>
      <c r="I237" s="62">
        <v>212412</v>
      </c>
      <c r="J237" s="62">
        <v>228762</v>
      </c>
      <c r="K237" s="62">
        <v>241445</v>
      </c>
      <c r="L237" s="62">
        <v>254036</v>
      </c>
      <c r="M237" s="62">
        <v>263523</v>
      </c>
      <c r="N237" s="62">
        <v>278710</v>
      </c>
      <c r="O237" s="62">
        <v>294328</v>
      </c>
      <c r="P237" s="62">
        <v>322824</v>
      </c>
      <c r="Q237" s="62">
        <v>340431</v>
      </c>
      <c r="R237" s="62">
        <v>361526</v>
      </c>
      <c r="S237" s="62">
        <v>350102</v>
      </c>
      <c r="T237" s="62">
        <v>348519</v>
      </c>
      <c r="U237" s="62">
        <v>364473</v>
      </c>
      <c r="V237" s="62">
        <v>381491</v>
      </c>
      <c r="W237" s="62">
        <v>393256</v>
      </c>
      <c r="X237" s="62">
        <v>408246</v>
      </c>
      <c r="Y237" s="62">
        <v>427679</v>
      </c>
      <c r="Z237" s="62">
        <v>449502</v>
      </c>
      <c r="AA237" s="62">
        <v>475476</v>
      </c>
      <c r="AB237" s="62">
        <v>502604</v>
      </c>
      <c r="AC237" s="62">
        <v>527414</v>
      </c>
      <c r="AD237" s="62">
        <v>545866</v>
      </c>
      <c r="AE237" s="62">
        <v>567609</v>
      </c>
      <c r="AF237" s="62">
        <v>550932</v>
      </c>
      <c r="AG237" s="62">
        <v>551065</v>
      </c>
      <c r="AH237" s="62">
        <v>555781</v>
      </c>
      <c r="AI237" s="62">
        <v>558356</v>
      </c>
      <c r="AJ237" s="62">
        <v>561445</v>
      </c>
      <c r="AK237" s="62">
        <v>572505</v>
      </c>
      <c r="AL237" s="62">
        <v>585911</v>
      </c>
      <c r="AM237" s="62">
        <v>589929</v>
      </c>
      <c r="AN237" s="62">
        <v>604639</v>
      </c>
      <c r="AO237" s="62">
        <v>607394</v>
      </c>
      <c r="AP237" s="62">
        <v>586454</v>
      </c>
      <c r="AQ237" s="62">
        <v>587317</v>
      </c>
      <c r="AR237" s="62">
        <v>607087</v>
      </c>
      <c r="AS237" s="62">
        <v>619490</v>
      </c>
      <c r="AT237" s="62">
        <v>649253</v>
      </c>
      <c r="AU237" s="62">
        <v>650169</v>
      </c>
      <c r="AV237" s="220">
        <v>663982</v>
      </c>
      <c r="AW237" s="62">
        <v>700531.7085461932</v>
      </c>
      <c r="AX237" s="62">
        <v>763667.92996372411</v>
      </c>
      <c r="AY237" s="62">
        <v>775977.85880471743</v>
      </c>
      <c r="AZ237" s="62">
        <v>786408.35198735585</v>
      </c>
      <c r="BA237" s="62">
        <v>796013.62719740183</v>
      </c>
      <c r="BB237" s="62">
        <v>807137.36937893648</v>
      </c>
      <c r="BC237" s="62">
        <v>820572.57413578336</v>
      </c>
      <c r="BD237" s="62">
        <v>835291.98833890783</v>
      </c>
      <c r="BE237" s="62">
        <v>850328.67960196419</v>
      </c>
      <c r="BF237" s="62">
        <v>865689.67273118149</v>
      </c>
      <c r="BG237" s="62">
        <v>881382.17748187052</v>
      </c>
      <c r="BH237" s="62">
        <v>897413.59339353791</v>
      </c>
      <c r="BI237" s="62">
        <v>913791.51478916779</v>
      </c>
      <c r="BJ237" s="62">
        <v>931261.30955564859</v>
      </c>
      <c r="BK237" s="62">
        <v>950605.66808757128</v>
      </c>
      <c r="BL237" s="62">
        <v>971146.32421867759</v>
      </c>
      <c r="BM237" s="62">
        <v>992170.10150552611</v>
      </c>
      <c r="BN237" s="62">
        <v>1007818.3567942756</v>
      </c>
      <c r="BO237" s="62">
        <v>1017896.5403622184</v>
      </c>
      <c r="BP237" s="62"/>
      <c r="BQ237" s="62">
        <v>58168.6</v>
      </c>
      <c r="BR237" s="62">
        <v>58752</v>
      </c>
      <c r="BS237" s="62">
        <v>59724</v>
      </c>
      <c r="BT237" s="62">
        <v>66230</v>
      </c>
      <c r="BU237" s="62">
        <v>72848</v>
      </c>
      <c r="BV237" s="62">
        <v>81594</v>
      </c>
      <c r="BW237" s="62">
        <v>91396</v>
      </c>
      <c r="BX237" s="62">
        <v>101457</v>
      </c>
      <c r="BY237" s="62">
        <v>115116</v>
      </c>
      <c r="BZ237" s="62">
        <v>122373</v>
      </c>
      <c r="CA237" s="62">
        <v>142718.44931506852</v>
      </c>
      <c r="CB237" s="62">
        <v>156224.43561643836</v>
      </c>
      <c r="CC237" s="62">
        <v>201211.5</v>
      </c>
      <c r="CD237" s="62">
        <v>235086.12602739726</v>
      </c>
      <c r="CE237" s="62">
        <v>259319</v>
      </c>
      <c r="CF237" s="62">
        <v>286540</v>
      </c>
      <c r="CG237" s="62">
        <v>331629</v>
      </c>
      <c r="CH237" s="62">
        <v>355798</v>
      </c>
      <c r="CI237" s="62">
        <v>358607</v>
      </c>
      <c r="CJ237" s="62">
        <v>387389</v>
      </c>
      <c r="CK237" s="62">
        <v>417962</v>
      </c>
      <c r="CL237" s="62">
        <v>461679</v>
      </c>
      <c r="CM237" s="62">
        <v>515042</v>
      </c>
      <c r="CN237" s="62">
        <v>555633</v>
      </c>
      <c r="CO237" s="62">
        <v>551008</v>
      </c>
      <c r="CP237" s="62">
        <v>557072</v>
      </c>
      <c r="CQ237" s="62">
        <v>567013</v>
      </c>
      <c r="CR237" s="62">
        <v>587924</v>
      </c>
      <c r="CS237" s="62">
        <v>606017</v>
      </c>
      <c r="CT237" s="62">
        <v>586885</v>
      </c>
      <c r="CU237" s="62">
        <v>613305.49041095888</v>
      </c>
      <c r="CV237" s="220">
        <v>649712.25479452056</v>
      </c>
      <c r="CW237" s="62">
        <v>682256.85427309666</v>
      </c>
      <c r="CX237" s="62">
        <v>769839.75730044127</v>
      </c>
      <c r="CY237" s="62">
        <v>791224.14750362549</v>
      </c>
      <c r="CZ237" s="62">
        <v>813873.37614743772</v>
      </c>
      <c r="DA237" s="62">
        <v>842810.33397043601</v>
      </c>
      <c r="DB237" s="62">
        <v>873557.42168837623</v>
      </c>
      <c r="DC237" s="62">
        <v>905624.98960011394</v>
      </c>
      <c r="DD237" s="62">
        <v>940959.98794288654</v>
      </c>
      <c r="DE237" s="62">
        <v>981658.21286210173</v>
      </c>
      <c r="DF237" s="62">
        <v>1012871.254309162</v>
      </c>
    </row>
    <row r="238" spans="1:110" ht="12" outlineLevel="1">
      <c r="A238" s="1" t="s">
        <v>922</v>
      </c>
      <c r="B238" s="15" t="s">
        <v>389</v>
      </c>
      <c r="C238" s="41">
        <v>2092</v>
      </c>
      <c r="D238" s="41">
        <v>2522</v>
      </c>
      <c r="E238" s="41">
        <v>3862</v>
      </c>
      <c r="F238" s="41">
        <v>6045</v>
      </c>
      <c r="G238" s="41">
        <v>5782</v>
      </c>
      <c r="H238" s="41">
        <v>9075</v>
      </c>
      <c r="I238" s="41">
        <v>12808</v>
      </c>
      <c r="J238" s="41">
        <v>16144</v>
      </c>
      <c r="K238" s="41">
        <v>19969</v>
      </c>
      <c r="L238" s="41">
        <v>40328</v>
      </c>
      <c r="M238" s="41">
        <v>42439</v>
      </c>
      <c r="N238" s="41">
        <v>44957</v>
      </c>
      <c r="O238" s="41">
        <v>48677</v>
      </c>
      <c r="P238" s="41">
        <v>55990</v>
      </c>
      <c r="Q238" s="41">
        <v>62305</v>
      </c>
      <c r="R238" s="41">
        <v>73577</v>
      </c>
      <c r="S238" s="41">
        <v>69765</v>
      </c>
      <c r="T238" s="41">
        <v>80117</v>
      </c>
      <c r="U238" s="41">
        <v>85388</v>
      </c>
      <c r="V238" s="41">
        <v>76538</v>
      </c>
      <c r="W238" s="41">
        <v>83558</v>
      </c>
      <c r="X238" s="41">
        <v>100516</v>
      </c>
      <c r="Y238" s="41">
        <v>110482</v>
      </c>
      <c r="Z238" s="41">
        <v>106762</v>
      </c>
      <c r="AA238" s="41">
        <v>120522</v>
      </c>
      <c r="AB238" s="41">
        <v>129796</v>
      </c>
      <c r="AC238" s="41">
        <v>134101</v>
      </c>
      <c r="AD238" s="41">
        <v>156337</v>
      </c>
      <c r="AE238" s="41">
        <v>164130</v>
      </c>
      <c r="AF238" s="41">
        <v>180463</v>
      </c>
      <c r="AG238" s="41">
        <v>179210</v>
      </c>
      <c r="AH238" s="41">
        <v>188125</v>
      </c>
      <c r="AI238" s="41">
        <v>193717</v>
      </c>
      <c r="AJ238" s="41">
        <v>203741</v>
      </c>
      <c r="AK238" s="41">
        <v>211996</v>
      </c>
      <c r="AL238" s="41">
        <v>225617</v>
      </c>
      <c r="AM238" s="41">
        <v>224903</v>
      </c>
      <c r="AN238" s="41">
        <v>252012</v>
      </c>
      <c r="AO238" s="41">
        <v>261716</v>
      </c>
      <c r="AP238" s="41">
        <v>271070</v>
      </c>
      <c r="AQ238" s="41">
        <v>282508</v>
      </c>
      <c r="AR238" s="41">
        <v>292591</v>
      </c>
      <c r="AS238" s="41">
        <v>300850</v>
      </c>
      <c r="AT238" s="41">
        <v>323719</v>
      </c>
      <c r="AU238" s="41">
        <v>327006</v>
      </c>
      <c r="AV238" s="211">
        <v>351639</v>
      </c>
      <c r="AW238" s="210">
        <v>327624.92298907693</v>
      </c>
      <c r="AX238" s="210">
        <v>340152.49387186713</v>
      </c>
      <c r="AY238" s="41">
        <v>345635.57471153</v>
      </c>
      <c r="AZ238" s="41">
        <v>350281.51849046611</v>
      </c>
      <c r="BA238" s="41">
        <v>354559.89419386635</v>
      </c>
      <c r="BB238" s="41">
        <v>359514.62451024406</v>
      </c>
      <c r="BC238" s="41">
        <v>365498.92504770111</v>
      </c>
      <c r="BD238" s="41">
        <v>372055.23735711497</v>
      </c>
      <c r="BE238" s="41">
        <v>378752.87101701333</v>
      </c>
      <c r="BF238" s="41">
        <v>385594.9550122128</v>
      </c>
      <c r="BG238" s="41">
        <v>392584.70070743473</v>
      </c>
      <c r="BH238" s="41">
        <v>399725.40400095895</v>
      </c>
      <c r="BI238" s="41">
        <v>407020.44755140052</v>
      </c>
      <c r="BJ238" s="41">
        <v>414801.83265883906</v>
      </c>
      <c r="BK238" s="41">
        <v>423418.18479149655</v>
      </c>
      <c r="BL238" s="41">
        <v>432567.39105591591</v>
      </c>
      <c r="BM238" s="41">
        <v>441931.78884471394</v>
      </c>
      <c r="BN238" s="41">
        <v>448901.82497215044</v>
      </c>
      <c r="BO238" s="41">
        <v>453390.843221872</v>
      </c>
      <c r="BP238" s="41"/>
      <c r="BQ238" s="41">
        <v>23443.200000000004</v>
      </c>
      <c r="BR238" s="41">
        <v>23843</v>
      </c>
      <c r="BS238" s="41">
        <v>23733</v>
      </c>
      <c r="BT238" s="41">
        <v>24682</v>
      </c>
      <c r="BU238" s="41">
        <v>26883</v>
      </c>
      <c r="BV238" s="41">
        <v>31648</v>
      </c>
      <c r="BW238" s="41">
        <v>28332</v>
      </c>
      <c r="BX238" s="41">
        <v>18734</v>
      </c>
      <c r="BY238" s="41">
        <v>18042</v>
      </c>
      <c r="BZ238" s="41">
        <v>16928</v>
      </c>
      <c r="CA238" s="41">
        <v>3190.1643835616442</v>
      </c>
      <c r="CB238" s="41">
        <v>5913.860273972603</v>
      </c>
      <c r="CC238" s="41">
        <v>10941.5</v>
      </c>
      <c r="CD238" s="41">
        <v>18051.260273972606</v>
      </c>
      <c r="CE238" s="41">
        <v>41387</v>
      </c>
      <c r="CF238" s="41">
        <v>46821</v>
      </c>
      <c r="CG238" s="41">
        <v>59146</v>
      </c>
      <c r="CH238" s="41">
        <v>71666</v>
      </c>
      <c r="CI238" s="41">
        <v>80670</v>
      </c>
      <c r="CJ238" s="41">
        <v>86913</v>
      </c>
      <c r="CK238" s="41">
        <v>105499</v>
      </c>
      <c r="CL238" s="41">
        <v>113660</v>
      </c>
      <c r="CM238" s="41">
        <v>131955</v>
      </c>
      <c r="CN238" s="41">
        <v>161379</v>
      </c>
      <c r="CO238" s="41">
        <v>179827</v>
      </c>
      <c r="CP238" s="41">
        <v>190928</v>
      </c>
      <c r="CQ238" s="41">
        <v>207871</v>
      </c>
      <c r="CR238" s="41">
        <v>225295</v>
      </c>
      <c r="CS238" s="41">
        <v>256865</v>
      </c>
      <c r="CT238" s="41">
        <v>276806</v>
      </c>
      <c r="CU238" s="41">
        <v>296731.81369863014</v>
      </c>
      <c r="CV238" s="211">
        <v>325367.00273972604</v>
      </c>
      <c r="CW238" s="41">
        <v>339631.96149453847</v>
      </c>
      <c r="CX238" s="41">
        <v>342901.54536134191</v>
      </c>
      <c r="CY238" s="41">
        <v>352426.56713080104</v>
      </c>
      <c r="CZ238" s="41">
        <v>362514.97245094174</v>
      </c>
      <c r="DA238" s="41">
        <v>375404.05418706412</v>
      </c>
      <c r="DB238" s="41">
        <v>389099.40285392682</v>
      </c>
      <c r="DC238" s="41">
        <v>403382.91898652283</v>
      </c>
      <c r="DD238" s="41">
        <v>419121.81194726733</v>
      </c>
      <c r="DE238" s="41">
        <v>437249.58995031496</v>
      </c>
      <c r="DF238" s="41">
        <v>451152.4834370793</v>
      </c>
    </row>
    <row r="239" spans="1:110" s="17" customFormat="1" ht="12" outlineLevel="1">
      <c r="A239" s="1" t="s">
        <v>923</v>
      </c>
      <c r="B239" s="17" t="s">
        <v>472</v>
      </c>
      <c r="C239" s="61">
        <v>141502</v>
      </c>
      <c r="D239" s="61">
        <v>143948</v>
      </c>
      <c r="E239" s="61">
        <v>147880</v>
      </c>
      <c r="F239" s="61">
        <v>159152</v>
      </c>
      <c r="G239" s="61">
        <v>165141</v>
      </c>
      <c r="H239" s="61">
        <v>199086</v>
      </c>
      <c r="I239" s="61">
        <v>225220</v>
      </c>
      <c r="J239" s="61">
        <v>244906</v>
      </c>
      <c r="K239" s="61">
        <v>261414</v>
      </c>
      <c r="L239" s="61">
        <v>294364</v>
      </c>
      <c r="M239" s="61">
        <v>305962</v>
      </c>
      <c r="N239" s="61">
        <v>323667</v>
      </c>
      <c r="O239" s="61">
        <v>343005</v>
      </c>
      <c r="P239" s="61">
        <v>378814</v>
      </c>
      <c r="Q239" s="61">
        <v>402736</v>
      </c>
      <c r="R239" s="61">
        <v>435103</v>
      </c>
      <c r="S239" s="61">
        <v>419867</v>
      </c>
      <c r="T239" s="61">
        <v>428636</v>
      </c>
      <c r="U239" s="61">
        <v>449861</v>
      </c>
      <c r="V239" s="61">
        <v>458029</v>
      </c>
      <c r="W239" s="61">
        <v>476814</v>
      </c>
      <c r="X239" s="61">
        <v>508762</v>
      </c>
      <c r="Y239" s="61">
        <v>538161</v>
      </c>
      <c r="Z239" s="194">
        <v>556264</v>
      </c>
      <c r="AA239" s="194">
        <v>595998</v>
      </c>
      <c r="AB239" s="194">
        <v>632400</v>
      </c>
      <c r="AC239" s="194">
        <v>661515</v>
      </c>
      <c r="AD239" s="194">
        <v>702203</v>
      </c>
      <c r="AE239" s="194">
        <v>731739</v>
      </c>
      <c r="AF239" s="194">
        <v>731395</v>
      </c>
      <c r="AG239" s="194">
        <v>730275</v>
      </c>
      <c r="AH239" s="194">
        <v>743906</v>
      </c>
      <c r="AI239" s="194">
        <v>752073</v>
      </c>
      <c r="AJ239" s="194">
        <v>765186</v>
      </c>
      <c r="AK239" s="194">
        <v>784501</v>
      </c>
      <c r="AL239" s="194">
        <v>811528</v>
      </c>
      <c r="AM239" s="194">
        <v>814832</v>
      </c>
      <c r="AN239" s="194">
        <v>856651</v>
      </c>
      <c r="AO239" s="194">
        <v>869110</v>
      </c>
      <c r="AP239" s="194">
        <v>857524</v>
      </c>
      <c r="AQ239" s="194">
        <v>869825</v>
      </c>
      <c r="AR239" s="194">
        <v>899678</v>
      </c>
      <c r="AS239" s="194">
        <v>920340</v>
      </c>
      <c r="AT239" s="194">
        <v>972972</v>
      </c>
      <c r="AU239" s="194">
        <v>977175</v>
      </c>
      <c r="AV239" s="227">
        <v>1015621</v>
      </c>
      <c r="AW239" s="62">
        <v>1028156.6315352701</v>
      </c>
      <c r="AX239" s="62">
        <v>1103820.4238355912</v>
      </c>
      <c r="AY239" s="62">
        <v>1121613.4335162474</v>
      </c>
      <c r="AZ239" s="62">
        <v>1136689.8704778219</v>
      </c>
      <c r="BA239" s="62">
        <v>1150573.5213912681</v>
      </c>
      <c r="BB239" s="62">
        <v>1166651.9938891805</v>
      </c>
      <c r="BC239" s="62">
        <v>1186071.4991834844</v>
      </c>
      <c r="BD239" s="62">
        <v>1207347.2256960229</v>
      </c>
      <c r="BE239" s="62">
        <v>1229081.5506189775</v>
      </c>
      <c r="BF239" s="62">
        <v>1251284.6277433943</v>
      </c>
      <c r="BG239" s="62">
        <v>1273966.8781893053</v>
      </c>
      <c r="BH239" s="62">
        <v>1297138.9973944968</v>
      </c>
      <c r="BI239" s="62">
        <v>1320811.9623405682</v>
      </c>
      <c r="BJ239" s="62">
        <v>1346063.1422144878</v>
      </c>
      <c r="BK239" s="62">
        <v>1374023.8528790679</v>
      </c>
      <c r="BL239" s="62">
        <v>1403713.7152745936</v>
      </c>
      <c r="BM239" s="62">
        <v>1434101.89035024</v>
      </c>
      <c r="BN239" s="62">
        <v>1456720.181766426</v>
      </c>
      <c r="BO239" s="62">
        <v>1471287.3835840905</v>
      </c>
      <c r="BP239" s="62"/>
      <c r="BQ239" s="61">
        <v>81611.8</v>
      </c>
      <c r="BR239" s="61">
        <v>82595</v>
      </c>
      <c r="BS239" s="61">
        <v>83457</v>
      </c>
      <c r="BT239" s="61">
        <v>90912</v>
      </c>
      <c r="BU239" s="61">
        <v>99731</v>
      </c>
      <c r="BV239" s="61">
        <v>113242</v>
      </c>
      <c r="BW239" s="61">
        <v>119728</v>
      </c>
      <c r="BX239" s="61">
        <v>120191</v>
      </c>
      <c r="BY239" s="61">
        <v>133158</v>
      </c>
      <c r="BZ239" s="61">
        <v>139301</v>
      </c>
      <c r="CA239" s="62">
        <v>145908.61369863016</v>
      </c>
      <c r="CB239" s="62">
        <v>162138.29589041098</v>
      </c>
      <c r="CC239" s="62">
        <v>212153</v>
      </c>
      <c r="CD239" s="62">
        <v>253137.38630136987</v>
      </c>
      <c r="CE239" s="194">
        <v>300706</v>
      </c>
      <c r="CF239" s="194">
        <v>333361</v>
      </c>
      <c r="CG239" s="194">
        <v>390775</v>
      </c>
      <c r="CH239" s="194">
        <v>427464</v>
      </c>
      <c r="CI239" s="194">
        <v>439277</v>
      </c>
      <c r="CJ239" s="194">
        <v>474302</v>
      </c>
      <c r="CK239" s="61">
        <v>523461</v>
      </c>
      <c r="CL239" s="194">
        <v>575339</v>
      </c>
      <c r="CM239" s="194">
        <v>646997</v>
      </c>
      <c r="CN239" s="194">
        <v>717012</v>
      </c>
      <c r="CO239" s="194">
        <v>730835</v>
      </c>
      <c r="CP239" s="194">
        <v>748000</v>
      </c>
      <c r="CQ239" s="194">
        <v>774884</v>
      </c>
      <c r="CR239" s="194">
        <v>813219</v>
      </c>
      <c r="CS239" s="194">
        <v>862882</v>
      </c>
      <c r="CT239" s="194">
        <v>863691</v>
      </c>
      <c r="CU239" s="194">
        <v>910037</v>
      </c>
      <c r="CV239" s="227">
        <v>975079</v>
      </c>
      <c r="CW239" s="62">
        <v>1021888.8157676351</v>
      </c>
      <c r="CX239" s="62">
        <v>1112741.3026617831</v>
      </c>
      <c r="CY239" s="62">
        <v>1143650.7146344264</v>
      </c>
      <c r="CZ239" s="62">
        <v>1176388.3485983794</v>
      </c>
      <c r="DA239" s="62">
        <v>1218214.3881575002</v>
      </c>
      <c r="DB239" s="62">
        <v>1262656.8245423031</v>
      </c>
      <c r="DC239" s="62">
        <v>1309007.9085866367</v>
      </c>
      <c r="DD239" s="62">
        <v>1360081.799890154</v>
      </c>
      <c r="DE239" s="62">
        <v>1418907.8028124168</v>
      </c>
      <c r="DF239" s="62">
        <v>1464023.7377462413</v>
      </c>
    </row>
    <row r="240" spans="1:110" ht="12" outlineLevel="1">
      <c r="C240" s="41"/>
      <c r="D240" s="41"/>
      <c r="E240" s="41"/>
      <c r="F240" s="41"/>
      <c r="G240" s="41"/>
      <c r="H240" s="41"/>
      <c r="I240" s="41"/>
      <c r="J240" s="41"/>
      <c r="K240" s="41"/>
      <c r="L240" s="41"/>
      <c r="M240" s="41"/>
      <c r="N240" s="41"/>
      <c r="O240" s="41"/>
      <c r="P240" s="41"/>
      <c r="Q240" s="41"/>
      <c r="R240" s="41"/>
      <c r="S240" s="41"/>
      <c r="T240" s="41"/>
      <c r="U240" s="41"/>
      <c r="V240" s="41"/>
      <c r="W240" s="41"/>
      <c r="X240" s="41"/>
      <c r="Y240" s="41"/>
      <c r="Z240" s="41"/>
      <c r="AA240" s="41"/>
      <c r="AB240" s="41"/>
      <c r="AC240" s="41"/>
      <c r="AD240" s="41"/>
      <c r="AE240" s="41"/>
      <c r="AF240" s="41"/>
      <c r="AG240" s="41"/>
      <c r="AH240" s="41"/>
      <c r="AI240" s="41"/>
      <c r="AJ240" s="41"/>
      <c r="AK240" s="41"/>
      <c r="AL240" s="41"/>
      <c r="AM240" s="41"/>
      <c r="AN240" s="41"/>
      <c r="AO240" s="41"/>
      <c r="AP240" s="41"/>
      <c r="AQ240" s="41"/>
      <c r="AR240" s="41"/>
      <c r="AS240" s="41"/>
      <c r="AT240" s="41"/>
      <c r="AU240" s="41"/>
      <c r="AV240" s="211"/>
      <c r="AW240" s="41"/>
      <c r="AX240" s="41"/>
      <c r="AY240" s="41"/>
      <c r="AZ240" s="41"/>
      <c r="BA240" s="41"/>
      <c r="BB240" s="41"/>
      <c r="BC240" s="41"/>
      <c r="BD240" s="41"/>
      <c r="BE240" s="41"/>
      <c r="BF240" s="41"/>
      <c r="BG240" s="41"/>
      <c r="BH240" s="41"/>
      <c r="BI240" s="41"/>
      <c r="BJ240" s="41"/>
      <c r="BK240" s="41"/>
      <c r="BL240" s="41"/>
      <c r="BM240" s="41"/>
      <c r="BN240" s="41"/>
      <c r="BO240" s="41"/>
      <c r="BP240" s="41"/>
      <c r="BQ240" s="41"/>
      <c r="BR240" s="41"/>
      <c r="BS240" s="41"/>
      <c r="BT240" s="41"/>
      <c r="BU240" s="41"/>
      <c r="BV240" s="41"/>
      <c r="BW240" s="41"/>
      <c r="BX240" s="41"/>
      <c r="BY240" s="41"/>
      <c r="BZ240" s="41"/>
      <c r="CA240" s="41"/>
      <c r="CB240" s="41"/>
      <c r="CC240" s="41"/>
      <c r="CD240" s="41"/>
      <c r="CE240" s="41"/>
      <c r="CF240" s="41"/>
      <c r="CG240" s="41"/>
      <c r="CH240" s="41"/>
      <c r="CI240" s="41"/>
      <c r="CJ240" s="41"/>
      <c r="CK240" s="41"/>
      <c r="CL240" s="41"/>
      <c r="CM240" s="41"/>
      <c r="CN240" s="41"/>
      <c r="CO240" s="41"/>
      <c r="CP240" s="41"/>
      <c r="CQ240" s="41"/>
      <c r="CR240" s="41"/>
      <c r="CS240" s="41"/>
      <c r="CT240" s="41"/>
      <c r="CU240" s="41"/>
      <c r="CV240" s="211"/>
      <c r="CW240" s="41"/>
      <c r="CX240" s="41"/>
      <c r="CY240" s="41"/>
      <c r="CZ240" s="41"/>
      <c r="DA240" s="41"/>
      <c r="DB240" s="41"/>
      <c r="DC240" s="41"/>
      <c r="DD240" s="41"/>
      <c r="DE240" s="41"/>
      <c r="DF240" s="41"/>
    </row>
    <row r="241" spans="1:110" s="17" customFormat="1" ht="12" outlineLevel="1">
      <c r="A241" s="15"/>
      <c r="B241" s="17" t="s">
        <v>591</v>
      </c>
      <c r="C241" s="62"/>
      <c r="D241" s="62"/>
      <c r="E241" s="62"/>
      <c r="F241" s="62"/>
      <c r="G241" s="62"/>
      <c r="H241" s="62"/>
      <c r="I241" s="62"/>
      <c r="J241" s="62"/>
      <c r="K241" s="62"/>
      <c r="L241" s="62"/>
      <c r="M241" s="62"/>
      <c r="N241" s="62"/>
      <c r="O241" s="62"/>
      <c r="P241" s="62"/>
      <c r="Q241" s="62"/>
      <c r="R241" s="62"/>
      <c r="S241" s="62"/>
      <c r="T241" s="62"/>
      <c r="U241" s="62"/>
      <c r="V241" s="62"/>
      <c r="W241" s="62"/>
      <c r="X241" s="62"/>
      <c r="Y241" s="62"/>
      <c r="Z241" s="62"/>
      <c r="AA241" s="62"/>
      <c r="AB241" s="62"/>
      <c r="AC241" s="62"/>
      <c r="AD241" s="62"/>
      <c r="AE241" s="62"/>
      <c r="AF241" s="62"/>
      <c r="AG241" s="62"/>
      <c r="AH241" s="62"/>
      <c r="AI241" s="62"/>
      <c r="AJ241" s="62"/>
      <c r="AK241" s="62"/>
      <c r="AL241" s="62"/>
      <c r="AM241" s="62"/>
      <c r="AN241" s="62"/>
      <c r="AO241" s="62"/>
      <c r="AP241" s="62"/>
      <c r="AQ241" s="62"/>
      <c r="AR241" s="62"/>
      <c r="AS241" s="62"/>
      <c r="AT241" s="62"/>
      <c r="AU241" s="62"/>
      <c r="AV241" s="220"/>
      <c r="AW241" s="41"/>
      <c r="AX241" s="41"/>
      <c r="AY241" s="41"/>
      <c r="AZ241" s="62"/>
      <c r="BA241" s="62"/>
      <c r="BB241" s="62"/>
      <c r="BC241" s="62"/>
      <c r="BD241" s="62"/>
      <c r="BE241" s="62"/>
      <c r="BF241" s="62"/>
      <c r="BG241" s="62"/>
      <c r="BH241" s="62"/>
      <c r="BI241" s="62"/>
      <c r="BJ241" s="62"/>
      <c r="BK241" s="62"/>
      <c r="BL241" s="62"/>
      <c r="BM241" s="62"/>
      <c r="BN241" s="62"/>
      <c r="BO241" s="62"/>
      <c r="BP241" s="62"/>
      <c r="BQ241" s="62"/>
      <c r="BR241" s="62"/>
      <c r="BS241" s="62"/>
      <c r="BT241" s="62"/>
      <c r="BU241" s="62"/>
      <c r="BV241" s="62"/>
      <c r="BW241" s="62"/>
      <c r="BX241" s="62"/>
      <c r="BY241" s="62"/>
      <c r="BZ241" s="62"/>
      <c r="CA241" s="62"/>
      <c r="CB241" s="62"/>
      <c r="CC241" s="62"/>
      <c r="CD241" s="62"/>
      <c r="CE241" s="62"/>
      <c r="CF241" s="62"/>
      <c r="CG241" s="62"/>
      <c r="CH241" s="62"/>
      <c r="CI241" s="62"/>
      <c r="CJ241" s="62"/>
      <c r="CK241" s="62"/>
      <c r="CL241" s="62"/>
      <c r="CM241" s="62"/>
      <c r="CN241" s="62"/>
      <c r="CO241" s="62"/>
      <c r="CP241" s="62"/>
      <c r="CQ241" s="62"/>
      <c r="CR241" s="62"/>
      <c r="CS241" s="62"/>
      <c r="CT241" s="62"/>
      <c r="CU241" s="62"/>
      <c r="CV241" s="220"/>
      <c r="CW241" s="62"/>
      <c r="CX241" s="62"/>
      <c r="CY241" s="62"/>
      <c r="CZ241" s="62"/>
      <c r="DA241" s="62"/>
      <c r="DB241" s="62"/>
      <c r="DC241" s="62"/>
      <c r="DD241" s="62"/>
      <c r="DE241" s="62"/>
      <c r="DF241" s="62"/>
    </row>
    <row r="242" spans="1:110" ht="12" outlineLevel="1">
      <c r="A242" s="1" t="s">
        <v>340</v>
      </c>
      <c r="B242" s="15" t="s">
        <v>592</v>
      </c>
      <c r="C242" s="40">
        <v>34699</v>
      </c>
      <c r="D242" s="40">
        <v>37400</v>
      </c>
      <c r="E242" s="40">
        <v>39167</v>
      </c>
      <c r="F242" s="40">
        <v>41973</v>
      </c>
      <c r="G242" s="40">
        <v>42693</v>
      </c>
      <c r="H242" s="40">
        <v>46120</v>
      </c>
      <c r="I242" s="40">
        <v>47280</v>
      </c>
      <c r="J242" s="40">
        <v>50268</v>
      </c>
      <c r="K242" s="40">
        <v>53708</v>
      </c>
      <c r="L242" s="40">
        <v>56536</v>
      </c>
      <c r="M242" s="40">
        <v>60322</v>
      </c>
      <c r="N242" s="40">
        <v>65726</v>
      </c>
      <c r="O242" s="40">
        <v>70741</v>
      </c>
      <c r="P242" s="40">
        <v>77331</v>
      </c>
      <c r="Q242" s="40">
        <v>78167</v>
      </c>
      <c r="R242" s="40">
        <v>84178</v>
      </c>
      <c r="S242" s="40">
        <v>90031</v>
      </c>
      <c r="T242" s="40">
        <v>88195</v>
      </c>
      <c r="U242" s="40">
        <v>86455</v>
      </c>
      <c r="V242" s="40">
        <v>88346</v>
      </c>
      <c r="W242" s="40">
        <v>93856</v>
      </c>
      <c r="X242" s="40">
        <v>103597</v>
      </c>
      <c r="Y242" s="40">
        <v>105329</v>
      </c>
      <c r="Z242" s="141">
        <v>112114</v>
      </c>
      <c r="AA242" s="141">
        <v>117808</v>
      </c>
      <c r="AB242" s="141">
        <v>130137</v>
      </c>
      <c r="AC242" s="141">
        <v>138837</v>
      </c>
      <c r="AD242" s="141">
        <v>156149.77865951663</v>
      </c>
      <c r="AE242" s="141">
        <v>165720.97509412497</v>
      </c>
      <c r="AF242" s="141">
        <v>177377.2239569831</v>
      </c>
      <c r="AG242" s="141">
        <v>181712.89631178585</v>
      </c>
      <c r="AH242" s="141">
        <v>187916.87084371378</v>
      </c>
      <c r="AI242" s="141">
        <v>207210.6376270685</v>
      </c>
      <c r="AJ242" s="141">
        <v>197838.77085782751</v>
      </c>
      <c r="AK242" s="141">
        <v>197934.29909741538</v>
      </c>
      <c r="AL242" s="141">
        <v>193718.62269060483</v>
      </c>
      <c r="AM242" s="141">
        <v>207201.04674664515</v>
      </c>
      <c r="AN242" s="141">
        <v>222168.71002084567</v>
      </c>
      <c r="AO242" s="141">
        <v>258135.24920076353</v>
      </c>
      <c r="AP242" s="141">
        <v>264253.90457085415</v>
      </c>
      <c r="AQ242" s="141">
        <v>269826.83201253827</v>
      </c>
      <c r="AR242" s="141">
        <v>283704.61265463178</v>
      </c>
      <c r="AS242" s="141">
        <v>292045.75051728659</v>
      </c>
      <c r="AT242" s="141">
        <v>279458.04059270018</v>
      </c>
      <c r="AU242" s="141">
        <v>273311.14906721062</v>
      </c>
      <c r="AV242" s="226">
        <v>278117.77880845126</v>
      </c>
      <c r="AW242" s="41">
        <v>296234.06799508183</v>
      </c>
      <c r="AX242" s="41">
        <v>325112.60148062371</v>
      </c>
      <c r="AY242" s="41">
        <v>332704.30928411195</v>
      </c>
      <c r="AZ242" s="41">
        <v>340659.42069523328</v>
      </c>
      <c r="BA242" s="41">
        <v>347372.24450361764</v>
      </c>
      <c r="BB242" s="41">
        <v>354106.07622790721</v>
      </c>
      <c r="BC242" s="41">
        <v>360972.00992119592</v>
      </c>
      <c r="BD242" s="41">
        <v>367972.66629441397</v>
      </c>
      <c r="BE242" s="41">
        <v>375110.7186123649</v>
      </c>
      <c r="BF242" s="41">
        <v>382388.89375862078</v>
      </c>
      <c r="BG242" s="41">
        <v>389809.97332221147</v>
      </c>
      <c r="BH242" s="41">
        <v>397376.79470655805</v>
      </c>
      <c r="BI242" s="41">
        <v>405092.25226111087</v>
      </c>
      <c r="BJ242" s="41">
        <v>412959.29843616084</v>
      </c>
      <c r="BK242" s="41">
        <v>420980.94496130297</v>
      </c>
      <c r="BL242" s="41">
        <v>429160.26404804236</v>
      </c>
      <c r="BM242" s="41">
        <v>437500.38961703941</v>
      </c>
      <c r="BN242" s="41">
        <v>443919.60490603629</v>
      </c>
      <c r="BO242" s="41">
        <v>448358.80095509667</v>
      </c>
      <c r="BP242" s="41"/>
      <c r="BQ242" s="41"/>
      <c r="BR242" s="41"/>
      <c r="BS242" s="41"/>
      <c r="BT242" s="41"/>
      <c r="BU242" s="41"/>
      <c r="BV242" s="41"/>
      <c r="BW242" s="41"/>
      <c r="BX242" s="41"/>
      <c r="BY242" s="41"/>
      <c r="BZ242" s="41"/>
      <c r="CA242" s="41">
        <v>38281.079452054793</v>
      </c>
      <c r="CB242" s="41">
        <v>42332.013698630137</v>
      </c>
      <c r="CC242" s="41">
        <v>46700</v>
      </c>
      <c r="CD242" s="41">
        <v>51983.28767123288</v>
      </c>
      <c r="CE242" s="141">
        <v>58434</v>
      </c>
      <c r="CF242" s="141">
        <v>67699</v>
      </c>
      <c r="CG242" s="141">
        <v>77749</v>
      </c>
      <c r="CH242" s="141">
        <v>87113</v>
      </c>
      <c r="CI242" s="141">
        <v>87322</v>
      </c>
      <c r="CJ242" s="141">
        <v>91109</v>
      </c>
      <c r="CK242" s="141">
        <v>104463</v>
      </c>
      <c r="CL242" s="141">
        <v>114969</v>
      </c>
      <c r="CM242" s="141">
        <v>134499</v>
      </c>
      <c r="CN242" s="41">
        <v>160948.48810481338</v>
      </c>
      <c r="CO242" s="41">
        <v>179545.06013438449</v>
      </c>
      <c r="CP242" s="41">
        <v>197590.18405290259</v>
      </c>
      <c r="CQ242" s="41">
        <v>197886.66583822362</v>
      </c>
      <c r="CR242" s="41">
        <v>200478.30379267433</v>
      </c>
      <c r="CS242" s="41">
        <v>240151.97961080456</v>
      </c>
      <c r="CT242" s="41">
        <v>267048.0024388766</v>
      </c>
      <c r="CU242" s="41">
        <v>287886.60780220939</v>
      </c>
      <c r="CV242" s="211">
        <v>276376.17443060537</v>
      </c>
      <c r="CW242" s="41">
        <v>287175.92340176651</v>
      </c>
      <c r="CX242" s="41">
        <v>328918.85498209862</v>
      </c>
      <c r="CY242" s="41">
        <v>344025.02824847802</v>
      </c>
      <c r="CZ242" s="41">
        <v>357548.44846317254</v>
      </c>
      <c r="DA242" s="41">
        <v>371541.69245338946</v>
      </c>
      <c r="DB242" s="41">
        <v>386109.59940283198</v>
      </c>
      <c r="DC242" s="41">
        <v>401245.09260377224</v>
      </c>
      <c r="DD242" s="41">
        <v>416981.11025561567</v>
      </c>
      <c r="DE242" s="41">
        <v>433330.32683254086</v>
      </c>
      <c r="DF242" s="41">
        <v>446145.28402104462</v>
      </c>
    </row>
    <row r="243" spans="1:110" ht="12" outlineLevel="1">
      <c r="A243" s="1" t="s">
        <v>341</v>
      </c>
      <c r="B243" s="15" t="s">
        <v>473</v>
      </c>
      <c r="C243" s="40">
        <v>18496</v>
      </c>
      <c r="D243" s="40">
        <v>19429</v>
      </c>
      <c r="E243" s="40">
        <v>22046</v>
      </c>
      <c r="F243" s="40">
        <v>24291</v>
      </c>
      <c r="G243" s="40">
        <v>26047</v>
      </c>
      <c r="H243" s="40">
        <v>29003</v>
      </c>
      <c r="I243" s="40">
        <v>32676</v>
      </c>
      <c r="J243" s="40">
        <v>38650</v>
      </c>
      <c r="K243" s="40">
        <v>40122</v>
      </c>
      <c r="L243" s="40">
        <v>41323</v>
      </c>
      <c r="M243" s="40">
        <v>44482</v>
      </c>
      <c r="N243" s="40">
        <v>46548</v>
      </c>
      <c r="O243" s="40">
        <v>51439</v>
      </c>
      <c r="P243" s="40">
        <v>66833</v>
      </c>
      <c r="Q243" s="40">
        <v>76562</v>
      </c>
      <c r="R243" s="40">
        <v>87520</v>
      </c>
      <c r="S243" s="40">
        <v>87592</v>
      </c>
      <c r="T243" s="40">
        <v>96056</v>
      </c>
      <c r="U243" s="40">
        <v>103864</v>
      </c>
      <c r="V243" s="40">
        <v>121281</v>
      </c>
      <c r="W243" s="40">
        <v>126865</v>
      </c>
      <c r="X243" s="40">
        <v>130046</v>
      </c>
      <c r="Y243" s="40">
        <v>138964</v>
      </c>
      <c r="Z243" s="141">
        <v>134894</v>
      </c>
      <c r="AA243" s="141">
        <v>136595</v>
      </c>
      <c r="AB243" s="141">
        <v>136155</v>
      </c>
      <c r="AC243" s="141">
        <v>133566</v>
      </c>
      <c r="AD243" s="141">
        <v>128144.66223603459</v>
      </c>
      <c r="AE243" s="141">
        <v>122746.56386453169</v>
      </c>
      <c r="AF243" s="141">
        <v>125912.88295759569</v>
      </c>
      <c r="AG243" s="141">
        <v>126273.00136774013</v>
      </c>
      <c r="AH243" s="141">
        <v>126781.08042827137</v>
      </c>
      <c r="AI243" s="141">
        <v>122472.14253589617</v>
      </c>
      <c r="AJ243" s="141">
        <v>122650.3098369311</v>
      </c>
      <c r="AK243" s="141">
        <v>118192.43428099639</v>
      </c>
      <c r="AL243" s="141">
        <v>115977.85629525303</v>
      </c>
      <c r="AM243" s="141">
        <v>114535.60021346287</v>
      </c>
      <c r="AN243" s="141">
        <v>104657.27399847294</v>
      </c>
      <c r="AO243" s="141">
        <v>95701.009823847577</v>
      </c>
      <c r="AP243" s="141">
        <v>96214.178158146387</v>
      </c>
      <c r="AQ243" s="141">
        <v>96380.015240470166</v>
      </c>
      <c r="AR243" s="141">
        <v>84906.553428505518</v>
      </c>
      <c r="AS243" s="141">
        <v>85297.902854667118</v>
      </c>
      <c r="AT243" s="141">
        <v>98670.592984998031</v>
      </c>
      <c r="AU243" s="141">
        <v>112807.22077700368</v>
      </c>
      <c r="AV243" s="226">
        <v>124838.73835049917</v>
      </c>
      <c r="AW243" s="41">
        <v>132970.59779271556</v>
      </c>
      <c r="AX243" s="41">
        <v>145933.3062581484</v>
      </c>
      <c r="AY243" s="41">
        <v>149340.99643952961</v>
      </c>
      <c r="AZ243" s="41">
        <v>152911.80761261188</v>
      </c>
      <c r="BA243" s="41">
        <v>155924.99310042305</v>
      </c>
      <c r="BB243" s="41">
        <v>158947.6084122757</v>
      </c>
      <c r="BC243" s="41">
        <v>162029.52034016681</v>
      </c>
      <c r="BD243" s="41">
        <v>165171.90524271503</v>
      </c>
      <c r="BE243" s="41">
        <v>168375.96306839824</v>
      </c>
      <c r="BF243" s="41">
        <v>171642.91783355307</v>
      </c>
      <c r="BG243" s="41">
        <v>174974.01811015711</v>
      </c>
      <c r="BH243" s="41">
        <v>178370.53752359599</v>
      </c>
      <c r="BI243" s="41">
        <v>181833.77526062171</v>
      </c>
      <c r="BJ243" s="41">
        <v>185365.05658771287</v>
      </c>
      <c r="BK243" s="41">
        <v>188965.73338005171</v>
      </c>
      <c r="BL243" s="41">
        <v>192637.1846613377</v>
      </c>
      <c r="BM243" s="41">
        <v>196380.8171546614</v>
      </c>
      <c r="BN243" s="41">
        <v>199262.21057478694</v>
      </c>
      <c r="BO243" s="41">
        <v>201254.8326805348</v>
      </c>
      <c r="BP243" s="41"/>
      <c r="BQ243" s="41"/>
      <c r="BR243" s="41"/>
      <c r="BS243" s="41"/>
      <c r="BT243" s="41"/>
      <c r="BU243" s="41"/>
      <c r="BV243" s="41"/>
      <c r="BW243" s="41"/>
      <c r="BX243" s="41"/>
      <c r="BY243" s="41"/>
      <c r="BZ243" s="41"/>
      <c r="CA243" s="41">
        <v>20733.915068493152</v>
      </c>
      <c r="CB243" s="41">
        <v>25166.594520547947</v>
      </c>
      <c r="CC243" s="41">
        <v>30839.5</v>
      </c>
      <c r="CD243" s="41">
        <v>39383.983561643836</v>
      </c>
      <c r="CE243" s="141">
        <v>42907</v>
      </c>
      <c r="CF243" s="141">
        <v>49000</v>
      </c>
      <c r="CG243" s="141">
        <v>71698</v>
      </c>
      <c r="CH243" s="141">
        <v>87556</v>
      </c>
      <c r="CI243" s="141">
        <v>99969</v>
      </c>
      <c r="CJ243" s="141">
        <v>124080</v>
      </c>
      <c r="CK243" s="141">
        <v>134508</v>
      </c>
      <c r="CL243" s="141">
        <v>135747</v>
      </c>
      <c r="CM243" s="141">
        <v>134857</v>
      </c>
      <c r="CN243" s="41">
        <v>125438.21839497972</v>
      </c>
      <c r="CO243" s="41">
        <v>126092.94216266791</v>
      </c>
      <c r="CP243" s="41">
        <v>124620.70882743667</v>
      </c>
      <c r="CQ243" s="41">
        <v>120415.26538011999</v>
      </c>
      <c r="CR243" s="41">
        <v>115254.75256109523</v>
      </c>
      <c r="CS243" s="41">
        <v>100179.14191116026</v>
      </c>
      <c r="CT243" s="41">
        <v>96297.323873393645</v>
      </c>
      <c r="CU243" s="41">
        <v>85102.764236690651</v>
      </c>
      <c r="CV243" s="211">
        <v>105758.27212455154</v>
      </c>
      <c r="CW243" s="41">
        <v>128904.66807160738</v>
      </c>
      <c r="CX243" s="41">
        <v>147641.81941758064</v>
      </c>
      <c r="CY243" s="41">
        <v>154422.52800787063</v>
      </c>
      <c r="CZ243" s="41">
        <v>160492.78617338274</v>
      </c>
      <c r="DA243" s="41">
        <v>166773.93415555664</v>
      </c>
      <c r="DB243" s="41">
        <v>173313.03112291894</v>
      </c>
      <c r="DC243" s="41">
        <v>180106.90055339245</v>
      </c>
      <c r="DD243" s="41">
        <v>187170.32741784438</v>
      </c>
      <c r="DE243" s="41">
        <v>194509.00090799958</v>
      </c>
      <c r="DF243" s="41">
        <v>200261.2512469838</v>
      </c>
    </row>
    <row r="244" spans="1:110" s="17" customFormat="1" ht="12" outlineLevel="1">
      <c r="A244" s="1" t="s">
        <v>253</v>
      </c>
      <c r="B244" s="17" t="s">
        <v>168</v>
      </c>
      <c r="C244" s="62">
        <v>53195</v>
      </c>
      <c r="D244" s="62">
        <v>56829</v>
      </c>
      <c r="E244" s="62">
        <v>61213</v>
      </c>
      <c r="F244" s="62">
        <v>66264</v>
      </c>
      <c r="G244" s="62">
        <v>68740</v>
      </c>
      <c r="H244" s="62">
        <v>75123</v>
      </c>
      <c r="I244" s="62">
        <v>79956</v>
      </c>
      <c r="J244" s="62">
        <v>88918</v>
      </c>
      <c r="K244" s="62">
        <v>93830</v>
      </c>
      <c r="L244" s="62">
        <v>97859</v>
      </c>
      <c r="M244" s="62">
        <v>104804</v>
      </c>
      <c r="N244" s="62">
        <v>112274</v>
      </c>
      <c r="O244" s="62">
        <v>122180</v>
      </c>
      <c r="P244" s="62">
        <v>144164</v>
      </c>
      <c r="Q244" s="62">
        <v>154729</v>
      </c>
      <c r="R244" s="62">
        <v>171698</v>
      </c>
      <c r="S244" s="62">
        <v>177623</v>
      </c>
      <c r="T244" s="62">
        <v>184251</v>
      </c>
      <c r="U244" s="62">
        <v>190319</v>
      </c>
      <c r="V244" s="62">
        <v>209627</v>
      </c>
      <c r="W244" s="62">
        <v>220721</v>
      </c>
      <c r="X244" s="62">
        <v>233643</v>
      </c>
      <c r="Y244" s="62">
        <v>244293</v>
      </c>
      <c r="Z244" s="62">
        <v>247008</v>
      </c>
      <c r="AA244" s="62">
        <v>254403</v>
      </c>
      <c r="AB244" s="62">
        <v>266292</v>
      </c>
      <c r="AC244" s="62">
        <v>272403</v>
      </c>
      <c r="AD244" s="62">
        <v>284294.44089555123</v>
      </c>
      <c r="AE244" s="62">
        <v>288467.53895865666</v>
      </c>
      <c r="AF244" s="62">
        <v>303290.10691457882</v>
      </c>
      <c r="AG244" s="62">
        <v>307985.89767952601</v>
      </c>
      <c r="AH244" s="62">
        <v>314697.95127198513</v>
      </c>
      <c r="AI244" s="62">
        <v>329682.78016296466</v>
      </c>
      <c r="AJ244" s="62">
        <v>320489.08069475862</v>
      </c>
      <c r="AK244" s="62">
        <v>316126.73337841174</v>
      </c>
      <c r="AL244" s="62">
        <v>309696.47898585786</v>
      </c>
      <c r="AM244" s="62">
        <v>321736.64696010802</v>
      </c>
      <c r="AN244" s="62">
        <v>326825.9840193186</v>
      </c>
      <c r="AO244" s="62">
        <v>353836.25902461109</v>
      </c>
      <c r="AP244" s="62">
        <v>360468.08272900054</v>
      </c>
      <c r="AQ244" s="62">
        <v>366206.84725300845</v>
      </c>
      <c r="AR244" s="62">
        <v>368611.16608313727</v>
      </c>
      <c r="AS244" s="62">
        <v>377343.6533719537</v>
      </c>
      <c r="AT244" s="62">
        <v>378128.6335776982</v>
      </c>
      <c r="AU244" s="62">
        <v>386118.36984421429</v>
      </c>
      <c r="AV244" s="220">
        <v>402956.51715895045</v>
      </c>
      <c r="AW244" s="554">
        <v>429204.66578779742</v>
      </c>
      <c r="AX244" s="554">
        <v>471045.90773877216</v>
      </c>
      <c r="AY244" s="62">
        <v>482045.30572364159</v>
      </c>
      <c r="AZ244" s="62">
        <v>493571.22830784519</v>
      </c>
      <c r="BA244" s="62">
        <v>503297.23760404071</v>
      </c>
      <c r="BB244" s="62">
        <v>513053.68464018294</v>
      </c>
      <c r="BC244" s="62">
        <v>523001.53026136273</v>
      </c>
      <c r="BD244" s="62">
        <v>533144.571537129</v>
      </c>
      <c r="BE244" s="62">
        <v>543486.68168076314</v>
      </c>
      <c r="BF244" s="62">
        <v>554031.81159217388</v>
      </c>
      <c r="BG244" s="62">
        <v>564783.99143236864</v>
      </c>
      <c r="BH244" s="62">
        <v>575747.33223015408</v>
      </c>
      <c r="BI244" s="62">
        <v>586926.02752173261</v>
      </c>
      <c r="BJ244" s="62">
        <v>598324.35502387374</v>
      </c>
      <c r="BK244" s="62">
        <v>609946.67834135471</v>
      </c>
      <c r="BL244" s="62">
        <v>621797.44870938011</v>
      </c>
      <c r="BM244" s="62">
        <v>633881.20677170088</v>
      </c>
      <c r="BN244" s="62">
        <v>643181.81548082328</v>
      </c>
      <c r="BO244" s="62">
        <v>649613.63363563153</v>
      </c>
      <c r="BP244" s="62"/>
      <c r="BQ244" s="61">
        <v>28152.400000000001</v>
      </c>
      <c r="BR244" s="61">
        <v>28652</v>
      </c>
      <c r="BS244" s="61">
        <v>29169</v>
      </c>
      <c r="BT244" s="61">
        <v>35560</v>
      </c>
      <c r="BU244" s="61">
        <v>37491</v>
      </c>
      <c r="BV244" s="61">
        <v>40765</v>
      </c>
      <c r="BW244" s="61">
        <v>44397</v>
      </c>
      <c r="BX244" s="61">
        <v>48185</v>
      </c>
      <c r="BY244" s="61">
        <v>54620</v>
      </c>
      <c r="BZ244" s="61">
        <v>53187</v>
      </c>
      <c r="CA244" s="62">
        <v>59014.994520547953</v>
      </c>
      <c r="CB244" s="62">
        <v>67498.608219178088</v>
      </c>
      <c r="CC244" s="62">
        <v>77539.5</v>
      </c>
      <c r="CD244" s="62">
        <v>91367.271232876708</v>
      </c>
      <c r="CE244" s="62">
        <v>101341</v>
      </c>
      <c r="CF244" s="62">
        <v>116699</v>
      </c>
      <c r="CG244" s="62">
        <v>149447</v>
      </c>
      <c r="CH244" s="62">
        <v>174669</v>
      </c>
      <c r="CI244" s="62">
        <v>187291</v>
      </c>
      <c r="CJ244" s="62">
        <v>215189</v>
      </c>
      <c r="CK244" s="62">
        <v>238971</v>
      </c>
      <c r="CL244" s="62">
        <v>250716</v>
      </c>
      <c r="CM244" s="62">
        <v>269356</v>
      </c>
      <c r="CN244" s="62">
        <v>286386.7064997931</v>
      </c>
      <c r="CO244" s="62">
        <v>305638.00229705242</v>
      </c>
      <c r="CP244" s="62">
        <v>322210.89288033929</v>
      </c>
      <c r="CQ244" s="62">
        <v>318301.93121834361</v>
      </c>
      <c r="CR244" s="62">
        <v>315733.05635376956</v>
      </c>
      <c r="CS244" s="62">
        <v>340331.12152196484</v>
      </c>
      <c r="CT244" s="62">
        <v>363345.32631227025</v>
      </c>
      <c r="CU244" s="62">
        <v>372989.37203890004</v>
      </c>
      <c r="CV244" s="220">
        <v>382134.4465551569</v>
      </c>
      <c r="CW244" s="62">
        <v>416080.59147337388</v>
      </c>
      <c r="CX244" s="62">
        <v>476560.67439967935</v>
      </c>
      <c r="CY244" s="62">
        <v>498447.55625634862</v>
      </c>
      <c r="CZ244" s="62">
        <v>518041.23463655531</v>
      </c>
      <c r="DA244" s="62">
        <v>538315.62660894601</v>
      </c>
      <c r="DB244" s="62">
        <v>559422.63052575104</v>
      </c>
      <c r="DC244" s="62">
        <v>581351.99315716466</v>
      </c>
      <c r="DD244" s="62">
        <v>604151.43767346011</v>
      </c>
      <c r="DE244" s="62">
        <v>627839.32774054038</v>
      </c>
      <c r="DF244" s="62">
        <v>646406.5352680285</v>
      </c>
    </row>
    <row r="245" spans="1:110" ht="12" outlineLevel="1">
      <c r="C245" s="41"/>
      <c r="D245" s="41"/>
      <c r="E245" s="41"/>
      <c r="F245" s="41"/>
      <c r="G245" s="41"/>
      <c r="H245" s="41"/>
      <c r="I245" s="41"/>
      <c r="J245" s="41"/>
      <c r="K245" s="41"/>
      <c r="L245" s="41"/>
      <c r="M245" s="41"/>
      <c r="N245" s="41"/>
      <c r="O245" s="41"/>
      <c r="P245" s="41"/>
      <c r="Q245" s="41"/>
      <c r="R245" s="41"/>
      <c r="S245" s="41"/>
      <c r="T245" s="41"/>
      <c r="U245" s="41"/>
      <c r="V245" s="41"/>
      <c r="W245" s="41"/>
      <c r="X245" s="41"/>
      <c r="Y245" s="41"/>
      <c r="Z245" s="41"/>
      <c r="AA245" s="41"/>
      <c r="AB245" s="41"/>
      <c r="AC245" s="41"/>
      <c r="AD245" s="41"/>
      <c r="AE245" s="41"/>
      <c r="AF245" s="41"/>
      <c r="AG245" s="41"/>
      <c r="AH245" s="41"/>
      <c r="AI245" s="41"/>
      <c r="AJ245" s="41"/>
      <c r="AK245" s="41"/>
      <c r="AL245" s="41"/>
      <c r="AM245" s="41"/>
      <c r="AN245" s="41"/>
      <c r="AO245" s="41"/>
      <c r="AP245" s="41"/>
      <c r="AQ245" s="41"/>
      <c r="AR245" s="41"/>
      <c r="AS245" s="41"/>
      <c r="AT245" s="41"/>
      <c r="AU245" s="41"/>
      <c r="AV245" s="211"/>
      <c r="AW245" s="41"/>
      <c r="AX245" s="41"/>
      <c r="AY245" s="41"/>
      <c r="AZ245" s="41"/>
      <c r="BA245" s="41"/>
      <c r="BB245" s="41"/>
      <c r="BC245" s="41"/>
      <c r="BD245" s="41"/>
      <c r="BE245" s="41"/>
      <c r="BF245" s="41"/>
      <c r="BG245" s="41"/>
      <c r="BH245" s="41"/>
      <c r="BI245" s="41"/>
      <c r="BJ245" s="41"/>
      <c r="BK245" s="41"/>
      <c r="BL245" s="41"/>
      <c r="BM245" s="41"/>
      <c r="BN245" s="41"/>
      <c r="BO245" s="41"/>
      <c r="BP245" s="41"/>
      <c r="BQ245" s="41"/>
      <c r="BR245" s="41"/>
      <c r="BS245" s="41"/>
      <c r="BT245" s="41"/>
      <c r="BU245" s="41"/>
      <c r="BV245" s="41"/>
      <c r="BW245" s="41"/>
      <c r="BX245" s="41"/>
      <c r="BY245" s="41"/>
      <c r="BZ245" s="41"/>
      <c r="CA245" s="41"/>
      <c r="CB245" s="41"/>
      <c r="CC245" s="41"/>
      <c r="CD245" s="41"/>
      <c r="CE245" s="41"/>
      <c r="CF245" s="41"/>
      <c r="CG245" s="41"/>
      <c r="CH245" s="41"/>
      <c r="CI245" s="41"/>
      <c r="CJ245" s="41"/>
      <c r="CK245" s="41"/>
      <c r="CL245" s="41"/>
      <c r="CM245" s="41"/>
      <c r="CN245" s="41"/>
      <c r="CO245" s="41"/>
      <c r="CP245" s="41"/>
      <c r="CQ245" s="41"/>
      <c r="CR245" s="41"/>
      <c r="CS245" s="41"/>
      <c r="CT245" s="41"/>
      <c r="CU245" s="41"/>
      <c r="CV245" s="211"/>
      <c r="CW245" s="41"/>
      <c r="CX245" s="41"/>
      <c r="CY245" s="41"/>
      <c r="CZ245" s="15"/>
      <c r="DA245" s="15"/>
      <c r="DB245" s="15"/>
      <c r="DC245" s="15"/>
      <c r="DD245" s="15"/>
      <c r="DE245" s="15"/>
      <c r="DF245" s="15"/>
    </row>
    <row r="246" spans="1:110" s="17" customFormat="1" ht="12" outlineLevel="1">
      <c r="A246" s="15"/>
      <c r="B246" s="17" t="s">
        <v>594</v>
      </c>
      <c r="C246" s="62"/>
      <c r="D246" s="62"/>
      <c r="E246" s="62"/>
      <c r="F246" s="62"/>
      <c r="G246" s="62"/>
      <c r="H246" s="62"/>
      <c r="I246" s="62"/>
      <c r="J246" s="62"/>
      <c r="K246" s="62"/>
      <c r="L246" s="62"/>
      <c r="M246" s="62"/>
      <c r="N246" s="62"/>
      <c r="O246" s="62"/>
      <c r="P246" s="62"/>
      <c r="Q246" s="62"/>
      <c r="R246" s="62"/>
      <c r="S246" s="62"/>
      <c r="T246" s="62"/>
      <c r="U246" s="62"/>
      <c r="V246" s="62"/>
      <c r="W246" s="62"/>
      <c r="X246" s="62"/>
      <c r="Y246" s="62"/>
      <c r="Z246" s="62"/>
      <c r="AA246" s="62"/>
      <c r="AB246" s="62"/>
      <c r="AC246" s="62"/>
      <c r="AD246" s="62"/>
      <c r="AE246" s="62"/>
      <c r="AF246" s="62"/>
      <c r="AG246" s="62"/>
      <c r="AH246" s="62"/>
      <c r="AI246" s="62"/>
      <c r="AJ246" s="62"/>
      <c r="AK246" s="62"/>
      <c r="AL246" s="62"/>
      <c r="AM246" s="62"/>
      <c r="AN246" s="62"/>
      <c r="AO246" s="62"/>
      <c r="AP246" s="62"/>
      <c r="AQ246" s="62"/>
      <c r="AR246" s="62"/>
      <c r="AS246" s="62"/>
      <c r="AT246" s="62"/>
      <c r="AU246" s="62"/>
      <c r="AV246" s="220"/>
      <c r="AW246" s="62"/>
      <c r="AX246" s="62"/>
      <c r="AY246" s="62"/>
      <c r="AZ246" s="62"/>
      <c r="BA246" s="62"/>
      <c r="BB246" s="62"/>
      <c r="BC246" s="62"/>
      <c r="BD246" s="62"/>
      <c r="BE246" s="62"/>
      <c r="BF246" s="62"/>
      <c r="BG246" s="62"/>
      <c r="BH246" s="62"/>
      <c r="BI246" s="62"/>
      <c r="BJ246" s="62"/>
      <c r="BK246" s="62"/>
      <c r="BL246" s="62"/>
      <c r="BM246" s="62"/>
      <c r="BN246" s="62"/>
      <c r="BO246" s="62"/>
      <c r="BP246" s="62"/>
      <c r="BQ246" s="62"/>
      <c r="BR246" s="62"/>
      <c r="BS246" s="62"/>
      <c r="BT246" s="62"/>
      <c r="BU246" s="62"/>
      <c r="BV246" s="62"/>
      <c r="BW246" s="62"/>
      <c r="BX246" s="62"/>
      <c r="BY246" s="62"/>
      <c r="BZ246" s="62"/>
      <c r="CA246" s="62"/>
      <c r="CB246" s="62"/>
      <c r="CC246" s="62"/>
      <c r="CD246" s="62"/>
      <c r="CE246" s="62"/>
      <c r="CF246" s="62"/>
      <c r="CG246" s="62"/>
      <c r="CH246" s="62"/>
      <c r="CI246" s="62"/>
      <c r="CJ246" s="62"/>
      <c r="CK246" s="62"/>
      <c r="CL246" s="62"/>
      <c r="CM246" s="62"/>
      <c r="CN246" s="62"/>
      <c r="CO246" s="62"/>
      <c r="CP246" s="62"/>
      <c r="CQ246" s="62"/>
      <c r="CR246" s="62"/>
      <c r="CS246" s="62"/>
      <c r="CT246" s="62"/>
      <c r="CU246" s="62"/>
      <c r="CV246" s="220"/>
      <c r="CW246" s="62"/>
      <c r="CX246" s="62"/>
      <c r="CY246" s="62"/>
    </row>
    <row r="247" spans="1:110" ht="12" outlineLevel="1">
      <c r="A247" s="1" t="s">
        <v>254</v>
      </c>
      <c r="B247" s="15" t="s">
        <v>592</v>
      </c>
      <c r="C247" s="40">
        <v>5525</v>
      </c>
      <c r="D247" s="40">
        <v>5783</v>
      </c>
      <c r="E247" s="40">
        <v>5995</v>
      </c>
      <c r="F247" s="40">
        <v>6490</v>
      </c>
      <c r="G247" s="40">
        <v>6614</v>
      </c>
      <c r="H247" s="40">
        <v>13497</v>
      </c>
      <c r="I247" s="40">
        <v>17523</v>
      </c>
      <c r="J247" s="40">
        <v>18271</v>
      </c>
      <c r="K247" s="40">
        <v>19200</v>
      </c>
      <c r="L247" s="40">
        <v>19254</v>
      </c>
      <c r="M247" s="40">
        <v>18781</v>
      </c>
      <c r="N247" s="40">
        <v>21900</v>
      </c>
      <c r="O247" s="40">
        <v>22671</v>
      </c>
      <c r="P247" s="40">
        <v>21725</v>
      </c>
      <c r="Q247" s="40">
        <v>20218</v>
      </c>
      <c r="R247" s="40">
        <v>22093</v>
      </c>
      <c r="S247" s="40">
        <v>21109</v>
      </c>
      <c r="T247" s="40">
        <v>19898</v>
      </c>
      <c r="U247" s="40">
        <v>19140</v>
      </c>
      <c r="V247" s="40">
        <v>18637</v>
      </c>
      <c r="W247" s="40">
        <v>20230</v>
      </c>
      <c r="X247" s="40">
        <v>21859</v>
      </c>
      <c r="Y247" s="40">
        <v>23653</v>
      </c>
      <c r="Z247" s="141">
        <v>26051</v>
      </c>
      <c r="AA247" s="141">
        <v>29568</v>
      </c>
      <c r="AB247" s="141">
        <v>33393</v>
      </c>
      <c r="AC247" s="141">
        <v>35531</v>
      </c>
      <c r="AD247" s="141">
        <v>36000.207217620235</v>
      </c>
      <c r="AE247" s="141">
        <v>39422.617729486563</v>
      </c>
      <c r="AF247" s="141">
        <v>40948.06679369523</v>
      </c>
      <c r="AG247" s="141">
        <v>42681.823763749453</v>
      </c>
      <c r="AH247" s="141">
        <v>42517.346690161947</v>
      </c>
      <c r="AI247" s="141">
        <v>45977.503444664078</v>
      </c>
      <c r="AJ247" s="141">
        <v>44904.883493013811</v>
      </c>
      <c r="AK247" s="141">
        <v>47653.781888902311</v>
      </c>
      <c r="AL247" s="141">
        <v>41406.01451144828</v>
      </c>
      <c r="AM247" s="141">
        <v>44078.654175663978</v>
      </c>
      <c r="AN247" s="141">
        <v>45455.386414653185</v>
      </c>
      <c r="AO247" s="141">
        <v>53680.016698006439</v>
      </c>
      <c r="AP247" s="141">
        <v>56392.191506148163</v>
      </c>
      <c r="AQ247" s="141">
        <v>59422.167624103793</v>
      </c>
      <c r="AR247" s="141">
        <v>60818.511043058526</v>
      </c>
      <c r="AS247" s="141">
        <v>58422.121562016182</v>
      </c>
      <c r="AT247" s="141">
        <v>56215.750867958333</v>
      </c>
      <c r="AU247" s="141">
        <v>56206.915823100069</v>
      </c>
      <c r="AV247" s="226">
        <v>55531.472479644013</v>
      </c>
      <c r="AW247" s="41">
        <v>56122.937806889815</v>
      </c>
      <c r="AX247" s="41">
        <v>57068.502544662872</v>
      </c>
      <c r="AY247" s="41">
        <v>57315.929284911843</v>
      </c>
      <c r="AZ247" s="41">
        <v>56898.902313392326</v>
      </c>
      <c r="BA247" s="41">
        <v>56333.367170275596</v>
      </c>
      <c r="BB247" s="41">
        <v>55892.258177304626</v>
      </c>
      <c r="BC247" s="41">
        <v>55938.693363632847</v>
      </c>
      <c r="BD247" s="41">
        <v>56219.706239909021</v>
      </c>
      <c r="BE247" s="41">
        <v>56505.105794480412</v>
      </c>
      <c r="BF247" s="41">
        <v>56794.836313777043</v>
      </c>
      <c r="BG247" s="41">
        <v>57088.842824361527</v>
      </c>
      <c r="BH247" s="41">
        <v>57387.070984957682</v>
      </c>
      <c r="BI247" s="41">
        <v>57689.466981684418</v>
      </c>
      <c r="BJ247" s="41">
        <v>58208.562349012995</v>
      </c>
      <c r="BK247" s="41">
        <v>59164.10747172674</v>
      </c>
      <c r="BL247" s="41">
        <v>60353.30603190844</v>
      </c>
      <c r="BM247" s="41">
        <v>61566.407483149807</v>
      </c>
      <c r="BN247" s="41">
        <v>62489.888356941658</v>
      </c>
      <c r="BO247" s="41">
        <v>63114.787240511068</v>
      </c>
      <c r="BP247" s="41"/>
      <c r="BQ247" s="41"/>
      <c r="BR247" s="41"/>
      <c r="BS247" s="41"/>
      <c r="BT247" s="41"/>
      <c r="BU247" s="41"/>
      <c r="BV247" s="41"/>
      <c r="BW247" s="41"/>
      <c r="BX247" s="41"/>
      <c r="BY247" s="41"/>
      <c r="BZ247" s="41"/>
      <c r="CA247" s="41">
        <v>5888.7095890410965</v>
      </c>
      <c r="CB247" s="41">
        <v>6551.830136986302</v>
      </c>
      <c r="CC247" s="41">
        <v>15510</v>
      </c>
      <c r="CD247" s="41">
        <v>18734.227397260274</v>
      </c>
      <c r="CE247" s="141">
        <v>19316</v>
      </c>
      <c r="CF247" s="141">
        <v>22287</v>
      </c>
      <c r="CG247" s="141">
        <v>20975</v>
      </c>
      <c r="CH247" s="141">
        <v>21599</v>
      </c>
      <c r="CI247" s="141">
        <v>19519</v>
      </c>
      <c r="CJ247" s="141">
        <v>19437</v>
      </c>
      <c r="CK247" s="141">
        <v>22755</v>
      </c>
      <c r="CL247" s="141">
        <v>27815</v>
      </c>
      <c r="CM247" s="141">
        <v>34465</v>
      </c>
      <c r="CN247" s="41">
        <v>37716.1007071313</v>
      </c>
      <c r="CO247" s="41">
        <v>41814.945278722342</v>
      </c>
      <c r="CP247" s="41">
        <v>44252.165008172604</v>
      </c>
      <c r="CQ247" s="41">
        <v>46283.098305198997</v>
      </c>
      <c r="CR247" s="41">
        <v>42745.995493781083</v>
      </c>
      <c r="CS247" s="41">
        <v>49567.701556329812</v>
      </c>
      <c r="CT247" s="41">
        <v>57911.330217342351</v>
      </c>
      <c r="CU247" s="41">
        <v>59617.033577220856</v>
      </c>
      <c r="CV247" s="211">
        <v>56211.32124272803</v>
      </c>
      <c r="CW247" s="41">
        <v>55827.20514326691</v>
      </c>
      <c r="CX247" s="41">
        <v>57192.554855527436</v>
      </c>
      <c r="CY247" s="41">
        <v>56615.360036158461</v>
      </c>
      <c r="CZ247" s="41">
        <v>55915.539380313028</v>
      </c>
      <c r="DA247" s="41">
        <v>56362.40601719472</v>
      </c>
      <c r="DB247" s="41">
        <v>56942.242317713921</v>
      </c>
      <c r="DC247" s="41">
        <v>57538.683224412453</v>
      </c>
      <c r="DD247" s="41">
        <v>58687.643876291389</v>
      </c>
      <c r="DE247" s="41">
        <v>60959.856757529124</v>
      </c>
      <c r="DF247" s="41">
        <v>62803.193824594273</v>
      </c>
    </row>
    <row r="248" spans="1:110" ht="12" outlineLevel="1">
      <c r="A248" s="1" t="s">
        <v>255</v>
      </c>
      <c r="B248" s="15" t="s">
        <v>473</v>
      </c>
      <c r="C248" s="40">
        <v>8682</v>
      </c>
      <c r="D248" s="40">
        <v>8567</v>
      </c>
      <c r="E248" s="40">
        <v>9219</v>
      </c>
      <c r="F248" s="40">
        <v>10881</v>
      </c>
      <c r="G248" s="40">
        <v>10451</v>
      </c>
      <c r="H248" s="40">
        <v>18295</v>
      </c>
      <c r="I248" s="40">
        <v>23524</v>
      </c>
      <c r="J248" s="40">
        <v>25626</v>
      </c>
      <c r="K248" s="40">
        <v>25537</v>
      </c>
      <c r="L248" s="40">
        <v>26868</v>
      </c>
      <c r="M248" s="40">
        <v>25861</v>
      </c>
      <c r="N248" s="40">
        <v>27283</v>
      </c>
      <c r="O248" s="40">
        <v>29270</v>
      </c>
      <c r="P248" s="40">
        <v>29791</v>
      </c>
      <c r="Q248" s="40">
        <v>29515</v>
      </c>
      <c r="R248" s="40">
        <v>30797</v>
      </c>
      <c r="S248" s="40">
        <v>30201</v>
      </c>
      <c r="T248" s="40">
        <v>29643</v>
      </c>
      <c r="U248" s="40">
        <v>29605</v>
      </c>
      <c r="V248" s="40">
        <v>29363</v>
      </c>
      <c r="W248" s="40">
        <v>29258</v>
      </c>
      <c r="X248" s="40">
        <v>27774</v>
      </c>
      <c r="Y248" s="40">
        <v>28188</v>
      </c>
      <c r="Z248" s="141">
        <v>28654</v>
      </c>
      <c r="AA248" s="141">
        <v>30606</v>
      </c>
      <c r="AB248" s="141">
        <v>32929</v>
      </c>
      <c r="AC248" s="141">
        <v>33735</v>
      </c>
      <c r="AD248" s="141">
        <v>34275.869577067118</v>
      </c>
      <c r="AE248" s="141">
        <v>33547.522979522102</v>
      </c>
      <c r="AF248" s="141">
        <v>34433.116518750678</v>
      </c>
      <c r="AG248" s="141">
        <v>38603.058699335888</v>
      </c>
      <c r="AH248" s="141">
        <v>41740.641125330636</v>
      </c>
      <c r="AI248" s="141">
        <v>41923.17550871308</v>
      </c>
      <c r="AJ248" s="141">
        <v>45865.133161473932</v>
      </c>
      <c r="AK248" s="141">
        <v>47856.481847688112</v>
      </c>
      <c r="AL248" s="141">
        <v>49692.676798384731</v>
      </c>
      <c r="AM248" s="141">
        <v>53050.471145741212</v>
      </c>
      <c r="AN248" s="141">
        <v>51699.609645126904</v>
      </c>
      <c r="AO248" s="141">
        <v>48801.009249330556</v>
      </c>
      <c r="AP248" s="141">
        <v>45281.569602484582</v>
      </c>
      <c r="AQ248" s="141">
        <v>41317.878727404255</v>
      </c>
      <c r="AR248" s="141">
        <v>40566.483579465945</v>
      </c>
      <c r="AS248" s="141">
        <v>44079.676562084394</v>
      </c>
      <c r="AT248" s="141">
        <v>46362.912686015276</v>
      </c>
      <c r="AU248" s="141">
        <v>50406.857271626919</v>
      </c>
      <c r="AV248" s="226">
        <v>58033.552985801965</v>
      </c>
      <c r="AW248" s="41">
        <v>58651.667955120785</v>
      </c>
      <c r="AX248" s="41">
        <v>59639.836985415699</v>
      </c>
      <c r="AY248" s="41">
        <v>59898.412027624538</v>
      </c>
      <c r="AZ248" s="41">
        <v>59462.595079729668</v>
      </c>
      <c r="BA248" s="41">
        <v>58871.578630356234</v>
      </c>
      <c r="BB248" s="41">
        <v>58410.594597824442</v>
      </c>
      <c r="BC248" s="41">
        <v>58459.122013465589</v>
      </c>
      <c r="BD248" s="41">
        <v>58752.796481597936</v>
      </c>
      <c r="BE248" s="41">
        <v>59051.055278506567</v>
      </c>
      <c r="BF248" s="41">
        <v>59353.840180336221</v>
      </c>
      <c r="BG248" s="41">
        <v>59661.093736712384</v>
      </c>
      <c r="BH248" s="41">
        <v>59972.759157905013</v>
      </c>
      <c r="BI248" s="41">
        <v>60288.780205342002</v>
      </c>
      <c r="BJ248" s="41">
        <v>60831.264442827152</v>
      </c>
      <c r="BK248" s="41">
        <v>61829.863544078427</v>
      </c>
      <c r="BL248" s="41">
        <v>63072.643801314407</v>
      </c>
      <c r="BM248" s="41">
        <v>64340.403941720826</v>
      </c>
      <c r="BN248" s="41">
        <v>65305.494075792449</v>
      </c>
      <c r="BO248" s="41">
        <v>65958.549016550358</v>
      </c>
      <c r="BP248" s="41"/>
      <c r="BQ248" s="41"/>
      <c r="BR248" s="41"/>
      <c r="BS248" s="41"/>
      <c r="BT248" s="41"/>
      <c r="BU248" s="41"/>
      <c r="BV248" s="41"/>
      <c r="BW248" s="41"/>
      <c r="BX248" s="41"/>
      <c r="BY248" s="41"/>
      <c r="BZ248" s="41"/>
      <c r="CA248" s="41">
        <v>8892.1068493150706</v>
      </c>
      <c r="CB248" s="41">
        <v>10666.589041095891</v>
      </c>
      <c r="CC248" s="41">
        <v>20909.5</v>
      </c>
      <c r="CD248" s="41">
        <v>25581.621917808221</v>
      </c>
      <c r="CE248" s="141">
        <v>26064</v>
      </c>
      <c r="CF248" s="141">
        <v>28279</v>
      </c>
      <c r="CG248" s="141">
        <v>29653</v>
      </c>
      <c r="CH248" s="141">
        <v>30498</v>
      </c>
      <c r="CI248" s="141">
        <v>29624</v>
      </c>
      <c r="CJ248" s="141">
        <v>29310</v>
      </c>
      <c r="CK248" s="141">
        <v>27981</v>
      </c>
      <c r="CL248" s="141">
        <v>29633</v>
      </c>
      <c r="CM248" s="141">
        <v>33333</v>
      </c>
      <c r="CN248" s="41">
        <v>33910.698543229482</v>
      </c>
      <c r="CO248" s="41">
        <v>36518.087609043287</v>
      </c>
      <c r="CP248" s="41">
        <v>41832.158364122384</v>
      </c>
      <c r="CQ248" s="41">
        <v>46863.535379493645</v>
      </c>
      <c r="CR248" s="41">
        <v>51376.17369034703</v>
      </c>
      <c r="CS248" s="41">
        <v>50250.309447228727</v>
      </c>
      <c r="CT248" s="41">
        <v>43294.294451416907</v>
      </c>
      <c r="CU248" s="41">
        <v>42327.892663902043</v>
      </c>
      <c r="CV248" s="211">
        <v>48390.424628938366</v>
      </c>
      <c r="CW248" s="41">
        <v>58342.610470461368</v>
      </c>
      <c r="CX248" s="41">
        <v>59769.478718906699</v>
      </c>
      <c r="CY248" s="41">
        <v>59166.277243468474</v>
      </c>
      <c r="CZ248" s="41">
        <v>58434.92478155686</v>
      </c>
      <c r="DA248" s="41">
        <v>58901.925880052251</v>
      </c>
      <c r="DB248" s="41">
        <v>59507.887853807006</v>
      </c>
      <c r="DC248" s="41">
        <v>60131.202587167936</v>
      </c>
      <c r="DD248" s="41">
        <v>61331.931937427107</v>
      </c>
      <c r="DE248" s="41">
        <v>63706.523871517616</v>
      </c>
      <c r="DF248" s="41">
        <v>65632.916141980662</v>
      </c>
    </row>
    <row r="249" spans="1:110" s="17" customFormat="1" ht="12" outlineLevel="1">
      <c r="A249" s="1" t="s">
        <v>256</v>
      </c>
      <c r="B249" s="17" t="s">
        <v>168</v>
      </c>
      <c r="C249" s="62">
        <v>14207</v>
      </c>
      <c r="D249" s="62">
        <v>14350</v>
      </c>
      <c r="E249" s="62">
        <v>15214</v>
      </c>
      <c r="F249" s="62">
        <v>17371</v>
      </c>
      <c r="G249" s="62">
        <v>17065</v>
      </c>
      <c r="H249" s="62">
        <v>31792</v>
      </c>
      <c r="I249" s="62">
        <v>41047</v>
      </c>
      <c r="J249" s="62">
        <v>43897</v>
      </c>
      <c r="K249" s="62">
        <v>44737</v>
      </c>
      <c r="L249" s="62">
        <v>46122</v>
      </c>
      <c r="M249" s="62">
        <v>44642</v>
      </c>
      <c r="N249" s="62">
        <v>49183</v>
      </c>
      <c r="O249" s="62">
        <v>51941</v>
      </c>
      <c r="P249" s="62">
        <v>51516</v>
      </c>
      <c r="Q249" s="62">
        <v>49733</v>
      </c>
      <c r="R249" s="62">
        <v>52890</v>
      </c>
      <c r="S249" s="62">
        <v>51310</v>
      </c>
      <c r="T249" s="62">
        <v>49541</v>
      </c>
      <c r="U249" s="62">
        <v>48745</v>
      </c>
      <c r="V249" s="62">
        <v>48000</v>
      </c>
      <c r="W249" s="62">
        <v>49488</v>
      </c>
      <c r="X249" s="62">
        <v>49633</v>
      </c>
      <c r="Y249" s="62">
        <v>51841</v>
      </c>
      <c r="Z249" s="62">
        <v>54705</v>
      </c>
      <c r="AA249" s="62">
        <v>60174</v>
      </c>
      <c r="AB249" s="62">
        <v>66322</v>
      </c>
      <c r="AC249" s="62">
        <v>69266</v>
      </c>
      <c r="AD249" s="62">
        <v>70276.076794687353</v>
      </c>
      <c r="AE249" s="62">
        <v>72970.140709008672</v>
      </c>
      <c r="AF249" s="62">
        <v>75381.183312445908</v>
      </c>
      <c r="AG249" s="62">
        <v>81284.882463085349</v>
      </c>
      <c r="AH249" s="62">
        <v>84257.987815492583</v>
      </c>
      <c r="AI249" s="62">
        <v>87900.678953377152</v>
      </c>
      <c r="AJ249" s="62">
        <v>90770.016654487743</v>
      </c>
      <c r="AK249" s="62">
        <v>95510.263736590423</v>
      </c>
      <c r="AL249" s="62">
        <v>91098.691309833011</v>
      </c>
      <c r="AM249" s="62">
        <v>97129.125321405183</v>
      </c>
      <c r="AN249" s="62">
        <v>97154.996059780096</v>
      </c>
      <c r="AO249" s="62">
        <v>102481.025947337</v>
      </c>
      <c r="AP249" s="62">
        <v>101673.76110863275</v>
      </c>
      <c r="AQ249" s="62">
        <v>100740.04635150805</v>
      </c>
      <c r="AR249" s="62">
        <v>101384.99462252448</v>
      </c>
      <c r="AS249" s="62">
        <v>102501.79812410058</v>
      </c>
      <c r="AT249" s="62">
        <v>102578.6635539736</v>
      </c>
      <c r="AU249" s="62">
        <v>106613.77309472699</v>
      </c>
      <c r="AV249" s="220">
        <v>113565.02546544597</v>
      </c>
      <c r="AW249" s="62">
        <v>114774.60576201059</v>
      </c>
      <c r="AX249" s="62">
        <v>116708.33953007856</v>
      </c>
      <c r="AY249" s="62">
        <v>117214.34131253637</v>
      </c>
      <c r="AZ249" s="62">
        <v>116361.49739312199</v>
      </c>
      <c r="BA249" s="62">
        <v>115204.94580063182</v>
      </c>
      <c r="BB249" s="62">
        <v>114302.85277512905</v>
      </c>
      <c r="BC249" s="62">
        <v>114397.81537709842</v>
      </c>
      <c r="BD249" s="62">
        <v>114972.50272150694</v>
      </c>
      <c r="BE249" s="62">
        <v>115556.16107298697</v>
      </c>
      <c r="BF249" s="62">
        <v>116148.67649411326</v>
      </c>
      <c r="BG249" s="62">
        <v>116749.9365610739</v>
      </c>
      <c r="BH249" s="62">
        <v>117359.83014286269</v>
      </c>
      <c r="BI249" s="62">
        <v>117978.24718702641</v>
      </c>
      <c r="BJ249" s="62">
        <v>119039.82679184014</v>
      </c>
      <c r="BK249" s="62">
        <v>120993.97101580516</v>
      </c>
      <c r="BL249" s="62">
        <v>123425.94983322284</v>
      </c>
      <c r="BM249" s="62">
        <v>125906.81142487063</v>
      </c>
      <c r="BN249" s="62">
        <v>127795.3824327341</v>
      </c>
      <c r="BO249" s="62">
        <v>129073.33625706143</v>
      </c>
      <c r="BP249" s="62"/>
      <c r="BQ249" s="384">
        <v>7155.4998647734956</v>
      </c>
      <c r="BR249" s="384">
        <v>7466.2231237322512</v>
      </c>
      <c r="BS249" s="61">
        <v>7284</v>
      </c>
      <c r="BT249" s="61">
        <v>10604</v>
      </c>
      <c r="BU249" s="61">
        <v>12169</v>
      </c>
      <c r="BV249" s="61">
        <v>13843</v>
      </c>
      <c r="BW249" s="61">
        <v>13990</v>
      </c>
      <c r="BX249" s="61">
        <v>13728</v>
      </c>
      <c r="BY249" s="61">
        <v>13316</v>
      </c>
      <c r="BZ249" s="61">
        <v>13747</v>
      </c>
      <c r="CA249" s="62">
        <v>14780.816438356165</v>
      </c>
      <c r="CB249" s="62">
        <v>17218.419178082193</v>
      </c>
      <c r="CC249" s="62">
        <v>36419.5</v>
      </c>
      <c r="CD249" s="62">
        <v>44315.849315068503</v>
      </c>
      <c r="CE249" s="62">
        <v>45380</v>
      </c>
      <c r="CF249" s="62">
        <v>50566</v>
      </c>
      <c r="CG249" s="62">
        <v>50628</v>
      </c>
      <c r="CH249" s="62">
        <v>52097</v>
      </c>
      <c r="CI249" s="62">
        <v>49143</v>
      </c>
      <c r="CJ249" s="62">
        <v>48747</v>
      </c>
      <c r="CK249" s="62">
        <v>50736</v>
      </c>
      <c r="CL249" s="62">
        <v>57448</v>
      </c>
      <c r="CM249" s="62">
        <v>67798</v>
      </c>
      <c r="CN249" s="62">
        <v>71626.799250360782</v>
      </c>
      <c r="CO249" s="62">
        <v>78333.032887765628</v>
      </c>
      <c r="CP249" s="62">
        <v>86084.323372294981</v>
      </c>
      <c r="CQ249" s="62">
        <v>93146.633684692642</v>
      </c>
      <c r="CR249" s="62">
        <v>94122.169184128099</v>
      </c>
      <c r="CS249" s="62">
        <v>99818.011003558553</v>
      </c>
      <c r="CT249" s="62">
        <v>101205.62466875926</v>
      </c>
      <c r="CU249" s="62">
        <v>101944.9262411229</v>
      </c>
      <c r="CV249" s="220">
        <v>104601.7458716664</v>
      </c>
      <c r="CW249" s="62">
        <v>114169.81561372828</v>
      </c>
      <c r="CX249" s="62">
        <v>116962.03357443413</v>
      </c>
      <c r="CY249" s="62">
        <v>115781.63727962691</v>
      </c>
      <c r="CZ249" s="62">
        <v>114350.46416186984</v>
      </c>
      <c r="DA249" s="62">
        <v>115264.33189724696</v>
      </c>
      <c r="DB249" s="62">
        <v>116450.13017152093</v>
      </c>
      <c r="DC249" s="62">
        <v>117669.88581158039</v>
      </c>
      <c r="DD249" s="62">
        <v>120019.57581371849</v>
      </c>
      <c r="DE249" s="62">
        <v>124666.38062904673</v>
      </c>
      <c r="DF249" s="62">
        <v>128436.10996657492</v>
      </c>
    </row>
    <row r="250" spans="1:110" ht="12" outlineLevel="1">
      <c r="C250" s="41"/>
      <c r="D250" s="41"/>
      <c r="E250" s="41"/>
      <c r="F250" s="41"/>
      <c r="G250" s="41"/>
      <c r="H250" s="41"/>
      <c r="I250" s="41"/>
      <c r="J250" s="41"/>
      <c r="K250" s="41"/>
      <c r="L250" s="41"/>
      <c r="M250" s="41"/>
      <c r="N250" s="41"/>
      <c r="O250" s="41"/>
      <c r="P250" s="41"/>
      <c r="Q250" s="41"/>
      <c r="R250" s="41"/>
      <c r="S250" s="41"/>
      <c r="T250" s="41"/>
      <c r="U250" s="41"/>
      <c r="V250" s="41"/>
      <c r="W250" s="41"/>
      <c r="X250" s="41"/>
      <c r="Y250" s="41"/>
      <c r="Z250" s="41"/>
      <c r="AA250" s="41"/>
      <c r="AB250" s="41"/>
      <c r="AC250" s="41"/>
      <c r="AD250" s="41"/>
      <c r="AE250" s="41"/>
      <c r="AF250" s="41"/>
      <c r="AG250" s="41"/>
      <c r="AH250" s="41"/>
      <c r="AI250" s="41"/>
      <c r="AJ250" s="41"/>
      <c r="AK250" s="41"/>
      <c r="AL250" s="41"/>
      <c r="AM250" s="41"/>
      <c r="AN250" s="41"/>
      <c r="AO250" s="41"/>
      <c r="AP250" s="41"/>
      <c r="AQ250" s="41"/>
      <c r="AR250" s="41"/>
      <c r="AS250" s="41"/>
      <c r="AT250" s="41"/>
      <c r="AU250" s="41"/>
      <c r="AV250" s="211"/>
      <c r="AW250" s="41"/>
      <c r="AX250" s="41"/>
      <c r="AY250" s="41"/>
      <c r="AZ250" s="41"/>
      <c r="BA250" s="41"/>
      <c r="BB250" s="41"/>
      <c r="BC250" s="41"/>
      <c r="BD250" s="41"/>
      <c r="BE250" s="41"/>
      <c r="BF250" s="41"/>
      <c r="BG250" s="41"/>
      <c r="BH250" s="41"/>
      <c r="BI250" s="41"/>
      <c r="BJ250" s="41"/>
      <c r="BK250" s="41"/>
      <c r="BL250" s="41"/>
      <c r="BM250" s="41"/>
      <c r="BN250" s="41"/>
      <c r="BO250" s="41"/>
      <c r="BP250" s="41"/>
      <c r="BQ250" s="41"/>
      <c r="BR250" s="41"/>
      <c r="BS250" s="41"/>
      <c r="BT250" s="41"/>
      <c r="BU250" s="41"/>
      <c r="BV250" s="41"/>
      <c r="BW250" s="41"/>
      <c r="BX250" s="41"/>
      <c r="BY250" s="41"/>
      <c r="BZ250" s="41"/>
      <c r="CA250" s="41"/>
      <c r="CB250" s="41"/>
      <c r="CC250" s="41"/>
      <c r="CD250" s="41"/>
      <c r="CE250" s="41"/>
      <c r="CF250" s="41"/>
      <c r="CG250" s="41"/>
      <c r="CH250" s="41"/>
      <c r="CI250" s="41"/>
      <c r="CJ250" s="41"/>
      <c r="CK250" s="41"/>
      <c r="CL250" s="41"/>
      <c r="CM250" s="41"/>
      <c r="CN250" s="41"/>
      <c r="CO250" s="41"/>
      <c r="CP250" s="41"/>
      <c r="CQ250" s="41"/>
      <c r="CR250" s="41"/>
      <c r="CS250" s="41"/>
      <c r="CT250" s="41"/>
      <c r="CU250" s="41"/>
      <c r="CV250" s="211"/>
      <c r="CW250" s="41"/>
      <c r="CX250" s="41"/>
      <c r="CY250" s="41"/>
      <c r="CZ250" s="41"/>
      <c r="DA250" s="41"/>
      <c r="DB250" s="41"/>
      <c r="DC250" s="41"/>
      <c r="DD250" s="41"/>
      <c r="DE250" s="41"/>
      <c r="DF250" s="41"/>
    </row>
    <row r="251" spans="1:110" s="17" customFormat="1" ht="12" outlineLevel="1">
      <c r="A251" s="1"/>
      <c r="B251" s="17" t="s">
        <v>494</v>
      </c>
      <c r="C251" s="62"/>
      <c r="D251" s="62"/>
      <c r="E251" s="62"/>
      <c r="F251" s="62"/>
      <c r="G251" s="62"/>
      <c r="H251" s="62"/>
      <c r="I251" s="62"/>
      <c r="J251" s="62"/>
      <c r="K251" s="62"/>
      <c r="L251" s="62"/>
      <c r="M251" s="62"/>
      <c r="N251" s="62"/>
      <c r="O251" s="62"/>
      <c r="P251" s="62"/>
      <c r="Q251" s="62"/>
      <c r="R251" s="62"/>
      <c r="S251" s="62"/>
      <c r="T251" s="62"/>
      <c r="U251" s="62"/>
      <c r="V251" s="62"/>
      <c r="W251" s="62"/>
      <c r="X251" s="62"/>
      <c r="Y251" s="62"/>
      <c r="Z251" s="62"/>
      <c r="AA251" s="62"/>
      <c r="AB251" s="62"/>
      <c r="AC251" s="62"/>
      <c r="AD251" s="62"/>
      <c r="AE251" s="62"/>
      <c r="AF251" s="62"/>
      <c r="AG251" s="62"/>
      <c r="AH251" s="62"/>
      <c r="AI251" s="62"/>
      <c r="AJ251" s="62"/>
      <c r="AK251" s="62"/>
      <c r="AL251" s="62"/>
      <c r="AM251" s="62"/>
      <c r="AN251" s="62"/>
      <c r="AO251" s="62"/>
      <c r="AP251" s="62"/>
      <c r="AQ251" s="62"/>
      <c r="AR251" s="62"/>
      <c r="AS251" s="62"/>
      <c r="AT251" s="62"/>
      <c r="AU251" s="62"/>
      <c r="AV251" s="220"/>
      <c r="AW251" s="62"/>
      <c r="AX251" s="62"/>
      <c r="AY251" s="62"/>
      <c r="AZ251" s="62"/>
      <c r="BA251" s="62"/>
      <c r="BB251" s="62"/>
      <c r="BC251" s="62"/>
      <c r="BD251" s="62"/>
      <c r="BE251" s="62"/>
      <c r="BF251" s="62"/>
      <c r="BG251" s="62"/>
      <c r="BH251" s="62"/>
      <c r="BI251" s="62"/>
      <c r="BJ251" s="62"/>
      <c r="BK251" s="62"/>
      <c r="BL251" s="62"/>
      <c r="BM251" s="62"/>
      <c r="BN251" s="62"/>
      <c r="BO251" s="62"/>
      <c r="BP251" s="62"/>
      <c r="BQ251" s="62"/>
      <c r="BR251" s="62"/>
      <c r="BS251" s="62"/>
      <c r="BT251" s="62"/>
      <c r="BU251" s="62"/>
      <c r="BV251" s="62"/>
      <c r="BW251" s="62"/>
      <c r="BX251" s="62"/>
      <c r="BY251" s="62"/>
      <c r="BZ251" s="62"/>
      <c r="CA251" s="62"/>
      <c r="CB251" s="62"/>
      <c r="CC251" s="62"/>
      <c r="CD251" s="62"/>
      <c r="CE251" s="62"/>
      <c r="CF251" s="62"/>
      <c r="CG251" s="62"/>
      <c r="CH251" s="62"/>
      <c r="CI251" s="62"/>
      <c r="CJ251" s="62"/>
      <c r="CK251" s="62"/>
      <c r="CL251" s="62"/>
      <c r="CM251" s="62"/>
      <c r="CN251" s="62"/>
      <c r="CO251" s="62"/>
      <c r="CP251" s="62"/>
      <c r="CQ251" s="62"/>
      <c r="CR251" s="62"/>
      <c r="CS251" s="62"/>
      <c r="CT251" s="62"/>
      <c r="CU251" s="62"/>
      <c r="CV251" s="220"/>
      <c r="CW251" s="62"/>
      <c r="CX251" s="62"/>
      <c r="CY251" s="62"/>
      <c r="CZ251" s="62"/>
      <c r="DA251" s="62"/>
      <c r="DB251" s="62"/>
      <c r="DC251" s="62"/>
      <c r="DD251" s="62"/>
      <c r="DE251" s="62"/>
      <c r="DF251" s="62"/>
    </row>
    <row r="252" spans="1:110" ht="12" outlineLevel="1">
      <c r="A252" s="1" t="s">
        <v>257</v>
      </c>
      <c r="B252" s="15" t="s">
        <v>592</v>
      </c>
      <c r="C252" s="40">
        <v>1645</v>
      </c>
      <c r="D252" s="40">
        <v>1704</v>
      </c>
      <c r="E252" s="40">
        <v>1796</v>
      </c>
      <c r="F252" s="40">
        <v>1815</v>
      </c>
      <c r="G252" s="40">
        <v>1645</v>
      </c>
      <c r="H252" s="40">
        <v>1841</v>
      </c>
      <c r="I252" s="40">
        <v>1989</v>
      </c>
      <c r="J252" s="40">
        <v>2079</v>
      </c>
      <c r="K252" s="40">
        <v>2295</v>
      </c>
      <c r="L252" s="40">
        <v>2574</v>
      </c>
      <c r="M252" s="40">
        <v>2810</v>
      </c>
      <c r="N252" s="40">
        <v>2858</v>
      </c>
      <c r="O252" s="40">
        <v>2922</v>
      </c>
      <c r="P252" s="40">
        <v>3092</v>
      </c>
      <c r="Q252" s="40">
        <v>3024</v>
      </c>
      <c r="R252" s="40">
        <v>4052</v>
      </c>
      <c r="S252" s="40">
        <v>4029</v>
      </c>
      <c r="T252" s="40">
        <v>5646</v>
      </c>
      <c r="U252" s="40">
        <v>10417</v>
      </c>
      <c r="V252" s="40">
        <v>12431</v>
      </c>
      <c r="W252" s="40">
        <v>15792</v>
      </c>
      <c r="X252" s="40">
        <v>16476</v>
      </c>
      <c r="Y252" s="40">
        <v>16494</v>
      </c>
      <c r="Z252" s="141">
        <v>18171</v>
      </c>
      <c r="AA252" s="141">
        <v>20609</v>
      </c>
      <c r="AB252" s="141">
        <v>22041</v>
      </c>
      <c r="AC252" s="141">
        <v>23124</v>
      </c>
      <c r="AD252" s="41">
        <v>24677.014122863155</v>
      </c>
      <c r="AE252" s="41">
        <v>28050.407176388486</v>
      </c>
      <c r="AF252" s="41">
        <v>28033.709249321662</v>
      </c>
      <c r="AG252" s="41">
        <v>26786.279924464703</v>
      </c>
      <c r="AH252" s="41">
        <v>26027.782466124278</v>
      </c>
      <c r="AI252" s="41">
        <v>22350.183055210102</v>
      </c>
      <c r="AJ252" s="41">
        <v>16798.061773665191</v>
      </c>
      <c r="AK252" s="41">
        <v>12201.041828999849</v>
      </c>
      <c r="AL252" s="41">
        <v>19880.036745982186</v>
      </c>
      <c r="AM252" s="41">
        <v>22370.904584123928</v>
      </c>
      <c r="AN252" s="41">
        <v>24008.750356674951</v>
      </c>
      <c r="AO252" s="41">
        <v>27195.792488126783</v>
      </c>
      <c r="AP252" s="41">
        <v>27956.000119719713</v>
      </c>
      <c r="AQ252" s="41">
        <v>33002.429083163966</v>
      </c>
      <c r="AR252" s="41">
        <v>34091.10505365557</v>
      </c>
      <c r="AS252" s="41">
        <v>30546.76353142946</v>
      </c>
      <c r="AT252" s="41">
        <v>28745.081678214949</v>
      </c>
      <c r="AU252" s="41">
        <v>22900.184383727552</v>
      </c>
      <c r="AV252" s="211">
        <v>21011.640611586045</v>
      </c>
      <c r="AW252" s="41">
        <v>20105.928270214798</v>
      </c>
      <c r="AX252" s="41">
        <v>20604.36964008804</v>
      </c>
      <c r="AY252" s="41">
        <v>20316.627158226325</v>
      </c>
      <c r="AZ252" s="41">
        <v>19803.252412363381</v>
      </c>
      <c r="BA252" s="41">
        <v>19738.154292684078</v>
      </c>
      <c r="BB252" s="41">
        <v>19994.744481504647</v>
      </c>
      <c r="BC252" s="41">
        <v>20489.274615201317</v>
      </c>
      <c r="BD252" s="41">
        <v>21112.761279999653</v>
      </c>
      <c r="BE252" s="41">
        <v>21757.062986223027</v>
      </c>
      <c r="BF252" s="41">
        <v>22422.89126959768</v>
      </c>
      <c r="BG252" s="41">
        <v>23110.982753202945</v>
      </c>
      <c r="BH252" s="41">
        <v>23822.10003918656</v>
      </c>
      <c r="BI252" s="41">
        <v>24557.032632906936</v>
      </c>
      <c r="BJ252" s="41">
        <v>25372.635639001404</v>
      </c>
      <c r="BK252" s="41">
        <v>26331.012484731615</v>
      </c>
      <c r="BL252" s="41">
        <v>27384.252984120882</v>
      </c>
      <c r="BM252" s="41">
        <v>28479.623103485719</v>
      </c>
      <c r="BN252" s="41">
        <v>29183.237321336539</v>
      </c>
      <c r="BO252" s="41">
        <v>29475.069694549908</v>
      </c>
      <c r="BP252" s="41"/>
      <c r="BQ252" s="41"/>
      <c r="BR252" s="41"/>
      <c r="BS252" s="41"/>
      <c r="BT252" s="41"/>
      <c r="BU252" s="41"/>
      <c r="BV252" s="41"/>
      <c r="BW252" s="41"/>
      <c r="BX252" s="41"/>
      <c r="BY252" s="41"/>
      <c r="BZ252" s="41"/>
      <c r="CA252" s="41">
        <v>1749.8739726027397</v>
      </c>
      <c r="CB252" s="41">
        <v>1730.232876712329</v>
      </c>
      <c r="CC252" s="41">
        <v>1915</v>
      </c>
      <c r="CD252" s="41">
        <v>2186.7041095890409</v>
      </c>
      <c r="CE252" s="141">
        <v>2692</v>
      </c>
      <c r="CF252" s="141">
        <v>2890</v>
      </c>
      <c r="CG252" s="141">
        <v>3057</v>
      </c>
      <c r="CH252" s="141">
        <v>4040</v>
      </c>
      <c r="CI252" s="141">
        <v>8039</v>
      </c>
      <c r="CJ252" s="141">
        <v>14116</v>
      </c>
      <c r="CK252" s="141">
        <v>16484</v>
      </c>
      <c r="CL252" s="141">
        <v>19394</v>
      </c>
      <c r="CM252" s="141">
        <v>22584</v>
      </c>
      <c r="CN252" s="41">
        <v>26368.411188055325</v>
      </c>
      <c r="CO252" s="41">
        <v>27409.994586893183</v>
      </c>
      <c r="CP252" s="41">
        <v>24183.040843665891</v>
      </c>
      <c r="CQ252" s="41">
        <v>14493.262732915202</v>
      </c>
      <c r="CR252" s="41">
        <v>21128.466374420415</v>
      </c>
      <c r="CS252" s="41">
        <v>4137.5449821691145</v>
      </c>
      <c r="CT252" s="41">
        <v>30486.135737008241</v>
      </c>
      <c r="CU252" s="41">
        <v>32314.0790301833</v>
      </c>
      <c r="CV252" s="211">
        <v>25814.626322348668</v>
      </c>
      <c r="CW252" s="41">
        <v>20558.784440900421</v>
      </c>
      <c r="CX252" s="41">
        <v>20460.104231373811</v>
      </c>
      <c r="CY252" s="41">
        <v>19770.614177017316</v>
      </c>
      <c r="CZ252" s="41">
        <v>20242.686986892291</v>
      </c>
      <c r="DA252" s="41">
        <v>21434.912133111338</v>
      </c>
      <c r="DB252" s="41">
        <v>22767.879602473746</v>
      </c>
      <c r="DC252" s="41">
        <v>24190.573093024446</v>
      </c>
      <c r="DD252" s="41">
        <v>25853.136906860662</v>
      </c>
      <c r="DE252" s="41">
        <v>27931.938043803304</v>
      </c>
      <c r="DF252" s="41">
        <v>29329.553278317486</v>
      </c>
    </row>
    <row r="253" spans="1:110" ht="12" outlineLevel="1">
      <c r="A253" s="1" t="s">
        <v>158</v>
      </c>
      <c r="B253" s="15" t="s">
        <v>473</v>
      </c>
      <c r="C253" s="40">
        <v>13923</v>
      </c>
      <c r="D253" s="40">
        <v>15688</v>
      </c>
      <c r="E253" s="40">
        <v>14541</v>
      </c>
      <c r="F253" s="40">
        <v>15077</v>
      </c>
      <c r="G253" s="40">
        <v>14401</v>
      </c>
      <c r="H253" s="40">
        <v>12967</v>
      </c>
      <c r="I253" s="40">
        <v>12577</v>
      </c>
      <c r="J253" s="40">
        <v>10965</v>
      </c>
      <c r="K253" s="40">
        <v>11185</v>
      </c>
      <c r="L253" s="40">
        <v>12802</v>
      </c>
      <c r="M253" s="40">
        <v>14591</v>
      </c>
      <c r="N253" s="40">
        <v>14477</v>
      </c>
      <c r="O253" s="40">
        <v>15763</v>
      </c>
      <c r="P253" s="40">
        <v>22336</v>
      </c>
      <c r="Q253" s="40">
        <v>28213</v>
      </c>
      <c r="R253" s="40">
        <v>37338</v>
      </c>
      <c r="S253" s="40">
        <v>37179</v>
      </c>
      <c r="T253" s="40">
        <v>41425</v>
      </c>
      <c r="U253" s="40">
        <v>47262</v>
      </c>
      <c r="V253" s="40">
        <v>44739</v>
      </c>
      <c r="W253" s="40">
        <v>47980</v>
      </c>
      <c r="X253" s="40">
        <v>55915</v>
      </c>
      <c r="Y253" s="40">
        <v>65372</v>
      </c>
      <c r="Z253" s="141">
        <v>70817</v>
      </c>
      <c r="AA253" s="141">
        <v>79280</v>
      </c>
      <c r="AB253" s="141">
        <v>82570</v>
      </c>
      <c r="AC253" s="141">
        <v>82567</v>
      </c>
      <c r="AD253" s="41">
        <v>95210.468186898288</v>
      </c>
      <c r="AE253" s="41">
        <v>101111.91315594621</v>
      </c>
      <c r="AF253" s="41">
        <v>100673.00052365364</v>
      </c>
      <c r="AG253" s="41">
        <v>96418.939932923968</v>
      </c>
      <c r="AH253" s="41">
        <v>96051.278446397992</v>
      </c>
      <c r="AI253" s="41">
        <v>87472.681955390741</v>
      </c>
      <c r="AJ253" s="41">
        <v>83487.557001594963</v>
      </c>
      <c r="AK253" s="41">
        <v>89610.083871315495</v>
      </c>
      <c r="AL253" s="41">
        <v>95808.466906362242</v>
      </c>
      <c r="AM253" s="41">
        <v>102713.92864079593</v>
      </c>
      <c r="AN253" s="41">
        <v>112204.11635640015</v>
      </c>
      <c r="AO253" s="41">
        <v>103366.98092682187</v>
      </c>
      <c r="AP253" s="41">
        <v>90453.252239369031</v>
      </c>
      <c r="AQ253" s="41">
        <v>85497.106032125579</v>
      </c>
      <c r="AR253" s="41">
        <v>89540.962992028537</v>
      </c>
      <c r="AS253" s="41">
        <v>99534.420583248473</v>
      </c>
      <c r="AT253" s="41">
        <v>123191.49432898669</v>
      </c>
      <c r="AU253" s="41">
        <v>127377.92195136941</v>
      </c>
      <c r="AV253" s="211">
        <v>125458.70866369885</v>
      </c>
      <c r="AW253" s="41">
        <v>120050.77775198533</v>
      </c>
      <c r="AX253" s="41">
        <v>123026.92853263309</v>
      </c>
      <c r="AY253" s="41">
        <v>121308.84278819327</v>
      </c>
      <c r="AZ253" s="41">
        <v>118243.52609697761</v>
      </c>
      <c r="BA253" s="41">
        <v>117854.83079315176</v>
      </c>
      <c r="BB253" s="41">
        <v>119386.90886074695</v>
      </c>
      <c r="BC253" s="41">
        <v>122339.70598476873</v>
      </c>
      <c r="BD253" s="41">
        <v>126062.49152449013</v>
      </c>
      <c r="BE253" s="41">
        <v>129909.56189595033</v>
      </c>
      <c r="BF253" s="41">
        <v>133885.16561810279</v>
      </c>
      <c r="BG253" s="41">
        <v>137993.70100434026</v>
      </c>
      <c r="BH253" s="41">
        <v>142239.7214868505</v>
      </c>
      <c r="BI253" s="41">
        <v>146627.94113459089</v>
      </c>
      <c r="BJ253" s="41">
        <v>151497.83691371535</v>
      </c>
      <c r="BK253" s="41">
        <v>157220.22307580311</v>
      </c>
      <c r="BL253" s="41">
        <v>163509.03199883524</v>
      </c>
      <c r="BM253" s="41">
        <v>170049.39327878866</v>
      </c>
      <c r="BN253" s="41">
        <v>174250.61358332343</v>
      </c>
      <c r="BO253" s="41">
        <v>175993.11971915668</v>
      </c>
      <c r="BP253" s="41"/>
      <c r="BQ253" s="41"/>
      <c r="BR253" s="41"/>
      <c r="BS253" s="41"/>
      <c r="BT253" s="41"/>
      <c r="BU253" s="41"/>
      <c r="BV253" s="41"/>
      <c r="BW253" s="41"/>
      <c r="BX253" s="41"/>
      <c r="BY253" s="41"/>
      <c r="BZ253" s="41"/>
      <c r="CA253" s="41">
        <v>15116.071232876713</v>
      </c>
      <c r="CB253" s="41">
        <v>14739.926027397261</v>
      </c>
      <c r="CC253" s="41">
        <v>12772</v>
      </c>
      <c r="CD253" s="41">
        <v>11074.698630136987</v>
      </c>
      <c r="CE253" s="141">
        <v>13699</v>
      </c>
      <c r="CF253" s="141">
        <v>15122</v>
      </c>
      <c r="CG253" s="141">
        <v>25274</v>
      </c>
      <c r="CH253" s="141">
        <v>37258</v>
      </c>
      <c r="CI253" s="141">
        <v>46364</v>
      </c>
      <c r="CJ253" s="141">
        <v>46364</v>
      </c>
      <c r="CK253" s="141">
        <v>60643</v>
      </c>
      <c r="CL253" s="141">
        <v>75059</v>
      </c>
      <c r="CM253" s="141">
        <v>82568</v>
      </c>
      <c r="CN253" s="41">
        <v>98169.083061790792</v>
      </c>
      <c r="CO253" s="41">
        <v>98545.970228288803</v>
      </c>
      <c r="CP253" s="41">
        <v>91751.132808440947</v>
      </c>
      <c r="CQ253" s="41">
        <v>86557.19924038637</v>
      </c>
      <c r="CR253" s="41">
        <v>99271.073748557741</v>
      </c>
      <c r="CS253" s="41">
        <v>107785.54864161101</v>
      </c>
      <c r="CT253" s="41">
        <v>87968.381675189448</v>
      </c>
      <c r="CU253" s="41">
        <v>94551.381455571682</v>
      </c>
      <c r="CV253" s="211">
        <v>125290.44297253746</v>
      </c>
      <c r="CW253" s="41">
        <v>122754.7432078421</v>
      </c>
      <c r="CX253" s="41">
        <v>122165.53211829752</v>
      </c>
      <c r="CY253" s="41">
        <v>118048.64598574438</v>
      </c>
      <c r="CZ253" s="41">
        <v>120867.352350325</v>
      </c>
      <c r="DA253" s="41">
        <v>127986.02671022023</v>
      </c>
      <c r="DB253" s="41">
        <v>135945.06144188761</v>
      </c>
      <c r="DC253" s="41">
        <v>144439.84257051209</v>
      </c>
      <c r="DD253" s="41">
        <v>154366.86887991277</v>
      </c>
      <c r="DE253" s="41">
        <v>166779.21263881194</v>
      </c>
      <c r="DF253" s="41">
        <v>175124.25364594668</v>
      </c>
    </row>
    <row r="254" spans="1:110" s="17" customFormat="1" ht="12" outlineLevel="1">
      <c r="A254" s="1" t="s">
        <v>159</v>
      </c>
      <c r="B254" s="17" t="s">
        <v>168</v>
      </c>
      <c r="C254" s="62">
        <v>15568</v>
      </c>
      <c r="D254" s="62">
        <v>17392</v>
      </c>
      <c r="E254" s="62">
        <v>16337</v>
      </c>
      <c r="F254" s="62">
        <v>16892</v>
      </c>
      <c r="G254" s="62">
        <v>16046</v>
      </c>
      <c r="H254" s="62">
        <v>14808</v>
      </c>
      <c r="I254" s="62">
        <v>14566</v>
      </c>
      <c r="J254" s="62">
        <v>13044</v>
      </c>
      <c r="K254" s="62">
        <v>13480</v>
      </c>
      <c r="L254" s="62">
        <v>15376</v>
      </c>
      <c r="M254" s="62">
        <v>17401</v>
      </c>
      <c r="N254" s="62">
        <v>17335</v>
      </c>
      <c r="O254" s="62">
        <v>18685</v>
      </c>
      <c r="P254" s="62">
        <v>25428</v>
      </c>
      <c r="Q254" s="62">
        <v>31237</v>
      </c>
      <c r="R254" s="62">
        <v>41390</v>
      </c>
      <c r="S254" s="62">
        <v>41208</v>
      </c>
      <c r="T254" s="62">
        <v>47071</v>
      </c>
      <c r="U254" s="62">
        <v>57679</v>
      </c>
      <c r="V254" s="62">
        <v>57170</v>
      </c>
      <c r="W254" s="62">
        <v>63772</v>
      </c>
      <c r="X254" s="62">
        <v>72391</v>
      </c>
      <c r="Y254" s="62">
        <v>81866</v>
      </c>
      <c r="Z254" s="62">
        <v>88988</v>
      </c>
      <c r="AA254" s="62">
        <v>99889</v>
      </c>
      <c r="AB254" s="62">
        <v>104611</v>
      </c>
      <c r="AC254" s="62">
        <v>105691</v>
      </c>
      <c r="AD254" s="62">
        <v>119887.48230976144</v>
      </c>
      <c r="AE254" s="62">
        <v>129162.3203323347</v>
      </c>
      <c r="AF254" s="62">
        <v>128706.7097729753</v>
      </c>
      <c r="AG254" s="62">
        <v>123205.21985738867</v>
      </c>
      <c r="AH254" s="62">
        <v>122079.06091252227</v>
      </c>
      <c r="AI254" s="62">
        <v>109822.86501060084</v>
      </c>
      <c r="AJ254" s="62">
        <v>100285.61877526015</v>
      </c>
      <c r="AK254" s="62">
        <v>101811.12570031534</v>
      </c>
      <c r="AL254" s="62">
        <v>115688.50365234443</v>
      </c>
      <c r="AM254" s="62">
        <v>125084.83322491986</v>
      </c>
      <c r="AN254" s="62">
        <v>136212.86671307508</v>
      </c>
      <c r="AO254" s="62">
        <v>130562.77341494865</v>
      </c>
      <c r="AP254" s="62">
        <v>118409.25235908874</v>
      </c>
      <c r="AQ254" s="62">
        <v>118499.53511528955</v>
      </c>
      <c r="AR254" s="62">
        <v>123632.06804568411</v>
      </c>
      <c r="AS254" s="62">
        <v>130081.18411467793</v>
      </c>
      <c r="AT254" s="62">
        <v>151936.57600720163</v>
      </c>
      <c r="AU254" s="62">
        <v>150278.10633509696</v>
      </c>
      <c r="AV254" s="220">
        <v>146470.34927528491</v>
      </c>
      <c r="AW254" s="62">
        <v>140156.70602220015</v>
      </c>
      <c r="AX254" s="62">
        <v>143631.29817272114</v>
      </c>
      <c r="AY254" s="62">
        <v>141625.46994641962</v>
      </c>
      <c r="AZ254" s="62">
        <v>138046.77850934101</v>
      </c>
      <c r="BA254" s="62">
        <v>137592.98508583585</v>
      </c>
      <c r="BB254" s="62">
        <v>139381.65334225161</v>
      </c>
      <c r="BC254" s="62">
        <v>142828.98059997006</v>
      </c>
      <c r="BD254" s="62">
        <v>147175.25280448981</v>
      </c>
      <c r="BE254" s="62">
        <v>151666.62488217338</v>
      </c>
      <c r="BF254" s="62">
        <v>156308.05688770048</v>
      </c>
      <c r="BG254" s="62">
        <v>161104.68375754321</v>
      </c>
      <c r="BH254" s="62">
        <v>166061.82152603706</v>
      </c>
      <c r="BI254" s="62">
        <v>171184.97376749781</v>
      </c>
      <c r="BJ254" s="62">
        <v>176870.47255271673</v>
      </c>
      <c r="BK254" s="62">
        <v>183551.2355605347</v>
      </c>
      <c r="BL254" s="62">
        <v>190893.2849829561</v>
      </c>
      <c r="BM254" s="62">
        <v>198529.01638227436</v>
      </c>
      <c r="BN254" s="62">
        <v>203433.85090465995</v>
      </c>
      <c r="BO254" s="62">
        <v>205468.18941370657</v>
      </c>
      <c r="BP254" s="62"/>
      <c r="BQ254" s="384">
        <v>10279.400135226506</v>
      </c>
      <c r="BR254" s="384">
        <v>10725.776876267748</v>
      </c>
      <c r="BS254" s="61">
        <v>10464</v>
      </c>
      <c r="BT254" s="61">
        <v>12810</v>
      </c>
      <c r="BU254" s="61">
        <v>14923</v>
      </c>
      <c r="BV254" s="61">
        <v>19708</v>
      </c>
      <c r="BW254" s="61">
        <v>22651</v>
      </c>
      <c r="BX254" s="61">
        <v>19174</v>
      </c>
      <c r="BY254" s="61">
        <v>19244</v>
      </c>
      <c r="BZ254" s="61">
        <v>14750</v>
      </c>
      <c r="CA254" s="62">
        <v>16865.945205479453</v>
      </c>
      <c r="CB254" s="62">
        <v>16470.158904109594</v>
      </c>
      <c r="CC254" s="62">
        <v>14687</v>
      </c>
      <c r="CD254" s="62">
        <v>13261.402739726029</v>
      </c>
      <c r="CE254" s="62">
        <v>16391</v>
      </c>
      <c r="CF254" s="62">
        <v>18012</v>
      </c>
      <c r="CG254" s="62">
        <v>28331</v>
      </c>
      <c r="CH254" s="62">
        <v>41298</v>
      </c>
      <c r="CI254" s="62">
        <v>54403</v>
      </c>
      <c r="CJ254" s="62">
        <v>60480</v>
      </c>
      <c r="CK254" s="62">
        <v>77127</v>
      </c>
      <c r="CL254" s="62">
        <v>94453</v>
      </c>
      <c r="CM254" s="62">
        <v>105152</v>
      </c>
      <c r="CN254" s="62">
        <v>124537.49424984612</v>
      </c>
      <c r="CO254" s="62">
        <v>125955.96481518199</v>
      </c>
      <c r="CP254" s="62">
        <v>115934.17365210684</v>
      </c>
      <c r="CQ254" s="62">
        <v>101050.46197330157</v>
      </c>
      <c r="CR254" s="62">
        <v>120399.54012297816</v>
      </c>
      <c r="CS254" s="62">
        <v>111923.09362378012</v>
      </c>
      <c r="CT254" s="62">
        <v>118454.51741219769</v>
      </c>
      <c r="CU254" s="62">
        <v>126865.46048575499</v>
      </c>
      <c r="CV254" s="220">
        <v>151105.06929488614</v>
      </c>
      <c r="CW254" s="62">
        <v>143313.52764874254</v>
      </c>
      <c r="CX254" s="62">
        <v>142625.63634967135</v>
      </c>
      <c r="CY254" s="62">
        <v>137819.2601627617</v>
      </c>
      <c r="CZ254" s="62">
        <v>141110.03933721728</v>
      </c>
      <c r="DA254" s="62">
        <v>149420.93884333159</v>
      </c>
      <c r="DB254" s="62">
        <v>158712.94104436136</v>
      </c>
      <c r="DC254" s="62">
        <v>168630.41566353658</v>
      </c>
      <c r="DD254" s="62">
        <v>180220.00578677343</v>
      </c>
      <c r="DE254" s="62">
        <v>194711.1506826152</v>
      </c>
      <c r="DF254" s="62">
        <v>204453.80692426415</v>
      </c>
    </row>
    <row r="255" spans="1:110" ht="12" outlineLevel="1">
      <c r="C255" s="41"/>
      <c r="D255" s="41"/>
      <c r="E255" s="41"/>
      <c r="F255" s="41"/>
      <c r="G255" s="41"/>
      <c r="H255" s="41"/>
      <c r="I255" s="41"/>
      <c r="J255" s="41"/>
      <c r="K255" s="41"/>
      <c r="L255" s="41"/>
      <c r="M255" s="41"/>
      <c r="N255" s="41"/>
      <c r="O255" s="41"/>
      <c r="P255" s="41"/>
      <c r="Q255" s="41"/>
      <c r="R255" s="41"/>
      <c r="S255" s="41"/>
      <c r="T255" s="41"/>
      <c r="U255" s="41"/>
      <c r="V255" s="41"/>
      <c r="W255" s="41"/>
      <c r="X255" s="41"/>
      <c r="Y255" s="41"/>
      <c r="Z255" s="41"/>
      <c r="AA255" s="41"/>
      <c r="AB255" s="41"/>
      <c r="AC255" s="361"/>
      <c r="AD255" s="41"/>
      <c r="AE255" s="41"/>
      <c r="AF255" s="41"/>
      <c r="AG255" s="41"/>
      <c r="AH255" s="41"/>
      <c r="AI255" s="41"/>
      <c r="AJ255" s="41"/>
      <c r="AK255" s="41"/>
      <c r="AL255" s="41"/>
      <c r="AM255" s="41"/>
      <c r="AN255" s="41"/>
      <c r="AO255" s="41"/>
      <c r="AP255" s="41"/>
      <c r="AQ255" s="41"/>
      <c r="AR255" s="41"/>
      <c r="AS255" s="41"/>
      <c r="AT255" s="41"/>
      <c r="AU255" s="41"/>
      <c r="AV255" s="211"/>
      <c r="AW255" s="41"/>
      <c r="AX255" s="41"/>
      <c r="AY255" s="41"/>
      <c r="AZ255" s="41"/>
      <c r="BA255" s="41"/>
      <c r="BB255" s="41"/>
      <c r="BC255" s="41"/>
      <c r="BD255" s="41"/>
      <c r="BE255" s="41"/>
      <c r="BF255" s="41"/>
      <c r="BG255" s="41"/>
      <c r="BH255" s="41"/>
      <c r="BI255" s="41"/>
      <c r="BJ255" s="41"/>
      <c r="BK255" s="41"/>
      <c r="BL255" s="41"/>
      <c r="BM255" s="41"/>
      <c r="BN255" s="41"/>
      <c r="BO255" s="41"/>
      <c r="BP255" s="41"/>
      <c r="BQ255" s="41"/>
      <c r="BR255" s="41"/>
      <c r="BS255" s="41"/>
      <c r="BT255" s="41"/>
      <c r="BU255" s="41"/>
      <c r="BV255" s="41"/>
      <c r="BW255" s="41"/>
      <c r="BX255" s="41"/>
      <c r="BY255" s="41"/>
      <c r="BZ255" s="41"/>
      <c r="CA255" s="41"/>
      <c r="CB255" s="41"/>
      <c r="CC255" s="41"/>
      <c r="CD255" s="41"/>
      <c r="CE255" s="41"/>
      <c r="CF255" s="41"/>
      <c r="CG255" s="41"/>
      <c r="CH255" s="41"/>
      <c r="CI255" s="41"/>
      <c r="CJ255" s="41"/>
      <c r="CK255" s="41"/>
      <c r="CL255" s="41"/>
      <c r="CM255" s="41"/>
      <c r="CN255" s="41"/>
      <c r="CO255" s="41"/>
      <c r="CP255" s="41"/>
      <c r="CQ255" s="41"/>
      <c r="CR255" s="41"/>
      <c r="CS255" s="41"/>
      <c r="CT255" s="41"/>
      <c r="CU255" s="41"/>
      <c r="CV255" s="211"/>
      <c r="CW255" s="41"/>
      <c r="CX255" s="41"/>
      <c r="CY255" s="41"/>
      <c r="CZ255" s="41"/>
      <c r="DA255" s="41"/>
      <c r="DB255" s="41"/>
      <c r="DC255" s="41"/>
      <c r="DD255" s="41"/>
      <c r="DE255" s="41"/>
      <c r="DF255" s="41"/>
    </row>
    <row r="256" spans="1:110" s="17" customFormat="1" ht="12" outlineLevel="1">
      <c r="A256" s="15"/>
      <c r="B256" s="17" t="s">
        <v>499</v>
      </c>
      <c r="C256" s="62"/>
      <c r="D256" s="62"/>
      <c r="E256" s="62"/>
      <c r="F256" s="62"/>
      <c r="G256" s="62"/>
      <c r="H256" s="62"/>
      <c r="I256" s="62"/>
      <c r="J256" s="62"/>
      <c r="K256" s="62"/>
      <c r="L256" s="62"/>
      <c r="M256" s="62"/>
      <c r="N256" s="62"/>
      <c r="O256" s="62"/>
      <c r="P256" s="62"/>
      <c r="Q256" s="62"/>
      <c r="R256" s="62"/>
      <c r="S256" s="62"/>
      <c r="T256" s="62"/>
      <c r="U256" s="62"/>
      <c r="V256" s="62"/>
      <c r="W256" s="62"/>
      <c r="X256" s="62"/>
      <c r="Y256" s="62"/>
      <c r="Z256" s="62"/>
      <c r="AA256" s="62"/>
      <c r="AB256" s="62"/>
      <c r="AC256" s="41"/>
      <c r="AD256" s="415"/>
      <c r="AE256" s="415"/>
      <c r="AF256" s="415"/>
      <c r="AG256" s="415"/>
      <c r="AH256" s="415"/>
      <c r="AI256" s="62"/>
      <c r="AJ256" s="62"/>
      <c r="AK256" s="62"/>
      <c r="AL256" s="62"/>
      <c r="AM256" s="62"/>
      <c r="AN256" s="62"/>
      <c r="AO256" s="62"/>
      <c r="AP256" s="62"/>
      <c r="AQ256" s="62"/>
      <c r="AR256" s="62"/>
      <c r="AS256" s="62"/>
      <c r="AT256" s="62"/>
      <c r="AU256" s="62"/>
      <c r="AV256" s="220"/>
      <c r="AW256" s="62"/>
      <c r="AX256" s="62"/>
      <c r="AY256" s="62"/>
      <c r="AZ256" s="62"/>
      <c r="BA256" s="62"/>
      <c r="BB256" s="62"/>
      <c r="BC256" s="62"/>
      <c r="BD256" s="62"/>
      <c r="BE256" s="62"/>
      <c r="BF256" s="62"/>
      <c r="BG256" s="62"/>
      <c r="BH256" s="62"/>
      <c r="BI256" s="62"/>
      <c r="BJ256" s="62"/>
      <c r="BK256" s="62"/>
      <c r="BL256" s="62"/>
      <c r="BM256" s="62"/>
      <c r="BN256" s="62"/>
      <c r="BO256" s="62"/>
      <c r="BP256" s="62"/>
      <c r="BQ256" s="62"/>
      <c r="BR256" s="62"/>
      <c r="BS256" s="62"/>
      <c r="BT256" s="62"/>
      <c r="BU256" s="62"/>
      <c r="BV256" s="62"/>
      <c r="BW256" s="62"/>
      <c r="BX256" s="62"/>
      <c r="BY256" s="62"/>
      <c r="BZ256" s="62"/>
      <c r="CA256" s="62"/>
      <c r="CB256" s="62"/>
      <c r="CC256" s="62"/>
      <c r="CD256" s="62"/>
      <c r="CE256" s="62"/>
      <c r="CF256" s="62"/>
      <c r="CG256" s="62"/>
      <c r="CH256" s="62"/>
      <c r="CI256" s="62"/>
      <c r="CJ256" s="62"/>
      <c r="CK256" s="62"/>
      <c r="CL256" s="62"/>
      <c r="CM256" s="62"/>
      <c r="CN256" s="62"/>
      <c r="CO256" s="62"/>
      <c r="CP256" s="62"/>
      <c r="CQ256" s="62"/>
      <c r="CR256" s="62"/>
      <c r="CS256" s="62"/>
      <c r="CT256" s="62"/>
      <c r="CU256" s="62"/>
      <c r="CV256" s="220"/>
      <c r="CW256" s="62"/>
      <c r="CX256" s="62"/>
      <c r="CY256" s="62"/>
      <c r="CZ256" s="62"/>
      <c r="DA256" s="62"/>
      <c r="DB256" s="62"/>
      <c r="DC256" s="62"/>
      <c r="DD256" s="62"/>
      <c r="DE256" s="62"/>
      <c r="DF256" s="62"/>
    </row>
    <row r="257" spans="1:110" ht="12" outlineLevel="1">
      <c r="A257" s="1" t="s">
        <v>289</v>
      </c>
      <c r="B257" s="15" t="s">
        <v>592</v>
      </c>
      <c r="C257" s="41">
        <v>41869</v>
      </c>
      <c r="D257" s="41">
        <v>44887</v>
      </c>
      <c r="E257" s="41">
        <v>46958</v>
      </c>
      <c r="F257" s="41">
        <v>50278</v>
      </c>
      <c r="G257" s="41">
        <v>50952</v>
      </c>
      <c r="H257" s="41">
        <v>61458</v>
      </c>
      <c r="I257" s="41">
        <v>66792</v>
      </c>
      <c r="J257" s="41">
        <v>70618</v>
      </c>
      <c r="K257" s="41">
        <v>75203</v>
      </c>
      <c r="L257" s="41">
        <v>78364</v>
      </c>
      <c r="M257" s="41">
        <v>81913</v>
      </c>
      <c r="N257" s="41">
        <v>90484</v>
      </c>
      <c r="O257" s="41">
        <v>96334</v>
      </c>
      <c r="P257" s="41">
        <v>102148</v>
      </c>
      <c r="Q257" s="41">
        <v>101409</v>
      </c>
      <c r="R257" s="41">
        <v>110323</v>
      </c>
      <c r="S257" s="41">
        <v>115169</v>
      </c>
      <c r="T257" s="41">
        <v>113739</v>
      </c>
      <c r="U257" s="41">
        <v>116012</v>
      </c>
      <c r="V257" s="41">
        <v>119414</v>
      </c>
      <c r="W257" s="41">
        <v>129878</v>
      </c>
      <c r="X257" s="41">
        <v>141932</v>
      </c>
      <c r="Y257" s="41">
        <v>145476</v>
      </c>
      <c r="Z257" s="41">
        <v>156336</v>
      </c>
      <c r="AA257" s="41">
        <v>167985</v>
      </c>
      <c r="AB257" s="41">
        <v>185571</v>
      </c>
      <c r="AC257" s="41">
        <v>197492</v>
      </c>
      <c r="AD257" s="41">
        <v>216827</v>
      </c>
      <c r="AE257" s="41">
        <v>233194</v>
      </c>
      <c r="AF257" s="41">
        <v>246359</v>
      </c>
      <c r="AG257" s="41">
        <v>251181</v>
      </c>
      <c r="AH257" s="41">
        <v>256462</v>
      </c>
      <c r="AI257" s="41">
        <v>275538.32412694267</v>
      </c>
      <c r="AJ257" s="41">
        <v>259541.71612450649</v>
      </c>
      <c r="AK257" s="41">
        <v>257789.12281531753</v>
      </c>
      <c r="AL257" s="41">
        <v>255004.67394803528</v>
      </c>
      <c r="AM257" s="41">
        <v>273650.60550643306</v>
      </c>
      <c r="AN257" s="41">
        <v>291632.8467921738</v>
      </c>
      <c r="AO257" s="41">
        <v>339011.05838689674</v>
      </c>
      <c r="AP257" s="41">
        <v>348602.09619672201</v>
      </c>
      <c r="AQ257" s="41">
        <v>362251.42871980602</v>
      </c>
      <c r="AR257" s="41">
        <v>378614.22875134589</v>
      </c>
      <c r="AS257" s="41">
        <v>381014.63561073225</v>
      </c>
      <c r="AT257" s="41">
        <v>364418.87313887349</v>
      </c>
      <c r="AU257" s="41">
        <v>352418.24927403824</v>
      </c>
      <c r="AV257" s="211">
        <v>354660.8918996813</v>
      </c>
      <c r="AW257" s="41">
        <v>372462.93407218647</v>
      </c>
      <c r="AX257" s="41">
        <v>402785.47366537462</v>
      </c>
      <c r="AY257" s="41">
        <v>410336.86572725012</v>
      </c>
      <c r="AZ257" s="41">
        <v>417361.57542098896</v>
      </c>
      <c r="BA257" s="41">
        <v>423443.76596657734</v>
      </c>
      <c r="BB257" s="41">
        <v>429993.07888671651</v>
      </c>
      <c r="BC257" s="41">
        <v>437399.97790003009</v>
      </c>
      <c r="BD257" s="41">
        <v>445305.13381432265</v>
      </c>
      <c r="BE257" s="41">
        <v>453372.88739306835</v>
      </c>
      <c r="BF257" s="41">
        <v>461606.62134199549</v>
      </c>
      <c r="BG257" s="41">
        <v>470009.79889977595</v>
      </c>
      <c r="BH257" s="41">
        <v>478585.96573070227</v>
      </c>
      <c r="BI257" s="41">
        <v>487338.75187570223</v>
      </c>
      <c r="BJ257" s="41">
        <v>496540.49642417522</v>
      </c>
      <c r="BK257" s="41">
        <v>506476.06491776131</v>
      </c>
      <c r="BL257" s="41">
        <v>516897.82306407165</v>
      </c>
      <c r="BM257" s="41">
        <v>527546.42020367493</v>
      </c>
      <c r="BN257" s="41">
        <v>535592.73058431444</v>
      </c>
      <c r="BO257" s="41">
        <v>540948.65789015766</v>
      </c>
      <c r="BP257" s="41"/>
      <c r="BQ257" s="41"/>
      <c r="BR257" s="41"/>
      <c r="BS257" s="41"/>
      <c r="BT257" s="41"/>
      <c r="BU257" s="41"/>
      <c r="BV257" s="41"/>
      <c r="BW257" s="41"/>
      <c r="BX257" s="41"/>
      <c r="BY257" s="41"/>
      <c r="BZ257" s="41"/>
      <c r="CA257" s="41">
        <v>45919.663013698628</v>
      </c>
      <c r="CB257" s="41">
        <v>50614.076712328766</v>
      </c>
      <c r="CC257" s="41">
        <v>64125</v>
      </c>
      <c r="CD257" s="41">
        <v>72904.219178082189</v>
      </c>
      <c r="CE257" s="41">
        <v>80442</v>
      </c>
      <c r="CF257" s="41">
        <v>92876</v>
      </c>
      <c r="CG257" s="41">
        <v>101781</v>
      </c>
      <c r="CH257" s="41">
        <v>112752</v>
      </c>
      <c r="CI257" s="41">
        <v>114880</v>
      </c>
      <c r="CJ257" s="41">
        <v>124662</v>
      </c>
      <c r="CK257" s="41">
        <v>143702</v>
      </c>
      <c r="CL257" s="41">
        <v>162178</v>
      </c>
      <c r="CM257" s="41">
        <v>191548</v>
      </c>
      <c r="CN257" s="41">
        <v>225033</v>
      </c>
      <c r="CO257" s="41">
        <v>248770</v>
      </c>
      <c r="CP257" s="41">
        <v>266025.38990474108</v>
      </c>
      <c r="CQ257" s="41">
        <v>258663.02687633783</v>
      </c>
      <c r="CR257" s="41">
        <v>264352.76566087583</v>
      </c>
      <c r="CS257" s="41">
        <v>293857.22614930349</v>
      </c>
      <c r="CT257" s="41">
        <v>355445.4683932272</v>
      </c>
      <c r="CU257" s="41">
        <v>379817.72040961363</v>
      </c>
      <c r="CV257" s="211">
        <v>358402.12199568207</v>
      </c>
      <c r="CW257" s="41">
        <v>363561.91298593389</v>
      </c>
      <c r="CX257" s="41">
        <v>406571.51406899985</v>
      </c>
      <c r="CY257" s="41">
        <v>420411.00246165384</v>
      </c>
      <c r="CZ257" s="41">
        <v>433706.67483037786</v>
      </c>
      <c r="DA257" s="41">
        <v>449339.01060369547</v>
      </c>
      <c r="DB257" s="41">
        <v>465819.72132301965</v>
      </c>
      <c r="DC257" s="41">
        <v>482974.34892120911</v>
      </c>
      <c r="DD257" s="41">
        <v>501521.8910387677</v>
      </c>
      <c r="DE257" s="41">
        <v>522222.12163387326</v>
      </c>
      <c r="DF257" s="41">
        <v>538278.03112395643</v>
      </c>
    </row>
    <row r="258" spans="1:110" ht="12" outlineLevel="1">
      <c r="A258" s="1" t="s">
        <v>290</v>
      </c>
      <c r="B258" s="15" t="s">
        <v>593</v>
      </c>
      <c r="C258" s="41">
        <v>41101</v>
      </c>
      <c r="D258" s="41">
        <v>43684</v>
      </c>
      <c r="E258" s="41">
        <v>45806</v>
      </c>
      <c r="F258" s="41">
        <v>50249</v>
      </c>
      <c r="G258" s="41">
        <v>50899</v>
      </c>
      <c r="H258" s="41">
        <v>60265</v>
      </c>
      <c r="I258" s="41">
        <v>68777</v>
      </c>
      <c r="J258" s="41">
        <v>75241</v>
      </c>
      <c r="K258" s="41">
        <v>76844</v>
      </c>
      <c r="L258" s="41">
        <v>80993</v>
      </c>
      <c r="M258" s="41">
        <v>84934</v>
      </c>
      <c r="N258" s="41">
        <v>88308</v>
      </c>
      <c r="O258" s="41">
        <v>96472</v>
      </c>
      <c r="P258" s="41">
        <v>118960</v>
      </c>
      <c r="Q258" s="41">
        <v>134290</v>
      </c>
      <c r="R258" s="41">
        <v>155655</v>
      </c>
      <c r="S258" s="41">
        <v>154972</v>
      </c>
      <c r="T258" s="41">
        <v>167124</v>
      </c>
      <c r="U258" s="41">
        <v>180731</v>
      </c>
      <c r="V258" s="41">
        <v>195383</v>
      </c>
      <c r="W258" s="41">
        <v>204103</v>
      </c>
      <c r="X258" s="41">
        <v>213735</v>
      </c>
      <c r="Y258" s="41">
        <v>232524</v>
      </c>
      <c r="Z258" s="41">
        <v>234365</v>
      </c>
      <c r="AA258" s="41">
        <v>246481</v>
      </c>
      <c r="AB258" s="41">
        <v>251654</v>
      </c>
      <c r="AC258" s="41">
        <v>249868</v>
      </c>
      <c r="AD258" s="141">
        <v>257631</v>
      </c>
      <c r="AE258" s="141">
        <v>257406</v>
      </c>
      <c r="AF258" s="141">
        <v>261019</v>
      </c>
      <c r="AG258" s="141">
        <v>261295</v>
      </c>
      <c r="AH258" s="141">
        <v>264573</v>
      </c>
      <c r="AI258" s="141">
        <v>251868</v>
      </c>
      <c r="AJ258" s="141">
        <v>252003</v>
      </c>
      <c r="AK258" s="141">
        <v>255659</v>
      </c>
      <c r="AL258" s="141">
        <v>261479</v>
      </c>
      <c r="AM258" s="141">
        <v>270300</v>
      </c>
      <c r="AN258" s="141">
        <v>268561</v>
      </c>
      <c r="AO258" s="141">
        <v>247869</v>
      </c>
      <c r="AP258" s="141">
        <v>231949</v>
      </c>
      <c r="AQ258" s="141">
        <v>223195</v>
      </c>
      <c r="AR258" s="141">
        <v>215014</v>
      </c>
      <c r="AS258" s="141">
        <v>228912</v>
      </c>
      <c r="AT258" s="141">
        <v>268225</v>
      </c>
      <c r="AU258" s="141">
        <v>290592</v>
      </c>
      <c r="AV258" s="226">
        <v>308331</v>
      </c>
      <c r="AW258" s="41">
        <v>311673.04349982168</v>
      </c>
      <c r="AX258" s="41">
        <v>328600.07177619718</v>
      </c>
      <c r="AY258" s="41">
        <v>330548.25125534739</v>
      </c>
      <c r="AZ258" s="41">
        <v>330617.92878931912</v>
      </c>
      <c r="BA258" s="41">
        <v>332651.40252393106</v>
      </c>
      <c r="BB258" s="41">
        <v>336745.11187084706</v>
      </c>
      <c r="BC258" s="41">
        <v>342828.34833840112</v>
      </c>
      <c r="BD258" s="41">
        <v>349987.19324880309</v>
      </c>
      <c r="BE258" s="41">
        <v>357336.58024285513</v>
      </c>
      <c r="BF258" s="41">
        <v>364881.92363199207</v>
      </c>
      <c r="BG258" s="41">
        <v>372628.81285120978</v>
      </c>
      <c r="BH258" s="41">
        <v>380583.0181683515</v>
      </c>
      <c r="BI258" s="41">
        <v>388750.49660055462</v>
      </c>
      <c r="BJ258" s="41">
        <v>397694.15794425539</v>
      </c>
      <c r="BK258" s="41">
        <v>408015.81999993324</v>
      </c>
      <c r="BL258" s="41">
        <v>419218.86046148732</v>
      </c>
      <c r="BM258" s="41">
        <v>430770.6143751709</v>
      </c>
      <c r="BN258" s="41">
        <v>438818.3182339028</v>
      </c>
      <c r="BO258" s="41">
        <v>443206.50141624187</v>
      </c>
      <c r="BP258" s="41"/>
      <c r="BQ258" s="41"/>
      <c r="BR258" s="41"/>
      <c r="BS258" s="41"/>
      <c r="BT258" s="41"/>
      <c r="BU258" s="41"/>
      <c r="BV258" s="41"/>
      <c r="BW258" s="41"/>
      <c r="BX258" s="41"/>
      <c r="BY258" s="41"/>
      <c r="BZ258" s="41"/>
      <c r="CA258" s="41">
        <v>44742.09315068493</v>
      </c>
      <c r="CB258" s="41">
        <v>50573.109589041094</v>
      </c>
      <c r="CC258" s="41">
        <v>64521</v>
      </c>
      <c r="CD258" s="41">
        <v>76040.304109589051</v>
      </c>
      <c r="CE258" s="41">
        <v>82670</v>
      </c>
      <c r="CF258" s="41">
        <v>92401</v>
      </c>
      <c r="CG258" s="41">
        <v>126625</v>
      </c>
      <c r="CH258" s="41">
        <v>155312</v>
      </c>
      <c r="CI258" s="41">
        <v>175957</v>
      </c>
      <c r="CJ258" s="41">
        <v>199754</v>
      </c>
      <c r="CK258" s="41">
        <v>223132</v>
      </c>
      <c r="CL258" s="41">
        <v>240439</v>
      </c>
      <c r="CM258" s="41">
        <v>250758</v>
      </c>
      <c r="CN258" s="141">
        <v>257518</v>
      </c>
      <c r="CO258" s="141">
        <v>261157</v>
      </c>
      <c r="CP258" s="141">
        <v>258204</v>
      </c>
      <c r="CQ258" s="141">
        <v>253836</v>
      </c>
      <c r="CR258" s="141">
        <v>265902</v>
      </c>
      <c r="CS258" s="141">
        <v>258215</v>
      </c>
      <c r="CT258" s="141">
        <v>227560</v>
      </c>
      <c r="CU258" s="141">
        <v>221982</v>
      </c>
      <c r="CV258" s="226">
        <v>279439</v>
      </c>
      <c r="CW258" s="41">
        <v>310002.02174991084</v>
      </c>
      <c r="CX258" s="41">
        <v>329576.83025478484</v>
      </c>
      <c r="CY258" s="41">
        <v>331637.45123708347</v>
      </c>
      <c r="CZ258" s="41">
        <v>339795.06330526457</v>
      </c>
      <c r="DA258" s="41">
        <v>353661.88674582914</v>
      </c>
      <c r="DB258" s="41">
        <v>368765.98041861353</v>
      </c>
      <c r="DC258" s="41">
        <v>384677.94571107248</v>
      </c>
      <c r="DD258" s="41">
        <v>402869.12823518435</v>
      </c>
      <c r="DE258" s="41">
        <v>424994.73741832911</v>
      </c>
      <c r="DF258" s="41">
        <v>441018.42103491112</v>
      </c>
    </row>
    <row r="259" spans="1:110" s="17" customFormat="1" ht="12" outlineLevel="1">
      <c r="A259" s="1" t="s">
        <v>291</v>
      </c>
      <c r="B259" s="17" t="s">
        <v>168</v>
      </c>
      <c r="C259" s="62">
        <v>82970</v>
      </c>
      <c r="D259" s="62">
        <v>88571</v>
      </c>
      <c r="E259" s="62">
        <v>92764</v>
      </c>
      <c r="F259" s="62">
        <v>100527</v>
      </c>
      <c r="G259" s="62">
        <v>101851</v>
      </c>
      <c r="H259" s="62">
        <v>121723</v>
      </c>
      <c r="I259" s="62">
        <v>135569</v>
      </c>
      <c r="J259" s="62">
        <v>145859</v>
      </c>
      <c r="K259" s="62">
        <v>152047</v>
      </c>
      <c r="L259" s="62">
        <v>159357</v>
      </c>
      <c r="M259" s="62">
        <v>166847</v>
      </c>
      <c r="N259" s="62">
        <v>178792</v>
      </c>
      <c r="O259" s="62">
        <v>192806</v>
      </c>
      <c r="P259" s="62">
        <v>221108</v>
      </c>
      <c r="Q259" s="62">
        <v>235699</v>
      </c>
      <c r="R259" s="62">
        <v>265978</v>
      </c>
      <c r="S259" s="62">
        <v>270141</v>
      </c>
      <c r="T259" s="62">
        <v>280863</v>
      </c>
      <c r="U259" s="62">
        <v>296743</v>
      </c>
      <c r="V259" s="62">
        <v>314797</v>
      </c>
      <c r="W259" s="62">
        <v>333981</v>
      </c>
      <c r="X259" s="62">
        <v>355667</v>
      </c>
      <c r="Y259" s="62">
        <v>378000</v>
      </c>
      <c r="Z259" s="62">
        <v>390701</v>
      </c>
      <c r="AA259" s="62">
        <v>414466</v>
      </c>
      <c r="AB259" s="62">
        <v>437225</v>
      </c>
      <c r="AC259" s="62">
        <v>447360</v>
      </c>
      <c r="AD259" s="194">
        <v>474458</v>
      </c>
      <c r="AE259" s="194">
        <v>490600</v>
      </c>
      <c r="AF259" s="194">
        <v>507378</v>
      </c>
      <c r="AG259" s="194">
        <v>512476</v>
      </c>
      <c r="AH259" s="194">
        <v>521035</v>
      </c>
      <c r="AI259" s="194">
        <v>527406.32412694267</v>
      </c>
      <c r="AJ259" s="194">
        <v>511544.71612450649</v>
      </c>
      <c r="AK259" s="194">
        <v>513448.12281531753</v>
      </c>
      <c r="AL259" s="194">
        <v>516483.67394803528</v>
      </c>
      <c r="AM259" s="194">
        <v>543950.60550643306</v>
      </c>
      <c r="AN259" s="194">
        <v>560193.8467921738</v>
      </c>
      <c r="AO259" s="194">
        <v>586880.05838689674</v>
      </c>
      <c r="AP259" s="194">
        <v>580551.09619672201</v>
      </c>
      <c r="AQ259" s="194">
        <v>585446.42871980602</v>
      </c>
      <c r="AR259" s="194">
        <v>593628.22875134589</v>
      </c>
      <c r="AS259" s="194">
        <v>609926.63561073225</v>
      </c>
      <c r="AT259" s="194">
        <v>632643.87313887349</v>
      </c>
      <c r="AU259" s="194">
        <v>643010.24927403824</v>
      </c>
      <c r="AV259" s="227">
        <v>662991.8918996813</v>
      </c>
      <c r="AW259" s="62">
        <v>684135.97757200815</v>
      </c>
      <c r="AX259" s="62">
        <v>731385.54544157186</v>
      </c>
      <c r="AY259" s="62">
        <v>740885.11698259751</v>
      </c>
      <c r="AZ259" s="62">
        <v>747979.50421030808</v>
      </c>
      <c r="BA259" s="62">
        <v>756095.16849050834</v>
      </c>
      <c r="BB259" s="62">
        <v>766738.19075756357</v>
      </c>
      <c r="BC259" s="62">
        <v>780228.32623843127</v>
      </c>
      <c r="BD259" s="62">
        <v>795292.32706312579</v>
      </c>
      <c r="BE259" s="62">
        <v>810709.46763592353</v>
      </c>
      <c r="BF259" s="62">
        <v>826488.54497398762</v>
      </c>
      <c r="BG259" s="62">
        <v>842638.61175098573</v>
      </c>
      <c r="BH259" s="62">
        <v>859168.98389905377</v>
      </c>
      <c r="BI259" s="62">
        <v>876089.24847625685</v>
      </c>
      <c r="BJ259" s="62">
        <v>894234.65436843061</v>
      </c>
      <c r="BK259" s="62">
        <v>914491.88491769461</v>
      </c>
      <c r="BL259" s="62">
        <v>936116.68352555903</v>
      </c>
      <c r="BM259" s="62">
        <v>958317.03457884584</v>
      </c>
      <c r="BN259" s="62">
        <v>974411.04881821724</v>
      </c>
      <c r="BO259" s="62">
        <v>984155.15930639952</v>
      </c>
      <c r="BP259" s="62"/>
      <c r="BQ259" s="62">
        <v>45587.3</v>
      </c>
      <c r="BR259" s="62">
        <v>46844</v>
      </c>
      <c r="BS259" s="62">
        <v>46917</v>
      </c>
      <c r="BT259" s="62">
        <v>58974</v>
      </c>
      <c r="BU259" s="62">
        <v>64583</v>
      </c>
      <c r="BV259" s="62">
        <v>74316</v>
      </c>
      <c r="BW259" s="62">
        <v>81038</v>
      </c>
      <c r="BX259" s="62">
        <v>81087</v>
      </c>
      <c r="BY259" s="62">
        <v>87180</v>
      </c>
      <c r="BZ259" s="62">
        <v>81684</v>
      </c>
      <c r="CA259" s="62">
        <v>90661.75616438358</v>
      </c>
      <c r="CB259" s="62">
        <v>101187.18630136987</v>
      </c>
      <c r="CC259" s="62">
        <v>128646</v>
      </c>
      <c r="CD259" s="62">
        <v>148944.52328767124</v>
      </c>
      <c r="CE259" s="62">
        <v>163112</v>
      </c>
      <c r="CF259" s="62">
        <v>185277</v>
      </c>
      <c r="CG259" s="62">
        <v>228406</v>
      </c>
      <c r="CH259" s="62">
        <v>268064</v>
      </c>
      <c r="CI259" s="62">
        <v>290837</v>
      </c>
      <c r="CJ259" s="62">
        <v>324416</v>
      </c>
      <c r="CK259" s="62">
        <v>366834</v>
      </c>
      <c r="CL259" s="62">
        <v>402617</v>
      </c>
      <c r="CM259" s="62">
        <v>442306</v>
      </c>
      <c r="CN259" s="194">
        <v>482551</v>
      </c>
      <c r="CO259" s="62">
        <v>509927</v>
      </c>
      <c r="CP259" s="62">
        <v>524229.38990474108</v>
      </c>
      <c r="CQ259" s="62">
        <v>512499.02687633783</v>
      </c>
      <c r="CR259" s="62">
        <v>530254.76566087583</v>
      </c>
      <c r="CS259" s="62">
        <v>552072.22614930349</v>
      </c>
      <c r="CT259" s="62">
        <v>583005.4683932272</v>
      </c>
      <c r="CU259" s="62">
        <v>601799.75876577804</v>
      </c>
      <c r="CV259" s="220">
        <v>637841.26172170951</v>
      </c>
      <c r="CW259" s="62">
        <v>673563.93473584473</v>
      </c>
      <c r="CX259" s="62">
        <v>736148.3443237847</v>
      </c>
      <c r="CY259" s="62">
        <v>752048.45369873731</v>
      </c>
      <c r="CZ259" s="62">
        <v>773501.7381356426</v>
      </c>
      <c r="DA259" s="62">
        <v>803000.89734952466</v>
      </c>
      <c r="DB259" s="62">
        <v>834585.70174163335</v>
      </c>
      <c r="DC259" s="62">
        <v>867652.29463228164</v>
      </c>
      <c r="DD259" s="62">
        <v>904391.01927395188</v>
      </c>
      <c r="DE259" s="62">
        <v>947216.85905220243</v>
      </c>
      <c r="DF259" s="62">
        <v>979296.4521588675</v>
      </c>
    </row>
    <row r="260" spans="1:110" ht="12" outlineLevel="1">
      <c r="A260" s="1" t="s">
        <v>924</v>
      </c>
      <c r="B260" s="15" t="s">
        <v>277</v>
      </c>
      <c r="C260" s="40">
        <v>196391</v>
      </c>
      <c r="D260" s="40">
        <v>190790</v>
      </c>
      <c r="E260" s="40">
        <v>186597</v>
      </c>
      <c r="F260" s="40">
        <v>178834</v>
      </c>
      <c r="G260" s="40">
        <v>177510</v>
      </c>
      <c r="H260" s="40">
        <v>157638</v>
      </c>
      <c r="I260" s="40">
        <v>143792</v>
      </c>
      <c r="J260" s="40">
        <v>84189</v>
      </c>
      <c r="K260" s="40">
        <v>93615</v>
      </c>
      <c r="L260" s="40">
        <v>120004</v>
      </c>
      <c r="M260" s="40">
        <v>124101</v>
      </c>
      <c r="N260" s="40">
        <v>127352</v>
      </c>
      <c r="O260" s="40">
        <v>136274</v>
      </c>
      <c r="P260" s="40">
        <v>144542</v>
      </c>
      <c r="Q260" s="40">
        <v>150716</v>
      </c>
      <c r="R260" s="40">
        <v>144938</v>
      </c>
      <c r="S260" s="40">
        <v>129867</v>
      </c>
      <c r="T260" s="40">
        <v>128173</v>
      </c>
      <c r="U260" s="40">
        <v>133693</v>
      </c>
      <c r="V260" s="40">
        <v>124787</v>
      </c>
      <c r="W260" s="40">
        <v>124016</v>
      </c>
      <c r="X260" s="40">
        <v>127324</v>
      </c>
      <c r="Y260" s="40">
        <v>128904</v>
      </c>
      <c r="Z260" s="141">
        <v>132997</v>
      </c>
      <c r="AA260" s="141">
        <v>144676</v>
      </c>
      <c r="AB260" s="141">
        <v>155621</v>
      </c>
      <c r="AC260" s="141">
        <v>172899</v>
      </c>
      <c r="AD260" s="141">
        <v>188241</v>
      </c>
      <c r="AE260" s="141">
        <v>191710</v>
      </c>
      <c r="AF260" s="141">
        <v>196757</v>
      </c>
      <c r="AG260" s="141">
        <v>196554</v>
      </c>
      <c r="AH260" s="141">
        <v>201869</v>
      </c>
      <c r="AI260" s="141">
        <v>200787</v>
      </c>
      <c r="AJ260" s="141">
        <v>211944.00000000006</v>
      </c>
      <c r="AK260" s="141">
        <v>225105.99999999994</v>
      </c>
      <c r="AL260" s="141">
        <v>238396.99999999994</v>
      </c>
      <c r="AM260" s="141">
        <v>232790</v>
      </c>
      <c r="AN260" s="141">
        <v>249055</v>
      </c>
      <c r="AO260" s="141">
        <v>248064</v>
      </c>
      <c r="AP260" s="141">
        <v>229895</v>
      </c>
      <c r="AQ260" s="141">
        <v>232274</v>
      </c>
      <c r="AR260" s="141">
        <v>238467</v>
      </c>
      <c r="AS260" s="141">
        <v>252180</v>
      </c>
      <c r="AT260" s="141">
        <v>274941</v>
      </c>
      <c r="AU260" s="141">
        <v>272874</v>
      </c>
      <c r="AV260" s="226">
        <v>302811</v>
      </c>
      <c r="AW260" s="41">
        <v>297410.44475989277</v>
      </c>
      <c r="AX260" s="41">
        <v>325129.83284969814</v>
      </c>
      <c r="AY260" s="41">
        <v>333240.27978174144</v>
      </c>
      <c r="AZ260" s="41">
        <v>340939.73986414156</v>
      </c>
      <c r="BA260" s="41">
        <v>346263.25711129163</v>
      </c>
      <c r="BB260" s="41">
        <v>351183.87332252786</v>
      </c>
      <c r="BC260" s="41">
        <v>356266.61595781567</v>
      </c>
      <c r="BD260" s="41">
        <v>361758.30933379568</v>
      </c>
      <c r="BE260" s="41">
        <v>367121.98876529885</v>
      </c>
      <c r="BF260" s="41">
        <v>372697.96483081579</v>
      </c>
      <c r="BG260" s="41">
        <v>378240.12206836534</v>
      </c>
      <c r="BH260" s="41">
        <v>383980.98446483642</v>
      </c>
      <c r="BI260" s="41">
        <v>387406.71947471285</v>
      </c>
      <c r="BJ260" s="41">
        <v>391706.92820659652</v>
      </c>
      <c r="BK260" s="41">
        <v>398411.91788594681</v>
      </c>
      <c r="BL260" s="41">
        <v>405250.03509570798</v>
      </c>
      <c r="BM260" s="41">
        <v>412132.8878242902</v>
      </c>
      <c r="BN260" s="41">
        <v>417447.99578667397</v>
      </c>
      <c r="BO260" s="41">
        <v>420870.26174675138</v>
      </c>
      <c r="BP260" s="41"/>
      <c r="BQ260" s="40">
        <v>31541.699999999997</v>
      </c>
      <c r="BR260" s="40">
        <v>30047</v>
      </c>
      <c r="BS260" s="40">
        <v>32530</v>
      </c>
      <c r="BT260" s="40">
        <v>26724</v>
      </c>
      <c r="BU260" s="40">
        <v>28861</v>
      </c>
      <c r="BV260" s="40">
        <v>32882</v>
      </c>
      <c r="BW260" s="40">
        <v>30568</v>
      </c>
      <c r="BX260" s="40">
        <v>30018</v>
      </c>
      <c r="BY260" s="40">
        <v>36223</v>
      </c>
      <c r="BZ260" s="40">
        <v>44753</v>
      </c>
      <c r="CA260" s="41">
        <v>188699.24383561645</v>
      </c>
      <c r="CB260" s="41">
        <v>178173.81369863017</v>
      </c>
      <c r="CC260" s="41">
        <v>150715</v>
      </c>
      <c r="CD260" s="41">
        <v>88889.08767123289</v>
      </c>
      <c r="CE260" s="141">
        <v>122058</v>
      </c>
      <c r="CF260" s="141">
        <v>132365</v>
      </c>
      <c r="CG260" s="141">
        <v>147621</v>
      </c>
      <c r="CH260" s="141">
        <v>137381</v>
      </c>
      <c r="CI260" s="141">
        <v>128929</v>
      </c>
      <c r="CJ260" s="141">
        <v>127230</v>
      </c>
      <c r="CK260" s="40">
        <v>128113</v>
      </c>
      <c r="CL260" s="141">
        <v>138580</v>
      </c>
      <c r="CM260" s="141">
        <v>164285</v>
      </c>
      <c r="CN260" s="141">
        <v>189982</v>
      </c>
      <c r="CO260" s="41">
        <v>196655.5</v>
      </c>
      <c r="CP260" s="41">
        <v>201326.51780821919</v>
      </c>
      <c r="CQ260" s="41">
        <v>218543.03013698632</v>
      </c>
      <c r="CR260" s="41">
        <v>235585.81917808219</v>
      </c>
      <c r="CS260" s="41">
        <v>240922.5</v>
      </c>
      <c r="CT260" s="41">
        <v>231087.75890410959</v>
      </c>
      <c r="CU260" s="41">
        <v>245342.28493150685</v>
      </c>
      <c r="CV260" s="211">
        <v>273904.66849315068</v>
      </c>
      <c r="CW260" s="41">
        <v>300110.72237994638</v>
      </c>
      <c r="CX260" s="41">
        <v>329196.16651699657</v>
      </c>
      <c r="CY260" s="41">
        <v>343608.79097709624</v>
      </c>
      <c r="CZ260" s="41">
        <v>353732.20730131597</v>
      </c>
      <c r="DA260" s="41">
        <v>364440.14904954727</v>
      </c>
      <c r="DB260" s="41">
        <v>375476.63544580643</v>
      </c>
      <c r="DC260" s="41">
        <v>385698.54475745943</v>
      </c>
      <c r="DD260" s="41">
        <v>395068.60796364065</v>
      </c>
      <c r="DE260" s="41">
        <v>408691.46145999903</v>
      </c>
      <c r="DF260" s="41">
        <v>419163.81680227444</v>
      </c>
    </row>
    <row r="261" spans="1:110" ht="12" outlineLevel="1">
      <c r="A261" s="1" t="s">
        <v>925</v>
      </c>
      <c r="B261" s="15" t="s">
        <v>278</v>
      </c>
      <c r="C261" s="41">
        <v>-137859</v>
      </c>
      <c r="D261" s="41">
        <v>-135413</v>
      </c>
      <c r="E261" s="41">
        <v>-131481</v>
      </c>
      <c r="F261" s="41">
        <v>-120209</v>
      </c>
      <c r="G261" s="41">
        <v>-114220</v>
      </c>
      <c r="H261" s="41">
        <v>-80275</v>
      </c>
      <c r="I261" s="41">
        <v>-54141</v>
      </c>
      <c r="J261" s="41">
        <v>14858</v>
      </c>
      <c r="K261" s="41">
        <v>15752</v>
      </c>
      <c r="L261" s="41">
        <v>15003</v>
      </c>
      <c r="M261" s="41">
        <v>15014</v>
      </c>
      <c r="N261" s="41">
        <v>17523</v>
      </c>
      <c r="O261" s="41">
        <v>13925</v>
      </c>
      <c r="P261" s="41">
        <v>13164</v>
      </c>
      <c r="Q261" s="41">
        <v>16321</v>
      </c>
      <c r="R261" s="41">
        <v>24187</v>
      </c>
      <c r="S261" s="41">
        <v>19859</v>
      </c>
      <c r="T261" s="41">
        <v>19600</v>
      </c>
      <c r="U261" s="41">
        <v>19425</v>
      </c>
      <c r="V261" s="41">
        <v>18445</v>
      </c>
      <c r="W261" s="41">
        <v>18817</v>
      </c>
      <c r="X261" s="41">
        <v>25771</v>
      </c>
      <c r="Y261" s="41">
        <v>31257</v>
      </c>
      <c r="Z261" s="41">
        <v>32566</v>
      </c>
      <c r="AA261" s="41">
        <v>36856</v>
      </c>
      <c r="AB261" s="41">
        <v>39554</v>
      </c>
      <c r="AC261" s="41">
        <v>41256</v>
      </c>
      <c r="AD261" s="41">
        <v>39504</v>
      </c>
      <c r="AE261" s="41">
        <v>49429</v>
      </c>
      <c r="AF261" s="41">
        <v>27260</v>
      </c>
      <c r="AG261" s="41">
        <v>21245</v>
      </c>
      <c r="AH261" s="41">
        <v>21002</v>
      </c>
      <c r="AI261" s="41">
        <v>23879.675873057335</v>
      </c>
      <c r="AJ261" s="41">
        <v>41697.283875493449</v>
      </c>
      <c r="AK261" s="41">
        <v>45946.877184682526</v>
      </c>
      <c r="AL261" s="41">
        <v>56647.326051964774</v>
      </c>
      <c r="AM261" s="41">
        <v>38091.394493566942</v>
      </c>
      <c r="AN261" s="41">
        <v>47402.153207826195</v>
      </c>
      <c r="AO261" s="41">
        <v>34165.941613103263</v>
      </c>
      <c r="AP261" s="41">
        <v>47077.903803277994</v>
      </c>
      <c r="AQ261" s="41">
        <v>52104.571280193981</v>
      </c>
      <c r="AR261" s="41">
        <v>67582.771248654113</v>
      </c>
      <c r="AS261" s="41">
        <v>58233.36438926775</v>
      </c>
      <c r="AT261" s="41">
        <v>65387.126861126511</v>
      </c>
      <c r="AU261" s="41">
        <v>61290.750725961756</v>
      </c>
      <c r="AV261" s="211">
        <v>49818.108100318699</v>
      </c>
      <c r="AW261" s="41">
        <v>46610.20920336921</v>
      </c>
      <c r="AX261" s="41">
        <v>47305.045544321103</v>
      </c>
      <c r="AY261" s="41">
        <v>47488.036751908381</v>
      </c>
      <c r="AZ261" s="41">
        <v>47770.626403372313</v>
      </c>
      <c r="BA261" s="41">
        <v>48215.095789468156</v>
      </c>
      <c r="BB261" s="41">
        <v>48729.929809089146</v>
      </c>
      <c r="BC261" s="41">
        <v>49576.556987237353</v>
      </c>
      <c r="BD261" s="41">
        <v>50296.58929910147</v>
      </c>
      <c r="BE261" s="41">
        <v>51250.094217755221</v>
      </c>
      <c r="BF261" s="41">
        <v>52098.117938591029</v>
      </c>
      <c r="BG261" s="41">
        <v>53088.144369954229</v>
      </c>
      <c r="BH261" s="41">
        <v>53989.029030606725</v>
      </c>
      <c r="BI261" s="41">
        <v>57315.994389598534</v>
      </c>
      <c r="BJ261" s="41">
        <v>60121.559639460604</v>
      </c>
      <c r="BK261" s="41">
        <v>61120.050075426509</v>
      </c>
      <c r="BL261" s="41">
        <v>62346.99665332662</v>
      </c>
      <c r="BM261" s="41">
        <v>63651.967947104029</v>
      </c>
      <c r="BN261" s="41">
        <v>64861.137161534672</v>
      </c>
      <c r="BO261" s="41">
        <v>66261.962530939505</v>
      </c>
      <c r="BP261" s="41"/>
      <c r="BQ261" s="41">
        <v>4482.8000000000029</v>
      </c>
      <c r="BR261" s="41">
        <v>5704</v>
      </c>
      <c r="BS261" s="41">
        <v>4010</v>
      </c>
      <c r="BT261" s="41">
        <v>5214</v>
      </c>
      <c r="BU261" s="41">
        <v>6287</v>
      </c>
      <c r="BV261" s="41">
        <v>6044</v>
      </c>
      <c r="BW261" s="41">
        <v>8122</v>
      </c>
      <c r="BX261" s="41">
        <v>9086</v>
      </c>
      <c r="BY261" s="41">
        <v>9755</v>
      </c>
      <c r="BZ261" s="41">
        <v>12864</v>
      </c>
      <c r="CA261" s="41">
        <v>-133452.38630136987</v>
      </c>
      <c r="CB261" s="41">
        <v>-117222.70410958905</v>
      </c>
      <c r="CC261" s="41">
        <v>-67208</v>
      </c>
      <c r="CD261" s="41">
        <v>15303.775342465753</v>
      </c>
      <c r="CE261" s="41">
        <v>15536</v>
      </c>
      <c r="CF261" s="41">
        <v>15719</v>
      </c>
      <c r="CG261" s="41">
        <v>14748</v>
      </c>
      <c r="CH261" s="41">
        <v>22019</v>
      </c>
      <c r="CI261" s="41">
        <v>19511</v>
      </c>
      <c r="CJ261" s="41">
        <v>22656</v>
      </c>
      <c r="CK261" s="41">
        <v>28514</v>
      </c>
      <c r="CL261" s="41">
        <v>34142</v>
      </c>
      <c r="CM261" s="41">
        <v>40406</v>
      </c>
      <c r="CN261" s="41">
        <v>44479</v>
      </c>
      <c r="CO261" s="41">
        <v>24252.5</v>
      </c>
      <c r="CP261" s="41">
        <v>22444.092287039733</v>
      </c>
      <c r="CQ261" s="41">
        <v>43841.942986675858</v>
      </c>
      <c r="CR261" s="41">
        <v>47378.415161041979</v>
      </c>
      <c r="CS261" s="41">
        <v>69887.273850696511</v>
      </c>
      <c r="CT261" s="41">
        <v>49597.772702663206</v>
      </c>
      <c r="CU261" s="41">
        <v>62894.956302715116</v>
      </c>
      <c r="CV261" s="211">
        <v>63333.069785139814</v>
      </c>
      <c r="CW261" s="41">
        <v>48214.158651844016</v>
      </c>
      <c r="CX261" s="41">
        <v>47396.791821001796</v>
      </c>
      <c r="CY261" s="41">
        <v>47993.469958592847</v>
      </c>
      <c r="CZ261" s="41">
        <v>49154.403161420836</v>
      </c>
      <c r="DA261" s="41">
        <v>50773.341758428258</v>
      </c>
      <c r="DB261" s="41">
        <v>52594.487354863319</v>
      </c>
      <c r="DC261" s="41">
        <v>55657.06919689558</v>
      </c>
      <c r="DD261" s="41">
        <v>60622.172652561509</v>
      </c>
      <c r="DE261" s="41">
        <v>62999.482300215343</v>
      </c>
      <c r="DF261" s="41">
        <v>65563.468785099336</v>
      </c>
    </row>
    <row r="262" spans="1:110" s="17" customFormat="1" ht="12" outlineLevel="1">
      <c r="A262" s="1" t="s">
        <v>926</v>
      </c>
      <c r="B262" s="17" t="s">
        <v>582</v>
      </c>
      <c r="C262" s="62">
        <v>141502</v>
      </c>
      <c r="D262" s="62">
        <v>143948</v>
      </c>
      <c r="E262" s="62">
        <v>147880</v>
      </c>
      <c r="F262" s="62">
        <v>159152</v>
      </c>
      <c r="G262" s="62">
        <v>165141</v>
      </c>
      <c r="H262" s="62">
        <v>199086</v>
      </c>
      <c r="I262" s="62">
        <v>225220</v>
      </c>
      <c r="J262" s="62">
        <v>244906</v>
      </c>
      <c r="K262" s="62">
        <v>261414</v>
      </c>
      <c r="L262" s="62">
        <v>294364</v>
      </c>
      <c r="M262" s="62">
        <v>305962</v>
      </c>
      <c r="N262" s="62">
        <v>323667</v>
      </c>
      <c r="O262" s="62">
        <v>343005</v>
      </c>
      <c r="P262" s="62">
        <v>378814</v>
      </c>
      <c r="Q262" s="62">
        <v>402736</v>
      </c>
      <c r="R262" s="62">
        <v>435103</v>
      </c>
      <c r="S262" s="62">
        <v>419867</v>
      </c>
      <c r="T262" s="62">
        <v>428636</v>
      </c>
      <c r="U262" s="62">
        <v>449861</v>
      </c>
      <c r="V262" s="62">
        <v>458029</v>
      </c>
      <c r="W262" s="62">
        <v>476814</v>
      </c>
      <c r="X262" s="62">
        <v>508762</v>
      </c>
      <c r="Y262" s="62">
        <v>538161</v>
      </c>
      <c r="Z262" s="62">
        <v>556264</v>
      </c>
      <c r="AA262" s="62">
        <v>595998</v>
      </c>
      <c r="AB262" s="62">
        <v>632400</v>
      </c>
      <c r="AC262" s="62">
        <v>661515</v>
      </c>
      <c r="AD262" s="62">
        <v>702203</v>
      </c>
      <c r="AE262" s="62">
        <v>731739</v>
      </c>
      <c r="AF262" s="62">
        <v>731395</v>
      </c>
      <c r="AG262" s="62">
        <v>730275</v>
      </c>
      <c r="AH262" s="62">
        <v>743906</v>
      </c>
      <c r="AI262" s="62">
        <v>752073</v>
      </c>
      <c r="AJ262" s="62">
        <v>765186</v>
      </c>
      <c r="AK262" s="62">
        <v>784501</v>
      </c>
      <c r="AL262" s="62">
        <v>811528</v>
      </c>
      <c r="AM262" s="62">
        <v>814832</v>
      </c>
      <c r="AN262" s="62">
        <v>856651</v>
      </c>
      <c r="AO262" s="62">
        <v>869110</v>
      </c>
      <c r="AP262" s="62">
        <v>857524</v>
      </c>
      <c r="AQ262" s="62">
        <v>869825</v>
      </c>
      <c r="AR262" s="62">
        <v>899678</v>
      </c>
      <c r="AS262" s="62">
        <v>920340</v>
      </c>
      <c r="AT262" s="62">
        <v>972972</v>
      </c>
      <c r="AU262" s="62">
        <v>977175</v>
      </c>
      <c r="AV262" s="220">
        <v>1015621</v>
      </c>
      <c r="AW262" s="62">
        <v>1028156.6315352701</v>
      </c>
      <c r="AX262" s="62">
        <v>1103820.4238355912</v>
      </c>
      <c r="AY262" s="62">
        <v>1121613.4335162474</v>
      </c>
      <c r="AZ262" s="62">
        <v>1136689.8704778219</v>
      </c>
      <c r="BA262" s="62">
        <v>1150573.5213912681</v>
      </c>
      <c r="BB262" s="62">
        <v>1166651.9938891805</v>
      </c>
      <c r="BC262" s="62">
        <v>1186071.4991834844</v>
      </c>
      <c r="BD262" s="62">
        <v>1207347.2256960229</v>
      </c>
      <c r="BE262" s="62">
        <v>1229081.5506189775</v>
      </c>
      <c r="BF262" s="62">
        <v>1251284.6277433943</v>
      </c>
      <c r="BG262" s="62">
        <v>1273966.8781893053</v>
      </c>
      <c r="BH262" s="62">
        <v>1297138.9973944968</v>
      </c>
      <c r="BI262" s="62">
        <v>1320811.9623405682</v>
      </c>
      <c r="BJ262" s="62">
        <v>1346063.1422144878</v>
      </c>
      <c r="BK262" s="62">
        <v>1374023.8528790679</v>
      </c>
      <c r="BL262" s="62">
        <v>1403713.7152745936</v>
      </c>
      <c r="BM262" s="62">
        <v>1434101.89035024</v>
      </c>
      <c r="BN262" s="62">
        <v>1456720.181766426</v>
      </c>
      <c r="BO262" s="62">
        <v>1471287.3835840905</v>
      </c>
      <c r="BP262" s="62"/>
      <c r="BQ262" s="62">
        <v>81611.8</v>
      </c>
      <c r="BR262" s="62">
        <v>82595</v>
      </c>
      <c r="BS262" s="62">
        <v>83457</v>
      </c>
      <c r="BT262" s="62">
        <v>90912</v>
      </c>
      <c r="BU262" s="62">
        <v>99731</v>
      </c>
      <c r="BV262" s="62">
        <v>113242</v>
      </c>
      <c r="BW262" s="62">
        <v>119728</v>
      </c>
      <c r="BX262" s="62">
        <v>120191</v>
      </c>
      <c r="BY262" s="62">
        <v>133158</v>
      </c>
      <c r="BZ262" s="62">
        <v>139301</v>
      </c>
      <c r="CA262" s="62">
        <v>145908.61369863016</v>
      </c>
      <c r="CB262" s="62">
        <v>162138.29589041098</v>
      </c>
      <c r="CC262" s="62">
        <v>212153</v>
      </c>
      <c r="CD262" s="62">
        <v>253137.38630136987</v>
      </c>
      <c r="CE262" s="62">
        <v>300706</v>
      </c>
      <c r="CF262" s="62">
        <v>333361</v>
      </c>
      <c r="CG262" s="62">
        <v>390775</v>
      </c>
      <c r="CH262" s="62">
        <v>427464</v>
      </c>
      <c r="CI262" s="62">
        <v>439277</v>
      </c>
      <c r="CJ262" s="62">
        <v>474302</v>
      </c>
      <c r="CK262" s="62">
        <v>523461</v>
      </c>
      <c r="CL262" s="62">
        <v>575339</v>
      </c>
      <c r="CM262" s="62">
        <v>646997</v>
      </c>
      <c r="CN262" s="62">
        <v>717012</v>
      </c>
      <c r="CO262" s="62">
        <v>730835</v>
      </c>
      <c r="CP262" s="62">
        <v>748000</v>
      </c>
      <c r="CQ262" s="62">
        <v>774884</v>
      </c>
      <c r="CR262" s="62">
        <v>813219</v>
      </c>
      <c r="CS262" s="62">
        <v>862882</v>
      </c>
      <c r="CT262" s="62">
        <v>863691</v>
      </c>
      <c r="CU262" s="62">
        <v>910037</v>
      </c>
      <c r="CV262" s="220">
        <v>975079</v>
      </c>
      <c r="CW262" s="62">
        <v>1021888.8157676351</v>
      </c>
      <c r="CX262" s="62">
        <v>1112741.3026617831</v>
      </c>
      <c r="CY262" s="62">
        <v>1143650.7146344264</v>
      </c>
      <c r="CZ262" s="62">
        <v>1176388.3485983794</v>
      </c>
      <c r="DA262" s="62">
        <v>1218214.3881575002</v>
      </c>
      <c r="DB262" s="62">
        <v>1262656.8245423031</v>
      </c>
      <c r="DC262" s="62">
        <v>1309007.9085866367</v>
      </c>
      <c r="DD262" s="62">
        <v>1360081.799890154</v>
      </c>
      <c r="DE262" s="62">
        <v>1418907.8028124168</v>
      </c>
      <c r="DF262" s="62">
        <v>1464023.7377462413</v>
      </c>
    </row>
    <row r="263" spans="1:110" ht="12" outlineLevel="1">
      <c r="C263" s="41"/>
      <c r="D263" s="41"/>
      <c r="E263" s="41"/>
      <c r="F263" s="41"/>
      <c r="G263" s="41"/>
      <c r="H263" s="41"/>
      <c r="I263" s="41"/>
      <c r="J263" s="41"/>
      <c r="K263" s="41"/>
      <c r="L263" s="41"/>
      <c r="M263" s="41"/>
      <c r="N263" s="41"/>
      <c r="O263" s="41"/>
      <c r="P263" s="41"/>
      <c r="Q263" s="41"/>
      <c r="R263" s="41"/>
      <c r="S263" s="41"/>
      <c r="T263" s="41"/>
      <c r="U263" s="41"/>
      <c r="V263" s="41"/>
      <c r="W263" s="41"/>
      <c r="X263" s="41"/>
      <c r="Y263" s="41"/>
      <c r="Z263" s="41"/>
      <c r="AA263" s="41"/>
      <c r="AB263" s="41"/>
      <c r="AC263" s="41"/>
      <c r="AD263" s="41"/>
      <c r="AE263" s="41"/>
      <c r="AF263" s="41"/>
      <c r="AG263" s="41"/>
      <c r="AH263" s="41"/>
      <c r="AI263" s="41"/>
      <c r="AJ263" s="41"/>
      <c r="AK263" s="41"/>
      <c r="AL263" s="41"/>
      <c r="AM263" s="41"/>
      <c r="AN263" s="41"/>
      <c r="AO263" s="41"/>
      <c r="AP263" s="41"/>
      <c r="AQ263" s="41"/>
      <c r="AR263" s="41"/>
      <c r="AS263" s="41"/>
      <c r="AT263" s="41"/>
      <c r="AU263" s="41"/>
      <c r="AV263" s="211"/>
      <c r="AW263" s="41"/>
      <c r="AX263" s="41"/>
      <c r="AY263" s="41"/>
      <c r="AZ263" s="41"/>
      <c r="BA263" s="41"/>
      <c r="BB263" s="41"/>
      <c r="BC263" s="41"/>
      <c r="BD263" s="41"/>
      <c r="BE263" s="41"/>
      <c r="BF263" s="41"/>
      <c r="BG263" s="41"/>
      <c r="BH263" s="41"/>
      <c r="BI263" s="41"/>
      <c r="BJ263" s="41"/>
      <c r="BK263" s="41"/>
      <c r="BL263" s="41"/>
      <c r="BM263" s="41"/>
      <c r="BN263" s="41"/>
      <c r="BO263" s="41"/>
      <c r="BP263" s="41"/>
      <c r="BQ263" s="41"/>
      <c r="BR263" s="41"/>
      <c r="BS263" s="41"/>
      <c r="BT263" s="41"/>
      <c r="BU263" s="41"/>
      <c r="BV263" s="41"/>
      <c r="BW263" s="41"/>
      <c r="BX263" s="41"/>
      <c r="BY263" s="41"/>
      <c r="BZ263" s="41"/>
      <c r="CA263" s="41"/>
      <c r="CB263" s="41"/>
      <c r="CC263" s="41"/>
      <c r="CD263" s="41"/>
      <c r="CE263" s="41"/>
      <c r="CF263" s="41"/>
      <c r="CG263" s="41"/>
      <c r="CH263" s="41"/>
      <c r="CI263" s="41"/>
      <c r="CJ263" s="41"/>
      <c r="CK263" s="41"/>
      <c r="CL263" s="41"/>
      <c r="CM263" s="41"/>
      <c r="CN263" s="41"/>
      <c r="CO263" s="41"/>
      <c r="CP263" s="41"/>
      <c r="CQ263" s="41"/>
      <c r="CR263" s="41"/>
      <c r="CS263" s="41"/>
      <c r="CT263" s="41"/>
      <c r="CU263" s="41"/>
      <c r="CV263" s="211"/>
      <c r="CW263" s="41"/>
      <c r="CX263" s="41"/>
      <c r="CY263" s="41"/>
      <c r="CZ263" s="41"/>
      <c r="DA263" s="41"/>
      <c r="DB263" s="41"/>
      <c r="DC263" s="41"/>
      <c r="DD263" s="41"/>
      <c r="DE263" s="41"/>
      <c r="DF263" s="41"/>
    </row>
    <row r="264" spans="1:110" s="17" customFormat="1" ht="12" outlineLevel="1">
      <c r="A264" s="15"/>
      <c r="B264" s="17" t="s">
        <v>500</v>
      </c>
      <c r="C264" s="62"/>
      <c r="D264" s="62"/>
      <c r="E264" s="62"/>
      <c r="F264" s="62"/>
      <c r="G264" s="62"/>
      <c r="H264" s="62"/>
      <c r="I264" s="62"/>
      <c r="J264" s="62"/>
      <c r="K264" s="62"/>
      <c r="L264" s="62"/>
      <c r="M264" s="62"/>
      <c r="N264" s="62"/>
      <c r="O264" s="62"/>
      <c r="P264" s="62"/>
      <c r="Q264" s="62"/>
      <c r="R264" s="62"/>
      <c r="S264" s="62"/>
      <c r="T264" s="62"/>
      <c r="U264" s="62"/>
      <c r="V264" s="62"/>
      <c r="W264" s="62"/>
      <c r="X264" s="62"/>
      <c r="Y264" s="62"/>
      <c r="Z264" s="62"/>
      <c r="AA264" s="62"/>
      <c r="AB264" s="62"/>
      <c r="AC264" s="62"/>
      <c r="AD264" s="62"/>
      <c r="AE264" s="62"/>
      <c r="AF264" s="62"/>
      <c r="AG264" s="62"/>
      <c r="AH264" s="62"/>
      <c r="AI264" s="62"/>
      <c r="AJ264" s="62"/>
      <c r="AK264" s="62"/>
      <c r="AL264" s="62"/>
      <c r="AM264" s="62"/>
      <c r="AN264" s="62"/>
      <c r="AO264" s="62"/>
      <c r="AP264" s="62"/>
      <c r="AQ264" s="62"/>
      <c r="AR264" s="62"/>
      <c r="AS264" s="62"/>
      <c r="AT264" s="62"/>
      <c r="AU264" s="62"/>
      <c r="AV264" s="220"/>
      <c r="AW264" s="62"/>
      <c r="AX264" s="62"/>
      <c r="AY264" s="62"/>
      <c r="AZ264" s="62"/>
      <c r="BA264" s="62"/>
      <c r="BB264" s="62"/>
      <c r="BC264" s="62"/>
      <c r="BD264" s="62"/>
      <c r="BE264" s="62"/>
      <c r="BF264" s="62"/>
      <c r="BG264" s="62"/>
      <c r="BH264" s="62"/>
      <c r="BI264" s="62"/>
      <c r="BJ264" s="62"/>
      <c r="BK264" s="62"/>
      <c r="BL264" s="62"/>
      <c r="BM264" s="62"/>
      <c r="BN264" s="62"/>
      <c r="BO264" s="62"/>
      <c r="BP264" s="62"/>
      <c r="BQ264" s="62"/>
      <c r="BR264" s="62"/>
      <c r="BS264" s="62"/>
      <c r="BT264" s="62"/>
      <c r="BU264" s="62"/>
      <c r="BV264" s="62"/>
      <c r="BW264" s="62"/>
      <c r="BX264" s="62"/>
      <c r="BY264" s="62"/>
      <c r="BZ264" s="62"/>
      <c r="CA264" s="62"/>
      <c r="CB264" s="62"/>
      <c r="CC264" s="62"/>
      <c r="CD264" s="62"/>
      <c r="CE264" s="62"/>
      <c r="CF264" s="62"/>
      <c r="CG264" s="62"/>
      <c r="CH264" s="62"/>
      <c r="CI264" s="62"/>
      <c r="CJ264" s="62"/>
      <c r="CK264" s="62"/>
      <c r="CL264" s="62"/>
      <c r="CM264" s="62"/>
      <c r="CN264" s="62"/>
      <c r="CO264" s="62"/>
      <c r="CP264" s="62"/>
      <c r="CQ264" s="62"/>
      <c r="CR264" s="62"/>
      <c r="CS264" s="62"/>
      <c r="CT264" s="62"/>
      <c r="CU264" s="62"/>
      <c r="CV264" s="220"/>
      <c r="CW264" s="62"/>
      <c r="CX264" s="62"/>
      <c r="CY264" s="62"/>
      <c r="CZ264" s="62"/>
      <c r="DA264" s="62"/>
      <c r="DB264" s="62"/>
      <c r="DC264" s="62"/>
      <c r="DD264" s="62"/>
      <c r="DE264" s="62"/>
      <c r="DF264" s="62"/>
    </row>
    <row r="265" spans="1:110" ht="12" outlineLevel="1">
      <c r="A265" s="1" t="s">
        <v>292</v>
      </c>
      <c r="B265" s="15" t="s">
        <v>435</v>
      </c>
      <c r="C265" s="41">
        <v>4774</v>
      </c>
      <c r="D265" s="41">
        <v>4919</v>
      </c>
      <c r="E265" s="41">
        <v>2532</v>
      </c>
      <c r="F265" s="41">
        <v>0</v>
      </c>
      <c r="G265" s="41">
        <v>0</v>
      </c>
      <c r="H265" s="41">
        <v>0</v>
      </c>
      <c r="I265" s="41">
        <v>0</v>
      </c>
      <c r="J265" s="41">
        <v>0</v>
      </c>
      <c r="K265" s="41">
        <v>0</v>
      </c>
      <c r="L265" s="41">
        <v>0</v>
      </c>
      <c r="M265" s="41">
        <v>9518.0049999999992</v>
      </c>
      <c r="N265" s="41">
        <v>20248.269999999997</v>
      </c>
      <c r="O265" s="41">
        <v>21998.55</v>
      </c>
      <c r="P265" s="41">
        <v>22034.32</v>
      </c>
      <c r="Q265" s="41">
        <v>21029.084999999999</v>
      </c>
      <c r="R265" s="41">
        <v>18599.174999999999</v>
      </c>
      <c r="S265" s="41">
        <v>18312.28</v>
      </c>
      <c r="T265" s="41">
        <v>29278.77</v>
      </c>
      <c r="U265" s="41">
        <v>34185.5</v>
      </c>
      <c r="V265" s="41">
        <v>34824</v>
      </c>
      <c r="W265" s="41">
        <v>33877.5</v>
      </c>
      <c r="X265" s="41">
        <v>33033.5</v>
      </c>
      <c r="Y265" s="41">
        <v>33508.5</v>
      </c>
      <c r="Z265" s="41">
        <v>34151.5</v>
      </c>
      <c r="AA265" s="41">
        <v>35358</v>
      </c>
      <c r="AB265" s="41">
        <v>36317.5</v>
      </c>
      <c r="AC265" s="41">
        <v>37235.5</v>
      </c>
      <c r="AD265" s="41">
        <v>39022</v>
      </c>
      <c r="AE265" s="41">
        <v>39500.5</v>
      </c>
      <c r="AF265" s="41">
        <v>38558</v>
      </c>
      <c r="AG265" s="41">
        <v>38951</v>
      </c>
      <c r="AH265" s="41">
        <v>19739</v>
      </c>
      <c r="AI265" s="41">
        <v>0</v>
      </c>
      <c r="AJ265" s="41">
        <v>0</v>
      </c>
      <c r="AK265" s="41">
        <v>0</v>
      </c>
      <c r="AL265" s="41">
        <v>0</v>
      </c>
      <c r="AM265" s="41">
        <v>0</v>
      </c>
      <c r="AN265" s="41">
        <v>0</v>
      </c>
      <c r="AO265" s="41">
        <v>0</v>
      </c>
      <c r="AP265" s="41">
        <v>0</v>
      </c>
      <c r="AQ265" s="41">
        <v>0</v>
      </c>
      <c r="AR265" s="41">
        <v>0</v>
      </c>
      <c r="AS265" s="41">
        <v>0</v>
      </c>
      <c r="AT265" s="41">
        <v>0</v>
      </c>
      <c r="AU265" s="41">
        <v>0</v>
      </c>
      <c r="AV265" s="211">
        <v>0</v>
      </c>
      <c r="AW265" s="41">
        <v>0</v>
      </c>
      <c r="AX265" s="41">
        <v>0</v>
      </c>
      <c r="AY265" s="41">
        <v>0</v>
      </c>
      <c r="AZ265" s="41">
        <v>0</v>
      </c>
      <c r="BA265" s="41">
        <v>0</v>
      </c>
      <c r="BB265" s="41">
        <v>0</v>
      </c>
      <c r="BC265" s="41">
        <v>0</v>
      </c>
      <c r="BD265" s="41">
        <v>0</v>
      </c>
      <c r="BE265" s="41">
        <v>0</v>
      </c>
      <c r="BF265" s="41">
        <v>0</v>
      </c>
      <c r="BG265" s="41">
        <v>0</v>
      </c>
      <c r="BH265" s="41">
        <v>0</v>
      </c>
      <c r="BI265" s="41">
        <v>0</v>
      </c>
      <c r="BJ265" s="41">
        <v>0</v>
      </c>
      <c r="BK265" s="41">
        <v>0</v>
      </c>
      <c r="BL265" s="41">
        <v>0</v>
      </c>
      <c r="BM265" s="41">
        <v>0</v>
      </c>
      <c r="BN265" s="41">
        <v>0</v>
      </c>
      <c r="BO265" s="41">
        <v>0</v>
      </c>
      <c r="BP265" s="41"/>
      <c r="BQ265" s="41">
        <v>0</v>
      </c>
      <c r="BR265" s="41">
        <v>0</v>
      </c>
      <c r="BS265" s="41">
        <v>0</v>
      </c>
      <c r="BT265" s="41">
        <v>0</v>
      </c>
      <c r="BU265" s="41">
        <v>0</v>
      </c>
      <c r="BV265" s="41">
        <v>0</v>
      </c>
      <c r="BW265" s="41">
        <v>0</v>
      </c>
      <c r="BX265" s="41">
        <v>2031.5</v>
      </c>
      <c r="BY265" s="41">
        <v>4401</v>
      </c>
      <c r="BZ265" s="41">
        <v>4756.5</v>
      </c>
      <c r="CA265" s="41">
        <v>3728.7698630136988</v>
      </c>
      <c r="CB265" s="41">
        <v>0</v>
      </c>
      <c r="CC265" s="41">
        <v>0</v>
      </c>
      <c r="CD265" s="41">
        <v>0</v>
      </c>
      <c r="CE265" s="41">
        <v>4745.9641369863011</v>
      </c>
      <c r="CF265" s="41">
        <v>21121.012356164385</v>
      </c>
      <c r="CG265" s="41">
        <v>21531.702499999999</v>
      </c>
      <c r="CH265" s="41">
        <v>18456.120506849311</v>
      </c>
      <c r="CI265" s="41">
        <v>31725.413452054796</v>
      </c>
      <c r="CJ265" s="41">
        <v>34352.046575342472</v>
      </c>
      <c r="CK265" s="41">
        <v>33271</v>
      </c>
      <c r="CL265" s="41">
        <v>34753.097260273971</v>
      </c>
      <c r="CM265" s="41">
        <v>36775.242465753428</v>
      </c>
      <c r="CN265" s="41">
        <v>39260.594520547944</v>
      </c>
      <c r="CO265" s="41">
        <v>38754.5</v>
      </c>
      <c r="CP265" s="41">
        <v>9842.4602739726033</v>
      </c>
      <c r="CQ265" s="41">
        <v>0</v>
      </c>
      <c r="CR265" s="41">
        <v>0</v>
      </c>
      <c r="CS265" s="41">
        <v>0</v>
      </c>
      <c r="CT265" s="41">
        <v>0</v>
      </c>
      <c r="CU265" s="41">
        <v>0</v>
      </c>
      <c r="CV265" s="211">
        <v>0</v>
      </c>
      <c r="CW265" s="41">
        <v>0</v>
      </c>
      <c r="CX265" s="41">
        <v>0</v>
      </c>
      <c r="CY265" s="41">
        <v>0</v>
      </c>
      <c r="CZ265" s="41">
        <v>0</v>
      </c>
      <c r="DA265" s="41">
        <v>0</v>
      </c>
      <c r="DB265" s="41">
        <v>0</v>
      </c>
      <c r="DC265" s="41">
        <v>0</v>
      </c>
      <c r="DD265" s="41">
        <v>0</v>
      </c>
      <c r="DE265" s="41">
        <v>0</v>
      </c>
      <c r="DF265" s="41">
        <v>0</v>
      </c>
    </row>
    <row r="266" spans="1:110" ht="12" outlineLevel="1">
      <c r="A266" s="1" t="s">
        <v>293</v>
      </c>
      <c r="B266" s="15" t="s">
        <v>436</v>
      </c>
      <c r="C266" s="40">
        <v>0</v>
      </c>
      <c r="D266" s="40">
        <v>0</v>
      </c>
      <c r="E266" s="40">
        <v>0</v>
      </c>
      <c r="F266" s="40">
        <v>0</v>
      </c>
      <c r="G266" s="40">
        <v>0</v>
      </c>
      <c r="H266" s="40">
        <v>0</v>
      </c>
      <c r="I266" s="40">
        <v>0</v>
      </c>
      <c r="J266" s="40">
        <v>0</v>
      </c>
      <c r="K266" s="40">
        <v>0</v>
      </c>
      <c r="L266" s="40">
        <v>0</v>
      </c>
      <c r="M266" s="40">
        <v>0</v>
      </c>
      <c r="N266" s="40">
        <v>0</v>
      </c>
      <c r="O266" s="40">
        <v>0</v>
      </c>
      <c r="P266" s="40">
        <v>0</v>
      </c>
      <c r="Q266" s="40">
        <v>0</v>
      </c>
      <c r="R266" s="40">
        <v>0</v>
      </c>
      <c r="S266" s="40">
        <v>0</v>
      </c>
      <c r="T266" s="41">
        <v>5333</v>
      </c>
      <c r="U266" s="41">
        <v>10365</v>
      </c>
      <c r="V266" s="41">
        <v>10150.5</v>
      </c>
      <c r="W266" s="41">
        <v>13179</v>
      </c>
      <c r="X266" s="41">
        <v>16785.5</v>
      </c>
      <c r="Y266" s="41">
        <v>17815.5</v>
      </c>
      <c r="Z266" s="41">
        <v>19084.5</v>
      </c>
      <c r="AA266" s="41">
        <v>21333.5</v>
      </c>
      <c r="AB266" s="41">
        <v>23797.5</v>
      </c>
      <c r="AC266" s="41">
        <v>24296</v>
      </c>
      <c r="AD266" s="41">
        <v>25886</v>
      </c>
      <c r="AE266" s="41">
        <v>27398</v>
      </c>
      <c r="AF266" s="41">
        <v>17453</v>
      </c>
      <c r="AG266" s="41">
        <v>8489.5</v>
      </c>
      <c r="AH266" s="41">
        <v>18015.5</v>
      </c>
      <c r="AI266" s="41">
        <v>28091.5</v>
      </c>
      <c r="AJ266" s="41">
        <v>29760.5</v>
      </c>
      <c r="AK266" s="41">
        <v>30665</v>
      </c>
      <c r="AL266" s="41">
        <v>32275</v>
      </c>
      <c r="AM266" s="41">
        <v>34785</v>
      </c>
      <c r="AN266" s="41">
        <v>33703.5</v>
      </c>
      <c r="AO266" s="41">
        <v>32130.5</v>
      </c>
      <c r="AP266" s="41">
        <v>33051.5</v>
      </c>
      <c r="AQ266" s="41">
        <v>35387.5</v>
      </c>
      <c r="AR266" s="41">
        <v>35999.5</v>
      </c>
      <c r="AS266" s="41">
        <v>32521.5</v>
      </c>
      <c r="AT266" s="41">
        <v>32452</v>
      </c>
      <c r="AU266" s="41">
        <v>34562.5</v>
      </c>
      <c r="AV266" s="211">
        <v>35852</v>
      </c>
      <c r="AW266" s="41">
        <v>37476.798865572651</v>
      </c>
      <c r="AX266" s="41">
        <v>38461.908597335831</v>
      </c>
      <c r="AY266" s="41">
        <v>39820.094744679249</v>
      </c>
      <c r="AZ266" s="41">
        <v>41226.241840350733</v>
      </c>
      <c r="BA266" s="41">
        <v>42682.043505338108</v>
      </c>
      <c r="BB266" s="41">
        <v>44189.253166620358</v>
      </c>
      <c r="BC266" s="41">
        <v>45749.686169066626</v>
      </c>
      <c r="BD266" s="41">
        <v>47365.22196191179</v>
      </c>
      <c r="BE266" s="41">
        <v>49037.806362441799</v>
      </c>
      <c r="BF266" s="41">
        <v>50769.453899615517</v>
      </c>
      <c r="BG266" s="41">
        <v>52562.250240445683</v>
      </c>
      <c r="BH266" s="41">
        <v>54418.354702061413</v>
      </c>
      <c r="BI266" s="41">
        <v>56340.002852477948</v>
      </c>
      <c r="BJ266" s="41">
        <v>58329.509203206071</v>
      </c>
      <c r="BK266" s="41">
        <v>60389.269996944276</v>
      </c>
      <c r="BL266" s="41">
        <v>62521.766093711369</v>
      </c>
      <c r="BM266" s="41">
        <v>64729.565958895546</v>
      </c>
      <c r="BN266" s="41">
        <v>67015.328756819043</v>
      </c>
      <c r="BO266" s="41">
        <v>69381.807553544204</v>
      </c>
      <c r="BP266" s="41"/>
      <c r="BQ266" s="41">
        <v>9700</v>
      </c>
      <c r="BR266" s="41">
        <v>9700</v>
      </c>
      <c r="BS266" s="41">
        <v>9850</v>
      </c>
      <c r="BT266" s="41">
        <v>10000</v>
      </c>
      <c r="BU266" s="41">
        <v>10656</v>
      </c>
      <c r="BV266" s="41">
        <v>12395</v>
      </c>
      <c r="BW266" s="41">
        <v>13958.5</v>
      </c>
      <c r="BX266" s="41">
        <v>12822</v>
      </c>
      <c r="BY266" s="41">
        <v>11006</v>
      </c>
      <c r="BZ266" s="41">
        <v>12534.504999999999</v>
      </c>
      <c r="CA266" s="41">
        <v>0</v>
      </c>
      <c r="CB266" s="41">
        <v>0</v>
      </c>
      <c r="CC266" s="41">
        <v>0</v>
      </c>
      <c r="CD266" s="41">
        <v>0</v>
      </c>
      <c r="CE266" s="41">
        <v>0</v>
      </c>
      <c r="CF266" s="41">
        <v>0</v>
      </c>
      <c r="CG266" s="41">
        <v>0</v>
      </c>
      <c r="CH266" s="41">
        <v>0</v>
      </c>
      <c r="CI266" s="41">
        <v>7842.1068493150688</v>
      </c>
      <c r="CJ266" s="41">
        <v>11660.601369863014</v>
      </c>
      <c r="CK266" s="41">
        <v>17300.5</v>
      </c>
      <c r="CL266" s="41">
        <v>20205.919178082193</v>
      </c>
      <c r="CM266" s="41">
        <v>24046.067123287674</v>
      </c>
      <c r="CN266" s="41">
        <v>26639.928767123289</v>
      </c>
      <c r="CO266" s="41">
        <v>12971.25</v>
      </c>
      <c r="CP266" s="41">
        <v>23067.302739726027</v>
      </c>
      <c r="CQ266" s="41">
        <v>30213.989041095891</v>
      </c>
      <c r="CR266" s="41">
        <v>33533.438356164384</v>
      </c>
      <c r="CS266" s="41">
        <v>32917</v>
      </c>
      <c r="CT266" s="41">
        <v>34222.699999999997</v>
      </c>
      <c r="CU266" s="41">
        <v>34255.735616438353</v>
      </c>
      <c r="CV266" s="211">
        <v>33510.141095890409</v>
      </c>
      <c r="CW266" s="41">
        <v>36664.399432786326</v>
      </c>
      <c r="CX266" s="41">
        <v>39142.862199976502</v>
      </c>
      <c r="CY266" s="41">
        <v>41956.13692170057</v>
      </c>
      <c r="CZ266" s="41">
        <v>44971.607247298896</v>
      </c>
      <c r="DA266" s="41">
        <v>48201.514162176791</v>
      </c>
      <c r="DB266" s="41">
        <v>51668.307955429002</v>
      </c>
      <c r="DC266" s="41">
        <v>55381.811171996276</v>
      </c>
      <c r="DD266" s="41">
        <v>59362.21119020359</v>
      </c>
      <c r="DE266" s="41">
        <v>63625.66602630345</v>
      </c>
      <c r="DF266" s="41">
        <v>68201.809906957962</v>
      </c>
    </row>
    <row r="267" spans="1:110" s="17" customFormat="1" ht="12" outlineLevel="1">
      <c r="A267" s="1" t="s">
        <v>294</v>
      </c>
      <c r="B267" s="17" t="s">
        <v>387</v>
      </c>
      <c r="C267" s="62">
        <v>15810</v>
      </c>
      <c r="D267" s="62">
        <v>15121.145</v>
      </c>
      <c r="E267" s="62">
        <v>13743.435000000001</v>
      </c>
      <c r="F267" s="62">
        <v>13301.172500000001</v>
      </c>
      <c r="G267" s="62">
        <v>13794.357499999998</v>
      </c>
      <c r="H267" s="62">
        <v>14288.89</v>
      </c>
      <c r="I267" s="62">
        <v>14784.769999999999</v>
      </c>
      <c r="J267" s="62">
        <v>15157.2925</v>
      </c>
      <c r="K267" s="62">
        <v>15406.4575</v>
      </c>
      <c r="L267" s="62">
        <v>16029.614999999998</v>
      </c>
      <c r="M267" s="62">
        <v>17782.099999999999</v>
      </c>
      <c r="N267" s="62">
        <v>20248.269999999997</v>
      </c>
      <c r="O267" s="62">
        <v>21998.55</v>
      </c>
      <c r="P267" s="62">
        <v>22034.32</v>
      </c>
      <c r="Q267" s="62">
        <v>21029.084999999999</v>
      </c>
      <c r="R267" s="62">
        <v>18599.174999999999</v>
      </c>
      <c r="S267" s="62">
        <v>18312.28</v>
      </c>
      <c r="T267" s="62">
        <v>34611.770000000004</v>
      </c>
      <c r="U267" s="62">
        <v>44550.5</v>
      </c>
      <c r="V267" s="62">
        <v>44974.5</v>
      </c>
      <c r="W267" s="62">
        <v>47056.5</v>
      </c>
      <c r="X267" s="62">
        <v>49819</v>
      </c>
      <c r="Y267" s="62">
        <v>51324</v>
      </c>
      <c r="Z267" s="62">
        <v>53236</v>
      </c>
      <c r="AA267" s="62">
        <v>56691.5</v>
      </c>
      <c r="AB267" s="62">
        <v>60115</v>
      </c>
      <c r="AC267" s="62">
        <v>61531.5</v>
      </c>
      <c r="AD267" s="62">
        <v>64908</v>
      </c>
      <c r="AE267" s="62">
        <v>66898.5</v>
      </c>
      <c r="AF267" s="62">
        <v>56011</v>
      </c>
      <c r="AG267" s="62">
        <v>47440.5</v>
      </c>
      <c r="AH267" s="62">
        <v>37754.5</v>
      </c>
      <c r="AI267" s="62">
        <v>28091.5</v>
      </c>
      <c r="AJ267" s="62">
        <v>29760.5</v>
      </c>
      <c r="AK267" s="62">
        <v>30665</v>
      </c>
      <c r="AL267" s="62">
        <v>32275</v>
      </c>
      <c r="AM267" s="62">
        <v>34785</v>
      </c>
      <c r="AN267" s="62">
        <v>33703.5</v>
      </c>
      <c r="AO267" s="62">
        <v>32130.5</v>
      </c>
      <c r="AP267" s="62">
        <v>33051.5</v>
      </c>
      <c r="AQ267" s="62">
        <v>35387.5</v>
      </c>
      <c r="AR267" s="62">
        <v>35999.5</v>
      </c>
      <c r="AS267" s="62">
        <v>32521.5</v>
      </c>
      <c r="AT267" s="62">
        <v>32452</v>
      </c>
      <c r="AU267" s="62">
        <v>34562.5</v>
      </c>
      <c r="AV267" s="220">
        <v>35852</v>
      </c>
      <c r="AW267" s="62">
        <v>37476.798865572651</v>
      </c>
      <c r="AX267" s="62">
        <v>38461.908597335831</v>
      </c>
      <c r="AY267" s="62">
        <v>39820.094744679249</v>
      </c>
      <c r="AZ267" s="62">
        <v>41226.241840350733</v>
      </c>
      <c r="BA267" s="62">
        <v>42682.043505338108</v>
      </c>
      <c r="BB267" s="62">
        <v>44189.253166620358</v>
      </c>
      <c r="BC267" s="62">
        <v>45749.686169066626</v>
      </c>
      <c r="BD267" s="62">
        <v>47365.22196191179</v>
      </c>
      <c r="BE267" s="62">
        <v>49037.806362441799</v>
      </c>
      <c r="BF267" s="62">
        <v>50769.453899615517</v>
      </c>
      <c r="BG267" s="62">
        <v>52562.250240445683</v>
      </c>
      <c r="BH267" s="62">
        <v>54418.354702061413</v>
      </c>
      <c r="BI267" s="62">
        <v>56340.002852477948</v>
      </c>
      <c r="BJ267" s="62">
        <v>58329.509203206071</v>
      </c>
      <c r="BK267" s="62">
        <v>60389.269996944276</v>
      </c>
      <c r="BL267" s="62">
        <v>62521.766093711369</v>
      </c>
      <c r="BM267" s="62">
        <v>64729.565958895546</v>
      </c>
      <c r="BN267" s="62">
        <v>67015.328756819043</v>
      </c>
      <c r="BO267" s="62">
        <v>69381.807553544204</v>
      </c>
      <c r="BP267" s="62"/>
      <c r="BQ267" s="62">
        <v>9700</v>
      </c>
      <c r="BR267" s="62">
        <v>9700</v>
      </c>
      <c r="BS267" s="62">
        <v>9850</v>
      </c>
      <c r="BT267" s="62">
        <v>10000</v>
      </c>
      <c r="BU267" s="62">
        <v>10656</v>
      </c>
      <c r="BV267" s="62">
        <v>12395</v>
      </c>
      <c r="BW267" s="62">
        <v>13958.5</v>
      </c>
      <c r="BX267" s="62">
        <v>14853.5</v>
      </c>
      <c r="BY267" s="62">
        <v>15407</v>
      </c>
      <c r="BZ267" s="62">
        <v>17291.004999999997</v>
      </c>
      <c r="CA267" s="62">
        <v>14434.177273972606</v>
      </c>
      <c r="CB267" s="62">
        <v>13547.089404109591</v>
      </c>
      <c r="CC267" s="62">
        <v>14536.829999999998</v>
      </c>
      <c r="CD267" s="62">
        <v>15281.533678082193</v>
      </c>
      <c r="CE267" s="62">
        <v>16903.456835616438</v>
      </c>
      <c r="CF267" s="62">
        <v>21121.012356164385</v>
      </c>
      <c r="CG267" s="62">
        <v>21531.702499999999</v>
      </c>
      <c r="CH267" s="62">
        <v>18456.120506849311</v>
      </c>
      <c r="CI267" s="62">
        <v>39567.520301369863</v>
      </c>
      <c r="CJ267" s="62">
        <v>46012.647945205485</v>
      </c>
      <c r="CK267" s="62">
        <v>50571.5</v>
      </c>
      <c r="CL267" s="62">
        <v>54959.016438356171</v>
      </c>
      <c r="CM267" s="62">
        <v>60821.309589041099</v>
      </c>
      <c r="CN267" s="62">
        <v>65900.52328767124</v>
      </c>
      <c r="CO267" s="62">
        <v>51725.75</v>
      </c>
      <c r="CP267" s="62">
        <v>32909.763013698626</v>
      </c>
      <c r="CQ267" s="62">
        <v>30213.989041095891</v>
      </c>
      <c r="CR267" s="62">
        <v>33533.438356164384</v>
      </c>
      <c r="CS267" s="62">
        <v>32917</v>
      </c>
      <c r="CT267" s="62">
        <v>34222.699999999997</v>
      </c>
      <c r="CU267" s="62">
        <v>34255.735616438353</v>
      </c>
      <c r="CV267" s="220">
        <v>33510.141095890409</v>
      </c>
      <c r="CW267" s="62">
        <v>36664.399432786326</v>
      </c>
      <c r="CX267" s="62">
        <v>39142.862199976502</v>
      </c>
      <c r="CY267" s="62">
        <v>41956.13692170057</v>
      </c>
      <c r="CZ267" s="62">
        <v>44971.607247298896</v>
      </c>
      <c r="DA267" s="62">
        <v>48201.514162176791</v>
      </c>
      <c r="DB267" s="62">
        <v>51668.307955429002</v>
      </c>
      <c r="DC267" s="62">
        <v>55381.811171996276</v>
      </c>
      <c r="DD267" s="62">
        <v>59362.21119020359</v>
      </c>
      <c r="DE267" s="62">
        <v>63625.66602630345</v>
      </c>
      <c r="DF267" s="62">
        <v>68201.809906957962</v>
      </c>
    </row>
    <row r="268" spans="1:110" ht="12">
      <c r="AV268" s="200"/>
      <c r="CZ268" s="15"/>
      <c r="DA268" s="15"/>
      <c r="DB268" s="15"/>
      <c r="DC268" s="15"/>
      <c r="DD268" s="15"/>
      <c r="DE268" s="15"/>
      <c r="DF268" s="15"/>
    </row>
    <row r="269" spans="1:110" s="26" customFormat="1" ht="12" collapsed="1">
      <c r="A269" s="1" t="s">
        <v>927</v>
      </c>
      <c r="B269" s="2" t="s">
        <v>583</v>
      </c>
      <c r="C269" s="385">
        <v>2.7542525224884339E-2</v>
      </c>
      <c r="D269" s="385">
        <v>2.7376529741967255E-2</v>
      </c>
      <c r="E269" s="385">
        <v>2.7689893297031559E-2</v>
      </c>
      <c r="F269" s="385">
        <v>2.6966410989231943E-2</v>
      </c>
      <c r="G269" s="385">
        <v>2.6220845289915029E-2</v>
      </c>
      <c r="H269" s="385">
        <v>2.5185095888209122E-2</v>
      </c>
      <c r="I269" s="385">
        <v>2.4376165527040229E-2</v>
      </c>
      <c r="J269" s="385">
        <v>2.5712937809823963E-2</v>
      </c>
      <c r="K269" s="385">
        <v>2.4651871216901475E-2</v>
      </c>
      <c r="L269" s="385">
        <v>2.2946099028772184E-2</v>
      </c>
      <c r="M269" s="67">
        <v>2.3305065599238846E-2</v>
      </c>
      <c r="N269" s="67">
        <v>2.2374355925505712E-2</v>
      </c>
      <c r="O269" s="67">
        <v>2.1462750108869839E-2</v>
      </c>
      <c r="P269" s="67">
        <v>1.9957023763641259E-2</v>
      </c>
      <c r="Q269" s="67">
        <v>2.0211751618926535E-2</v>
      </c>
      <c r="R269" s="67">
        <v>2.2221149959869305E-2</v>
      </c>
      <c r="S269" s="67">
        <v>2.4079769418525597E-2</v>
      </c>
      <c r="T269" s="68">
        <v>2.4516818953123881E-2</v>
      </c>
      <c r="U269" s="67">
        <v>2.4970433186508385E-2</v>
      </c>
      <c r="V269" s="67">
        <v>2.4747461285322424E-2</v>
      </c>
      <c r="W269" s="67">
        <v>2.4462460657294023E-2</v>
      </c>
      <c r="X269" s="67">
        <v>2.3523769463914365E-2</v>
      </c>
      <c r="Y269" s="68">
        <v>2.2766421201090382E-2</v>
      </c>
      <c r="Z269" s="68">
        <v>2.2482604907496685E-2</v>
      </c>
      <c r="AA269" s="68">
        <v>2.1873033387705101E-2</v>
      </c>
      <c r="AB269" s="68">
        <v>2.1450292275719221E-2</v>
      </c>
      <c r="AC269" s="68">
        <v>2.12052157638314E-2</v>
      </c>
      <c r="AD269" s="68">
        <v>2.0386155827046854E-2</v>
      </c>
      <c r="AE269" s="68">
        <v>2.0383137446578433E-2</v>
      </c>
      <c r="AF269" s="68">
        <v>2.0694699854387849E-2</v>
      </c>
      <c r="AG269" s="68">
        <v>2.0614152202937247E-2</v>
      </c>
      <c r="AH269" s="68">
        <v>2.0000865346245005E-2</v>
      </c>
      <c r="AI269" s="68">
        <v>1.9773687967259951E-2</v>
      </c>
      <c r="AJ269" s="68">
        <v>1.9263792875698998E-2</v>
      </c>
      <c r="AK269" s="68">
        <v>1.8213937852235233E-2</v>
      </c>
      <c r="AL269" s="68">
        <v>1.8037707134694544E-2</v>
      </c>
      <c r="AM269" s="68">
        <v>1.7232423437769762E-2</v>
      </c>
      <c r="AN269" s="68">
        <v>1.6861008742183225E-2</v>
      </c>
      <c r="AO269" s="68">
        <v>1.5710324354799739E-2</v>
      </c>
      <c r="AP269" s="68">
        <v>1.6338183672275776E-2</v>
      </c>
      <c r="AQ269" s="68">
        <v>1.6452496019000118E-2</v>
      </c>
      <c r="AR269" s="68">
        <v>1.5826785793373838E-2</v>
      </c>
      <c r="AS269" s="68">
        <v>1.6847598850080477E-2</v>
      </c>
      <c r="AT269" s="68">
        <v>1.7520240352963186E-2</v>
      </c>
      <c r="AU269" s="68">
        <v>1.6480036617208552E-2</v>
      </c>
      <c r="AV269" s="69">
        <v>1.5555015108982585E-2</v>
      </c>
      <c r="AW269" s="67">
        <v>1.611282003653354E-2</v>
      </c>
      <c r="AX269" s="67">
        <v>1.6105586896318622E-2</v>
      </c>
      <c r="AY269" s="67">
        <v>1.6143126640127799E-2</v>
      </c>
      <c r="AZ269" s="67">
        <v>1.5852118952148858E-2</v>
      </c>
      <c r="BA269" s="67">
        <v>1.582782894947745E-2</v>
      </c>
      <c r="BB269" s="67">
        <v>1.5738789170032651E-2</v>
      </c>
      <c r="BC269" s="67">
        <v>1.5574256801633504E-2</v>
      </c>
      <c r="BD269" s="67">
        <v>1.5573170794013456E-2</v>
      </c>
      <c r="BE269" s="67">
        <v>1.5580177046530599E-2</v>
      </c>
      <c r="BF269" s="67">
        <v>1.561615502892074E-2</v>
      </c>
      <c r="BG269" s="67">
        <v>1.5656722826796712E-2</v>
      </c>
      <c r="BH269" s="67">
        <v>1.5693927172759324E-2</v>
      </c>
      <c r="BI269" s="67">
        <v>1.5810451669044663E-2</v>
      </c>
      <c r="BJ269" s="67">
        <v>1.5907594273512494E-2</v>
      </c>
      <c r="BK269" s="67">
        <v>1.5946326460376366E-2</v>
      </c>
      <c r="BL269" s="67">
        <v>1.5992727748375943E-2</v>
      </c>
      <c r="BM269" s="67">
        <v>1.604143520652531E-2</v>
      </c>
      <c r="BN269" s="67">
        <v>1.607248858608374E-2</v>
      </c>
      <c r="BO269" s="67">
        <v>1.609463669668848E-2</v>
      </c>
      <c r="BP269" s="67"/>
      <c r="BQ269" s="385">
        <v>2.9870680465324866E-2</v>
      </c>
      <c r="BR269" s="385">
        <v>3.0788788667594887E-2</v>
      </c>
      <c r="BS269" s="385">
        <v>3.3478318175827068E-2</v>
      </c>
      <c r="BT269" s="385">
        <v>3.3922914466737071E-2</v>
      </c>
      <c r="BU269" s="385">
        <v>3.3359737694397922E-2</v>
      </c>
      <c r="BV269" s="385">
        <v>3.0350929867010476E-2</v>
      </c>
      <c r="BW269" s="385">
        <v>2.9625484431377788E-2</v>
      </c>
      <c r="BX269" s="385">
        <v>3.040993086004775E-2</v>
      </c>
      <c r="BY269" s="385">
        <v>2.8545036723291124E-2</v>
      </c>
      <c r="BZ269" s="385">
        <v>2.7515954659334818E-2</v>
      </c>
      <c r="CA269" s="67">
        <v>2.7537784769164186E-2</v>
      </c>
      <c r="CB269" s="67">
        <v>2.6588413158812267E-2</v>
      </c>
      <c r="CC269" s="67">
        <v>2.4755718750147301E-2</v>
      </c>
      <c r="CD269" s="67">
        <v>2.5168151149412107E-2</v>
      </c>
      <c r="CE269" s="67">
        <v>2.3088997226526894E-2</v>
      </c>
      <c r="CF269" s="67">
        <v>2.1904181952897908E-2</v>
      </c>
      <c r="CG269" s="67">
        <v>2.00882860981383E-2</v>
      </c>
      <c r="CH269" s="67">
        <v>2.313645125671402E-2</v>
      </c>
      <c r="CI269" s="67">
        <v>2.47497592635171E-2</v>
      </c>
      <c r="CJ269" s="67">
        <v>2.4246155403097595E-2</v>
      </c>
      <c r="CK269" s="68">
        <v>2.3134483753326419E-2</v>
      </c>
      <c r="CL269" s="68">
        <v>2.2199086104018679E-2</v>
      </c>
      <c r="CM269" s="68">
        <v>2.1324673839291371E-2</v>
      </c>
      <c r="CN269" s="68">
        <v>2.038459607370588E-2</v>
      </c>
      <c r="CO269" s="68">
        <v>2.0654456888353736E-2</v>
      </c>
      <c r="CP269" s="68">
        <v>1.9886363636363633E-2</v>
      </c>
      <c r="CQ269" s="68">
        <v>1.8730545475193702E-2</v>
      </c>
      <c r="CR269" s="68">
        <v>1.7632396685271744E-2</v>
      </c>
      <c r="CS269" s="68">
        <v>1.6281484606238163E-2</v>
      </c>
      <c r="CT269" s="68">
        <v>1.6395910111370846E-2</v>
      </c>
      <c r="CU269" s="68">
        <v>1.6344390392918094E-2</v>
      </c>
      <c r="CV269" s="69">
        <v>1.6997597117771997E-2</v>
      </c>
      <c r="CW269" s="67">
        <v>1.5835628237590785E-2</v>
      </c>
      <c r="CX269" s="67">
        <v>1.6124558258859181E-2</v>
      </c>
      <c r="CY269" s="67">
        <v>1.5839866958659188E-2</v>
      </c>
      <c r="CZ269" s="67">
        <v>1.5655618590003376E-2</v>
      </c>
      <c r="DA269" s="67">
        <v>1.5576705170142778E-2</v>
      </c>
      <c r="DB269" s="67">
        <v>1.5636676687859549E-2</v>
      </c>
      <c r="DC269" s="67">
        <v>1.5752875866063588E-2</v>
      </c>
      <c r="DD269" s="67">
        <v>1.5927212488375794E-2</v>
      </c>
      <c r="DE269" s="67">
        <v>1.6017342264438135E-2</v>
      </c>
      <c r="DF269" s="67">
        <v>1.6083648074901653E-2</v>
      </c>
    </row>
    <row r="270" spans="1:110" ht="12" outlineLevel="1">
      <c r="AG270" s="189"/>
      <c r="AH270" s="189"/>
      <c r="AI270" s="189"/>
      <c r="AJ270" s="189"/>
      <c r="AM270" s="360"/>
      <c r="AN270" s="360"/>
      <c r="AO270" s="360"/>
      <c r="AP270" s="360"/>
      <c r="AQ270" s="360"/>
      <c r="AR270" s="360"/>
      <c r="AS270" s="360"/>
      <c r="AT270" s="360"/>
      <c r="AU270" s="360"/>
      <c r="AV270" s="504"/>
      <c r="CQ270" s="189"/>
      <c r="CR270" s="10"/>
      <c r="CS270" s="10"/>
      <c r="CT270" s="10"/>
      <c r="CU270" s="10"/>
      <c r="CV270" s="201"/>
      <c r="CZ270" s="16"/>
      <c r="DA270" s="16"/>
      <c r="DB270" s="16"/>
      <c r="DC270" s="16"/>
      <c r="DD270" s="16"/>
      <c r="DE270" s="16"/>
      <c r="DF270" s="16"/>
    </row>
    <row r="271" spans="1:110" s="17" customFormat="1" ht="12" outlineLevel="1">
      <c r="A271" s="1"/>
      <c r="B271" s="17" t="s">
        <v>442</v>
      </c>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0"/>
      <c r="AH271" s="10"/>
      <c r="AI271" s="10"/>
      <c r="AJ271" s="10"/>
      <c r="AK271" s="10"/>
      <c r="AL271" s="10"/>
      <c r="AM271" s="10"/>
      <c r="AN271" s="10"/>
      <c r="AO271" s="10"/>
      <c r="AP271" s="10"/>
      <c r="AQ271" s="10"/>
      <c r="AR271" s="10"/>
      <c r="AS271" s="10"/>
      <c r="AT271" s="10"/>
      <c r="AU271" s="10"/>
      <c r="AV271" s="201"/>
      <c r="AW271" s="10"/>
      <c r="AX271" s="10"/>
      <c r="AY271" s="10"/>
      <c r="AZ271" s="10"/>
      <c r="BA271" s="10"/>
      <c r="BB271" s="10"/>
      <c r="BC271" s="10"/>
      <c r="BD271" s="10"/>
      <c r="BE271" s="10"/>
      <c r="BF271" s="10"/>
      <c r="BG271" s="10"/>
      <c r="BH271" s="10"/>
      <c r="BI271" s="10"/>
      <c r="BJ271" s="10"/>
      <c r="BK271" s="10"/>
      <c r="BL271" s="10"/>
      <c r="BM271" s="10"/>
      <c r="BN271" s="10"/>
      <c r="BO271" s="10"/>
      <c r="BP271" s="10"/>
      <c r="BQ271" s="10"/>
      <c r="BR271" s="10"/>
      <c r="BS271" s="10"/>
      <c r="BT271" s="10"/>
      <c r="BU271" s="10"/>
      <c r="BV271" s="10"/>
      <c r="BW271" s="10"/>
      <c r="BX271" s="10"/>
      <c r="BY271" s="10"/>
      <c r="BZ271" s="10"/>
      <c r="CA271" s="10"/>
      <c r="CB271" s="10"/>
      <c r="CC271" s="10"/>
      <c r="CD271" s="10"/>
      <c r="CE271" s="10"/>
      <c r="CF271" s="10"/>
      <c r="CG271" s="10"/>
      <c r="CH271" s="10"/>
      <c r="CI271" s="10"/>
      <c r="CJ271" s="10"/>
      <c r="CK271" s="10"/>
      <c r="CL271" s="10"/>
      <c r="CM271" s="10"/>
      <c r="CN271" s="10"/>
      <c r="CO271" s="10"/>
      <c r="CP271" s="10"/>
      <c r="CQ271" s="10"/>
      <c r="CR271" s="10"/>
      <c r="CS271" s="10"/>
      <c r="CT271" s="10"/>
      <c r="CU271" s="10"/>
      <c r="CV271" s="201"/>
      <c r="CW271" s="10"/>
      <c r="CX271" s="10"/>
      <c r="CY271" s="10"/>
      <c r="CZ271" s="10"/>
      <c r="DA271" s="10"/>
      <c r="DB271" s="10"/>
      <c r="DC271" s="10"/>
      <c r="DD271" s="10"/>
      <c r="DE271" s="10"/>
      <c r="DF271" s="10"/>
    </row>
    <row r="272" spans="1:110" ht="12" outlineLevel="1">
      <c r="A272" s="1" t="s">
        <v>175</v>
      </c>
      <c r="B272" s="15" t="s">
        <v>164</v>
      </c>
      <c r="C272" s="345">
        <v>1.5428502777777704E-2</v>
      </c>
      <c r="D272" s="345">
        <v>1.4608225000000013E-2</v>
      </c>
      <c r="E272" s="345">
        <v>1.2194058333333356E-2</v>
      </c>
      <c r="F272" s="345">
        <v>1.4038988888888788E-2</v>
      </c>
      <c r="G272" s="345">
        <v>1.399159305555555E-2</v>
      </c>
      <c r="H272" s="345">
        <v>1.1687204166666708E-2</v>
      </c>
      <c r="I272" s="345">
        <v>6.9794333333333056E-3</v>
      </c>
      <c r="J272" s="345">
        <v>8.8399819444444153E-3</v>
      </c>
      <c r="K272" s="345">
        <v>9.0907319444444041E-3</v>
      </c>
      <c r="L272" s="345">
        <v>8.6306555555555331E-3</v>
      </c>
      <c r="M272" s="35">
        <v>7.5932944444444227E-3</v>
      </c>
      <c r="N272" s="35">
        <v>8.0042944444444104E-3</v>
      </c>
      <c r="O272" s="35">
        <v>7.3717180555555161E-3</v>
      </c>
      <c r="P272" s="35">
        <v>5.07039166666662E-3</v>
      </c>
      <c r="Q272" s="35">
        <v>1.043110694444443E-2</v>
      </c>
      <c r="R272" s="35">
        <v>1.8490780555555524E-2</v>
      </c>
      <c r="S272" s="35">
        <v>1.6079843055555511E-2</v>
      </c>
      <c r="T272" s="37">
        <v>1.5407926388888854E-2</v>
      </c>
      <c r="U272" s="35">
        <v>1.7582634722222209E-2</v>
      </c>
      <c r="V272" s="35">
        <v>2.0047843055555539E-2</v>
      </c>
      <c r="W272" s="35">
        <v>2.0428197222222177E-2</v>
      </c>
      <c r="X272" s="35">
        <v>2.1541308333333276E-2</v>
      </c>
      <c r="Y272" s="37">
        <v>2.4829683333333352E-2</v>
      </c>
      <c r="Z272" s="37">
        <v>2.4725933333333248E-2</v>
      </c>
      <c r="AA272" s="37">
        <v>2.3864336111111082E-2</v>
      </c>
      <c r="AB272" s="37">
        <v>2.2945099999999958E-2</v>
      </c>
      <c r="AC272" s="37">
        <v>2.2476488888888837E-2</v>
      </c>
      <c r="AD272" s="37">
        <v>2.275336388888885E-2</v>
      </c>
      <c r="AE272" s="37">
        <v>2.3239197222222171E-2</v>
      </c>
      <c r="AF272" s="37">
        <v>2.357780833333328E-2</v>
      </c>
      <c r="AG272" s="37">
        <v>2.4674405555555532E-2</v>
      </c>
      <c r="AH272" s="37">
        <v>2.4835863888888823E-2</v>
      </c>
      <c r="AI272" s="37">
        <v>2.5204822222222079E-2</v>
      </c>
      <c r="AJ272" s="37">
        <v>2.4386349999999956E-2</v>
      </c>
      <c r="AK272" s="37">
        <v>2.2852599999999938E-2</v>
      </c>
      <c r="AL272" s="37">
        <v>2.4508349999999936E-2</v>
      </c>
      <c r="AM272" s="37">
        <v>2.8899999999999999E-2</v>
      </c>
      <c r="AN272" s="37">
        <v>2.8065393242717618E-2</v>
      </c>
      <c r="AO272" s="37">
        <v>3.0314753095374888E-2</v>
      </c>
      <c r="AP272" s="37">
        <v>2.926148050862834E-2</v>
      </c>
      <c r="AQ272" s="37">
        <v>2.7664337659002766E-2</v>
      </c>
      <c r="AR272" s="37">
        <v>2.605436888822828E-2</v>
      </c>
      <c r="AS272" s="37">
        <v>2.0068221160826214E-2</v>
      </c>
      <c r="AT272" s="37">
        <v>2.1328954863088116E-2</v>
      </c>
      <c r="AU272" s="37">
        <v>2.0941275720756852E-2</v>
      </c>
      <c r="AV272" s="36">
        <v>2.0868098554208837E-2</v>
      </c>
      <c r="AW272" s="35">
        <v>2.0518098554208837E-2</v>
      </c>
      <c r="AX272" s="35">
        <v>2.0018098554208837E-2</v>
      </c>
      <c r="AY272" s="35">
        <v>2.0018098554208837E-2</v>
      </c>
      <c r="AZ272" s="35">
        <v>2.0018098554208837E-2</v>
      </c>
      <c r="BA272" s="35">
        <v>2.0018098554208837E-2</v>
      </c>
      <c r="BB272" s="35">
        <v>1.9918008061437793E-2</v>
      </c>
      <c r="BC272" s="35">
        <v>1.9519647900209037E-2</v>
      </c>
      <c r="BD272" s="35">
        <v>1.9419647900209037E-2</v>
      </c>
      <c r="BE272" s="35">
        <v>1.9319647900209038E-2</v>
      </c>
      <c r="BF272" s="35">
        <v>1.9319647900209038E-2</v>
      </c>
      <c r="BG272" s="35">
        <v>1.9319647900209038E-2</v>
      </c>
      <c r="BH272" s="35">
        <v>1.9319647900209038E-2</v>
      </c>
      <c r="BI272" s="35">
        <v>1.9319647900209038E-2</v>
      </c>
      <c r="BJ272" s="35">
        <v>1.9319647900209038E-2</v>
      </c>
      <c r="BK272" s="35">
        <v>1.9319647900209038E-2</v>
      </c>
      <c r="BL272" s="35">
        <v>1.9319647900209038E-2</v>
      </c>
      <c r="BM272" s="35">
        <v>1.9319647900209038E-2</v>
      </c>
      <c r="BN272" s="35">
        <v>1.9319647900209038E-2</v>
      </c>
      <c r="BO272" s="35">
        <v>1.9319647900209038E-2</v>
      </c>
      <c r="BP272" s="35"/>
      <c r="BQ272" s="345"/>
      <c r="BR272" s="345"/>
      <c r="BS272" s="345"/>
      <c r="BT272" s="345"/>
      <c r="BU272" s="345"/>
      <c r="BV272" s="345"/>
      <c r="BW272" s="345"/>
      <c r="BX272" s="345"/>
      <c r="BY272" s="345"/>
      <c r="BZ272" s="345"/>
      <c r="CA272" s="35">
        <v>1.3351544000450504E-2</v>
      </c>
      <c r="CB272" s="35">
        <v>1.4017377922630315E-2</v>
      </c>
      <c r="CC272" s="35">
        <v>9.1984244215502064E-3</v>
      </c>
      <c r="CD272" s="35">
        <v>8.9709426301383833E-3</v>
      </c>
      <c r="CE272" s="35">
        <v>8.0795843429111083E-3</v>
      </c>
      <c r="CF272" s="35">
        <v>7.7111011296907318E-3</v>
      </c>
      <c r="CG272" s="35">
        <v>7.7797696542841127E-3</v>
      </c>
      <c r="CH272" s="35">
        <v>1.719101727169951E-2</v>
      </c>
      <c r="CI272" s="35">
        <v>1.6465313654880638E-2</v>
      </c>
      <c r="CJ272" s="35">
        <v>2.013598740880811E-2</v>
      </c>
      <c r="CK272" s="37">
        <v>2.3275259488290803E-2</v>
      </c>
      <c r="CL272" s="37">
        <v>2.4321019213611982E-2</v>
      </c>
      <c r="CM272" s="37">
        <v>2.2658196516539234E-2</v>
      </c>
      <c r="CN272" s="37">
        <v>2.3016095604838995E-2</v>
      </c>
      <c r="CO272" s="37">
        <v>2.4362992830131512E-2</v>
      </c>
      <c r="CP272" s="37">
        <v>2.5028708657643433E-2</v>
      </c>
      <c r="CQ272" s="37">
        <v>2.3749944697609635E-2</v>
      </c>
      <c r="CR272" s="37">
        <v>2.6928454738073263E-2</v>
      </c>
      <c r="CS272" s="37">
        <v>2.85075396485946E-2</v>
      </c>
      <c r="CT272" s="37">
        <v>2.8742422699662231E-2</v>
      </c>
      <c r="CU272" s="37">
        <v>2.3055942019367663E-2</v>
      </c>
      <c r="CV272" s="36">
        <v>2.1133326891659497E-2</v>
      </c>
      <c r="CW272" s="35">
        <v>2.0684763079385056E-2</v>
      </c>
      <c r="CX272" s="35">
        <v>2.0018098554208837E-2</v>
      </c>
      <c r="CY272" s="35">
        <v>2.001809855420884E-2</v>
      </c>
      <c r="CZ272" s="35">
        <v>1.9716497784914713E-2</v>
      </c>
      <c r="DA272" s="35">
        <v>1.9369199925127759E-2</v>
      </c>
      <c r="DB272" s="35">
        <v>1.9319647900209038E-2</v>
      </c>
      <c r="DC272" s="35">
        <v>1.9319647900209038E-2</v>
      </c>
      <c r="DD272" s="35">
        <v>1.9319647900209038E-2</v>
      </c>
      <c r="DE272" s="35">
        <v>1.9319647900209035E-2</v>
      </c>
      <c r="DF272" s="35">
        <v>1.9319647900209035E-2</v>
      </c>
    </row>
    <row r="273" spans="1:110" ht="12" outlineLevel="1">
      <c r="A273" s="1" t="s">
        <v>228</v>
      </c>
      <c r="B273" s="15" t="s">
        <v>165</v>
      </c>
      <c r="C273" s="345">
        <v>2.6197480827113595E-2</v>
      </c>
      <c r="D273" s="345">
        <v>2.3956810034853671E-2</v>
      </c>
      <c r="E273" s="345">
        <v>2.1905802315802636E-2</v>
      </c>
      <c r="F273" s="345">
        <v>2.2440773840474493E-2</v>
      </c>
      <c r="G273" s="345">
        <v>2.1877184802169825E-2</v>
      </c>
      <c r="H273" s="345">
        <v>1.9410123615064334E-2</v>
      </c>
      <c r="I273" s="345">
        <v>1.9572953769419033E-2</v>
      </c>
      <c r="J273" s="345">
        <v>1.7478928887580736E-2</v>
      </c>
      <c r="K273" s="345">
        <v>1.7565141392041683E-2</v>
      </c>
      <c r="L273" s="345">
        <v>1.687164535966923E-2</v>
      </c>
      <c r="M273" s="35">
        <v>1.4950871234944541E-2</v>
      </c>
      <c r="N273" s="35">
        <v>1.4397025036505973E-2</v>
      </c>
      <c r="O273" s="35">
        <v>1.3361674348231878E-2</v>
      </c>
      <c r="P273" s="35">
        <v>1.1405160783031998E-2</v>
      </c>
      <c r="Q273" s="35">
        <v>1.5099215944443412E-2</v>
      </c>
      <c r="R273" s="35">
        <v>2.6671259436659489E-2</v>
      </c>
      <c r="S273" s="35">
        <v>2.6726162840427059E-2</v>
      </c>
      <c r="T273" s="37">
        <v>2.6313070915424119E-2</v>
      </c>
      <c r="U273" s="35">
        <v>2.6908276271163101E-2</v>
      </c>
      <c r="V273" s="35">
        <v>3.0174631443157462E-2</v>
      </c>
      <c r="W273" s="35">
        <v>3.1848487022388072E-2</v>
      </c>
      <c r="X273" s="35">
        <v>3.2633245474479433E-2</v>
      </c>
      <c r="Y273" s="37">
        <v>3.5312886781760033E-2</v>
      </c>
      <c r="Z273" s="37">
        <v>3.4819712298446825E-2</v>
      </c>
      <c r="AA273" s="37">
        <v>3.5718445803580634E-2</v>
      </c>
      <c r="AB273" s="37">
        <v>3.5222716312464986E-2</v>
      </c>
      <c r="AC273" s="37">
        <v>3.4965744055591941E-2</v>
      </c>
      <c r="AD273" s="37">
        <v>3.476672874466824E-2</v>
      </c>
      <c r="AE273" s="37">
        <v>3.3973478780346955E-2</v>
      </c>
      <c r="AF273" s="37">
        <v>3.2424799556296069E-2</v>
      </c>
      <c r="AG273" s="37">
        <v>3.3443217158303007E-2</v>
      </c>
      <c r="AH273" s="37">
        <v>3.2738938233455986E-2</v>
      </c>
      <c r="AI273" s="37">
        <v>3.2837831902301939E-2</v>
      </c>
      <c r="AJ273" s="37">
        <v>3.1513483474842729E-2</v>
      </c>
      <c r="AK273" s="37">
        <v>3.054692454897312E-2</v>
      </c>
      <c r="AL273" s="37">
        <v>3.1203907504882E-2</v>
      </c>
      <c r="AM273" s="37">
        <v>3.4299999999999997E-2</v>
      </c>
      <c r="AN273" s="37">
        <v>3.3532435182180353E-2</v>
      </c>
      <c r="AO273" s="37">
        <v>3.4820726722394058E-2</v>
      </c>
      <c r="AP273" s="37">
        <v>3.3579290462787327E-2</v>
      </c>
      <c r="AQ273" s="37">
        <v>3.1926173758044803E-2</v>
      </c>
      <c r="AR273" s="37">
        <v>2.9990526851627366E-2</v>
      </c>
      <c r="AS273" s="37">
        <v>2.0490667115181705E-2</v>
      </c>
      <c r="AT273" s="37">
        <v>2.1599427785411147E-2</v>
      </c>
      <c r="AU273" s="37">
        <v>2.0455563257273882E-2</v>
      </c>
      <c r="AV273" s="36">
        <v>2.1223941903063214E-2</v>
      </c>
      <c r="AW273" s="35">
        <v>2.0162744807910051E-2</v>
      </c>
      <c r="AX273" s="35">
        <v>2.1170882048305556E-2</v>
      </c>
      <c r="AY273" s="35">
        <v>2.1170882048305556E-2</v>
      </c>
      <c r="AZ273" s="35">
        <v>2.1170882048305556E-2</v>
      </c>
      <c r="BA273" s="35">
        <v>2.1170882048305556E-2</v>
      </c>
      <c r="BB273" s="35">
        <v>2.1170882048305556E-2</v>
      </c>
      <c r="BC273" s="35">
        <v>2.1170882048305556E-2</v>
      </c>
      <c r="BD273" s="35">
        <v>2.1170882048305556E-2</v>
      </c>
      <c r="BE273" s="35">
        <v>2.1170882048305556E-2</v>
      </c>
      <c r="BF273" s="35">
        <v>2.1170882048305556E-2</v>
      </c>
      <c r="BG273" s="35">
        <v>2.1170882048305556E-2</v>
      </c>
      <c r="BH273" s="35">
        <v>2.1170882048305556E-2</v>
      </c>
      <c r="BI273" s="35">
        <v>2.1170882048305556E-2</v>
      </c>
      <c r="BJ273" s="35">
        <v>2.1170882048305556E-2</v>
      </c>
      <c r="BK273" s="35">
        <v>2.1170882048305556E-2</v>
      </c>
      <c r="BL273" s="35">
        <v>2.1170882048305556E-2</v>
      </c>
      <c r="BM273" s="35">
        <v>2.1170882048305556E-2</v>
      </c>
      <c r="BN273" s="35">
        <v>2.1170882048305556E-2</v>
      </c>
      <c r="BO273" s="35">
        <v>2.1170882048305556E-2</v>
      </c>
      <c r="BP273" s="35"/>
      <c r="BQ273" s="345"/>
      <c r="BR273" s="345"/>
      <c r="BS273" s="345"/>
      <c r="BT273" s="345"/>
      <c r="BU273" s="345"/>
      <c r="BV273" s="345"/>
      <c r="BW273" s="345"/>
      <c r="BX273" s="345"/>
      <c r="BY273" s="345"/>
      <c r="BZ273" s="345"/>
      <c r="CA273" s="35">
        <v>2.2931092761409217E-2</v>
      </c>
      <c r="CB273" s="35">
        <v>2.2155049440132954E-2</v>
      </c>
      <c r="CC273" s="35">
        <v>1.9491750523252086E-2</v>
      </c>
      <c r="CD273" s="35">
        <v>1.7525662400915604E-2</v>
      </c>
      <c r="CE273" s="35">
        <v>1.5847119161689117E-2</v>
      </c>
      <c r="CF273" s="35">
        <v>1.3919133637584817E-2</v>
      </c>
      <c r="CG273" s="35">
        <v>1.3234348710626344E-2</v>
      </c>
      <c r="CH273" s="35">
        <v>2.6582456772242288E-2</v>
      </c>
      <c r="CI273" s="35">
        <v>2.6618519500424966E-2</v>
      </c>
      <c r="CJ273" s="35">
        <v>2.8947478525244118E-2</v>
      </c>
      <c r="CK273" s="37">
        <v>3.4873092264894753E-2</v>
      </c>
      <c r="CL273" s="37">
        <v>3.5434126953999022E-2</v>
      </c>
      <c r="CM273" s="37">
        <v>3.4910783036292775E-2</v>
      </c>
      <c r="CN273" s="37">
        <v>3.434259220526481E-2</v>
      </c>
      <c r="CO273" s="37">
        <v>3.2075012844794935E-2</v>
      </c>
      <c r="CP273" s="37">
        <v>3.1621412660336835E-2</v>
      </c>
      <c r="CQ273" s="37">
        <v>3.0733542871808128E-2</v>
      </c>
      <c r="CR273" s="37">
        <v>3.2842975170933569E-2</v>
      </c>
      <c r="CS273" s="37">
        <v>3.3767242323140621E-2</v>
      </c>
      <c r="CT273" s="37">
        <v>3.2719341926043352E-2</v>
      </c>
      <c r="CU273" s="37">
        <v>2.5201012594412688E-2</v>
      </c>
      <c r="CV273" s="36">
        <v>2.1028515225874837E-2</v>
      </c>
      <c r="CW273" s="35">
        <v>2.0665634616301155E-2</v>
      </c>
      <c r="CX273" s="35">
        <v>2.1170882048305556E-2</v>
      </c>
      <c r="CY273" s="35">
        <v>2.1170882048305556E-2</v>
      </c>
      <c r="CZ273" s="35">
        <v>2.1170882048305556E-2</v>
      </c>
      <c r="DA273" s="35">
        <v>2.1170882048305559E-2</v>
      </c>
      <c r="DB273" s="35">
        <v>2.1170882048305556E-2</v>
      </c>
      <c r="DC273" s="35">
        <v>2.1170882048305559E-2</v>
      </c>
      <c r="DD273" s="35">
        <v>2.1170882048305549E-2</v>
      </c>
      <c r="DE273" s="35">
        <v>2.1170882048305553E-2</v>
      </c>
      <c r="DF273" s="35">
        <v>2.1170882048305559E-2</v>
      </c>
    </row>
    <row r="274" spans="1:110" ht="12" outlineLevel="1">
      <c r="A274" s="1" t="s">
        <v>229</v>
      </c>
      <c r="B274" s="15" t="s">
        <v>166</v>
      </c>
      <c r="C274" s="345">
        <v>-3.2140480227019777E-2</v>
      </c>
      <c r="D274" s="345">
        <v>-1.6545308437929764E-2</v>
      </c>
      <c r="E274" s="345">
        <v>-2.4593515866652853E-2</v>
      </c>
      <c r="F274" s="345">
        <v>-1.9938011350525895E-2</v>
      </c>
      <c r="G274" s="345">
        <v>-1.8002965742767944E-2</v>
      </c>
      <c r="H274" s="345">
        <v>-2.8453172074138115E-2</v>
      </c>
      <c r="I274" s="345">
        <v>-7.1054396083921507E-3</v>
      </c>
      <c r="J274" s="345">
        <v>3.0292916604888073E-2</v>
      </c>
      <c r="K274" s="345">
        <v>3.4975044839463135E-2</v>
      </c>
      <c r="L274" s="345">
        <v>3.6813072077601865E-2</v>
      </c>
      <c r="M274" s="35">
        <v>3.0118120782575634E-2</v>
      </c>
      <c r="N274" s="35">
        <v>2.9897958648081296E-2</v>
      </c>
      <c r="O274" s="35">
        <v>3.0305159051508001E-2</v>
      </c>
      <c r="P274" s="35">
        <v>2.0133676809485541E-2</v>
      </c>
      <c r="Q274" s="35">
        <v>1.1295435880496637E-2</v>
      </c>
      <c r="R274" s="35">
        <v>5.7486047924208597E-2</v>
      </c>
      <c r="S274" s="35">
        <v>6.1319012999291406E-2</v>
      </c>
      <c r="T274" s="37">
        <v>5.6076469635978329E-2</v>
      </c>
      <c r="U274" s="35">
        <v>5.5959223932312396E-2</v>
      </c>
      <c r="V274" s="35">
        <v>4.133886154303467E-2</v>
      </c>
      <c r="W274" s="35">
        <v>4.2398357419383921E-2</v>
      </c>
      <c r="X274" s="35">
        <v>4.1794040609325546E-2</v>
      </c>
      <c r="Y274" s="37">
        <v>4.4604226434103007E-2</v>
      </c>
      <c r="Z274" s="338">
        <v>4.8674037865008506E-2</v>
      </c>
      <c r="AA274" s="37">
        <v>4.4830041962631711E-2</v>
      </c>
      <c r="AB274" s="37">
        <v>3.9526562901294117E-2</v>
      </c>
      <c r="AC274" s="37">
        <v>3.1541712956034813E-2</v>
      </c>
      <c r="AD274" s="37">
        <v>2.6872607711036028E-2</v>
      </c>
      <c r="AE274" s="37">
        <v>2.7823752131666428E-2</v>
      </c>
      <c r="AF274" s="37">
        <v>3.9418445973248353E-2</v>
      </c>
      <c r="AG274" s="37">
        <v>4.6611220287466913E-2</v>
      </c>
      <c r="AH274" s="37">
        <v>4.1903755460564816E-2</v>
      </c>
      <c r="AI274" s="37">
        <v>4.5139864025218732E-2</v>
      </c>
      <c r="AJ274" s="37">
        <v>4.247383111606564E-2</v>
      </c>
      <c r="AK274" s="37">
        <v>3.5933173711001E-2</v>
      </c>
      <c r="AL274" s="37">
        <v>3.2393193382504161E-2</v>
      </c>
      <c r="AM274" s="37">
        <v>3.4843565718053124E-2</v>
      </c>
      <c r="AN274" s="37">
        <v>3.7637190934565391E-2</v>
      </c>
      <c r="AO274" s="37">
        <v>3.0865352240662829E-2</v>
      </c>
      <c r="AP274" s="37">
        <v>3.6625389714161904E-2</v>
      </c>
      <c r="AQ274" s="37">
        <v>4.0272632701632102E-2</v>
      </c>
      <c r="AR274" s="37">
        <v>3.7231954882069318E-2</v>
      </c>
      <c r="AS274" s="37">
        <v>1.9135211153411578E-2</v>
      </c>
      <c r="AT274" s="37">
        <v>2.0696580627127526E-2</v>
      </c>
      <c r="AU274" s="37">
        <v>2.0606233500436822E-2</v>
      </c>
      <c r="AV274" s="36">
        <v>2.6058993602260314E-2</v>
      </c>
      <c r="AW274" s="35">
        <v>2.6058993602260314E-2</v>
      </c>
      <c r="AX274" s="35">
        <v>2.671046844231682E-2</v>
      </c>
      <c r="AY274" s="35">
        <v>2.721046844231682E-2</v>
      </c>
      <c r="AZ274" s="35">
        <v>2.7710468442316821E-2</v>
      </c>
      <c r="BA274" s="35">
        <v>2.7710468442316821E-2</v>
      </c>
      <c r="BB274" s="35">
        <v>2.7710468442316821E-2</v>
      </c>
      <c r="BC274" s="35">
        <v>2.7710468442316821E-2</v>
      </c>
      <c r="BD274" s="35">
        <v>2.7710468442316821E-2</v>
      </c>
      <c r="BE274" s="35">
        <v>2.7710468442316821E-2</v>
      </c>
      <c r="BF274" s="35">
        <v>2.7710468442316821E-2</v>
      </c>
      <c r="BG274" s="35">
        <v>2.7710468442316821E-2</v>
      </c>
      <c r="BH274" s="35">
        <v>2.7710468442316821E-2</v>
      </c>
      <c r="BI274" s="35">
        <v>2.7710468442316821E-2</v>
      </c>
      <c r="BJ274" s="35">
        <v>2.7710468442316821E-2</v>
      </c>
      <c r="BK274" s="35">
        <v>2.7710468442316821E-2</v>
      </c>
      <c r="BL274" s="35">
        <v>2.7710468442316821E-2</v>
      </c>
      <c r="BM274" s="35">
        <v>2.7710468442316821E-2</v>
      </c>
      <c r="BN274" s="35">
        <v>2.7710468442316821E-2</v>
      </c>
      <c r="BO274" s="35">
        <v>2.7710468442316821E-2</v>
      </c>
      <c r="BP274" s="35"/>
      <c r="BQ274" s="345"/>
      <c r="BR274" s="345"/>
      <c r="BS274" s="345"/>
      <c r="BT274" s="345"/>
      <c r="BU274" s="345"/>
      <c r="BV274" s="345"/>
      <c r="BW274" s="345"/>
      <c r="BX274" s="345"/>
      <c r="BY274" s="345"/>
      <c r="BZ274" s="345"/>
      <c r="CA274" s="35">
        <v>-2.0593098167603414E-2</v>
      </c>
      <c r="CB274" s="35">
        <v>-1.8934734356817255E-2</v>
      </c>
      <c r="CC274" s="35">
        <v>-1.7666541793763323E-2</v>
      </c>
      <c r="CD274" s="35">
        <v>3.2717306039679706E-2</v>
      </c>
      <c r="CE274" s="35">
        <v>3.3170997678882298E-2</v>
      </c>
      <c r="CF274" s="35">
        <v>2.9528205568246566E-2</v>
      </c>
      <c r="CG274" s="35">
        <v>1.5938233077262959E-2</v>
      </c>
      <c r="CH274" s="35">
        <v>6.0429079306672011E-2</v>
      </c>
      <c r="CI274" s="35">
        <v>5.6161906384661425E-2</v>
      </c>
      <c r="CJ274" s="35">
        <v>4.5468666520464128E-2</v>
      </c>
      <c r="CK274" s="37">
        <v>4.184142738283305E-2</v>
      </c>
      <c r="CL274" s="37">
        <v>4.6962599326699273E-2</v>
      </c>
      <c r="CM274" s="37">
        <v>3.5868484474145666E-2</v>
      </c>
      <c r="CN274" s="37">
        <v>2.771442688271394E-2</v>
      </c>
      <c r="CO274" s="37">
        <v>4.2710639972863049E-2</v>
      </c>
      <c r="CP274" s="37">
        <v>4.480852748014999E-2</v>
      </c>
      <c r="CQ274" s="37">
        <v>3.8594509085023675E-2</v>
      </c>
      <c r="CR274" s="37">
        <v>3.2715037294787329E-2</v>
      </c>
      <c r="CS274" s="37">
        <v>3.6532874550111859E-2</v>
      </c>
      <c r="CT274" s="37">
        <v>3.7295186606510877E-2</v>
      </c>
      <c r="CU274" s="37">
        <v>2.7769521069047273E-2</v>
      </c>
      <c r="CV274" s="36">
        <v>2.0651481572558233E-2</v>
      </c>
      <c r="CW274" s="35">
        <v>2.605899360226031E-2</v>
      </c>
      <c r="CX274" s="35">
        <v>2.6965457869984659E-2</v>
      </c>
      <c r="CY274" s="35">
        <v>2.7710468442316824E-2</v>
      </c>
      <c r="CZ274" s="35">
        <v>2.7710468442316821E-2</v>
      </c>
      <c r="DA274" s="35">
        <v>2.7710468442316821E-2</v>
      </c>
      <c r="DB274" s="35">
        <v>2.7710468442316821E-2</v>
      </c>
      <c r="DC274" s="35">
        <v>2.7710468442316821E-2</v>
      </c>
      <c r="DD274" s="35">
        <v>2.7710468442316828E-2</v>
      </c>
      <c r="DE274" s="35">
        <v>2.7710468442316814E-2</v>
      </c>
      <c r="DF274" s="35">
        <v>2.7710468442316814E-2</v>
      </c>
    </row>
    <row r="275" spans="1:110" ht="12" outlineLevel="1">
      <c r="A275" s="1" t="s">
        <v>230</v>
      </c>
      <c r="B275" s="15" t="s">
        <v>167</v>
      </c>
      <c r="C275" s="345">
        <v>1.8730193848851322E-2</v>
      </c>
      <c r="D275" s="345">
        <v>2.1581375229213023E-2</v>
      </c>
      <c r="E275" s="345">
        <v>1.8717203925846228E-2</v>
      </c>
      <c r="F275" s="345">
        <v>2.1694437593833563E-2</v>
      </c>
      <c r="G275" s="345">
        <v>2.1055072497303456E-2</v>
      </c>
      <c r="H275" s="345">
        <v>1.4999862262611366E-2</v>
      </c>
      <c r="I275" s="345">
        <v>1.5766950521205317E-2</v>
      </c>
      <c r="J275" s="345">
        <v>1.4347605755451902E-2</v>
      </c>
      <c r="K275" s="345">
        <v>1.4931058796965616E-2</v>
      </c>
      <c r="L275" s="345">
        <v>1.4859737964153887E-2</v>
      </c>
      <c r="M275" s="35">
        <v>1.2057686892376289E-2</v>
      </c>
      <c r="N275" s="35">
        <v>1.0756606695925555E-2</v>
      </c>
      <c r="O275" s="35">
        <v>8.6252253791488515E-3</v>
      </c>
      <c r="P275" s="35">
        <v>7.9901286428591192E-3</v>
      </c>
      <c r="Q275" s="35">
        <v>1.5817441263599179E-2</v>
      </c>
      <c r="R275" s="35">
        <v>4.6217900993245145E-2</v>
      </c>
      <c r="S275" s="35">
        <v>4.9068265320456383E-2</v>
      </c>
      <c r="T275" s="37">
        <v>4.4920333623463371E-2</v>
      </c>
      <c r="U275" s="35">
        <v>4.5912143564777935E-2</v>
      </c>
      <c r="V275" s="35">
        <v>4.5818906078204741E-2</v>
      </c>
      <c r="W275" s="35">
        <v>4.5951908405942099E-2</v>
      </c>
      <c r="X275" s="35">
        <v>4.9110116765833503E-2</v>
      </c>
      <c r="Y275" s="37">
        <v>5.602576058690692E-2</v>
      </c>
      <c r="Z275" s="37">
        <v>5.949526133650658E-2</v>
      </c>
      <c r="AA275" s="37">
        <v>6.2473165828630009E-2</v>
      </c>
      <c r="AB275" s="37">
        <v>6.2953191456779869E-2</v>
      </c>
      <c r="AC275" s="37">
        <v>6.2076962662938634E-2</v>
      </c>
      <c r="AD275" s="37">
        <v>6.1086688750458557E-2</v>
      </c>
      <c r="AE275" s="37">
        <v>6.3456004858359144E-2</v>
      </c>
      <c r="AF275" s="37">
        <v>6.1618824051398541E-2</v>
      </c>
      <c r="AG275" s="37">
        <v>6.472948790063851E-2</v>
      </c>
      <c r="AH275" s="37">
        <v>6.6715858764929387E-2</v>
      </c>
      <c r="AI275" s="37">
        <v>6.4933720663044106E-2</v>
      </c>
      <c r="AJ275" s="37">
        <v>6.2643651647930135E-2</v>
      </c>
      <c r="AK275" s="37">
        <v>6.0102091070292296E-2</v>
      </c>
      <c r="AL275" s="37">
        <v>6.0771909715954614E-2</v>
      </c>
      <c r="AM275" s="37">
        <v>6.7964945839474641E-2</v>
      </c>
      <c r="AN275" s="37">
        <v>6.4651928814098245E-2</v>
      </c>
      <c r="AO275" s="37">
        <v>6.7364974378858841E-2</v>
      </c>
      <c r="AP275" s="37">
        <v>6.4945367625723019E-2</v>
      </c>
      <c r="AQ275" s="37">
        <v>6.3182258410767342E-2</v>
      </c>
      <c r="AR275" s="37">
        <v>6.0273743392607299E-2</v>
      </c>
      <c r="AS275" s="37">
        <v>4.7778298419845988E-2</v>
      </c>
      <c r="AT275" s="37">
        <v>4.2396244113031729E-2</v>
      </c>
      <c r="AU275" s="37">
        <v>3.9998182793032432E-2</v>
      </c>
      <c r="AV275" s="36">
        <v>3.9969301790231088E-2</v>
      </c>
      <c r="AW275" s="35">
        <v>3.8141455636384942E-2</v>
      </c>
      <c r="AX275" s="35">
        <v>3.861795563638494E-2</v>
      </c>
      <c r="AY275" s="35">
        <v>4.3617955636384938E-2</v>
      </c>
      <c r="AZ275" s="35">
        <v>4.8367955636384935E-2</v>
      </c>
      <c r="BA275" s="35">
        <v>4.8367955636384935E-2</v>
      </c>
      <c r="BB275" s="35">
        <v>4.8367955636384935E-2</v>
      </c>
      <c r="BC275" s="35">
        <v>4.8367955636384935E-2</v>
      </c>
      <c r="BD275" s="35">
        <v>4.8367955636384935E-2</v>
      </c>
      <c r="BE275" s="35">
        <v>4.8367955636384935E-2</v>
      </c>
      <c r="BF275" s="35">
        <v>4.8367955636384935E-2</v>
      </c>
      <c r="BG275" s="35">
        <v>4.8367955636384935E-2</v>
      </c>
      <c r="BH275" s="35">
        <v>4.8367955636384935E-2</v>
      </c>
      <c r="BI275" s="35">
        <v>4.8367955636384935E-2</v>
      </c>
      <c r="BJ275" s="35">
        <v>4.8367955636384935E-2</v>
      </c>
      <c r="BK275" s="35">
        <v>4.8367955636384935E-2</v>
      </c>
      <c r="BL275" s="35">
        <v>4.8367955636384935E-2</v>
      </c>
      <c r="BM275" s="35">
        <v>4.8367955636384935E-2</v>
      </c>
      <c r="BN275" s="35">
        <v>4.8367955636384935E-2</v>
      </c>
      <c r="BO275" s="35">
        <v>4.8367955636384935E-2</v>
      </c>
      <c r="BP275" s="35"/>
      <c r="BQ275" s="345"/>
      <c r="BR275" s="345"/>
      <c r="BS275" s="345"/>
      <c r="BT275" s="345"/>
      <c r="BU275" s="345"/>
      <c r="BV275" s="345"/>
      <c r="BW275" s="345"/>
      <c r="BX275" s="345"/>
      <c r="BY275" s="345"/>
      <c r="BZ275" s="345"/>
      <c r="CA275" s="35">
        <v>2.0110239865575644E-2</v>
      </c>
      <c r="CB275" s="35">
        <v>2.1369957463882157E-2</v>
      </c>
      <c r="CC275" s="35">
        <v>1.5388808463728369E-2</v>
      </c>
      <c r="CD275" s="35">
        <v>1.4654934207252095E-2</v>
      </c>
      <c r="CE275" s="35">
        <v>1.3467078375114794E-2</v>
      </c>
      <c r="CF275" s="35">
        <v>9.758593523504033E-3</v>
      </c>
      <c r="CG275" s="35">
        <v>1.1125737184274542E-2</v>
      </c>
      <c r="CH275" s="35">
        <v>4.6982496353034801E-2</v>
      </c>
      <c r="CI275" s="35">
        <v>4.6018124383388558E-2</v>
      </c>
      <c r="CJ275" s="35">
        <v>4.584129118644039E-2</v>
      </c>
      <c r="CK275" s="37">
        <v>5.2793264095931131E-2</v>
      </c>
      <c r="CL275" s="37">
        <v>6.1234108705043241E-2</v>
      </c>
      <c r="CM275" s="37">
        <v>6.1855813123152172E-2</v>
      </c>
      <c r="CN275" s="37">
        <v>6.3447030909214081E-2</v>
      </c>
      <c r="CO275" s="37">
        <v>6.364330019531704E-2</v>
      </c>
      <c r="CP275" s="37">
        <v>6.6158657687922673E-2</v>
      </c>
      <c r="CQ275" s="37">
        <v>6.2076239294287842E-2</v>
      </c>
      <c r="CR275" s="37">
        <v>6.4891077420056814E-2</v>
      </c>
      <c r="CS275" s="37">
        <v>6.7349428723792404E-2</v>
      </c>
      <c r="CT275" s="37">
        <v>6.5951600961950282E-2</v>
      </c>
      <c r="CU275" s="37">
        <v>5.4058545938163394E-2</v>
      </c>
      <c r="CV275" s="36">
        <v>4.1216388450939979E-2</v>
      </c>
      <c r="CW275" s="35">
        <v>3.9058990276160117E-2</v>
      </c>
      <c r="CX275" s="35">
        <v>4.1137273437876258E-2</v>
      </c>
      <c r="CY275" s="35">
        <v>4.8367955636384942E-2</v>
      </c>
      <c r="CZ275" s="35">
        <v>4.8367955636384935E-2</v>
      </c>
      <c r="DA275" s="35">
        <v>4.8367955636384935E-2</v>
      </c>
      <c r="DB275" s="35">
        <v>4.8367955636384935E-2</v>
      </c>
      <c r="DC275" s="35">
        <v>4.8367955636384942E-2</v>
      </c>
      <c r="DD275" s="35">
        <v>4.8367955636384942E-2</v>
      </c>
      <c r="DE275" s="35">
        <v>4.8367955636384935E-2</v>
      </c>
      <c r="DF275" s="35">
        <v>4.8367955636384935E-2</v>
      </c>
    </row>
    <row r="276" spans="1:110" s="17" customFormat="1" ht="12" outlineLevel="1">
      <c r="A276" s="1" t="s">
        <v>231</v>
      </c>
      <c r="B276" s="17" t="s">
        <v>168</v>
      </c>
      <c r="C276" s="386">
        <v>1.0799014835632822E-2</v>
      </c>
      <c r="D276" s="386">
        <v>1.2096224870919617E-2</v>
      </c>
      <c r="E276" s="386">
        <v>8.7818964619599191E-3</v>
      </c>
      <c r="F276" s="386">
        <v>1.0680498964137544E-2</v>
      </c>
      <c r="G276" s="386">
        <v>1.0674358454017957E-2</v>
      </c>
      <c r="H276" s="386">
        <v>6.5110275201123308E-3</v>
      </c>
      <c r="I276" s="386">
        <v>8.3344571653308289E-3</v>
      </c>
      <c r="J276" s="386">
        <v>1.5149004384324267E-2</v>
      </c>
      <c r="K276" s="386">
        <v>1.614745208897056E-2</v>
      </c>
      <c r="L276" s="386">
        <v>1.5989899786079668E-2</v>
      </c>
      <c r="M276" s="71">
        <v>1.3601955595472663E-2</v>
      </c>
      <c r="N276" s="71">
        <v>1.3556431492332641E-2</v>
      </c>
      <c r="O276" s="71">
        <v>1.3056420326036683E-2</v>
      </c>
      <c r="P276" s="71">
        <v>9.7725515941675112E-3</v>
      </c>
      <c r="Q276" s="71">
        <v>1.1919090067389948E-2</v>
      </c>
      <c r="R276" s="71">
        <v>2.9570974764665185E-2</v>
      </c>
      <c r="S276" s="71">
        <v>2.8267506640147863E-2</v>
      </c>
      <c r="T276" s="71">
        <v>2.58959033427743E-2</v>
      </c>
      <c r="U276" s="71">
        <v>2.6844417378476981E-2</v>
      </c>
      <c r="V276" s="71">
        <v>2.6875642475935824E-2</v>
      </c>
      <c r="W276" s="71">
        <v>2.7924854079806424E-2</v>
      </c>
      <c r="X276" s="71">
        <v>2.8498402715238312E-2</v>
      </c>
      <c r="Y276" s="231">
        <v>3.1538111072528872E-2</v>
      </c>
      <c r="Z276" s="339">
        <v>3.2162481387400951E-2</v>
      </c>
      <c r="AA276" s="339">
        <v>3.1185689277531448E-2</v>
      </c>
      <c r="AB276" s="339">
        <v>2.9608532080723317E-2</v>
      </c>
      <c r="AC276" s="339">
        <v>2.7787810544885258E-2</v>
      </c>
      <c r="AD276" s="339">
        <v>2.6995944981765416E-2</v>
      </c>
      <c r="AE276" s="339">
        <v>2.7313269320393976E-2</v>
      </c>
      <c r="AF276" s="426">
        <v>2.9115882536199233E-2</v>
      </c>
      <c r="AG276" s="426">
        <v>3.1234375336097228E-2</v>
      </c>
      <c r="AH276" s="426">
        <v>3.0458539490212534E-2</v>
      </c>
      <c r="AI276" s="426">
        <v>3.1247743885648754E-2</v>
      </c>
      <c r="AJ276" s="426">
        <v>2.9868169909324963E-2</v>
      </c>
      <c r="AK276" s="426">
        <v>2.7438940975522422E-2</v>
      </c>
      <c r="AL276" s="426">
        <v>2.7890114442393425E-2</v>
      </c>
      <c r="AM276" s="426">
        <v>3.1784394450643585E-2</v>
      </c>
      <c r="AN276" s="426">
        <v>3.189226837003685E-2</v>
      </c>
      <c r="AO276" s="426">
        <v>3.1660849546902951E-2</v>
      </c>
      <c r="AP276" s="426">
        <v>3.2016748247669091E-2</v>
      </c>
      <c r="AQ276" s="426">
        <v>3.1439771051583472E-2</v>
      </c>
      <c r="AR276" s="426">
        <v>2.9548488136418267E-2</v>
      </c>
      <c r="AS276" s="426">
        <v>2.0267701464854789E-2</v>
      </c>
      <c r="AT276" s="426">
        <v>2.1475729725741785E-2</v>
      </c>
      <c r="AU276" s="426">
        <v>2.1030698732267171E-2</v>
      </c>
      <c r="AV276" s="417">
        <v>2.2372128774140264E-2</v>
      </c>
      <c r="AW276" s="70">
        <v>2.1907031915321156E-2</v>
      </c>
      <c r="AX276" s="70">
        <v>2.1734184407839145E-2</v>
      </c>
      <c r="AY276" s="70">
        <v>2.1899847142617966E-2</v>
      </c>
      <c r="AZ276" s="70">
        <v>2.2043782197450002E-2</v>
      </c>
      <c r="BA276" s="70">
        <v>2.2045302350014735E-2</v>
      </c>
      <c r="BB276" s="70">
        <v>2.1982689013728917E-2</v>
      </c>
      <c r="BC276" s="70">
        <v>2.1727395810610624E-2</v>
      </c>
      <c r="BD276" s="70">
        <v>2.1665476169662065E-2</v>
      </c>
      <c r="BE276" s="70">
        <v>2.1603750789324552E-2</v>
      </c>
      <c r="BF276" s="70">
        <v>2.1606633625537549E-2</v>
      </c>
      <c r="BG276" s="70">
        <v>2.1609543742688878E-2</v>
      </c>
      <c r="BH276" s="70">
        <v>2.1612480935152893E-2</v>
      </c>
      <c r="BI276" s="70">
        <v>2.1615444998471206E-2</v>
      </c>
      <c r="BJ276" s="70">
        <v>2.1618435729344562E-2</v>
      </c>
      <c r="BK276" s="70">
        <v>2.1621452925624736E-2</v>
      </c>
      <c r="BL276" s="70">
        <v>2.1624496386306428E-2</v>
      </c>
      <c r="BM276" s="70">
        <v>2.1627565911519282E-2</v>
      </c>
      <c r="BN276" s="70">
        <v>2.1629092268483415E-2</v>
      </c>
      <c r="BO276" s="70">
        <v>2.1629092268483419E-2</v>
      </c>
      <c r="BP276" s="70"/>
      <c r="BQ276" s="386">
        <v>4.0593433758443237E-2</v>
      </c>
      <c r="BR276" s="386">
        <v>4.1501710730948667E-2</v>
      </c>
      <c r="BS276" s="386">
        <v>3.6576702466333419E-2</v>
      </c>
      <c r="BT276" s="386">
        <v>2.311615838227303E-2</v>
      </c>
      <c r="BU276" s="386">
        <v>2.8197670439234698E-2</v>
      </c>
      <c r="BV276" s="386">
        <v>3.123718209905825E-2</v>
      </c>
      <c r="BW276" s="386">
        <v>2.6742967124955601E-2</v>
      </c>
      <c r="BX276" s="386">
        <v>2.2922166708783984E-2</v>
      </c>
      <c r="BY276" s="386">
        <v>1.5860475072529266E-2</v>
      </c>
      <c r="BZ276" s="386">
        <v>2.0184645221486615E-2</v>
      </c>
      <c r="CA276" s="70">
        <v>1.040488067007268E-2</v>
      </c>
      <c r="CB276" s="70">
        <v>1.0679233699707278E-2</v>
      </c>
      <c r="CC276" s="70">
        <v>7.4508988414793229E-3</v>
      </c>
      <c r="CD276" s="70">
        <v>1.5666712215692182E-2</v>
      </c>
      <c r="CE276" s="70">
        <v>1.4723151952071309E-2</v>
      </c>
      <c r="CF276" s="70">
        <v>1.3299567308302642E-2</v>
      </c>
      <c r="CG276" s="70">
        <v>1.0883456278603616E-2</v>
      </c>
      <c r="CH276" s="70">
        <v>2.892169885348218E-2</v>
      </c>
      <c r="CI276" s="70">
        <v>2.6342801831305669E-2</v>
      </c>
      <c r="CJ276" s="70">
        <v>2.7407871467632839E-2</v>
      </c>
      <c r="CK276" s="232">
        <v>3.0051130095377451E-2</v>
      </c>
      <c r="CL276" s="232">
        <v>3.1750794087944532E-2</v>
      </c>
      <c r="CM276" s="232">
        <v>2.8669915636867906E-2</v>
      </c>
      <c r="CN276" s="232">
        <v>2.7242956966693595E-2</v>
      </c>
      <c r="CO276" s="232">
        <v>3.018257984341614E-2</v>
      </c>
      <c r="CP276" s="232">
        <v>3.0857854451258718E-2</v>
      </c>
      <c r="CQ276" s="232">
        <v>2.8639996079983947E-2</v>
      </c>
      <c r="CR276" s="232">
        <v>2.9840936456549373E-2</v>
      </c>
      <c r="CS276" s="232">
        <v>3.1775610697675927E-2</v>
      </c>
      <c r="CT276" s="232">
        <v>3.173083697916209E-2</v>
      </c>
      <c r="CU276" s="232">
        <v>2.4848917410936019E-2</v>
      </c>
      <c r="CV276" s="72">
        <v>2.1252156858924679E-2</v>
      </c>
      <c r="CW276" s="70">
        <v>2.213047991933715E-2</v>
      </c>
      <c r="CX276" s="70">
        <v>2.1818198610103406E-2</v>
      </c>
      <c r="CY276" s="70">
        <v>2.2044551771610865E-2</v>
      </c>
      <c r="CZ276" s="70">
        <v>2.1853467118153357E-2</v>
      </c>
      <c r="DA276" s="70">
        <v>2.1634317012768887E-2</v>
      </c>
      <c r="DB276" s="70">
        <v>2.1608106653683002E-2</v>
      </c>
      <c r="DC276" s="70">
        <v>2.161398127590345E-2</v>
      </c>
      <c r="DD276" s="70">
        <v>2.161996297129978E-2</v>
      </c>
      <c r="DE276" s="70">
        <v>2.1626045918376316E-2</v>
      </c>
      <c r="DF276" s="70">
        <v>2.1629092268483419E-2</v>
      </c>
    </row>
    <row r="277" spans="1:110" ht="12" outlineLevel="1">
      <c r="C277" s="345"/>
      <c r="D277" s="345"/>
      <c r="E277" s="345"/>
      <c r="F277" s="345"/>
      <c r="G277" s="345"/>
      <c r="H277" s="345"/>
      <c r="I277" s="345"/>
      <c r="J277" s="345"/>
      <c r="K277" s="345"/>
      <c r="L277" s="345"/>
      <c r="M277" s="35"/>
      <c r="N277" s="35"/>
      <c r="O277" s="35"/>
      <c r="P277" s="35"/>
      <c r="Q277" s="35"/>
      <c r="R277" s="35"/>
      <c r="S277" s="35"/>
      <c r="T277" s="35"/>
      <c r="U277" s="35"/>
      <c r="V277" s="35"/>
      <c r="W277" s="35"/>
      <c r="X277" s="35"/>
      <c r="Y277" s="37"/>
      <c r="Z277" s="37"/>
      <c r="AA277" s="37"/>
      <c r="AB277" s="37"/>
      <c r="AC277" s="37"/>
      <c r="AD277" s="37"/>
      <c r="AE277" s="37"/>
      <c r="AF277" s="357"/>
      <c r="AG277" s="357"/>
      <c r="AH277" s="357"/>
      <c r="AI277" s="357"/>
      <c r="AJ277" s="357"/>
      <c r="AK277" s="357"/>
      <c r="AL277" s="357"/>
      <c r="AM277" s="357"/>
      <c r="AN277" s="357"/>
      <c r="AO277" s="357"/>
      <c r="AP277" s="357"/>
      <c r="AQ277" s="357"/>
      <c r="AR277" s="357"/>
      <c r="AS277" s="357"/>
      <c r="AT277" s="357"/>
      <c r="AU277" s="357"/>
      <c r="AV277" s="348"/>
      <c r="AW277" s="35"/>
      <c r="AX277" s="35"/>
      <c r="AY277" s="35"/>
      <c r="AZ277" s="35"/>
      <c r="BA277" s="35"/>
      <c r="BB277" s="35"/>
      <c r="BC277" s="35"/>
      <c r="BD277" s="35"/>
      <c r="BE277" s="35"/>
      <c r="BF277" s="35"/>
      <c r="BG277" s="35"/>
      <c r="BH277" s="35"/>
      <c r="BI277" s="35"/>
      <c r="BJ277" s="35"/>
      <c r="BK277" s="35"/>
      <c r="BL277" s="35"/>
      <c r="BM277" s="35"/>
      <c r="BN277" s="35"/>
      <c r="BO277" s="35"/>
      <c r="BP277" s="35"/>
      <c r="BQ277" s="345"/>
      <c r="BR277" s="345"/>
      <c r="BS277" s="345"/>
      <c r="BT277" s="345"/>
      <c r="BU277" s="345"/>
      <c r="BV277" s="345"/>
      <c r="BW277" s="345"/>
      <c r="BX277" s="345"/>
      <c r="BY277" s="345"/>
      <c r="BZ277" s="345"/>
      <c r="CA277" s="35"/>
      <c r="CB277" s="35"/>
      <c r="CC277" s="35"/>
      <c r="CD277" s="35"/>
      <c r="CE277" s="35"/>
      <c r="CF277" s="35"/>
      <c r="CG277" s="35"/>
      <c r="CH277" s="35"/>
      <c r="CI277" s="35"/>
      <c r="CJ277" s="35"/>
      <c r="CK277" s="37"/>
      <c r="CL277" s="37"/>
      <c r="CM277" s="37"/>
      <c r="CN277" s="37"/>
      <c r="CO277" s="37"/>
      <c r="CP277" s="37"/>
      <c r="CQ277" s="37"/>
      <c r="CR277" s="37"/>
      <c r="CS277" s="37"/>
      <c r="CT277" s="37"/>
      <c r="CU277" s="37"/>
      <c r="CV277" s="36"/>
      <c r="CW277" s="35"/>
      <c r="CX277" s="35"/>
      <c r="CY277" s="35"/>
      <c r="CZ277" s="35"/>
      <c r="DA277" s="35"/>
      <c r="DB277" s="35"/>
      <c r="DC277" s="35"/>
      <c r="DD277" s="35"/>
      <c r="DE277" s="35"/>
      <c r="DF277" s="35"/>
    </row>
    <row r="278" spans="1:110" s="17" customFormat="1" ht="12" outlineLevel="1">
      <c r="A278" s="1"/>
      <c r="B278" s="17" t="s">
        <v>408</v>
      </c>
      <c r="C278" s="387"/>
      <c r="D278" s="387"/>
      <c r="E278" s="387"/>
      <c r="F278" s="387"/>
      <c r="G278" s="387"/>
      <c r="H278" s="387"/>
      <c r="I278" s="387"/>
      <c r="J278" s="387"/>
      <c r="K278" s="387"/>
      <c r="L278" s="387"/>
      <c r="M278" s="70"/>
      <c r="N278" s="70"/>
      <c r="O278" s="70"/>
      <c r="P278" s="70"/>
      <c r="Q278" s="70"/>
      <c r="R278" s="70"/>
      <c r="S278" s="70"/>
      <c r="T278" s="70"/>
      <c r="U278" s="70"/>
      <c r="V278" s="70"/>
      <c r="W278" s="70"/>
      <c r="X278" s="70"/>
      <c r="Y278" s="232"/>
      <c r="Z278" s="232"/>
      <c r="AA278" s="232"/>
      <c r="AB278" s="232"/>
      <c r="AC278" s="232"/>
      <c r="AD278" s="232"/>
      <c r="AE278" s="232"/>
      <c r="AF278" s="427"/>
      <c r="AG278" s="427"/>
      <c r="AH278" s="427"/>
      <c r="AI278" s="427"/>
      <c r="AJ278" s="427"/>
      <c r="AK278" s="427"/>
      <c r="AL278" s="427"/>
      <c r="AM278" s="427"/>
      <c r="AN278" s="427"/>
      <c r="AO278" s="427"/>
      <c r="AP278" s="427"/>
      <c r="AQ278" s="427"/>
      <c r="AR278" s="427"/>
      <c r="AS278" s="427"/>
      <c r="AT278" s="427"/>
      <c r="AU278" s="427"/>
      <c r="AV278" s="418"/>
      <c r="AW278" s="70"/>
      <c r="AX278" s="70"/>
      <c r="AY278" s="70"/>
      <c r="AZ278" s="70"/>
      <c r="BA278" s="70"/>
      <c r="BB278" s="70"/>
      <c r="BC278" s="70"/>
      <c r="BD278" s="70"/>
      <c r="BE278" s="70"/>
      <c r="BF278" s="70"/>
      <c r="BG278" s="70"/>
      <c r="BH278" s="70"/>
      <c r="BI278" s="70"/>
      <c r="BJ278" s="70"/>
      <c r="BK278" s="70"/>
      <c r="BL278" s="70"/>
      <c r="BM278" s="70"/>
      <c r="BN278" s="70"/>
      <c r="BO278" s="70"/>
      <c r="BP278" s="70"/>
      <c r="BQ278" s="387"/>
      <c r="BR278" s="387"/>
      <c r="BS278" s="387"/>
      <c r="BT278" s="387"/>
      <c r="BU278" s="387"/>
      <c r="BV278" s="387"/>
      <c r="BW278" s="387"/>
      <c r="BX278" s="387"/>
      <c r="BY278" s="387"/>
      <c r="BZ278" s="387"/>
      <c r="CA278" s="70"/>
      <c r="CB278" s="70"/>
      <c r="CC278" s="70"/>
      <c r="CD278" s="70"/>
      <c r="CE278" s="70"/>
      <c r="CF278" s="70"/>
      <c r="CG278" s="70"/>
      <c r="CH278" s="70"/>
      <c r="CI278" s="70"/>
      <c r="CJ278" s="70"/>
      <c r="CK278" s="232"/>
      <c r="CL278" s="232"/>
      <c r="CM278" s="232"/>
      <c r="CN278" s="232"/>
      <c r="CO278" s="232"/>
      <c r="CP278" s="232"/>
      <c r="CQ278" s="232"/>
      <c r="CR278" s="232"/>
      <c r="CS278" s="232"/>
      <c r="CT278" s="232"/>
      <c r="CU278" s="232"/>
      <c r="CV278" s="72"/>
      <c r="CW278" s="70"/>
      <c r="CX278" s="70"/>
      <c r="CY278" s="70"/>
      <c r="CZ278" s="70"/>
      <c r="DA278" s="70"/>
      <c r="DB278" s="70"/>
      <c r="DC278" s="70"/>
      <c r="DD278" s="70"/>
      <c r="DE278" s="70"/>
      <c r="DF278" s="70"/>
    </row>
    <row r="279" spans="1:110" ht="12" outlineLevel="1">
      <c r="A279" s="1" t="s">
        <v>144</v>
      </c>
      <c r="B279" s="15" t="s">
        <v>164</v>
      </c>
      <c r="C279" s="345"/>
      <c r="D279" s="345"/>
      <c r="E279" s="345"/>
      <c r="F279" s="345"/>
      <c r="G279" s="345"/>
      <c r="H279" s="345"/>
      <c r="I279" s="345"/>
      <c r="J279" s="345"/>
      <c r="K279" s="345"/>
      <c r="L279" s="345"/>
      <c r="M279" s="35"/>
      <c r="N279" s="35"/>
      <c r="O279" s="35"/>
      <c r="P279" s="35"/>
      <c r="Q279" s="35"/>
      <c r="R279" s="35"/>
      <c r="S279" s="35"/>
      <c r="T279" s="35"/>
      <c r="U279" s="35"/>
      <c r="V279" s="35"/>
      <c r="W279" s="35"/>
      <c r="X279" s="35"/>
      <c r="Y279" s="37"/>
      <c r="Z279" s="37"/>
      <c r="AA279" s="37"/>
      <c r="AB279" s="37"/>
      <c r="AC279" s="37"/>
      <c r="AD279" s="37"/>
      <c r="AE279" s="37"/>
      <c r="AF279" s="357"/>
      <c r="AG279" s="357"/>
      <c r="AH279" s="357"/>
      <c r="AI279" s="357"/>
      <c r="AJ279" s="357"/>
      <c r="AK279" s="357"/>
      <c r="AL279" s="357"/>
      <c r="AM279" s="357"/>
      <c r="AN279" s="357"/>
      <c r="AO279" s="357"/>
      <c r="AP279" s="357"/>
      <c r="AQ279" s="357"/>
      <c r="AR279" s="357"/>
      <c r="AS279" s="357"/>
      <c r="AT279" s="357"/>
      <c r="AU279" s="357"/>
      <c r="AV279" s="348"/>
      <c r="AW279" s="35"/>
      <c r="AX279" s="35"/>
      <c r="AY279" s="35"/>
      <c r="AZ279" s="35"/>
      <c r="BA279" s="35"/>
      <c r="BB279" s="35"/>
      <c r="BC279" s="35"/>
      <c r="BD279" s="35"/>
      <c r="BE279" s="35"/>
      <c r="BF279" s="35"/>
      <c r="BG279" s="35"/>
      <c r="BH279" s="35"/>
      <c r="BI279" s="35"/>
      <c r="BJ279" s="35"/>
      <c r="BK279" s="35"/>
      <c r="BL279" s="35"/>
      <c r="BM279" s="35"/>
      <c r="BN279" s="35"/>
      <c r="BO279" s="35"/>
      <c r="BP279" s="35"/>
      <c r="BQ279" s="345"/>
      <c r="BR279" s="345"/>
      <c r="BS279" s="345"/>
      <c r="BT279" s="345"/>
      <c r="BU279" s="345"/>
      <c r="BV279" s="345"/>
      <c r="BW279" s="345"/>
      <c r="BX279" s="345"/>
      <c r="BY279" s="345"/>
      <c r="BZ279" s="345"/>
      <c r="CA279" s="35"/>
      <c r="CB279" s="35"/>
      <c r="CC279" s="35"/>
      <c r="CD279" s="35"/>
      <c r="CE279" s="35"/>
      <c r="CF279" s="35"/>
      <c r="CG279" s="35"/>
      <c r="CH279" s="35"/>
      <c r="CI279" s="35"/>
      <c r="CJ279" s="35"/>
      <c r="CK279" s="37"/>
      <c r="CL279" s="37"/>
      <c r="CM279" s="37"/>
      <c r="CN279" s="37"/>
      <c r="CO279" s="37"/>
      <c r="CP279" s="37"/>
      <c r="CQ279" s="37"/>
      <c r="CR279" s="37"/>
      <c r="CS279" s="37"/>
      <c r="CT279" s="37"/>
      <c r="CU279" s="37"/>
      <c r="CV279" s="36"/>
      <c r="CW279" s="35"/>
      <c r="CX279" s="35"/>
      <c r="CY279" s="35"/>
      <c r="CZ279" s="35"/>
      <c r="DA279" s="35"/>
      <c r="DB279" s="35"/>
      <c r="DC279" s="35"/>
      <c r="DD279" s="35"/>
      <c r="DE279" s="35"/>
      <c r="DF279" s="35"/>
    </row>
    <row r="280" spans="1:110" ht="12" outlineLevel="1">
      <c r="A280" s="1" t="s">
        <v>145</v>
      </c>
      <c r="B280" s="15" t="s">
        <v>344</v>
      </c>
      <c r="C280" s="345"/>
      <c r="D280" s="345"/>
      <c r="E280" s="345"/>
      <c r="F280" s="345"/>
      <c r="G280" s="345"/>
      <c r="H280" s="345"/>
      <c r="I280" s="345"/>
      <c r="J280" s="345"/>
      <c r="K280" s="345"/>
      <c r="L280" s="345"/>
      <c r="M280" s="35"/>
      <c r="N280" s="35"/>
      <c r="O280" s="35"/>
      <c r="P280" s="35"/>
      <c r="Q280" s="35"/>
      <c r="R280" s="35"/>
      <c r="S280" s="35"/>
      <c r="T280" s="35"/>
      <c r="U280" s="35"/>
      <c r="V280" s="35"/>
      <c r="W280" s="35"/>
      <c r="X280" s="35"/>
      <c r="Y280" s="37"/>
      <c r="Z280" s="37"/>
      <c r="AA280" s="37"/>
      <c r="AB280" s="37"/>
      <c r="AC280" s="37"/>
      <c r="AD280" s="37"/>
      <c r="AE280" s="37"/>
      <c r="AF280" s="357"/>
      <c r="AG280" s="357"/>
      <c r="AH280" s="357"/>
      <c r="AI280" s="357"/>
      <c r="AJ280" s="357"/>
      <c r="AK280" s="357"/>
      <c r="AL280" s="357"/>
      <c r="AM280" s="357"/>
      <c r="AN280" s="357"/>
      <c r="AO280" s="357"/>
      <c r="AP280" s="357"/>
      <c r="AQ280" s="357"/>
      <c r="AR280" s="357"/>
      <c r="AS280" s="357"/>
      <c r="AT280" s="357"/>
      <c r="AU280" s="357"/>
      <c r="AV280" s="348"/>
      <c r="AW280" s="35"/>
      <c r="AX280" s="35"/>
      <c r="AY280" s="35"/>
      <c r="AZ280" s="35"/>
      <c r="BA280" s="35"/>
      <c r="BB280" s="35"/>
      <c r="BC280" s="35"/>
      <c r="BD280" s="35"/>
      <c r="BE280" s="35"/>
      <c r="BF280" s="35"/>
      <c r="BG280" s="35"/>
      <c r="BH280" s="35"/>
      <c r="BI280" s="35"/>
      <c r="BJ280" s="35"/>
      <c r="BK280" s="35"/>
      <c r="BL280" s="35"/>
      <c r="BM280" s="35"/>
      <c r="BN280" s="35"/>
      <c r="BO280" s="35"/>
      <c r="BP280" s="35"/>
      <c r="BQ280" s="345"/>
      <c r="BR280" s="345"/>
      <c r="BS280" s="345"/>
      <c r="BT280" s="345"/>
      <c r="BU280" s="345"/>
      <c r="BV280" s="345"/>
      <c r="BW280" s="345"/>
      <c r="BX280" s="345"/>
      <c r="BY280" s="345"/>
      <c r="BZ280" s="345"/>
      <c r="CA280" s="35"/>
      <c r="CB280" s="35"/>
      <c r="CC280" s="35"/>
      <c r="CD280" s="35"/>
      <c r="CE280" s="35"/>
      <c r="CF280" s="35"/>
      <c r="CG280" s="35"/>
      <c r="CH280" s="35"/>
      <c r="CI280" s="35"/>
      <c r="CJ280" s="35"/>
      <c r="CK280" s="37"/>
      <c r="CL280" s="37"/>
      <c r="CM280" s="37"/>
      <c r="CN280" s="37"/>
      <c r="CO280" s="37"/>
      <c r="CP280" s="37"/>
      <c r="CQ280" s="37"/>
      <c r="CR280" s="37"/>
      <c r="CS280" s="37"/>
      <c r="CT280" s="37"/>
      <c r="CU280" s="37"/>
      <c r="CV280" s="36"/>
      <c r="CW280" s="35"/>
      <c r="CX280" s="35"/>
      <c r="CY280" s="35"/>
      <c r="CZ280" s="35"/>
      <c r="DA280" s="35"/>
      <c r="DB280" s="35"/>
      <c r="DC280" s="35"/>
      <c r="DD280" s="35"/>
      <c r="DE280" s="35"/>
      <c r="DF280" s="35"/>
    </row>
    <row r="281" spans="1:110" s="17" customFormat="1" ht="12" outlineLevel="1">
      <c r="A281" s="1" t="s">
        <v>146</v>
      </c>
      <c r="B281" s="17" t="s">
        <v>168</v>
      </c>
      <c r="C281" s="386">
        <v>3.2352698212248919E-2</v>
      </c>
      <c r="D281" s="386">
        <v>3.0241524886294953E-2</v>
      </c>
      <c r="E281" s="386">
        <v>2.7346661738243329E-2</v>
      </c>
      <c r="F281" s="386">
        <v>2.9955929391517554E-2</v>
      </c>
      <c r="G281" s="386">
        <v>3.4644639408112111E-2</v>
      </c>
      <c r="H281" s="386">
        <v>2.066049020312638E-2</v>
      </c>
      <c r="I281" s="386">
        <v>2.2711307132459967E-2</v>
      </c>
      <c r="J281" s="386">
        <v>2.706030906578711E-2</v>
      </c>
      <c r="K281" s="386">
        <v>2.8205552361972003E-2</v>
      </c>
      <c r="L281" s="386">
        <v>3.0390788622120891E-2</v>
      </c>
      <c r="M281" s="71">
        <v>2.670496038492514E-2</v>
      </c>
      <c r="N281" s="71">
        <v>2.3143919701818769E-2</v>
      </c>
      <c r="O281" s="71">
        <v>2.5217607150833474E-2</v>
      </c>
      <c r="P281" s="71">
        <v>2.2317888877344677E-2</v>
      </c>
      <c r="Q281" s="71">
        <v>1.9742769201854179E-2</v>
      </c>
      <c r="R281" s="71">
        <v>3.6385254561142048E-2</v>
      </c>
      <c r="S281" s="71">
        <v>2.843834529614158E-2</v>
      </c>
      <c r="T281" s="71">
        <v>1.7307267591663136E-2</v>
      </c>
      <c r="U281" s="71">
        <v>1.3468396691487035E-2</v>
      </c>
      <c r="V281" s="71">
        <v>1.5069918394176388E-2</v>
      </c>
      <c r="W281" s="71">
        <v>1.2616852313283383E-2</v>
      </c>
      <c r="X281" s="71">
        <v>1.7075021910770843E-2</v>
      </c>
      <c r="Y281" s="231">
        <v>2.4740314807079077E-2</v>
      </c>
      <c r="Z281" s="339">
        <v>2.8894257399430388E-2</v>
      </c>
      <c r="AA281" s="339">
        <v>3.1081264344506043E-2</v>
      </c>
      <c r="AB281" s="339">
        <v>3.1328543793885111E-2</v>
      </c>
      <c r="AC281" s="339">
        <v>3.4449054901702802E-2</v>
      </c>
      <c r="AD281" s="339">
        <v>3.6700666525547362E-2</v>
      </c>
      <c r="AE281" s="339">
        <v>3.7416794001687445E-2</v>
      </c>
      <c r="AF281" s="426">
        <v>3.0152893769510185E-2</v>
      </c>
      <c r="AG281" s="426">
        <v>2.9794863837279986E-2</v>
      </c>
      <c r="AH281" s="426">
        <v>2.9569054019023249E-2</v>
      </c>
      <c r="AI281" s="426">
        <v>3.0143597109861569E-2</v>
      </c>
      <c r="AJ281" s="426">
        <v>2.954974781466424E-2</v>
      </c>
      <c r="AK281" s="426">
        <v>2.7526790439737159E-2</v>
      </c>
      <c r="AL281" s="426">
        <v>2.7359251546154973E-2</v>
      </c>
      <c r="AM281" s="426">
        <v>3.2160107431378475E-2</v>
      </c>
      <c r="AN281" s="426">
        <v>3.2726301435612233E-2</v>
      </c>
      <c r="AO281" s="426">
        <v>3.3798581632939612E-2</v>
      </c>
      <c r="AP281" s="426">
        <v>3.1300818525046702E-2</v>
      </c>
      <c r="AQ281" s="426">
        <v>2.9461927568303674E-2</v>
      </c>
      <c r="AR281" s="426">
        <v>3.0777787910852259E-2</v>
      </c>
      <c r="AS281" s="426">
        <v>2.4497219059234177E-2</v>
      </c>
      <c r="AT281" s="426">
        <v>2.2672875013340414E-2</v>
      </c>
      <c r="AU281" s="426">
        <v>2.1871628292047987E-2</v>
      </c>
      <c r="AV281" s="417">
        <v>2.3252769498993069E-2</v>
      </c>
      <c r="AW281" s="70">
        <v>2.4252769498993069E-2</v>
      </c>
      <c r="AX281" s="70">
        <v>2.4252769498993069E-2</v>
      </c>
      <c r="AY281" s="70">
        <v>2.525276949899307E-2</v>
      </c>
      <c r="AZ281" s="70">
        <v>2.525276949899307E-2</v>
      </c>
      <c r="BA281" s="70">
        <v>2.525276949899307E-2</v>
      </c>
      <c r="BB281" s="70">
        <v>2.525276949899307E-2</v>
      </c>
      <c r="BC281" s="70">
        <v>2.525276949899307E-2</v>
      </c>
      <c r="BD281" s="70">
        <v>2.525276949899307E-2</v>
      </c>
      <c r="BE281" s="70">
        <v>2.525276949899307E-2</v>
      </c>
      <c r="BF281" s="70">
        <v>2.525276949899307E-2</v>
      </c>
      <c r="BG281" s="70">
        <v>2.525276949899307E-2</v>
      </c>
      <c r="BH281" s="70">
        <v>2.525276949899307E-2</v>
      </c>
      <c r="BI281" s="70">
        <v>2.525276949899307E-2</v>
      </c>
      <c r="BJ281" s="70">
        <v>2.525276949899307E-2</v>
      </c>
      <c r="BK281" s="70">
        <v>2.525276949899307E-2</v>
      </c>
      <c r="BL281" s="70">
        <v>2.525276949899307E-2</v>
      </c>
      <c r="BM281" s="70">
        <v>2.525276949899307E-2</v>
      </c>
      <c r="BN281" s="70">
        <v>2.525276949899307E-2</v>
      </c>
      <c r="BO281" s="70">
        <v>2.525276949899307E-2</v>
      </c>
      <c r="BP281" s="70"/>
      <c r="BQ281" s="396">
        <v>3.1294461663151127E-2</v>
      </c>
      <c r="BR281" s="396">
        <v>3.0817078494485901E-2</v>
      </c>
      <c r="BS281" s="386">
        <v>2.959287960543755E-2</v>
      </c>
      <c r="BT281" s="386">
        <v>2.5937690108376737E-2</v>
      </c>
      <c r="BU281" s="386">
        <v>3.1986950396052441E-2</v>
      </c>
      <c r="BV281" s="386">
        <v>4.2763407147348567E-2</v>
      </c>
      <c r="BW281" s="386">
        <v>4.7424874295032941E-2</v>
      </c>
      <c r="BX281" s="386">
        <v>2.82081484824699E-2</v>
      </c>
      <c r="BY281" s="386">
        <v>2.2494560439560447E-2</v>
      </c>
      <c r="BZ281" s="386">
        <v>3.0776111948082017E-2</v>
      </c>
      <c r="CA281" s="70">
        <v>2.8762807539399447E-2</v>
      </c>
      <c r="CB281" s="70">
        <v>3.2328436731658625E-2</v>
      </c>
      <c r="CC281" s="70">
        <v>2.1826192268842672E-2</v>
      </c>
      <c r="CD281" s="70">
        <v>2.7655763701525657E-2</v>
      </c>
      <c r="CE281" s="70">
        <v>2.8533253199372593E-2</v>
      </c>
      <c r="CF281" s="70">
        <v>2.4219599608038166E-2</v>
      </c>
      <c r="CG281" s="70">
        <v>2.1036346213597571E-2</v>
      </c>
      <c r="CH281" s="70">
        <v>3.2492233522026348E-2</v>
      </c>
      <c r="CI281" s="70">
        <v>1.5372929294149159E-2</v>
      </c>
      <c r="CJ281" s="70">
        <v>1.3837977780862733E-2</v>
      </c>
      <c r="CK281" s="232">
        <v>2.0957030632421336E-2</v>
      </c>
      <c r="CL281" s="232">
        <v>3.0033503574871546E-2</v>
      </c>
      <c r="CM281" s="232">
        <v>3.2916413384454751E-2</v>
      </c>
      <c r="CN281" s="232">
        <v>3.7064538508477074E-2</v>
      </c>
      <c r="CO281" s="232">
        <v>2.9970113963871503E-2</v>
      </c>
      <c r="CP281" s="232">
        <v>2.9857543728875214E-2</v>
      </c>
      <c r="CQ281" s="232">
        <v>2.8523669909538692E-2</v>
      </c>
      <c r="CR281" s="232">
        <v>2.9790406336623457E-2</v>
      </c>
      <c r="CS281" s="232">
        <v>3.3258058036515888E-2</v>
      </c>
      <c r="CT281" s="232">
        <v>3.0360790309457816E-2</v>
      </c>
      <c r="CU281" s="232">
        <v>2.7658388552744256E-2</v>
      </c>
      <c r="CV281" s="72">
        <v>2.2268172742403006E-2</v>
      </c>
      <c r="CW281" s="70">
        <v>2.3754408584005002E-2</v>
      </c>
      <c r="CX281" s="70">
        <v>2.4755220905241133E-2</v>
      </c>
      <c r="CY281" s="70">
        <v>2.525276949899307E-2</v>
      </c>
      <c r="CZ281" s="70">
        <v>2.5252769498993074E-2</v>
      </c>
      <c r="DA281" s="70">
        <v>2.525276949899307E-2</v>
      </c>
      <c r="DB281" s="70">
        <v>2.5252769498993063E-2</v>
      </c>
      <c r="DC281" s="70">
        <v>2.525276949899307E-2</v>
      </c>
      <c r="DD281" s="70">
        <v>2.525276949899307E-2</v>
      </c>
      <c r="DE281" s="70">
        <v>2.5252769498993067E-2</v>
      </c>
      <c r="DF281" s="70">
        <v>2.5252769498993067E-2</v>
      </c>
    </row>
    <row r="282" spans="1:110" ht="12" outlineLevel="1">
      <c r="C282" s="345"/>
      <c r="D282" s="345"/>
      <c r="E282" s="345"/>
      <c r="F282" s="345"/>
      <c r="G282" s="345"/>
      <c r="H282" s="345"/>
      <c r="I282" s="345"/>
      <c r="J282" s="345"/>
      <c r="K282" s="345"/>
      <c r="L282" s="345"/>
      <c r="M282" s="35"/>
      <c r="N282" s="35"/>
      <c r="O282" s="35"/>
      <c r="P282" s="35"/>
      <c r="Q282" s="35"/>
      <c r="R282" s="35"/>
      <c r="S282" s="35"/>
      <c r="T282" s="35"/>
      <c r="U282" s="35"/>
      <c r="V282" s="35"/>
      <c r="W282" s="35"/>
      <c r="X282" s="35"/>
      <c r="Y282" s="37"/>
      <c r="Z282" s="37"/>
      <c r="AA282" s="37"/>
      <c r="AB282" s="37"/>
      <c r="AC282" s="37"/>
      <c r="AD282" s="37"/>
      <c r="AE282" s="37"/>
      <c r="AF282" s="357"/>
      <c r="AG282" s="357"/>
      <c r="AH282" s="357"/>
      <c r="AI282" s="357"/>
      <c r="AJ282" s="357"/>
      <c r="AK282" s="357"/>
      <c r="AL282" s="357"/>
      <c r="AM282" s="357"/>
      <c r="AN282" s="357"/>
      <c r="AO282" s="357"/>
      <c r="AP282" s="357"/>
      <c r="AQ282" s="357"/>
      <c r="AR282" s="357"/>
      <c r="AS282" s="357"/>
      <c r="AT282" s="357"/>
      <c r="AU282" s="357"/>
      <c r="AV282" s="348"/>
      <c r="AW282" s="35"/>
      <c r="AX282" s="35"/>
      <c r="AY282" s="35"/>
      <c r="AZ282" s="35"/>
      <c r="BA282" s="35"/>
      <c r="BB282" s="35"/>
      <c r="BC282" s="35"/>
      <c r="BD282" s="35"/>
      <c r="BE282" s="35"/>
      <c r="BF282" s="35"/>
      <c r="BG282" s="35"/>
      <c r="BH282" s="35"/>
      <c r="BI282" s="35"/>
      <c r="BJ282" s="35"/>
      <c r="BK282" s="35"/>
      <c r="BL282" s="35"/>
      <c r="BM282" s="35"/>
      <c r="BN282" s="35"/>
      <c r="BO282" s="35"/>
      <c r="BP282" s="35"/>
      <c r="BQ282" s="345"/>
      <c r="BR282" s="345"/>
      <c r="BS282" s="345"/>
      <c r="BT282" s="345"/>
      <c r="BU282" s="345"/>
      <c r="BV282" s="345"/>
      <c r="BW282" s="345"/>
      <c r="BX282" s="345"/>
      <c r="BY282" s="345"/>
      <c r="BZ282" s="345"/>
      <c r="CA282" s="35"/>
      <c r="CB282" s="35"/>
      <c r="CC282" s="35"/>
      <c r="CD282" s="35"/>
      <c r="CE282" s="35"/>
      <c r="CF282" s="35"/>
      <c r="CG282" s="35"/>
      <c r="CH282" s="35"/>
      <c r="CI282" s="35"/>
      <c r="CJ282" s="35"/>
      <c r="CK282" s="37"/>
      <c r="CL282" s="37"/>
      <c r="CM282" s="37"/>
      <c r="CN282" s="37"/>
      <c r="CO282" s="37"/>
      <c r="CP282" s="37"/>
      <c r="CQ282" s="37"/>
      <c r="CR282" s="37"/>
      <c r="CS282" s="37"/>
      <c r="CT282" s="37"/>
      <c r="CU282" s="37"/>
      <c r="CV282" s="36"/>
      <c r="CW282" s="35"/>
      <c r="CX282" s="35"/>
      <c r="CY282" s="35"/>
      <c r="CZ282" s="35"/>
      <c r="DA282" s="35"/>
      <c r="DB282" s="35"/>
      <c r="DC282" s="35"/>
      <c r="DD282" s="35"/>
      <c r="DE282" s="35"/>
      <c r="DF282" s="35"/>
    </row>
    <row r="283" spans="1:110" s="17" customFormat="1" ht="12" outlineLevel="1">
      <c r="A283" s="1"/>
      <c r="B283" s="17" t="s">
        <v>342</v>
      </c>
      <c r="C283" s="387"/>
      <c r="D283" s="387"/>
      <c r="E283" s="387"/>
      <c r="F283" s="387"/>
      <c r="G283" s="387"/>
      <c r="H283" s="387"/>
      <c r="I283" s="387"/>
      <c r="J283" s="387"/>
      <c r="K283" s="387"/>
      <c r="L283" s="387"/>
      <c r="M283" s="70"/>
      <c r="N283" s="70"/>
      <c r="O283" s="70"/>
      <c r="P283" s="70"/>
      <c r="Q283" s="70"/>
      <c r="R283" s="70"/>
      <c r="S283" s="70"/>
      <c r="T283" s="70"/>
      <c r="U283" s="70"/>
      <c r="V283" s="70"/>
      <c r="W283" s="70"/>
      <c r="X283" s="70"/>
      <c r="Y283" s="232"/>
      <c r="Z283" s="232"/>
      <c r="AA283" s="232"/>
      <c r="AB283" s="232"/>
      <c r="AC283" s="232"/>
      <c r="AD283" s="232"/>
      <c r="AE283" s="232"/>
      <c r="AF283" s="427"/>
      <c r="AG283" s="427"/>
      <c r="AH283" s="427"/>
      <c r="AI283" s="427"/>
      <c r="AJ283" s="427"/>
      <c r="AK283" s="427"/>
      <c r="AL283" s="427"/>
      <c r="AM283" s="427"/>
      <c r="AN283" s="427"/>
      <c r="AO283" s="427"/>
      <c r="AP283" s="427"/>
      <c r="AQ283" s="427"/>
      <c r="AR283" s="427"/>
      <c r="AS283" s="427"/>
      <c r="AT283" s="427"/>
      <c r="AU283" s="427"/>
      <c r="AV283" s="418"/>
      <c r="AW283" s="70"/>
      <c r="AX283" s="70"/>
      <c r="AY283" s="70"/>
      <c r="AZ283" s="70"/>
      <c r="BA283" s="70"/>
      <c r="BB283" s="70"/>
      <c r="BC283" s="70"/>
      <c r="BD283" s="70"/>
      <c r="BE283" s="70"/>
      <c r="BF283" s="70"/>
      <c r="BG283" s="70"/>
      <c r="BH283" s="70"/>
      <c r="BI283" s="70"/>
      <c r="BJ283" s="70"/>
      <c r="BK283" s="70"/>
      <c r="BL283" s="70"/>
      <c r="BM283" s="70"/>
      <c r="BN283" s="70"/>
      <c r="BO283" s="70"/>
      <c r="BP283" s="70"/>
      <c r="BQ283" s="387"/>
      <c r="BR283" s="387"/>
      <c r="BS283" s="387"/>
      <c r="BT283" s="387"/>
      <c r="BU283" s="387"/>
      <c r="BV283" s="387"/>
      <c r="BW283" s="387"/>
      <c r="BX283" s="387"/>
      <c r="BY283" s="387"/>
      <c r="BZ283" s="387"/>
      <c r="CA283" s="70"/>
      <c r="CB283" s="70"/>
      <c r="CC283" s="70"/>
      <c r="CD283" s="70"/>
      <c r="CE283" s="70"/>
      <c r="CF283" s="70"/>
      <c r="CG283" s="70"/>
      <c r="CH283" s="70"/>
      <c r="CI283" s="70"/>
      <c r="CJ283" s="70"/>
      <c r="CK283" s="232"/>
      <c r="CL283" s="232"/>
      <c r="CM283" s="232"/>
      <c r="CN283" s="232"/>
      <c r="CO283" s="232"/>
      <c r="CP283" s="232"/>
      <c r="CQ283" s="232"/>
      <c r="CR283" s="232"/>
      <c r="CS283" s="232"/>
      <c r="CT283" s="232"/>
      <c r="CU283" s="232"/>
      <c r="CV283" s="72"/>
      <c r="CW283" s="70"/>
      <c r="CX283" s="70"/>
      <c r="CY283" s="70"/>
      <c r="CZ283" s="70"/>
      <c r="DA283" s="70"/>
      <c r="DB283" s="70"/>
      <c r="DC283" s="70"/>
      <c r="DD283" s="70"/>
      <c r="DE283" s="70"/>
      <c r="DF283" s="70"/>
    </row>
    <row r="284" spans="1:110" ht="12" outlineLevel="1">
      <c r="A284" s="1" t="s">
        <v>147</v>
      </c>
      <c r="B284" s="15" t="s">
        <v>164</v>
      </c>
      <c r="C284" s="345"/>
      <c r="D284" s="345"/>
      <c r="E284" s="345"/>
      <c r="F284" s="345"/>
      <c r="G284" s="345"/>
      <c r="H284" s="345"/>
      <c r="I284" s="345"/>
      <c r="J284" s="345"/>
      <c r="K284" s="345"/>
      <c r="L284" s="345"/>
      <c r="M284" s="35"/>
      <c r="N284" s="35"/>
      <c r="O284" s="35"/>
      <c r="P284" s="35"/>
      <c r="Q284" s="35"/>
      <c r="R284" s="35"/>
      <c r="S284" s="35"/>
      <c r="T284" s="35"/>
      <c r="U284" s="35"/>
      <c r="V284" s="35"/>
      <c r="W284" s="35"/>
      <c r="X284" s="35"/>
      <c r="Y284" s="37"/>
      <c r="Z284" s="37"/>
      <c r="AA284" s="37"/>
      <c r="AB284" s="37"/>
      <c r="AC284" s="37"/>
      <c r="AD284" s="37"/>
      <c r="AE284" s="37"/>
      <c r="AF284" s="357"/>
      <c r="AG284" s="357"/>
      <c r="AH284" s="357"/>
      <c r="AI284" s="357"/>
      <c r="AJ284" s="357"/>
      <c r="AK284" s="357"/>
      <c r="AL284" s="357"/>
      <c r="AM284" s="357"/>
      <c r="AN284" s="357"/>
      <c r="AO284" s="357"/>
      <c r="AP284" s="357"/>
      <c r="AQ284" s="357"/>
      <c r="AR284" s="357"/>
      <c r="AS284" s="357"/>
      <c r="AT284" s="357"/>
      <c r="AU284" s="357"/>
      <c r="AV284" s="348"/>
      <c r="AW284" s="35"/>
      <c r="AX284" s="35"/>
      <c r="AY284" s="35"/>
      <c r="AZ284" s="35"/>
      <c r="BA284" s="35"/>
      <c r="BB284" s="35"/>
      <c r="BC284" s="35"/>
      <c r="BD284" s="35"/>
      <c r="BE284" s="35"/>
      <c r="BF284" s="35"/>
      <c r="BG284" s="35"/>
      <c r="BH284" s="35"/>
      <c r="BI284" s="35"/>
      <c r="BJ284" s="35"/>
      <c r="BK284" s="35"/>
      <c r="BL284" s="35"/>
      <c r="BM284" s="35"/>
      <c r="BN284" s="35"/>
      <c r="BO284" s="35"/>
      <c r="BP284" s="35"/>
      <c r="BQ284" s="345"/>
      <c r="BR284" s="345"/>
      <c r="BS284" s="345"/>
      <c r="BT284" s="345"/>
      <c r="BU284" s="345"/>
      <c r="BV284" s="345"/>
      <c r="BW284" s="345"/>
      <c r="BX284" s="345"/>
      <c r="BY284" s="345"/>
      <c r="BZ284" s="345"/>
      <c r="CA284" s="35"/>
      <c r="CB284" s="35"/>
      <c r="CC284" s="35"/>
      <c r="CD284" s="35"/>
      <c r="CE284" s="35"/>
      <c r="CF284" s="35"/>
      <c r="CG284" s="35"/>
      <c r="CH284" s="35"/>
      <c r="CI284" s="35"/>
      <c r="CJ284" s="35"/>
      <c r="CK284" s="37"/>
      <c r="CL284" s="37"/>
      <c r="CM284" s="37"/>
      <c r="CN284" s="37"/>
      <c r="CO284" s="37"/>
      <c r="CP284" s="37"/>
      <c r="CQ284" s="37"/>
      <c r="CR284" s="37"/>
      <c r="CS284" s="37"/>
      <c r="CT284" s="37"/>
      <c r="CU284" s="37"/>
      <c r="CV284" s="36"/>
      <c r="CW284" s="35"/>
      <c r="CX284" s="35"/>
      <c r="CY284" s="35"/>
      <c r="CZ284" s="35"/>
      <c r="DA284" s="35"/>
      <c r="DB284" s="35"/>
      <c r="DC284" s="35"/>
      <c r="DD284" s="35"/>
      <c r="DE284" s="35"/>
      <c r="DF284" s="35"/>
    </row>
    <row r="285" spans="1:110" ht="12" outlineLevel="1">
      <c r="A285" s="1" t="s">
        <v>148</v>
      </c>
      <c r="B285" s="15" t="s">
        <v>344</v>
      </c>
      <c r="C285" s="345"/>
      <c r="D285" s="345"/>
      <c r="E285" s="345"/>
      <c r="F285" s="345"/>
      <c r="G285" s="345"/>
      <c r="H285" s="345"/>
      <c r="I285" s="345"/>
      <c r="J285" s="345"/>
      <c r="K285" s="345"/>
      <c r="L285" s="345"/>
      <c r="M285" s="35"/>
      <c r="N285" s="35"/>
      <c r="O285" s="35"/>
      <c r="P285" s="35"/>
      <c r="Q285" s="35"/>
      <c r="R285" s="35"/>
      <c r="S285" s="35"/>
      <c r="T285" s="35"/>
      <c r="U285" s="35"/>
      <c r="V285" s="35"/>
      <c r="W285" s="35"/>
      <c r="X285" s="35"/>
      <c r="Y285" s="37"/>
      <c r="Z285" s="37"/>
      <c r="AA285" s="37"/>
      <c r="AB285" s="37"/>
      <c r="AC285" s="37"/>
      <c r="AD285" s="37"/>
      <c r="AE285" s="37"/>
      <c r="AF285" s="357"/>
      <c r="AG285" s="357"/>
      <c r="AH285" s="357"/>
      <c r="AI285" s="357"/>
      <c r="AJ285" s="426"/>
      <c r="AK285" s="426"/>
      <c r="AL285" s="426"/>
      <c r="AM285" s="426"/>
      <c r="AN285" s="426"/>
      <c r="AO285" s="426"/>
      <c r="AP285" s="426"/>
      <c r="AQ285" s="426"/>
      <c r="AR285" s="426"/>
      <c r="AS285" s="426"/>
      <c r="AT285" s="426"/>
      <c r="AU285" s="426"/>
      <c r="AV285" s="417"/>
      <c r="AW285" s="35"/>
      <c r="AX285" s="35"/>
      <c r="AY285" s="35"/>
      <c r="AZ285" s="35"/>
      <c r="BA285" s="35"/>
      <c r="BB285" s="35"/>
      <c r="BC285" s="35"/>
      <c r="BD285" s="35"/>
      <c r="BE285" s="35"/>
      <c r="BF285" s="35"/>
      <c r="BG285" s="35"/>
      <c r="BH285" s="35"/>
      <c r="BI285" s="35"/>
      <c r="BJ285" s="35"/>
      <c r="BK285" s="35"/>
      <c r="BL285" s="35"/>
      <c r="BM285" s="35"/>
      <c r="BN285" s="35"/>
      <c r="BO285" s="35"/>
      <c r="BP285" s="35"/>
      <c r="BQ285" s="345"/>
      <c r="BR285" s="345"/>
      <c r="BS285" s="345"/>
      <c r="BT285" s="345"/>
      <c r="BU285" s="345"/>
      <c r="BV285" s="345"/>
      <c r="BW285" s="345"/>
      <c r="BX285" s="345"/>
      <c r="BY285" s="345"/>
      <c r="BZ285" s="345"/>
      <c r="CA285" s="35"/>
      <c r="CB285" s="35"/>
      <c r="CC285" s="35"/>
      <c r="CD285" s="35"/>
      <c r="CE285" s="35"/>
      <c r="CF285" s="35"/>
      <c r="CG285" s="35"/>
      <c r="CH285" s="35"/>
      <c r="CI285" s="35"/>
      <c r="CJ285" s="35"/>
      <c r="CK285" s="37"/>
      <c r="CL285" s="37"/>
      <c r="CM285" s="37"/>
      <c r="CN285" s="37"/>
      <c r="CO285" s="37"/>
      <c r="CP285" s="37"/>
      <c r="CQ285" s="37"/>
      <c r="CR285" s="37"/>
      <c r="CS285" s="37"/>
      <c r="CT285" s="37"/>
      <c r="CU285" s="37"/>
      <c r="CV285" s="36"/>
      <c r="CW285" s="35"/>
      <c r="CX285" s="35"/>
      <c r="CY285" s="35"/>
      <c r="CZ285" s="35"/>
      <c r="DA285" s="35"/>
      <c r="DB285" s="35"/>
      <c r="DC285" s="35"/>
      <c r="DD285" s="35"/>
      <c r="DE285" s="35"/>
      <c r="DF285" s="35"/>
    </row>
    <row r="286" spans="1:110" s="17" customFormat="1" ht="12" outlineLevel="1">
      <c r="A286" s="1" t="s">
        <v>149</v>
      </c>
      <c r="B286" s="17" t="s">
        <v>168</v>
      </c>
      <c r="C286" s="386">
        <v>9.5885334255908089E-3</v>
      </c>
      <c r="D286" s="386">
        <v>3.7236379496832783E-4</v>
      </c>
      <c r="E286" s="386">
        <v>-4.6810509694068594E-3</v>
      </c>
      <c r="F286" s="386">
        <v>-6.5356540057738416E-3</v>
      </c>
      <c r="G286" s="386">
        <v>-7.2832003079605009E-3</v>
      </c>
      <c r="H286" s="386">
        <v>-1.0401628292885289E-2</v>
      </c>
      <c r="I286" s="386">
        <v>-1.3144278212066547E-2</v>
      </c>
      <c r="J286" s="386">
        <v>-2.3237954937958619E-3</v>
      </c>
      <c r="K286" s="386">
        <v>5.8062197920437306E-3</v>
      </c>
      <c r="L286" s="386">
        <v>1.0622775738070529E-2</v>
      </c>
      <c r="M286" s="71">
        <v>1.2477289218315986E-2</v>
      </c>
      <c r="N286" s="71">
        <v>1.0324431909701628E-2</v>
      </c>
      <c r="O286" s="71">
        <v>6.10259330138406E-3</v>
      </c>
      <c r="P286" s="71">
        <v>-9.2497083531606211E-3</v>
      </c>
      <c r="Q286" s="71">
        <v>-2.041613103834479E-2</v>
      </c>
      <c r="R286" s="71">
        <v>1.1173555854634927E-2</v>
      </c>
      <c r="S286" s="71">
        <v>1.1607317800999148E-2</v>
      </c>
      <c r="T286" s="71">
        <v>6.6482579059431932E-3</v>
      </c>
      <c r="U286" s="71">
        <v>2.4903265573122113E-3</v>
      </c>
      <c r="V286" s="71">
        <v>-2.9406400515149742E-3</v>
      </c>
      <c r="W286" s="71">
        <v>-8.3049601524219988E-3</v>
      </c>
      <c r="X286" s="71">
        <v>-2.2502871161361321E-3</v>
      </c>
      <c r="Y286" s="231">
        <v>4.7912214119553778E-3</v>
      </c>
      <c r="Z286" s="339">
        <v>2.6591672439657647E-3</v>
      </c>
      <c r="AA286" s="339">
        <v>3.128004222910815E-3</v>
      </c>
      <c r="AB286" s="339">
        <v>3.435093557892184E-3</v>
      </c>
      <c r="AC286" s="339">
        <v>1.527937461283168E-3</v>
      </c>
      <c r="AD286" s="339">
        <v>2.8162917373022803E-3</v>
      </c>
      <c r="AE286" s="339">
        <v>8.5831381498048601E-3</v>
      </c>
      <c r="AF286" s="426">
        <v>1.0069136505126454E-2</v>
      </c>
      <c r="AG286" s="426">
        <v>1.3454678002088556E-2</v>
      </c>
      <c r="AH286" s="426">
        <v>1.6160852156996159E-2</v>
      </c>
      <c r="AI286" s="426">
        <v>1.768563990970112E-2</v>
      </c>
      <c r="AJ286" s="426">
        <v>1.7149157187445627E-2</v>
      </c>
      <c r="AK286" s="426">
        <v>1.9269700269789164E-2</v>
      </c>
      <c r="AL286" s="426">
        <v>2.8053487661763483E-2</v>
      </c>
      <c r="AM286" s="426">
        <v>3.3487610386939003E-2</v>
      </c>
      <c r="AN286" s="426">
        <v>3.1728575902000844E-2</v>
      </c>
      <c r="AO286" s="426">
        <v>3.9716981235716264E-2</v>
      </c>
      <c r="AP286" s="426">
        <v>2.1466187416678318E-2</v>
      </c>
      <c r="AQ286" s="426">
        <v>1.8736891958052421E-2</v>
      </c>
      <c r="AR286" s="426">
        <v>1.9158116956915234E-2</v>
      </c>
      <c r="AS286" s="426">
        <v>1.6016208693711727E-2</v>
      </c>
      <c r="AT286" s="426">
        <v>3.1615302353130648E-2</v>
      </c>
      <c r="AU286" s="426">
        <v>2.7803620827931461E-2</v>
      </c>
      <c r="AV286" s="417">
        <v>2.541999970192891E-2</v>
      </c>
      <c r="AW286" s="70">
        <v>2.541999970192891E-2</v>
      </c>
      <c r="AX286" s="70">
        <v>2.541999970192891E-2</v>
      </c>
      <c r="AY286" s="70">
        <v>2.541999970192891E-2</v>
      </c>
      <c r="AZ286" s="70">
        <v>2.541999970192891E-2</v>
      </c>
      <c r="BA286" s="70">
        <v>2.541999970192891E-2</v>
      </c>
      <c r="BB286" s="70">
        <v>2.541999970192891E-2</v>
      </c>
      <c r="BC286" s="70">
        <v>2.541999970192891E-2</v>
      </c>
      <c r="BD286" s="70">
        <v>2.541999970192891E-2</v>
      </c>
      <c r="BE286" s="70">
        <v>2.541999970192891E-2</v>
      </c>
      <c r="BF286" s="70">
        <v>2.541999970192891E-2</v>
      </c>
      <c r="BG286" s="70">
        <v>2.541999970192891E-2</v>
      </c>
      <c r="BH286" s="70">
        <v>2.541999970192891E-2</v>
      </c>
      <c r="BI286" s="70">
        <v>2.541999970192891E-2</v>
      </c>
      <c r="BJ286" s="70">
        <v>2.541999970192891E-2</v>
      </c>
      <c r="BK286" s="70">
        <v>2.541999970192891E-2</v>
      </c>
      <c r="BL286" s="70">
        <v>2.541999970192891E-2</v>
      </c>
      <c r="BM286" s="70">
        <v>2.541999970192891E-2</v>
      </c>
      <c r="BN286" s="70">
        <v>2.541999970192891E-2</v>
      </c>
      <c r="BO286" s="70">
        <v>2.541999970192891E-2</v>
      </c>
      <c r="BP286" s="70"/>
      <c r="BQ286" s="396">
        <v>2.757688094330818E-2</v>
      </c>
      <c r="BR286" s="396">
        <v>2.7703139643852841E-2</v>
      </c>
      <c r="BS286" s="386">
        <v>2.661245268138801E-2</v>
      </c>
      <c r="BT286" s="386">
        <v>1.2680892643589001E-2</v>
      </c>
      <c r="BU286" s="386">
        <v>1.8097041914471812E-2</v>
      </c>
      <c r="BV286" s="386">
        <v>2.8740880939314956E-2</v>
      </c>
      <c r="BW286" s="386">
        <v>3.3952681522854196E-2</v>
      </c>
      <c r="BX286" s="386">
        <v>3.4556543415297306E-2</v>
      </c>
      <c r="BY286" s="386">
        <v>2.3629806546415395E-2</v>
      </c>
      <c r="BZ286" s="386">
        <v>1.1184278517929309E-2</v>
      </c>
      <c r="CA286" s="70">
        <v>-1.9587356525240262E-3</v>
      </c>
      <c r="CB286" s="70">
        <v>-6.8735963192878384E-3</v>
      </c>
      <c r="CC286" s="70">
        <v>-1.1796437716615697E-2</v>
      </c>
      <c r="CD286" s="70">
        <v>1.6271712920302081E-3</v>
      </c>
      <c r="CE286" s="70">
        <v>1.1591793289030237E-2</v>
      </c>
      <c r="CF286" s="70">
        <v>8.1505392962037699E-3</v>
      </c>
      <c r="CG286" s="70">
        <v>-1.5111420160201337E-2</v>
      </c>
      <c r="CH286" s="70">
        <v>1.1369466520655852E-2</v>
      </c>
      <c r="CI286" s="70">
        <v>3.974264537195976E-3</v>
      </c>
      <c r="CJ286" s="70">
        <v>-5.8354979102367621E-3</v>
      </c>
      <c r="CK286" s="232">
        <v>1.4586663974374234E-3</v>
      </c>
      <c r="CL286" s="232">
        <v>2.9146238006446303E-3</v>
      </c>
      <c r="CM286" s="232">
        <v>2.4633164309144991E-3</v>
      </c>
      <c r="CN286" s="232">
        <v>5.7195094431976793E-3</v>
      </c>
      <c r="CO286" s="232">
        <v>1.164855752113623E-2</v>
      </c>
      <c r="CP286" s="232">
        <v>1.6895888322293717E-2</v>
      </c>
      <c r="CQ286" s="232">
        <v>1.8238356062139915E-2</v>
      </c>
      <c r="CR286" s="232">
        <v>3.0826680115332503E-2</v>
      </c>
      <c r="CS286" s="232">
        <v>3.5683646320458111E-2</v>
      </c>
      <c r="CT286" s="232">
        <v>2.0040498553544884E-2</v>
      </c>
      <c r="CU286" s="232">
        <v>1.7509204881122321E-2</v>
      </c>
      <c r="CV286" s="72">
        <v>2.9738747481636022E-2</v>
      </c>
      <c r="CW286" s="70">
        <v>2.5419999701928913E-2</v>
      </c>
      <c r="CX286" s="70">
        <v>2.541999970192891E-2</v>
      </c>
      <c r="CY286" s="70">
        <v>2.5419999701928906E-2</v>
      </c>
      <c r="CZ286" s="70">
        <v>2.541999970192891E-2</v>
      </c>
      <c r="DA286" s="70">
        <v>2.5419999701928903E-2</v>
      </c>
      <c r="DB286" s="70">
        <v>2.5419999701928916E-2</v>
      </c>
      <c r="DC286" s="70">
        <v>2.5419999701928906E-2</v>
      </c>
      <c r="DD286" s="70">
        <v>2.5419999701928906E-2</v>
      </c>
      <c r="DE286" s="70">
        <v>2.5419999701928906E-2</v>
      </c>
      <c r="DF286" s="70">
        <v>2.541999970192891E-2</v>
      </c>
    </row>
    <row r="287" spans="1:110" ht="12" outlineLevel="1">
      <c r="C287" s="345"/>
      <c r="D287" s="345"/>
      <c r="E287" s="345"/>
      <c r="F287" s="345"/>
      <c r="G287" s="345"/>
      <c r="H287" s="345"/>
      <c r="I287" s="345"/>
      <c r="J287" s="345"/>
      <c r="K287" s="345"/>
      <c r="L287" s="345"/>
      <c r="M287" s="35"/>
      <c r="N287" s="35"/>
      <c r="O287" s="35"/>
      <c r="P287" s="35"/>
      <c r="Q287" s="35"/>
      <c r="R287" s="35"/>
      <c r="S287" s="35"/>
      <c r="T287" s="35"/>
      <c r="U287" s="35"/>
      <c r="V287" s="35"/>
      <c r="W287" s="35"/>
      <c r="X287" s="35"/>
      <c r="Y287" s="37"/>
      <c r="Z287" s="37"/>
      <c r="AA287" s="37"/>
      <c r="AB287" s="37"/>
      <c r="AC287" s="37"/>
      <c r="AD287" s="37"/>
      <c r="AE287" s="37"/>
      <c r="AF287" s="37"/>
      <c r="AG287" s="37"/>
      <c r="AH287" s="357"/>
      <c r="AI287" s="357"/>
      <c r="AJ287" s="37"/>
      <c r="AK287" s="37"/>
      <c r="AL287" s="37"/>
      <c r="AM287" s="37"/>
      <c r="AN287" s="37"/>
      <c r="AO287" s="37"/>
      <c r="AP287" s="37"/>
      <c r="AQ287" s="37"/>
      <c r="AR287" s="37"/>
      <c r="AS287" s="37"/>
      <c r="AT287" s="37"/>
      <c r="AU287" s="37"/>
      <c r="AV287" s="36"/>
      <c r="AW287" s="35"/>
      <c r="AX287" s="35"/>
      <c r="AY287" s="35"/>
      <c r="AZ287" s="35"/>
      <c r="BA287" s="35"/>
      <c r="BB287" s="35"/>
      <c r="BC287" s="35"/>
      <c r="BD287" s="35"/>
      <c r="BE287" s="35"/>
      <c r="BF287" s="35"/>
      <c r="BG287" s="35"/>
      <c r="BH287" s="35"/>
      <c r="BI287" s="35"/>
      <c r="BJ287" s="35"/>
      <c r="BK287" s="35"/>
      <c r="BL287" s="35"/>
      <c r="BM287" s="35"/>
      <c r="BN287" s="35"/>
      <c r="BO287" s="35"/>
      <c r="BP287" s="35"/>
      <c r="BQ287" s="345"/>
      <c r="BR287" s="345"/>
      <c r="BS287" s="345"/>
      <c r="BT287" s="345"/>
      <c r="BU287" s="345"/>
      <c r="BV287" s="345"/>
      <c r="BW287" s="345"/>
      <c r="BX287" s="345"/>
      <c r="BY287" s="345"/>
      <c r="BZ287" s="345"/>
      <c r="CA287" s="35"/>
      <c r="CB287" s="35"/>
      <c r="CC287" s="35"/>
      <c r="CD287" s="35"/>
      <c r="CE287" s="35"/>
      <c r="CF287" s="35"/>
      <c r="CG287" s="35"/>
      <c r="CH287" s="35"/>
      <c r="CI287" s="35"/>
      <c r="CJ287" s="35"/>
      <c r="CK287" s="37"/>
      <c r="CL287" s="37"/>
      <c r="CM287" s="37"/>
      <c r="CN287" s="37"/>
      <c r="CO287" s="37"/>
      <c r="CP287" s="37"/>
      <c r="CQ287" s="37"/>
      <c r="CR287" s="37"/>
      <c r="CS287" s="37"/>
      <c r="CT287" s="37"/>
      <c r="CU287" s="37"/>
      <c r="CV287" s="36"/>
      <c r="CW287" s="35"/>
      <c r="CX287" s="35"/>
      <c r="CY287" s="35"/>
      <c r="CZ287" s="35"/>
      <c r="DA287" s="35"/>
      <c r="DB287" s="35"/>
      <c r="DC287" s="35"/>
      <c r="DD287" s="35"/>
      <c r="DE287" s="35"/>
      <c r="DF287" s="35"/>
    </row>
    <row r="288" spans="1:110" s="17" customFormat="1" ht="12" outlineLevel="1">
      <c r="A288" s="1"/>
      <c r="B288" s="17" t="s">
        <v>343</v>
      </c>
      <c r="C288" s="387"/>
      <c r="D288" s="387"/>
      <c r="E288" s="387"/>
      <c r="F288" s="387"/>
      <c r="G288" s="387"/>
      <c r="H288" s="387"/>
      <c r="I288" s="387"/>
      <c r="J288" s="387"/>
      <c r="K288" s="387"/>
      <c r="L288" s="387"/>
      <c r="M288" s="70"/>
      <c r="N288" s="70"/>
      <c r="O288" s="70"/>
      <c r="P288" s="70"/>
      <c r="Q288" s="70"/>
      <c r="R288" s="70"/>
      <c r="S288" s="70"/>
      <c r="T288" s="70"/>
      <c r="U288" s="70"/>
      <c r="V288" s="70"/>
      <c r="W288" s="70"/>
      <c r="X288" s="70"/>
      <c r="Y288" s="232"/>
      <c r="Z288" s="232"/>
      <c r="AA288" s="232"/>
      <c r="AB288" s="232"/>
      <c r="AC288" s="232"/>
      <c r="AD288" s="232"/>
      <c r="AE288" s="232"/>
      <c r="AF288" s="232"/>
      <c r="AG288" s="232"/>
      <c r="AH288" s="427"/>
      <c r="AI288" s="427"/>
      <c r="AJ288" s="232"/>
      <c r="AK288" s="232"/>
      <c r="AL288" s="232"/>
      <c r="AM288" s="232"/>
      <c r="AN288" s="232"/>
      <c r="AO288" s="232"/>
      <c r="AP288" s="232"/>
      <c r="AQ288" s="232"/>
      <c r="AR288" s="232"/>
      <c r="AS288" s="232"/>
      <c r="AT288" s="232"/>
      <c r="AU288" s="232"/>
      <c r="AV288" s="72"/>
      <c r="AW288" s="70"/>
      <c r="AX288" s="70"/>
      <c r="AY288" s="70"/>
      <c r="AZ288" s="70"/>
      <c r="BA288" s="70"/>
      <c r="BB288" s="70"/>
      <c r="BC288" s="70"/>
      <c r="BD288" s="70"/>
      <c r="BE288" s="70"/>
      <c r="BF288" s="70"/>
      <c r="BG288" s="70"/>
      <c r="BH288" s="70"/>
      <c r="BI288" s="70"/>
      <c r="BJ288" s="70"/>
      <c r="BK288" s="70"/>
      <c r="BL288" s="70"/>
      <c r="BM288" s="70"/>
      <c r="BN288" s="70"/>
      <c r="BO288" s="70"/>
      <c r="BP288" s="70"/>
      <c r="BQ288" s="387"/>
      <c r="BR288" s="387"/>
      <c r="BS288" s="387"/>
      <c r="BT288" s="387"/>
      <c r="BU288" s="387"/>
      <c r="BV288" s="387"/>
      <c r="BW288" s="387"/>
      <c r="BX288" s="387"/>
      <c r="BY288" s="387"/>
      <c r="BZ288" s="387"/>
      <c r="CA288" s="70"/>
      <c r="CB288" s="70"/>
      <c r="CC288" s="70"/>
      <c r="CD288" s="70"/>
      <c r="CE288" s="70"/>
      <c r="CF288" s="70"/>
      <c r="CG288" s="70"/>
      <c r="CH288" s="70"/>
      <c r="CI288" s="70"/>
      <c r="CJ288" s="70"/>
      <c r="CK288" s="232"/>
      <c r="CL288" s="232"/>
      <c r="CM288" s="232"/>
      <c r="CN288" s="232"/>
      <c r="CO288" s="232"/>
      <c r="CP288" s="232"/>
      <c r="CQ288" s="232"/>
      <c r="CR288" s="232"/>
      <c r="CS288" s="232"/>
      <c r="CT288" s="232"/>
      <c r="CU288" s="232"/>
      <c r="CV288" s="72"/>
      <c r="CW288" s="70"/>
      <c r="CX288" s="70"/>
      <c r="CY288" s="70"/>
      <c r="CZ288" s="70"/>
      <c r="DA288" s="70"/>
      <c r="DB288" s="70"/>
      <c r="DC288" s="70"/>
      <c r="DD288" s="70"/>
      <c r="DE288" s="70"/>
      <c r="DF288" s="70"/>
    </row>
    <row r="289" spans="1:110" ht="12" outlineLevel="1">
      <c r="A289" s="1" t="s">
        <v>150</v>
      </c>
      <c r="B289" s="15" t="s">
        <v>164</v>
      </c>
      <c r="C289" s="345"/>
      <c r="D289" s="345"/>
      <c r="E289" s="345"/>
      <c r="F289" s="345"/>
      <c r="G289" s="345"/>
      <c r="H289" s="345"/>
      <c r="I289" s="345"/>
      <c r="J289" s="345"/>
      <c r="K289" s="345"/>
      <c r="L289" s="345"/>
      <c r="M289" s="35"/>
      <c r="N289" s="35"/>
      <c r="O289" s="35"/>
      <c r="P289" s="35"/>
      <c r="Q289" s="35"/>
      <c r="R289" s="35"/>
      <c r="S289" s="35"/>
      <c r="T289" s="35"/>
      <c r="U289" s="35"/>
      <c r="V289" s="35"/>
      <c r="W289" s="35"/>
      <c r="X289" s="35"/>
      <c r="Y289" s="37"/>
      <c r="Z289" s="37"/>
      <c r="AA289" s="37"/>
      <c r="AB289" s="37"/>
      <c r="AC289" s="37"/>
      <c r="AD289" s="37"/>
      <c r="AE289" s="37"/>
      <c r="AF289" s="37"/>
      <c r="AG289" s="37"/>
      <c r="AH289" s="357"/>
      <c r="AI289" s="357"/>
      <c r="AJ289" s="37"/>
      <c r="AK289" s="37"/>
      <c r="AL289" s="37"/>
      <c r="AM289" s="37"/>
      <c r="AN289" s="37"/>
      <c r="AO289" s="37"/>
      <c r="AP289" s="37"/>
      <c r="AQ289" s="37"/>
      <c r="AR289" s="37"/>
      <c r="AS289" s="37"/>
      <c r="AT289" s="37"/>
      <c r="AU289" s="37"/>
      <c r="AV289" s="36"/>
      <c r="AW289" s="35"/>
      <c r="AX289" s="35"/>
      <c r="AY289" s="35"/>
      <c r="AZ289" s="35"/>
      <c r="BA289" s="35"/>
      <c r="BB289" s="35"/>
      <c r="BC289" s="35"/>
      <c r="BD289" s="35"/>
      <c r="BE289" s="35"/>
      <c r="BF289" s="35"/>
      <c r="BG289" s="35"/>
      <c r="BH289" s="35"/>
      <c r="BI289" s="35"/>
      <c r="BJ289" s="35"/>
      <c r="BK289" s="35"/>
      <c r="BL289" s="35"/>
      <c r="BM289" s="35"/>
      <c r="BN289" s="35"/>
      <c r="BO289" s="35"/>
      <c r="BP289" s="35"/>
      <c r="BQ289" s="345"/>
      <c r="BR289" s="345"/>
      <c r="BS289" s="345"/>
      <c r="BT289" s="345"/>
      <c r="BU289" s="345"/>
      <c r="BV289" s="345"/>
      <c r="BW289" s="345"/>
      <c r="BX289" s="345"/>
      <c r="BY289" s="345"/>
      <c r="BZ289" s="345"/>
      <c r="CA289" s="35"/>
      <c r="CB289" s="35"/>
      <c r="CC289" s="35"/>
      <c r="CD289" s="35"/>
      <c r="CE289" s="35"/>
      <c r="CF289" s="35"/>
      <c r="CG289" s="35"/>
      <c r="CH289" s="35"/>
      <c r="CI289" s="35"/>
      <c r="CJ289" s="35"/>
      <c r="CK289" s="37"/>
      <c r="CL289" s="37"/>
      <c r="CM289" s="37"/>
      <c r="CN289" s="37"/>
      <c r="CO289" s="37"/>
      <c r="CP289" s="37"/>
      <c r="CQ289" s="37"/>
      <c r="CR289" s="37"/>
      <c r="CS289" s="37"/>
      <c r="CT289" s="37"/>
      <c r="CU289" s="37"/>
      <c r="CV289" s="36"/>
      <c r="CW289" s="35"/>
      <c r="CX289" s="35"/>
      <c r="CY289" s="35"/>
      <c r="CZ289" s="35"/>
      <c r="DA289" s="35"/>
      <c r="DB289" s="35"/>
      <c r="DC289" s="35"/>
      <c r="DD289" s="35"/>
      <c r="DE289" s="35"/>
      <c r="DF289" s="35"/>
    </row>
    <row r="290" spans="1:110" ht="12" outlineLevel="1">
      <c r="A290" s="1" t="s">
        <v>151</v>
      </c>
      <c r="B290" s="15" t="s">
        <v>344</v>
      </c>
      <c r="C290" s="345"/>
      <c r="D290" s="345"/>
      <c r="E290" s="345"/>
      <c r="F290" s="345"/>
      <c r="G290" s="345"/>
      <c r="H290" s="345"/>
      <c r="I290" s="345"/>
      <c r="J290" s="345"/>
      <c r="K290" s="345"/>
      <c r="L290" s="345"/>
      <c r="M290" s="35"/>
      <c r="N290" s="35"/>
      <c r="O290" s="35"/>
      <c r="P290" s="35"/>
      <c r="Q290" s="35"/>
      <c r="R290" s="35"/>
      <c r="S290" s="35"/>
      <c r="T290" s="35"/>
      <c r="U290" s="35"/>
      <c r="V290" s="35"/>
      <c r="W290" s="35"/>
      <c r="X290" s="35"/>
      <c r="Y290" s="37"/>
      <c r="Z290" s="37"/>
      <c r="AA290" s="37"/>
      <c r="AB290" s="37"/>
      <c r="AC290" s="37"/>
      <c r="AD290" s="37"/>
      <c r="AE290" s="37"/>
      <c r="AF290" s="37"/>
      <c r="AG290" s="37"/>
      <c r="AH290" s="357"/>
      <c r="AI290" s="357"/>
      <c r="AJ290" s="37"/>
      <c r="AK290" s="37"/>
      <c r="AL290" s="37"/>
      <c r="AM290" s="37"/>
      <c r="AN290" s="37"/>
      <c r="AO290" s="37"/>
      <c r="AP290" s="37"/>
      <c r="AQ290" s="37"/>
      <c r="AR290" s="37"/>
      <c r="AS290" s="37"/>
      <c r="AT290" s="37"/>
      <c r="AU290" s="37"/>
      <c r="AV290" s="36"/>
      <c r="AW290" s="35"/>
      <c r="AX290" s="35"/>
      <c r="AY290" s="35"/>
      <c r="AZ290" s="35"/>
      <c r="BA290" s="35"/>
      <c r="BB290" s="35"/>
      <c r="BC290" s="35"/>
      <c r="BD290" s="35"/>
      <c r="BE290" s="35"/>
      <c r="BF290" s="35"/>
      <c r="BG290" s="35"/>
      <c r="BH290" s="35"/>
      <c r="BI290" s="35"/>
      <c r="BJ290" s="35"/>
      <c r="BK290" s="35"/>
      <c r="BL290" s="35"/>
      <c r="BM290" s="35"/>
      <c r="BN290" s="35"/>
      <c r="BO290" s="35"/>
      <c r="BP290" s="35"/>
      <c r="BQ290" s="345"/>
      <c r="BR290" s="345"/>
      <c r="BS290" s="345"/>
      <c r="BT290" s="345"/>
      <c r="BU290" s="345"/>
      <c r="BV290" s="345"/>
      <c r="BW290" s="345"/>
      <c r="BX290" s="345"/>
      <c r="BY290" s="345"/>
      <c r="BZ290" s="345"/>
      <c r="CA290" s="35"/>
      <c r="CB290" s="35"/>
      <c r="CC290" s="35"/>
      <c r="CD290" s="35"/>
      <c r="CE290" s="35"/>
      <c r="CF290" s="35"/>
      <c r="CG290" s="35"/>
      <c r="CH290" s="35"/>
      <c r="CI290" s="35"/>
      <c r="CJ290" s="35"/>
      <c r="CK290" s="37"/>
      <c r="CL290" s="37"/>
      <c r="CM290" s="37"/>
      <c r="CN290" s="37"/>
      <c r="CO290" s="37"/>
      <c r="CP290" s="37"/>
      <c r="CQ290" s="37"/>
      <c r="CR290" s="37"/>
      <c r="CS290" s="37"/>
      <c r="CT290" s="37"/>
      <c r="CU290" s="37"/>
      <c r="CV290" s="36"/>
      <c r="CW290" s="35"/>
      <c r="CX290" s="35"/>
      <c r="CY290" s="35"/>
      <c r="CZ290" s="35"/>
      <c r="DA290" s="35"/>
      <c r="DB290" s="35"/>
      <c r="DC290" s="35"/>
      <c r="DD290" s="35"/>
      <c r="DE290" s="35"/>
      <c r="DF290" s="35"/>
    </row>
    <row r="291" spans="1:110" s="17" customFormat="1" ht="12" outlineLevel="1">
      <c r="A291" s="1" t="s">
        <v>69</v>
      </c>
      <c r="B291" s="17" t="s">
        <v>584</v>
      </c>
      <c r="C291" s="387">
        <v>1.3371065614339596E-2</v>
      </c>
      <c r="D291" s="387">
        <v>1.3101921767652966E-2</v>
      </c>
      <c r="E291" s="387">
        <v>9.9468725524746587E-3</v>
      </c>
      <c r="F291" s="387">
        <v>1.1725550260739622E-2</v>
      </c>
      <c r="G291" s="387">
        <v>1.251062501095148E-2</v>
      </c>
      <c r="H291" s="387">
        <v>8.7603678208103761E-3</v>
      </c>
      <c r="I291" s="387">
        <v>1.1045400297534971E-2</v>
      </c>
      <c r="J291" s="387">
        <v>1.7517689454254061E-2</v>
      </c>
      <c r="K291" s="387">
        <v>1.8906413384826584E-2</v>
      </c>
      <c r="L291" s="387">
        <v>1.9526364189621646E-2</v>
      </c>
      <c r="M291" s="70">
        <v>1.6761000602595593E-2</v>
      </c>
      <c r="N291" s="70">
        <v>1.5874229591118595E-2</v>
      </c>
      <c r="O291" s="70">
        <v>1.5935711274833519E-2</v>
      </c>
      <c r="P291" s="70">
        <v>1.1827503726181353E-2</v>
      </c>
      <c r="Q291" s="70">
        <v>1.1934394094858771E-2</v>
      </c>
      <c r="R291" s="70">
        <v>2.9863869873265537E-2</v>
      </c>
      <c r="S291" s="70">
        <v>2.7345068012285645E-2</v>
      </c>
      <c r="T291" s="70">
        <v>2.2940554155859924E-2</v>
      </c>
      <c r="U291" s="70">
        <v>2.2320288734818637E-2</v>
      </c>
      <c r="V291" s="70">
        <v>2.222892883190173E-2</v>
      </c>
      <c r="W291" s="70">
        <v>2.1793843823261973E-2</v>
      </c>
      <c r="X291" s="70">
        <v>2.3467068814843509E-2</v>
      </c>
      <c r="Y291" s="232">
        <v>2.7586044497427728E-2</v>
      </c>
      <c r="Z291" s="340">
        <v>2.7807550031509809E-2</v>
      </c>
      <c r="AA291" s="232">
        <v>2.7114922383336952E-2</v>
      </c>
      <c r="AB291" s="232">
        <v>2.5948993523050589E-2</v>
      </c>
      <c r="AC291" s="232">
        <v>2.5071768599634541E-2</v>
      </c>
      <c r="AD291" s="232">
        <v>2.4973088491008703E-2</v>
      </c>
      <c r="AE291" s="232">
        <v>2.6290861987896923E-2</v>
      </c>
      <c r="AF291" s="232">
        <v>2.6582978766917304E-2</v>
      </c>
      <c r="AG291" s="232">
        <v>2.8703295321973018E-2</v>
      </c>
      <c r="AH291" s="232">
        <v>2.8609378983527601E-2</v>
      </c>
      <c r="AI291" s="232">
        <v>2.9564379826969394E-2</v>
      </c>
      <c r="AJ291" s="232">
        <v>2.8533595417397757E-2</v>
      </c>
      <c r="AK291" s="232">
        <v>2.661767880898221E-2</v>
      </c>
      <c r="AL291" s="232">
        <v>2.7795416305679364E-2</v>
      </c>
      <c r="AM291" s="232">
        <v>3.2047860934736848E-2</v>
      </c>
      <c r="AN291" s="232">
        <v>3.2051858791926416E-2</v>
      </c>
      <c r="AO291" s="232">
        <v>3.2976682393889629E-2</v>
      </c>
      <c r="AP291" s="232">
        <v>3.0900856619614826E-2</v>
      </c>
      <c r="AQ291" s="232">
        <v>2.9739054095029645E-2</v>
      </c>
      <c r="AR291" s="232">
        <v>2.864301717411577E-2</v>
      </c>
      <c r="AS291" s="232">
        <v>2.0659056653572601E-2</v>
      </c>
      <c r="AT291" s="232">
        <v>2.2983958070019028E-2</v>
      </c>
      <c r="AU291" s="232">
        <v>2.2017914775694244E-2</v>
      </c>
      <c r="AV291" s="72">
        <v>2.2898324083970766E-2</v>
      </c>
      <c r="AW291" s="70">
        <v>2.2745737319197795E-2</v>
      </c>
      <c r="AX291" s="70">
        <v>2.256858300067233E-2</v>
      </c>
      <c r="AY291" s="70">
        <v>2.285694949296831E-2</v>
      </c>
      <c r="AZ291" s="70">
        <v>2.2936029588004572E-2</v>
      </c>
      <c r="BA291" s="70">
        <v>2.2919648409557954E-2</v>
      </c>
      <c r="BB291" s="70">
        <v>2.2861019034005937E-2</v>
      </c>
      <c r="BC291" s="70">
        <v>2.2666235958514944E-2</v>
      </c>
      <c r="BD291" s="70">
        <v>2.2616939131926441E-2</v>
      </c>
      <c r="BE291" s="70">
        <v>2.2567809876034895E-2</v>
      </c>
      <c r="BF291" s="70">
        <v>2.256658888197411E-2</v>
      </c>
      <c r="BG291" s="70">
        <v>2.2565545748231258E-2</v>
      </c>
      <c r="BH291" s="70">
        <v>2.2564678987814519E-2</v>
      </c>
      <c r="BI291" s="70">
        <v>2.2563987160171339E-2</v>
      </c>
      <c r="BJ291" s="70">
        <v>2.2565635465653471E-2</v>
      </c>
      <c r="BK291" s="70">
        <v>2.2571722226967999E-2</v>
      </c>
      <c r="BL291" s="70">
        <v>2.2580035909344758E-2</v>
      </c>
      <c r="BM291" s="70">
        <v>2.2588446347004406E-2</v>
      </c>
      <c r="BN291" s="70">
        <v>2.2592630181924794E-2</v>
      </c>
      <c r="BO291" s="70">
        <v>2.2592630181924797E-2</v>
      </c>
      <c r="BP291" s="70"/>
      <c r="BQ291" s="387">
        <v>3.7280750697111474E-2</v>
      </c>
      <c r="BR291" s="387">
        <v>3.7816557734204781E-2</v>
      </c>
      <c r="BS291" s="387">
        <v>3.3960692016609735E-2</v>
      </c>
      <c r="BT291" s="387">
        <v>2.1965562559766467E-2</v>
      </c>
      <c r="BU291" s="387">
        <v>2.723334760963466E-2</v>
      </c>
      <c r="BV291" s="387">
        <v>3.2813079601441288E-2</v>
      </c>
      <c r="BW291" s="387">
        <v>3.1457366843187874E-2</v>
      </c>
      <c r="BX291" s="387">
        <v>2.5658719873936739E-2</v>
      </c>
      <c r="BY291" s="387">
        <v>1.7973883159996484E-2</v>
      </c>
      <c r="BZ291" s="387">
        <v>2.0568708702082942E-2</v>
      </c>
      <c r="CA291" s="70">
        <v>1.1506323286135127E-2</v>
      </c>
      <c r="CB291" s="70">
        <v>1.2128346336455861E-2</v>
      </c>
      <c r="CC291" s="70">
        <v>9.9664825767910841E-3</v>
      </c>
      <c r="CD291" s="70">
        <v>1.823537640140421E-2</v>
      </c>
      <c r="CE291" s="70">
        <v>1.8077772165894762E-2</v>
      </c>
      <c r="CF291" s="70">
        <v>1.5905914319090542E-2</v>
      </c>
      <c r="CG291" s="70">
        <v>1.1882313939685063E-2</v>
      </c>
      <c r="CH291" s="70">
        <v>2.8621265056972937E-2</v>
      </c>
      <c r="CI291" s="70">
        <v>2.2490839473611073E-2</v>
      </c>
      <c r="CJ291" s="70">
        <v>2.2007521988680428E-2</v>
      </c>
      <c r="CK291" s="232">
        <v>2.5574464783879869E-2</v>
      </c>
      <c r="CL291" s="232">
        <v>2.7500840142571512E-2</v>
      </c>
      <c r="CM291" s="232">
        <v>2.549866414964002E-2</v>
      </c>
      <c r="CN291" s="232">
        <v>2.5699001596666098E-2</v>
      </c>
      <c r="CO291" s="232">
        <v>2.7642788393833072E-2</v>
      </c>
      <c r="CP291" s="232">
        <v>2.9089292642734164E-2</v>
      </c>
      <c r="CQ291" s="232">
        <v>2.7562558675341207E-2</v>
      </c>
      <c r="CR291" s="232">
        <v>2.9934805928910985E-2</v>
      </c>
      <c r="CS291" s="232">
        <v>3.2515294846551988E-2</v>
      </c>
      <c r="CT291" s="232">
        <v>3.0318023651387273E-2</v>
      </c>
      <c r="CU291" s="232">
        <v>2.4599734975688133E-2</v>
      </c>
      <c r="CV291" s="72">
        <v>2.2499272583218106E-2</v>
      </c>
      <c r="CW291" s="70">
        <v>2.281998711574651E-2</v>
      </c>
      <c r="CX291" s="70">
        <v>2.27143140237103E-2</v>
      </c>
      <c r="CY291" s="70">
        <v>2.2927766843269779E-2</v>
      </c>
      <c r="CZ291" s="70">
        <v>2.2762556819390684E-2</v>
      </c>
      <c r="DA291" s="70">
        <v>2.2592155373583517E-2</v>
      </c>
      <c r="DB291" s="70">
        <v>2.2566061201497994E-2</v>
      </c>
      <c r="DC291" s="70">
        <v>2.2564328998440113E-2</v>
      </c>
      <c r="DD291" s="70">
        <v>2.2568718467181625E-2</v>
      </c>
      <c r="DE291" s="70">
        <v>2.2584286158910821E-2</v>
      </c>
      <c r="DF291" s="70">
        <v>2.2592630181924794E-2</v>
      </c>
    </row>
    <row r="292" spans="1:110" ht="12" outlineLevel="1">
      <c r="A292" s="1" t="s">
        <v>70</v>
      </c>
      <c r="B292" s="15" t="s">
        <v>345</v>
      </c>
      <c r="C292" s="376">
        <v>0</v>
      </c>
      <c r="D292" s="376">
        <v>0</v>
      </c>
      <c r="E292" s="376">
        <v>0</v>
      </c>
      <c r="F292" s="376">
        <v>0</v>
      </c>
      <c r="G292" s="376">
        <v>0</v>
      </c>
      <c r="H292" s="376">
        <v>0</v>
      </c>
      <c r="I292" s="376">
        <v>0</v>
      </c>
      <c r="J292" s="376">
        <v>0</v>
      </c>
      <c r="K292" s="376">
        <v>0</v>
      </c>
      <c r="L292" s="376">
        <v>0</v>
      </c>
      <c r="M292" s="38">
        <v>0</v>
      </c>
      <c r="N292" s="38">
        <v>0</v>
      </c>
      <c r="O292" s="38">
        <v>0</v>
      </c>
      <c r="P292" s="38">
        <v>0</v>
      </c>
      <c r="Q292" s="38">
        <v>0</v>
      </c>
      <c r="R292" s="38">
        <v>0</v>
      </c>
      <c r="S292" s="38">
        <v>0</v>
      </c>
      <c r="T292" s="38">
        <v>0</v>
      </c>
      <c r="U292" s="38">
        <v>0</v>
      </c>
      <c r="V292" s="38">
        <v>0</v>
      </c>
      <c r="W292" s="38">
        <v>0</v>
      </c>
      <c r="X292" s="38">
        <v>0</v>
      </c>
      <c r="Y292" s="73">
        <v>0</v>
      </c>
      <c r="Z292" s="144">
        <v>0</v>
      </c>
      <c r="AA292" s="144">
        <v>0</v>
      </c>
      <c r="AB292" s="144">
        <v>0</v>
      </c>
      <c r="AC292" s="144">
        <v>0</v>
      </c>
      <c r="AD292" s="144">
        <v>0</v>
      </c>
      <c r="AE292" s="144">
        <v>0</v>
      </c>
      <c r="AF292" s="144">
        <v>0</v>
      </c>
      <c r="AG292" s="144">
        <v>0</v>
      </c>
      <c r="AH292" s="144">
        <v>0</v>
      </c>
      <c r="AI292" s="144">
        <v>0</v>
      </c>
      <c r="AJ292" s="144">
        <v>0</v>
      </c>
      <c r="AK292" s="144">
        <v>0</v>
      </c>
      <c r="AL292" s="144">
        <v>0</v>
      </c>
      <c r="AM292" s="144">
        <v>0</v>
      </c>
      <c r="AN292" s="144">
        <v>0</v>
      </c>
      <c r="AO292" s="144">
        <v>0</v>
      </c>
      <c r="AP292" s="144">
        <v>0</v>
      </c>
      <c r="AQ292" s="144">
        <v>0</v>
      </c>
      <c r="AR292" s="144">
        <v>0</v>
      </c>
      <c r="AS292" s="144">
        <v>0</v>
      </c>
      <c r="AT292" s="144">
        <v>0</v>
      </c>
      <c r="AU292" s="144">
        <v>0</v>
      </c>
      <c r="AV292" s="145">
        <v>0</v>
      </c>
      <c r="AW292" s="35">
        <v>-1.061197095153163E-3</v>
      </c>
      <c r="AX292" s="35">
        <v>-5.3059854757658148E-5</v>
      </c>
      <c r="AY292" s="35">
        <v>-5.3059854757658148E-5</v>
      </c>
      <c r="AZ292" s="35">
        <v>-5.3059854757658148E-5</v>
      </c>
      <c r="BA292" s="35">
        <v>-5.3059854757658148E-5</v>
      </c>
      <c r="BB292" s="35">
        <v>-5.3059854757658148E-5</v>
      </c>
      <c r="BC292" s="35">
        <v>-5.3059854757658148E-5</v>
      </c>
      <c r="BD292" s="35">
        <v>-5.3059854757658148E-5</v>
      </c>
      <c r="BE292" s="35">
        <v>-5.3059854757658148E-5</v>
      </c>
      <c r="BF292" s="35">
        <v>-5.3059854757658148E-5</v>
      </c>
      <c r="BG292" s="35">
        <v>-5.3059854757658148E-5</v>
      </c>
      <c r="BH292" s="35">
        <v>-5.3059854757658148E-5</v>
      </c>
      <c r="BI292" s="35">
        <v>-5.3059854757658148E-5</v>
      </c>
      <c r="BJ292" s="35">
        <v>-5.3059854757658148E-5</v>
      </c>
      <c r="BK292" s="35">
        <v>-5.3059854757658148E-5</v>
      </c>
      <c r="BL292" s="35">
        <v>-5.3059854757658148E-5</v>
      </c>
      <c r="BM292" s="35">
        <v>-5.3059854757658148E-5</v>
      </c>
      <c r="BN292" s="35">
        <v>-5.3059854757658148E-5</v>
      </c>
      <c r="BO292" s="35">
        <v>-5.3059854757658148E-5</v>
      </c>
      <c r="BP292" s="35"/>
      <c r="BQ292" s="376">
        <v>0</v>
      </c>
      <c r="BR292" s="376">
        <v>0</v>
      </c>
      <c r="BS292" s="376">
        <v>0</v>
      </c>
      <c r="BT292" s="376">
        <v>0</v>
      </c>
      <c r="BU292" s="376">
        <v>0</v>
      </c>
      <c r="BV292" s="376">
        <v>0</v>
      </c>
      <c r="BW292" s="376">
        <v>0</v>
      </c>
      <c r="BX292" s="376">
        <v>0</v>
      </c>
      <c r="BY292" s="376">
        <v>0</v>
      </c>
      <c r="BZ292" s="376">
        <v>0</v>
      </c>
      <c r="CA292" s="35">
        <v>0</v>
      </c>
      <c r="CB292" s="35">
        <v>0</v>
      </c>
      <c r="CC292" s="35">
        <v>0</v>
      </c>
      <c r="CD292" s="35">
        <v>0</v>
      </c>
      <c r="CE292" s="35">
        <v>0</v>
      </c>
      <c r="CF292" s="35">
        <v>0</v>
      </c>
      <c r="CG292" s="35">
        <v>0</v>
      </c>
      <c r="CH292" s="35">
        <v>0</v>
      </c>
      <c r="CI292" s="35">
        <v>0</v>
      </c>
      <c r="CJ292" s="35">
        <v>0</v>
      </c>
      <c r="CK292" s="37">
        <v>0</v>
      </c>
      <c r="CL292" s="37">
        <v>0</v>
      </c>
      <c r="CM292" s="37">
        <v>0</v>
      </c>
      <c r="CN292" s="37">
        <v>0</v>
      </c>
      <c r="CO292" s="37">
        <v>0</v>
      </c>
      <c r="CP292" s="37">
        <v>0</v>
      </c>
      <c r="CQ292" s="37">
        <v>0</v>
      </c>
      <c r="CR292" s="37">
        <v>0</v>
      </c>
      <c r="CS292" s="37">
        <v>0</v>
      </c>
      <c r="CT292" s="37">
        <v>0</v>
      </c>
      <c r="CU292" s="37">
        <v>0</v>
      </c>
      <c r="CV292" s="36">
        <v>0</v>
      </c>
      <c r="CW292" s="35">
        <v>0</v>
      </c>
      <c r="CX292" s="35">
        <v>0</v>
      </c>
      <c r="CY292" s="35">
        <v>0</v>
      </c>
      <c r="CZ292" s="35">
        <v>0</v>
      </c>
      <c r="DA292" s="35">
        <v>0</v>
      </c>
      <c r="DB292" s="35">
        <v>0</v>
      </c>
      <c r="DC292" s="35">
        <v>0</v>
      </c>
      <c r="DD292" s="35">
        <v>0</v>
      </c>
      <c r="DE292" s="35">
        <v>0</v>
      </c>
      <c r="DF292" s="35">
        <v>0</v>
      </c>
    </row>
    <row r="293" spans="1:110" ht="12" outlineLevel="1">
      <c r="A293" s="1" t="s">
        <v>71</v>
      </c>
      <c r="B293" s="15" t="s">
        <v>589</v>
      </c>
      <c r="C293" s="376">
        <v>0</v>
      </c>
      <c r="D293" s="376">
        <v>0</v>
      </c>
      <c r="E293" s="376">
        <v>0</v>
      </c>
      <c r="F293" s="376">
        <v>0</v>
      </c>
      <c r="G293" s="376">
        <v>0</v>
      </c>
      <c r="H293" s="376">
        <v>0</v>
      </c>
      <c r="I293" s="376">
        <v>0</v>
      </c>
      <c r="J293" s="376">
        <v>0</v>
      </c>
      <c r="K293" s="376">
        <v>0</v>
      </c>
      <c r="L293" s="376">
        <v>0</v>
      </c>
      <c r="M293" s="38">
        <v>0</v>
      </c>
      <c r="N293" s="38">
        <v>0</v>
      </c>
      <c r="O293" s="38">
        <v>0</v>
      </c>
      <c r="P293" s="38">
        <v>0</v>
      </c>
      <c r="Q293" s="38">
        <v>0</v>
      </c>
      <c r="R293" s="38">
        <v>0</v>
      </c>
      <c r="S293" s="38">
        <v>0</v>
      </c>
      <c r="T293" s="38">
        <v>0</v>
      </c>
      <c r="U293" s="38">
        <v>0</v>
      </c>
      <c r="V293" s="38">
        <v>0</v>
      </c>
      <c r="W293" s="38">
        <v>0</v>
      </c>
      <c r="X293" s="38">
        <v>0</v>
      </c>
      <c r="Y293" s="73">
        <v>0</v>
      </c>
      <c r="Z293" s="144">
        <v>0</v>
      </c>
      <c r="AA293" s="144">
        <v>0</v>
      </c>
      <c r="AB293" s="144">
        <v>0</v>
      </c>
      <c r="AC293" s="144">
        <v>0</v>
      </c>
      <c r="AD293" s="144">
        <v>0</v>
      </c>
      <c r="AE293" s="144">
        <v>0</v>
      </c>
      <c r="AF293" s="144">
        <v>0</v>
      </c>
      <c r="AG293" s="144">
        <v>0</v>
      </c>
      <c r="AH293" s="144">
        <v>0</v>
      </c>
      <c r="AI293" s="144">
        <v>0</v>
      </c>
      <c r="AJ293" s="144">
        <v>0</v>
      </c>
      <c r="AK293" s="144">
        <v>0</v>
      </c>
      <c r="AL293" s="144">
        <v>0</v>
      </c>
      <c r="AM293" s="144">
        <v>0</v>
      </c>
      <c r="AN293" s="144">
        <v>0</v>
      </c>
      <c r="AO293" s="144">
        <v>0</v>
      </c>
      <c r="AP293" s="144">
        <v>0</v>
      </c>
      <c r="AQ293" s="144">
        <v>0</v>
      </c>
      <c r="AR293" s="144">
        <v>0</v>
      </c>
      <c r="AS293" s="144">
        <v>0</v>
      </c>
      <c r="AT293" s="144">
        <v>0</v>
      </c>
      <c r="AU293" s="144">
        <v>0</v>
      </c>
      <c r="AV293" s="145">
        <v>0</v>
      </c>
      <c r="AW293" s="35">
        <v>-3.4999999999999962E-4</v>
      </c>
      <c r="AX293" s="35">
        <v>-8.5000000000000006E-4</v>
      </c>
      <c r="AY293" s="35">
        <v>-8.5000000000000006E-4</v>
      </c>
      <c r="AZ293" s="35">
        <v>-8.5000000000000006E-4</v>
      </c>
      <c r="BA293" s="35">
        <v>-8.5000000000000006E-4</v>
      </c>
      <c r="BB293" s="35">
        <v>-9.5009049277104338E-4</v>
      </c>
      <c r="BC293" s="35">
        <v>-1.3484506539997998E-3</v>
      </c>
      <c r="BD293" s="35">
        <v>-1.4484506539997992E-3</v>
      </c>
      <c r="BE293" s="35">
        <v>-1.5484506539997986E-3</v>
      </c>
      <c r="BF293" s="35">
        <v>-1.5484506539997986E-3</v>
      </c>
      <c r="BG293" s="35">
        <v>-1.5484506539997986E-3</v>
      </c>
      <c r="BH293" s="35">
        <v>-1.5484506539997986E-3</v>
      </c>
      <c r="BI293" s="35">
        <v>-1.5484506539997986E-3</v>
      </c>
      <c r="BJ293" s="35">
        <v>-1.5484506539997986E-3</v>
      </c>
      <c r="BK293" s="35">
        <v>-1.5484506539997986E-3</v>
      </c>
      <c r="BL293" s="35">
        <v>-1.5484506539997986E-3</v>
      </c>
      <c r="BM293" s="35">
        <v>-1.5484506539997986E-3</v>
      </c>
      <c r="BN293" s="35">
        <v>-1.5484506539997986E-3</v>
      </c>
      <c r="BO293" s="35">
        <v>-1.5484506539997986E-3</v>
      </c>
      <c r="BP293" s="35"/>
      <c r="BQ293" s="376">
        <v>0</v>
      </c>
      <c r="BR293" s="376">
        <v>0</v>
      </c>
      <c r="BS293" s="376">
        <v>0</v>
      </c>
      <c r="BT293" s="376">
        <v>0</v>
      </c>
      <c r="BU293" s="376">
        <v>0</v>
      </c>
      <c r="BV293" s="376">
        <v>0</v>
      </c>
      <c r="BW293" s="376">
        <v>0</v>
      </c>
      <c r="BX293" s="376">
        <v>0</v>
      </c>
      <c r="BY293" s="376">
        <v>0</v>
      </c>
      <c r="BZ293" s="376">
        <v>0</v>
      </c>
      <c r="CA293" s="35">
        <v>0</v>
      </c>
      <c r="CB293" s="35">
        <v>0</v>
      </c>
      <c r="CC293" s="35">
        <v>0</v>
      </c>
      <c r="CD293" s="35">
        <v>0</v>
      </c>
      <c r="CE293" s="35">
        <v>0</v>
      </c>
      <c r="CF293" s="35">
        <v>0</v>
      </c>
      <c r="CG293" s="35">
        <v>0</v>
      </c>
      <c r="CH293" s="35">
        <v>0</v>
      </c>
      <c r="CI293" s="35">
        <v>0</v>
      </c>
      <c r="CJ293" s="35">
        <v>0</v>
      </c>
      <c r="CK293" s="37">
        <v>0</v>
      </c>
      <c r="CL293" s="37">
        <v>0</v>
      </c>
      <c r="CM293" s="37">
        <v>0</v>
      </c>
      <c r="CN293" s="37">
        <v>0</v>
      </c>
      <c r="CO293" s="37">
        <v>0</v>
      </c>
      <c r="CP293" s="37">
        <v>0</v>
      </c>
      <c r="CQ293" s="37">
        <v>0</v>
      </c>
      <c r="CR293" s="37">
        <v>0</v>
      </c>
      <c r="CS293" s="37">
        <v>0</v>
      </c>
      <c r="CT293" s="37">
        <v>0</v>
      </c>
      <c r="CU293" s="37">
        <v>0</v>
      </c>
      <c r="CV293" s="36">
        <v>0</v>
      </c>
      <c r="CW293" s="35">
        <v>0</v>
      </c>
      <c r="CX293" s="35">
        <v>0</v>
      </c>
      <c r="CY293" s="35">
        <v>0</v>
      </c>
      <c r="CZ293" s="35">
        <v>0</v>
      </c>
      <c r="DA293" s="35">
        <v>0</v>
      </c>
      <c r="DB293" s="35">
        <v>0</v>
      </c>
      <c r="DC293" s="35">
        <v>0</v>
      </c>
      <c r="DD293" s="35">
        <v>0</v>
      </c>
      <c r="DE293" s="35">
        <v>0</v>
      </c>
      <c r="DF293" s="35">
        <v>0</v>
      </c>
    </row>
    <row r="294" spans="1:110" s="17" customFormat="1" ht="12" outlineLevel="1">
      <c r="A294" s="1" t="s">
        <v>72</v>
      </c>
      <c r="B294" s="17" t="s">
        <v>590</v>
      </c>
      <c r="C294" s="387">
        <v>1.3371065614339596E-2</v>
      </c>
      <c r="D294" s="387">
        <v>1.3101921767652966E-2</v>
      </c>
      <c r="E294" s="387">
        <v>9.9468725524746587E-3</v>
      </c>
      <c r="F294" s="387">
        <v>1.1725550260739622E-2</v>
      </c>
      <c r="G294" s="387">
        <v>1.251062501095148E-2</v>
      </c>
      <c r="H294" s="387">
        <v>8.7603678208103761E-3</v>
      </c>
      <c r="I294" s="387">
        <v>1.1045400297534971E-2</v>
      </c>
      <c r="J294" s="387">
        <v>1.7517689454254061E-2</v>
      </c>
      <c r="K294" s="387">
        <v>1.8906413384826584E-2</v>
      </c>
      <c r="L294" s="387">
        <v>1.9526364189621646E-2</v>
      </c>
      <c r="M294" s="70">
        <v>1.6761000602595593E-2</v>
      </c>
      <c r="N294" s="70">
        <v>1.5874229591118595E-2</v>
      </c>
      <c r="O294" s="70">
        <v>1.5935711274833519E-2</v>
      </c>
      <c r="P294" s="70">
        <v>1.1827503726181353E-2</v>
      </c>
      <c r="Q294" s="70">
        <v>1.1934394094858771E-2</v>
      </c>
      <c r="R294" s="70">
        <v>2.9863869873265537E-2</v>
      </c>
      <c r="S294" s="70">
        <v>2.7345068012285645E-2</v>
      </c>
      <c r="T294" s="70">
        <v>2.2940554155859924E-2</v>
      </c>
      <c r="U294" s="70">
        <v>2.2320288734818637E-2</v>
      </c>
      <c r="V294" s="70">
        <v>2.222892883190173E-2</v>
      </c>
      <c r="W294" s="70">
        <v>2.1793843823261973E-2</v>
      </c>
      <c r="X294" s="70">
        <v>2.3467068814843509E-2</v>
      </c>
      <c r="Y294" s="232">
        <v>2.7586044497427728E-2</v>
      </c>
      <c r="Z294" s="340">
        <v>2.7807550031509809E-2</v>
      </c>
      <c r="AA294" s="232">
        <v>2.7114922383336952E-2</v>
      </c>
      <c r="AB294" s="232">
        <v>2.5948993523050589E-2</v>
      </c>
      <c r="AC294" s="232">
        <v>2.5071768599634541E-2</v>
      </c>
      <c r="AD294" s="232">
        <v>2.4973088491008703E-2</v>
      </c>
      <c r="AE294" s="232">
        <v>2.6290861987896923E-2</v>
      </c>
      <c r="AF294" s="232">
        <v>2.6582978766917304E-2</v>
      </c>
      <c r="AG294" s="232">
        <v>2.8703295321973018E-2</v>
      </c>
      <c r="AH294" s="232">
        <v>2.8609378983527601E-2</v>
      </c>
      <c r="AI294" s="232">
        <v>2.9564379826969394E-2</v>
      </c>
      <c r="AJ294" s="232">
        <v>2.8533595417397757E-2</v>
      </c>
      <c r="AK294" s="232">
        <v>2.661767880898221E-2</v>
      </c>
      <c r="AL294" s="232">
        <v>2.7795416305679364E-2</v>
      </c>
      <c r="AM294" s="232">
        <v>3.2047860934736848E-2</v>
      </c>
      <c r="AN294" s="232">
        <v>3.2051858791926416E-2</v>
      </c>
      <c r="AO294" s="232">
        <v>3.2976682393889629E-2</v>
      </c>
      <c r="AP294" s="232">
        <v>3.0900856619614826E-2</v>
      </c>
      <c r="AQ294" s="232">
        <v>2.9739054095029645E-2</v>
      </c>
      <c r="AR294" s="232">
        <v>2.864301717411577E-2</v>
      </c>
      <c r="AS294" s="232">
        <v>2.0659056653572601E-2</v>
      </c>
      <c r="AT294" s="232">
        <v>2.2983958070019028E-2</v>
      </c>
      <c r="AU294" s="232">
        <v>2.2017914775694244E-2</v>
      </c>
      <c r="AV294" s="72">
        <v>2.2898324083970766E-2</v>
      </c>
      <c r="AW294" s="70">
        <v>2.2745737319197795E-2</v>
      </c>
      <c r="AX294" s="70">
        <v>2.256858300067233E-2</v>
      </c>
      <c r="AY294" s="70">
        <v>2.285694949296831E-2</v>
      </c>
      <c r="AZ294" s="70">
        <v>2.2936029588004572E-2</v>
      </c>
      <c r="BA294" s="70">
        <v>2.2919648409557954E-2</v>
      </c>
      <c r="BB294" s="70">
        <v>2.2861019034005937E-2</v>
      </c>
      <c r="BC294" s="70">
        <v>2.2666235958514944E-2</v>
      </c>
      <c r="BD294" s="70">
        <v>2.2616939131926441E-2</v>
      </c>
      <c r="BE294" s="70">
        <v>2.2567809876034895E-2</v>
      </c>
      <c r="BF294" s="70">
        <v>2.256658888197411E-2</v>
      </c>
      <c r="BG294" s="70">
        <v>2.2565545748231258E-2</v>
      </c>
      <c r="BH294" s="70">
        <v>2.2564678987814519E-2</v>
      </c>
      <c r="BI294" s="70">
        <v>2.2563987160171339E-2</v>
      </c>
      <c r="BJ294" s="70">
        <v>2.2565635465653471E-2</v>
      </c>
      <c r="BK294" s="70">
        <v>2.2571722226967999E-2</v>
      </c>
      <c r="BL294" s="70">
        <v>2.2580035909344758E-2</v>
      </c>
      <c r="BM294" s="70">
        <v>2.2588446347004406E-2</v>
      </c>
      <c r="BN294" s="70">
        <v>2.2592630181924794E-2</v>
      </c>
      <c r="BO294" s="70">
        <v>2.2592630181924797E-2</v>
      </c>
      <c r="BP294" s="70"/>
      <c r="BQ294" s="387">
        <v>3.7280750697111474E-2</v>
      </c>
      <c r="BR294" s="387">
        <v>3.7816557734204781E-2</v>
      </c>
      <c r="BS294" s="387">
        <v>3.3960692016609735E-2</v>
      </c>
      <c r="BT294" s="387">
        <v>2.1965562559766467E-2</v>
      </c>
      <c r="BU294" s="387">
        <v>2.723334760963466E-2</v>
      </c>
      <c r="BV294" s="387">
        <v>3.2813079601441288E-2</v>
      </c>
      <c r="BW294" s="387">
        <v>3.1457366843187874E-2</v>
      </c>
      <c r="BX294" s="387">
        <v>2.5658719873936739E-2</v>
      </c>
      <c r="BY294" s="387">
        <v>1.7973883159996484E-2</v>
      </c>
      <c r="BZ294" s="387">
        <v>2.0568708702082942E-2</v>
      </c>
      <c r="CA294" s="70">
        <v>1.1506323286135127E-2</v>
      </c>
      <c r="CB294" s="70">
        <v>1.2128346336455861E-2</v>
      </c>
      <c r="CC294" s="70">
        <v>9.9664825767910841E-3</v>
      </c>
      <c r="CD294" s="70">
        <v>1.823537640140421E-2</v>
      </c>
      <c r="CE294" s="70">
        <v>1.8077772165894762E-2</v>
      </c>
      <c r="CF294" s="70">
        <v>1.5905914319090542E-2</v>
      </c>
      <c r="CG294" s="70">
        <v>1.1882313939685063E-2</v>
      </c>
      <c r="CH294" s="70">
        <v>2.8621265056972937E-2</v>
      </c>
      <c r="CI294" s="70">
        <v>2.2490839473611073E-2</v>
      </c>
      <c r="CJ294" s="70">
        <v>2.2007521988680428E-2</v>
      </c>
      <c r="CK294" s="232">
        <v>2.5574464783879869E-2</v>
      </c>
      <c r="CL294" s="232">
        <v>2.7500840142571512E-2</v>
      </c>
      <c r="CM294" s="232">
        <v>2.549866414964002E-2</v>
      </c>
      <c r="CN294" s="232">
        <v>2.5699001596666098E-2</v>
      </c>
      <c r="CO294" s="232">
        <v>2.7642788393833072E-2</v>
      </c>
      <c r="CP294" s="232">
        <v>2.9089292642734164E-2</v>
      </c>
      <c r="CQ294" s="232">
        <v>2.7562558675341207E-2</v>
      </c>
      <c r="CR294" s="232">
        <v>2.9934805928910985E-2</v>
      </c>
      <c r="CS294" s="232">
        <v>3.2515294846551988E-2</v>
      </c>
      <c r="CT294" s="232">
        <v>3.0318023651387273E-2</v>
      </c>
      <c r="CU294" s="232">
        <v>2.4599734975688133E-2</v>
      </c>
      <c r="CV294" s="72">
        <v>2.2499272583218106E-2</v>
      </c>
      <c r="CW294" s="70">
        <v>2.281998711574651E-2</v>
      </c>
      <c r="CX294" s="70">
        <v>2.27143140237103E-2</v>
      </c>
      <c r="CY294" s="70">
        <v>2.2927766843269779E-2</v>
      </c>
      <c r="CZ294" s="70">
        <v>2.2762556819390684E-2</v>
      </c>
      <c r="DA294" s="70">
        <v>2.2592155373583517E-2</v>
      </c>
      <c r="DB294" s="70">
        <v>2.2566061201497994E-2</v>
      </c>
      <c r="DC294" s="70">
        <v>2.2564328998440113E-2</v>
      </c>
      <c r="DD294" s="70">
        <v>2.2568718467181625E-2</v>
      </c>
      <c r="DE294" s="70">
        <v>2.2584286158910821E-2</v>
      </c>
      <c r="DF294" s="70">
        <v>2.2592630181924794E-2</v>
      </c>
    </row>
    <row r="295" spans="1:110" ht="12" outlineLevel="1">
      <c r="A295" s="1" t="s">
        <v>73</v>
      </c>
      <c r="B295" s="15" t="s">
        <v>389</v>
      </c>
      <c r="C295" s="345">
        <v>0.44148934870806245</v>
      </c>
      <c r="D295" s="345">
        <v>0.28178681710834752</v>
      </c>
      <c r="E295" s="345">
        <v>0.15060821307655023</v>
      </c>
      <c r="F295" s="345">
        <v>0.10183375003862979</v>
      </c>
      <c r="G295" s="345">
        <v>8.412647650613457E-2</v>
      </c>
      <c r="H295" s="345">
        <v>6.4204545454545348E-2</v>
      </c>
      <c r="I295" s="345">
        <v>3.7918528419737661E-2</v>
      </c>
      <c r="J295" s="345">
        <v>3.5906162437331489E-2</v>
      </c>
      <c r="K295" s="345">
        <v>2.9076072966923907E-2</v>
      </c>
      <c r="L295" s="345">
        <v>1.5791146401704405E-3</v>
      </c>
      <c r="M295" s="35">
        <v>4.022095412755694E-3</v>
      </c>
      <c r="N295" s="35">
        <v>6.5725225080773243E-4</v>
      </c>
      <c r="O295" s="35">
        <v>1.6065404558549528E-3</v>
      </c>
      <c r="P295" s="35">
        <v>-6.8882710244059005E-3</v>
      </c>
      <c r="Q295" s="35">
        <v>-1.3612788780384133E-2</v>
      </c>
      <c r="R295" s="35">
        <v>3.2330517433556191E-3</v>
      </c>
      <c r="S295" s="35">
        <v>-1.8269360126884242E-3</v>
      </c>
      <c r="T295" s="35">
        <v>-9.9848462118656955E-3</v>
      </c>
      <c r="U295" s="35">
        <v>-1.3924984940595186E-2</v>
      </c>
      <c r="V295" s="35">
        <v>-1.477867470270453E-2</v>
      </c>
      <c r="W295" s="35">
        <v>-1.4984468373677491E-2</v>
      </c>
      <c r="X295" s="35">
        <v>-1.6417281228859125E-2</v>
      </c>
      <c r="Y295" s="37">
        <v>-1.2061784404838625E-2</v>
      </c>
      <c r="Z295" s="228">
        <v>-8.9807677199629839E-3</v>
      </c>
      <c r="AA295" s="37">
        <v>-6.8000203866445206E-3</v>
      </c>
      <c r="AB295" s="37">
        <v>-4.7812241119538695E-3</v>
      </c>
      <c r="AC295" s="37">
        <v>-6.0230442988836097E-3</v>
      </c>
      <c r="AD295" s="37">
        <v>-6.4844551684241957E-3</v>
      </c>
      <c r="AE295" s="37">
        <v>-3.5550384876846912E-3</v>
      </c>
      <c r="AF295" s="37">
        <v>-5.8628663810597502E-3</v>
      </c>
      <c r="AG295" s="37">
        <v>-1.7022867696262971E-3</v>
      </c>
      <c r="AH295" s="37">
        <v>-8.0108821145631105E-4</v>
      </c>
      <c r="AI295" s="37">
        <v>-8.0498179439354701E-4</v>
      </c>
      <c r="AJ295" s="37">
        <v>5.7937708567831834E-4</v>
      </c>
      <c r="AK295" s="37">
        <v>-2.4492103973568132E-4</v>
      </c>
      <c r="AL295" s="37">
        <v>-7.9477734585412635E-4</v>
      </c>
      <c r="AM295" s="37">
        <v>4.0493351743632012E-3</v>
      </c>
      <c r="AN295" s="37">
        <v>4.3837650406323599E-3</v>
      </c>
      <c r="AO295" s="37">
        <v>9.8394908343627549E-4</v>
      </c>
      <c r="AP295" s="37">
        <v>5.1447333609436433E-3</v>
      </c>
      <c r="AQ295" s="37">
        <v>5.123308747982969E-3</v>
      </c>
      <c r="AR295" s="37">
        <v>4.4383041858866035E-3</v>
      </c>
      <c r="AS295" s="37">
        <v>-2.7864907608131768E-3</v>
      </c>
      <c r="AT295" s="37">
        <v>-3.3996271111504219E-3</v>
      </c>
      <c r="AU295" s="37">
        <v>-5.5597967077112458E-4</v>
      </c>
      <c r="AV295" s="36">
        <v>9.7071360171172699E-4</v>
      </c>
      <c r="AW295" s="34">
        <v>9.7071360171172699E-4</v>
      </c>
      <c r="AX295" s="34">
        <v>9.7071360171172699E-4</v>
      </c>
      <c r="AY295" s="34">
        <v>9.7071360171172699E-4</v>
      </c>
      <c r="AZ295" s="34">
        <v>9.7071360171172699E-4</v>
      </c>
      <c r="BA295" s="34">
        <v>9.7071360171172699E-4</v>
      </c>
      <c r="BB295" s="34">
        <v>9.7071360171172699E-4</v>
      </c>
      <c r="BC295" s="34">
        <v>9.7071360171172699E-4</v>
      </c>
      <c r="BD295" s="34">
        <v>9.7071360171172699E-4</v>
      </c>
      <c r="BE295" s="34">
        <v>9.7071360171172699E-4</v>
      </c>
      <c r="BF295" s="34">
        <v>9.7071360171172699E-4</v>
      </c>
      <c r="BG295" s="34">
        <v>9.7071360171172699E-4</v>
      </c>
      <c r="BH295" s="34">
        <v>9.7071360171172699E-4</v>
      </c>
      <c r="BI295" s="34">
        <v>9.7071360171172699E-4</v>
      </c>
      <c r="BJ295" s="34">
        <v>9.7071360171172699E-4</v>
      </c>
      <c r="BK295" s="34">
        <v>9.7071360171172699E-4</v>
      </c>
      <c r="BL295" s="34">
        <v>9.7071360171172699E-4</v>
      </c>
      <c r="BM295" s="34">
        <v>9.7071360171172699E-4</v>
      </c>
      <c r="BN295" s="34">
        <v>9.7071360171172699E-4</v>
      </c>
      <c r="BO295" s="34">
        <v>9.7071360171172699E-4</v>
      </c>
      <c r="BP295" s="35"/>
      <c r="BQ295" s="345">
        <v>-3.795529620529621E-2</v>
      </c>
      <c r="BR295" s="345">
        <v>1.2819956591032987E-2</v>
      </c>
      <c r="BS295" s="345">
        <v>8.4007385286310222E-3</v>
      </c>
      <c r="BT295" s="345">
        <v>-3.7121630472949059E-3</v>
      </c>
      <c r="BU295" s="345">
        <v>-7.531371126734826E-4</v>
      </c>
      <c r="BV295" s="345">
        <v>1.0651042635658923E-2</v>
      </c>
      <c r="BW295" s="345">
        <v>2.0107740364252422E-2</v>
      </c>
      <c r="BX295" s="345">
        <v>1.2059555861001318E-2</v>
      </c>
      <c r="BY295" s="345">
        <v>1.3094335567436666E-2</v>
      </c>
      <c r="BZ295" s="345">
        <v>1.246516068052925E-2</v>
      </c>
      <c r="CA295" s="35">
        <v>0.20249141484442723</v>
      </c>
      <c r="CB295" s="35">
        <v>9.3141398036838505E-2</v>
      </c>
      <c r="CC295" s="35">
        <v>4.8819483708814997E-2</v>
      </c>
      <c r="CD295" s="35">
        <v>3.2138802924952942E-2</v>
      </c>
      <c r="CE295" s="35">
        <v>2.8350620209717683E-3</v>
      </c>
      <c r="CF295" s="35">
        <v>1.1520787297964431E-3</v>
      </c>
      <c r="CG295" s="35">
        <v>-1.0430283532430936E-2</v>
      </c>
      <c r="CH295" s="35">
        <v>7.634104102664242E-4</v>
      </c>
      <c r="CI295" s="35">
        <v>-1.233450158150424E-2</v>
      </c>
      <c r="CJ295" s="35">
        <v>-1.3712182071263403E-2</v>
      </c>
      <c r="CK295" s="37">
        <v>-1.4136671933456161E-2</v>
      </c>
      <c r="CL295" s="37">
        <v>-7.8214643067203177E-3</v>
      </c>
      <c r="CM295" s="37">
        <v>-5.4139390903810737E-3</v>
      </c>
      <c r="CN295" s="37">
        <v>-4.9450978993501099E-3</v>
      </c>
      <c r="CO295" s="37">
        <v>-3.790023933307891E-3</v>
      </c>
      <c r="CP295" s="37">
        <v>-8.0307162281658816E-4</v>
      </c>
      <c r="CQ295" s="37">
        <v>1.5792228866672511E-4</v>
      </c>
      <c r="CR295" s="37">
        <v>1.6298158246186804E-3</v>
      </c>
      <c r="CS295" s="37">
        <v>2.6517365420365836E-3</v>
      </c>
      <c r="CT295" s="37">
        <v>5.1337456880125075E-3</v>
      </c>
      <c r="CU295" s="37">
        <v>7.6573779497611993E-4</v>
      </c>
      <c r="CV295" s="36">
        <v>-1.9667260943662507E-3</v>
      </c>
      <c r="CW295" s="35">
        <v>9.7071360171172472E-4</v>
      </c>
      <c r="CX295" s="35">
        <v>9.7071360171172797E-4</v>
      </c>
      <c r="CY295" s="35">
        <v>9.7071360171172949E-4</v>
      </c>
      <c r="CZ295" s="35">
        <v>9.7071360171172678E-4</v>
      </c>
      <c r="DA295" s="35">
        <v>9.7071360171172515E-4</v>
      </c>
      <c r="DB295" s="35">
        <v>9.7071360171171789E-4</v>
      </c>
      <c r="DC295" s="35">
        <v>9.7071360171174087E-4</v>
      </c>
      <c r="DD295" s="35">
        <v>9.7071360171172656E-4</v>
      </c>
      <c r="DE295" s="35">
        <v>9.7071360171173795E-4</v>
      </c>
      <c r="DF295" s="35">
        <v>9.707136017117271E-4</v>
      </c>
    </row>
    <row r="296" spans="1:110" s="17" customFormat="1" ht="12" outlineLevel="1">
      <c r="A296" s="1" t="s">
        <v>74</v>
      </c>
      <c r="B296" s="17" t="s">
        <v>472</v>
      </c>
      <c r="C296" s="386">
        <v>1.9700470486582168E-2</v>
      </c>
      <c r="D296" s="386">
        <v>1.7809339071465674E-2</v>
      </c>
      <c r="E296" s="386">
        <v>1.3620351705192942E-2</v>
      </c>
      <c r="F296" s="386">
        <v>1.5148090144984534E-2</v>
      </c>
      <c r="G296" s="386">
        <v>1.5018075331254425E-2</v>
      </c>
      <c r="H296" s="386">
        <v>1.1287697276553849E-2</v>
      </c>
      <c r="I296" s="386">
        <v>1.2573643903738559E-2</v>
      </c>
      <c r="J296" s="386">
        <v>1.8729842312243665E-2</v>
      </c>
      <c r="K296" s="386">
        <v>1.968325751786805E-2</v>
      </c>
      <c r="L296" s="386">
        <v>1.7067582953362227E-2</v>
      </c>
      <c r="M296" s="71">
        <v>1.4994028242133785E-2</v>
      </c>
      <c r="N296" s="71">
        <v>1.37606077196014E-2</v>
      </c>
      <c r="O296" s="71">
        <v>1.3902210165650214E-2</v>
      </c>
      <c r="P296" s="71">
        <v>9.0612484444721753E-3</v>
      </c>
      <c r="Q296" s="71">
        <v>7.9821344780328374E-3</v>
      </c>
      <c r="R296" s="71">
        <v>2.5360532260000672E-2</v>
      </c>
      <c r="S296" s="71">
        <v>2.2497854821436361E-2</v>
      </c>
      <c r="T296" s="71">
        <v>1.6786418009430149E-2</v>
      </c>
      <c r="U296" s="71">
        <v>1.5440582717635029E-2</v>
      </c>
      <c r="V296" s="71">
        <v>1.6044848873358289E-2</v>
      </c>
      <c r="W296" s="71">
        <v>1.5348726417833719E-2</v>
      </c>
      <c r="X296" s="71">
        <v>1.5587126270013484E-2</v>
      </c>
      <c r="Y296" s="231">
        <v>1.9446525965278072E-2</v>
      </c>
      <c r="Z296" s="231">
        <v>2.0746883909339871E-2</v>
      </c>
      <c r="AA296" s="339">
        <v>2.0256683374944798E-2</v>
      </c>
      <c r="AB296" s="339">
        <v>1.9641815584794678E-2</v>
      </c>
      <c r="AC296" s="339">
        <v>1.8768290213650576E-2</v>
      </c>
      <c r="AD296" s="339">
        <v>1.7969447089469886E-2</v>
      </c>
      <c r="AE296" s="339">
        <v>1.9596388077039076E-2</v>
      </c>
      <c r="AF296" s="426">
        <v>1.8577353143363159E-2</v>
      </c>
      <c r="AG296" s="426">
        <v>2.1241744034258783E-2</v>
      </c>
      <c r="AH296" s="426">
        <v>2.1171820822877805E-2</v>
      </c>
      <c r="AI296" s="426">
        <v>2.174191894191493E-2</v>
      </c>
      <c r="AJ296" s="426">
        <v>2.1090411149621228E-2</v>
      </c>
      <c r="AK296" s="426">
        <v>1.9358588358455317E-2</v>
      </c>
      <c r="AL296" s="426">
        <v>1.9846912099936578E-2</v>
      </c>
      <c r="AM296" s="426">
        <v>2.431994593006679E-2</v>
      </c>
      <c r="AN296" s="426">
        <v>2.3912381172159304E-2</v>
      </c>
      <c r="AO296" s="426">
        <v>2.3342677272468165E-2</v>
      </c>
      <c r="AP296" s="426">
        <v>2.2759145913292908E-2</v>
      </c>
      <c r="AQ296" s="426">
        <v>2.1744175830432214E-2</v>
      </c>
      <c r="AR296" s="426">
        <v>2.0771221734037251E-2</v>
      </c>
      <c r="AS296" s="426">
        <v>1.2994940197026149E-2</v>
      </c>
      <c r="AT296" s="426">
        <v>1.4205835152542479E-2</v>
      </c>
      <c r="AU296" s="426">
        <v>1.4463690683427399E-2</v>
      </c>
      <c r="AV296" s="417">
        <v>1.5306315822649776E-2</v>
      </c>
      <c r="AW296" s="70">
        <v>1.5807066449688385E-2</v>
      </c>
      <c r="AX296" s="70">
        <v>1.5912999375169882E-2</v>
      </c>
      <c r="AY296" s="70">
        <v>1.6112503060268728E-2</v>
      </c>
      <c r="AZ296" s="70">
        <v>1.6167213891101002E-2</v>
      </c>
      <c r="BA296" s="70">
        <v>1.6155880724614345E-2</v>
      </c>
      <c r="BB296" s="70">
        <v>1.6115318534518884E-2</v>
      </c>
      <c r="BC296" s="70">
        <v>1.5980559669000444E-2</v>
      </c>
      <c r="BD296" s="70">
        <v>1.5946454116410817E-2</v>
      </c>
      <c r="BE296" s="70">
        <v>1.5912464496054834E-2</v>
      </c>
      <c r="BF296" s="70">
        <v>1.5911619762630114E-2</v>
      </c>
      <c r="BG296" s="70">
        <v>1.5910898080217947E-2</v>
      </c>
      <c r="BH296" s="70">
        <v>1.5910298420056805E-2</v>
      </c>
      <c r="BI296" s="70">
        <v>1.5909819785513767E-2</v>
      </c>
      <c r="BJ296" s="70">
        <v>1.5910960150384998E-2</v>
      </c>
      <c r="BK296" s="70">
        <v>1.591517121978802E-2</v>
      </c>
      <c r="BL296" s="70">
        <v>1.5920922963888726E-2</v>
      </c>
      <c r="BM296" s="70">
        <v>1.5926741647235169E-2</v>
      </c>
      <c r="BN296" s="70">
        <v>1.5929636194648829E-2</v>
      </c>
      <c r="BO296" s="70">
        <v>1.5929636194648836E-2</v>
      </c>
      <c r="BP296" s="70"/>
      <c r="BQ296" s="386">
        <v>1.5669002215365893E-2</v>
      </c>
      <c r="BR296" s="386">
        <v>3.0600697681457699E-2</v>
      </c>
      <c r="BS296" s="386">
        <v>2.6692106084570497E-2</v>
      </c>
      <c r="BT296" s="386">
        <v>1.4994231784582895E-2</v>
      </c>
      <c r="BU296" s="386">
        <v>1.9689447831332932E-2</v>
      </c>
      <c r="BV296" s="386">
        <v>2.6619404587814893E-2</v>
      </c>
      <c r="BW296" s="386">
        <v>2.8771632366697837E-2</v>
      </c>
      <c r="BX296" s="386">
        <v>2.3539037546488492E-2</v>
      </c>
      <c r="BY296" s="386">
        <v>1.7312737771323146E-2</v>
      </c>
      <c r="BZ296" s="386">
        <v>1.9583957258023955E-2</v>
      </c>
      <c r="CA296" s="70">
        <v>1.5682045482625594E-2</v>
      </c>
      <c r="CB296" s="70">
        <v>1.5083230409297013E-2</v>
      </c>
      <c r="CC296" s="70">
        <v>1.1970272821972815E-2</v>
      </c>
      <c r="CD296" s="70">
        <v>1.922683157341044E-2</v>
      </c>
      <c r="CE296" s="70">
        <v>1.5979875732940553E-2</v>
      </c>
      <c r="CF296" s="70">
        <v>1.3833718302980861E-2</v>
      </c>
      <c r="CG296" s="70">
        <v>8.5051764818492928E-3</v>
      </c>
      <c r="CH296" s="70">
        <v>2.3950787517084505E-2</v>
      </c>
      <c r="CI296" s="70">
        <v>1.6095420949727164E-2</v>
      </c>
      <c r="CJ296" s="70">
        <v>1.5462100213183174E-2</v>
      </c>
      <c r="CK296" s="232">
        <v>1.7571031457343157E-2</v>
      </c>
      <c r="CL296" s="232">
        <v>2.0522809583707068E-2</v>
      </c>
      <c r="CM296" s="232">
        <v>1.9194040541590858E-2</v>
      </c>
      <c r="CN296" s="232">
        <v>1.8801886719136015E-2</v>
      </c>
      <c r="CO296" s="232">
        <v>1.9908527798277609E-2</v>
      </c>
      <c r="CP296" s="232">
        <v>2.1459226700898504E-2</v>
      </c>
      <c r="CQ296" s="232">
        <v>2.0210969056334478E-2</v>
      </c>
      <c r="CR296" s="232">
        <v>2.2093163338727361E-2</v>
      </c>
      <c r="CS296" s="232">
        <v>2.3625431685784525E-2</v>
      </c>
      <c r="CT296" s="232">
        <v>2.224666567043122E-2</v>
      </c>
      <c r="CU296" s="232">
        <v>1.6828295209936388E-2</v>
      </c>
      <c r="CV296" s="72">
        <v>1.4335397795199383E-2</v>
      </c>
      <c r="CW296" s="70">
        <v>1.5558226828030748E-2</v>
      </c>
      <c r="CX296" s="70">
        <v>1.6013822032815761E-2</v>
      </c>
      <c r="CY296" s="70">
        <v>1.6161497387735799E-2</v>
      </c>
      <c r="CZ296" s="70">
        <v>1.6047198363890413E-2</v>
      </c>
      <c r="DA296" s="70">
        <v>1.5929307702898469E-2</v>
      </c>
      <c r="DB296" s="70">
        <v>1.5911254691783283E-2</v>
      </c>
      <c r="DC296" s="70">
        <v>1.5910056283151851E-2</v>
      </c>
      <c r="DD296" s="70">
        <v>1.5913093096418824E-2</v>
      </c>
      <c r="DE296" s="70">
        <v>1.592386345965947E-2</v>
      </c>
      <c r="DF296" s="70">
        <v>1.5929636194648832E-2</v>
      </c>
    </row>
    <row r="297" spans="1:110" ht="12" outlineLevel="1">
      <c r="C297" s="345"/>
      <c r="D297" s="345"/>
      <c r="E297" s="345"/>
      <c r="F297" s="345"/>
      <c r="G297" s="345"/>
      <c r="H297" s="345"/>
      <c r="I297" s="345"/>
      <c r="J297" s="345"/>
      <c r="K297" s="345"/>
      <c r="L297" s="345"/>
      <c r="M297" s="35"/>
      <c r="N297" s="35"/>
      <c r="O297" s="35"/>
      <c r="P297" s="35"/>
      <c r="Q297" s="35"/>
      <c r="R297" s="35"/>
      <c r="S297" s="35"/>
      <c r="T297" s="35"/>
      <c r="U297" s="35"/>
      <c r="V297" s="35"/>
      <c r="W297" s="35"/>
      <c r="X297" s="35"/>
      <c r="Y297" s="37"/>
      <c r="Z297" s="37"/>
      <c r="AA297" s="37"/>
      <c r="AB297" s="37"/>
      <c r="AC297" s="37"/>
      <c r="AD297" s="37"/>
      <c r="AE297" s="37"/>
      <c r="AF297" s="357"/>
      <c r="AG297" s="37"/>
      <c r="AH297" s="37"/>
      <c r="AI297" s="37"/>
      <c r="AJ297" s="37"/>
      <c r="AK297" s="37"/>
      <c r="AL297" s="37"/>
      <c r="AM297" s="37"/>
      <c r="AN297" s="37"/>
      <c r="AO297" s="37"/>
      <c r="AP297" s="37"/>
      <c r="AQ297" s="37"/>
      <c r="AR297" s="37"/>
      <c r="AS297" s="37"/>
      <c r="AT297" s="37"/>
      <c r="AU297" s="37"/>
      <c r="AV297" s="36"/>
      <c r="AW297" s="35"/>
      <c r="AX297" s="35"/>
      <c r="AY297" s="35"/>
      <c r="AZ297" s="35"/>
      <c r="BA297" s="35"/>
      <c r="BB297" s="35"/>
      <c r="BC297" s="35"/>
      <c r="BD297" s="35"/>
      <c r="BE297" s="35"/>
      <c r="BF297" s="35"/>
      <c r="BG297" s="35"/>
      <c r="BH297" s="35"/>
      <c r="BI297" s="35"/>
      <c r="BJ297" s="35"/>
      <c r="BK297" s="35"/>
      <c r="BL297" s="35"/>
      <c r="BM297" s="35"/>
      <c r="BN297" s="35"/>
      <c r="BO297" s="35"/>
      <c r="BP297" s="35"/>
      <c r="BQ297" s="345"/>
      <c r="BR297" s="345"/>
      <c r="BS297" s="345"/>
      <c r="BT297" s="345"/>
      <c r="BU297" s="345"/>
      <c r="BV297" s="345"/>
      <c r="BW297" s="345"/>
      <c r="BX297" s="345"/>
      <c r="BY297" s="345"/>
      <c r="BZ297" s="345"/>
      <c r="CA297" s="35"/>
      <c r="CB297" s="35"/>
      <c r="CC297" s="35"/>
      <c r="CD297" s="35"/>
      <c r="CE297" s="35"/>
      <c r="CF297" s="35"/>
      <c r="CG297" s="35"/>
      <c r="CH297" s="35"/>
      <c r="CI297" s="35"/>
      <c r="CJ297" s="35"/>
      <c r="CK297" s="37"/>
      <c r="CL297" s="37"/>
      <c r="CM297" s="37"/>
      <c r="CN297" s="37"/>
      <c r="CO297" s="37"/>
      <c r="CP297" s="37"/>
      <c r="CQ297" s="37"/>
      <c r="CR297" s="37"/>
      <c r="CS297" s="37"/>
      <c r="CT297" s="37"/>
      <c r="CU297" s="37"/>
      <c r="CV297" s="36"/>
      <c r="CW297" s="35"/>
      <c r="CX297" s="35"/>
      <c r="CY297" s="35"/>
      <c r="CZ297" s="15"/>
      <c r="DA297" s="15"/>
      <c r="DB297" s="15"/>
      <c r="DC297" s="15"/>
      <c r="DD297" s="15"/>
      <c r="DE297" s="15"/>
      <c r="DF297" s="15"/>
    </row>
    <row r="298" spans="1:110" s="17" customFormat="1" ht="12" outlineLevel="1">
      <c r="A298" s="15"/>
      <c r="B298" s="17" t="s">
        <v>591</v>
      </c>
      <c r="C298" s="387"/>
      <c r="D298" s="387"/>
      <c r="E298" s="387"/>
      <c r="F298" s="387"/>
      <c r="G298" s="387"/>
      <c r="H298" s="387"/>
      <c r="I298" s="387"/>
      <c r="J298" s="387"/>
      <c r="K298" s="387"/>
      <c r="L298" s="387"/>
      <c r="M298" s="70"/>
      <c r="N298" s="70"/>
      <c r="O298" s="70"/>
      <c r="P298" s="70"/>
      <c r="Q298" s="70"/>
      <c r="R298" s="70"/>
      <c r="S298" s="70"/>
      <c r="T298" s="70"/>
      <c r="U298" s="70"/>
      <c r="V298" s="70"/>
      <c r="W298" s="70"/>
      <c r="X298" s="70"/>
      <c r="Y298" s="232"/>
      <c r="Z298" s="232"/>
      <c r="AA298" s="232"/>
      <c r="AB298" s="232"/>
      <c r="AC298" s="410"/>
      <c r="AD298" s="410"/>
      <c r="AE298" s="410"/>
      <c r="AF298" s="428"/>
      <c r="AG298" s="232"/>
      <c r="AH298" s="232"/>
      <c r="AI298" s="232"/>
      <c r="AJ298" s="232"/>
      <c r="AK298" s="232"/>
      <c r="AL298" s="232"/>
      <c r="AM298" s="232"/>
      <c r="AN298" s="232"/>
      <c r="AO298" s="232"/>
      <c r="AP298" s="232"/>
      <c r="AQ298" s="232"/>
      <c r="AR298" s="232"/>
      <c r="AS298" s="232"/>
      <c r="AT298" s="232"/>
      <c r="AU298" s="232"/>
      <c r="AV298" s="72"/>
      <c r="AW298" s="70"/>
      <c r="AX298" s="70"/>
      <c r="AY298" s="70"/>
      <c r="AZ298" s="70"/>
      <c r="BA298" s="70"/>
      <c r="BB298" s="70"/>
      <c r="BC298" s="70"/>
      <c r="BD298" s="70"/>
      <c r="BE298" s="70"/>
      <c r="BF298" s="70"/>
      <c r="BG298" s="70"/>
      <c r="BH298" s="70"/>
      <c r="BI298" s="70"/>
      <c r="BJ298" s="70"/>
      <c r="BK298" s="70"/>
      <c r="BL298" s="70"/>
      <c r="BM298" s="70"/>
      <c r="BN298" s="70"/>
      <c r="BO298" s="70"/>
      <c r="BP298" s="70"/>
      <c r="BQ298" s="387"/>
      <c r="BR298" s="387"/>
      <c r="BS298" s="387"/>
      <c r="BT298" s="387"/>
      <c r="BU298" s="387"/>
      <c r="BV298" s="387"/>
      <c r="BW298" s="387"/>
      <c r="BX298" s="387"/>
      <c r="BY298" s="387"/>
      <c r="BZ298" s="387"/>
      <c r="CA298" s="70"/>
      <c r="CB298" s="70"/>
      <c r="CC298" s="70"/>
      <c r="CD298" s="70"/>
      <c r="CE298" s="70"/>
      <c r="CF298" s="70"/>
      <c r="CG298" s="70"/>
      <c r="CH298" s="70"/>
      <c r="CI298" s="70"/>
      <c r="CJ298" s="70"/>
      <c r="CK298" s="232"/>
      <c r="CL298" s="232"/>
      <c r="CM298" s="232"/>
      <c r="CN298" s="232"/>
      <c r="CO298" s="232"/>
      <c r="CP298" s="232"/>
      <c r="CQ298" s="232"/>
      <c r="CR298" s="232"/>
      <c r="CS298" s="232"/>
      <c r="CT298" s="232"/>
      <c r="CU298" s="232"/>
      <c r="CV298" s="72"/>
      <c r="CW298" s="70"/>
      <c r="CX298" s="70"/>
      <c r="CY298" s="70"/>
    </row>
    <row r="299" spans="1:110" ht="12" outlineLevel="1">
      <c r="A299" s="1" t="s">
        <v>75</v>
      </c>
      <c r="B299" s="15" t="s">
        <v>592</v>
      </c>
      <c r="C299" s="388">
        <v>4.8563833333333327E-2</v>
      </c>
      <c r="D299" s="388">
        <v>4.3449999999999996E-2</v>
      </c>
      <c r="E299" s="388">
        <v>4.9258500000000004E-2</v>
      </c>
      <c r="F299" s="388">
        <v>4.8122166666666667E-2</v>
      </c>
      <c r="G299" s="388">
        <v>4.7991666666666676E-2</v>
      </c>
      <c r="H299" s="388">
        <v>5.4583333333333331E-2</v>
      </c>
      <c r="I299" s="388">
        <v>5.4836000000000003E-2</v>
      </c>
      <c r="J299" s="388">
        <v>5.5772166666666657E-2</v>
      </c>
      <c r="K299" s="388">
        <v>5.662233333333333E-2</v>
      </c>
      <c r="L299" s="388">
        <v>1.946405533535376E-2</v>
      </c>
      <c r="M299" s="73">
        <v>2.0749579527531849E-2</v>
      </c>
      <c r="N299" s="73">
        <v>2.0566142222473369E-2</v>
      </c>
      <c r="O299" s="73">
        <v>2.0857142660086689E-2</v>
      </c>
      <c r="P299" s="73">
        <v>2.4276739490330088E-2</v>
      </c>
      <c r="Q299" s="73">
        <v>2.3334815235573639E-2</v>
      </c>
      <c r="R299" s="73">
        <v>8.493116130157477E-3</v>
      </c>
      <c r="S299" s="73">
        <v>7.6580432699098443E-3</v>
      </c>
      <c r="T299" s="38">
        <v>1.1963761843916065E-2</v>
      </c>
      <c r="U299" s="38">
        <v>1.321197834030232E-2</v>
      </c>
      <c r="V299" s="38">
        <v>1.2163559486265567E-2</v>
      </c>
      <c r="W299" s="38">
        <v>1.0319551821631821E-2</v>
      </c>
      <c r="X299" s="38">
        <v>7.6950199330096739E-3</v>
      </c>
      <c r="Y299" s="73">
        <v>3.07308746148513E-3</v>
      </c>
      <c r="Z299" s="144">
        <v>1.5483410953176582E-3</v>
      </c>
      <c r="AA299" s="144">
        <v>5.3896169039461123E-3</v>
      </c>
      <c r="AB299" s="144">
        <v>4.5905661759496896E-3</v>
      </c>
      <c r="AC299" s="144">
        <v>4.5461613111117301E-3</v>
      </c>
      <c r="AD299" s="330">
        <v>2.5123844103106001E-3</v>
      </c>
      <c r="AE299" s="330">
        <v>1.0222306898509141E-3</v>
      </c>
      <c r="AF299" s="330">
        <v>3.2092916677265567E-3</v>
      </c>
      <c r="AG299" s="330">
        <v>2.0984117557833496E-3</v>
      </c>
      <c r="AH299" s="330">
        <v>2.1496448146941299E-3</v>
      </c>
      <c r="AI299" s="330">
        <v>2.3068330894004162E-3</v>
      </c>
      <c r="AJ299" s="330">
        <v>1.9130392695417752E-3</v>
      </c>
      <c r="AK299" s="330">
        <v>3.7504711744993759E-3</v>
      </c>
      <c r="AL299" s="330">
        <v>3.0681476311746354E-3</v>
      </c>
      <c r="AM299" s="330">
        <v>-2.0323790801516483E-3</v>
      </c>
      <c r="AN299" s="330">
        <v>-3.1538515448611953E-3</v>
      </c>
      <c r="AO299" s="330">
        <v>-6.4160736057021581E-3</v>
      </c>
      <c r="AP299" s="330">
        <v>-6.2705674881466241E-3</v>
      </c>
      <c r="AQ299" s="330">
        <v>-5.7609346425245159E-3</v>
      </c>
      <c r="AR299" s="330">
        <v>-5.3515576941729412E-3</v>
      </c>
      <c r="AS299" s="330">
        <v>5.5185250802401017E-3</v>
      </c>
      <c r="AT299" s="330">
        <v>7.6898431544754862E-3</v>
      </c>
      <c r="AU299" s="330">
        <v>6.8603970266314374E-3</v>
      </c>
      <c r="AV299" s="439">
        <v>4.8672300611491554E-3</v>
      </c>
      <c r="AW299" s="35">
        <v>5.4999999999999997E-3</v>
      </c>
      <c r="AX299" s="35">
        <v>5.7999999999999996E-3</v>
      </c>
      <c r="AY299" s="35">
        <v>5.7999999999999996E-3</v>
      </c>
      <c r="AZ299" s="35">
        <v>5.7999999999999996E-3</v>
      </c>
      <c r="BA299" s="35">
        <v>5.7999999999999996E-3</v>
      </c>
      <c r="BB299" s="35">
        <v>5.7999999999999996E-3</v>
      </c>
      <c r="BC299" s="35">
        <v>5.7999999999999996E-3</v>
      </c>
      <c r="BD299" s="35">
        <v>5.7999999999999996E-3</v>
      </c>
      <c r="BE299" s="35">
        <v>5.7999999999999996E-3</v>
      </c>
      <c r="BF299" s="35">
        <v>5.7999999999999996E-3</v>
      </c>
      <c r="BG299" s="35">
        <v>5.7999999999999996E-3</v>
      </c>
      <c r="BH299" s="35">
        <v>5.7999999999999996E-3</v>
      </c>
      <c r="BI299" s="35">
        <v>5.7999999999999996E-3</v>
      </c>
      <c r="BJ299" s="35">
        <v>5.7999999999999996E-3</v>
      </c>
      <c r="BK299" s="35">
        <v>5.7999999999999996E-3</v>
      </c>
      <c r="BL299" s="35">
        <v>5.7999999999999996E-3</v>
      </c>
      <c r="BM299" s="35">
        <v>5.7999999999999996E-3</v>
      </c>
      <c r="BN299" s="35">
        <v>5.7999999999999996E-3</v>
      </c>
      <c r="BO299" s="35">
        <v>5.7999999999999996E-3</v>
      </c>
      <c r="BP299" s="35"/>
      <c r="BQ299" s="345"/>
      <c r="BR299" s="345"/>
      <c r="BS299" s="345"/>
      <c r="BT299" s="345"/>
      <c r="BU299" s="345"/>
      <c r="BV299" s="345"/>
      <c r="BW299" s="345"/>
      <c r="BX299" s="345"/>
      <c r="BY299" s="345"/>
      <c r="BZ299" s="345"/>
      <c r="CA299" s="35">
        <v>4.6435097414159465E-2</v>
      </c>
      <c r="CB299" s="35">
        <v>4.8058422370064184E-2</v>
      </c>
      <c r="CC299" s="35">
        <v>5.471123568879372E-2</v>
      </c>
      <c r="CD299" s="35">
        <v>5.6222668342512598E-2</v>
      </c>
      <c r="CE299" s="35">
        <v>2.0129464992446177E-2</v>
      </c>
      <c r="CF299" s="35">
        <v>2.0883058574461291E-2</v>
      </c>
      <c r="CG299" s="35">
        <v>2.3803245341070627E-2</v>
      </c>
      <c r="CH299" s="35">
        <v>8.0603643330489309E-3</v>
      </c>
      <c r="CI299" s="35">
        <v>1.2583450830423048E-2</v>
      </c>
      <c r="CJ299" s="35">
        <v>1.1211094042740177E-2</v>
      </c>
      <c r="CK299" s="37">
        <v>5.3648957488812805E-3</v>
      </c>
      <c r="CL299" s="37">
        <v>3.5217957553602855E-3</v>
      </c>
      <c r="CM299" s="37">
        <v>4.567582052094509E-3</v>
      </c>
      <c r="CN299" s="37">
        <v>1.7431124988229723E-3</v>
      </c>
      <c r="CO299" s="37">
        <v>2.6471453015088106E-3</v>
      </c>
      <c r="CP299" s="37">
        <v>2.2322914264900481E-3</v>
      </c>
      <c r="CQ299" s="37">
        <v>2.8344940018317044E-3</v>
      </c>
      <c r="CR299" s="37">
        <v>4.2514364916823523E-4</v>
      </c>
      <c r="CS299" s="37">
        <v>-4.907104851346795E-3</v>
      </c>
      <c r="CT299" s="37">
        <v>-6.0123941225752545E-3</v>
      </c>
      <c r="CU299" s="37">
        <v>1.7711023355407039E-4</v>
      </c>
      <c r="CV299" s="36">
        <v>7.2785957629708615E-3</v>
      </c>
      <c r="CW299" s="35">
        <v>5.1935944911305305E-3</v>
      </c>
      <c r="CX299" s="35">
        <v>5.7999999999999996E-3</v>
      </c>
      <c r="CY299" s="35">
        <v>5.7999999999999996E-3</v>
      </c>
      <c r="CZ299" s="35">
        <v>5.7999999999999996E-3</v>
      </c>
      <c r="DA299" s="35">
        <v>5.7999999999999996E-3</v>
      </c>
      <c r="DB299" s="35">
        <v>5.7999999999999996E-3</v>
      </c>
      <c r="DC299" s="35">
        <v>5.7999999999999996E-3</v>
      </c>
      <c r="DD299" s="35">
        <v>5.7999999999999996E-3</v>
      </c>
      <c r="DE299" s="35">
        <v>5.8000000000000005E-3</v>
      </c>
      <c r="DF299" s="35">
        <v>5.8000000000000005E-3</v>
      </c>
    </row>
    <row r="300" spans="1:110" ht="12" outlineLevel="1">
      <c r="A300" s="1" t="s">
        <v>38</v>
      </c>
      <c r="B300" s="15" t="s">
        <v>473</v>
      </c>
      <c r="C300" s="388">
        <v>4.8563833333333327E-2</v>
      </c>
      <c r="D300" s="388">
        <v>4.3449999999999996E-2</v>
      </c>
      <c r="E300" s="388">
        <v>4.9258500000000004E-2</v>
      </c>
      <c r="F300" s="388">
        <v>4.8122166666666667E-2</v>
      </c>
      <c r="G300" s="388">
        <v>4.7991666666666676E-2</v>
      </c>
      <c r="H300" s="388">
        <v>5.4583333333333331E-2</v>
      </c>
      <c r="I300" s="388">
        <v>5.4836000000000003E-2</v>
      </c>
      <c r="J300" s="388">
        <v>5.5772166666666657E-2</v>
      </c>
      <c r="K300" s="388">
        <v>5.662233333333333E-2</v>
      </c>
      <c r="L300" s="388">
        <v>4.9532838349609226E-4</v>
      </c>
      <c r="M300" s="73">
        <v>2.1078960742422909E-3</v>
      </c>
      <c r="N300" s="73">
        <v>2.1922510342626267E-3</v>
      </c>
      <c r="O300" s="73">
        <v>2.1246039808771877E-3</v>
      </c>
      <c r="P300" s="73">
        <v>4.2369006603333592E-3</v>
      </c>
      <c r="Q300" s="73">
        <v>2.7937357758847647E-4</v>
      </c>
      <c r="R300" s="73">
        <v>-1.6655873073909623E-2</v>
      </c>
      <c r="S300" s="73">
        <v>-7.278709698249182E-3</v>
      </c>
      <c r="T300" s="38">
        <v>-3.884798720892646E-3</v>
      </c>
      <c r="U300" s="38">
        <v>-4.5810050003653249E-3</v>
      </c>
      <c r="V300" s="38">
        <v>-5.6723496183734151E-3</v>
      </c>
      <c r="W300" s="38">
        <v>-6.3941326535607163E-3</v>
      </c>
      <c r="X300" s="38">
        <v>-8.2257430092783426E-3</v>
      </c>
      <c r="Y300" s="73">
        <v>-1.1608417852548437E-2</v>
      </c>
      <c r="Z300" s="144">
        <v>-1.0770190487866951E-2</v>
      </c>
      <c r="AA300" s="144">
        <v>-9.0336747648833184E-3</v>
      </c>
      <c r="AB300" s="144">
        <v>-7.0957823400204859E-3</v>
      </c>
      <c r="AC300" s="144">
        <v>-5.5135234364394881E-3</v>
      </c>
      <c r="AD300" s="330">
        <v>-5.3736166495961593E-3</v>
      </c>
      <c r="AE300" s="330">
        <v>-6.6164903499321241E-3</v>
      </c>
      <c r="AF300" s="330">
        <v>-5.0813470087096996E-3</v>
      </c>
      <c r="AG300" s="330">
        <v>-7.4915404771712588E-3</v>
      </c>
      <c r="AH300" s="330">
        <v>-9.006033065666174E-3</v>
      </c>
      <c r="AI300" s="330">
        <v>-1.1001705337424256E-2</v>
      </c>
      <c r="AJ300" s="330">
        <v>-1.067413308840268E-2</v>
      </c>
      <c r="AK300" s="330">
        <v>-1.0658054968663233E-2</v>
      </c>
      <c r="AL300" s="330">
        <v>-1.2500025074484278E-2</v>
      </c>
      <c r="AM300" s="330">
        <v>-1.7835012644520375E-2</v>
      </c>
      <c r="AN300" s="330">
        <v>-1.7378698508944797E-2</v>
      </c>
      <c r="AO300" s="330">
        <v>-1.6766839808129888E-2</v>
      </c>
      <c r="AP300" s="330">
        <v>-1.2515600104599954E-2</v>
      </c>
      <c r="AQ300" s="330">
        <v>-1.0523112069121317E-2</v>
      </c>
      <c r="AR300" s="330">
        <v>-1.0513424273374291E-2</v>
      </c>
      <c r="AS300" s="330">
        <v>-4.6346997046431424E-3</v>
      </c>
      <c r="AT300" s="330">
        <v>-8.9838849066018432E-3</v>
      </c>
      <c r="AU300" s="330">
        <v>-1.1732597754047187E-2</v>
      </c>
      <c r="AV300" s="439">
        <v>-1.3184947144023188E-2</v>
      </c>
      <c r="AW300" s="35">
        <v>-1.3584947144023187E-2</v>
      </c>
      <c r="AX300" s="35">
        <v>-1.3584947144023187E-2</v>
      </c>
      <c r="AY300" s="35">
        <v>-1.2584947144023188E-2</v>
      </c>
      <c r="AZ300" s="35">
        <v>-1.2084947144023188E-2</v>
      </c>
      <c r="BA300" s="35">
        <v>-1.2084947144023188E-2</v>
      </c>
      <c r="BB300" s="35">
        <v>-1.2334947144023188E-2</v>
      </c>
      <c r="BC300" s="35">
        <v>-1.2584947144023188E-2</v>
      </c>
      <c r="BD300" s="35">
        <v>-1.2584947144023188E-2</v>
      </c>
      <c r="BE300" s="35">
        <v>-1.2584947144023188E-2</v>
      </c>
      <c r="BF300" s="35">
        <v>-1.2584947144023188E-2</v>
      </c>
      <c r="BG300" s="35">
        <v>-1.2584947144023188E-2</v>
      </c>
      <c r="BH300" s="35">
        <v>-1.2584947144023188E-2</v>
      </c>
      <c r="BI300" s="35">
        <v>-1.2584947144023188E-2</v>
      </c>
      <c r="BJ300" s="35">
        <v>-1.2584947144023188E-2</v>
      </c>
      <c r="BK300" s="35">
        <v>-1.2584947144023188E-2</v>
      </c>
      <c r="BL300" s="35">
        <v>-1.2584947144023188E-2</v>
      </c>
      <c r="BM300" s="35">
        <v>-1.2584947144023188E-2</v>
      </c>
      <c r="BN300" s="35">
        <v>-1.2584947144023188E-2</v>
      </c>
      <c r="BO300" s="35">
        <v>-1.2584947144023188E-2</v>
      </c>
      <c r="BP300" s="35"/>
      <c r="BQ300" s="345"/>
      <c r="BR300" s="345"/>
      <c r="BS300" s="345"/>
      <c r="BT300" s="345"/>
      <c r="BU300" s="345"/>
      <c r="BV300" s="345"/>
      <c r="BW300" s="345"/>
      <c r="BX300" s="345"/>
      <c r="BY300" s="345"/>
      <c r="BZ300" s="345"/>
      <c r="CA300" s="35">
        <v>4.6561522475848258E-2</v>
      </c>
      <c r="CB300" s="35">
        <v>4.8063648247345069E-2</v>
      </c>
      <c r="CC300" s="35">
        <v>5.4717189848516784E-2</v>
      </c>
      <c r="CD300" s="35">
        <v>5.621211308048131E-2</v>
      </c>
      <c r="CE300" s="35">
        <v>1.333496820164643E-3</v>
      </c>
      <c r="CF300" s="35">
        <v>2.1566555924818816E-3</v>
      </c>
      <c r="CG300" s="35">
        <v>2.1238680415031686E-3</v>
      </c>
      <c r="CH300" s="35">
        <v>-1.1952531655034539E-2</v>
      </c>
      <c r="CI300" s="35">
        <v>-4.2475214504031434E-3</v>
      </c>
      <c r="CJ300" s="35">
        <v>-6.0423820370905336E-3</v>
      </c>
      <c r="CK300" s="37">
        <v>-9.9729278327168359E-3</v>
      </c>
      <c r="CL300" s="37">
        <v>-9.8941015674140261E-3</v>
      </c>
      <c r="CM300" s="37">
        <v>-6.310077273125725E-3</v>
      </c>
      <c r="CN300" s="37">
        <v>-5.9833847347089165E-3</v>
      </c>
      <c r="CO300" s="37">
        <v>-6.2881646065850189E-3</v>
      </c>
      <c r="CP300" s="37">
        <v>-9.9893523283085348E-3</v>
      </c>
      <c r="CQ300" s="37">
        <v>-1.0666220809011853E-2</v>
      </c>
      <c r="CR300" s="37">
        <v>-1.5158137163095477E-2</v>
      </c>
      <c r="CS300" s="37">
        <v>-1.708644458053013E-2</v>
      </c>
      <c r="CT300" s="37">
        <v>-1.1515768823820832E-2</v>
      </c>
      <c r="CU300" s="37">
        <v>-7.5592505882730188E-3</v>
      </c>
      <c r="CV300" s="36">
        <v>-1.0453860589811244E-2</v>
      </c>
      <c r="CW300" s="35">
        <v>-1.3391255573007077E-2</v>
      </c>
      <c r="CX300" s="35">
        <v>-1.3077807126224812E-2</v>
      </c>
      <c r="CY300" s="35">
        <v>-1.2084947144023188E-2</v>
      </c>
      <c r="CZ300" s="35">
        <v>-1.2461489776178261E-2</v>
      </c>
      <c r="DA300" s="35">
        <v>-1.2584947144023187E-2</v>
      </c>
      <c r="DB300" s="35">
        <v>-1.258494714402319E-2</v>
      </c>
      <c r="DC300" s="35">
        <v>-1.2584947144023188E-2</v>
      </c>
      <c r="DD300" s="35">
        <v>-1.2584947144023188E-2</v>
      </c>
      <c r="DE300" s="35">
        <v>-1.2584947144023187E-2</v>
      </c>
      <c r="DF300" s="35">
        <v>-1.2584947144023188E-2</v>
      </c>
    </row>
    <row r="301" spans="1:110" s="17" customFormat="1" ht="12" outlineLevel="1">
      <c r="A301" s="1" t="s">
        <v>39</v>
      </c>
      <c r="B301" s="17" t="s">
        <v>168</v>
      </c>
      <c r="C301" s="387">
        <v>4.8563833333333327E-2</v>
      </c>
      <c r="D301" s="387">
        <v>4.3449999999999996E-2</v>
      </c>
      <c r="E301" s="387">
        <v>4.9258500000000004E-2</v>
      </c>
      <c r="F301" s="387">
        <v>4.8122166666666667E-2</v>
      </c>
      <c r="G301" s="387">
        <v>4.7991666666666682E-2</v>
      </c>
      <c r="H301" s="387">
        <v>5.4583333333333331E-2</v>
      </c>
      <c r="I301" s="387">
        <v>5.4836000000000003E-2</v>
      </c>
      <c r="J301" s="387">
        <v>5.5772166666666657E-2</v>
      </c>
      <c r="K301" s="387">
        <v>5.662233333333333E-2</v>
      </c>
      <c r="L301" s="387">
        <v>1.1454115484838075E-2</v>
      </c>
      <c r="M301" s="70">
        <v>1.283748301051698E-2</v>
      </c>
      <c r="N301" s="70">
        <v>1.2948457923091199E-2</v>
      </c>
      <c r="O301" s="70">
        <v>1.297055682672724E-2</v>
      </c>
      <c r="P301" s="70">
        <v>1.4986469044690599E-2</v>
      </c>
      <c r="Q301" s="70">
        <v>1.1926671162913309E-2</v>
      </c>
      <c r="R301" s="70">
        <v>-4.3261335707123786E-3</v>
      </c>
      <c r="S301" s="70">
        <v>2.9221752669536505E-4</v>
      </c>
      <c r="T301" s="70">
        <v>3.7013951071642138E-3</v>
      </c>
      <c r="U301" s="70">
        <v>3.5017002193837351E-3</v>
      </c>
      <c r="V301" s="70">
        <v>1.8444837368643905E-3</v>
      </c>
      <c r="W301" s="70">
        <v>7.1293722245321467E-4</v>
      </c>
      <c r="X301" s="70">
        <v>-1.1664975855669038E-3</v>
      </c>
      <c r="Y301" s="232">
        <v>-5.2783622503746481E-3</v>
      </c>
      <c r="Z301" s="232">
        <v>-5.1789551840826231E-3</v>
      </c>
      <c r="AA301" s="232">
        <v>-2.3545902221638634E-3</v>
      </c>
      <c r="AB301" s="232">
        <v>-1.3846594492734462E-3</v>
      </c>
      <c r="AC301" s="232">
        <v>-3.8635357672513665E-4</v>
      </c>
      <c r="AD301" s="340">
        <v>-1.0422012475427469E-3</v>
      </c>
      <c r="AE301" s="340">
        <v>-2.228141131317678E-3</v>
      </c>
      <c r="AF301" s="340">
        <v>-2.3262151542862894E-4</v>
      </c>
      <c r="AG301" s="340">
        <v>-1.8334307751642622E-3</v>
      </c>
      <c r="AH301" s="340">
        <v>-2.3445976449889979E-3</v>
      </c>
      <c r="AI301" s="340">
        <v>-2.6370866820503054E-3</v>
      </c>
      <c r="AJ301" s="340">
        <v>-2.9040377626180607E-3</v>
      </c>
      <c r="AK301" s="340">
        <v>-1.6365416891778509E-3</v>
      </c>
      <c r="AL301" s="340">
        <v>-2.761958357595874E-3</v>
      </c>
      <c r="AM301" s="340">
        <v>-7.6579866612264975E-3</v>
      </c>
      <c r="AN301" s="340">
        <v>-7.7089780620307876E-3</v>
      </c>
      <c r="AO301" s="340">
        <v>-9.2156136549710645E-3</v>
      </c>
      <c r="AP301" s="340">
        <v>-7.9374575945159089E-3</v>
      </c>
      <c r="AQ301" s="340">
        <v>-7.0142665678997922E-3</v>
      </c>
      <c r="AR301" s="340">
        <v>-6.5405512484238912E-3</v>
      </c>
      <c r="AS301" s="340">
        <v>3.2234055688251553E-3</v>
      </c>
      <c r="AT301" s="340">
        <v>3.3389252684354097E-3</v>
      </c>
      <c r="AU301" s="340">
        <v>1.4283217074076194E-3</v>
      </c>
      <c r="AV301" s="509">
        <v>-7.2546029329024185E-4</v>
      </c>
      <c r="AW301" s="70">
        <v>-4.1264968176702539E-4</v>
      </c>
      <c r="AX301" s="70">
        <v>-2.0559177330882009E-4</v>
      </c>
      <c r="AY301" s="70">
        <v>1.042151984971608E-4</v>
      </c>
      <c r="AZ301" s="70">
        <v>2.5911868440015148E-4</v>
      </c>
      <c r="BA301" s="70">
        <v>2.5911868440015116E-4</v>
      </c>
      <c r="BB301" s="70">
        <v>1.816669414486561E-4</v>
      </c>
      <c r="BC301" s="70">
        <v>1.0421519849716044E-4</v>
      </c>
      <c r="BD301" s="70">
        <v>1.0421519849716095E-4</v>
      </c>
      <c r="BE301" s="70">
        <v>1.0421519849716054E-4</v>
      </c>
      <c r="BF301" s="70">
        <v>1.0421519849715993E-4</v>
      </c>
      <c r="BG301" s="70">
        <v>1.0421519849716139E-4</v>
      </c>
      <c r="BH301" s="70">
        <v>1.0421519849716046E-4</v>
      </c>
      <c r="BI301" s="70">
        <v>1.0421519849716152E-4</v>
      </c>
      <c r="BJ301" s="70">
        <v>1.0421519849716115E-4</v>
      </c>
      <c r="BK301" s="70">
        <v>1.0421519849716108E-4</v>
      </c>
      <c r="BL301" s="70">
        <v>1.04215198497161E-4</v>
      </c>
      <c r="BM301" s="70">
        <v>1.0421519849716012E-4</v>
      </c>
      <c r="BN301" s="70">
        <v>1.0421519849716112E-4</v>
      </c>
      <c r="BO301" s="70">
        <v>1.0421519849716049E-4</v>
      </c>
      <c r="BP301" s="70"/>
      <c r="BQ301" s="386">
        <v>-1.2095256532302506E-3</v>
      </c>
      <c r="BR301" s="386">
        <v>1.9216494485550795E-3</v>
      </c>
      <c r="BS301" s="386">
        <v>8.4907039151153607E-3</v>
      </c>
      <c r="BT301" s="386">
        <v>2.3346255155605553E-2</v>
      </c>
      <c r="BU301" s="386">
        <v>1.7034742871622537E-2</v>
      </c>
      <c r="BV301" s="386">
        <v>1.6779169242405655E-2</v>
      </c>
      <c r="BW301" s="386">
        <v>1.3753139288690687E-2</v>
      </c>
      <c r="BX301" s="386">
        <v>1.2900953901629146E-2</v>
      </c>
      <c r="BY301" s="386">
        <v>1.5576580429822823E-2</v>
      </c>
      <c r="BZ301" s="386">
        <v>1.2392874010566525E-2</v>
      </c>
      <c r="CA301" s="70">
        <v>4.6479514710354775E-2</v>
      </c>
      <c r="CB301" s="70">
        <v>4.8060370818158324E-2</v>
      </c>
      <c r="CC301" s="70">
        <v>5.4713603814829863E-2</v>
      </c>
      <c r="CD301" s="70">
        <v>5.621811848280113E-2</v>
      </c>
      <c r="CE301" s="70">
        <v>1.2171396625565213E-2</v>
      </c>
      <c r="CF301" s="70">
        <v>1.3020148471401358E-2</v>
      </c>
      <c r="CG301" s="70">
        <v>1.3402447776553524E-2</v>
      </c>
      <c r="CH301" s="70">
        <v>-1.9714622711718313E-3</v>
      </c>
      <c r="CI301" s="70">
        <v>3.5997011150501073E-3</v>
      </c>
      <c r="CJ301" s="70">
        <v>1.2625775665941166E-3</v>
      </c>
      <c r="CK301" s="232">
        <v>-3.2682018835243228E-3</v>
      </c>
      <c r="CL301" s="232">
        <v>-3.7420717835069768E-3</v>
      </c>
      <c r="CM301" s="232">
        <v>-8.7847633762476549E-4</v>
      </c>
      <c r="CN301" s="232">
        <v>-1.6411159776083522E-3</v>
      </c>
      <c r="CO301" s="232">
        <v>-1.0391748124139288E-3</v>
      </c>
      <c r="CP301" s="232">
        <v>-2.4946434519190516E-3</v>
      </c>
      <c r="CQ301" s="232">
        <v>-2.2728961749934476E-3</v>
      </c>
      <c r="CR301" s="232">
        <v>-5.2633553469428954E-3</v>
      </c>
      <c r="CS301" s="232">
        <v>-8.4921892763553473E-3</v>
      </c>
      <c r="CT301" s="232">
        <v>-7.4709521873816869E-3</v>
      </c>
      <c r="CU301" s="232">
        <v>-1.5880491528137983E-3</v>
      </c>
      <c r="CV301" s="72">
        <v>2.371019486348607E-3</v>
      </c>
      <c r="CW301" s="70">
        <v>-5.6412162870813016E-4</v>
      </c>
      <c r="CX301" s="70">
        <v>-4.8476260113074473E-5</v>
      </c>
      <c r="CY301" s="70">
        <v>2.5911868440015137E-4</v>
      </c>
      <c r="CZ301" s="70">
        <v>1.4246315177633451E-4</v>
      </c>
      <c r="DA301" s="70">
        <v>1.0421519849716076E-4</v>
      </c>
      <c r="DB301" s="70">
        <v>1.0421519849716065E-4</v>
      </c>
      <c r="DC301" s="70">
        <v>1.04215198497161E-4</v>
      </c>
      <c r="DD301" s="70">
        <v>1.0421519849716111E-4</v>
      </c>
      <c r="DE301" s="70">
        <v>1.0421519849716058E-4</v>
      </c>
      <c r="DF301" s="70">
        <v>1.0421519849716081E-4</v>
      </c>
    </row>
    <row r="302" spans="1:110" ht="12" outlineLevel="1">
      <c r="C302" s="345"/>
      <c r="D302" s="345"/>
      <c r="E302" s="345"/>
      <c r="F302" s="345"/>
      <c r="G302" s="345"/>
      <c r="H302" s="345"/>
      <c r="I302" s="345"/>
      <c r="J302" s="345"/>
      <c r="K302" s="345"/>
      <c r="L302" s="345"/>
      <c r="M302" s="35"/>
      <c r="N302" s="35"/>
      <c r="O302" s="35"/>
      <c r="P302" s="35"/>
      <c r="Q302" s="35"/>
      <c r="R302" s="35"/>
      <c r="S302" s="35"/>
      <c r="T302" s="35"/>
      <c r="U302" s="35"/>
      <c r="V302" s="35"/>
      <c r="W302" s="35"/>
      <c r="X302" s="35"/>
      <c r="Y302" s="37"/>
      <c r="Z302" s="37"/>
      <c r="AA302" s="37"/>
      <c r="AB302" s="37"/>
      <c r="AC302" s="37"/>
      <c r="AD302" s="228"/>
      <c r="AE302" s="228"/>
      <c r="AF302" s="228"/>
      <c r="AG302" s="228"/>
      <c r="AH302" s="228"/>
      <c r="AI302" s="228"/>
      <c r="AJ302" s="228"/>
      <c r="AK302" s="228"/>
      <c r="AL302" s="228"/>
      <c r="AM302" s="228"/>
      <c r="AN302" s="228"/>
      <c r="AO302" s="228"/>
      <c r="AP302" s="228"/>
      <c r="AQ302" s="228"/>
      <c r="AR302" s="228"/>
      <c r="AS302" s="228"/>
      <c r="AT302" s="228"/>
      <c r="AU302" s="228"/>
      <c r="AV302" s="39"/>
      <c r="AW302" s="35"/>
      <c r="AX302" s="35"/>
      <c r="AY302" s="35"/>
      <c r="AZ302" s="35"/>
      <c r="BA302" s="35"/>
      <c r="BB302" s="35"/>
      <c r="BC302" s="35"/>
      <c r="BD302" s="35"/>
      <c r="BE302" s="35"/>
      <c r="BF302" s="35"/>
      <c r="BG302" s="35"/>
      <c r="BH302" s="35"/>
      <c r="BI302" s="35"/>
      <c r="BJ302" s="35"/>
      <c r="BK302" s="35"/>
      <c r="BL302" s="35"/>
      <c r="BM302" s="35"/>
      <c r="BN302" s="35"/>
      <c r="BO302" s="35"/>
      <c r="BP302" s="35"/>
      <c r="BQ302" s="345"/>
      <c r="BR302" s="345"/>
      <c r="BS302" s="345"/>
      <c r="BT302" s="345"/>
      <c r="BU302" s="345"/>
      <c r="BV302" s="345"/>
      <c r="BW302" s="345"/>
      <c r="BX302" s="345"/>
      <c r="BY302" s="345"/>
      <c r="BZ302" s="345"/>
      <c r="CA302" s="35"/>
      <c r="CB302" s="35"/>
      <c r="CC302" s="35"/>
      <c r="CD302" s="35"/>
      <c r="CE302" s="35"/>
      <c r="CF302" s="35"/>
      <c r="CG302" s="35"/>
      <c r="CH302" s="35"/>
      <c r="CI302" s="35"/>
      <c r="CJ302" s="35"/>
      <c r="CK302" s="37"/>
      <c r="CL302" s="37"/>
      <c r="CM302" s="37"/>
      <c r="CN302" s="37"/>
      <c r="CO302" s="37"/>
      <c r="CP302" s="37"/>
      <c r="CQ302" s="37"/>
      <c r="CR302" s="37"/>
      <c r="CS302" s="37"/>
      <c r="CT302" s="37"/>
      <c r="CU302" s="37"/>
      <c r="CV302" s="36"/>
      <c r="CW302" s="35"/>
      <c r="CX302" s="35"/>
      <c r="CY302" s="35"/>
      <c r="CZ302" s="35"/>
      <c r="DA302" s="35"/>
      <c r="DB302" s="35"/>
      <c r="DC302" s="35"/>
      <c r="DD302" s="35"/>
      <c r="DE302" s="35"/>
      <c r="DF302" s="35"/>
    </row>
    <row r="303" spans="1:110" s="17" customFormat="1" ht="12" outlineLevel="1">
      <c r="A303" s="15"/>
      <c r="B303" s="17" t="s">
        <v>594</v>
      </c>
      <c r="C303" s="387"/>
      <c r="D303" s="387"/>
      <c r="E303" s="387"/>
      <c r="F303" s="387"/>
      <c r="G303" s="387"/>
      <c r="H303" s="387"/>
      <c r="I303" s="387"/>
      <c r="J303" s="387"/>
      <c r="K303" s="387"/>
      <c r="L303" s="387"/>
      <c r="M303" s="70"/>
      <c r="N303" s="70"/>
      <c r="O303" s="70"/>
      <c r="P303" s="70"/>
      <c r="Q303" s="70"/>
      <c r="R303" s="70"/>
      <c r="S303" s="70"/>
      <c r="T303" s="70"/>
      <c r="U303" s="70"/>
      <c r="V303" s="70"/>
      <c r="W303" s="70"/>
      <c r="X303" s="70"/>
      <c r="Y303" s="232"/>
      <c r="Z303" s="232"/>
      <c r="AA303" s="232"/>
      <c r="AB303" s="232"/>
      <c r="AC303" s="232"/>
      <c r="AD303" s="340"/>
      <c r="AE303" s="340"/>
      <c r="AF303" s="340"/>
      <c r="AG303" s="340"/>
      <c r="AH303" s="340"/>
      <c r="AI303" s="340"/>
      <c r="AJ303" s="340"/>
      <c r="AK303" s="340"/>
      <c r="AL303" s="340"/>
      <c r="AM303" s="340"/>
      <c r="AN303" s="340"/>
      <c r="AO303" s="340"/>
      <c r="AP303" s="340"/>
      <c r="AQ303" s="340"/>
      <c r="AR303" s="340"/>
      <c r="AS303" s="340"/>
      <c r="AT303" s="340"/>
      <c r="AU303" s="340"/>
      <c r="AV303" s="509"/>
      <c r="AW303" s="70"/>
      <c r="AX303" s="70"/>
      <c r="AY303" s="70"/>
      <c r="AZ303" s="70"/>
      <c r="BA303" s="70"/>
      <c r="BB303" s="70"/>
      <c r="BC303" s="70"/>
      <c r="BD303" s="70"/>
      <c r="BE303" s="70"/>
      <c r="BF303" s="70"/>
      <c r="BG303" s="70"/>
      <c r="BH303" s="70"/>
      <c r="BI303" s="70"/>
      <c r="BJ303" s="70"/>
      <c r="BK303" s="70"/>
      <c r="BL303" s="70"/>
      <c r="BM303" s="70"/>
      <c r="BN303" s="70"/>
      <c r="BO303" s="70"/>
      <c r="BP303" s="70"/>
      <c r="BQ303" s="387"/>
      <c r="BR303" s="387"/>
      <c r="BS303" s="387"/>
      <c r="BT303" s="387"/>
      <c r="BU303" s="387"/>
      <c r="BV303" s="387"/>
      <c r="BW303" s="387"/>
      <c r="BX303" s="387"/>
      <c r="BY303" s="387"/>
      <c r="BZ303" s="387"/>
      <c r="CA303" s="70"/>
      <c r="CB303" s="70"/>
      <c r="CC303" s="70"/>
      <c r="CD303" s="70"/>
      <c r="CE303" s="70"/>
      <c r="CF303" s="70"/>
      <c r="CG303" s="70"/>
      <c r="CH303" s="70"/>
      <c r="CI303" s="70"/>
      <c r="CJ303" s="70"/>
      <c r="CK303" s="232"/>
      <c r="CL303" s="232"/>
      <c r="CM303" s="232"/>
      <c r="CN303" s="232"/>
      <c r="CO303" s="232"/>
      <c r="CP303" s="232"/>
      <c r="CQ303" s="232"/>
      <c r="CR303" s="232"/>
      <c r="CS303" s="232"/>
      <c r="CT303" s="232"/>
      <c r="CU303" s="232"/>
      <c r="CV303" s="72"/>
      <c r="CW303" s="70"/>
      <c r="CX303" s="70"/>
      <c r="CY303" s="70"/>
      <c r="CZ303" s="70"/>
      <c r="DA303" s="70"/>
      <c r="DB303" s="70"/>
      <c r="DC303" s="70"/>
      <c r="DD303" s="70"/>
      <c r="DE303" s="70"/>
      <c r="DF303" s="70"/>
    </row>
    <row r="304" spans="1:110" ht="12" outlineLevel="1">
      <c r="A304" s="1" t="s">
        <v>78</v>
      </c>
      <c r="B304" s="15" t="s">
        <v>592</v>
      </c>
      <c r="C304" s="388">
        <v>4.8563833333333327E-2</v>
      </c>
      <c r="D304" s="388">
        <v>4.3449999999999996E-2</v>
      </c>
      <c r="E304" s="388">
        <v>4.9258500000000004E-2</v>
      </c>
      <c r="F304" s="388">
        <v>4.8122166666666667E-2</v>
      </c>
      <c r="G304" s="388">
        <v>4.7991666666666676E-2</v>
      </c>
      <c r="H304" s="388">
        <v>5.4583333333333331E-2</v>
      </c>
      <c r="I304" s="388">
        <v>5.4836000000000003E-2</v>
      </c>
      <c r="J304" s="388">
        <v>5.5772166666666657E-2</v>
      </c>
      <c r="K304" s="388">
        <v>5.662233333333333E-2</v>
      </c>
      <c r="L304" s="388">
        <v>1.542100972197015E-2</v>
      </c>
      <c r="M304" s="73">
        <v>1.6163116500987444E-2</v>
      </c>
      <c r="N304" s="73">
        <v>1.7557578754578737E-2</v>
      </c>
      <c r="O304" s="73">
        <v>1.5216206113144053E-2</v>
      </c>
      <c r="P304" s="73">
        <v>2.0245900438338335E-2</v>
      </c>
      <c r="Q304" s="73">
        <v>2.2587253448857841E-2</v>
      </c>
      <c r="R304" s="73">
        <v>4.9959623673750814E-3</v>
      </c>
      <c r="S304" s="73">
        <v>1.1561965557474931E-2</v>
      </c>
      <c r="T304" s="38">
        <v>2.268106326882487E-2</v>
      </c>
      <c r="U304" s="38">
        <v>2.6698134713639226E-2</v>
      </c>
      <c r="V304" s="38">
        <v>2.6148930904905481E-2</v>
      </c>
      <c r="W304" s="38">
        <v>2.8461891253958285E-2</v>
      </c>
      <c r="X304" s="38">
        <v>2.3424798727508852E-2</v>
      </c>
      <c r="Y304" s="73">
        <v>1.3579324333553376E-2</v>
      </c>
      <c r="Z304" s="144">
        <v>7.730535615050986E-3</v>
      </c>
      <c r="AA304" s="144">
        <v>5.3418490146653341E-3</v>
      </c>
      <c r="AB304" s="144">
        <v>4.3184190573598881E-3</v>
      </c>
      <c r="AC304" s="144">
        <v>1.2002053736497008E-3</v>
      </c>
      <c r="AD304" s="330">
        <v>-8.3357152715142924E-4</v>
      </c>
      <c r="AE304" s="330">
        <v>-2.3237252476111152E-3</v>
      </c>
      <c r="AF304" s="330">
        <v>-1.3666426973547256E-4</v>
      </c>
      <c r="AG304" s="330">
        <v>-1.2475441816786796E-3</v>
      </c>
      <c r="AH304" s="330">
        <v>-1.1963111227678994E-3</v>
      </c>
      <c r="AI304" s="330">
        <v>-1.0391228480616131E-3</v>
      </c>
      <c r="AJ304" s="330">
        <v>-1.4329166679202541E-3</v>
      </c>
      <c r="AK304" s="330">
        <v>4.045152370373466E-4</v>
      </c>
      <c r="AL304" s="330">
        <v>-2.778083062873948E-4</v>
      </c>
      <c r="AM304" s="330">
        <v>-5.3783350176136785E-3</v>
      </c>
      <c r="AN304" s="330">
        <v>-6.4998074823232254E-3</v>
      </c>
      <c r="AO304" s="330">
        <v>-9.7620295431641874E-3</v>
      </c>
      <c r="AP304" s="330">
        <v>-9.6165234256086543E-3</v>
      </c>
      <c r="AQ304" s="330">
        <v>-9.1068905799865443E-3</v>
      </c>
      <c r="AR304" s="330">
        <v>-8.6975136316349705E-3</v>
      </c>
      <c r="AS304" s="330">
        <v>2.1725691427780724E-3</v>
      </c>
      <c r="AT304" s="330">
        <v>4.343887217013457E-3</v>
      </c>
      <c r="AU304" s="330">
        <v>3.5144410891694081E-3</v>
      </c>
      <c r="AV304" s="439">
        <v>1.5212741236871261E-3</v>
      </c>
      <c r="AW304" s="35"/>
      <c r="AX304" s="35"/>
      <c r="AY304" s="35"/>
      <c r="AZ304" s="35"/>
      <c r="BA304" s="35"/>
      <c r="BB304" s="35"/>
      <c r="BC304" s="35"/>
      <c r="BD304" s="35"/>
      <c r="BE304" s="35"/>
      <c r="BF304" s="35"/>
      <c r="BG304" s="35"/>
      <c r="BH304" s="35"/>
      <c r="BI304" s="35"/>
      <c r="BJ304" s="35"/>
      <c r="BK304" s="35"/>
      <c r="BL304" s="35"/>
      <c r="BM304" s="35"/>
      <c r="BN304" s="35"/>
      <c r="BO304" s="35"/>
      <c r="BP304" s="35"/>
      <c r="BQ304" s="345"/>
      <c r="BR304" s="345"/>
      <c r="BS304" s="345"/>
      <c r="BT304" s="345"/>
      <c r="BU304" s="345"/>
      <c r="BV304" s="345"/>
      <c r="BW304" s="345"/>
      <c r="BX304" s="345"/>
      <c r="BY304" s="345"/>
      <c r="BZ304" s="345"/>
      <c r="CA304" s="35">
        <v>4.6419057398671887E-2</v>
      </c>
      <c r="CB304" s="35">
        <v>4.8058612284984613E-2</v>
      </c>
      <c r="CC304" s="35">
        <v>5.4726063120567374E-2</v>
      </c>
      <c r="CD304" s="35">
        <v>5.6216589166489826E-2</v>
      </c>
      <c r="CE304" s="35">
        <v>1.5543948364181482E-2</v>
      </c>
      <c r="CF304" s="35">
        <v>1.6363109498536733E-2</v>
      </c>
      <c r="CG304" s="35">
        <v>2.1370948206243343E-2</v>
      </c>
      <c r="CH304" s="35">
        <v>8.2134263118918034E-3</v>
      </c>
      <c r="CI304" s="35">
        <v>2.4654788716675369E-2</v>
      </c>
      <c r="CJ304" s="35">
        <v>2.7354118545601994E-2</v>
      </c>
      <c r="CK304" s="37">
        <v>1.8308820783259811E-2</v>
      </c>
      <c r="CL304" s="37">
        <v>6.457252565193165E-3</v>
      </c>
      <c r="CM304" s="37">
        <v>2.7066765827552042E-3</v>
      </c>
      <c r="CN304" s="37">
        <v>-1.6144940862761891E-3</v>
      </c>
      <c r="CO304" s="37">
        <v>-7.0361922218373533E-4</v>
      </c>
      <c r="CP304" s="37">
        <v>-1.1144289732576208E-3</v>
      </c>
      <c r="CQ304" s="37">
        <v>-4.8440117903173261E-4</v>
      </c>
      <c r="CR304" s="37">
        <v>-2.9147840925531996E-3</v>
      </c>
      <c r="CS304" s="37">
        <v>-8.2662413616462552E-3</v>
      </c>
      <c r="CT304" s="37">
        <v>-9.3543428063183279E-3</v>
      </c>
      <c r="CU304" s="37">
        <v>-3.3568154194509297E-3</v>
      </c>
      <c r="CV304" s="36">
        <v>3.9280605174354883E-3</v>
      </c>
      <c r="CW304" s="35">
        <v>7.5660774990197425E-4</v>
      </c>
      <c r="CX304" s="35">
        <v>0</v>
      </c>
      <c r="CY304" s="35">
        <v>0</v>
      </c>
      <c r="CZ304" s="35">
        <v>0</v>
      </c>
      <c r="DA304" s="35">
        <v>0</v>
      </c>
      <c r="DB304" s="35">
        <v>0</v>
      </c>
      <c r="DC304" s="35">
        <v>0</v>
      </c>
      <c r="DD304" s="35">
        <v>0</v>
      </c>
      <c r="DE304" s="35">
        <v>0</v>
      </c>
      <c r="DF304" s="35">
        <v>0</v>
      </c>
    </row>
    <row r="305" spans="1:110" ht="12" outlineLevel="1">
      <c r="A305" s="1" t="s">
        <v>79</v>
      </c>
      <c r="B305" s="15" t="s">
        <v>473</v>
      </c>
      <c r="C305" s="388">
        <v>4.8563833333333327E-2</v>
      </c>
      <c r="D305" s="388">
        <v>4.3449999999999996E-2</v>
      </c>
      <c r="E305" s="388">
        <v>4.9258500000000004E-2</v>
      </c>
      <c r="F305" s="388">
        <v>4.8122166666666667E-2</v>
      </c>
      <c r="G305" s="388">
        <v>4.7991666666666676E-2</v>
      </c>
      <c r="H305" s="388">
        <v>5.4583333333333331E-2</v>
      </c>
      <c r="I305" s="388">
        <v>5.4836000000000003E-2</v>
      </c>
      <c r="J305" s="388">
        <v>5.5772166666666657E-2</v>
      </c>
      <c r="K305" s="388">
        <v>5.662233333333333E-2</v>
      </c>
      <c r="L305" s="388">
        <v>-1.2837744980343464E-2</v>
      </c>
      <c r="M305" s="73">
        <v>-1.0208438628270304E-2</v>
      </c>
      <c r="N305" s="73">
        <v>-8.6015041935303405E-3</v>
      </c>
      <c r="O305" s="73">
        <v>-9.9231165566834034E-3</v>
      </c>
      <c r="P305" s="73">
        <v>-8.1366970197721128E-3</v>
      </c>
      <c r="Q305" s="73">
        <v>-6.9467634260235028E-3</v>
      </c>
      <c r="R305" s="73">
        <v>-2.4938566343517828E-2</v>
      </c>
      <c r="S305" s="73">
        <v>-1.149355656708502E-2</v>
      </c>
      <c r="T305" s="38">
        <v>-9.2142899033292869E-4</v>
      </c>
      <c r="U305" s="38">
        <v>4.1586816765438253E-3</v>
      </c>
      <c r="V305" s="38">
        <v>2.8799704569515971E-3</v>
      </c>
      <c r="W305" s="38">
        <v>6.5597849851687304E-3</v>
      </c>
      <c r="X305" s="38">
        <v>4.7837465033706422E-3</v>
      </c>
      <c r="Y305" s="73">
        <v>-3.8506168473218458E-3</v>
      </c>
      <c r="Z305" s="144">
        <v>-8.9217922994852157E-3</v>
      </c>
      <c r="AA305" s="144">
        <v>-1.0846901464020658E-2</v>
      </c>
      <c r="AB305" s="144">
        <v>-1.1823709402747601E-2</v>
      </c>
      <c r="AC305" s="144">
        <v>-1.3698893436548613E-2</v>
      </c>
      <c r="AD305" s="330">
        <v>-1.3558986649705285E-2</v>
      </c>
      <c r="AE305" s="330">
        <v>-1.4801860350041249E-2</v>
      </c>
      <c r="AF305" s="330">
        <v>-1.3266717008818825E-2</v>
      </c>
      <c r="AG305" s="330">
        <v>-1.5676910477280384E-2</v>
      </c>
      <c r="AH305" s="330">
        <v>-1.7191403065775299E-2</v>
      </c>
      <c r="AI305" s="330">
        <v>-1.9187075337533381E-2</v>
      </c>
      <c r="AJ305" s="330">
        <v>-1.8859503088511805E-2</v>
      </c>
      <c r="AK305" s="330">
        <v>-1.8843424968772358E-2</v>
      </c>
      <c r="AL305" s="330">
        <v>-2.0685395074593403E-2</v>
      </c>
      <c r="AM305" s="330">
        <v>-2.6020382644629504E-2</v>
      </c>
      <c r="AN305" s="330">
        <v>-2.5564068509053923E-2</v>
      </c>
      <c r="AO305" s="330">
        <v>-2.4952209808239013E-2</v>
      </c>
      <c r="AP305" s="330">
        <v>-2.0700970104709081E-2</v>
      </c>
      <c r="AQ305" s="330">
        <v>-1.8708482069230443E-2</v>
      </c>
      <c r="AR305" s="330">
        <v>-1.8698794273483418E-2</v>
      </c>
      <c r="AS305" s="330">
        <v>-1.2820069704752267E-2</v>
      </c>
      <c r="AT305" s="330">
        <v>-1.7169254906710965E-2</v>
      </c>
      <c r="AU305" s="330">
        <v>-1.9917967754156309E-2</v>
      </c>
      <c r="AV305" s="439">
        <v>-2.137031714413231E-2</v>
      </c>
      <c r="AW305" s="35"/>
      <c r="AX305" s="35"/>
      <c r="AY305" s="35"/>
      <c r="AZ305" s="35"/>
      <c r="BA305" s="35"/>
      <c r="BB305" s="35"/>
      <c r="BC305" s="35"/>
      <c r="BD305" s="35"/>
      <c r="BE305" s="35"/>
      <c r="BF305" s="35"/>
      <c r="BG305" s="35"/>
      <c r="BH305" s="35"/>
      <c r="BI305" s="35"/>
      <c r="BJ305" s="35"/>
      <c r="BK305" s="35"/>
      <c r="BL305" s="35"/>
      <c r="BM305" s="35"/>
      <c r="BN305" s="35"/>
      <c r="BO305" s="35"/>
      <c r="BP305" s="35"/>
      <c r="BQ305" s="345"/>
      <c r="BR305" s="345"/>
      <c r="BS305" s="345"/>
      <c r="BT305" s="345"/>
      <c r="BU305" s="345"/>
      <c r="BV305" s="345"/>
      <c r="BW305" s="345"/>
      <c r="BX305" s="345"/>
      <c r="BY305" s="345"/>
      <c r="BZ305" s="345"/>
      <c r="CA305" s="35">
        <v>4.6477994399373418E-2</v>
      </c>
      <c r="CB305" s="35">
        <v>4.8052745419637041E-2</v>
      </c>
      <c r="CC305" s="35">
        <v>5.4725463242385843E-2</v>
      </c>
      <c r="CD305" s="35">
        <v>5.619713950736465E-2</v>
      </c>
      <c r="CE305" s="35">
        <v>-1.1677088198903732E-2</v>
      </c>
      <c r="CF305" s="35">
        <v>-9.2874088219182561E-3</v>
      </c>
      <c r="CG305" s="35">
        <v>-7.5444990968049552E-3</v>
      </c>
      <c r="CH305" s="35">
        <v>-1.8263439155004446E-2</v>
      </c>
      <c r="CI305" s="35">
        <v>1.6239534345751439E-3</v>
      </c>
      <c r="CJ305" s="35">
        <v>4.7216803657248877E-3</v>
      </c>
      <c r="CK305" s="37">
        <v>4.346268484383695E-4</v>
      </c>
      <c r="CL305" s="37">
        <v>-9.9185779430494385E-3</v>
      </c>
      <c r="CM305" s="37">
        <v>-1.2775245546291067E-2</v>
      </c>
      <c r="CN305" s="37">
        <v>-1.41754523907635E-2</v>
      </c>
      <c r="CO305" s="37">
        <v>-1.4540617780073026E-2</v>
      </c>
      <c r="CP305" s="37">
        <v>-1.8194150009077269E-2</v>
      </c>
      <c r="CQ305" s="37">
        <v>-1.8851271205234603E-2</v>
      </c>
      <c r="CR305" s="37">
        <v>-2.3447366148891799E-2</v>
      </c>
      <c r="CS305" s="37">
        <v>-2.5266962655913765E-2</v>
      </c>
      <c r="CT305" s="37">
        <v>-1.97476005089538E-2</v>
      </c>
      <c r="CU305" s="37">
        <v>-1.5629397090213167E-2</v>
      </c>
      <c r="CV305" s="36">
        <v>-1.860480312913269E-2</v>
      </c>
      <c r="CW305" s="35">
        <v>-1.0628556232800901E-2</v>
      </c>
      <c r="CX305" s="35">
        <v>0</v>
      </c>
      <c r="CY305" s="35">
        <v>0</v>
      </c>
      <c r="CZ305" s="35">
        <v>0</v>
      </c>
      <c r="DA305" s="35">
        <v>0</v>
      </c>
      <c r="DB305" s="35">
        <v>0</v>
      </c>
      <c r="DC305" s="35">
        <v>0</v>
      </c>
      <c r="DD305" s="35">
        <v>0</v>
      </c>
      <c r="DE305" s="35">
        <v>0</v>
      </c>
      <c r="DF305" s="35">
        <v>0</v>
      </c>
    </row>
    <row r="306" spans="1:110" s="17" customFormat="1" ht="12" outlineLevel="1">
      <c r="A306" s="1" t="s">
        <v>80</v>
      </c>
      <c r="B306" s="17" t="s">
        <v>168</v>
      </c>
      <c r="C306" s="387">
        <v>4.8563833333333327E-2</v>
      </c>
      <c r="D306" s="387">
        <v>4.3449999999999996E-2</v>
      </c>
      <c r="E306" s="387">
        <v>4.9258499999999997E-2</v>
      </c>
      <c r="F306" s="387">
        <v>4.8122166666666667E-2</v>
      </c>
      <c r="G306" s="387">
        <v>4.7991666666666676E-2</v>
      </c>
      <c r="H306" s="387">
        <v>5.4583333333333331E-2</v>
      </c>
      <c r="I306" s="387">
        <v>5.4836000000000003E-2</v>
      </c>
      <c r="J306" s="387">
        <v>5.577216666666665E-2</v>
      </c>
      <c r="K306" s="387">
        <v>5.662233333333333E-2</v>
      </c>
      <c r="L306" s="387">
        <v>-1.040900458459194E-3</v>
      </c>
      <c r="M306" s="70">
        <v>8.8613994980840584E-4</v>
      </c>
      <c r="N306" s="70">
        <v>3.0465025682285766E-3</v>
      </c>
      <c r="O306" s="70">
        <v>1.0495944856080098E-3</v>
      </c>
      <c r="P306" s="70">
        <v>3.832631534025726E-3</v>
      </c>
      <c r="Q306" s="70">
        <v>5.0597262926009726E-3</v>
      </c>
      <c r="R306" s="70">
        <v>-1.2434434318375891E-2</v>
      </c>
      <c r="S306" s="70">
        <v>-2.008485108746762E-3</v>
      </c>
      <c r="T306" s="70">
        <v>8.5584440637580649E-3</v>
      </c>
      <c r="U306" s="70">
        <v>1.3008925417030153E-2</v>
      </c>
      <c r="V306" s="70">
        <v>1.1914629120879025E-2</v>
      </c>
      <c r="W306" s="70">
        <v>1.5513058704405974E-2</v>
      </c>
      <c r="X306" s="70">
        <v>1.2993501315037017E-2</v>
      </c>
      <c r="Y306" s="232">
        <v>4.1019766356596094E-3</v>
      </c>
      <c r="Z306" s="232">
        <v>-9.9180793788056199E-4</v>
      </c>
      <c r="AA306" s="232">
        <v>-2.8921539957820928E-3</v>
      </c>
      <c r="AB306" s="232">
        <v>-3.6961786336458043E-3</v>
      </c>
      <c r="AC306" s="232">
        <v>-6.0561844620855825E-3</v>
      </c>
      <c r="AD306" s="232">
        <v>-7.0401597282683552E-3</v>
      </c>
      <c r="AE306" s="232">
        <v>-8.0604624941472986E-3</v>
      </c>
      <c r="AF306" s="232">
        <v>-6.1342967821923656E-3</v>
      </c>
      <c r="AG306" s="232">
        <v>-8.1002043224655609E-3</v>
      </c>
      <c r="AH306" s="232">
        <v>-9.120134250632567E-3</v>
      </c>
      <c r="AI306" s="232">
        <v>-9.6945713201200944E-3</v>
      </c>
      <c r="AJ306" s="232">
        <v>-1.0238387198709765E-2</v>
      </c>
      <c r="AK306" s="232">
        <v>-9.2398796690969752E-3</v>
      </c>
      <c r="AL306" s="232">
        <v>-1.1409775175749575E-2</v>
      </c>
      <c r="AM306" s="232">
        <v>-1.6652711765086446E-2</v>
      </c>
      <c r="AN306" s="232">
        <v>-1.664457505195318E-2</v>
      </c>
      <c r="AO306" s="232">
        <v>-1.6995525897853813E-2</v>
      </c>
      <c r="AP306" s="232">
        <v>-1.4553108227152884E-2</v>
      </c>
      <c r="AQ306" s="232">
        <v>-1.3044921255080803E-2</v>
      </c>
      <c r="AR306" s="232">
        <v>-1.2699257562694355E-2</v>
      </c>
      <c r="AS306" s="232">
        <v>-4.2748364960103549E-3</v>
      </c>
      <c r="AT306" s="232">
        <v>-5.3794986736524558E-3</v>
      </c>
      <c r="AU306" s="232">
        <v>-7.5643722180612182E-3</v>
      </c>
      <c r="AV306" s="72">
        <v>-1.0176696878613516E-2</v>
      </c>
      <c r="AW306" s="70">
        <v>-1.0176696878613516E-2</v>
      </c>
      <c r="AX306" s="70">
        <v>-1.0176696878613516E-2</v>
      </c>
      <c r="AY306" s="70">
        <v>-1.0176696878613516E-2</v>
      </c>
      <c r="AZ306" s="70">
        <v>-1.0176696878613516E-2</v>
      </c>
      <c r="BA306" s="70">
        <v>-1.0176696878613516E-2</v>
      </c>
      <c r="BB306" s="70">
        <v>-1.0176696878613516E-2</v>
      </c>
      <c r="BC306" s="70">
        <v>-1.0176696878613516E-2</v>
      </c>
      <c r="BD306" s="70">
        <v>-1.0176696878613516E-2</v>
      </c>
      <c r="BE306" s="70">
        <v>-1.0176696878613516E-2</v>
      </c>
      <c r="BF306" s="70">
        <v>-1.0176696878613516E-2</v>
      </c>
      <c r="BG306" s="70">
        <v>-1.0176696878613516E-2</v>
      </c>
      <c r="BH306" s="70">
        <v>-1.0176696878613516E-2</v>
      </c>
      <c r="BI306" s="70">
        <v>-1.0176696878613516E-2</v>
      </c>
      <c r="BJ306" s="70">
        <v>-1.0176696878613516E-2</v>
      </c>
      <c r="BK306" s="70">
        <v>-1.0176696878613516E-2</v>
      </c>
      <c r="BL306" s="70">
        <v>-1.0176696878613516E-2</v>
      </c>
      <c r="BM306" s="70">
        <v>-1.0176696878613516E-2</v>
      </c>
      <c r="BN306" s="70">
        <v>-1.0176696878613516E-2</v>
      </c>
      <c r="BO306" s="70">
        <v>-1.0176696878613516E-2</v>
      </c>
      <c r="BP306" s="70"/>
      <c r="BQ306" s="396">
        <v>1.4348538124456661E-3</v>
      </c>
      <c r="BR306" s="396">
        <v>3.0739696027104468E-4</v>
      </c>
      <c r="BS306" s="386">
        <v>4.7008964854475532E-3</v>
      </c>
      <c r="BT306" s="386">
        <v>1.5800425939896896E-2</v>
      </c>
      <c r="BU306" s="386">
        <v>5.7842732900539734E-3</v>
      </c>
      <c r="BV306" s="386">
        <v>-6.3449140239350832E-3</v>
      </c>
      <c r="BW306" s="386">
        <v>-3.8152698355968538E-2</v>
      </c>
      <c r="BX306" s="386">
        <v>8.4902721445221513E-3</v>
      </c>
      <c r="BY306" s="386">
        <v>1.2704941770455426E-2</v>
      </c>
      <c r="BZ306" s="386">
        <v>3.9772306685095238E-3</v>
      </c>
      <c r="CA306" s="70">
        <v>4.6454513769421224E-2</v>
      </c>
      <c r="CB306" s="70">
        <v>4.8054977837421527E-2</v>
      </c>
      <c r="CC306" s="70">
        <v>5.4725718712960544E-2</v>
      </c>
      <c r="CD306" s="70">
        <v>5.6205361720015001E-2</v>
      </c>
      <c r="CE306" s="70">
        <v>-9.0452186286851702E-5</v>
      </c>
      <c r="CF306" s="70">
        <v>2.0180751358395334E-3</v>
      </c>
      <c r="CG306" s="70">
        <v>4.4350676880065719E-3</v>
      </c>
      <c r="CH306" s="70">
        <v>-7.2863422546168592E-3</v>
      </c>
      <c r="CI306" s="70">
        <v>1.0771520206471739E-2</v>
      </c>
      <c r="CJ306" s="70">
        <v>1.3745962904184105E-2</v>
      </c>
      <c r="CK306" s="232">
        <v>8.4511690075928549E-3</v>
      </c>
      <c r="CL306" s="232">
        <v>-1.9897775394362928E-3</v>
      </c>
      <c r="CM306" s="232">
        <v>-4.9050363044612225E-3</v>
      </c>
      <c r="CN306" s="232">
        <v>-7.5613027519642433E-3</v>
      </c>
      <c r="CO306" s="232">
        <v>-7.1542915242149095E-3</v>
      </c>
      <c r="CP306" s="232">
        <v>-9.4142165210492294E-3</v>
      </c>
      <c r="CQ306" s="232">
        <v>-9.7250621587636251E-3</v>
      </c>
      <c r="CR306" s="232">
        <v>-1.4122404052672446E-2</v>
      </c>
      <c r="CS306" s="232">
        <v>-1.6824731931374973E-2</v>
      </c>
      <c r="CT306" s="232">
        <v>-1.3800427307649962E-2</v>
      </c>
      <c r="CU306" s="232">
        <v>-8.4524345819026753E-3</v>
      </c>
      <c r="CV306" s="72">
        <v>-6.4959991469334009E-3</v>
      </c>
      <c r="CW306" s="70">
        <v>-1.0176696878613514E-2</v>
      </c>
      <c r="CX306" s="70">
        <v>-1.0176696878613516E-2</v>
      </c>
      <c r="CY306" s="70">
        <v>-1.0176696878613518E-2</v>
      </c>
      <c r="CZ306" s="70">
        <v>-1.0176696878613518E-2</v>
      </c>
      <c r="DA306" s="70">
        <v>-1.0176696878613516E-2</v>
      </c>
      <c r="DB306" s="70">
        <v>-1.0176696878613516E-2</v>
      </c>
      <c r="DC306" s="70">
        <v>-1.0176696878613518E-2</v>
      </c>
      <c r="DD306" s="70">
        <v>-1.0176696878613516E-2</v>
      </c>
      <c r="DE306" s="70">
        <v>-1.0176696878613516E-2</v>
      </c>
      <c r="DF306" s="70">
        <v>-1.0176696878613516E-2</v>
      </c>
    </row>
    <row r="307" spans="1:110" ht="12" outlineLevel="1">
      <c r="C307" s="345"/>
      <c r="D307" s="345"/>
      <c r="E307" s="345"/>
      <c r="F307" s="345"/>
      <c r="G307" s="345"/>
      <c r="H307" s="345"/>
      <c r="I307" s="345"/>
      <c r="J307" s="345"/>
      <c r="K307" s="345"/>
      <c r="L307" s="345"/>
      <c r="M307" s="35"/>
      <c r="N307" s="35"/>
      <c r="O307" s="35"/>
      <c r="P307" s="35"/>
      <c r="Q307" s="35"/>
      <c r="R307" s="35"/>
      <c r="S307" s="35"/>
      <c r="T307" s="35"/>
      <c r="U307" s="35"/>
      <c r="V307" s="35"/>
      <c r="W307" s="35"/>
      <c r="X307" s="35"/>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6"/>
      <c r="AW307" s="35"/>
      <c r="AX307" s="35"/>
      <c r="AY307" s="35"/>
      <c r="AZ307" s="35"/>
      <c r="BA307" s="35"/>
      <c r="BB307" s="35"/>
      <c r="BC307" s="35"/>
      <c r="BD307" s="35"/>
      <c r="BE307" s="35"/>
      <c r="BF307" s="35"/>
      <c r="BG307" s="35"/>
      <c r="BH307" s="35"/>
      <c r="BI307" s="35"/>
      <c r="BJ307" s="35"/>
      <c r="BK307" s="35"/>
      <c r="BL307" s="35"/>
      <c r="BM307" s="35"/>
      <c r="BN307" s="35"/>
      <c r="BO307" s="35"/>
      <c r="BP307" s="35"/>
      <c r="BQ307" s="395"/>
      <c r="BR307" s="395"/>
      <c r="BS307" s="345"/>
      <c r="BT307" s="345"/>
      <c r="BU307" s="345"/>
      <c r="BV307" s="345"/>
      <c r="BW307" s="345"/>
      <c r="BX307" s="345"/>
      <c r="BY307" s="345"/>
      <c r="BZ307" s="345"/>
      <c r="CA307" s="35"/>
      <c r="CB307" s="35"/>
      <c r="CC307" s="35"/>
      <c r="CD307" s="35"/>
      <c r="CE307" s="35"/>
      <c r="CF307" s="35"/>
      <c r="CG307" s="35"/>
      <c r="CH307" s="35"/>
      <c r="CI307" s="35"/>
      <c r="CJ307" s="35"/>
      <c r="CK307" s="37"/>
      <c r="CL307" s="37"/>
      <c r="CM307" s="37"/>
      <c r="CN307" s="37"/>
      <c r="CO307" s="37"/>
      <c r="CP307" s="37"/>
      <c r="CQ307" s="37"/>
      <c r="CR307" s="37"/>
      <c r="CS307" s="37"/>
      <c r="CT307" s="37"/>
      <c r="CU307" s="37"/>
      <c r="CV307" s="36"/>
      <c r="CW307" s="35"/>
      <c r="CX307" s="35"/>
      <c r="CY307" s="35"/>
      <c r="CZ307" s="35"/>
      <c r="DA307" s="35"/>
      <c r="DB307" s="35"/>
      <c r="DC307" s="35"/>
      <c r="DD307" s="35"/>
      <c r="DE307" s="35"/>
      <c r="DF307" s="35"/>
    </row>
    <row r="308" spans="1:110" s="17" customFormat="1" ht="12" outlineLevel="1">
      <c r="A308" s="1"/>
      <c r="B308" s="17" t="s">
        <v>494</v>
      </c>
      <c r="C308" s="387"/>
      <c r="D308" s="387"/>
      <c r="E308" s="387"/>
      <c r="F308" s="387"/>
      <c r="G308" s="387"/>
      <c r="H308" s="387"/>
      <c r="I308" s="387"/>
      <c r="J308" s="387"/>
      <c r="K308" s="387"/>
      <c r="L308" s="387"/>
      <c r="M308" s="70"/>
      <c r="N308" s="70"/>
      <c r="O308" s="70"/>
      <c r="P308" s="70"/>
      <c r="Q308" s="70"/>
      <c r="R308" s="70"/>
      <c r="S308" s="70"/>
      <c r="T308" s="70"/>
      <c r="U308" s="70"/>
      <c r="V308" s="70"/>
      <c r="W308" s="70"/>
      <c r="X308" s="70"/>
      <c r="Y308" s="232"/>
      <c r="Z308" s="232"/>
      <c r="AA308" s="232"/>
      <c r="AB308" s="232"/>
      <c r="AC308" s="232"/>
      <c r="AD308" s="232"/>
      <c r="AE308" s="232"/>
      <c r="AF308" s="232"/>
      <c r="AG308" s="232"/>
      <c r="AH308" s="232"/>
      <c r="AI308" s="232"/>
      <c r="AJ308" s="232"/>
      <c r="AK308" s="232"/>
      <c r="AL308" s="232"/>
      <c r="AM308" s="232"/>
      <c r="AN308" s="232"/>
      <c r="AO308" s="232"/>
      <c r="AP308" s="232"/>
      <c r="AQ308" s="232"/>
      <c r="AR308" s="232"/>
      <c r="AS308" s="232"/>
      <c r="AT308" s="232"/>
      <c r="AU308" s="232"/>
      <c r="AV308" s="72"/>
      <c r="AW308" s="70"/>
      <c r="AX308" s="70"/>
      <c r="AY308" s="70"/>
      <c r="AZ308" s="70"/>
      <c r="BA308" s="70"/>
      <c r="BB308" s="70"/>
      <c r="BC308" s="70"/>
      <c r="BD308" s="70"/>
      <c r="BE308" s="70"/>
      <c r="BF308" s="70"/>
      <c r="BG308" s="70"/>
      <c r="BH308" s="70"/>
      <c r="BI308" s="70"/>
      <c r="BJ308" s="70"/>
      <c r="BK308" s="70"/>
      <c r="BL308" s="70"/>
      <c r="BM308" s="70"/>
      <c r="BN308" s="70"/>
      <c r="BO308" s="70"/>
      <c r="BP308" s="70"/>
      <c r="BQ308" s="397"/>
      <c r="BR308" s="397"/>
      <c r="BS308" s="387"/>
      <c r="BT308" s="387"/>
      <c r="BU308" s="387"/>
      <c r="BV308" s="387"/>
      <c r="BW308" s="387"/>
      <c r="BX308" s="387"/>
      <c r="BY308" s="387"/>
      <c r="BZ308" s="387"/>
      <c r="CA308" s="70"/>
      <c r="CB308" s="70"/>
      <c r="CC308" s="70"/>
      <c r="CD308" s="70"/>
      <c r="CE308" s="70"/>
      <c r="CF308" s="70"/>
      <c r="CG308" s="70"/>
      <c r="CH308" s="70"/>
      <c r="CI308" s="70"/>
      <c r="CJ308" s="70"/>
      <c r="CK308" s="232"/>
      <c r="CL308" s="232"/>
      <c r="CM308" s="232"/>
      <c r="CN308" s="232"/>
      <c r="CO308" s="232"/>
      <c r="CP308" s="232"/>
      <c r="CQ308" s="232"/>
      <c r="CR308" s="232"/>
      <c r="CS308" s="232"/>
      <c r="CT308" s="232"/>
      <c r="CU308" s="232"/>
      <c r="CV308" s="72"/>
      <c r="CW308" s="70"/>
      <c r="CX308" s="70"/>
      <c r="CY308" s="70"/>
      <c r="CZ308" s="70"/>
      <c r="DA308" s="70"/>
      <c r="DB308" s="70"/>
      <c r="DC308" s="70"/>
      <c r="DD308" s="70"/>
      <c r="DE308" s="70"/>
      <c r="DF308" s="70"/>
    </row>
    <row r="309" spans="1:110" ht="12" outlineLevel="1">
      <c r="A309" s="1" t="s">
        <v>81</v>
      </c>
      <c r="B309" s="15" t="s">
        <v>592</v>
      </c>
      <c r="C309" s="388">
        <v>4.8563833333333327E-2</v>
      </c>
      <c r="D309" s="388">
        <v>4.3449999999999996E-2</v>
      </c>
      <c r="E309" s="388">
        <v>4.9258500000000004E-2</v>
      </c>
      <c r="F309" s="388">
        <v>4.8122166666666667E-2</v>
      </c>
      <c r="G309" s="388">
        <v>4.7991666666666676E-2</v>
      </c>
      <c r="H309" s="388">
        <v>5.4583333333333331E-2</v>
      </c>
      <c r="I309" s="388">
        <v>5.4836000000000003E-2</v>
      </c>
      <c r="J309" s="388">
        <v>5.5772166666666657E-2</v>
      </c>
      <c r="K309" s="388">
        <v>5.662233333333333E-2</v>
      </c>
      <c r="L309" s="388">
        <v>4.7006221419606031E-2</v>
      </c>
      <c r="M309" s="73">
        <v>4.5933786888237738E-2</v>
      </c>
      <c r="N309" s="73">
        <v>5.1172173863225631E-2</v>
      </c>
      <c r="O309" s="73">
        <v>5.5476342067353551E-2</v>
      </c>
      <c r="P309" s="73">
        <v>6.3661969524900483E-2</v>
      </c>
      <c r="Q309" s="73">
        <v>6.8464179086392837E-2</v>
      </c>
      <c r="R309" s="73">
        <v>3.744591355239036E-2</v>
      </c>
      <c r="S309" s="73">
        <v>2.7209780958177925E-2</v>
      </c>
      <c r="T309" s="38">
        <v>3.6762140346369904E-2</v>
      </c>
      <c r="U309" s="38">
        <v>4.430164451231116E-2</v>
      </c>
      <c r="V309" s="38">
        <v>4.5359055127158966E-2</v>
      </c>
      <c r="W309" s="38">
        <v>4.5756302093654756E-2</v>
      </c>
      <c r="X309" s="38">
        <v>4.1831736231721692E-2</v>
      </c>
      <c r="Y309" s="73">
        <v>3.3510415349171242E-2</v>
      </c>
      <c r="Z309" s="144">
        <v>2.7812238194418023E-2</v>
      </c>
      <c r="AA309" s="144">
        <v>2.4698895172470092E-2</v>
      </c>
      <c r="AB309" s="144">
        <v>2.3207574121355292E-2</v>
      </c>
      <c r="AC309" s="144">
        <v>2.3981541402351585E-2</v>
      </c>
      <c r="AD309" s="37">
        <v>2.2099612094853588E-2</v>
      </c>
      <c r="AE309" s="37">
        <v>1.9638668567683659E-2</v>
      </c>
      <c r="AF309" s="37">
        <v>2.2804870364242093E-2</v>
      </c>
      <c r="AG309" s="37">
        <v>2.3124411655381052E-2</v>
      </c>
      <c r="AH309" s="37">
        <v>2.410682441756935E-2</v>
      </c>
      <c r="AI309" s="37">
        <v>2.9823471420393523E-2</v>
      </c>
      <c r="AJ309" s="37">
        <v>3.6717039685967921E-2</v>
      </c>
      <c r="AK309" s="37">
        <v>5.2181102622413267E-2</v>
      </c>
      <c r="AL309" s="37">
        <v>3.1505676915480708E-2</v>
      </c>
      <c r="AM309" s="37">
        <v>2.5033535804309236E-2</v>
      </c>
      <c r="AN309" s="37">
        <v>2.3511093829875481E-2</v>
      </c>
      <c r="AO309" s="37">
        <v>2.1051677914313918E-2</v>
      </c>
      <c r="AP309" s="37">
        <v>2.1349064089941226E-2</v>
      </c>
      <c r="AQ309" s="37">
        <v>1.8634761021326909E-2</v>
      </c>
      <c r="AR309" s="37">
        <v>1.9205446914074047E-2</v>
      </c>
      <c r="AS309" s="37">
        <v>3.2793909731349456E-2</v>
      </c>
      <c r="AT309" s="37">
        <v>3.545168102096645E-2</v>
      </c>
      <c r="AU309" s="37">
        <v>4.0829622275536895E-2</v>
      </c>
      <c r="AV309" s="36">
        <v>4.1960715535285062E-2</v>
      </c>
      <c r="AW309" s="35"/>
      <c r="AX309" s="35"/>
      <c r="AY309" s="35"/>
      <c r="AZ309" s="35"/>
      <c r="BA309" s="35"/>
      <c r="BB309" s="35"/>
      <c r="BC309" s="35"/>
      <c r="BD309" s="35"/>
      <c r="BE309" s="35"/>
      <c r="BF309" s="35"/>
      <c r="BG309" s="35"/>
      <c r="BH309" s="35"/>
      <c r="BI309" s="35"/>
      <c r="BJ309" s="35"/>
      <c r="BK309" s="35"/>
      <c r="BL309" s="35"/>
      <c r="BM309" s="35"/>
      <c r="BN309" s="35"/>
      <c r="BO309" s="35"/>
      <c r="BP309" s="35"/>
      <c r="BQ309" s="395"/>
      <c r="BR309" s="395"/>
      <c r="BS309" s="345"/>
      <c r="BT309" s="345"/>
      <c r="BU309" s="345"/>
      <c r="BV309" s="345"/>
      <c r="BW309" s="345"/>
      <c r="BX309" s="345"/>
      <c r="BY309" s="345"/>
      <c r="BZ309" s="345"/>
      <c r="CA309" s="35">
        <v>4.6445230150429624E-2</v>
      </c>
      <c r="CB309" s="35">
        <v>4.8047007196750771E-2</v>
      </c>
      <c r="CC309" s="35">
        <v>5.4714548476936464E-2</v>
      </c>
      <c r="CD309" s="35">
        <v>5.6234617863626629E-2</v>
      </c>
      <c r="CE309" s="35">
        <v>4.6450611418447849E-2</v>
      </c>
      <c r="CF309" s="35">
        <v>5.3355601039301974E-2</v>
      </c>
      <c r="CG309" s="35">
        <v>6.6057979608806702E-2</v>
      </c>
      <c r="CH309" s="35">
        <v>3.2332141028706969E-2</v>
      </c>
      <c r="CI309" s="35">
        <v>4.1655988130435508E-2</v>
      </c>
      <c r="CJ309" s="35">
        <v>4.5582204599721302E-2</v>
      </c>
      <c r="CK309" s="37">
        <v>3.7671089448042865E-2</v>
      </c>
      <c r="CL309" s="37">
        <v>2.6152565036146883E-2</v>
      </c>
      <c r="CM309" s="37">
        <v>2.3604879512225913E-2</v>
      </c>
      <c r="CN309" s="37">
        <v>2.0786997850284507E-2</v>
      </c>
      <c r="CO309" s="37">
        <v>2.2961005427398321E-2</v>
      </c>
      <c r="CP309" s="37">
        <v>2.6756651373452255E-2</v>
      </c>
      <c r="CQ309" s="37">
        <v>4.3244003413866861E-2</v>
      </c>
      <c r="CR309" s="37">
        <v>2.807054615793746E-2</v>
      </c>
      <c r="CS309" s="37">
        <v>0.13739899522038981</v>
      </c>
      <c r="CT309" s="37">
        <v>1.9875863828394538E-2</v>
      </c>
      <c r="CU309" s="37">
        <v>2.5645685784571125E-2</v>
      </c>
      <c r="CV309" s="36">
        <v>3.7843605236139652E-2</v>
      </c>
      <c r="CW309" s="35">
        <v>2.1442500094470334E-2</v>
      </c>
      <c r="CX309" s="35">
        <v>0</v>
      </c>
      <c r="CY309" s="35">
        <v>0</v>
      </c>
      <c r="CZ309" s="35">
        <v>0</v>
      </c>
      <c r="DA309" s="35">
        <v>0</v>
      </c>
      <c r="DB309" s="35">
        <v>0</v>
      </c>
      <c r="DC309" s="35">
        <v>0</v>
      </c>
      <c r="DD309" s="35">
        <v>0</v>
      </c>
      <c r="DE309" s="35">
        <v>0</v>
      </c>
      <c r="DF309" s="35">
        <v>0</v>
      </c>
    </row>
    <row r="310" spans="1:110" ht="12" outlineLevel="1">
      <c r="A310" s="1" t="s">
        <v>82</v>
      </c>
      <c r="B310" s="15" t="s">
        <v>473</v>
      </c>
      <c r="C310" s="388">
        <v>4.8563833333333327E-2</v>
      </c>
      <c r="D310" s="388">
        <v>4.3449999999999996E-2</v>
      </c>
      <c r="E310" s="388">
        <v>4.9258500000000004E-2</v>
      </c>
      <c r="F310" s="388">
        <v>4.8122166666666667E-2</v>
      </c>
      <c r="G310" s="388">
        <v>4.7991666666666676E-2</v>
      </c>
      <c r="H310" s="388">
        <v>5.4583333333333331E-2</v>
      </c>
      <c r="I310" s="388">
        <v>5.4836000000000003E-2</v>
      </c>
      <c r="J310" s="388">
        <v>5.5772166666666657E-2</v>
      </c>
      <c r="K310" s="388">
        <v>5.662233333333333E-2</v>
      </c>
      <c r="L310" s="388">
        <v>1.2022543150022914E-2</v>
      </c>
      <c r="M310" s="73">
        <v>1.0509017161505839E-2</v>
      </c>
      <c r="N310" s="73">
        <v>1.1300242689616789E-2</v>
      </c>
      <c r="O310" s="73">
        <v>1.4849070857505559E-2</v>
      </c>
      <c r="P310" s="73">
        <v>2.6444656707277039E-2</v>
      </c>
      <c r="Q310" s="73">
        <v>4.1523148299617181E-2</v>
      </c>
      <c r="R310" s="73">
        <v>1.9406619268941466E-2</v>
      </c>
      <c r="S310" s="73">
        <v>2.0840747726923525E-2</v>
      </c>
      <c r="T310" s="38">
        <v>3.1293670409252808E-2</v>
      </c>
      <c r="U310" s="38">
        <v>3.6986664719361476E-2</v>
      </c>
      <c r="V310" s="38">
        <v>3.7916713838922554E-2</v>
      </c>
      <c r="W310" s="38">
        <v>3.6986359960638648E-2</v>
      </c>
      <c r="X310" s="38">
        <v>3.1946394321050522E-2</v>
      </c>
      <c r="Y310" s="73">
        <v>2.5251463388230179E-2</v>
      </c>
      <c r="Z310" s="144">
        <v>2.1472180350778788E-2</v>
      </c>
      <c r="AA310" s="144">
        <v>1.9224637101199014E-2</v>
      </c>
      <c r="AB310" s="144">
        <v>1.7666862016510833E-2</v>
      </c>
      <c r="AC310" s="144">
        <v>1.8721685410841373E-2</v>
      </c>
      <c r="AD310" s="37">
        <v>1.6252633925855079E-2</v>
      </c>
      <c r="AE310" s="37">
        <v>1.3673210105351349E-2</v>
      </c>
      <c r="AF310" s="37">
        <v>1.5616562881529085E-2</v>
      </c>
      <c r="AG310" s="37">
        <v>1.4493336191549572E-2</v>
      </c>
      <c r="AH310" s="37">
        <v>1.3565967877318388E-2</v>
      </c>
      <c r="AI310" s="37">
        <v>1.2798390173319798E-2</v>
      </c>
      <c r="AJ310" s="37">
        <v>1.465966009434152E-2</v>
      </c>
      <c r="AK310" s="37">
        <v>1.3408372890232957E-2</v>
      </c>
      <c r="AL310" s="37">
        <v>1.0585631079705855E-2</v>
      </c>
      <c r="AM310" s="37">
        <v>4.5590237944566937E-3</v>
      </c>
      <c r="AN310" s="37">
        <v>2.9157213856866896E-3</v>
      </c>
      <c r="AO310" s="37">
        <v>3.651187140749555E-3</v>
      </c>
      <c r="AP310" s="37">
        <v>9.2839758662094617E-3</v>
      </c>
      <c r="AQ310" s="37">
        <v>1.1453859116273486E-2</v>
      </c>
      <c r="AR310" s="37">
        <v>9.7716122476990026E-3</v>
      </c>
      <c r="AS310" s="37">
        <v>1.4866488919058941E-2</v>
      </c>
      <c r="AT310" s="37">
        <v>9.1270661829721891E-3</v>
      </c>
      <c r="AU310" s="37">
        <v>7.2551570180807868E-3</v>
      </c>
      <c r="AV310" s="36">
        <v>7.566935353754493E-3</v>
      </c>
      <c r="AW310" s="35"/>
      <c r="AX310" s="35"/>
      <c r="AY310" s="35"/>
      <c r="AZ310" s="35"/>
      <c r="BA310" s="35"/>
      <c r="BB310" s="35"/>
      <c r="BC310" s="35"/>
      <c r="BD310" s="35"/>
      <c r="BE310" s="35"/>
      <c r="BF310" s="35"/>
      <c r="BG310" s="35"/>
      <c r="BH310" s="35"/>
      <c r="BI310" s="35"/>
      <c r="BJ310" s="35"/>
      <c r="BK310" s="35"/>
      <c r="BL310" s="35"/>
      <c r="BM310" s="35"/>
      <c r="BN310" s="35"/>
      <c r="BO310" s="35"/>
      <c r="BP310" s="35"/>
      <c r="BQ310" s="395"/>
      <c r="BR310" s="395"/>
      <c r="BS310" s="345"/>
      <c r="BT310" s="345"/>
      <c r="BU310" s="345"/>
      <c r="BV310" s="345"/>
      <c r="BW310" s="345"/>
      <c r="BX310" s="345"/>
      <c r="BY310" s="345"/>
      <c r="BZ310" s="345"/>
      <c r="CA310" s="35">
        <v>4.6242382955109372E-2</v>
      </c>
      <c r="CB310" s="35">
        <v>4.8052195856574192E-2</v>
      </c>
      <c r="CC310" s="35">
        <v>5.4707737837978908E-2</v>
      </c>
      <c r="CD310" s="35">
        <v>5.6205695336649118E-2</v>
      </c>
      <c r="CE310" s="35">
        <v>1.1214252500951731E-2</v>
      </c>
      <c r="CF310" s="35">
        <v>1.3154761014183339E-2</v>
      </c>
      <c r="CG310" s="35">
        <v>3.4861130711221801E-2</v>
      </c>
      <c r="CH310" s="35">
        <v>2.0124270450350285E-2</v>
      </c>
      <c r="CI310" s="35">
        <v>3.2844897368285428E-2</v>
      </c>
      <c r="CJ310" s="35">
        <v>3.74339551598721E-2</v>
      </c>
      <c r="CK310" s="37">
        <v>2.8338153645737541E-2</v>
      </c>
      <c r="CL310" s="37">
        <v>2.0282273325115754E-2</v>
      </c>
      <c r="CM310" s="37">
        <v>1.8195818376517903E-2</v>
      </c>
      <c r="CN310" s="37">
        <v>1.4920652488621322E-2</v>
      </c>
      <c r="CO310" s="37">
        <v>1.5067071479185049E-2</v>
      </c>
      <c r="CP310" s="37">
        <v>1.3198939376062912E-2</v>
      </c>
      <c r="CQ310" s="37">
        <v>1.4010176797863197E-2</v>
      </c>
      <c r="CR310" s="37">
        <v>7.4592356486127649E-3</v>
      </c>
      <c r="CS310" s="37">
        <v>3.2683793979805796E-3</v>
      </c>
      <c r="CT310" s="37">
        <v>1.0341328280194692E-2</v>
      </c>
      <c r="CU310" s="37">
        <v>1.2460652573709626E-2</v>
      </c>
      <c r="CV310" s="36">
        <v>8.1729105673014769E-3</v>
      </c>
      <c r="CW310" s="35">
        <v>3.866807559592044E-3</v>
      </c>
      <c r="CX310" s="35">
        <v>0</v>
      </c>
      <c r="CY310" s="35">
        <v>0</v>
      </c>
      <c r="CZ310" s="35">
        <v>0</v>
      </c>
      <c r="DA310" s="35">
        <v>0</v>
      </c>
      <c r="DB310" s="35">
        <v>0</v>
      </c>
      <c r="DC310" s="35">
        <v>0</v>
      </c>
      <c r="DD310" s="35">
        <v>0</v>
      </c>
      <c r="DE310" s="35">
        <v>0</v>
      </c>
      <c r="DF310" s="35">
        <v>0</v>
      </c>
    </row>
    <row r="311" spans="1:110" s="17" customFormat="1" ht="12" outlineLevel="1">
      <c r="A311" s="1" t="s">
        <v>83</v>
      </c>
      <c r="B311" s="17" t="s">
        <v>168</v>
      </c>
      <c r="C311" s="387">
        <v>4.8563833333333327E-2</v>
      </c>
      <c r="D311" s="387">
        <v>4.3449999999999996E-2</v>
      </c>
      <c r="E311" s="387">
        <v>4.9258499999999997E-2</v>
      </c>
      <c r="F311" s="387">
        <v>4.8122166666666667E-2</v>
      </c>
      <c r="G311" s="387">
        <v>4.7991666666666676E-2</v>
      </c>
      <c r="H311" s="387">
        <v>5.4583333333333331E-2</v>
      </c>
      <c r="I311" s="387">
        <v>5.4836000000000003E-2</v>
      </c>
      <c r="J311" s="387">
        <v>5.577216666666665E-2</v>
      </c>
      <c r="K311" s="387">
        <v>5.662233333333333E-2</v>
      </c>
      <c r="L311" s="387">
        <v>1.7878941944631847E-2</v>
      </c>
      <c r="M311" s="70">
        <v>1.6229585113469325E-2</v>
      </c>
      <c r="N311" s="70">
        <v>1.7873878645438771E-2</v>
      </c>
      <c r="O311" s="70">
        <v>2.1202449850022325E-2</v>
      </c>
      <c r="P311" s="70">
        <v>3.0970216375048459E-2</v>
      </c>
      <c r="Q311" s="70">
        <v>4.4131262942483325E-2</v>
      </c>
      <c r="R311" s="70">
        <v>2.1172630876492442E-2</v>
      </c>
      <c r="S311" s="70">
        <v>2.1463462609682311E-2</v>
      </c>
      <c r="T311" s="70">
        <v>3.1949594040893585E-2</v>
      </c>
      <c r="U311" s="70">
        <v>3.8307771959486252E-2</v>
      </c>
      <c r="V311" s="70">
        <v>3.953497069661132E-2</v>
      </c>
      <c r="W311" s="70">
        <v>3.9158079934366777E-2</v>
      </c>
      <c r="X311" s="70">
        <v>3.4196271976010648E-2</v>
      </c>
      <c r="Y311" s="232">
        <v>2.6915440541673146E-2</v>
      </c>
      <c r="Z311" s="232">
        <v>2.2766795254774479E-2</v>
      </c>
      <c r="AA311" s="232">
        <v>2.03540806294236E-2</v>
      </c>
      <c r="AB311" s="232">
        <v>1.8834261577769944E-2</v>
      </c>
      <c r="AC311" s="232">
        <v>1.9872482640006413E-2</v>
      </c>
      <c r="AD311" s="232">
        <v>1.745614541907042E-2</v>
      </c>
      <c r="AE311" s="232">
        <v>1.4968739160819727E-2</v>
      </c>
      <c r="AF311" s="232">
        <v>1.7182253763694828E-2</v>
      </c>
      <c r="AG311" s="232">
        <v>1.636983463610394E-2</v>
      </c>
      <c r="AH311" s="232">
        <v>1.5813323967589013E-2</v>
      </c>
      <c r="AI311" s="232">
        <v>1.6263184889476517E-2</v>
      </c>
      <c r="AJ311" s="232">
        <v>1.8354319702272536E-2</v>
      </c>
      <c r="AK311" s="232">
        <v>1.8054895497981442E-2</v>
      </c>
      <c r="AL311" s="232">
        <v>1.4180554229482523E-2</v>
      </c>
      <c r="AM311" s="232">
        <v>8.2208055050762632E-3</v>
      </c>
      <c r="AN311" s="232">
        <v>6.5458421477498164E-3</v>
      </c>
      <c r="AO311" s="232">
        <v>7.2756516331317321E-3</v>
      </c>
      <c r="AP311" s="232">
        <v>1.2132499956237504E-2</v>
      </c>
      <c r="AQ311" s="232">
        <v>1.3453758994733896E-2</v>
      </c>
      <c r="AR311" s="232">
        <v>1.2372958757177184E-2</v>
      </c>
      <c r="AS311" s="232">
        <v>1.9076357456223287E-2</v>
      </c>
      <c r="AT311" s="232">
        <v>1.4107454865877793E-2</v>
      </c>
      <c r="AU311" s="232">
        <v>1.2371414227672965E-2</v>
      </c>
      <c r="AV311" s="72">
        <v>1.250083325202456E-2</v>
      </c>
      <c r="AW311" s="70">
        <v>1.3500833252024561E-2</v>
      </c>
      <c r="AX311" s="70">
        <v>1.3500833252024561E-2</v>
      </c>
      <c r="AY311" s="70">
        <v>1.3500833252024561E-2</v>
      </c>
      <c r="AZ311" s="70">
        <v>1.3000833252024561E-2</v>
      </c>
      <c r="BA311" s="70">
        <v>1.3000833252024561E-2</v>
      </c>
      <c r="BB311" s="70">
        <v>1.3000833252024561E-2</v>
      </c>
      <c r="BC311" s="70">
        <v>1.3000833252024561E-2</v>
      </c>
      <c r="BD311" s="70">
        <v>1.3000833252024561E-2</v>
      </c>
      <c r="BE311" s="70">
        <v>1.3000833252024561E-2</v>
      </c>
      <c r="BF311" s="70">
        <v>1.3000833252024561E-2</v>
      </c>
      <c r="BG311" s="70">
        <v>1.3000833252024561E-2</v>
      </c>
      <c r="BH311" s="70">
        <v>1.3000833252024561E-2</v>
      </c>
      <c r="BI311" s="70">
        <v>1.3000833252024561E-2</v>
      </c>
      <c r="BJ311" s="70">
        <v>1.3000833252024561E-2</v>
      </c>
      <c r="BK311" s="70">
        <v>1.3000833252024561E-2</v>
      </c>
      <c r="BL311" s="70">
        <v>1.3000833252024561E-2</v>
      </c>
      <c r="BM311" s="70">
        <v>1.3000833252024561E-2</v>
      </c>
      <c r="BN311" s="70">
        <v>1.3000833252024561E-2</v>
      </c>
      <c r="BO311" s="70">
        <v>1.3000833252024561E-2</v>
      </c>
      <c r="BP311" s="70"/>
      <c r="BQ311" s="396">
        <v>-6.965723468195989E-3</v>
      </c>
      <c r="BR311" s="396">
        <v>-6.2738107522852041E-3</v>
      </c>
      <c r="BS311" s="386">
        <v>-1.045328746177375E-3</v>
      </c>
      <c r="BT311" s="386">
        <v>1.9812168227946916E-2</v>
      </c>
      <c r="BU311" s="386">
        <v>1.489332249994417E-2</v>
      </c>
      <c r="BV311" s="386">
        <v>-1.4725123469318951E-4</v>
      </c>
      <c r="BW311" s="386">
        <v>-1.0829240430886046E-2</v>
      </c>
      <c r="BX311" s="386">
        <v>-4.0383639042453276E-3</v>
      </c>
      <c r="BY311" s="386">
        <v>5.7483353053099373E-3</v>
      </c>
      <c r="BZ311" s="386">
        <v>7.7293220338983323E-3</v>
      </c>
      <c r="CA311" s="70">
        <v>4.6263428738383412E-2</v>
      </c>
      <c r="CB311" s="70">
        <v>4.8051650774412875E-2</v>
      </c>
      <c r="CC311" s="70">
        <v>5.4708625859603732E-2</v>
      </c>
      <c r="CD311" s="70">
        <v>5.6210464440630242E-2</v>
      </c>
      <c r="CE311" s="70">
        <v>1.7001347748703519E-2</v>
      </c>
      <c r="CF311" s="70">
        <v>1.960492910615496E-2</v>
      </c>
      <c r="CG311" s="70">
        <v>3.822736441564159E-2</v>
      </c>
      <c r="CH311" s="70">
        <v>2.1318512232919924E-2</v>
      </c>
      <c r="CI311" s="70">
        <v>3.4146890983286889E-2</v>
      </c>
      <c r="CJ311" s="70">
        <v>3.9335752267889816E-2</v>
      </c>
      <c r="CK311" s="232">
        <v>3.0332839213245689E-2</v>
      </c>
      <c r="CL311" s="232">
        <v>2.1487618178574485E-2</v>
      </c>
      <c r="CM311" s="232">
        <v>1.9357548411979231E-2</v>
      </c>
      <c r="CN311" s="232">
        <v>1.6162737915176844E-2</v>
      </c>
      <c r="CO311" s="232">
        <v>1.6784915386834097E-2</v>
      </c>
      <c r="CP311" s="232">
        <v>1.6026981295466092E-2</v>
      </c>
      <c r="CQ311" s="232">
        <v>1.8203067375109384E-2</v>
      </c>
      <c r="CR311" s="232">
        <v>1.1076237678555674E-2</v>
      </c>
      <c r="CS311" s="232">
        <v>8.2268865164198852E-3</v>
      </c>
      <c r="CT311" s="232">
        <v>1.2795191174256166E-2</v>
      </c>
      <c r="CU311" s="232">
        <v>1.5819030839630242E-2</v>
      </c>
      <c r="CV311" s="72">
        <v>1.3241819897575561E-2</v>
      </c>
      <c r="CW311" s="70">
        <v>1.2989819561697017E-2</v>
      </c>
      <c r="CX311" s="70">
        <v>1.3500833252024559E-2</v>
      </c>
      <c r="CY311" s="70">
        <v>1.3000833252024563E-2</v>
      </c>
      <c r="CZ311" s="70">
        <v>1.3000833252024563E-2</v>
      </c>
      <c r="DA311" s="70">
        <v>1.3000833252024561E-2</v>
      </c>
      <c r="DB311" s="70">
        <v>1.3000833252024559E-2</v>
      </c>
      <c r="DC311" s="70">
        <v>1.3000833252024559E-2</v>
      </c>
      <c r="DD311" s="70">
        <v>1.3000833252024557E-2</v>
      </c>
      <c r="DE311" s="70">
        <v>1.3000833252024563E-2</v>
      </c>
      <c r="DF311" s="70">
        <v>1.3000833252024559E-2</v>
      </c>
    </row>
    <row r="312" spans="1:110" ht="12" outlineLevel="1">
      <c r="C312" s="345"/>
      <c r="D312" s="345"/>
      <c r="E312" s="345"/>
      <c r="F312" s="345"/>
      <c r="G312" s="345"/>
      <c r="H312" s="345"/>
      <c r="I312" s="345"/>
      <c r="J312" s="345"/>
      <c r="K312" s="345"/>
      <c r="L312" s="345"/>
      <c r="M312" s="35"/>
      <c r="N312" s="35"/>
      <c r="O312" s="35"/>
      <c r="P312" s="35"/>
      <c r="Q312" s="35"/>
      <c r="R312" s="35"/>
      <c r="S312" s="35"/>
      <c r="T312" s="35"/>
      <c r="U312" s="35"/>
      <c r="V312" s="35"/>
      <c r="W312" s="35"/>
      <c r="X312" s="35"/>
      <c r="Y312" s="37"/>
      <c r="Z312" s="37"/>
      <c r="AA312" s="37"/>
      <c r="AB312" s="37"/>
      <c r="AC312" s="37"/>
      <c r="AD312" s="37"/>
      <c r="AE312" s="37"/>
      <c r="AF312" s="37"/>
      <c r="AG312" s="37"/>
      <c r="AH312" s="37"/>
      <c r="AI312" s="37"/>
      <c r="AJ312" s="37"/>
      <c r="AK312" s="37"/>
      <c r="AL312" s="37"/>
      <c r="AM312" s="37"/>
      <c r="AN312" s="37"/>
      <c r="AO312" s="37"/>
      <c r="AP312" s="37"/>
      <c r="AQ312" s="37"/>
      <c r="AR312" s="37"/>
      <c r="AS312" s="37"/>
      <c r="AT312" s="37"/>
      <c r="AU312" s="37"/>
      <c r="AV312" s="36"/>
      <c r="AW312" s="35"/>
      <c r="AX312" s="35"/>
      <c r="AY312" s="35"/>
      <c r="AZ312" s="35"/>
      <c r="BA312" s="35"/>
      <c r="BB312" s="35"/>
      <c r="BC312" s="35"/>
      <c r="BD312" s="35"/>
      <c r="BE312" s="35"/>
      <c r="BF312" s="35"/>
      <c r="BG312" s="35"/>
      <c r="BH312" s="35"/>
      <c r="BI312" s="35"/>
      <c r="BJ312" s="35"/>
      <c r="BK312" s="35"/>
      <c r="BL312" s="35"/>
      <c r="BM312" s="35"/>
      <c r="BN312" s="35"/>
      <c r="BO312" s="35"/>
      <c r="BP312" s="35"/>
      <c r="BQ312" s="345"/>
      <c r="BR312" s="345"/>
      <c r="BS312" s="345"/>
      <c r="BT312" s="345"/>
      <c r="BU312" s="345"/>
      <c r="BV312" s="345"/>
      <c r="BW312" s="345"/>
      <c r="BX312" s="345"/>
      <c r="BY312" s="345"/>
      <c r="BZ312" s="345"/>
      <c r="CA312" s="35"/>
      <c r="CB312" s="35"/>
      <c r="CC312" s="35"/>
      <c r="CD312" s="35"/>
      <c r="CE312" s="35"/>
      <c r="CF312" s="35"/>
      <c r="CG312" s="35"/>
      <c r="CH312" s="35"/>
      <c r="CI312" s="35"/>
      <c r="CJ312" s="35"/>
      <c r="CK312" s="37"/>
      <c r="CL312" s="37"/>
      <c r="CM312" s="37"/>
      <c r="CN312" s="37"/>
      <c r="CO312" s="37"/>
      <c r="CP312" s="37"/>
      <c r="CQ312" s="37"/>
      <c r="CR312" s="37"/>
      <c r="CS312" s="37"/>
      <c r="CT312" s="37"/>
      <c r="CU312" s="37"/>
      <c r="CV312" s="36"/>
      <c r="CW312" s="35"/>
      <c r="CX312" s="35"/>
      <c r="CY312" s="35"/>
      <c r="CZ312" s="35"/>
      <c r="DA312" s="35"/>
      <c r="DB312" s="35"/>
      <c r="DC312" s="35"/>
      <c r="DD312" s="35"/>
      <c r="DE312" s="35"/>
      <c r="DF312" s="35"/>
    </row>
    <row r="313" spans="1:110" s="17" customFormat="1" ht="12" outlineLevel="1">
      <c r="A313" s="15"/>
      <c r="B313" s="17" t="s">
        <v>499</v>
      </c>
      <c r="C313" s="387"/>
      <c r="D313" s="387"/>
      <c r="E313" s="387"/>
      <c r="F313" s="387"/>
      <c r="G313" s="387"/>
      <c r="H313" s="387"/>
      <c r="I313" s="387"/>
      <c r="J313" s="387"/>
      <c r="K313" s="387"/>
      <c r="L313" s="387"/>
      <c r="M313" s="70"/>
      <c r="N313" s="70"/>
      <c r="O313" s="70"/>
      <c r="P313" s="70"/>
      <c r="Q313" s="70"/>
      <c r="R313" s="70"/>
      <c r="S313" s="70"/>
      <c r="T313" s="70"/>
      <c r="U313" s="70"/>
      <c r="V313" s="70"/>
      <c r="W313" s="70"/>
      <c r="X313" s="70"/>
      <c r="Y313" s="232"/>
      <c r="Z313" s="232"/>
      <c r="AA313" s="232"/>
      <c r="AB313" s="232"/>
      <c r="AC313" s="232"/>
      <c r="AD313" s="232"/>
      <c r="AE313" s="232"/>
      <c r="AF313" s="232"/>
      <c r="AG313" s="232"/>
      <c r="AH313" s="232"/>
      <c r="AI313" s="232"/>
      <c r="AJ313" s="232"/>
      <c r="AK313" s="232"/>
      <c r="AL313" s="232"/>
      <c r="AM313" s="232"/>
      <c r="AN313" s="232"/>
      <c r="AO313" s="232"/>
      <c r="AP313" s="232"/>
      <c r="AQ313" s="232"/>
      <c r="AR313" s="232"/>
      <c r="AS313" s="232"/>
      <c r="AT313" s="232"/>
      <c r="AU313" s="232"/>
      <c r="AV313" s="72"/>
      <c r="AW313" s="70"/>
      <c r="AX313" s="70"/>
      <c r="AY313" s="70"/>
      <c r="AZ313" s="70"/>
      <c r="BA313" s="70"/>
      <c r="BB313" s="70"/>
      <c r="BC313" s="70"/>
      <c r="BD313" s="70"/>
      <c r="BE313" s="70"/>
      <c r="BF313" s="70"/>
      <c r="BG313" s="70"/>
      <c r="BH313" s="70"/>
      <c r="BI313" s="70"/>
      <c r="BJ313" s="70"/>
      <c r="BK313" s="70"/>
      <c r="BL313" s="70"/>
      <c r="BM313" s="70"/>
      <c r="BN313" s="70"/>
      <c r="BO313" s="70"/>
      <c r="BP313" s="70"/>
      <c r="BQ313" s="387"/>
      <c r="BR313" s="387"/>
      <c r="BS313" s="387"/>
      <c r="BT313" s="387"/>
      <c r="BU313" s="387"/>
      <c r="BV313" s="387"/>
      <c r="BW313" s="387"/>
      <c r="BX313" s="387"/>
      <c r="BY313" s="387"/>
      <c r="BZ313" s="387"/>
      <c r="CA313" s="70"/>
      <c r="CB313" s="70"/>
      <c r="CC313" s="70"/>
      <c r="CD313" s="70"/>
      <c r="CE313" s="70"/>
      <c r="CF313" s="70"/>
      <c r="CG313" s="70"/>
      <c r="CH313" s="70"/>
      <c r="CI313" s="70"/>
      <c r="CJ313" s="70"/>
      <c r="CK313" s="232"/>
      <c r="CL313" s="232"/>
      <c r="CM313" s="232"/>
      <c r="CN313" s="232"/>
      <c r="CO313" s="232"/>
      <c r="CP313" s="232"/>
      <c r="CQ313" s="232"/>
      <c r="CR313" s="232"/>
      <c r="CS313" s="232"/>
      <c r="CT313" s="232"/>
      <c r="CU313" s="232"/>
      <c r="CV313" s="72"/>
      <c r="CW313" s="70"/>
      <c r="CX313" s="70"/>
      <c r="CY313" s="70"/>
      <c r="CZ313" s="70"/>
      <c r="DA313" s="70"/>
      <c r="DB313" s="70"/>
      <c r="DC313" s="70"/>
      <c r="DD313" s="70"/>
      <c r="DE313" s="70"/>
      <c r="DF313" s="70"/>
    </row>
    <row r="314" spans="1:110" ht="12" outlineLevel="1">
      <c r="A314" s="1" t="s">
        <v>169</v>
      </c>
      <c r="B314" s="15" t="s">
        <v>592</v>
      </c>
      <c r="C314" s="345">
        <v>4.8563833333333327E-2</v>
      </c>
      <c r="D314" s="345">
        <v>4.3449999999999996E-2</v>
      </c>
      <c r="E314" s="345">
        <v>4.9258500000000004E-2</v>
      </c>
      <c r="F314" s="345">
        <v>4.8122166666666667E-2</v>
      </c>
      <c r="G314" s="345">
        <v>4.7991666666666676E-2</v>
      </c>
      <c r="H314" s="345">
        <v>5.4583333333333324E-2</v>
      </c>
      <c r="I314" s="345">
        <v>5.4835999999999996E-2</v>
      </c>
      <c r="J314" s="345">
        <v>5.577216666666665E-2</v>
      </c>
      <c r="K314" s="345">
        <v>5.6622333333333337E-2</v>
      </c>
      <c r="L314" s="345">
        <v>1.9375350512485824E-2</v>
      </c>
      <c r="M314" s="35">
        <v>2.056193239682064E-2</v>
      </c>
      <c r="N314" s="35">
        <v>2.0804687141822396E-2</v>
      </c>
      <c r="O314" s="35">
        <v>2.0579687433606914E-2</v>
      </c>
      <c r="P314" s="35">
        <v>2.4611637411604815E-2</v>
      </c>
      <c r="Q314" s="35">
        <v>2.4531523536425213E-2</v>
      </c>
      <c r="R314" s="35">
        <v>8.8561783843903764E-3</v>
      </c>
      <c r="S314" s="35">
        <v>9.0575678530376239E-3</v>
      </c>
      <c r="T314" s="35">
        <v>1.5069684252040718E-2</v>
      </c>
      <c r="U314" s="35">
        <v>1.822858080814603E-2</v>
      </c>
      <c r="V314" s="35">
        <v>1.7801914900548128E-2</v>
      </c>
      <c r="W314" s="35">
        <v>1.7454221950612487E-2</v>
      </c>
      <c r="X314" s="35">
        <v>1.4080287331528238E-2</v>
      </c>
      <c r="Y314" s="37">
        <v>8.2322704670291704E-3</v>
      </c>
      <c r="Z314" s="37">
        <v>5.6311730957610984E-3</v>
      </c>
      <c r="AA314" s="37">
        <v>7.7501402535651645E-3</v>
      </c>
      <c r="AB314" s="37">
        <v>6.7528095404496141E-3</v>
      </c>
      <c r="AC314" s="37">
        <v>6.2198421124397179E-3</v>
      </c>
      <c r="AD314" s="330">
        <v>4.1860652116385878E-3</v>
      </c>
      <c r="AE314" s="144">
        <v>2.6959114911789019E-3</v>
      </c>
      <c r="AF314" s="414">
        <v>4.8829724690545445E-3</v>
      </c>
      <c r="AG314" s="414">
        <v>3.7720925571113374E-3</v>
      </c>
      <c r="AH314" s="414">
        <v>3.8233256160221177E-3</v>
      </c>
      <c r="AI314" s="414">
        <v>3.980513890728404E-3</v>
      </c>
      <c r="AJ314" s="414">
        <v>3.586720070869763E-3</v>
      </c>
      <c r="AK314" s="414">
        <v>5.4241519758273637E-3</v>
      </c>
      <c r="AL314" s="414">
        <v>4.7418284325026223E-3</v>
      </c>
      <c r="AM314" s="414">
        <v>-3.5869827882366138E-4</v>
      </c>
      <c r="AN314" s="414">
        <v>-1.4801707435332084E-3</v>
      </c>
      <c r="AO314" s="414">
        <v>-4.7423928043741704E-3</v>
      </c>
      <c r="AP314" s="414">
        <v>-4.5968866868186372E-3</v>
      </c>
      <c r="AQ314" s="414">
        <v>-4.0872538411965281E-3</v>
      </c>
      <c r="AR314" s="414">
        <v>-3.6778768928449534E-3</v>
      </c>
      <c r="AS314" s="414">
        <v>7.1922058815680895E-3</v>
      </c>
      <c r="AT314" s="414">
        <v>9.3635239558034732E-3</v>
      </c>
      <c r="AU314" s="414">
        <v>8.5340778279594243E-3</v>
      </c>
      <c r="AV314" s="419">
        <v>6.5409108624771423E-3</v>
      </c>
      <c r="AW314" s="35"/>
      <c r="AX314" s="35"/>
      <c r="AY314" s="35"/>
      <c r="AZ314" s="35"/>
      <c r="BA314" s="35"/>
      <c r="BB314" s="35"/>
      <c r="BC314" s="35"/>
      <c r="BD314" s="35"/>
      <c r="BE314" s="35"/>
      <c r="BF314" s="35"/>
      <c r="BG314" s="35"/>
      <c r="BH314" s="35"/>
      <c r="BI314" s="35"/>
      <c r="BJ314" s="35"/>
      <c r="BK314" s="35"/>
      <c r="BL314" s="35"/>
      <c r="BM314" s="35"/>
      <c r="BN314" s="35"/>
      <c r="BO314" s="35"/>
      <c r="BP314" s="35"/>
      <c r="BQ314" s="345"/>
      <c r="BR314" s="345"/>
      <c r="BS314" s="345"/>
      <c r="BT314" s="345"/>
      <c r="BU314" s="345"/>
      <c r="BV314" s="345"/>
      <c r="BW314" s="345"/>
      <c r="BX314" s="345"/>
      <c r="BY314" s="345"/>
      <c r="BZ314" s="345"/>
      <c r="CA314" s="35">
        <v>4.6433426583484663E-2</v>
      </c>
      <c r="CB314" s="35">
        <v>4.805805672834821E-2</v>
      </c>
      <c r="CC314" s="35">
        <v>5.4714920951267058E-2</v>
      </c>
      <c r="CD314" s="35">
        <v>5.6221464590520458E-2</v>
      </c>
      <c r="CE314" s="35">
        <v>1.9909215458461884E-2</v>
      </c>
      <c r="CF314" s="35">
        <v>2.0808868715598491E-2</v>
      </c>
      <c r="CG314" s="35">
        <v>2.4571122354004934E-2</v>
      </c>
      <c r="CH314" s="35">
        <v>8.9593635838957943E-3</v>
      </c>
      <c r="CI314" s="35">
        <v>1.6668884078652153E-2</v>
      </c>
      <c r="CJ314" s="35">
        <v>1.7620060398842844E-2</v>
      </c>
      <c r="CK314" s="37">
        <v>1.1120378004481502E-2</v>
      </c>
      <c r="CL314" s="37">
        <v>6.731545971771123E-3</v>
      </c>
      <c r="CM314" s="37">
        <v>6.4772977308738674E-3</v>
      </c>
      <c r="CN314" s="37">
        <v>3.4118507348461073E-3</v>
      </c>
      <c r="CO314" s="37">
        <v>4.3221493650592744E-3</v>
      </c>
      <c r="CP314" s="37">
        <v>3.9049662604810327E-3</v>
      </c>
      <c r="CQ314" s="37">
        <v>4.5048405144890403E-3</v>
      </c>
      <c r="CR314" s="37">
        <v>2.0946416777337337E-3</v>
      </c>
      <c r="CS314" s="37">
        <v>-3.4700354969936864E-3</v>
      </c>
      <c r="CT314" s="37">
        <v>-4.3364795166383596E-3</v>
      </c>
      <c r="CU314" s="37">
        <v>1.7892293262778435E-3</v>
      </c>
      <c r="CV314" s="36">
        <v>8.9546078404726375E-3</v>
      </c>
      <c r="CW314" s="35">
        <v>3.1903854576926069E-3</v>
      </c>
      <c r="CX314" s="35">
        <v>0</v>
      </c>
      <c r="CY314" s="35">
        <v>0</v>
      </c>
      <c r="CZ314" s="35">
        <v>0</v>
      </c>
      <c r="DA314" s="35">
        <v>0</v>
      </c>
      <c r="DB314" s="35">
        <v>0</v>
      </c>
      <c r="DC314" s="35">
        <v>0</v>
      </c>
      <c r="DD314" s="35">
        <v>0</v>
      </c>
      <c r="DE314" s="35">
        <v>0</v>
      </c>
      <c r="DF314" s="35">
        <v>0</v>
      </c>
    </row>
    <row r="315" spans="1:110" ht="12" outlineLevel="1">
      <c r="A315" s="1" t="s">
        <v>170</v>
      </c>
      <c r="B315" s="15" t="s">
        <v>593</v>
      </c>
      <c r="C315" s="345">
        <v>4.856383333333332E-2</v>
      </c>
      <c r="D315" s="345">
        <v>4.3449999999999996E-2</v>
      </c>
      <c r="E315" s="345">
        <v>4.9258500000000004E-2</v>
      </c>
      <c r="F315" s="345">
        <v>4.8122166666666667E-2</v>
      </c>
      <c r="G315" s="345">
        <v>4.7991666666666676E-2</v>
      </c>
      <c r="H315" s="345">
        <v>5.4583333333333331E-2</v>
      </c>
      <c r="I315" s="345">
        <v>5.4835999999999996E-2</v>
      </c>
      <c r="J315" s="345">
        <v>5.5772166666666657E-2</v>
      </c>
      <c r="K315" s="345">
        <v>5.6622333333333337E-2</v>
      </c>
      <c r="L315" s="345">
        <v>-2.1056570312751204E-3</v>
      </c>
      <c r="M315" s="35">
        <v>-1.9897719155722118E-4</v>
      </c>
      <c r="N315" s="35">
        <v>3.5063273597353225E-4</v>
      </c>
      <c r="O315" s="35">
        <v>5.4838488354215281E-4</v>
      </c>
      <c r="P315" s="35">
        <v>5.3079379045878313E-3</v>
      </c>
      <c r="Q315" s="35">
        <v>7.3560820634845847E-3</v>
      </c>
      <c r="R315" s="35">
        <v>-9.6440890999078214E-3</v>
      </c>
      <c r="S315" s="35">
        <v>-1.354021900938797E-3</v>
      </c>
      <c r="T315" s="35">
        <v>5.360499696086706E-3</v>
      </c>
      <c r="U315" s="35">
        <v>7.7207563486208662E-3</v>
      </c>
      <c r="V315" s="35">
        <v>5.5939984486934879E-3</v>
      </c>
      <c r="W315" s="35">
        <v>5.6605738323960396E-3</v>
      </c>
      <c r="X315" s="35">
        <v>3.9741803563363275E-3</v>
      </c>
      <c r="Y315" s="37">
        <v>-3.0515001263725893E-4</v>
      </c>
      <c r="Z315" s="37">
        <v>-8.0167139427249042E-4</v>
      </c>
      <c r="AA315" s="37">
        <v>-1.6961080705610345E-4</v>
      </c>
      <c r="AB315" s="37">
        <v>4.1041916788421605E-4</v>
      </c>
      <c r="AC315" s="37">
        <v>1.3897015941356852E-3</v>
      </c>
      <c r="AD315" s="144">
        <v>1.529608380979014E-3</v>
      </c>
      <c r="AE315" s="144">
        <v>2.8673468064304916E-4</v>
      </c>
      <c r="AF315" s="414">
        <v>1.8218780218654737E-3</v>
      </c>
      <c r="AG315" s="414">
        <v>-5.8831544659608548E-4</v>
      </c>
      <c r="AH315" s="414">
        <v>-2.1028080350910007E-3</v>
      </c>
      <c r="AI315" s="414">
        <v>-4.0984803068490824E-3</v>
      </c>
      <c r="AJ315" s="414">
        <v>-3.7709080578275066E-3</v>
      </c>
      <c r="AK315" s="414">
        <v>-3.7548299380880598E-3</v>
      </c>
      <c r="AL315" s="414">
        <v>-5.5968000439091045E-3</v>
      </c>
      <c r="AM315" s="414">
        <v>-1.0931787613945202E-2</v>
      </c>
      <c r="AN315" s="414">
        <v>-1.0475473478369622E-2</v>
      </c>
      <c r="AO315" s="414">
        <v>-9.863614777554713E-3</v>
      </c>
      <c r="AP315" s="414">
        <v>-5.6123750740247787E-3</v>
      </c>
      <c r="AQ315" s="414">
        <v>-3.619887038546142E-3</v>
      </c>
      <c r="AR315" s="414">
        <v>-3.6101992427991147E-3</v>
      </c>
      <c r="AS315" s="414">
        <v>2.2685253259320335E-3</v>
      </c>
      <c r="AT315" s="414">
        <v>-2.0806598760266665E-3</v>
      </c>
      <c r="AU315" s="414">
        <v>-4.8293727234720099E-3</v>
      </c>
      <c r="AV315" s="419">
        <v>-6.2817221134480114E-3</v>
      </c>
      <c r="AW315" s="35"/>
      <c r="AX315" s="35"/>
      <c r="AY315" s="35"/>
      <c r="AZ315" s="35"/>
      <c r="BA315" s="35"/>
      <c r="BB315" s="35"/>
      <c r="BC315" s="35"/>
      <c r="BD315" s="35"/>
      <c r="BE315" s="35"/>
      <c r="BF315" s="35"/>
      <c r="BG315" s="35"/>
      <c r="BH315" s="35"/>
      <c r="BI315" s="35"/>
      <c r="BJ315" s="35"/>
      <c r="BK315" s="35"/>
      <c r="BL315" s="35"/>
      <c r="BM315" s="35"/>
      <c r="BN315" s="35"/>
      <c r="BO315" s="35"/>
      <c r="BP315" s="35"/>
      <c r="BQ315" s="345"/>
      <c r="BR315" s="345"/>
      <c r="BS315" s="345"/>
      <c r="BT315" s="345"/>
      <c r="BU315" s="345"/>
      <c r="BV315" s="345"/>
      <c r="BW315" s="345"/>
      <c r="BX315" s="345"/>
      <c r="BY315" s="345"/>
      <c r="BZ315" s="345"/>
      <c r="CA315" s="35">
        <v>4.643710102129317E-2</v>
      </c>
      <c r="CB315" s="35">
        <v>4.8058010797370897E-2</v>
      </c>
      <c r="CC315" s="35">
        <v>5.4717999994833726E-2</v>
      </c>
      <c r="CD315" s="35">
        <v>5.6206140946750742E-2</v>
      </c>
      <c r="CE315" s="35">
        <v>-1.1311386687176091E-3</v>
      </c>
      <c r="CF315" s="35">
        <v>4.5414861325165652E-4</v>
      </c>
      <c r="CG315" s="35">
        <v>6.3940002109974855E-3</v>
      </c>
      <c r="CH315" s="35">
        <v>-5.4968332163540402E-3</v>
      </c>
      <c r="CI315" s="35">
        <v>6.5147072651482348E-3</v>
      </c>
      <c r="CJ315" s="35">
        <v>5.6281305274963863E-3</v>
      </c>
      <c r="CK315" s="37">
        <v>1.7444085494753756E-3</v>
      </c>
      <c r="CL315" s="37">
        <v>-4.7681396174610873E-4</v>
      </c>
      <c r="CM315" s="37">
        <v>8.9966015479424019E-4</v>
      </c>
      <c r="CN315" s="37">
        <v>9.0674111969219395E-4</v>
      </c>
      <c r="CO315" s="37">
        <v>6.161444931037268E-4</v>
      </c>
      <c r="CP315" s="37">
        <v>-3.0788178832916006E-3</v>
      </c>
      <c r="CQ315" s="37">
        <v>-3.7627892021201829E-3</v>
      </c>
      <c r="CR315" s="37">
        <v>-8.3158342986703031E-3</v>
      </c>
      <c r="CS315" s="37">
        <v>-1.0181801917243639E-2</v>
      </c>
      <c r="CT315" s="37">
        <v>-4.6325638866303535E-3</v>
      </c>
      <c r="CU315" s="37">
        <v>-5.7076991996531231E-4</v>
      </c>
      <c r="CV315" s="36">
        <v>-3.5137864478966062E-3</v>
      </c>
      <c r="CW315" s="35">
        <v>-3.1239306924973238E-3</v>
      </c>
      <c r="CX315" s="35">
        <v>0</v>
      </c>
      <c r="CY315" s="35">
        <v>0</v>
      </c>
      <c r="CZ315" s="35">
        <v>0</v>
      </c>
      <c r="DA315" s="35">
        <v>0</v>
      </c>
      <c r="DB315" s="35">
        <v>0</v>
      </c>
      <c r="DC315" s="35">
        <v>0</v>
      </c>
      <c r="DD315" s="35">
        <v>0</v>
      </c>
      <c r="DE315" s="35">
        <v>0</v>
      </c>
      <c r="DF315" s="35">
        <v>0</v>
      </c>
    </row>
    <row r="316" spans="1:110" s="17" customFormat="1" ht="12" outlineLevel="1">
      <c r="A316" s="1" t="s">
        <v>171</v>
      </c>
      <c r="B316" s="17" t="s">
        <v>168</v>
      </c>
      <c r="C316" s="387">
        <v>4.856383333333332E-2</v>
      </c>
      <c r="D316" s="387">
        <v>4.3449999999999989E-2</v>
      </c>
      <c r="E316" s="387">
        <v>4.9258500000000011E-2</v>
      </c>
      <c r="F316" s="387">
        <v>4.8122166666666667E-2</v>
      </c>
      <c r="G316" s="387">
        <v>4.7991666666666682E-2</v>
      </c>
      <c r="H316" s="387">
        <v>5.4583333333333331E-2</v>
      </c>
      <c r="I316" s="387">
        <v>5.4836000000000003E-2</v>
      </c>
      <c r="J316" s="387">
        <v>5.5772166666666657E-2</v>
      </c>
      <c r="K316" s="387">
        <v>5.6622333333333323E-2</v>
      </c>
      <c r="L316" s="387">
        <v>8.4576547476820831E-3</v>
      </c>
      <c r="M316" s="70">
        <v>9.9935248439171707E-3</v>
      </c>
      <c r="N316" s="70">
        <v>1.0702128657820307E-2</v>
      </c>
      <c r="O316" s="70">
        <v>1.0556867502640824E-2</v>
      </c>
      <c r="P316" s="70">
        <v>1.4225906938918433E-2</v>
      </c>
      <c r="Q316" s="70">
        <v>1.4745779704668621E-2</v>
      </c>
      <c r="R316" s="70">
        <v>-1.9705032782600545E-3</v>
      </c>
      <c r="S316" s="70">
        <v>3.0847429676879967E-3</v>
      </c>
      <c r="T316" s="70">
        <v>9.2923559470334434E-3</v>
      </c>
      <c r="U316" s="70">
        <v>1.1828801799392859E-2</v>
      </c>
      <c r="V316" s="70">
        <v>1.0224907050687059E-2</v>
      </c>
      <c r="W316" s="70">
        <v>1.0246868951872044E-2</v>
      </c>
      <c r="X316" s="70">
        <v>8.0071099652203066E-3</v>
      </c>
      <c r="Y316" s="232">
        <v>2.9805372405372209E-3</v>
      </c>
      <c r="Z316" s="232">
        <v>1.7723818489848626E-3</v>
      </c>
      <c r="AA316" s="232">
        <v>3.0403011807027575E-3</v>
      </c>
      <c r="AB316" s="232">
        <v>3.1023140133924418E-3</v>
      </c>
      <c r="AC316" s="232">
        <v>3.5220203334974973E-3</v>
      </c>
      <c r="AD316" s="232">
        <v>2.7436074393180528E-3</v>
      </c>
      <c r="AE316" s="232">
        <v>1.4318744628609406E-3</v>
      </c>
      <c r="AF316" s="232">
        <v>3.3082021567610595E-3</v>
      </c>
      <c r="AG316" s="232">
        <v>1.5488610119682841E-3</v>
      </c>
      <c r="AH316" s="232">
        <v>8.1413245534010846E-4</v>
      </c>
      <c r="AI316" s="232">
        <v>1.2231193624126792E-4</v>
      </c>
      <c r="AJ316" s="232">
        <v>-3.7878723470656178E-5</v>
      </c>
      <c r="AK316" s="232">
        <v>8.5370126648903093E-4</v>
      </c>
      <c r="AL316" s="232">
        <v>-4.9228519343098463E-4</v>
      </c>
      <c r="AM316" s="232">
        <v>-5.6126790968476859E-3</v>
      </c>
      <c r="AN316" s="232">
        <v>-5.7925842261229848E-3</v>
      </c>
      <c r="AO316" s="232">
        <v>-6.9053427140360352E-3</v>
      </c>
      <c r="AP316" s="232">
        <v>-5.0026072469332343E-3</v>
      </c>
      <c r="AQ316" s="232">
        <v>-3.9090753975331927E-3</v>
      </c>
      <c r="AR316" s="232">
        <v>-3.6533638364534739E-3</v>
      </c>
      <c r="AS316" s="232">
        <v>5.3442958255935985E-3</v>
      </c>
      <c r="AT316" s="232">
        <v>4.511479482405374E-3</v>
      </c>
      <c r="AU316" s="232">
        <v>2.4948088940258801E-3</v>
      </c>
      <c r="AV316" s="72">
        <v>5.7761734953293232E-4</v>
      </c>
      <c r="AW316" s="70">
        <v>7.9968718813440811E-4</v>
      </c>
      <c r="AX316" s="70">
        <v>8.9500490185477394E-4</v>
      </c>
      <c r="AY316" s="70">
        <v>1.0385462768863882E-3</v>
      </c>
      <c r="AZ316" s="70">
        <v>9.8724762409666271E-4</v>
      </c>
      <c r="BA316" s="70">
        <v>9.8774782939072534E-4</v>
      </c>
      <c r="BB316" s="70">
        <v>9.678102005003772E-4</v>
      </c>
      <c r="BC316" s="70">
        <v>9.5767937772962223E-4</v>
      </c>
      <c r="BD316" s="70">
        <v>1.0045644238315405E-3</v>
      </c>
      <c r="BE316" s="70">
        <v>1.051488952253379E-3</v>
      </c>
      <c r="BF316" s="70">
        <v>1.0984588361834136E-3</v>
      </c>
      <c r="BG316" s="70">
        <v>1.1454797786229931E-3</v>
      </c>
      <c r="BH316" s="70">
        <v>1.1925573150472896E-3</v>
      </c>
      <c r="BI316" s="70">
        <v>1.2396968158908924E-3</v>
      </c>
      <c r="BJ316" s="70">
        <v>1.2864473244535838E-3</v>
      </c>
      <c r="BK316" s="70">
        <v>1.3325058142245783E-3</v>
      </c>
      <c r="BL316" s="70">
        <v>1.3785717697808667E-3</v>
      </c>
      <c r="BM316" s="70">
        <v>1.4251935313226464E-3</v>
      </c>
      <c r="BN316" s="70">
        <v>1.4483661963870758E-3</v>
      </c>
      <c r="BO316" s="70">
        <v>1.4483661963870752E-3</v>
      </c>
      <c r="BP316" s="70"/>
      <c r="BQ316" s="387">
        <v>-2.0924119765811729E-3</v>
      </c>
      <c r="BR316" s="387">
        <v>-2.1213602595849631E-4</v>
      </c>
      <c r="BS316" s="387">
        <v>5.7754833535818544E-3</v>
      </c>
      <c r="BT316" s="387">
        <v>2.1221799860955678E-2</v>
      </c>
      <c r="BU316" s="387">
        <v>1.4420070581009463E-2</v>
      </c>
      <c r="BV316" s="387">
        <v>7.9830475536896463E-3</v>
      </c>
      <c r="BW316" s="387">
        <v>-2.0786698832646311E-3</v>
      </c>
      <c r="BX316" s="387">
        <v>8.1487208831255379E-3</v>
      </c>
      <c r="BY316" s="387">
        <v>1.2968488097128831E-2</v>
      </c>
      <c r="BZ316" s="387">
        <v>1.0134448361980346E-2</v>
      </c>
      <c r="CA316" s="70">
        <v>4.6435239939475757E-2</v>
      </c>
      <c r="CB316" s="70">
        <v>4.8058033772157463E-2</v>
      </c>
      <c r="CC316" s="70">
        <v>5.4716465212028872E-2</v>
      </c>
      <c r="CD316" s="70">
        <v>5.6213641445992571E-2</v>
      </c>
      <c r="CE316" s="70">
        <v>9.2453398656549262E-3</v>
      </c>
      <c r="CF316" s="70">
        <v>1.0657600656546641E-2</v>
      </c>
      <c r="CG316" s="70">
        <v>1.4493987377873318E-2</v>
      </c>
      <c r="CH316" s="70">
        <v>5.8367405661722551E-4</v>
      </c>
      <c r="CI316" s="70">
        <v>1.0525585634596858E-2</v>
      </c>
      <c r="CJ316" s="70">
        <v>1.0236220022532981E-2</v>
      </c>
      <c r="CK316" s="232">
        <v>5.4173111774305002E-3</v>
      </c>
      <c r="CL316" s="232">
        <v>2.4267827500121073E-3</v>
      </c>
      <c r="CM316" s="232">
        <v>3.3151492560564897E-3</v>
      </c>
      <c r="CN316" s="232">
        <v>2.0749748028198434E-3</v>
      </c>
      <c r="CO316" s="232">
        <v>2.424134326935592E-3</v>
      </c>
      <c r="CP316" s="232">
        <v>4.6517246832767777E-4</v>
      </c>
      <c r="CQ316" s="232">
        <v>4.0996043337700232E-4</v>
      </c>
      <c r="CR316" s="232">
        <v>-3.125804346221788E-3</v>
      </c>
      <c r="CS316" s="232">
        <v>-6.6092601928148184E-3</v>
      </c>
      <c r="CT316" s="232">
        <v>-4.4520478309820833E-3</v>
      </c>
      <c r="CU316" s="232">
        <v>9.1871149426352931E-4</v>
      </c>
      <c r="CV316" s="72">
        <v>3.4921878124319719E-3</v>
      </c>
      <c r="CW316" s="70">
        <v>6.9039503720742172E-4</v>
      </c>
      <c r="CX316" s="70">
        <v>9.6743529766395967E-4</v>
      </c>
      <c r="CY316" s="70">
        <v>9.8749976142657823E-4</v>
      </c>
      <c r="CZ316" s="70">
        <v>9.6268674035161208E-4</v>
      </c>
      <c r="DA316" s="70">
        <v>1.028251918815358E-3</v>
      </c>
      <c r="DB316" s="70">
        <v>1.1222611934939329E-3</v>
      </c>
      <c r="DC316" s="70">
        <v>1.2164214576607616E-3</v>
      </c>
      <c r="DD316" s="70">
        <v>1.3097975744022937E-3</v>
      </c>
      <c r="DE316" s="70">
        <v>1.4021558243933799E-3</v>
      </c>
      <c r="DF316" s="70">
        <v>1.4483661963870756E-3</v>
      </c>
    </row>
    <row r="317" spans="1:110" ht="12" outlineLevel="1">
      <c r="A317" s="1" t="s">
        <v>172</v>
      </c>
      <c r="B317" s="15" t="s">
        <v>277</v>
      </c>
      <c r="C317" s="345">
        <v>1.9223318163319947E-2</v>
      </c>
      <c r="D317" s="345">
        <v>1.7885962904960227E-2</v>
      </c>
      <c r="E317" s="345">
        <v>2.1370896397589965E-2</v>
      </c>
      <c r="F317" s="345">
        <v>1.581382669591351E-2</v>
      </c>
      <c r="G317" s="345">
        <v>1.3766241669444934E-2</v>
      </c>
      <c r="H317" s="345">
        <v>3.1997836815996273E-3</v>
      </c>
      <c r="I317" s="345">
        <v>-1.2566915322131951E-2</v>
      </c>
      <c r="J317" s="345">
        <v>-8.6155356688359094E-2</v>
      </c>
      <c r="K317" s="345">
        <v>-8.7617430213970782E-2</v>
      </c>
      <c r="L317" s="345">
        <v>-3.8571192747787661E-3</v>
      </c>
      <c r="M317" s="35">
        <v>-2.201141248599078E-4</v>
      </c>
      <c r="N317" s="35">
        <v>-1.9119363294536186E-3</v>
      </c>
      <c r="O317" s="35">
        <v>-2.6212555656373025E-3</v>
      </c>
      <c r="P317" s="35">
        <v>1.1236233722075149E-4</v>
      </c>
      <c r="Q317" s="35">
        <v>1.3456165592472724E-3</v>
      </c>
      <c r="R317" s="35">
        <v>-1.2883159993534142E-2</v>
      </c>
      <c r="S317" s="35">
        <v>-6.2201467790950135E-3</v>
      </c>
      <c r="T317" s="35">
        <v>-7.8357603386835519E-4</v>
      </c>
      <c r="U317" s="35">
        <v>-1.1258087556469745E-3</v>
      </c>
      <c r="V317" s="35">
        <v>-1.1520616713297611E-3</v>
      </c>
      <c r="W317" s="35">
        <v>-1.5061285536595375E-5</v>
      </c>
      <c r="X317" s="35">
        <v>2.1588780168344186E-4</v>
      </c>
      <c r="Y317" s="37">
        <v>-3.7701136683709986E-3</v>
      </c>
      <c r="Z317" s="37">
        <v>-5.5138410866410201E-3</v>
      </c>
      <c r="AA317" s="37">
        <v>-9.0828478621849534E-3</v>
      </c>
      <c r="AB317" s="37">
        <v>-8.0056588700174423E-3</v>
      </c>
      <c r="AC317" s="37">
        <v>-6.1700901165742568E-3</v>
      </c>
      <c r="AD317" s="37">
        <v>-3.3555256015450198E-3</v>
      </c>
      <c r="AE317" s="37">
        <v>-6.2432914221046531E-3</v>
      </c>
      <c r="AF317" s="37">
        <v>-3.8032681495332463E-3</v>
      </c>
      <c r="AG317" s="37">
        <v>-8.4732631664184918E-3</v>
      </c>
      <c r="AH317" s="37">
        <v>-8.2598662849082006E-3</v>
      </c>
      <c r="AI317" s="37">
        <v>-9.7423839265302539E-3</v>
      </c>
      <c r="AJ317" s="37">
        <v>-1.0010627414332543E-2</v>
      </c>
      <c r="AK317" s="37">
        <v>-1.001719291992457E-2</v>
      </c>
      <c r="AL317" s="37">
        <v>-9.754614817180679E-3</v>
      </c>
      <c r="AM317" s="37">
        <v>-1.3764811480938735E-2</v>
      </c>
      <c r="AN317" s="37">
        <v>-1.280569574365145E-2</v>
      </c>
      <c r="AO317" s="37">
        <v>-1.0556420505124503E-2</v>
      </c>
      <c r="AP317" s="37">
        <v>-1.1388232112330343E-2</v>
      </c>
      <c r="AQ317" s="37">
        <v>-1.004962667254064E-2</v>
      </c>
      <c r="AR317" s="37">
        <v>-9.8053287018080738E-3</v>
      </c>
      <c r="AS317" s="37">
        <v>-2.8217545970976284E-3</v>
      </c>
      <c r="AT317" s="37">
        <v>-6.46465817334796E-3</v>
      </c>
      <c r="AU317" s="37">
        <v>-7.8209599823090715E-3</v>
      </c>
      <c r="AV317" s="36">
        <v>-7.5704324816215649E-3</v>
      </c>
      <c r="AW317" s="35">
        <v>-7.8704324816215657E-3</v>
      </c>
      <c r="AX317" s="35">
        <v>-7.8704324816215657E-3</v>
      </c>
      <c r="AY317" s="35">
        <v>-7.8704324816215657E-3</v>
      </c>
      <c r="AZ317" s="35">
        <v>-8.1204324816215659E-3</v>
      </c>
      <c r="BA317" s="35">
        <v>-8.1204324816215659E-3</v>
      </c>
      <c r="BB317" s="35">
        <v>-8.2204324816215653E-3</v>
      </c>
      <c r="BC317" s="35">
        <v>-8.3204324816215647E-3</v>
      </c>
      <c r="BD317" s="35">
        <v>-8.3204324816215647E-3</v>
      </c>
      <c r="BE317" s="35">
        <v>-8.3204324816215647E-3</v>
      </c>
      <c r="BF317" s="35">
        <v>-8.3204324816215647E-3</v>
      </c>
      <c r="BG317" s="35">
        <v>-8.3204324816215647E-3</v>
      </c>
      <c r="BH317" s="35">
        <v>-8.3204324816215647E-3</v>
      </c>
      <c r="BI317" s="35">
        <v>-8.3204324816215647E-3</v>
      </c>
      <c r="BJ317" s="35">
        <v>-8.3204324816215647E-3</v>
      </c>
      <c r="BK317" s="35">
        <v>-8.3204324816215647E-3</v>
      </c>
      <c r="BL317" s="35">
        <v>-8.3204324816215647E-3</v>
      </c>
      <c r="BM317" s="35">
        <v>-8.3204324816215647E-3</v>
      </c>
      <c r="BN317" s="35">
        <v>-8.3204324816215647E-3</v>
      </c>
      <c r="BO317" s="35">
        <v>-8.3204324816215647E-3</v>
      </c>
      <c r="BP317" s="35"/>
      <c r="BQ317" s="345">
        <v>2.9839111002260509E-2</v>
      </c>
      <c r="BR317" s="345">
        <v>-9.389141178819822E-3</v>
      </c>
      <c r="BS317" s="345">
        <v>2.7300970898657606E-3</v>
      </c>
      <c r="BT317" s="345">
        <v>2.5927088010776959E-3</v>
      </c>
      <c r="BU317" s="345">
        <v>-1.0758684152778139E-3</v>
      </c>
      <c r="BV317" s="345">
        <v>-1.565674130730086E-2</v>
      </c>
      <c r="BW317" s="345">
        <v>-4.5961462967809381E-3</v>
      </c>
      <c r="BX317" s="345">
        <v>-9.2860375941101938E-3</v>
      </c>
      <c r="BY317" s="345">
        <v>-6.0233838784962664E-3</v>
      </c>
      <c r="BZ317" s="345">
        <v>-9.3788123701204051E-3</v>
      </c>
      <c r="CA317" s="35">
        <v>1.961264916370363E-2</v>
      </c>
      <c r="CB317" s="35">
        <v>1.479073206700844E-2</v>
      </c>
      <c r="CC317" s="35">
        <v>-4.3214490528480755E-3</v>
      </c>
      <c r="CD317" s="35">
        <v>-8.6952399800126479E-2</v>
      </c>
      <c r="CE317" s="35">
        <v>-2.003116664156993E-3</v>
      </c>
      <c r="CF317" s="35">
        <v>-2.2702733283103006E-3</v>
      </c>
      <c r="CG317" s="35">
        <v>7.4192365005681363E-4</v>
      </c>
      <c r="CH317" s="35">
        <v>-9.7253208006613141E-3</v>
      </c>
      <c r="CI317" s="35">
        <v>-9.7372679907128858E-4</v>
      </c>
      <c r="CJ317" s="35">
        <v>-5.7078286634047E-4</v>
      </c>
      <c r="CK317" s="37">
        <v>-1.7894165067017112E-3</v>
      </c>
      <c r="CL317" s="37">
        <v>-7.3927893802231311E-3</v>
      </c>
      <c r="CM317" s="37">
        <v>-7.0370408511603241E-3</v>
      </c>
      <c r="CN317" s="37">
        <v>-4.8165024426639605E-3</v>
      </c>
      <c r="CO317" s="37">
        <v>-6.1370604933753013E-3</v>
      </c>
      <c r="CP317" s="37">
        <v>-9.0011640730570091E-3</v>
      </c>
      <c r="CQ317" s="37">
        <v>-1.0014018013971065E-2</v>
      </c>
      <c r="CR317" s="37">
        <v>-1.1741345833390312E-2</v>
      </c>
      <c r="CS317" s="37">
        <v>-1.2053648890448831E-2</v>
      </c>
      <c r="CT317" s="37">
        <v>-1.0713650546666318E-2</v>
      </c>
      <c r="CU317" s="37">
        <v>-6.2063920198018527E-3</v>
      </c>
      <c r="CV317" s="36">
        <v>-7.1421082385338952E-3</v>
      </c>
      <c r="CW317" s="35">
        <v>-7.7190828409296362E-3</v>
      </c>
      <c r="CX317" s="35">
        <v>-7.8704324816215639E-3</v>
      </c>
      <c r="CY317" s="35">
        <v>-8.1204324816215659E-3</v>
      </c>
      <c r="CZ317" s="35">
        <v>-8.2709286877210488E-3</v>
      </c>
      <c r="DA317" s="35">
        <v>-8.3204324816215647E-3</v>
      </c>
      <c r="DB317" s="35">
        <v>-8.3204324816215647E-3</v>
      </c>
      <c r="DC317" s="35">
        <v>-8.3204324816215647E-3</v>
      </c>
      <c r="DD317" s="35">
        <v>-8.3204324816215647E-3</v>
      </c>
      <c r="DE317" s="35">
        <v>-8.3204324816215664E-3</v>
      </c>
      <c r="DF317" s="35">
        <v>-8.3204324816215647E-3</v>
      </c>
    </row>
    <row r="318" spans="1:110" ht="12" outlineLevel="1">
      <c r="A318" s="1" t="s">
        <v>173</v>
      </c>
      <c r="B318" s="15" t="s">
        <v>278</v>
      </c>
      <c r="C318" s="345">
        <v>4.8563833333333327E-2</v>
      </c>
      <c r="D318" s="345">
        <v>4.3449999999999996E-2</v>
      </c>
      <c r="E318" s="345">
        <v>4.9258500000000004E-2</v>
      </c>
      <c r="F318" s="345">
        <v>4.8122166666666667E-2</v>
      </c>
      <c r="G318" s="345">
        <v>4.7991666666666676E-2</v>
      </c>
      <c r="H318" s="345">
        <v>5.4583333333333331E-2</v>
      </c>
      <c r="I318" s="345">
        <v>5.4836000000000003E-2</v>
      </c>
      <c r="J318" s="345">
        <v>5.5772166666666657E-2</v>
      </c>
      <c r="K318" s="345">
        <v>5.662233333333333E-2</v>
      </c>
      <c r="L318" s="345">
        <v>5.6355846153846152E-2</v>
      </c>
      <c r="M318" s="35">
        <v>6.0129769230769285E-2</v>
      </c>
      <c r="N318" s="35">
        <v>6.3802999999999985E-2</v>
      </c>
      <c r="O318" s="35">
        <v>6.5715230769230776E-2</v>
      </c>
      <c r="P318" s="35">
        <v>7.3364427480916011E-2</v>
      </c>
      <c r="Q318" s="35">
        <v>7.6400687022900773E-2</v>
      </c>
      <c r="R318" s="35">
        <v>4.2395307692307697E-2</v>
      </c>
      <c r="S318" s="35">
        <v>3.216022900763358E-2</v>
      </c>
      <c r="T318" s="35">
        <v>4.1024615384615402E-2</v>
      </c>
      <c r="U318" s="35">
        <v>4.7748091603053433E-2</v>
      </c>
      <c r="V318" s="35">
        <v>4.9392307692307597E-2</v>
      </c>
      <c r="W318" s="35">
        <v>4.9166412213740462E-2</v>
      </c>
      <c r="X318" s="35">
        <v>4.5109230769230797E-2</v>
      </c>
      <c r="Y318" s="37">
        <v>3.6663076923076902E-2</v>
      </c>
      <c r="Z318" s="37">
        <v>3.0902538461538499E-2</v>
      </c>
      <c r="AA318" s="37">
        <v>2.7602290076335901E-2</v>
      </c>
      <c r="AB318" s="37">
        <v>2.6119230769230804E-2</v>
      </c>
      <c r="AC318" s="37">
        <v>2.6741666666666664E-2</v>
      </c>
      <c r="AD318" s="37">
        <v>2.5995876923076939E-2</v>
      </c>
      <c r="AE318" s="37">
        <v>2.1649618320610679E-2</v>
      </c>
      <c r="AF318" s="37">
        <v>2.26862595419847E-2</v>
      </c>
      <c r="AG318" s="37">
        <v>1.94579923664122E-2</v>
      </c>
      <c r="AH318" s="37">
        <v>1.7719200000000001E-2</v>
      </c>
      <c r="AI318" s="37">
        <v>1.7227309999999999E-2</v>
      </c>
      <c r="AJ318" s="37">
        <v>1.7827692307692301E-2</v>
      </c>
      <c r="AK318" s="37">
        <v>1.9993076923076926E-2</v>
      </c>
      <c r="AL318" s="37">
        <v>1.9621538461538499E-2</v>
      </c>
      <c r="AM318" s="37">
        <v>1.2658778625954201E-2</v>
      </c>
      <c r="AN318" s="37">
        <v>8.3061068702290197E-3</v>
      </c>
      <c r="AO318" s="37">
        <v>1.1099236641221399E-3</v>
      </c>
      <c r="AP318" s="37">
        <v>3.4490740740740738E-4</v>
      </c>
      <c r="AQ318" s="37">
        <v>3.83571428571428E-4</v>
      </c>
      <c r="AR318" s="37">
        <v>8.6689230769230769E-4</v>
      </c>
      <c r="AS318" s="37">
        <v>1.713309160305344E-2</v>
      </c>
      <c r="AT318" s="37">
        <v>3.2851469230769231E-2</v>
      </c>
      <c r="AU318" s="37">
        <v>4.0793623076923094E-2</v>
      </c>
      <c r="AV318" s="36">
        <v>4.3398653846153844E-2</v>
      </c>
      <c r="AW318" s="35">
        <v>4.5226499999999996E-2</v>
      </c>
      <c r="AX318" s="35">
        <v>4.4749999999999998E-2</v>
      </c>
      <c r="AY318" s="35">
        <v>3.9750000000000001E-2</v>
      </c>
      <c r="AZ318" s="35">
        <v>3.5000000000000003E-2</v>
      </c>
      <c r="BA318" s="35">
        <v>3.5000000000000003E-2</v>
      </c>
      <c r="BB318" s="35">
        <v>3.5000000000000003E-2</v>
      </c>
      <c r="BC318" s="35">
        <v>3.5000000000000003E-2</v>
      </c>
      <c r="BD318" s="35">
        <v>3.5000000000000003E-2</v>
      </c>
      <c r="BE318" s="35">
        <v>3.5000000000000003E-2</v>
      </c>
      <c r="BF318" s="35">
        <v>3.5000000000000003E-2</v>
      </c>
      <c r="BG318" s="35">
        <v>3.5000000000000003E-2</v>
      </c>
      <c r="BH318" s="35">
        <v>3.5000000000000003E-2</v>
      </c>
      <c r="BI318" s="35">
        <v>3.5000000000000003E-2</v>
      </c>
      <c r="BJ318" s="35">
        <v>3.5000000000000003E-2</v>
      </c>
      <c r="BK318" s="35">
        <v>3.5000000000000003E-2</v>
      </c>
      <c r="BL318" s="35">
        <v>3.5000000000000003E-2</v>
      </c>
      <c r="BM318" s="35">
        <v>3.5000000000000003E-2</v>
      </c>
      <c r="BN318" s="35">
        <v>3.5000000000000003E-2</v>
      </c>
      <c r="BO318" s="35">
        <v>3.5000000000000003E-2</v>
      </c>
      <c r="BP318" s="35"/>
      <c r="BQ318" s="345">
        <v>6.987500000000002E-2</v>
      </c>
      <c r="BR318" s="345">
        <v>5.3925000000000008E-2</v>
      </c>
      <c r="BS318" s="345">
        <v>5.151583333333333E-2</v>
      </c>
      <c r="BT318" s="345">
        <v>7.6720833333333335E-2</v>
      </c>
      <c r="BU318" s="345">
        <v>7.3661666666666681E-2</v>
      </c>
      <c r="BV318" s="345">
        <v>5.6936166666666663E-2</v>
      </c>
      <c r="BW318" s="345">
        <v>5.062500000000001E-2</v>
      </c>
      <c r="BX318" s="345">
        <v>4.8845750000000007E-2</v>
      </c>
      <c r="BY318" s="345">
        <v>5.9791153846153834E-2</v>
      </c>
      <c r="BZ318" s="345">
        <v>5.4170000000000031E-2</v>
      </c>
      <c r="CA318" s="35">
        <v>4.6315679736157904E-2</v>
      </c>
      <c r="CB318" s="35">
        <v>4.8051677993831685E-2</v>
      </c>
      <c r="CC318" s="35">
        <v>5.468510414930762E-2</v>
      </c>
      <c r="CD318" s="35">
        <v>5.621982491358863E-2</v>
      </c>
      <c r="CE318" s="35">
        <v>5.6270985162033021E-2</v>
      </c>
      <c r="CF318" s="35">
        <v>6.4652604177034084E-2</v>
      </c>
      <c r="CG318" s="35">
        <v>7.5017118804568128E-2</v>
      </c>
      <c r="CH318" s="35">
        <v>3.7763425196403223E-2</v>
      </c>
      <c r="CI318" s="35">
        <v>4.4383355273174926E-2</v>
      </c>
      <c r="CJ318" s="35">
        <v>4.0524456830033147E-2</v>
      </c>
      <c r="CK318" s="37">
        <v>4.0479900777485825E-2</v>
      </c>
      <c r="CL318" s="37">
        <v>2.9636694357953765E-2</v>
      </c>
      <c r="CM318" s="37">
        <v>2.643872694886628E-2</v>
      </c>
      <c r="CN318" s="37">
        <v>2.3574927510184873E-2</v>
      </c>
      <c r="CO318" s="37">
        <v>2.1272291164600145E-2</v>
      </c>
      <c r="CP318" s="37">
        <v>1.7457349688910474E-2</v>
      </c>
      <c r="CQ318" s="37">
        <v>1.8959765799157743E-2</v>
      </c>
      <c r="CR318" s="37">
        <v>1.6800625931827171E-2</v>
      </c>
      <c r="CS318" s="37">
        <v>3.0881798197531962E-3</v>
      </c>
      <c r="CT318" s="37">
        <v>3.6527458742687116E-4</v>
      </c>
      <c r="CU318" s="37">
        <v>8.417825321042214E-3</v>
      </c>
      <c r="CV318" s="36">
        <v>3.670515214418469E-2</v>
      </c>
      <c r="CW318" s="35">
        <v>4.428217327285941E-2</v>
      </c>
      <c r="CX318" s="35">
        <v>4.2238324677015021E-2</v>
      </c>
      <c r="CY318" s="35">
        <v>3.5000000000000094E-2</v>
      </c>
      <c r="CZ318" s="35">
        <v>3.5000000000000114E-2</v>
      </c>
      <c r="DA318" s="35">
        <v>3.5000000000000066E-2</v>
      </c>
      <c r="DB318" s="35">
        <v>3.5000000000000149E-2</v>
      </c>
      <c r="DC318" s="35">
        <v>3.5000000000000121E-2</v>
      </c>
      <c r="DD318" s="35">
        <v>3.4999999999999892E-2</v>
      </c>
      <c r="DE318" s="35">
        <v>3.4999999999999989E-2</v>
      </c>
      <c r="DF318" s="35">
        <v>3.4999999999999976E-2</v>
      </c>
    </row>
    <row r="319" spans="1:110" s="17" customFormat="1" ht="12" outlineLevel="1">
      <c r="A319" s="1" t="s">
        <v>174</v>
      </c>
      <c r="B319" s="17" t="s">
        <v>582</v>
      </c>
      <c r="C319" s="387">
        <v>7.8420547383021705E-3</v>
      </c>
      <c r="D319" s="387">
        <v>9.5671906705015811E-3</v>
      </c>
      <c r="E319" s="387">
        <v>1.4069541591838618E-2</v>
      </c>
      <c r="F319" s="387">
        <v>1.1818320844247408E-2</v>
      </c>
      <c r="G319" s="387">
        <v>1.1202769958660604E-2</v>
      </c>
      <c r="H319" s="387">
        <v>1.3897398611655273E-2</v>
      </c>
      <c r="I319" s="387">
        <v>1.1802521623301671E-2</v>
      </c>
      <c r="J319" s="387">
        <v>6.9830954975802981E-3</v>
      </c>
      <c r="K319" s="387">
        <v>4.9686136990334251E-3</v>
      </c>
      <c r="L319" s="387">
        <v>5.8785160754099564E-3</v>
      </c>
      <c r="M319" s="70">
        <v>8.3110373571050611E-3</v>
      </c>
      <c r="N319" s="70">
        <v>8.6137482059043119E-3</v>
      </c>
      <c r="O319" s="70">
        <v>7.5605399432196255E-3</v>
      </c>
      <c r="P319" s="70">
        <v>1.0895775319169083E-2</v>
      </c>
      <c r="Q319" s="70">
        <v>1.2229617140893698E-2</v>
      </c>
      <c r="R319" s="70">
        <v>-3.1393823001313673E-3</v>
      </c>
      <c r="S319" s="70">
        <v>1.5819145970892359E-3</v>
      </c>
      <c r="T319" s="70">
        <v>7.7304009436937327E-3</v>
      </c>
      <c r="U319" s="70">
        <v>9.5298504688733562E-3</v>
      </c>
      <c r="V319" s="70">
        <v>8.7026124119641349E-3</v>
      </c>
      <c r="W319" s="70">
        <v>9.1137342394603041E-3</v>
      </c>
      <c r="X319" s="70">
        <v>7.9366431939008816E-3</v>
      </c>
      <c r="Y319" s="232">
        <v>3.3198952358123104E-3</v>
      </c>
      <c r="Z319" s="232">
        <v>1.7357209981568138E-3</v>
      </c>
      <c r="AA319" s="232">
        <v>1.6163500127603023E-3</v>
      </c>
      <c r="AB319" s="232">
        <v>1.8084766909245431E-3</v>
      </c>
      <c r="AC319" s="232">
        <v>2.436925550180824E-3</v>
      </c>
      <c r="AD319" s="232">
        <v>2.4167087375769683E-3</v>
      </c>
      <c r="AE319" s="232">
        <v>7.8674936953935723E-4</v>
      </c>
      <c r="AF319" s="232">
        <v>2.1173467110246896E-3</v>
      </c>
      <c r="AG319" s="232">
        <v>-6.2759183132153618E-4</v>
      </c>
      <c r="AH319" s="232">
        <v>-1.1709554766328005E-3</v>
      </c>
      <c r="AI319" s="232">
        <v>-1.9682309746549796E-3</v>
      </c>
      <c r="AJ319" s="232">
        <v>-1.8266182739222307E-3</v>
      </c>
      <c r="AK319" s="232">
        <v>-1.1446505062200837E-3</v>
      </c>
      <c r="AL319" s="232">
        <v>-1.8092049652420339E-3</v>
      </c>
      <c r="AM319" s="232">
        <v>-7.0875224922970284E-3</v>
      </c>
      <c r="AN319" s="232">
        <v>-7.051372429976081E-3</v>
      </c>
      <c r="AO319" s="232">
        <v>-7.6323529176684276E-3</v>
      </c>
      <c r="AP319" s="232">
        <v>-6.4209622410171313E-3</v>
      </c>
      <c r="AQ319" s="232">
        <v>-5.2916798114320956E-3</v>
      </c>
      <c r="AR319" s="232">
        <v>-4.9444359406634105E-3</v>
      </c>
      <c r="AS319" s="232">
        <v>3.852658653054326E-3</v>
      </c>
      <c r="AT319" s="232">
        <v>3.3144052004207072E-3</v>
      </c>
      <c r="AU319" s="232">
        <v>2.0163459337811523E-3</v>
      </c>
      <c r="AV319" s="72">
        <v>2.4869928633280969E-4</v>
      </c>
      <c r="AW319" s="70">
        <v>3.0575358684515805E-4</v>
      </c>
      <c r="AX319" s="70">
        <v>1.9258752114874119E-4</v>
      </c>
      <c r="AY319" s="70">
        <v>3.062357985907417E-5</v>
      </c>
      <c r="AZ319" s="70">
        <v>-3.1509493895213943E-4</v>
      </c>
      <c r="BA319" s="70">
        <v>-3.2805177513689433E-4</v>
      </c>
      <c r="BB319" s="70">
        <v>-3.7652936448623065E-4</v>
      </c>
      <c r="BC319" s="70">
        <v>-4.0630286736693759E-4</v>
      </c>
      <c r="BD319" s="70">
        <v>-3.7328332239736236E-4</v>
      </c>
      <c r="BE319" s="70">
        <v>-3.3228744952423724E-4</v>
      </c>
      <c r="BF319" s="70">
        <v>-2.9546473370937473E-4</v>
      </c>
      <c r="BG319" s="70">
        <v>-2.5417525342123732E-4</v>
      </c>
      <c r="BH319" s="70">
        <v>-2.1637124729748089E-4</v>
      </c>
      <c r="BI319" s="70">
        <v>-9.9368116469105818E-5</v>
      </c>
      <c r="BJ319" s="70">
        <v>-3.365876872502525E-6</v>
      </c>
      <c r="BK319" s="70">
        <v>3.1155240588346726E-5</v>
      </c>
      <c r="BL319" s="70">
        <v>7.1804784487221608E-5</v>
      </c>
      <c r="BM319" s="70">
        <v>1.146935592901438E-4</v>
      </c>
      <c r="BN319" s="70">
        <v>1.4285239143491094E-4</v>
      </c>
      <c r="BO319" s="70">
        <v>1.6500050203964399E-4</v>
      </c>
      <c r="BP319" s="70"/>
      <c r="BQ319" s="387">
        <v>1.4201678249958972E-2</v>
      </c>
      <c r="BR319" s="387">
        <v>1.8809098613718767E-4</v>
      </c>
      <c r="BS319" s="387">
        <v>6.7862120912565715E-3</v>
      </c>
      <c r="BT319" s="387">
        <v>1.8928682682154176E-2</v>
      </c>
      <c r="BU319" s="387">
        <v>1.367028986306499E-2</v>
      </c>
      <c r="BV319" s="387">
        <v>3.7315252791955827E-3</v>
      </c>
      <c r="BW319" s="387">
        <v>8.5385206467995106E-4</v>
      </c>
      <c r="BX319" s="387">
        <v>6.8708933135592579E-3</v>
      </c>
      <c r="BY319" s="387">
        <v>1.1232298951967978E-2</v>
      </c>
      <c r="BZ319" s="387">
        <v>7.9319974013108627E-3</v>
      </c>
      <c r="CA319" s="70">
        <v>1.1855739286538597E-2</v>
      </c>
      <c r="CB319" s="70">
        <v>1.1505182749515253E-2</v>
      </c>
      <c r="CC319" s="70">
        <v>1.2785445928174488E-2</v>
      </c>
      <c r="CD319" s="70">
        <v>5.9413195760016713E-3</v>
      </c>
      <c r="CE319" s="70">
        <v>7.1091214935863501E-3</v>
      </c>
      <c r="CF319" s="70">
        <v>8.0704636499170507E-3</v>
      </c>
      <c r="CG319" s="70">
        <v>1.1583109616289018E-2</v>
      </c>
      <c r="CH319" s="70">
        <v>-8.1433626037048616E-4</v>
      </c>
      <c r="CI319" s="70">
        <v>8.6543383137899325E-3</v>
      </c>
      <c r="CJ319" s="70">
        <v>8.7840551899144269E-3</v>
      </c>
      <c r="CK319" s="232">
        <v>5.5634522959832631E-3</v>
      </c>
      <c r="CL319" s="232">
        <v>1.6762765203116091E-3</v>
      </c>
      <c r="CM319" s="232">
        <v>2.1306332977005134E-3</v>
      </c>
      <c r="CN319" s="232">
        <v>1.5827093545698636E-3</v>
      </c>
      <c r="CO319" s="232">
        <v>7.4592909007612385E-4</v>
      </c>
      <c r="CP319" s="232">
        <v>-1.5728630645348697E-3</v>
      </c>
      <c r="CQ319" s="232">
        <v>-1.4804235811407729E-3</v>
      </c>
      <c r="CR319" s="232">
        <v>-4.4607666534556192E-3</v>
      </c>
      <c r="CS319" s="232">
        <v>-7.3439470795463608E-3</v>
      </c>
      <c r="CT319" s="232">
        <v>-5.8507555590603718E-3</v>
      </c>
      <c r="CU319" s="232">
        <v>-4.839048170182952E-4</v>
      </c>
      <c r="CV319" s="72">
        <v>2.6621993225726141E-3</v>
      </c>
      <c r="CW319" s="70">
        <v>2.774014095600375E-4</v>
      </c>
      <c r="CX319" s="70">
        <v>1.1073622604341961E-4</v>
      </c>
      <c r="CY319" s="70">
        <v>-3.2163042907661126E-4</v>
      </c>
      <c r="CZ319" s="70">
        <v>-3.9157977388703911E-4</v>
      </c>
      <c r="DA319" s="70">
        <v>-3.5260253275569355E-4</v>
      </c>
      <c r="DB319" s="70">
        <v>-2.7457800392373361E-4</v>
      </c>
      <c r="DC319" s="70">
        <v>-1.5718041708825923E-4</v>
      </c>
      <c r="DD319" s="70">
        <v>1.4119391956973305E-5</v>
      </c>
      <c r="DE319" s="70">
        <v>9.3478804778661154E-5</v>
      </c>
      <c r="DF319" s="70">
        <v>1.5401188025281792E-4</v>
      </c>
    </row>
    <row r="320" spans="1:110" ht="12" outlineLevel="1">
      <c r="C320" s="345"/>
      <c r="D320" s="345"/>
      <c r="E320" s="345"/>
      <c r="F320" s="345"/>
      <c r="G320" s="345"/>
      <c r="H320" s="345"/>
      <c r="I320" s="345"/>
      <c r="J320" s="345"/>
      <c r="K320" s="345"/>
      <c r="L320" s="345"/>
      <c r="M320" s="35"/>
      <c r="N320" s="35"/>
      <c r="O320" s="35"/>
      <c r="P320" s="35"/>
      <c r="Q320" s="35"/>
      <c r="R320" s="35"/>
      <c r="S320" s="35"/>
      <c r="T320" s="35"/>
      <c r="U320" s="35"/>
      <c r="V320" s="35"/>
      <c r="W320" s="35"/>
      <c r="X320" s="35"/>
      <c r="Y320" s="37"/>
      <c r="Z320" s="37"/>
      <c r="AA320" s="37"/>
      <c r="AB320" s="37"/>
      <c r="AC320" s="37"/>
      <c r="AD320" s="37"/>
      <c r="AE320" s="37"/>
      <c r="AF320" s="37"/>
      <c r="AG320" s="37"/>
      <c r="AH320" s="37"/>
      <c r="AI320" s="37"/>
      <c r="AJ320" s="37"/>
      <c r="AK320" s="37"/>
      <c r="AL320" s="37"/>
      <c r="AM320" s="37"/>
      <c r="AN320" s="37"/>
      <c r="AO320" s="37"/>
      <c r="AP320" s="37"/>
      <c r="AQ320" s="37"/>
      <c r="AR320" s="37"/>
      <c r="AS320" s="37"/>
      <c r="AT320" s="37"/>
      <c r="AU320" s="37"/>
      <c r="AV320" s="36"/>
      <c r="AW320" s="35"/>
      <c r="AX320" s="35"/>
      <c r="AY320" s="35"/>
      <c r="AZ320" s="35"/>
      <c r="BA320" s="35"/>
      <c r="BB320" s="35"/>
      <c r="BC320" s="35"/>
      <c r="BD320" s="35"/>
      <c r="BE320" s="35"/>
      <c r="BF320" s="35"/>
      <c r="BG320" s="35"/>
      <c r="BH320" s="35"/>
      <c r="BI320" s="35"/>
      <c r="BJ320" s="35"/>
      <c r="BK320" s="35"/>
      <c r="BL320" s="35"/>
      <c r="BM320" s="35"/>
      <c r="BN320" s="35"/>
      <c r="BO320" s="35"/>
      <c r="BP320" s="35"/>
      <c r="BQ320" s="345"/>
      <c r="BR320" s="345"/>
      <c r="BS320" s="345"/>
      <c r="BT320" s="345"/>
      <c r="BU320" s="345"/>
      <c r="BV320" s="345"/>
      <c r="BW320" s="345"/>
      <c r="BX320" s="345"/>
      <c r="BY320" s="345"/>
      <c r="BZ320" s="345"/>
      <c r="CA320" s="35"/>
      <c r="CB320" s="35"/>
      <c r="CC320" s="35"/>
      <c r="CD320" s="35"/>
      <c r="CE320" s="35"/>
      <c r="CF320" s="35"/>
      <c r="CG320" s="35"/>
      <c r="CH320" s="35"/>
      <c r="CI320" s="35"/>
      <c r="CJ320" s="35"/>
      <c r="CK320" s="37"/>
      <c r="CL320" s="37"/>
      <c r="CM320" s="37"/>
      <c r="CN320" s="37"/>
      <c r="CO320" s="37"/>
      <c r="CP320" s="37"/>
      <c r="CQ320" s="37"/>
      <c r="CR320" s="37"/>
      <c r="CS320" s="37"/>
      <c r="CT320" s="37"/>
      <c r="CU320" s="37"/>
      <c r="CV320" s="36"/>
      <c r="CW320" s="35"/>
      <c r="CX320" s="35"/>
      <c r="CY320" s="35"/>
      <c r="CZ320" s="35"/>
      <c r="DA320" s="35"/>
      <c r="DB320" s="35"/>
      <c r="DC320" s="35"/>
      <c r="DD320" s="35"/>
      <c r="DE320" s="35"/>
      <c r="DF320" s="35"/>
    </row>
    <row r="321" spans="1:110" ht="12" outlineLevel="1">
      <c r="A321" s="1" t="s">
        <v>928</v>
      </c>
      <c r="B321" s="15" t="s">
        <v>585</v>
      </c>
      <c r="C321" s="345">
        <v>6.8264303819915495E-2</v>
      </c>
      <c r="D321" s="345">
        <v>6.125933907146567E-2</v>
      </c>
      <c r="E321" s="345">
        <v>6.2878851705192945E-2</v>
      </c>
      <c r="F321" s="345">
        <v>6.3270256811651202E-2</v>
      </c>
      <c r="G321" s="345">
        <v>6.3009741997921101E-2</v>
      </c>
      <c r="H321" s="345">
        <v>6.587103060988718E-2</v>
      </c>
      <c r="I321" s="345">
        <v>6.7409643903738561E-2</v>
      </c>
      <c r="J321" s="345">
        <v>7.4502008978910322E-2</v>
      </c>
      <c r="K321" s="345">
        <v>7.630559085120138E-2</v>
      </c>
      <c r="L321" s="345">
        <v>7.3423429107208379E-2</v>
      </c>
      <c r="M321" s="35">
        <v>7.512379747290307E-2</v>
      </c>
      <c r="N321" s="35">
        <v>7.7563607719601385E-2</v>
      </c>
      <c r="O321" s="35">
        <v>7.961744093488099E-2</v>
      </c>
      <c r="P321" s="35">
        <v>8.2425675925388187E-2</v>
      </c>
      <c r="Q321" s="35">
        <v>8.4382821500933611E-2</v>
      </c>
      <c r="R321" s="35">
        <v>6.7755839952308369E-2</v>
      </c>
      <c r="S321" s="35">
        <v>5.4658083829069941E-2</v>
      </c>
      <c r="T321" s="35">
        <v>5.7811033394045551E-2</v>
      </c>
      <c r="U321" s="35">
        <v>6.3188674320688462E-2</v>
      </c>
      <c r="V321" s="35">
        <v>6.5437156565665885E-2</v>
      </c>
      <c r="W321" s="35">
        <v>6.4515138631574181E-2</v>
      </c>
      <c r="X321" s="35">
        <v>6.0696357039244281E-2</v>
      </c>
      <c r="Y321" s="37">
        <v>5.6109602888354974E-2</v>
      </c>
      <c r="Z321" s="37">
        <v>5.164942237087837E-2</v>
      </c>
      <c r="AA321" s="37">
        <v>4.7858973451280699E-2</v>
      </c>
      <c r="AB321" s="37">
        <v>4.5761046354025482E-2</v>
      </c>
      <c r="AC321" s="37">
        <v>4.550995688031724E-2</v>
      </c>
      <c r="AD321" s="37">
        <v>4.3965324012546825E-2</v>
      </c>
      <c r="AE321" s="37">
        <v>4.1246006397649755E-2</v>
      </c>
      <c r="AF321" s="37">
        <v>4.126361268534786E-2</v>
      </c>
      <c r="AG321" s="37">
        <v>4.0699736400670983E-2</v>
      </c>
      <c r="AH321" s="37">
        <v>3.8891020822877806E-2</v>
      </c>
      <c r="AI321" s="37">
        <v>3.896922894191493E-2</v>
      </c>
      <c r="AJ321" s="37">
        <v>3.891810345731353E-2</v>
      </c>
      <c r="AK321" s="37">
        <v>3.9351665281532243E-2</v>
      </c>
      <c r="AL321" s="37">
        <v>3.9468450561475077E-2</v>
      </c>
      <c r="AM321" s="37">
        <v>3.6978724556020991E-2</v>
      </c>
      <c r="AN321" s="37">
        <v>3.2218488042388325E-2</v>
      </c>
      <c r="AO321" s="37">
        <v>2.4452600936590307E-2</v>
      </c>
      <c r="AP321" s="37">
        <v>2.3104053320700316E-2</v>
      </c>
      <c r="AQ321" s="37">
        <v>2.2127747259003641E-2</v>
      </c>
      <c r="AR321" s="37">
        <v>2.1638114041729557E-2</v>
      </c>
      <c r="AS321" s="37">
        <v>3.0128031800079589E-2</v>
      </c>
      <c r="AT321" s="37">
        <v>4.705730438331171E-2</v>
      </c>
      <c r="AU321" s="37">
        <v>5.5257313760350493E-2</v>
      </c>
      <c r="AV321" s="36">
        <v>5.8704969668803619E-2</v>
      </c>
      <c r="AW321" s="35">
        <v>6.1033566449688381E-2</v>
      </c>
      <c r="AX321" s="35">
        <v>6.0662999375169877E-2</v>
      </c>
      <c r="AY321" s="35">
        <v>5.5862503060268728E-2</v>
      </c>
      <c r="AZ321" s="35">
        <v>5.1167213891101002E-2</v>
      </c>
      <c r="BA321" s="35">
        <v>5.1155880724614348E-2</v>
      </c>
      <c r="BB321" s="35">
        <v>5.1115318534518887E-2</v>
      </c>
      <c r="BC321" s="35">
        <v>5.0980559669000447E-2</v>
      </c>
      <c r="BD321" s="35">
        <v>5.0946454116410821E-2</v>
      </c>
      <c r="BE321" s="35">
        <v>5.0912464496054841E-2</v>
      </c>
      <c r="BF321" s="35">
        <v>5.0911619762630117E-2</v>
      </c>
      <c r="BG321" s="35">
        <v>5.0910898080217953E-2</v>
      </c>
      <c r="BH321" s="35">
        <v>5.0910298420056808E-2</v>
      </c>
      <c r="BI321" s="35">
        <v>5.0909819785513774E-2</v>
      </c>
      <c r="BJ321" s="35">
        <v>5.0910960150385001E-2</v>
      </c>
      <c r="BK321" s="35">
        <v>5.0915171219788023E-2</v>
      </c>
      <c r="BL321" s="35">
        <v>5.0920922963888726E-2</v>
      </c>
      <c r="BM321" s="35">
        <v>5.0926741647235173E-2</v>
      </c>
      <c r="BN321" s="35">
        <v>5.0929636194648832E-2</v>
      </c>
      <c r="BO321" s="35">
        <v>5.0929636194648839E-2</v>
      </c>
      <c r="BP321" s="35"/>
      <c r="BQ321" s="345">
        <v>8.5544002215365914E-2</v>
      </c>
      <c r="BR321" s="345">
        <v>8.4525697681457707E-2</v>
      </c>
      <c r="BS321" s="345">
        <v>7.8207939417903827E-2</v>
      </c>
      <c r="BT321" s="345">
        <v>9.1715065117916231E-2</v>
      </c>
      <c r="BU321" s="345">
        <v>9.3351114497999613E-2</v>
      </c>
      <c r="BV321" s="345">
        <v>8.3555571254481556E-2</v>
      </c>
      <c r="BW321" s="345">
        <v>7.9396632366697847E-2</v>
      </c>
      <c r="BX321" s="345">
        <v>7.2384787546488499E-2</v>
      </c>
      <c r="BY321" s="345">
        <v>7.710389161747698E-2</v>
      </c>
      <c r="BZ321" s="345">
        <v>7.3753957258023986E-2</v>
      </c>
      <c r="CA321" s="35">
        <v>6.1997725218783495E-2</v>
      </c>
      <c r="CB321" s="35">
        <v>6.3134908403128701E-2</v>
      </c>
      <c r="CC321" s="35">
        <v>6.6655376971280433E-2</v>
      </c>
      <c r="CD321" s="35">
        <v>7.5446656486999067E-2</v>
      </c>
      <c r="CE321" s="35">
        <v>7.2250860894973568E-2</v>
      </c>
      <c r="CF321" s="35">
        <v>7.8486322480014942E-2</v>
      </c>
      <c r="CG321" s="35">
        <v>8.3522295286417414E-2</v>
      </c>
      <c r="CH321" s="35">
        <v>6.1714212713487732E-2</v>
      </c>
      <c r="CI321" s="35">
        <v>6.0478776222902091E-2</v>
      </c>
      <c r="CJ321" s="35">
        <v>5.5986557043216319E-2</v>
      </c>
      <c r="CK321" s="37">
        <v>5.8050932234828982E-2</v>
      </c>
      <c r="CL321" s="37">
        <v>5.0159503941660834E-2</v>
      </c>
      <c r="CM321" s="37">
        <v>4.5632767490457138E-2</v>
      </c>
      <c r="CN321" s="37">
        <v>4.2376814229320887E-2</v>
      </c>
      <c r="CO321" s="37">
        <v>4.1180818962877758E-2</v>
      </c>
      <c r="CP321" s="37">
        <v>3.8916576389808978E-2</v>
      </c>
      <c r="CQ321" s="37">
        <v>3.9170734855492217E-2</v>
      </c>
      <c r="CR321" s="37">
        <v>3.8893789270554535E-2</v>
      </c>
      <c r="CS321" s="37">
        <v>2.6713611505537721E-2</v>
      </c>
      <c r="CT321" s="37">
        <v>2.261194025785809E-2</v>
      </c>
      <c r="CU321" s="37">
        <v>2.5246120530978602E-2</v>
      </c>
      <c r="CV321" s="36">
        <v>5.1040549939384075E-2</v>
      </c>
      <c r="CW321" s="35">
        <v>5.9840400100890159E-2</v>
      </c>
      <c r="CX321" s="35">
        <v>5.8252146709830782E-2</v>
      </c>
      <c r="CY321" s="35">
        <v>5.1161497387735892E-2</v>
      </c>
      <c r="CZ321" s="35">
        <v>5.1047198363890531E-2</v>
      </c>
      <c r="DA321" s="35">
        <v>5.0929307702898538E-2</v>
      </c>
      <c r="DB321" s="35">
        <v>5.0911254691783432E-2</v>
      </c>
      <c r="DC321" s="35">
        <v>5.0910056283151969E-2</v>
      </c>
      <c r="DD321" s="35">
        <v>5.0913093096418713E-2</v>
      </c>
      <c r="DE321" s="35">
        <v>5.0923863459659463E-2</v>
      </c>
      <c r="DF321" s="35">
        <v>5.0929636194648811E-2</v>
      </c>
    </row>
    <row r="322" spans="1:110" ht="12" outlineLevel="1">
      <c r="A322" s="1" t="s">
        <v>929</v>
      </c>
      <c r="B322" s="15" t="s">
        <v>484</v>
      </c>
      <c r="C322" s="345">
        <v>-4.0721778595031156E-2</v>
      </c>
      <c r="D322" s="345">
        <v>-3.3882809329498415E-2</v>
      </c>
      <c r="E322" s="345">
        <v>-3.5188958408161386E-2</v>
      </c>
      <c r="F322" s="345">
        <v>-3.6303845822419259E-2</v>
      </c>
      <c r="G322" s="345">
        <v>-3.6788896708006072E-2</v>
      </c>
      <c r="H322" s="345">
        <v>-4.0685934721678058E-2</v>
      </c>
      <c r="I322" s="345">
        <v>-4.3033478376698332E-2</v>
      </c>
      <c r="J322" s="345">
        <v>-4.8789071169086359E-2</v>
      </c>
      <c r="K322" s="345">
        <v>-5.1653719634299905E-2</v>
      </c>
      <c r="L322" s="345">
        <v>-5.0477330078436196E-2</v>
      </c>
      <c r="M322" s="35">
        <v>-5.1818731873664224E-2</v>
      </c>
      <c r="N322" s="35">
        <v>-5.5189251794095673E-2</v>
      </c>
      <c r="O322" s="35">
        <v>-5.815469082601115E-2</v>
      </c>
      <c r="P322" s="35">
        <v>-6.2468652161746928E-2</v>
      </c>
      <c r="Q322" s="35">
        <v>-6.4171069882007076E-2</v>
      </c>
      <c r="R322" s="35">
        <v>-4.5534689992439065E-2</v>
      </c>
      <c r="S322" s="35">
        <v>-3.0578314410544344E-2</v>
      </c>
      <c r="T322" s="35">
        <v>-3.329421444092167E-2</v>
      </c>
      <c r="U322" s="35">
        <v>-3.8218241134180077E-2</v>
      </c>
      <c r="V322" s="35">
        <v>-4.0689695280343462E-2</v>
      </c>
      <c r="W322" s="35">
        <v>-4.0052677974280158E-2</v>
      </c>
      <c r="X322" s="35">
        <v>-3.7172587575329916E-2</v>
      </c>
      <c r="Y322" s="37">
        <v>-3.3343181687264592E-2</v>
      </c>
      <c r="Z322" s="37">
        <v>-2.9166817463381685E-2</v>
      </c>
      <c r="AA322" s="37">
        <v>-2.5985940063575599E-2</v>
      </c>
      <c r="AB322" s="37">
        <v>-2.4310754078306261E-2</v>
      </c>
      <c r="AC322" s="37">
        <v>-2.430474111648584E-2</v>
      </c>
      <c r="AD322" s="37">
        <v>-2.3579168185499971E-2</v>
      </c>
      <c r="AE322" s="37">
        <v>-2.0862868951071322E-2</v>
      </c>
      <c r="AF322" s="37">
        <v>-2.0568912830960011E-2</v>
      </c>
      <c r="AG322" s="37">
        <v>-2.0085584197733736E-2</v>
      </c>
      <c r="AH322" s="37">
        <v>-1.8890155476632801E-2</v>
      </c>
      <c r="AI322" s="37">
        <v>-1.9195540974654979E-2</v>
      </c>
      <c r="AJ322" s="37">
        <v>-1.9654310581614532E-2</v>
      </c>
      <c r="AK322" s="37">
        <v>-2.113772742929701E-2</v>
      </c>
      <c r="AL322" s="37">
        <v>-2.1430743426780533E-2</v>
      </c>
      <c r="AM322" s="37">
        <v>-1.9746301118251229E-2</v>
      </c>
      <c r="AN322" s="37">
        <v>-1.5357479300205101E-2</v>
      </c>
      <c r="AO322" s="37">
        <v>-8.7422765817905673E-3</v>
      </c>
      <c r="AP322" s="37">
        <v>-6.7658696484245388E-3</v>
      </c>
      <c r="AQ322" s="37">
        <v>-5.6752512400035232E-3</v>
      </c>
      <c r="AR322" s="37">
        <v>-5.8113282483557181E-3</v>
      </c>
      <c r="AS322" s="37">
        <v>-1.3280432949999114E-2</v>
      </c>
      <c r="AT322" s="37">
        <v>-2.9537064030348524E-2</v>
      </c>
      <c r="AU322" s="37">
        <v>-3.8777277143141942E-2</v>
      </c>
      <c r="AV322" s="36">
        <v>-4.3149954559821034E-2</v>
      </c>
      <c r="AW322" s="35">
        <v>-4.4920746413154841E-2</v>
      </c>
      <c r="AX322" s="35">
        <v>-4.4557412478851255E-2</v>
      </c>
      <c r="AY322" s="35">
        <v>-3.971937642014093E-2</v>
      </c>
      <c r="AZ322" s="35">
        <v>-3.5315094938952143E-2</v>
      </c>
      <c r="BA322" s="35">
        <v>-3.5328051775136898E-2</v>
      </c>
      <c r="BB322" s="35">
        <v>-3.5376529364486237E-2</v>
      </c>
      <c r="BC322" s="35">
        <v>-3.5406302867366943E-2</v>
      </c>
      <c r="BD322" s="35">
        <v>-3.5373283322397364E-2</v>
      </c>
      <c r="BE322" s="35">
        <v>-3.5332287449524241E-2</v>
      </c>
      <c r="BF322" s="35">
        <v>-3.5295464733709377E-2</v>
      </c>
      <c r="BG322" s="35">
        <v>-3.5254175253421241E-2</v>
      </c>
      <c r="BH322" s="35">
        <v>-3.5216371247297484E-2</v>
      </c>
      <c r="BI322" s="35">
        <v>-3.5099368116469111E-2</v>
      </c>
      <c r="BJ322" s="35">
        <v>-3.5003365876872507E-2</v>
      </c>
      <c r="BK322" s="35">
        <v>-3.4968844759411657E-2</v>
      </c>
      <c r="BL322" s="35">
        <v>-3.4928195215512783E-2</v>
      </c>
      <c r="BM322" s="35">
        <v>-3.4885306440709862E-2</v>
      </c>
      <c r="BN322" s="35">
        <v>-3.4857147608565092E-2</v>
      </c>
      <c r="BO322" s="35">
        <v>-3.4834999497960359E-2</v>
      </c>
      <c r="BP322" s="35"/>
      <c r="BQ322" s="345">
        <v>-5.5673321750041048E-2</v>
      </c>
      <c r="BR322" s="345">
        <v>-5.373690901386282E-2</v>
      </c>
      <c r="BS322" s="345">
        <v>-4.4729621242076759E-2</v>
      </c>
      <c r="BT322" s="345">
        <v>-5.779215065117916E-2</v>
      </c>
      <c r="BU322" s="345">
        <v>-5.9991376803601691E-2</v>
      </c>
      <c r="BV322" s="345">
        <v>-5.320464138747108E-2</v>
      </c>
      <c r="BW322" s="345">
        <v>-4.9771147935320059E-2</v>
      </c>
      <c r="BX322" s="345">
        <v>-4.1974856686440749E-2</v>
      </c>
      <c r="BY322" s="345">
        <v>-4.8558854894185856E-2</v>
      </c>
      <c r="BZ322" s="345">
        <v>-4.6238002598689168E-2</v>
      </c>
      <c r="CA322" s="35">
        <v>-3.4459940449619308E-2</v>
      </c>
      <c r="CB322" s="35">
        <v>-3.6546495244316433E-2</v>
      </c>
      <c r="CC322" s="35">
        <v>-4.1899658221133132E-2</v>
      </c>
      <c r="CD322" s="35">
        <v>-5.027850533758696E-2</v>
      </c>
      <c r="CE322" s="35">
        <v>-4.9161863668446673E-2</v>
      </c>
      <c r="CF322" s="35">
        <v>-5.6582140527117034E-2</v>
      </c>
      <c r="CG322" s="35">
        <v>-6.3434009188279114E-2</v>
      </c>
      <c r="CH322" s="35">
        <v>-3.8577761456773711E-2</v>
      </c>
      <c r="CI322" s="35">
        <v>-3.572901695938499E-2</v>
      </c>
      <c r="CJ322" s="35">
        <v>-3.1740401640118723E-2</v>
      </c>
      <c r="CK322" s="37">
        <v>-3.4916448481502563E-2</v>
      </c>
      <c r="CL322" s="37">
        <v>-2.7960417837642155E-2</v>
      </c>
      <c r="CM322" s="37">
        <v>-2.4308093651165767E-2</v>
      </c>
      <c r="CN322" s="37">
        <v>-2.1992218155615008E-2</v>
      </c>
      <c r="CO322" s="37">
        <v>-2.0526362074524022E-2</v>
      </c>
      <c r="CP322" s="37">
        <v>-1.9030212753445346E-2</v>
      </c>
      <c r="CQ322" s="37">
        <v>-2.0440189380298516E-2</v>
      </c>
      <c r="CR322" s="37">
        <v>-2.1261392585282791E-2</v>
      </c>
      <c r="CS322" s="37">
        <v>-1.0432126899299557E-2</v>
      </c>
      <c r="CT322" s="37">
        <v>-6.2160301464872433E-3</v>
      </c>
      <c r="CU322" s="37">
        <v>-8.9017301380605093E-3</v>
      </c>
      <c r="CV322" s="36">
        <v>-3.4042952821612078E-2</v>
      </c>
      <c r="CW322" s="35">
        <v>-4.4004771863299375E-2</v>
      </c>
      <c r="CX322" s="35">
        <v>-4.2127588450971601E-2</v>
      </c>
      <c r="CY322" s="35">
        <v>-3.5321630429076704E-2</v>
      </c>
      <c r="CZ322" s="35">
        <v>-3.5391579773887155E-2</v>
      </c>
      <c r="DA322" s="35">
        <v>-3.535260253275576E-2</v>
      </c>
      <c r="DB322" s="35">
        <v>-3.5274578003923883E-2</v>
      </c>
      <c r="DC322" s="35">
        <v>-3.5157180417088381E-2</v>
      </c>
      <c r="DD322" s="35">
        <v>-3.4985880608042919E-2</v>
      </c>
      <c r="DE322" s="35">
        <v>-3.4906521195221328E-2</v>
      </c>
      <c r="DF322" s="35">
        <v>-3.4845988119747158E-2</v>
      </c>
    </row>
    <row r="323" spans="1:110" s="17" customFormat="1" ht="12" outlineLevel="1">
      <c r="A323" s="1" t="s">
        <v>930</v>
      </c>
      <c r="B323" s="17" t="s">
        <v>485</v>
      </c>
      <c r="C323" s="387">
        <v>2.7542525224884339E-2</v>
      </c>
      <c r="D323" s="387">
        <v>2.7376529741967255E-2</v>
      </c>
      <c r="E323" s="387">
        <v>2.7689893297031559E-2</v>
      </c>
      <c r="F323" s="387">
        <v>2.6966410989231943E-2</v>
      </c>
      <c r="G323" s="387">
        <v>2.6220845289915029E-2</v>
      </c>
      <c r="H323" s="387">
        <v>2.5185095888209122E-2</v>
      </c>
      <c r="I323" s="387">
        <v>2.4376165527040229E-2</v>
      </c>
      <c r="J323" s="387">
        <v>2.5712937809823963E-2</v>
      </c>
      <c r="K323" s="387">
        <v>2.4651871216901475E-2</v>
      </c>
      <c r="L323" s="387">
        <v>2.2946099028772184E-2</v>
      </c>
      <c r="M323" s="70">
        <v>2.3305065599238846E-2</v>
      </c>
      <c r="N323" s="70">
        <v>2.2374355925505712E-2</v>
      </c>
      <c r="O323" s="70">
        <v>2.1462750108869839E-2</v>
      </c>
      <c r="P323" s="70">
        <v>1.9957023763641259E-2</v>
      </c>
      <c r="Q323" s="70">
        <v>2.0211751618926535E-2</v>
      </c>
      <c r="R323" s="70">
        <v>2.2221149959869305E-2</v>
      </c>
      <c r="S323" s="70">
        <v>2.4079769418525597E-2</v>
      </c>
      <c r="T323" s="70">
        <v>2.4516818953123881E-2</v>
      </c>
      <c r="U323" s="70">
        <v>2.4970433186508385E-2</v>
      </c>
      <c r="V323" s="70">
        <v>2.4747461285322424E-2</v>
      </c>
      <c r="W323" s="70">
        <v>2.4462460657294023E-2</v>
      </c>
      <c r="X323" s="70">
        <v>2.3523769463914365E-2</v>
      </c>
      <c r="Y323" s="232">
        <v>2.2766421201090382E-2</v>
      </c>
      <c r="Z323" s="232">
        <v>2.2482604907496685E-2</v>
      </c>
      <c r="AA323" s="232">
        <v>2.1873033387705101E-2</v>
      </c>
      <c r="AB323" s="232">
        <v>2.1450292275719221E-2</v>
      </c>
      <c r="AC323" s="232">
        <v>2.12052157638314E-2</v>
      </c>
      <c r="AD323" s="232">
        <v>2.0386155827046854E-2</v>
      </c>
      <c r="AE323" s="232">
        <v>2.0383137446578433E-2</v>
      </c>
      <c r="AF323" s="232">
        <v>2.0694699854387849E-2</v>
      </c>
      <c r="AG323" s="232">
        <v>2.0614152202937247E-2</v>
      </c>
      <c r="AH323" s="232">
        <v>2.0000865346245005E-2</v>
      </c>
      <c r="AI323" s="232">
        <v>1.9773687967259951E-2</v>
      </c>
      <c r="AJ323" s="232">
        <v>1.9263792875698998E-2</v>
      </c>
      <c r="AK323" s="232">
        <v>1.8213937852235233E-2</v>
      </c>
      <c r="AL323" s="232">
        <v>1.8037707134694544E-2</v>
      </c>
      <c r="AM323" s="232">
        <v>1.7232423437769762E-2</v>
      </c>
      <c r="AN323" s="232">
        <v>1.6861008742183225E-2</v>
      </c>
      <c r="AO323" s="232">
        <v>1.5710324354799739E-2</v>
      </c>
      <c r="AP323" s="232">
        <v>1.6338183672275776E-2</v>
      </c>
      <c r="AQ323" s="232">
        <v>1.6452496019000118E-2</v>
      </c>
      <c r="AR323" s="232">
        <v>1.5826785793373838E-2</v>
      </c>
      <c r="AS323" s="232">
        <v>1.6847598850080477E-2</v>
      </c>
      <c r="AT323" s="232">
        <v>1.7520240352963186E-2</v>
      </c>
      <c r="AU323" s="232">
        <v>1.6480036617208552E-2</v>
      </c>
      <c r="AV323" s="72">
        <v>1.5555015108982585E-2</v>
      </c>
      <c r="AW323" s="70">
        <v>1.611282003653354E-2</v>
      </c>
      <c r="AX323" s="70">
        <v>1.6105586896318622E-2</v>
      </c>
      <c r="AY323" s="70">
        <v>1.6143126640127799E-2</v>
      </c>
      <c r="AZ323" s="70">
        <v>1.5852118952148858E-2</v>
      </c>
      <c r="BA323" s="70">
        <v>1.582782894947745E-2</v>
      </c>
      <c r="BB323" s="70">
        <v>1.5738789170032651E-2</v>
      </c>
      <c r="BC323" s="70">
        <v>1.5574256801633504E-2</v>
      </c>
      <c r="BD323" s="70">
        <v>1.5573170794013456E-2</v>
      </c>
      <c r="BE323" s="70">
        <v>1.5580177046530599E-2</v>
      </c>
      <c r="BF323" s="70">
        <v>1.561615502892074E-2</v>
      </c>
      <c r="BG323" s="70">
        <v>1.5656722826796712E-2</v>
      </c>
      <c r="BH323" s="70">
        <v>1.5693927172759324E-2</v>
      </c>
      <c r="BI323" s="70">
        <v>1.5810451669044663E-2</v>
      </c>
      <c r="BJ323" s="70">
        <v>1.5907594273512494E-2</v>
      </c>
      <c r="BK323" s="70">
        <v>1.5946326460376366E-2</v>
      </c>
      <c r="BL323" s="70">
        <v>1.5992727748375943E-2</v>
      </c>
      <c r="BM323" s="70">
        <v>1.604143520652531E-2</v>
      </c>
      <c r="BN323" s="70">
        <v>1.607248858608374E-2</v>
      </c>
      <c r="BO323" s="70">
        <v>1.609463669668848E-2</v>
      </c>
      <c r="BP323" s="70"/>
      <c r="BQ323" s="387">
        <v>2.9870680465324866E-2</v>
      </c>
      <c r="BR323" s="387">
        <v>3.0788788667594887E-2</v>
      </c>
      <c r="BS323" s="387">
        <v>3.3478318175827068E-2</v>
      </c>
      <c r="BT323" s="387">
        <v>3.3922914466737071E-2</v>
      </c>
      <c r="BU323" s="387">
        <v>3.3359737694397922E-2</v>
      </c>
      <c r="BV323" s="387">
        <v>3.0350929867010476E-2</v>
      </c>
      <c r="BW323" s="387">
        <v>2.9625484431377788E-2</v>
      </c>
      <c r="BX323" s="387">
        <v>3.040993086004775E-2</v>
      </c>
      <c r="BY323" s="387">
        <v>2.8545036723291124E-2</v>
      </c>
      <c r="BZ323" s="387">
        <v>2.7515954659334818E-2</v>
      </c>
      <c r="CA323" s="70">
        <v>2.7537784769164186E-2</v>
      </c>
      <c r="CB323" s="70">
        <v>2.6588413158812267E-2</v>
      </c>
      <c r="CC323" s="70">
        <v>2.4755718750147301E-2</v>
      </c>
      <c r="CD323" s="70">
        <v>2.5168151149412107E-2</v>
      </c>
      <c r="CE323" s="70">
        <v>2.3088997226526894E-2</v>
      </c>
      <c r="CF323" s="70">
        <v>2.1904181952897908E-2</v>
      </c>
      <c r="CG323" s="70">
        <v>2.00882860981383E-2</v>
      </c>
      <c r="CH323" s="70">
        <v>2.313645125671402E-2</v>
      </c>
      <c r="CI323" s="70">
        <v>2.47497592635171E-2</v>
      </c>
      <c r="CJ323" s="70">
        <v>2.4246155403097595E-2</v>
      </c>
      <c r="CK323" s="232">
        <v>2.3134483753326419E-2</v>
      </c>
      <c r="CL323" s="232">
        <v>2.2199086104018679E-2</v>
      </c>
      <c r="CM323" s="232">
        <v>2.1324673839291371E-2</v>
      </c>
      <c r="CN323" s="232">
        <v>2.038459607370588E-2</v>
      </c>
      <c r="CO323" s="232">
        <v>2.0654456888353736E-2</v>
      </c>
      <c r="CP323" s="232">
        <v>1.9886363636363633E-2</v>
      </c>
      <c r="CQ323" s="232">
        <v>1.8730545475193702E-2</v>
      </c>
      <c r="CR323" s="232">
        <v>1.7632396685271744E-2</v>
      </c>
      <c r="CS323" s="232">
        <v>1.6281484606238163E-2</v>
      </c>
      <c r="CT323" s="232">
        <v>1.6395910111370846E-2</v>
      </c>
      <c r="CU323" s="232">
        <v>1.6344390392918094E-2</v>
      </c>
      <c r="CV323" s="72">
        <v>1.6997597117771997E-2</v>
      </c>
      <c r="CW323" s="70">
        <v>1.5835628237590785E-2</v>
      </c>
      <c r="CX323" s="70">
        <v>1.6124558258859181E-2</v>
      </c>
      <c r="CY323" s="70">
        <v>1.5839866958659188E-2</v>
      </c>
      <c r="CZ323" s="70">
        <v>1.5655618590003376E-2</v>
      </c>
      <c r="DA323" s="70">
        <v>1.5576705170142778E-2</v>
      </c>
      <c r="DB323" s="70">
        <v>1.5636676687859549E-2</v>
      </c>
      <c r="DC323" s="70">
        <v>1.5752875866063588E-2</v>
      </c>
      <c r="DD323" s="70">
        <v>1.5927212488375794E-2</v>
      </c>
      <c r="DE323" s="70">
        <v>1.6017342264438135E-2</v>
      </c>
      <c r="DF323" s="70">
        <v>1.6083648074901653E-2</v>
      </c>
    </row>
    <row r="324" spans="1:110" ht="12" outlineLevel="1">
      <c r="AV324" s="200"/>
      <c r="CN324" s="28"/>
      <c r="CZ324" s="16"/>
      <c r="DA324" s="16"/>
      <c r="DB324" s="16"/>
      <c r="DC324" s="16"/>
      <c r="DD324" s="16"/>
      <c r="DE324" s="16"/>
      <c r="DF324" s="16"/>
    </row>
    <row r="325" spans="1:110" s="4" customFormat="1" ht="12.95" customHeight="1" outlineLevel="1">
      <c r="A325" s="74"/>
      <c r="B325" s="5" t="s">
        <v>486</v>
      </c>
      <c r="C325" s="389" t="s">
        <v>800</v>
      </c>
      <c r="D325" s="389" t="s">
        <v>800</v>
      </c>
      <c r="E325" s="389" t="s">
        <v>800</v>
      </c>
      <c r="F325" s="389" t="s">
        <v>800</v>
      </c>
      <c r="G325" s="389" t="s">
        <v>800</v>
      </c>
      <c r="H325" s="389" t="s">
        <v>800</v>
      </c>
      <c r="I325" s="389" t="s">
        <v>800</v>
      </c>
      <c r="J325" s="389" t="s">
        <v>800</v>
      </c>
      <c r="K325" s="389" t="s">
        <v>800</v>
      </c>
      <c r="L325" s="389" t="s">
        <v>800</v>
      </c>
      <c r="M325" s="75" t="s">
        <v>800</v>
      </c>
      <c r="N325" s="75" t="s">
        <v>800</v>
      </c>
      <c r="O325" s="75" t="s">
        <v>800</v>
      </c>
      <c r="P325" s="75" t="s">
        <v>800</v>
      </c>
      <c r="Q325" s="75" t="s">
        <v>800</v>
      </c>
      <c r="R325" s="75" t="s">
        <v>800</v>
      </c>
      <c r="S325" s="75" t="s">
        <v>800</v>
      </c>
      <c r="T325" s="75" t="s">
        <v>800</v>
      </c>
      <c r="U325" s="75" t="s">
        <v>800</v>
      </c>
      <c r="V325" s="75" t="s">
        <v>800</v>
      </c>
      <c r="W325" s="75" t="s">
        <v>800</v>
      </c>
      <c r="X325" s="75" t="s">
        <v>800</v>
      </c>
      <c r="Y325" s="78" t="s">
        <v>800</v>
      </c>
      <c r="Z325" s="78" t="s">
        <v>800</v>
      </c>
      <c r="AA325" s="78" t="s">
        <v>800</v>
      </c>
      <c r="AB325" s="78" t="s">
        <v>800</v>
      </c>
      <c r="AC325" s="78" t="s">
        <v>800</v>
      </c>
      <c r="AD325" s="78" t="s">
        <v>800</v>
      </c>
      <c r="AE325" s="78" t="s">
        <v>800</v>
      </c>
      <c r="AF325" s="78" t="s">
        <v>800</v>
      </c>
      <c r="AG325" s="78" t="s">
        <v>800</v>
      </c>
      <c r="AH325" s="78" t="s">
        <v>800</v>
      </c>
      <c r="AI325" s="78" t="s">
        <v>800</v>
      </c>
      <c r="AJ325" s="78" t="s">
        <v>800</v>
      </c>
      <c r="AK325" s="78" t="s">
        <v>800</v>
      </c>
      <c r="AL325" s="78" t="s">
        <v>800</v>
      </c>
      <c r="AM325" s="78" t="s">
        <v>800</v>
      </c>
      <c r="AN325" s="78" t="s">
        <v>800</v>
      </c>
      <c r="AO325" s="78" t="s">
        <v>800</v>
      </c>
      <c r="AP325" s="78" t="s">
        <v>800</v>
      </c>
      <c r="AQ325" s="78" t="s">
        <v>800</v>
      </c>
      <c r="AR325" s="78" t="s">
        <v>800</v>
      </c>
      <c r="AS325" s="78" t="s">
        <v>800</v>
      </c>
      <c r="AT325" s="78" t="s">
        <v>800</v>
      </c>
      <c r="AU325" s="78" t="s">
        <v>800</v>
      </c>
      <c r="AV325" s="76" t="s">
        <v>800</v>
      </c>
      <c r="AW325" s="75" t="s">
        <v>800</v>
      </c>
      <c r="AX325" s="75" t="s">
        <v>800</v>
      </c>
      <c r="AY325" s="75" t="s">
        <v>800</v>
      </c>
      <c r="AZ325" s="75" t="s">
        <v>800</v>
      </c>
      <c r="BA325" s="75" t="s">
        <v>800</v>
      </c>
      <c r="BB325" s="75" t="s">
        <v>800</v>
      </c>
      <c r="BC325" s="75" t="s">
        <v>800</v>
      </c>
      <c r="BD325" s="75" t="s">
        <v>800</v>
      </c>
      <c r="BE325" s="75" t="s">
        <v>800</v>
      </c>
      <c r="BF325" s="75" t="s">
        <v>800</v>
      </c>
      <c r="BG325" s="75" t="s">
        <v>800</v>
      </c>
      <c r="BH325" s="75" t="s">
        <v>800</v>
      </c>
      <c r="BI325" s="75" t="s">
        <v>800</v>
      </c>
      <c r="BJ325" s="75" t="s">
        <v>800</v>
      </c>
      <c r="BK325" s="75" t="s">
        <v>800</v>
      </c>
      <c r="BL325" s="75" t="s">
        <v>800</v>
      </c>
      <c r="BM325" s="75" t="s">
        <v>800</v>
      </c>
      <c r="BN325" s="75" t="s">
        <v>800</v>
      </c>
      <c r="BO325" s="75" t="s">
        <v>800</v>
      </c>
      <c r="BP325" s="77"/>
      <c r="BQ325" s="389" t="s">
        <v>800</v>
      </c>
      <c r="BR325" s="389" t="s">
        <v>800</v>
      </c>
      <c r="BS325" s="389" t="s">
        <v>800</v>
      </c>
      <c r="BT325" s="389" t="s">
        <v>800</v>
      </c>
      <c r="BU325" s="389" t="s">
        <v>800</v>
      </c>
      <c r="BV325" s="389" t="s">
        <v>800</v>
      </c>
      <c r="BW325" s="389" t="s">
        <v>800</v>
      </c>
      <c r="BX325" s="389" t="s">
        <v>800</v>
      </c>
      <c r="BY325" s="389" t="s">
        <v>800</v>
      </c>
      <c r="BZ325" s="389" t="s">
        <v>800</v>
      </c>
      <c r="CA325" s="75" t="s">
        <v>800</v>
      </c>
      <c r="CB325" s="75" t="s">
        <v>800</v>
      </c>
      <c r="CC325" s="75" t="s">
        <v>800</v>
      </c>
      <c r="CD325" s="75" t="s">
        <v>800</v>
      </c>
      <c r="CE325" s="75" t="s">
        <v>800</v>
      </c>
      <c r="CF325" s="75" t="s">
        <v>800</v>
      </c>
      <c r="CG325" s="75" t="s">
        <v>800</v>
      </c>
      <c r="CH325" s="75" t="s">
        <v>800</v>
      </c>
      <c r="CI325" s="75" t="s">
        <v>800</v>
      </c>
      <c r="CJ325" s="75" t="s">
        <v>800</v>
      </c>
      <c r="CK325" s="78" t="s">
        <v>800</v>
      </c>
      <c r="CL325" s="78" t="s">
        <v>800</v>
      </c>
      <c r="CM325" s="78" t="s">
        <v>800</v>
      </c>
      <c r="CN325" s="78" t="s">
        <v>800</v>
      </c>
      <c r="CO325" s="78" t="s">
        <v>800</v>
      </c>
      <c r="CP325" s="78" t="s">
        <v>800</v>
      </c>
      <c r="CQ325" s="78" t="s">
        <v>800</v>
      </c>
      <c r="CR325" s="78" t="s">
        <v>800</v>
      </c>
      <c r="CS325" s="78" t="s">
        <v>800</v>
      </c>
      <c r="CT325" s="78" t="s">
        <v>800</v>
      </c>
      <c r="CU325" s="78" t="s">
        <v>800</v>
      </c>
      <c r="CV325" s="76" t="s">
        <v>800</v>
      </c>
      <c r="CW325" s="75" t="s">
        <v>800</v>
      </c>
      <c r="CX325" s="75" t="s">
        <v>800</v>
      </c>
      <c r="CY325" s="75" t="s">
        <v>800</v>
      </c>
      <c r="CZ325" s="75" t="s">
        <v>800</v>
      </c>
      <c r="DA325" s="75" t="s">
        <v>800</v>
      </c>
      <c r="DB325" s="75" t="s">
        <v>800</v>
      </c>
      <c r="DC325" s="75" t="s">
        <v>800</v>
      </c>
      <c r="DD325" s="75" t="s">
        <v>800</v>
      </c>
      <c r="DE325" s="75" t="s">
        <v>800</v>
      </c>
      <c r="DF325" s="75" t="s">
        <v>800</v>
      </c>
    </row>
    <row r="326" spans="1:110" ht="12">
      <c r="AG326" s="35"/>
      <c r="AH326" s="35"/>
      <c r="AI326" s="35"/>
      <c r="AJ326" s="37"/>
      <c r="AK326" s="37"/>
      <c r="AL326" s="37"/>
      <c r="AM326" s="37"/>
      <c r="AN326" s="37"/>
      <c r="AO326" s="37"/>
      <c r="AP326" s="37"/>
      <c r="AQ326" s="37"/>
      <c r="AR326" s="37"/>
      <c r="AS326" s="37"/>
      <c r="AT326" s="37"/>
      <c r="AU326" s="37"/>
      <c r="AV326" s="36"/>
      <c r="CO326" s="37"/>
      <c r="CP326" s="37"/>
      <c r="CQ326" s="500"/>
      <c r="CR326" s="37"/>
      <c r="CS326" s="37"/>
      <c r="CT326" s="37"/>
      <c r="CU326" s="37"/>
      <c r="CV326" s="36"/>
      <c r="CZ326" s="16"/>
      <c r="DA326" s="16"/>
      <c r="DB326" s="16"/>
      <c r="DC326" s="16"/>
      <c r="DD326" s="16"/>
      <c r="DE326" s="16"/>
      <c r="DF326" s="16"/>
    </row>
    <row r="327" spans="1:110" s="26" customFormat="1" ht="12" collapsed="1">
      <c r="A327" s="1" t="s">
        <v>241</v>
      </c>
      <c r="B327" s="2" t="s">
        <v>487</v>
      </c>
      <c r="C327" s="60">
        <v>1954</v>
      </c>
      <c r="D327" s="60">
        <v>1965</v>
      </c>
      <c r="E327" s="60">
        <v>2053</v>
      </c>
      <c r="F327" s="60">
        <v>2140</v>
      </c>
      <c r="G327" s="60">
        <v>2171</v>
      </c>
      <c r="H327" s="60">
        <v>2507</v>
      </c>
      <c r="I327" s="60">
        <v>2745</v>
      </c>
      <c r="J327" s="60">
        <v>3140</v>
      </c>
      <c r="K327" s="60">
        <v>3231</v>
      </c>
      <c r="L327" s="60">
        <v>3368</v>
      </c>
      <c r="M327" s="60">
        <v>3575</v>
      </c>
      <c r="N327" s="60">
        <v>3611</v>
      </c>
      <c r="O327" s="60">
        <v>3691</v>
      </c>
      <c r="P327" s="60">
        <v>3780</v>
      </c>
      <c r="Q327" s="60">
        <v>4070</v>
      </c>
      <c r="R327" s="60">
        <v>4821</v>
      </c>
      <c r="S327" s="60">
        <v>5069</v>
      </c>
      <c r="T327" s="60">
        <v>5240</v>
      </c>
      <c r="U327" s="60">
        <v>5632</v>
      </c>
      <c r="V327" s="60">
        <v>5652</v>
      </c>
      <c r="W327" s="60">
        <v>5848</v>
      </c>
      <c r="X327" s="60">
        <v>5984</v>
      </c>
      <c r="Y327" s="60">
        <v>6126</v>
      </c>
      <c r="Z327" s="60">
        <v>6236</v>
      </c>
      <c r="AA327" s="60">
        <v>6536</v>
      </c>
      <c r="AB327" s="60">
        <v>6764</v>
      </c>
      <c r="AC327" s="60">
        <v>7033</v>
      </c>
      <c r="AD327" s="60">
        <v>7138</v>
      </c>
      <c r="AE327" s="60">
        <v>7478</v>
      </c>
      <c r="AF327" s="60">
        <v>7568</v>
      </c>
      <c r="AG327" s="60">
        <v>7527</v>
      </c>
      <c r="AH327" s="60">
        <v>7419</v>
      </c>
      <c r="AI327" s="60">
        <v>7456</v>
      </c>
      <c r="AJ327" s="60">
        <v>7350</v>
      </c>
      <c r="AK327" s="60">
        <v>7164</v>
      </c>
      <c r="AL327" s="60">
        <v>7299</v>
      </c>
      <c r="AM327" s="60">
        <v>7040</v>
      </c>
      <c r="AN327" s="60">
        <v>7222</v>
      </c>
      <c r="AO327" s="60">
        <v>6827</v>
      </c>
      <c r="AP327" s="60">
        <v>6986</v>
      </c>
      <c r="AQ327" s="60">
        <v>7175</v>
      </c>
      <c r="AR327" s="60">
        <v>7100</v>
      </c>
      <c r="AS327" s="60">
        <v>7774</v>
      </c>
      <c r="AT327" s="60">
        <v>8500</v>
      </c>
      <c r="AU327" s="60">
        <v>8074</v>
      </c>
      <c r="AV327" s="219">
        <v>7899</v>
      </c>
      <c r="AW327" s="60">
        <v>8283.2513866481677</v>
      </c>
      <c r="AX327" s="60">
        <v>8864.4848965227357</v>
      </c>
      <c r="AY327" s="60">
        <v>9077.9770652860461</v>
      </c>
      <c r="AZ327" s="60">
        <v>8984.7880356441456</v>
      </c>
      <c r="BA327" s="60">
        <v>9130.4871313406657</v>
      </c>
      <c r="BB327" s="60">
        <v>9155.6918836297154</v>
      </c>
      <c r="BC327" s="60">
        <v>9261.395415750445</v>
      </c>
      <c r="BD327" s="60">
        <v>9401.1122767212364</v>
      </c>
      <c r="BE327" s="60">
        <v>9574.6540816340166</v>
      </c>
      <c r="BF327" s="60">
        <v>9743.3598938372888</v>
      </c>
      <c r="BG327" s="60">
        <v>10000.396639250102</v>
      </c>
      <c r="BH327" s="60">
        <v>10150.715896893322</v>
      </c>
      <c r="BI327" s="60">
        <v>10469.923194767485</v>
      </c>
      <c r="BJ327" s="60">
        <v>10676.980801599158</v>
      </c>
      <c r="BK327" s="60">
        <v>10985.331026823944</v>
      </c>
      <c r="BL327" s="60">
        <v>11224.605642523937</v>
      </c>
      <c r="BM327" s="60">
        <v>11502.526276804419</v>
      </c>
      <c r="BN327" s="60">
        <v>11674.486482218323</v>
      </c>
      <c r="BO327" s="60">
        <v>11872.35608899434</v>
      </c>
      <c r="BP327" s="60"/>
      <c r="BQ327" s="60">
        <v>2437.8000000000002</v>
      </c>
      <c r="BR327" s="60">
        <v>2543</v>
      </c>
      <c r="BS327" s="60">
        <v>2794</v>
      </c>
      <c r="BT327" s="60">
        <v>3084</v>
      </c>
      <c r="BU327" s="60">
        <v>3327</v>
      </c>
      <c r="BV327" s="60">
        <v>3437</v>
      </c>
      <c r="BW327" s="60">
        <v>3547</v>
      </c>
      <c r="BX327" s="60">
        <v>3655</v>
      </c>
      <c r="BY327" s="60">
        <v>3801</v>
      </c>
      <c r="BZ327" s="60">
        <v>3833</v>
      </c>
      <c r="CA327" s="60">
        <v>4018</v>
      </c>
      <c r="CB327" s="60">
        <v>4311</v>
      </c>
      <c r="CC327" s="60">
        <v>5252</v>
      </c>
      <c r="CD327" s="60">
        <v>6371</v>
      </c>
      <c r="CE327" s="60">
        <v>6943</v>
      </c>
      <c r="CF327" s="60">
        <v>7302</v>
      </c>
      <c r="CG327" s="60">
        <v>7850</v>
      </c>
      <c r="CH327" s="60">
        <v>9890</v>
      </c>
      <c r="CI327" s="60">
        <v>10872</v>
      </c>
      <c r="CJ327" s="60">
        <v>11500</v>
      </c>
      <c r="CK327" s="60">
        <v>12110</v>
      </c>
      <c r="CL327" s="60">
        <v>12772</v>
      </c>
      <c r="CM327" s="60">
        <v>13797</v>
      </c>
      <c r="CN327" s="60">
        <v>14616</v>
      </c>
      <c r="CO327" s="60">
        <v>15095</v>
      </c>
      <c r="CP327" s="60">
        <v>14875</v>
      </c>
      <c r="CQ327" s="60">
        <v>14514</v>
      </c>
      <c r="CR327" s="60">
        <v>14339</v>
      </c>
      <c r="CS327" s="60">
        <v>14049</v>
      </c>
      <c r="CT327" s="60">
        <v>14161</v>
      </c>
      <c r="CU327" s="60">
        <v>14874</v>
      </c>
      <c r="CV327" s="219">
        <v>16574</v>
      </c>
      <c r="CW327" s="60">
        <v>16182.251386648168</v>
      </c>
      <c r="CX327" s="60">
        <v>17942.461961808782</v>
      </c>
      <c r="CY327" s="60">
        <v>18115.275166984811</v>
      </c>
      <c r="CZ327" s="60">
        <v>18417.08729938016</v>
      </c>
      <c r="DA327" s="60">
        <v>18975.766358355253</v>
      </c>
      <c r="DB327" s="60">
        <v>19743.756533087391</v>
      </c>
      <c r="DC327" s="60">
        <v>20620.639091660807</v>
      </c>
      <c r="DD327" s="60">
        <v>21662.311828423102</v>
      </c>
      <c r="DE327" s="60">
        <v>22727.131919328356</v>
      </c>
      <c r="DF327" s="60">
        <v>23546.842571212663</v>
      </c>
    </row>
    <row r="328" spans="1:110" ht="12" outlineLevel="1">
      <c r="AV328" s="200"/>
      <c r="CZ328" s="15"/>
      <c r="DA328" s="15"/>
      <c r="DB328" s="15"/>
      <c r="DC328" s="15"/>
      <c r="DD328" s="15"/>
      <c r="DE328" s="15"/>
      <c r="DF328" s="15"/>
    </row>
    <row r="329" spans="1:110" s="17" customFormat="1" ht="12" outlineLevel="1">
      <c r="A329" s="1"/>
      <c r="B329" s="17" t="s">
        <v>442</v>
      </c>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0"/>
      <c r="AH329" s="10"/>
      <c r="AI329" s="10"/>
      <c r="AJ329" s="10"/>
      <c r="AK329" s="10"/>
      <c r="AL329" s="10"/>
      <c r="AM329" s="10"/>
      <c r="AN329" s="10"/>
      <c r="AO329" s="10"/>
      <c r="AP329" s="10"/>
      <c r="AQ329" s="10"/>
      <c r="AR329" s="10"/>
      <c r="AS329" s="10"/>
      <c r="AT329" s="10"/>
      <c r="AU329" s="10"/>
      <c r="AV329" s="201"/>
      <c r="AW329" s="10"/>
      <c r="AX329" s="10"/>
      <c r="AY329" s="10"/>
      <c r="AZ329" s="10"/>
      <c r="BA329" s="10"/>
      <c r="BB329" s="10"/>
      <c r="BC329" s="10"/>
      <c r="BD329" s="10"/>
      <c r="BE329" s="10"/>
      <c r="BF329" s="10"/>
      <c r="BG329" s="10"/>
      <c r="BH329" s="10"/>
      <c r="BI329" s="10"/>
      <c r="BJ329" s="10"/>
      <c r="BK329" s="10"/>
      <c r="BL329" s="10"/>
      <c r="BM329" s="10"/>
      <c r="BN329" s="10"/>
      <c r="BO329" s="10"/>
      <c r="BP329" s="10"/>
      <c r="BQ329" s="10"/>
      <c r="BR329" s="10"/>
      <c r="BS329" s="10"/>
      <c r="BT329" s="10"/>
      <c r="BU329" s="10"/>
      <c r="BV329" s="10"/>
      <c r="BW329" s="10"/>
      <c r="BX329" s="10"/>
      <c r="BY329" s="10"/>
      <c r="BZ329" s="10"/>
      <c r="CA329" s="10"/>
      <c r="CB329" s="10"/>
      <c r="CC329" s="10"/>
      <c r="CD329" s="10"/>
      <c r="CE329" s="10"/>
      <c r="CF329" s="10"/>
      <c r="CG329" s="10"/>
      <c r="CH329" s="10"/>
      <c r="CI329" s="10"/>
      <c r="CJ329" s="10"/>
      <c r="CK329" s="10"/>
      <c r="CL329" s="10"/>
      <c r="CM329" s="10"/>
      <c r="CN329" s="10"/>
      <c r="CO329" s="10"/>
      <c r="CP329" s="10"/>
      <c r="CQ329" s="10"/>
      <c r="CR329" s="10"/>
      <c r="CS329" s="10"/>
      <c r="CT329" s="10"/>
      <c r="CU329" s="10"/>
      <c r="CV329" s="201"/>
      <c r="CW329" s="10"/>
      <c r="CX329" s="10"/>
      <c r="CY329" s="10"/>
    </row>
    <row r="330" spans="1:110" ht="12" outlineLevel="1">
      <c r="A330" s="1" t="s">
        <v>227</v>
      </c>
      <c r="B330" s="15" t="s">
        <v>164</v>
      </c>
      <c r="C330" s="41">
        <v>678.51437065467087</v>
      </c>
      <c r="D330" s="41">
        <v>333.44321746887067</v>
      </c>
      <c r="E330" s="41">
        <v>303.69322096369876</v>
      </c>
      <c r="F330" s="41">
        <v>380.14517288638433</v>
      </c>
      <c r="G330" s="41">
        <v>413.12050514277854</v>
      </c>
      <c r="H330" s="41">
        <v>378.85231512557408</v>
      </c>
      <c r="I330" s="41">
        <v>253.75253143812037</v>
      </c>
      <c r="J330" s="41">
        <v>363.88210648193132</v>
      </c>
      <c r="K330" s="41">
        <v>399.56447970154005</v>
      </c>
      <c r="L330" s="41">
        <v>399.32095712721411</v>
      </c>
      <c r="M330" s="41">
        <v>376.61665580441144</v>
      </c>
      <c r="N330" s="41">
        <v>414.48496589945466</v>
      </c>
      <c r="O330" s="41">
        <v>400.85833864909381</v>
      </c>
      <c r="P330" s="41">
        <v>296.25344252499076</v>
      </c>
      <c r="Q330" s="41">
        <v>649.39146409899979</v>
      </c>
      <c r="R330" s="41">
        <v>1227.6647412829011</v>
      </c>
      <c r="S330" s="41">
        <v>1109.4449187440339</v>
      </c>
      <c r="T330" s="41">
        <v>1102.5136518576076</v>
      </c>
      <c r="U330" s="41">
        <v>1350.4404747741264</v>
      </c>
      <c r="V330" s="41">
        <v>1632.6682238276678</v>
      </c>
      <c r="W330" s="41">
        <v>1701.2681982890613</v>
      </c>
      <c r="X330" s="41">
        <v>1870.4831536169306</v>
      </c>
      <c r="Y330" s="41">
        <v>2253.0562022264835</v>
      </c>
      <c r="Z330" s="41">
        <v>2272.9499815800959</v>
      </c>
      <c r="AA330" s="41">
        <v>2280.3239986995072</v>
      </c>
      <c r="AB330" s="41">
        <v>2258.9840261954</v>
      </c>
      <c r="AC330" s="41">
        <v>2354.7649442220754</v>
      </c>
      <c r="AD330" s="41">
        <v>2419.3732039181195</v>
      </c>
      <c r="AE330" s="41">
        <v>2625.2151844895125</v>
      </c>
      <c r="AF330" s="41">
        <v>2623.9381472251621</v>
      </c>
      <c r="AG330" s="41">
        <v>2830.1769054562883</v>
      </c>
      <c r="AH330" s="41">
        <v>2909.5675653618073</v>
      </c>
      <c r="AI330" s="41">
        <v>3068.8126731974498</v>
      </c>
      <c r="AJ330" s="41">
        <v>3040.9969171670759</v>
      </c>
      <c r="AK330" s="41">
        <v>2893.1736520416539</v>
      </c>
      <c r="AL330" s="41">
        <v>3109.6775461547977</v>
      </c>
      <c r="AM330" s="41">
        <v>3621.8362635244666</v>
      </c>
      <c r="AN330" s="41">
        <v>3446.0492658791713</v>
      </c>
      <c r="AO330" s="41">
        <v>3801.595539756443</v>
      </c>
      <c r="AP330" s="41">
        <v>3741.086151470437</v>
      </c>
      <c r="AQ330" s="41">
        <v>3530.2775092901952</v>
      </c>
      <c r="AR330" s="41">
        <v>3296.981669980511</v>
      </c>
      <c r="AS330" s="41">
        <v>2548.580144049824</v>
      </c>
      <c r="AT330" s="41">
        <v>2827.8882028881635</v>
      </c>
      <c r="AU330" s="41">
        <v>2828.1978520456241</v>
      </c>
      <c r="AV330" s="211">
        <v>2928.1767002321976</v>
      </c>
      <c r="AW330" s="41">
        <v>3167.0495001104168</v>
      </c>
      <c r="AX330" s="41">
        <v>3537.316609170196</v>
      </c>
      <c r="AY330" s="41">
        <v>3631.6695979360816</v>
      </c>
      <c r="AZ330" s="41">
        <v>3702.3572996747653</v>
      </c>
      <c r="BA330" s="41">
        <v>3791.870404610369</v>
      </c>
      <c r="BB330" s="41">
        <v>3820.1392810595894</v>
      </c>
      <c r="BC330" s="41">
        <v>3832.3689015784212</v>
      </c>
      <c r="BD330" s="41">
        <v>3871.0679152631983</v>
      </c>
      <c r="BE330" s="41">
        <v>3920.7665019113279</v>
      </c>
      <c r="BF330" s="41">
        <v>3980.7218320432544</v>
      </c>
      <c r="BG330" s="41">
        <v>4074.9648308702326</v>
      </c>
      <c r="BH330" s="41">
        <v>4125.974082709562</v>
      </c>
      <c r="BI330" s="41">
        <v>4223.6559070226531</v>
      </c>
      <c r="BJ330" s="41">
        <v>4276.5264315022423</v>
      </c>
      <c r="BK330" s="41">
        <v>4377.7725603383124</v>
      </c>
      <c r="BL330" s="41">
        <v>4444.7496696465914</v>
      </c>
      <c r="BM330" s="41">
        <v>4525.1151884234705</v>
      </c>
      <c r="BN330" s="41">
        <v>4575.915059916967</v>
      </c>
      <c r="BO330" s="41">
        <v>4647.0680248596327</v>
      </c>
      <c r="BP330" s="41"/>
      <c r="BQ330" s="41"/>
      <c r="BR330" s="41"/>
      <c r="BS330" s="41"/>
      <c r="BT330" s="41"/>
      <c r="BU330" s="41"/>
      <c r="BV330" s="41"/>
      <c r="BW330" s="41"/>
      <c r="BX330" s="41"/>
      <c r="BY330" s="41"/>
      <c r="BZ330" s="41"/>
      <c r="CA330" s="41">
        <v>637.13643843256943</v>
      </c>
      <c r="CB330" s="41">
        <v>793.26567802916293</v>
      </c>
      <c r="CC330" s="41">
        <v>632.60484656369442</v>
      </c>
      <c r="CD330" s="41">
        <v>763.44658618347137</v>
      </c>
      <c r="CE330" s="41">
        <v>775.93761293162561</v>
      </c>
      <c r="CF330" s="41">
        <v>815.34330454854853</v>
      </c>
      <c r="CG330" s="41">
        <v>945.64490662399055</v>
      </c>
      <c r="CH330" s="41">
        <v>2337.1096600269348</v>
      </c>
      <c r="CI330" s="41">
        <v>2452.9541266317337</v>
      </c>
      <c r="CJ330" s="41">
        <v>3333.9364221167289</v>
      </c>
      <c r="CK330" s="41">
        <v>4123.5393558434143</v>
      </c>
      <c r="CL330" s="41">
        <v>4553.2739802796032</v>
      </c>
      <c r="CM330" s="41">
        <v>4613.748970417475</v>
      </c>
      <c r="CN330" s="41">
        <v>5044.588388407632</v>
      </c>
      <c r="CO330" s="41">
        <v>5454.1150526814508</v>
      </c>
      <c r="CP330" s="41">
        <v>5978.3802385592571</v>
      </c>
      <c r="CQ330" s="41">
        <v>5934.1705692087298</v>
      </c>
      <c r="CR330" s="41">
        <v>6731.5138096792643</v>
      </c>
      <c r="CS330" s="41">
        <v>7247.6448056356148</v>
      </c>
      <c r="CT330" s="41">
        <v>7271.3636607606322</v>
      </c>
      <c r="CU330" s="41">
        <v>5845.561814030335</v>
      </c>
      <c r="CV330" s="211">
        <v>5656.0860549337876</v>
      </c>
      <c r="CW330" s="41">
        <v>6095.2262003426149</v>
      </c>
      <c r="CX330" s="41">
        <v>7168.986207106278</v>
      </c>
      <c r="CY330" s="41">
        <v>7494.2277042851347</v>
      </c>
      <c r="CZ330" s="41">
        <v>7652.5081826380101</v>
      </c>
      <c r="DA330" s="41">
        <v>7791.8344171745266</v>
      </c>
      <c r="DB330" s="41">
        <v>8055.6866629134875</v>
      </c>
      <c r="DC330" s="41">
        <v>8349.6299897322151</v>
      </c>
      <c r="DD330" s="41">
        <v>8654.2989918405547</v>
      </c>
      <c r="DE330" s="41">
        <v>8969.864858070061</v>
      </c>
      <c r="DF330" s="41">
        <v>9222.9830847765988</v>
      </c>
    </row>
    <row r="331" spans="1:110" ht="12" outlineLevel="1">
      <c r="A331" s="1" t="s">
        <v>192</v>
      </c>
      <c r="B331" s="15" t="s">
        <v>165</v>
      </c>
      <c r="C331" s="41">
        <v>482.11647296313186</v>
      </c>
      <c r="D331" s="41">
        <v>437.89592220299113</v>
      </c>
      <c r="E331" s="41">
        <v>400.290042506421</v>
      </c>
      <c r="F331" s="41">
        <v>417.10828698266988</v>
      </c>
      <c r="G331" s="41">
        <v>425.29078172984106</v>
      </c>
      <c r="H331" s="41">
        <v>401.04436533800362</v>
      </c>
      <c r="I331" s="41">
        <v>406.51862127500056</v>
      </c>
      <c r="J331" s="41">
        <v>372.72249132489492</v>
      </c>
      <c r="K331" s="41">
        <v>396.1091817130868</v>
      </c>
      <c r="L331" s="41">
        <v>393.30647443309056</v>
      </c>
      <c r="M331" s="41">
        <v>363.91306962536532</v>
      </c>
      <c r="N331" s="41">
        <v>359.81163684419755</v>
      </c>
      <c r="O331" s="41">
        <v>347.60859797591689</v>
      </c>
      <c r="P331" s="41">
        <v>315.28422635944258</v>
      </c>
      <c r="Q331" s="41">
        <v>436.25754013340315</v>
      </c>
      <c r="R331" s="41">
        <v>784.48664571966401</v>
      </c>
      <c r="S331" s="41">
        <v>764.1567209852866</v>
      </c>
      <c r="T331" s="41">
        <v>737.30448277879088</v>
      </c>
      <c r="U331" s="41">
        <v>766.36993848672569</v>
      </c>
      <c r="V331" s="41">
        <v>788.08699733515914</v>
      </c>
      <c r="W331" s="41">
        <v>756.34930453889388</v>
      </c>
      <c r="X331" s="41">
        <v>875.05342434409283</v>
      </c>
      <c r="Y331" s="41">
        <v>1077.7088640169725</v>
      </c>
      <c r="Z331" s="41">
        <v>1098.6036079419671</v>
      </c>
      <c r="AA331" s="41">
        <v>1165.2979132872865</v>
      </c>
      <c r="AB331" s="41">
        <v>1164.0061972080073</v>
      </c>
      <c r="AC331" s="41">
        <v>1209.8326237409408</v>
      </c>
      <c r="AD331" s="41">
        <v>1200.1877910847577</v>
      </c>
      <c r="AE331" s="41">
        <v>1219.5440158164815</v>
      </c>
      <c r="AF331" s="41">
        <v>1062.7178767369467</v>
      </c>
      <c r="AG331" s="41">
        <v>1059.7280727828584</v>
      </c>
      <c r="AH331" s="41">
        <v>972.44698262943348</v>
      </c>
      <c r="AI331" s="41">
        <v>902.02748169217489</v>
      </c>
      <c r="AJ331" s="41">
        <v>848.3057035420361</v>
      </c>
      <c r="AK331" s="41">
        <v>822.57367916550936</v>
      </c>
      <c r="AL331" s="41">
        <v>845.03588926162433</v>
      </c>
      <c r="AM331" s="41">
        <v>919.85496779831362</v>
      </c>
      <c r="AN331" s="41">
        <v>889.80635369138281</v>
      </c>
      <c r="AO331" s="41">
        <v>925.97297011253158</v>
      </c>
      <c r="AP331" s="41">
        <v>880.11289290029765</v>
      </c>
      <c r="AQ331" s="41">
        <v>832.23972409854889</v>
      </c>
      <c r="AR331" s="41">
        <v>784.60940716833932</v>
      </c>
      <c r="AS331" s="41">
        <v>545.0849893124863</v>
      </c>
      <c r="AT331" s="41">
        <v>595.91117062658225</v>
      </c>
      <c r="AU331" s="41">
        <v>562.34405009869909</v>
      </c>
      <c r="AV331" s="211">
        <v>604.21436161775148</v>
      </c>
      <c r="AW331" s="41">
        <v>637.25772816888866</v>
      </c>
      <c r="AX331" s="41">
        <v>776.66461564896304</v>
      </c>
      <c r="AY331" s="41">
        <v>794.64675811661778</v>
      </c>
      <c r="AZ331" s="41">
        <v>807.78675031492128</v>
      </c>
      <c r="BA331" s="41">
        <v>830.1923713539046</v>
      </c>
      <c r="BB331" s="41">
        <v>843.92013299297059</v>
      </c>
      <c r="BC331" s="41">
        <v>867.3279874541106</v>
      </c>
      <c r="BD331" s="41">
        <v>884.09198005620988</v>
      </c>
      <c r="BE331" s="41">
        <v>903.64897874703286</v>
      </c>
      <c r="BF331" s="41">
        <v>921.10808109957827</v>
      </c>
      <c r="BG331" s="41">
        <v>946.65690149433783</v>
      </c>
      <c r="BH331" s="41">
        <v>962.3104786002051</v>
      </c>
      <c r="BI331" s="41">
        <v>989.00213193192064</v>
      </c>
      <c r="BJ331" s="41">
        <v>1005.3559144962534</v>
      </c>
      <c r="BK331" s="41">
        <v>1033.2415212120382</v>
      </c>
      <c r="BL331" s="41">
        <v>1053.2123436325433</v>
      </c>
      <c r="BM331" s="41">
        <v>1076.5104538860385</v>
      </c>
      <c r="BN331" s="41">
        <v>1090.731862507196</v>
      </c>
      <c r="BO331" s="41">
        <v>1107.6921436659618</v>
      </c>
      <c r="BP331" s="41"/>
      <c r="BQ331" s="41"/>
      <c r="BR331" s="41"/>
      <c r="BS331" s="41"/>
      <c r="BT331" s="41"/>
      <c r="BU331" s="41"/>
      <c r="BV331" s="41"/>
      <c r="BW331" s="41"/>
      <c r="BX331" s="41"/>
      <c r="BY331" s="41"/>
      <c r="BZ331" s="41"/>
      <c r="CA331" s="41">
        <v>838.18596470941213</v>
      </c>
      <c r="CB331" s="41">
        <v>842.39906871251094</v>
      </c>
      <c r="CC331" s="41">
        <v>807.56298661300411</v>
      </c>
      <c r="CD331" s="41">
        <v>768.83167303798177</v>
      </c>
      <c r="CE331" s="41">
        <v>757.21954405845588</v>
      </c>
      <c r="CF331" s="41">
        <v>707.4202348201145</v>
      </c>
      <c r="CG331" s="41">
        <v>751.54176649284568</v>
      </c>
      <c r="CH331" s="41">
        <v>1548.6433667049505</v>
      </c>
      <c r="CI331" s="41">
        <v>1503.6744212655167</v>
      </c>
      <c r="CJ331" s="41">
        <v>1544.436301874053</v>
      </c>
      <c r="CK331" s="41">
        <v>1952.7622883610652</v>
      </c>
      <c r="CL331" s="41">
        <v>2263.9015212292534</v>
      </c>
      <c r="CM331" s="41">
        <v>2373.8388209489481</v>
      </c>
      <c r="CN331" s="41">
        <v>2419.731806901239</v>
      </c>
      <c r="CO331" s="41">
        <v>2122.4459495198053</v>
      </c>
      <c r="CP331" s="41">
        <v>1874.4744643216084</v>
      </c>
      <c r="CQ331" s="41">
        <v>1670.8793827075456</v>
      </c>
      <c r="CR331" s="41">
        <v>1764.8908570599378</v>
      </c>
      <c r="CS331" s="41">
        <v>1815.7793238039144</v>
      </c>
      <c r="CT331" s="41">
        <v>1712.3526169988465</v>
      </c>
      <c r="CU331" s="41">
        <v>1329.6943964808256</v>
      </c>
      <c r="CV331" s="211">
        <v>1158.2552207252813</v>
      </c>
      <c r="CW331" s="41">
        <v>1241.47208978664</v>
      </c>
      <c r="CX331" s="41">
        <v>1571.3113737655808</v>
      </c>
      <c r="CY331" s="41">
        <v>1637.9791216688259</v>
      </c>
      <c r="CZ331" s="41">
        <v>1711.2481204470812</v>
      </c>
      <c r="DA331" s="41">
        <v>1787.7409588032428</v>
      </c>
      <c r="DB331" s="41">
        <v>1867.7649825939161</v>
      </c>
      <c r="DC331" s="41">
        <v>1951.3126105321257</v>
      </c>
      <c r="DD331" s="41">
        <v>2038.5974357082914</v>
      </c>
      <c r="DE331" s="41">
        <v>2129.7227975185815</v>
      </c>
      <c r="DF331" s="41">
        <v>2198.424006173158</v>
      </c>
    </row>
    <row r="332" spans="1:110" ht="12" outlineLevel="1">
      <c r="A332" s="1" t="s">
        <v>193</v>
      </c>
      <c r="B332" s="15" t="s">
        <v>166</v>
      </c>
      <c r="C332" s="41">
        <v>-676.82598305789315</v>
      </c>
      <c r="D332" s="41">
        <v>-172.15356109398647</v>
      </c>
      <c r="E332" s="41">
        <v>-258.88078844580355</v>
      </c>
      <c r="F332" s="41">
        <v>-221.94991088086226</v>
      </c>
      <c r="G332" s="41">
        <v>-217.57303990146534</v>
      </c>
      <c r="H332" s="41">
        <v>-374.66349438349226</v>
      </c>
      <c r="I332" s="41">
        <v>-95.560450860235051</v>
      </c>
      <c r="J332" s="41">
        <v>425.48666716695823</v>
      </c>
      <c r="K332" s="41">
        <v>525.04875606266887</v>
      </c>
      <c r="L332" s="41">
        <v>573.62668484626965</v>
      </c>
      <c r="M332" s="41">
        <v>495.79063171000189</v>
      </c>
      <c r="N332" s="41">
        <v>511.04452989469894</v>
      </c>
      <c r="O332" s="41">
        <v>567.12833939296047</v>
      </c>
      <c r="P332" s="41">
        <v>462.44582700560659</v>
      </c>
      <c r="Q332" s="41">
        <v>298.76499456188185</v>
      </c>
      <c r="R332" s="41">
        <v>1532.7561470116584</v>
      </c>
      <c r="S332" s="41">
        <v>1459.229331452826</v>
      </c>
      <c r="T332" s="41">
        <v>1197.9958824894275</v>
      </c>
      <c r="U332" s="41">
        <v>1174.9514362928553</v>
      </c>
      <c r="V332" s="41">
        <v>1056.775465124997</v>
      </c>
      <c r="W332" s="41">
        <v>1273.9764230493911</v>
      </c>
      <c r="X332" s="41">
        <v>1200.2458960414806</v>
      </c>
      <c r="Y332" s="41">
        <v>1231.7486703642662</v>
      </c>
      <c r="Z332" s="41">
        <v>1335.5207227667388</v>
      </c>
      <c r="AA332" s="41">
        <v>1241.4670303647681</v>
      </c>
      <c r="AB332" s="41">
        <v>1145.4008457018381</v>
      </c>
      <c r="AC332" s="41">
        <v>1001.268717032297</v>
      </c>
      <c r="AD332" s="41">
        <v>875.03468003501484</v>
      </c>
      <c r="AE332" s="41">
        <v>961.84531714696459</v>
      </c>
      <c r="AF332" s="41">
        <v>1288.7359490199265</v>
      </c>
      <c r="AG332" s="41">
        <v>1535.6602519761782</v>
      </c>
      <c r="AH332" s="41">
        <v>1478.9044569012985</v>
      </c>
      <c r="AI332" s="41">
        <v>1694.7841110111258</v>
      </c>
      <c r="AJ332" s="41">
        <v>1607.7575160557444</v>
      </c>
      <c r="AK332" s="41">
        <v>1433.4888495295054</v>
      </c>
      <c r="AL332" s="41">
        <v>1344.2418727661689</v>
      </c>
      <c r="AM332" s="41">
        <v>1544.2951151662501</v>
      </c>
      <c r="AN332" s="41">
        <v>1922.5815303818745</v>
      </c>
      <c r="AO332" s="41">
        <v>1606.0031492330963</v>
      </c>
      <c r="AP332" s="41">
        <v>1662.5564861876319</v>
      </c>
      <c r="AQ332" s="41">
        <v>1716.8224437268318</v>
      </c>
      <c r="AR332" s="41">
        <v>1675.0643092120145</v>
      </c>
      <c r="AS332" s="41">
        <v>943.46137773501277</v>
      </c>
      <c r="AT332" s="41">
        <v>1093.599423711767</v>
      </c>
      <c r="AU332" s="41">
        <v>1085.2396369761732</v>
      </c>
      <c r="AV332" s="211">
        <v>1393.798323442139</v>
      </c>
      <c r="AW332" s="41">
        <v>1424.2500802093812</v>
      </c>
      <c r="AX332" s="41">
        <v>1491.7897909318694</v>
      </c>
      <c r="AY332" s="41">
        <v>1581.610333850565</v>
      </c>
      <c r="AZ332" s="41">
        <v>1637.306373594472</v>
      </c>
      <c r="BA332" s="41">
        <v>1682.7204214445615</v>
      </c>
      <c r="BB332" s="41">
        <v>1710.5452794507933</v>
      </c>
      <c r="BC332" s="41">
        <v>1757.9907584543244</v>
      </c>
      <c r="BD332" s="41">
        <v>1791.9697658143809</v>
      </c>
      <c r="BE332" s="41">
        <v>1831.6099290039608</v>
      </c>
      <c r="BF332" s="41">
        <v>1866.9978572510092</v>
      </c>
      <c r="BG332" s="41">
        <v>1918.7828691416498</v>
      </c>
      <c r="BH332" s="41">
        <v>1950.5111706457246</v>
      </c>
      <c r="BI332" s="41">
        <v>2004.6125954397744</v>
      </c>
      <c r="BJ332" s="41">
        <v>2037.7601463429319</v>
      </c>
      <c r="BK332" s="41">
        <v>2094.2816002904042</v>
      </c>
      <c r="BL332" s="41">
        <v>2134.7605445442791</v>
      </c>
      <c r="BM332" s="41">
        <v>2181.9835825501432</v>
      </c>
      <c r="BN332" s="41">
        <v>2210.8090157078846</v>
      </c>
      <c r="BO332" s="41">
        <v>2245.1858811719139</v>
      </c>
      <c r="BP332" s="41"/>
      <c r="BQ332" s="41"/>
      <c r="BR332" s="41"/>
      <c r="BS332" s="41"/>
      <c r="BT332" s="41"/>
      <c r="BU332" s="41"/>
      <c r="BV332" s="41"/>
      <c r="BW332" s="41"/>
      <c r="BX332" s="41"/>
      <c r="BY332" s="41"/>
      <c r="BZ332" s="41"/>
      <c r="CA332" s="41">
        <v>-431.03434953979001</v>
      </c>
      <c r="CB332" s="41">
        <v>-439.5229507823276</v>
      </c>
      <c r="CC332" s="41">
        <v>-470.22394524372731</v>
      </c>
      <c r="CD332" s="41">
        <v>950.5354232296271</v>
      </c>
      <c r="CE332" s="41">
        <v>1069.4173165562715</v>
      </c>
      <c r="CF332" s="41">
        <v>1078.1728692876595</v>
      </c>
      <c r="CG332" s="41">
        <v>761.21082156748844</v>
      </c>
      <c r="CH332" s="41">
        <v>2991.9854784644845</v>
      </c>
      <c r="CI332" s="41">
        <v>2372.9473187822828</v>
      </c>
      <c r="CJ332" s="41">
        <v>2330.7518881743881</v>
      </c>
      <c r="CK332" s="41">
        <v>2431.9945664057468</v>
      </c>
      <c r="CL332" s="41">
        <v>2576.9877531315069</v>
      </c>
      <c r="CM332" s="41">
        <v>2146.6695627341351</v>
      </c>
      <c r="CN332" s="41">
        <v>1836.8799971819794</v>
      </c>
      <c r="CO332" s="41">
        <v>2824.3962009961047</v>
      </c>
      <c r="CP332" s="41">
        <v>3173.6885679124243</v>
      </c>
      <c r="CQ332" s="41">
        <v>3041.2463655852498</v>
      </c>
      <c r="CR332" s="41">
        <v>2888.5369879324189</v>
      </c>
      <c r="CS332" s="41">
        <v>3528.5846796149708</v>
      </c>
      <c r="CT332" s="41">
        <v>3379.3789299144637</v>
      </c>
      <c r="CU332" s="41">
        <v>2618.5256869470272</v>
      </c>
      <c r="CV332" s="211">
        <v>2178.8390606879402</v>
      </c>
      <c r="CW332" s="41">
        <v>2818.0484036515199</v>
      </c>
      <c r="CX332" s="41">
        <v>3073.4001247824344</v>
      </c>
      <c r="CY332" s="41">
        <v>3320.0267950390335</v>
      </c>
      <c r="CZ332" s="41">
        <v>3468.5360379051176</v>
      </c>
      <c r="DA332" s="41">
        <v>3623.5796948183415</v>
      </c>
      <c r="DB332" s="41">
        <v>3785.7807263926588</v>
      </c>
      <c r="DC332" s="41">
        <v>3955.123766085499</v>
      </c>
      <c r="DD332" s="41">
        <v>4132.0417466333365</v>
      </c>
      <c r="DE332" s="41">
        <v>4316.7441270944219</v>
      </c>
      <c r="DF332" s="41">
        <v>4455.994896879798</v>
      </c>
    </row>
    <row r="333" spans="1:110" ht="12" outlineLevel="1">
      <c r="A333" s="1" t="s">
        <v>194</v>
      </c>
      <c r="B333" s="15" t="s">
        <v>167</v>
      </c>
      <c r="C333" s="41">
        <v>92.866880855159366</v>
      </c>
      <c r="D333" s="41">
        <v>54.338057312535689</v>
      </c>
      <c r="E333" s="41">
        <v>49.972799700341454</v>
      </c>
      <c r="F333" s="41">
        <v>61.683047884867101</v>
      </c>
      <c r="G333" s="41">
        <v>62.570766521995907</v>
      </c>
      <c r="H333" s="41">
        <v>46.104730586581198</v>
      </c>
      <c r="I333" s="41">
        <v>49.847166147113349</v>
      </c>
      <c r="J333" s="41">
        <v>48.185688573248278</v>
      </c>
      <c r="K333" s="41">
        <v>54.59987413914331</v>
      </c>
      <c r="L333" s="41">
        <v>59.549739505754523</v>
      </c>
      <c r="M333" s="41">
        <v>52.265527135663248</v>
      </c>
      <c r="N333" s="41">
        <v>49.283233827403798</v>
      </c>
      <c r="O333" s="41">
        <v>42.06496600521087</v>
      </c>
      <c r="P333" s="41">
        <v>37.5465224305729</v>
      </c>
      <c r="Q333" s="41">
        <v>69.983168953804949</v>
      </c>
      <c r="R333" s="41">
        <v>212.77668962961187</v>
      </c>
      <c r="S333" s="41">
        <v>232.19865958602335</v>
      </c>
      <c r="T333" s="41">
        <v>221.97974879197901</v>
      </c>
      <c r="U333" s="41">
        <v>236.5102460229952</v>
      </c>
      <c r="V333" s="41">
        <v>242.23995590396939</v>
      </c>
      <c r="W333" s="41">
        <v>245.34130534298112</v>
      </c>
      <c r="X333" s="41">
        <v>265.42649522826127</v>
      </c>
      <c r="Y333" s="41">
        <v>303.61180416151092</v>
      </c>
      <c r="Z333" s="41">
        <v>319.37961277968702</v>
      </c>
      <c r="AA333" s="41">
        <v>347.14075046240481</v>
      </c>
      <c r="AB333" s="41">
        <v>345.66431747009023</v>
      </c>
      <c r="AC333" s="41">
        <v>342.01871671701537</v>
      </c>
      <c r="AD333" s="41">
        <v>334.85817704320067</v>
      </c>
      <c r="AE333" s="41">
        <v>357.28483385939205</v>
      </c>
      <c r="AF333" s="41">
        <v>324.26640831568085</v>
      </c>
      <c r="AG333" s="41">
        <v>339.80070682284639</v>
      </c>
      <c r="AH333" s="41">
        <v>344.16104386143235</v>
      </c>
      <c r="AI333" s="41">
        <v>328.65004843215405</v>
      </c>
      <c r="AJ333" s="41">
        <v>309.89096328993975</v>
      </c>
      <c r="AK333" s="41">
        <v>290.88237979863135</v>
      </c>
      <c r="AL333" s="41">
        <v>281.80860546123841</v>
      </c>
      <c r="AM333" s="41">
        <v>297.61512088313282</v>
      </c>
      <c r="AN333" s="41">
        <v>262.28793325367599</v>
      </c>
      <c r="AO333" s="41">
        <v>238.049255401746</v>
      </c>
      <c r="AP333" s="41">
        <v>201.38191112098522</v>
      </c>
      <c r="AQ333" s="41">
        <v>184.24337018188126</v>
      </c>
      <c r="AR333" s="41">
        <v>166.56929592735494</v>
      </c>
      <c r="AS333" s="41">
        <v>130.66992260852049</v>
      </c>
      <c r="AT333" s="41">
        <v>115.95305875485766</v>
      </c>
      <c r="AU333" s="41">
        <v>105.95058402588755</v>
      </c>
      <c r="AV333" s="211">
        <v>105.69388826560433</v>
      </c>
      <c r="AW333" s="41">
        <v>100.06636950235799</v>
      </c>
      <c r="AX333" s="41">
        <v>105.16975892483998</v>
      </c>
      <c r="AY333" s="41">
        <v>120.63650060707693</v>
      </c>
      <c r="AZ333" s="41">
        <v>134.37657811418381</v>
      </c>
      <c r="BA333" s="41">
        <v>136.46943794334868</v>
      </c>
      <c r="BB333" s="41">
        <v>137.08433343545894</v>
      </c>
      <c r="BC333" s="41">
        <v>139.21936543791944</v>
      </c>
      <c r="BD333" s="41">
        <v>140.23084547923116</v>
      </c>
      <c r="BE333" s="41">
        <v>141.63665970516041</v>
      </c>
      <c r="BF333" s="41">
        <v>142.66463141810544</v>
      </c>
      <c r="BG333" s="41">
        <v>144.88657426207229</v>
      </c>
      <c r="BH333" s="41">
        <v>145.53939516266126</v>
      </c>
      <c r="BI333" s="41">
        <v>147.80611126729423</v>
      </c>
      <c r="BJ333" s="41">
        <v>148.4720868358485</v>
      </c>
      <c r="BK333" s="41">
        <v>150.78447840476457</v>
      </c>
      <c r="BL333" s="41">
        <v>151.87998325760077</v>
      </c>
      <c r="BM333" s="41">
        <v>153.40258008975817</v>
      </c>
      <c r="BN333" s="41">
        <v>154.51402478014808</v>
      </c>
      <c r="BO333" s="41">
        <v>156.91663296766359</v>
      </c>
      <c r="BP333" s="41"/>
      <c r="BQ333" s="41"/>
      <c r="BR333" s="41"/>
      <c r="BS333" s="41"/>
      <c r="BT333" s="41"/>
      <c r="BU333" s="41"/>
      <c r="BV333" s="41"/>
      <c r="BW333" s="41"/>
      <c r="BX333" s="41"/>
      <c r="BY333" s="41"/>
      <c r="BZ333" s="41"/>
      <c r="CA333" s="41">
        <v>104.31085701287714</v>
      </c>
      <c r="CB333" s="41">
        <v>124.253814406863</v>
      </c>
      <c r="CC333" s="41">
        <v>95.951896733694554</v>
      </c>
      <c r="CD333" s="41">
        <v>102.7855627123916</v>
      </c>
      <c r="CE333" s="41">
        <v>111.81526664141776</v>
      </c>
      <c r="CF333" s="41">
        <v>91.348199832614668</v>
      </c>
      <c r="CG333" s="41">
        <v>107.52969138437786</v>
      </c>
      <c r="CH333" s="41">
        <v>444.97534921563522</v>
      </c>
      <c r="CI333" s="41">
        <v>458.48999481497424</v>
      </c>
      <c r="CJ333" s="41">
        <v>487.58126124695048</v>
      </c>
      <c r="CK333" s="41">
        <v>569.03829938977219</v>
      </c>
      <c r="CL333" s="41">
        <v>666.52036324209189</v>
      </c>
      <c r="CM333" s="41">
        <v>687.68303418710559</v>
      </c>
      <c r="CN333" s="41">
        <v>692.14301090259278</v>
      </c>
      <c r="CO333" s="41">
        <v>664.06711513852724</v>
      </c>
      <c r="CP333" s="41">
        <v>672.8110922935864</v>
      </c>
      <c r="CQ333" s="41">
        <v>600.7733430885711</v>
      </c>
      <c r="CR333" s="41">
        <v>579.42372634437129</v>
      </c>
      <c r="CS333" s="41">
        <v>500.33718865542198</v>
      </c>
      <c r="CT333" s="41">
        <v>385.62528130286648</v>
      </c>
      <c r="CU333" s="41">
        <v>297.23921853587547</v>
      </c>
      <c r="CV333" s="211">
        <v>221.9036427807452</v>
      </c>
      <c r="CW333" s="41">
        <v>205.76025776796232</v>
      </c>
      <c r="CX333" s="41">
        <v>225.80625953191691</v>
      </c>
      <c r="CY333" s="41">
        <v>270.84601605753249</v>
      </c>
      <c r="CZ333" s="41">
        <v>276.30369887337838</v>
      </c>
      <c r="DA333" s="41">
        <v>281.86750518439158</v>
      </c>
      <c r="DB333" s="41">
        <v>287.55120568017776</v>
      </c>
      <c r="DC333" s="41">
        <v>293.34550642995549</v>
      </c>
      <c r="DD333" s="41">
        <v>299.2565652406131</v>
      </c>
      <c r="DE333" s="41">
        <v>305.28256334735897</v>
      </c>
      <c r="DF333" s="41">
        <v>311.43065774781167</v>
      </c>
    </row>
    <row r="334" spans="1:110" s="17" customFormat="1" ht="12" outlineLevel="1">
      <c r="A334" s="1" t="s">
        <v>195</v>
      </c>
      <c r="B334" s="17" t="s">
        <v>168</v>
      </c>
      <c r="C334" s="62">
        <v>576.67174141506894</v>
      </c>
      <c r="D334" s="62">
        <v>653.52363589041113</v>
      </c>
      <c r="E334" s="62">
        <v>495.07527472465767</v>
      </c>
      <c r="F334" s="62">
        <v>636.98659687305906</v>
      </c>
      <c r="G334" s="62">
        <v>683.40901349315016</v>
      </c>
      <c r="H334" s="62">
        <v>451.33791666666667</v>
      </c>
      <c r="I334" s="62">
        <v>614.5578679999993</v>
      </c>
      <c r="J334" s="62">
        <v>1210.2769535470327</v>
      </c>
      <c r="K334" s="62">
        <v>1375.3222916164391</v>
      </c>
      <c r="L334" s="62">
        <v>1425.8038559123288</v>
      </c>
      <c r="M334" s="62">
        <v>1288.5858842754419</v>
      </c>
      <c r="N334" s="62">
        <v>1334.624366465755</v>
      </c>
      <c r="O334" s="62">
        <v>1357.660242023182</v>
      </c>
      <c r="P334" s="62">
        <v>1111.5300183206127</v>
      </c>
      <c r="Q334" s="62">
        <v>1454.3971677480899</v>
      </c>
      <c r="R334" s="62">
        <v>3757.6842236438356</v>
      </c>
      <c r="S334" s="62">
        <v>3565.0296307681701</v>
      </c>
      <c r="T334" s="62">
        <v>3259.7937659178051</v>
      </c>
      <c r="U334" s="62">
        <v>3528.2720955767027</v>
      </c>
      <c r="V334" s="62">
        <v>3719.7706421917937</v>
      </c>
      <c r="W334" s="62">
        <v>3976.9352312203273</v>
      </c>
      <c r="X334" s="62">
        <v>4211.2089692307654</v>
      </c>
      <c r="Y334" s="62">
        <v>4866.1255407692333</v>
      </c>
      <c r="Z334" s="62">
        <v>5026.4539250684884</v>
      </c>
      <c r="AA334" s="62">
        <v>5034.2296928139667</v>
      </c>
      <c r="AB334" s="62">
        <v>4914.0553865753354</v>
      </c>
      <c r="AC334" s="62">
        <v>4907.8850017123286</v>
      </c>
      <c r="AD334" s="62">
        <v>4829.4538520810929</v>
      </c>
      <c r="AE334" s="62">
        <v>5163.8893513123503</v>
      </c>
      <c r="AF334" s="62">
        <v>5299.658381297716</v>
      </c>
      <c r="AG334" s="62">
        <v>5765.3659370381711</v>
      </c>
      <c r="AH334" s="62">
        <v>5705.0800487539718</v>
      </c>
      <c r="AI334" s="62">
        <v>5994.2743143329044</v>
      </c>
      <c r="AJ334" s="62">
        <v>5806.9511000547964</v>
      </c>
      <c r="AK334" s="62">
        <v>5440.1185605353003</v>
      </c>
      <c r="AL334" s="62">
        <v>5580.7639136438293</v>
      </c>
      <c r="AM334" s="62">
        <v>6383.6014673721629</v>
      </c>
      <c r="AN334" s="62">
        <v>6520.7250832061045</v>
      </c>
      <c r="AO334" s="62">
        <v>6571.6209145038174</v>
      </c>
      <c r="AP334" s="62">
        <v>6485.1374416793515</v>
      </c>
      <c r="AQ334" s="62">
        <v>6263.5830472974567</v>
      </c>
      <c r="AR334" s="62">
        <v>5923.2246822882198</v>
      </c>
      <c r="AS334" s="62">
        <v>4167.7964337058438</v>
      </c>
      <c r="AT334" s="62">
        <v>4633.3518559813701</v>
      </c>
      <c r="AU334" s="62">
        <v>4581.7321231463839</v>
      </c>
      <c r="AV334" s="220">
        <v>5031.8832735576925</v>
      </c>
      <c r="AW334" s="62">
        <v>5328.6236779910441</v>
      </c>
      <c r="AX334" s="62">
        <v>5910.9407746758679</v>
      </c>
      <c r="AY334" s="62">
        <v>6128.5631905103419</v>
      </c>
      <c r="AZ334" s="62">
        <v>6281.8270016983415</v>
      </c>
      <c r="BA334" s="62">
        <v>6441.2526353521835</v>
      </c>
      <c r="BB334" s="62">
        <v>6511.6890269388123</v>
      </c>
      <c r="BC334" s="62">
        <v>6596.9070129247757</v>
      </c>
      <c r="BD334" s="62">
        <v>6687.3605066130203</v>
      </c>
      <c r="BE334" s="62">
        <v>6797.6620693674822</v>
      </c>
      <c r="BF334" s="62">
        <v>6911.4924018119473</v>
      </c>
      <c r="BG334" s="62">
        <v>7085.2911757682923</v>
      </c>
      <c r="BH334" s="62">
        <v>7184.3351271181527</v>
      </c>
      <c r="BI334" s="62">
        <v>7365.0767456616422</v>
      </c>
      <c r="BJ334" s="62">
        <v>7468.114579177276</v>
      </c>
      <c r="BK334" s="62">
        <v>7656.0801602455194</v>
      </c>
      <c r="BL334" s="62">
        <v>7784.6025410810144</v>
      </c>
      <c r="BM334" s="62">
        <v>7937.0118049494104</v>
      </c>
      <c r="BN334" s="62">
        <v>8031.9699629121951</v>
      </c>
      <c r="BO334" s="62">
        <v>8156.8626826651716</v>
      </c>
      <c r="BP334" s="62"/>
      <c r="BQ334" s="62">
        <v>1664.6961249999988</v>
      </c>
      <c r="BR334" s="62">
        <v>1707.8783999999996</v>
      </c>
      <c r="BS334" s="62">
        <v>1514.6778258333331</v>
      </c>
      <c r="BT334" s="62">
        <v>1035.2109208333331</v>
      </c>
      <c r="BU334" s="62">
        <v>1360.3402149999995</v>
      </c>
      <c r="BV334" s="62">
        <v>1646.293208166667</v>
      </c>
      <c r="BW334" s="62">
        <v>1581.3918749999996</v>
      </c>
      <c r="BX334" s="62">
        <v>1587.3829667499997</v>
      </c>
      <c r="BY334" s="62">
        <v>1290.614438076924</v>
      </c>
      <c r="BZ334" s="62">
        <v>1817.1832399999969</v>
      </c>
      <c r="CA334" s="62">
        <v>1148.5989106150687</v>
      </c>
      <c r="CB334" s="62">
        <v>1320.3956103662092</v>
      </c>
      <c r="CC334" s="62">
        <v>1065.895784666666</v>
      </c>
      <c r="CD334" s="62">
        <v>2585.599245163472</v>
      </c>
      <c r="CE334" s="62">
        <v>2714.3897401877707</v>
      </c>
      <c r="CF334" s="62">
        <v>2692.284608488937</v>
      </c>
      <c r="CG334" s="62">
        <v>2565.9271860687027</v>
      </c>
      <c r="CH334" s="62">
        <v>7322.7138544120062</v>
      </c>
      <c r="CI334" s="62">
        <v>6788.0658614945078</v>
      </c>
      <c r="CJ334" s="62">
        <v>7696.705873412121</v>
      </c>
      <c r="CK334" s="62">
        <v>9077.3345099999988</v>
      </c>
      <c r="CL334" s="62">
        <v>10060.683617882456</v>
      </c>
      <c r="CM334" s="62">
        <v>9821.940388287665</v>
      </c>
      <c r="CN334" s="62">
        <v>9993.3432033934441</v>
      </c>
      <c r="CO334" s="62">
        <v>11065.024318335887</v>
      </c>
      <c r="CP334" s="62">
        <v>11699.354363086877</v>
      </c>
      <c r="CQ334" s="62">
        <v>11247.069660590096</v>
      </c>
      <c r="CR334" s="62">
        <v>11964.365381015992</v>
      </c>
      <c r="CS334" s="62">
        <v>13092.345997709923</v>
      </c>
      <c r="CT334" s="62">
        <v>12748.720488976807</v>
      </c>
      <c r="CU334" s="62">
        <v>10091.021115994063</v>
      </c>
      <c r="CV334" s="220">
        <v>9215.083979127754</v>
      </c>
      <c r="CW334" s="62">
        <v>10360.506951548738</v>
      </c>
      <c r="CX334" s="62">
        <v>12039.50396518621</v>
      </c>
      <c r="CY334" s="62">
        <v>12723.079637050525</v>
      </c>
      <c r="CZ334" s="62">
        <v>13108.596039863587</v>
      </c>
      <c r="DA334" s="62">
        <v>13485.022575980503</v>
      </c>
      <c r="DB334" s="62">
        <v>13996.78357758024</v>
      </c>
      <c r="DC334" s="62">
        <v>14549.411872779794</v>
      </c>
      <c r="DD334" s="62">
        <v>15124.194739422795</v>
      </c>
      <c r="DE334" s="62">
        <v>15721.614346030425</v>
      </c>
      <c r="DF334" s="62">
        <v>16188.832645577368</v>
      </c>
    </row>
    <row r="335" spans="1:110" ht="12" outlineLevel="1">
      <c r="C335" s="41"/>
      <c r="D335" s="41"/>
      <c r="E335" s="41"/>
      <c r="F335" s="41"/>
      <c r="G335" s="41"/>
      <c r="H335" s="41"/>
      <c r="I335" s="41"/>
      <c r="J335" s="41"/>
      <c r="K335" s="41"/>
      <c r="L335" s="41"/>
      <c r="M335" s="41"/>
      <c r="N335" s="41"/>
      <c r="O335" s="41"/>
      <c r="P335" s="41"/>
      <c r="Q335" s="41"/>
      <c r="R335" s="41"/>
      <c r="S335" s="41"/>
      <c r="T335" s="41"/>
      <c r="U335" s="41"/>
      <c r="V335" s="41"/>
      <c r="W335" s="41"/>
      <c r="X335" s="41"/>
      <c r="Y335" s="41"/>
      <c r="Z335" s="41"/>
      <c r="AA335" s="41"/>
      <c r="AB335" s="41"/>
      <c r="AC335" s="41"/>
      <c r="AD335" s="41"/>
      <c r="AE335" s="41"/>
      <c r="AF335" s="41"/>
      <c r="AG335" s="41"/>
      <c r="AH335" s="41"/>
      <c r="AI335" s="41"/>
      <c r="AJ335" s="41"/>
      <c r="AK335" s="41"/>
      <c r="AL335" s="41"/>
      <c r="AM335" s="41"/>
      <c r="AN335" s="41"/>
      <c r="AO335" s="41"/>
      <c r="AP335" s="41"/>
      <c r="AQ335" s="41"/>
      <c r="AR335" s="41"/>
      <c r="AS335" s="41"/>
      <c r="AT335" s="41"/>
      <c r="AU335" s="41"/>
      <c r="AV335" s="211"/>
      <c r="AW335" s="41"/>
      <c r="AX335" s="41"/>
      <c r="AY335" s="41"/>
      <c r="AZ335" s="41"/>
      <c r="BA335" s="41"/>
      <c r="BB335" s="41"/>
      <c r="BC335" s="41"/>
      <c r="BD335" s="41"/>
      <c r="BE335" s="41"/>
      <c r="BF335" s="41"/>
      <c r="BG335" s="41"/>
      <c r="BH335" s="41"/>
      <c r="BI335" s="41"/>
      <c r="BJ335" s="41"/>
      <c r="BK335" s="41"/>
      <c r="BL335" s="41"/>
      <c r="BM335" s="41"/>
      <c r="BN335" s="41"/>
      <c r="BO335" s="41"/>
      <c r="BP335" s="41"/>
      <c r="BQ335" s="41"/>
      <c r="BR335" s="41"/>
      <c r="BS335" s="41"/>
      <c r="BT335" s="41"/>
      <c r="BU335" s="41"/>
      <c r="BV335" s="41"/>
      <c r="BW335" s="41"/>
      <c r="BX335" s="41"/>
      <c r="BY335" s="41"/>
      <c r="BZ335" s="41"/>
      <c r="CA335" s="41"/>
      <c r="CB335" s="41"/>
      <c r="CC335" s="41"/>
      <c r="CD335" s="41"/>
      <c r="CE335" s="41"/>
      <c r="CF335" s="41"/>
      <c r="CG335" s="41"/>
      <c r="CH335" s="41"/>
      <c r="CI335" s="41"/>
      <c r="CJ335" s="41"/>
      <c r="CK335" s="41"/>
      <c r="CL335" s="41"/>
      <c r="CM335" s="41"/>
      <c r="CN335" s="41"/>
      <c r="CO335" s="41"/>
      <c r="CP335" s="41"/>
      <c r="CQ335" s="41"/>
      <c r="CR335" s="41"/>
      <c r="CS335" s="41"/>
      <c r="CT335" s="41"/>
      <c r="CU335" s="41"/>
      <c r="CV335" s="211"/>
      <c r="CW335" s="41"/>
      <c r="CX335" s="41"/>
      <c r="CY335" s="41"/>
      <c r="CZ335" s="15"/>
      <c r="DA335" s="15"/>
      <c r="DB335" s="15"/>
      <c r="DC335" s="15"/>
      <c r="DD335" s="15"/>
      <c r="DE335" s="15"/>
      <c r="DF335" s="15"/>
    </row>
    <row r="336" spans="1:110" s="17" customFormat="1" ht="12" outlineLevel="1">
      <c r="A336" s="1"/>
      <c r="B336" s="17" t="s">
        <v>408</v>
      </c>
      <c r="C336" s="62"/>
      <c r="D336" s="62"/>
      <c r="E336" s="62"/>
      <c r="F336" s="62"/>
      <c r="G336" s="62"/>
      <c r="H336" s="62"/>
      <c r="I336" s="62"/>
      <c r="J336" s="62"/>
      <c r="K336" s="62"/>
      <c r="L336" s="62"/>
      <c r="M336" s="62"/>
      <c r="N336" s="62"/>
      <c r="O336" s="62"/>
      <c r="P336" s="62"/>
      <c r="Q336" s="62"/>
      <c r="R336" s="62"/>
      <c r="S336" s="62"/>
      <c r="T336" s="62"/>
      <c r="U336" s="62"/>
      <c r="V336" s="62"/>
      <c r="W336" s="62"/>
      <c r="X336" s="62"/>
      <c r="Y336" s="62"/>
      <c r="Z336" s="62"/>
      <c r="AA336" s="62"/>
      <c r="AB336" s="62"/>
      <c r="AC336" s="62"/>
      <c r="AD336" s="62"/>
      <c r="AE336" s="62"/>
      <c r="AF336" s="62"/>
      <c r="AG336" s="62"/>
      <c r="AH336" s="62"/>
      <c r="AI336" s="62"/>
      <c r="AJ336" s="62"/>
      <c r="AK336" s="62"/>
      <c r="AL336" s="62"/>
      <c r="AM336" s="62"/>
      <c r="AN336" s="62"/>
      <c r="AO336" s="62"/>
      <c r="AP336" s="62"/>
      <c r="AQ336" s="62"/>
      <c r="AR336" s="62"/>
      <c r="AS336" s="62"/>
      <c r="AT336" s="62"/>
      <c r="AU336" s="62"/>
      <c r="AV336" s="220"/>
      <c r="AW336" s="62"/>
      <c r="AX336" s="62"/>
      <c r="AY336" s="62"/>
      <c r="AZ336" s="62"/>
      <c r="BA336" s="62"/>
      <c r="BB336" s="62"/>
      <c r="BC336" s="62"/>
      <c r="BD336" s="62"/>
      <c r="BE336" s="62"/>
      <c r="BF336" s="62"/>
      <c r="BG336" s="62"/>
      <c r="BH336" s="62"/>
      <c r="BI336" s="62"/>
      <c r="BJ336" s="62"/>
      <c r="BK336" s="62"/>
      <c r="BL336" s="62"/>
      <c r="BM336" s="62"/>
      <c r="BN336" s="62"/>
      <c r="BO336" s="62"/>
      <c r="BP336" s="62"/>
      <c r="BQ336" s="62"/>
      <c r="BR336" s="62"/>
      <c r="BS336" s="62"/>
      <c r="BT336" s="62"/>
      <c r="BU336" s="62"/>
      <c r="BV336" s="62"/>
      <c r="BW336" s="62"/>
      <c r="BX336" s="62"/>
      <c r="BY336" s="62"/>
      <c r="BZ336" s="62"/>
      <c r="CA336" s="62"/>
      <c r="CB336" s="62"/>
      <c r="CC336" s="62"/>
      <c r="CD336" s="62"/>
      <c r="CE336" s="62"/>
      <c r="CF336" s="62"/>
      <c r="CG336" s="62"/>
      <c r="CH336" s="62"/>
      <c r="CI336" s="62"/>
      <c r="CJ336" s="62"/>
      <c r="CK336" s="62"/>
      <c r="CL336" s="62"/>
      <c r="CM336" s="62"/>
      <c r="CN336" s="62"/>
      <c r="CO336" s="62"/>
      <c r="CP336" s="62"/>
      <c r="CQ336" s="62"/>
      <c r="CR336" s="62"/>
      <c r="CS336" s="62"/>
      <c r="CT336" s="62"/>
      <c r="CU336" s="62"/>
      <c r="CV336" s="220"/>
      <c r="CW336" s="62"/>
      <c r="CX336" s="62"/>
      <c r="CY336" s="62"/>
    </row>
    <row r="337" spans="1:110" ht="12" outlineLevel="1">
      <c r="A337" s="1" t="s">
        <v>196</v>
      </c>
      <c r="B337" s="15" t="s">
        <v>164</v>
      </c>
      <c r="C337" s="41"/>
      <c r="D337" s="41"/>
      <c r="E337" s="41"/>
      <c r="F337" s="41"/>
      <c r="G337" s="41"/>
      <c r="H337" s="41"/>
      <c r="I337" s="41"/>
      <c r="J337" s="41"/>
      <c r="K337" s="41"/>
      <c r="L337" s="41"/>
      <c r="M337" s="41"/>
      <c r="N337" s="41"/>
      <c r="O337" s="41"/>
      <c r="P337" s="41"/>
      <c r="Q337" s="41"/>
      <c r="R337" s="41"/>
      <c r="S337" s="41"/>
      <c r="T337" s="41"/>
      <c r="U337" s="41"/>
      <c r="V337" s="41"/>
      <c r="W337" s="41"/>
      <c r="X337" s="41"/>
      <c r="Y337" s="41"/>
      <c r="Z337" s="41"/>
      <c r="AA337" s="41"/>
      <c r="AB337" s="41"/>
      <c r="AC337" s="41"/>
      <c r="AD337" s="41"/>
      <c r="AE337" s="41"/>
      <c r="AF337" s="41"/>
      <c r="AG337" s="41"/>
      <c r="AH337" s="41"/>
      <c r="AI337" s="41"/>
      <c r="AJ337" s="41"/>
      <c r="AK337" s="41"/>
      <c r="AL337" s="41"/>
      <c r="AM337" s="41"/>
      <c r="AN337" s="41"/>
      <c r="AO337" s="41"/>
      <c r="AP337" s="41"/>
      <c r="AQ337" s="41"/>
      <c r="AR337" s="41"/>
      <c r="AS337" s="41"/>
      <c r="AT337" s="41"/>
      <c r="AU337" s="41"/>
      <c r="AV337" s="211"/>
      <c r="AW337" s="41"/>
      <c r="AX337" s="41"/>
      <c r="AY337" s="41"/>
      <c r="AZ337" s="41"/>
      <c r="BA337" s="41"/>
      <c r="BB337" s="41"/>
      <c r="BC337" s="41"/>
      <c r="BD337" s="41"/>
      <c r="BE337" s="41"/>
      <c r="BF337" s="41"/>
      <c r="BG337" s="41"/>
      <c r="BH337" s="41"/>
      <c r="BI337" s="41"/>
      <c r="BJ337" s="41"/>
      <c r="BK337" s="41"/>
      <c r="BL337" s="41"/>
      <c r="BM337" s="41"/>
      <c r="BN337" s="41"/>
      <c r="BO337" s="41"/>
      <c r="BP337" s="41"/>
      <c r="BQ337" s="41"/>
      <c r="BR337" s="41"/>
      <c r="BS337" s="41"/>
      <c r="BT337" s="41"/>
      <c r="BU337" s="41"/>
      <c r="BV337" s="41"/>
      <c r="BW337" s="41"/>
      <c r="BX337" s="41"/>
      <c r="BY337" s="41"/>
      <c r="BZ337" s="41"/>
      <c r="CA337" s="41"/>
      <c r="CB337" s="41"/>
      <c r="CC337" s="41"/>
      <c r="CD337" s="41"/>
      <c r="CE337" s="41"/>
      <c r="CF337" s="41"/>
      <c r="CG337" s="41"/>
      <c r="CH337" s="41"/>
      <c r="CI337" s="41"/>
      <c r="CJ337" s="41"/>
      <c r="CK337" s="41"/>
      <c r="CL337" s="41"/>
      <c r="CM337" s="41"/>
      <c r="CN337" s="41"/>
      <c r="CO337" s="41"/>
      <c r="CP337" s="41"/>
      <c r="CQ337" s="41"/>
      <c r="CR337" s="41"/>
      <c r="CS337" s="41"/>
      <c r="CT337" s="41"/>
      <c r="CU337" s="41"/>
      <c r="CV337" s="211"/>
      <c r="CW337" s="41"/>
      <c r="CX337" s="41"/>
      <c r="CY337" s="41"/>
      <c r="CZ337" s="15"/>
      <c r="DA337" s="15"/>
      <c r="DB337" s="15"/>
      <c r="DC337" s="15"/>
      <c r="DD337" s="15"/>
      <c r="DE337" s="15"/>
      <c r="DF337" s="15"/>
    </row>
    <row r="338" spans="1:110" ht="12" outlineLevel="1">
      <c r="A338" s="1" t="s">
        <v>197</v>
      </c>
      <c r="B338" s="15" t="s">
        <v>344</v>
      </c>
      <c r="C338" s="41"/>
      <c r="D338" s="41"/>
      <c r="E338" s="41"/>
      <c r="F338" s="41"/>
      <c r="G338" s="41"/>
      <c r="H338" s="41"/>
      <c r="I338" s="41"/>
      <c r="J338" s="41"/>
      <c r="K338" s="41"/>
      <c r="L338" s="41"/>
      <c r="M338" s="41"/>
      <c r="N338" s="41"/>
      <c r="O338" s="41"/>
      <c r="P338" s="41"/>
      <c r="Q338" s="41"/>
      <c r="R338" s="41"/>
      <c r="S338" s="41"/>
      <c r="T338" s="41"/>
      <c r="U338" s="41"/>
      <c r="V338" s="41"/>
      <c r="W338" s="41"/>
      <c r="X338" s="41"/>
      <c r="Y338" s="41"/>
      <c r="Z338" s="41"/>
      <c r="AA338" s="41"/>
      <c r="AB338" s="41"/>
      <c r="AC338" s="41"/>
      <c r="AD338" s="41"/>
      <c r="AE338" s="41"/>
      <c r="AF338" s="41"/>
      <c r="AG338" s="41"/>
      <c r="AH338" s="41"/>
      <c r="AI338" s="41"/>
      <c r="AJ338" s="41"/>
      <c r="AK338" s="41"/>
      <c r="AL338" s="41"/>
      <c r="AM338" s="41"/>
      <c r="AN338" s="41"/>
      <c r="AO338" s="41"/>
      <c r="AP338" s="41"/>
      <c r="AQ338" s="41"/>
      <c r="AR338" s="41"/>
      <c r="AS338" s="41"/>
      <c r="AT338" s="41"/>
      <c r="AU338" s="41"/>
      <c r="AV338" s="211"/>
      <c r="AW338" s="41"/>
      <c r="AX338" s="41"/>
      <c r="AY338" s="41"/>
      <c r="AZ338" s="41"/>
      <c r="BA338" s="41"/>
      <c r="BB338" s="41"/>
      <c r="BC338" s="41"/>
      <c r="BD338" s="41"/>
      <c r="BE338" s="41"/>
      <c r="BF338" s="41"/>
      <c r="BG338" s="41"/>
      <c r="BH338" s="41"/>
      <c r="BI338" s="41"/>
      <c r="BJ338" s="41"/>
      <c r="BK338" s="41"/>
      <c r="BL338" s="41"/>
      <c r="BM338" s="41"/>
      <c r="BN338" s="41"/>
      <c r="BO338" s="41"/>
      <c r="BP338" s="41"/>
      <c r="BQ338" s="41"/>
      <c r="BR338" s="41"/>
      <c r="BS338" s="41"/>
      <c r="BT338" s="41"/>
      <c r="BU338" s="41"/>
      <c r="BV338" s="41"/>
      <c r="BW338" s="41"/>
      <c r="BX338" s="41"/>
      <c r="BY338" s="41"/>
      <c r="BZ338" s="41"/>
      <c r="CA338" s="41"/>
      <c r="CB338" s="41"/>
      <c r="CC338" s="41"/>
      <c r="CD338" s="41"/>
      <c r="CE338" s="41"/>
      <c r="CF338" s="41"/>
      <c r="CG338" s="41"/>
      <c r="CH338" s="41"/>
      <c r="CI338" s="41"/>
      <c r="CJ338" s="41"/>
      <c r="CK338" s="41"/>
      <c r="CL338" s="41"/>
      <c r="CM338" s="41"/>
      <c r="CN338" s="41"/>
      <c r="CO338" s="41"/>
      <c r="CP338" s="41"/>
      <c r="CQ338" s="41"/>
      <c r="CR338" s="41"/>
      <c r="CS338" s="41"/>
      <c r="CT338" s="41"/>
      <c r="CU338" s="41"/>
      <c r="CV338" s="211"/>
      <c r="CW338" s="41"/>
      <c r="CX338" s="41"/>
      <c r="CY338" s="41"/>
      <c r="CZ338" s="15"/>
      <c r="DA338" s="15"/>
      <c r="DB338" s="15"/>
      <c r="DC338" s="15"/>
      <c r="DD338" s="15"/>
      <c r="DE338" s="15"/>
      <c r="DF338" s="15"/>
    </row>
    <row r="339" spans="1:110" s="17" customFormat="1" ht="12" outlineLevel="1">
      <c r="A339" s="1" t="s">
        <v>198</v>
      </c>
      <c r="B339" s="17" t="s">
        <v>168</v>
      </c>
      <c r="C339" s="62">
        <v>283.87790840684937</v>
      </c>
      <c r="D339" s="62">
        <v>267.56773260273974</v>
      </c>
      <c r="E339" s="62">
        <v>253.81418242191774</v>
      </c>
      <c r="F339" s="62">
        <v>301.56166313515979</v>
      </c>
      <c r="G339" s="62">
        <v>356.77524246575337</v>
      </c>
      <c r="H339" s="62">
        <v>431.09145833333349</v>
      </c>
      <c r="I339" s="62">
        <v>624.10671999999988</v>
      </c>
      <c r="J339" s="62">
        <v>798.75018923196365</v>
      </c>
      <c r="K339" s="62">
        <v>887.7838247315068</v>
      </c>
      <c r="L339" s="62">
        <v>998.11775993424624</v>
      </c>
      <c r="M339" s="62">
        <v>862.33594842444495</v>
      </c>
      <c r="N339" s="62">
        <v>817.9848749972607</v>
      </c>
      <c r="O339" s="62">
        <v>960.36344582254981</v>
      </c>
      <c r="P339" s="62">
        <v>875.62005221374102</v>
      </c>
      <c r="Q339" s="62">
        <v>767.38169610687009</v>
      </c>
      <c r="R339" s="62">
        <v>1488.5610370904108</v>
      </c>
      <c r="S339" s="62">
        <v>1117.3810758431459</v>
      </c>
      <c r="T339" s="62">
        <v>663.13208306849219</v>
      </c>
      <c r="U339" s="62">
        <v>518.56961884345947</v>
      </c>
      <c r="V339" s="62">
        <v>553.12124767123623</v>
      </c>
      <c r="W339" s="62">
        <v>467.23588197845822</v>
      </c>
      <c r="X339" s="62">
        <v>623.5883376923066</v>
      </c>
      <c r="Y339" s="62">
        <v>927.10618692307776</v>
      </c>
      <c r="Z339" s="62">
        <v>1129.7390240931491</v>
      </c>
      <c r="AA339" s="62">
        <v>1321.9859732343398</v>
      </c>
      <c r="AB339" s="62">
        <v>1458.2379690410942</v>
      </c>
      <c r="AC339" s="62">
        <v>1661.3492766438358</v>
      </c>
      <c r="AD339" s="62">
        <v>1846.841891419177</v>
      </c>
      <c r="AE339" s="62">
        <v>1944.119107227858</v>
      </c>
      <c r="AF339" s="62">
        <v>1624.6529927480935</v>
      </c>
      <c r="AG339" s="62">
        <v>1676.8847316259548</v>
      </c>
      <c r="AH339" s="62">
        <v>1702.0498368876713</v>
      </c>
      <c r="AI339" s="62">
        <v>1751.1840981628493</v>
      </c>
      <c r="AJ339" s="62">
        <v>1702.1025529863016</v>
      </c>
      <c r="AK339" s="62">
        <v>1631.8010333804</v>
      </c>
      <c r="AL339" s="62">
        <v>1682.9907916712305</v>
      </c>
      <c r="AM339" s="62">
        <v>2029.2513227480915</v>
      </c>
      <c r="AN339" s="62">
        <v>2107.9828912213729</v>
      </c>
      <c r="AO339" s="62">
        <v>2140.700764885496</v>
      </c>
      <c r="AP339" s="62">
        <v>1979.1910605022831</v>
      </c>
      <c r="AQ339" s="62">
        <v>1947.6431973326812</v>
      </c>
      <c r="AR339" s="62">
        <v>2088.1838649731508</v>
      </c>
      <c r="AS339" s="62">
        <v>1640.0009616054583</v>
      </c>
      <c r="AT339" s="62">
        <v>1538.2211413386303</v>
      </c>
      <c r="AU339" s="62">
        <v>1513.364714934793</v>
      </c>
      <c r="AV339" s="220">
        <v>1627.135798461539</v>
      </c>
      <c r="AW339" s="62">
        <v>1708.2752361580783</v>
      </c>
      <c r="AX339" s="62">
        <v>1732.2973654900013</v>
      </c>
      <c r="AY339" s="62">
        <v>1821.4979351644015</v>
      </c>
      <c r="AZ339" s="62">
        <v>1798.3637154106023</v>
      </c>
      <c r="BA339" s="62">
        <v>1790.2721505472819</v>
      </c>
      <c r="BB339" s="62">
        <v>1766.5474199274306</v>
      </c>
      <c r="BC339" s="62">
        <v>1777.7294327926816</v>
      </c>
      <c r="BD339" s="62">
        <v>1781.7784260075441</v>
      </c>
      <c r="BE339" s="62">
        <v>1790.823631027959</v>
      </c>
      <c r="BF339" s="62">
        <v>1795.0745743181201</v>
      </c>
      <c r="BG339" s="62">
        <v>1814.2811365508767</v>
      </c>
      <c r="BH339" s="62">
        <v>1813.7929203732551</v>
      </c>
      <c r="BI339" s="62">
        <v>1833.3689481945678</v>
      </c>
      <c r="BJ339" s="62">
        <v>1839.7572219955116</v>
      </c>
      <c r="BK339" s="62">
        <v>1880.2329638571209</v>
      </c>
      <c r="BL339" s="62">
        <v>1912.7851391999641</v>
      </c>
      <c r="BM339" s="62">
        <v>1951.2321204978834</v>
      </c>
      <c r="BN339" s="62">
        <v>1975.0740916267637</v>
      </c>
      <c r="BO339" s="62">
        <v>2005.7854085460149</v>
      </c>
      <c r="BP339" s="62"/>
      <c r="BQ339" s="62">
        <v>258.13438058522013</v>
      </c>
      <c r="BR339" s="62">
        <v>260.72059514937393</v>
      </c>
      <c r="BS339" s="62">
        <v>260.50611916666674</v>
      </c>
      <c r="BT339" s="62">
        <v>288.79024166666659</v>
      </c>
      <c r="BU339" s="62">
        <v>410.55250833333309</v>
      </c>
      <c r="BV339" s="62">
        <v>612.07264650000002</v>
      </c>
      <c r="BW339" s="62">
        <v>697.95187499999975</v>
      </c>
      <c r="BX339" s="62">
        <v>431.24617399999983</v>
      </c>
      <c r="BY339" s="62">
        <v>373.97206730769244</v>
      </c>
      <c r="BZ339" s="62">
        <v>531.13413999999943</v>
      </c>
      <c r="CA339" s="62">
        <v>521.38191502465747</v>
      </c>
      <c r="CB339" s="62">
        <v>658.33690560091316</v>
      </c>
      <c r="CC339" s="62">
        <v>1055.1981783333333</v>
      </c>
      <c r="CD339" s="62">
        <v>1686.5340139634704</v>
      </c>
      <c r="CE339" s="62">
        <v>1860.4537083586911</v>
      </c>
      <c r="CF339" s="62">
        <v>1778.3483208198104</v>
      </c>
      <c r="CG339" s="62">
        <v>1643.0017483206111</v>
      </c>
      <c r="CH339" s="62">
        <v>2605.9421129335569</v>
      </c>
      <c r="CI339" s="62">
        <v>1181.7017019119517</v>
      </c>
      <c r="CJ339" s="62">
        <v>1020.3571296496945</v>
      </c>
      <c r="CK339" s="62">
        <v>1550.6945246153844</v>
      </c>
      <c r="CL339" s="62">
        <v>2451.7249973274888</v>
      </c>
      <c r="CM339" s="62">
        <v>3119.5872456849302</v>
      </c>
      <c r="CN339" s="62">
        <v>3790.960998647035</v>
      </c>
      <c r="CO339" s="62">
        <v>3301.5377243740486</v>
      </c>
      <c r="CP339" s="62">
        <v>3453.2339350505208</v>
      </c>
      <c r="CQ339" s="62">
        <v>3333.9035863667013</v>
      </c>
      <c r="CR339" s="62">
        <v>3712.2421144193222</v>
      </c>
      <c r="CS339" s="62">
        <v>4248.6836561068685</v>
      </c>
      <c r="CT339" s="62">
        <v>3926.8342578349643</v>
      </c>
      <c r="CU339" s="62">
        <v>3728.1848265786093</v>
      </c>
      <c r="CV339" s="220">
        <v>3051.5858562734234</v>
      </c>
      <c r="CW339" s="62">
        <v>3335.4110346196176</v>
      </c>
      <c r="CX339" s="62">
        <v>3553.795300654403</v>
      </c>
      <c r="CY339" s="62">
        <v>3588.6358659578841</v>
      </c>
      <c r="CZ339" s="62">
        <v>3544.2768527201124</v>
      </c>
      <c r="DA339" s="62">
        <v>3572.6020570355031</v>
      </c>
      <c r="DB339" s="62">
        <v>3609.3557108689965</v>
      </c>
      <c r="DC339" s="62">
        <v>3647.1618685678231</v>
      </c>
      <c r="DD339" s="62">
        <v>3719.9901858526327</v>
      </c>
      <c r="DE339" s="62">
        <v>3864.0172596978473</v>
      </c>
      <c r="DF339" s="62">
        <v>3980.8595001727786</v>
      </c>
    </row>
    <row r="340" spans="1:110" ht="12" outlineLevel="1">
      <c r="C340" s="41"/>
      <c r="D340" s="41"/>
      <c r="E340" s="41"/>
      <c r="F340" s="41"/>
      <c r="G340" s="41"/>
      <c r="H340" s="41"/>
      <c r="I340" s="41"/>
      <c r="J340" s="41"/>
      <c r="K340" s="41"/>
      <c r="L340" s="41"/>
      <c r="M340" s="41"/>
      <c r="N340" s="41"/>
      <c r="O340" s="41"/>
      <c r="P340" s="41"/>
      <c r="Q340" s="41"/>
      <c r="R340" s="41"/>
      <c r="S340" s="41"/>
      <c r="T340" s="41"/>
      <c r="U340" s="41"/>
      <c r="V340" s="41"/>
      <c r="W340" s="41"/>
      <c r="X340" s="41"/>
      <c r="Y340" s="41"/>
      <c r="Z340" s="41"/>
      <c r="AA340" s="41"/>
      <c r="AB340" s="41"/>
      <c r="AC340" s="41"/>
      <c r="AD340" s="41"/>
      <c r="AE340" s="41"/>
      <c r="AF340" s="41"/>
      <c r="AG340" s="41"/>
      <c r="AH340" s="41"/>
      <c r="AI340" s="41"/>
      <c r="AJ340" s="41"/>
      <c r="AK340" s="41"/>
      <c r="AL340" s="41"/>
      <c r="AM340" s="41"/>
      <c r="AN340" s="41"/>
      <c r="AO340" s="41"/>
      <c r="AP340" s="41"/>
      <c r="AQ340" s="41"/>
      <c r="AR340" s="41"/>
      <c r="AS340" s="41"/>
      <c r="AT340" s="41"/>
      <c r="AU340" s="41"/>
      <c r="AV340" s="211"/>
      <c r="AW340" s="41"/>
      <c r="AX340" s="41"/>
      <c r="AY340" s="41"/>
      <c r="AZ340" s="41"/>
      <c r="BA340" s="41"/>
      <c r="BB340" s="41"/>
      <c r="BC340" s="41"/>
      <c r="BD340" s="41"/>
      <c r="BE340" s="41"/>
      <c r="BF340" s="41"/>
      <c r="BG340" s="41"/>
      <c r="BH340" s="41"/>
      <c r="BI340" s="41"/>
      <c r="BJ340" s="41"/>
      <c r="BK340" s="41"/>
      <c r="BL340" s="41"/>
      <c r="BM340" s="41"/>
      <c r="BN340" s="41"/>
      <c r="BO340" s="41"/>
      <c r="BP340" s="41"/>
      <c r="BQ340" s="41"/>
      <c r="BR340" s="41"/>
      <c r="BS340" s="41"/>
      <c r="BT340" s="41"/>
      <c r="BU340" s="41"/>
      <c r="BV340" s="41"/>
      <c r="BW340" s="41"/>
      <c r="BX340" s="41"/>
      <c r="BY340" s="41"/>
      <c r="BZ340" s="41"/>
      <c r="CA340" s="41"/>
      <c r="CB340" s="41"/>
      <c r="CC340" s="41"/>
      <c r="CD340" s="41"/>
      <c r="CE340" s="41"/>
      <c r="CF340" s="41"/>
      <c r="CG340" s="41"/>
      <c r="CH340" s="41"/>
      <c r="CI340" s="41"/>
      <c r="CJ340" s="41"/>
      <c r="CK340" s="41"/>
      <c r="CL340" s="41"/>
      <c r="CM340" s="41"/>
      <c r="CN340" s="41"/>
      <c r="CO340" s="41"/>
      <c r="CP340" s="41"/>
      <c r="CQ340" s="41"/>
      <c r="CR340" s="41"/>
      <c r="CS340" s="41"/>
      <c r="CT340" s="41"/>
      <c r="CU340" s="41"/>
      <c r="CV340" s="211"/>
      <c r="CW340" s="41"/>
      <c r="CX340" s="41"/>
      <c r="CY340" s="41"/>
      <c r="CZ340" s="41"/>
      <c r="DA340" s="41"/>
      <c r="DB340" s="41"/>
      <c r="DC340" s="41"/>
      <c r="DD340" s="41"/>
      <c r="DE340" s="41"/>
      <c r="DF340" s="41"/>
    </row>
    <row r="341" spans="1:110" s="17" customFormat="1" ht="12" outlineLevel="1">
      <c r="A341" s="1"/>
      <c r="B341" s="17" t="s">
        <v>342</v>
      </c>
      <c r="C341" s="62"/>
      <c r="D341" s="62"/>
      <c r="E341" s="62"/>
      <c r="F341" s="62"/>
      <c r="G341" s="62"/>
      <c r="H341" s="62"/>
      <c r="I341" s="62"/>
      <c r="J341" s="62"/>
      <c r="K341" s="62"/>
      <c r="L341" s="62"/>
      <c r="M341" s="62"/>
      <c r="N341" s="62"/>
      <c r="O341" s="62"/>
      <c r="P341" s="62"/>
      <c r="Q341" s="62"/>
      <c r="R341" s="62"/>
      <c r="S341" s="62"/>
      <c r="T341" s="62"/>
      <c r="U341" s="62"/>
      <c r="V341" s="62"/>
      <c r="W341" s="62"/>
      <c r="X341" s="62"/>
      <c r="Y341" s="62"/>
      <c r="Z341" s="62"/>
      <c r="AA341" s="62"/>
      <c r="AB341" s="62"/>
      <c r="AC341" s="62"/>
      <c r="AD341" s="62"/>
      <c r="AE341" s="62"/>
      <c r="AF341" s="62"/>
      <c r="AG341" s="62"/>
      <c r="AH341" s="62"/>
      <c r="AI341" s="62"/>
      <c r="AJ341" s="62"/>
      <c r="AK341" s="62"/>
      <c r="AL341" s="62"/>
      <c r="AM341" s="62"/>
      <c r="AN341" s="62"/>
      <c r="AO341" s="62"/>
      <c r="AP341" s="62"/>
      <c r="AQ341" s="62"/>
      <c r="AR341" s="62"/>
      <c r="AS341" s="62"/>
      <c r="AT341" s="62"/>
      <c r="AU341" s="62"/>
      <c r="AV341" s="220"/>
      <c r="AW341" s="62"/>
      <c r="AX341" s="62"/>
      <c r="AY341" s="62"/>
      <c r="AZ341" s="62"/>
      <c r="BA341" s="62"/>
      <c r="BB341" s="62"/>
      <c r="BC341" s="62"/>
      <c r="BD341" s="62"/>
      <c r="BE341" s="62"/>
      <c r="BF341" s="62"/>
      <c r="BG341" s="62"/>
      <c r="BH341" s="62"/>
      <c r="BI341" s="62"/>
      <c r="BJ341" s="62"/>
      <c r="BK341" s="62"/>
      <c r="BL341" s="62"/>
      <c r="BM341" s="62"/>
      <c r="BN341" s="62"/>
      <c r="BO341" s="62"/>
      <c r="BP341" s="62"/>
      <c r="BQ341" s="62"/>
      <c r="BR341" s="62"/>
      <c r="BS341" s="62"/>
      <c r="BT341" s="62"/>
      <c r="BU341" s="62"/>
      <c r="BV341" s="62"/>
      <c r="BW341" s="62"/>
      <c r="BX341" s="62"/>
      <c r="BY341" s="62"/>
      <c r="BZ341" s="62"/>
      <c r="CA341" s="62"/>
      <c r="CB341" s="62"/>
      <c r="CC341" s="62"/>
      <c r="CD341" s="62"/>
      <c r="CE341" s="62"/>
      <c r="CF341" s="62"/>
      <c r="CG341" s="62"/>
      <c r="CH341" s="62"/>
      <c r="CI341" s="62"/>
      <c r="CJ341" s="62"/>
      <c r="CK341" s="62"/>
      <c r="CL341" s="62"/>
      <c r="CM341" s="62"/>
      <c r="CN341" s="62"/>
      <c r="CO341" s="62"/>
      <c r="CP341" s="62"/>
      <c r="CQ341" s="62"/>
      <c r="CR341" s="62"/>
      <c r="CS341" s="62"/>
      <c r="CT341" s="62"/>
      <c r="CU341" s="62"/>
      <c r="CV341" s="220"/>
      <c r="CW341" s="62"/>
      <c r="CX341" s="62"/>
      <c r="CY341" s="62"/>
      <c r="CZ341" s="62"/>
      <c r="DA341" s="62"/>
      <c r="DB341" s="62"/>
      <c r="DC341" s="62"/>
      <c r="DD341" s="62"/>
      <c r="DE341" s="62"/>
      <c r="DF341" s="62"/>
    </row>
    <row r="342" spans="1:110" ht="12" outlineLevel="1">
      <c r="A342" s="1" t="s">
        <v>199</v>
      </c>
      <c r="B342" s="15" t="s">
        <v>164</v>
      </c>
      <c r="C342" s="41"/>
      <c r="D342" s="41"/>
      <c r="E342" s="41"/>
      <c r="F342" s="41"/>
      <c r="G342" s="41"/>
      <c r="H342" s="41"/>
      <c r="I342" s="41"/>
      <c r="J342" s="41"/>
      <c r="K342" s="41"/>
      <c r="L342" s="41"/>
      <c r="M342" s="41"/>
      <c r="N342" s="41"/>
      <c r="O342" s="41"/>
      <c r="P342" s="41"/>
      <c r="Q342" s="41"/>
      <c r="R342" s="41"/>
      <c r="S342" s="41"/>
      <c r="T342" s="41"/>
      <c r="U342" s="41"/>
      <c r="V342" s="41"/>
      <c r="W342" s="41"/>
      <c r="X342" s="41"/>
      <c r="Y342" s="41"/>
      <c r="Z342" s="41"/>
      <c r="AA342" s="41"/>
      <c r="AB342" s="41"/>
      <c r="AC342" s="41"/>
      <c r="AD342" s="41"/>
      <c r="AE342" s="41"/>
      <c r="AF342" s="41"/>
      <c r="AG342" s="41"/>
      <c r="AH342" s="41"/>
      <c r="AI342" s="41"/>
      <c r="AJ342" s="41"/>
      <c r="AK342" s="41"/>
      <c r="AL342" s="41"/>
      <c r="AM342" s="41"/>
      <c r="AN342" s="41"/>
      <c r="AO342" s="41"/>
      <c r="AP342" s="41"/>
      <c r="AQ342" s="41"/>
      <c r="AR342" s="41"/>
      <c r="AS342" s="41"/>
      <c r="AT342" s="41"/>
      <c r="AU342" s="41"/>
      <c r="AV342" s="211"/>
      <c r="AW342" s="41"/>
      <c r="AX342" s="41"/>
      <c r="AY342" s="41"/>
      <c r="AZ342" s="41"/>
      <c r="BA342" s="41"/>
      <c r="BB342" s="41"/>
      <c r="BC342" s="41"/>
      <c r="BD342" s="41"/>
      <c r="BE342" s="41"/>
      <c r="BF342" s="41"/>
      <c r="BG342" s="41"/>
      <c r="BH342" s="41"/>
      <c r="BI342" s="41"/>
      <c r="BJ342" s="41"/>
      <c r="BK342" s="41"/>
      <c r="BL342" s="41"/>
      <c r="BM342" s="41"/>
      <c r="BN342" s="41"/>
      <c r="BO342" s="41"/>
      <c r="BP342" s="41"/>
      <c r="BQ342" s="41"/>
      <c r="BR342" s="41"/>
      <c r="BS342" s="41"/>
      <c r="BT342" s="41"/>
      <c r="BU342" s="41"/>
      <c r="BV342" s="41"/>
      <c r="BW342" s="41"/>
      <c r="BX342" s="41"/>
      <c r="BY342" s="41"/>
      <c r="BZ342" s="41"/>
      <c r="CA342" s="41"/>
      <c r="CB342" s="41"/>
      <c r="CC342" s="41"/>
      <c r="CD342" s="41"/>
      <c r="CE342" s="41"/>
      <c r="CF342" s="41"/>
      <c r="CG342" s="41"/>
      <c r="CH342" s="41"/>
      <c r="CI342" s="41"/>
      <c r="CJ342" s="41"/>
      <c r="CK342" s="41"/>
      <c r="CL342" s="41"/>
      <c r="CM342" s="41"/>
      <c r="CN342" s="41"/>
      <c r="CO342" s="41"/>
      <c r="CP342" s="41"/>
      <c r="CQ342" s="41"/>
      <c r="CR342" s="41"/>
      <c r="CS342" s="41"/>
      <c r="CT342" s="41"/>
      <c r="CU342" s="41"/>
      <c r="CV342" s="211"/>
      <c r="CW342" s="41"/>
      <c r="CX342" s="41"/>
      <c r="CY342" s="41"/>
      <c r="CZ342" s="41"/>
      <c r="DA342" s="41"/>
      <c r="DB342" s="41"/>
      <c r="DC342" s="41"/>
      <c r="DD342" s="41"/>
      <c r="DE342" s="41"/>
      <c r="DF342" s="41"/>
    </row>
    <row r="343" spans="1:110" ht="12" outlineLevel="1">
      <c r="A343" s="1" t="s">
        <v>121</v>
      </c>
      <c r="B343" s="15" t="s">
        <v>344</v>
      </c>
      <c r="C343" s="41"/>
      <c r="D343" s="41"/>
      <c r="E343" s="41"/>
      <c r="F343" s="41"/>
      <c r="G343" s="41"/>
      <c r="H343" s="41"/>
      <c r="I343" s="41"/>
      <c r="J343" s="41"/>
      <c r="K343" s="41"/>
      <c r="L343" s="41"/>
      <c r="M343" s="41"/>
      <c r="N343" s="41"/>
      <c r="O343" s="41"/>
      <c r="P343" s="41"/>
      <c r="Q343" s="41"/>
      <c r="R343" s="41"/>
      <c r="S343" s="41"/>
      <c r="T343" s="41"/>
      <c r="U343" s="41"/>
      <c r="V343" s="41"/>
      <c r="W343" s="41"/>
      <c r="X343" s="41"/>
      <c r="Y343" s="41"/>
      <c r="Z343" s="41"/>
      <c r="AA343" s="41"/>
      <c r="AB343" s="41"/>
      <c r="AC343" s="41"/>
      <c r="AD343" s="41"/>
      <c r="AE343" s="41"/>
      <c r="AF343" s="41"/>
      <c r="AG343" s="41"/>
      <c r="AH343" s="41"/>
      <c r="AI343" s="41"/>
      <c r="AJ343" s="41"/>
      <c r="AK343" s="41"/>
      <c r="AL343" s="41"/>
      <c r="AM343" s="41"/>
      <c r="AN343" s="41"/>
      <c r="AO343" s="41"/>
      <c r="AP343" s="41"/>
      <c r="AQ343" s="41"/>
      <c r="AR343" s="41"/>
      <c r="AS343" s="41"/>
      <c r="AT343" s="41"/>
      <c r="AU343" s="41"/>
      <c r="AV343" s="211"/>
      <c r="AW343" s="41"/>
      <c r="AX343" s="41"/>
      <c r="AY343" s="41"/>
      <c r="AZ343" s="41"/>
      <c r="BA343" s="41"/>
      <c r="BB343" s="41"/>
      <c r="BC343" s="41"/>
      <c r="BD343" s="41"/>
      <c r="BE343" s="41"/>
      <c r="BF343" s="41"/>
      <c r="BG343" s="41"/>
      <c r="BH343" s="41"/>
      <c r="BI343" s="41"/>
      <c r="BJ343" s="41"/>
      <c r="BK343" s="41"/>
      <c r="BL343" s="41"/>
      <c r="BM343" s="41"/>
      <c r="BN343" s="41"/>
      <c r="BO343" s="41"/>
      <c r="BP343" s="41"/>
      <c r="BQ343" s="41"/>
      <c r="BR343" s="41"/>
      <c r="BS343" s="41"/>
      <c r="BT343" s="41"/>
      <c r="BU343" s="41"/>
      <c r="BV343" s="41"/>
      <c r="BW343" s="41"/>
      <c r="BX343" s="41"/>
      <c r="BY343" s="41"/>
      <c r="BZ343" s="41"/>
      <c r="CA343" s="41"/>
      <c r="CB343" s="41"/>
      <c r="CC343" s="41"/>
      <c r="CD343" s="41"/>
      <c r="CE343" s="41"/>
      <c r="CF343" s="41"/>
      <c r="CG343" s="41"/>
      <c r="CH343" s="41"/>
      <c r="CI343" s="41"/>
      <c r="CJ343" s="41"/>
      <c r="CK343" s="41"/>
      <c r="CL343" s="41"/>
      <c r="CM343" s="41"/>
      <c r="CN343" s="41"/>
      <c r="CO343" s="41"/>
      <c r="CP343" s="41"/>
      <c r="CQ343" s="41"/>
      <c r="CR343" s="41"/>
      <c r="CS343" s="41"/>
      <c r="CT343" s="41"/>
      <c r="CU343" s="41"/>
      <c r="CV343" s="211"/>
      <c r="CW343" s="41"/>
      <c r="CX343" s="41"/>
      <c r="CY343" s="41"/>
      <c r="CZ343" s="41"/>
      <c r="DA343" s="41"/>
      <c r="DB343" s="41"/>
      <c r="DC343" s="41"/>
      <c r="DD343" s="41"/>
      <c r="DE343" s="41"/>
      <c r="DF343" s="41"/>
    </row>
    <row r="344" spans="1:110" s="17" customFormat="1" ht="12" outlineLevel="1">
      <c r="A344" s="1" t="s">
        <v>122</v>
      </c>
      <c r="B344" s="17" t="s">
        <v>168</v>
      </c>
      <c r="C344" s="62">
        <v>74.033986027397304</v>
      </c>
      <c r="D344" s="62">
        <v>2.8465345205479915</v>
      </c>
      <c r="E344" s="62">
        <v>-30.662743445205514</v>
      </c>
      <c r="F344" s="62">
        <v>-43.375613634703207</v>
      </c>
      <c r="G344" s="62">
        <v>-40.612840958904151</v>
      </c>
      <c r="H344" s="62">
        <v>-50.146249999999974</v>
      </c>
      <c r="I344" s="62">
        <v>-65.57680400000001</v>
      </c>
      <c r="J344" s="62">
        <v>-10.82586925022828</v>
      </c>
      <c r="K344" s="62">
        <v>25.576604980821937</v>
      </c>
      <c r="L344" s="62">
        <v>49.483043046575311</v>
      </c>
      <c r="M344" s="62">
        <v>63.583308694625622</v>
      </c>
      <c r="N344" s="62">
        <v>53.483329331506901</v>
      </c>
      <c r="O344" s="62">
        <v>33.564430351949355</v>
      </c>
      <c r="P344" s="62">
        <v>-78.049039083969319</v>
      </c>
      <c r="Q344" s="62">
        <v>-190.36000580152682</v>
      </c>
      <c r="R344" s="62">
        <v>137.24763352328762</v>
      </c>
      <c r="S344" s="62">
        <v>117.48526387200673</v>
      </c>
      <c r="T344" s="62">
        <v>63.731293150684756</v>
      </c>
      <c r="U344" s="62">
        <v>31.87361455610165</v>
      </c>
      <c r="V344" s="62">
        <v>-44.440370410957485</v>
      </c>
      <c r="W344" s="62">
        <v>-147.15069697793589</v>
      </c>
      <c r="X344" s="62">
        <v>-44.628819230769842</v>
      </c>
      <c r="Y344" s="62">
        <v>105.75423461538507</v>
      </c>
      <c r="Z344" s="62">
        <v>76.459057621916756</v>
      </c>
      <c r="AA344" s="62">
        <v>107.69270335041229</v>
      </c>
      <c r="AB344" s="62">
        <v>130.87476821917679</v>
      </c>
      <c r="AC344" s="62">
        <v>60.480578767123333</v>
      </c>
      <c r="AD344" s="62">
        <v>121.01029991452</v>
      </c>
      <c r="AE344" s="62">
        <v>373.89885220537519</v>
      </c>
      <c r="AF344" s="62">
        <v>398.39545496183325</v>
      </c>
      <c r="AG344" s="62">
        <v>466.44004963740502</v>
      </c>
      <c r="AH344" s="62">
        <v>521.36317045041096</v>
      </c>
      <c r="AI344" s="62">
        <v>530.87896248539721</v>
      </c>
      <c r="AJ344" s="62">
        <v>479.02332010958912</v>
      </c>
      <c r="AK344" s="62">
        <v>568.33251511485753</v>
      </c>
      <c r="AL344" s="62">
        <v>856.75628010958781</v>
      </c>
      <c r="AM344" s="62">
        <v>1066.0270654041617</v>
      </c>
      <c r="AN344" s="62">
        <v>1061.1939496183202</v>
      </c>
      <c r="AO344" s="62">
        <v>1302.5978335877862</v>
      </c>
      <c r="AP344" s="62">
        <v>571.81241884830035</v>
      </c>
      <c r="AQ344" s="62">
        <v>545.82614498434441</v>
      </c>
      <c r="AR344" s="62">
        <v>659.17285774465745</v>
      </c>
      <c r="AS344" s="62">
        <v>608.77372292669656</v>
      </c>
      <c r="AT344" s="62">
        <v>1269.1872181534243</v>
      </c>
      <c r="AU344" s="62">
        <v>1082.1960677245725</v>
      </c>
      <c r="AV344" s="220">
        <v>943.01843894230774</v>
      </c>
      <c r="AW344" s="62">
        <v>930.15619903114714</v>
      </c>
      <c r="AX344" s="62">
        <v>950.60393475331796</v>
      </c>
      <c r="AY344" s="62">
        <v>942.4787946652167</v>
      </c>
      <c r="AZ344" s="62">
        <v>913.64356167827566</v>
      </c>
      <c r="BA344" s="62">
        <v>915.6437100413383</v>
      </c>
      <c r="BB344" s="62">
        <v>922.4782466300336</v>
      </c>
      <c r="BC344" s="62">
        <v>950.48782913164484</v>
      </c>
      <c r="BD344" s="62">
        <v>976.73509620288019</v>
      </c>
      <c r="BE344" s="62">
        <v>1006.5422863030175</v>
      </c>
      <c r="BF344" s="62">
        <v>1034.5033137026517</v>
      </c>
      <c r="BG344" s="62">
        <v>1072.1076386907964</v>
      </c>
      <c r="BH344" s="62">
        <v>1099.0572595474539</v>
      </c>
      <c r="BI344" s="62">
        <v>1139.1892136508097</v>
      </c>
      <c r="BJ344" s="62">
        <v>1170.5928254446687</v>
      </c>
      <c r="BK344" s="62">
        <v>1221.4833060455271</v>
      </c>
      <c r="BL344" s="62">
        <v>1266.8717567619731</v>
      </c>
      <c r="BM344" s="62">
        <v>1317.5466270324519</v>
      </c>
      <c r="BN344" s="62">
        <v>1346.3988809697878</v>
      </c>
      <c r="BO344" s="62">
        <v>1367.3346437892633</v>
      </c>
      <c r="BP344" s="62"/>
      <c r="BQ344" s="62">
        <v>245.73856941477979</v>
      </c>
      <c r="BR344" s="62">
        <v>253.19940485062594</v>
      </c>
      <c r="BS344" s="62">
        <v>253.08442499999998</v>
      </c>
      <c r="BT344" s="62">
        <v>130.77804583333335</v>
      </c>
      <c r="BU344" s="62">
        <v>213.00218333333322</v>
      </c>
      <c r="BV344" s="62">
        <v>418.98456233333343</v>
      </c>
      <c r="BW344" s="62">
        <v>595.73374999999976</v>
      </c>
      <c r="BX344" s="62">
        <v>584.62760149999986</v>
      </c>
      <c r="BY344" s="62">
        <v>404.49502846153871</v>
      </c>
      <c r="BZ344" s="62">
        <v>168.73720999999949</v>
      </c>
      <c r="CA344" s="62">
        <v>-27.816208924657523</v>
      </c>
      <c r="CB344" s="62">
        <v>-83.988454593607358</v>
      </c>
      <c r="CC344" s="62">
        <v>-115.72305399999999</v>
      </c>
      <c r="CD344" s="62">
        <v>14.750735730593657</v>
      </c>
      <c r="CE344" s="62">
        <v>113.06635174120093</v>
      </c>
      <c r="CF344" s="62">
        <v>87.047759683456263</v>
      </c>
      <c r="CG344" s="62">
        <v>-268.40904488549614</v>
      </c>
      <c r="CH344" s="62">
        <v>254.73289739529434</v>
      </c>
      <c r="CI344" s="62">
        <v>95.604907706786406</v>
      </c>
      <c r="CJ344" s="62">
        <v>-191.59106738889338</v>
      </c>
      <c r="CK344" s="62">
        <v>61.125415384615231</v>
      </c>
      <c r="CL344" s="62">
        <v>184.15176097232904</v>
      </c>
      <c r="CM344" s="62">
        <v>191.35534698630011</v>
      </c>
      <c r="CN344" s="62">
        <v>494.90915211989523</v>
      </c>
      <c r="CO344" s="62">
        <v>864.83550459923822</v>
      </c>
      <c r="CP344" s="62">
        <v>1052.2421329358081</v>
      </c>
      <c r="CQ344" s="62">
        <v>1047.3558352244468</v>
      </c>
      <c r="CR344" s="62">
        <v>1922.7833455137495</v>
      </c>
      <c r="CS344" s="62">
        <v>2363.7917832061066</v>
      </c>
      <c r="CT344" s="62">
        <v>1117.6385638326446</v>
      </c>
      <c r="CU344" s="62">
        <v>1267.946580671354</v>
      </c>
      <c r="CV344" s="220">
        <v>2351.383285877997</v>
      </c>
      <c r="CW344" s="62">
        <v>1873.174637973455</v>
      </c>
      <c r="CX344" s="62">
        <v>1893.0827294185347</v>
      </c>
      <c r="CY344" s="62">
        <v>1829.287271719614</v>
      </c>
      <c r="CZ344" s="62">
        <v>1872.9660757616784</v>
      </c>
      <c r="DA344" s="62">
        <v>1983.2773825058975</v>
      </c>
      <c r="DB344" s="62">
        <v>2106.6109523934483</v>
      </c>
      <c r="DC344" s="62">
        <v>2238.2464731982636</v>
      </c>
      <c r="DD344" s="62">
        <v>2392.0761314901956</v>
      </c>
      <c r="DE344" s="62">
        <v>2584.4183837944247</v>
      </c>
      <c r="DF344" s="62">
        <v>2713.7335247590509</v>
      </c>
    </row>
    <row r="345" spans="1:110" ht="12" outlineLevel="1">
      <c r="C345" s="41"/>
      <c r="D345" s="41"/>
      <c r="E345" s="41"/>
      <c r="F345" s="41"/>
      <c r="G345" s="41"/>
      <c r="H345" s="41"/>
      <c r="I345" s="41"/>
      <c r="J345" s="41"/>
      <c r="K345" s="41"/>
      <c r="L345" s="41"/>
      <c r="M345" s="41"/>
      <c r="N345" s="41"/>
      <c r="O345" s="41"/>
      <c r="P345" s="41"/>
      <c r="Q345" s="41"/>
      <c r="R345" s="41"/>
      <c r="S345" s="41"/>
      <c r="T345" s="41"/>
      <c r="U345" s="41"/>
      <c r="V345" s="41"/>
      <c r="W345" s="41"/>
      <c r="X345" s="41"/>
      <c r="Y345" s="41"/>
      <c r="Z345" s="41"/>
      <c r="AA345" s="41"/>
      <c r="AB345" s="41"/>
      <c r="AC345" s="41"/>
      <c r="AD345" s="41"/>
      <c r="AE345" s="41"/>
      <c r="AF345" s="41"/>
      <c r="AG345" s="41"/>
      <c r="AH345" s="41"/>
      <c r="AI345" s="41"/>
      <c r="AJ345" s="41"/>
      <c r="AK345" s="41"/>
      <c r="AL345" s="41"/>
      <c r="AM345" s="41"/>
      <c r="AN345" s="41"/>
      <c r="AO345" s="41"/>
      <c r="AP345" s="41"/>
      <c r="AQ345" s="41"/>
      <c r="AR345" s="41"/>
      <c r="AS345" s="41"/>
      <c r="AT345" s="41"/>
      <c r="AU345" s="41"/>
      <c r="AV345" s="211"/>
      <c r="AW345" s="41"/>
      <c r="AX345" s="41"/>
      <c r="AY345" s="41"/>
      <c r="AZ345" s="41"/>
      <c r="BA345" s="41"/>
      <c r="BB345" s="41"/>
      <c r="BC345" s="41"/>
      <c r="BD345" s="41"/>
      <c r="BE345" s="41"/>
      <c r="BF345" s="41"/>
      <c r="BG345" s="41"/>
      <c r="BH345" s="41"/>
      <c r="BI345" s="41"/>
      <c r="BJ345" s="41"/>
      <c r="BK345" s="41"/>
      <c r="BL345" s="41"/>
      <c r="BM345" s="41"/>
      <c r="BN345" s="41"/>
      <c r="BO345" s="41"/>
      <c r="BP345" s="41"/>
      <c r="BQ345" s="41"/>
      <c r="BR345" s="41"/>
      <c r="BS345" s="41"/>
      <c r="BT345" s="41"/>
      <c r="BU345" s="41"/>
      <c r="BV345" s="41"/>
      <c r="BW345" s="41"/>
      <c r="BX345" s="41"/>
      <c r="BY345" s="41"/>
      <c r="BZ345" s="41"/>
      <c r="CA345" s="41"/>
      <c r="CB345" s="41"/>
      <c r="CC345" s="41"/>
      <c r="CD345" s="41"/>
      <c r="CE345" s="41"/>
      <c r="CF345" s="41"/>
      <c r="CG345" s="41"/>
      <c r="CH345" s="41"/>
      <c r="CI345" s="41"/>
      <c r="CJ345" s="41"/>
      <c r="CK345" s="41"/>
      <c r="CL345" s="41"/>
      <c r="CM345" s="41"/>
      <c r="CN345" s="41"/>
      <c r="CO345" s="41"/>
      <c r="CP345" s="41"/>
      <c r="CQ345" s="41"/>
      <c r="CR345" s="41"/>
      <c r="CS345" s="41"/>
      <c r="CT345" s="41"/>
      <c r="CU345" s="41"/>
      <c r="CV345" s="211"/>
      <c r="CW345" s="41"/>
      <c r="CX345" s="41"/>
      <c r="CY345" s="41"/>
      <c r="CZ345" s="41"/>
      <c r="DA345" s="41"/>
      <c r="DB345" s="41"/>
      <c r="DC345" s="41"/>
      <c r="DD345" s="41"/>
      <c r="DE345" s="41"/>
      <c r="DF345" s="41"/>
    </row>
    <row r="346" spans="1:110" s="17" customFormat="1" ht="12" outlineLevel="1">
      <c r="A346" s="1"/>
      <c r="B346" s="17" t="s">
        <v>343</v>
      </c>
      <c r="C346" s="62"/>
      <c r="D346" s="62"/>
      <c r="E346" s="62"/>
      <c r="F346" s="62"/>
      <c r="G346" s="62"/>
      <c r="H346" s="62"/>
      <c r="I346" s="62"/>
      <c r="J346" s="62"/>
      <c r="K346" s="62"/>
      <c r="L346" s="62"/>
      <c r="M346" s="62"/>
      <c r="N346" s="62"/>
      <c r="O346" s="62"/>
      <c r="P346" s="62"/>
      <c r="Q346" s="62"/>
      <c r="R346" s="62"/>
      <c r="S346" s="62"/>
      <c r="T346" s="62"/>
      <c r="U346" s="62"/>
      <c r="V346" s="62"/>
      <c r="W346" s="62"/>
      <c r="X346" s="62"/>
      <c r="Y346" s="62"/>
      <c r="Z346" s="62"/>
      <c r="AA346" s="62"/>
      <c r="AB346" s="62"/>
      <c r="AC346" s="62"/>
      <c r="AD346" s="62"/>
      <c r="AE346" s="62"/>
      <c r="AF346" s="62"/>
      <c r="AG346" s="62"/>
      <c r="AH346" s="62"/>
      <c r="AI346" s="62"/>
      <c r="AJ346" s="62"/>
      <c r="AK346" s="62"/>
      <c r="AL346" s="62"/>
      <c r="AM346" s="62"/>
      <c r="AN346" s="62"/>
      <c r="AO346" s="62"/>
      <c r="AP346" s="62"/>
      <c r="AQ346" s="62"/>
      <c r="AR346" s="62"/>
      <c r="AS346" s="62"/>
      <c r="AT346" s="62"/>
      <c r="AU346" s="62"/>
      <c r="AV346" s="220"/>
      <c r="AW346" s="62"/>
      <c r="AX346" s="62"/>
      <c r="AY346" s="62"/>
      <c r="AZ346" s="62"/>
      <c r="BA346" s="62"/>
      <c r="BB346" s="62"/>
      <c r="BC346" s="62"/>
      <c r="BD346" s="62"/>
      <c r="BE346" s="62"/>
      <c r="BF346" s="62"/>
      <c r="BG346" s="62"/>
      <c r="BH346" s="62"/>
      <c r="BI346" s="62"/>
      <c r="BJ346" s="62"/>
      <c r="BK346" s="62"/>
      <c r="BL346" s="62"/>
      <c r="BM346" s="62"/>
      <c r="BN346" s="62"/>
      <c r="BO346" s="62"/>
      <c r="BP346" s="62"/>
      <c r="BQ346" s="62"/>
      <c r="BR346" s="62"/>
      <c r="BS346" s="62"/>
      <c r="BT346" s="62"/>
      <c r="BU346" s="62"/>
      <c r="BV346" s="62"/>
      <c r="BW346" s="62"/>
      <c r="BX346" s="62"/>
      <c r="BY346" s="62"/>
      <c r="BZ346" s="62"/>
      <c r="CA346" s="62"/>
      <c r="CB346" s="62"/>
      <c r="CC346" s="62"/>
      <c r="CD346" s="62"/>
      <c r="CE346" s="62"/>
      <c r="CF346" s="62"/>
      <c r="CG346" s="62"/>
      <c r="CH346" s="62"/>
      <c r="CI346" s="62"/>
      <c r="CJ346" s="62"/>
      <c r="CK346" s="62"/>
      <c r="CL346" s="62"/>
      <c r="CM346" s="62"/>
      <c r="CN346" s="62"/>
      <c r="CO346" s="62"/>
      <c r="CP346" s="62"/>
      <c r="CQ346" s="62"/>
      <c r="CR346" s="62"/>
      <c r="CS346" s="62"/>
      <c r="CT346" s="62"/>
      <c r="CU346" s="62"/>
      <c r="CV346" s="220"/>
      <c r="CW346" s="62"/>
      <c r="CX346" s="62"/>
      <c r="CY346" s="62"/>
      <c r="CZ346" s="62"/>
      <c r="DA346" s="62"/>
      <c r="DB346" s="62"/>
      <c r="DC346" s="62"/>
      <c r="DD346" s="62"/>
      <c r="DE346" s="62"/>
      <c r="DF346" s="62"/>
    </row>
    <row r="347" spans="1:110" ht="12" outlineLevel="1">
      <c r="A347" s="1" t="s">
        <v>123</v>
      </c>
      <c r="B347" s="15" t="s">
        <v>164</v>
      </c>
      <c r="C347" s="41"/>
      <c r="D347" s="41"/>
      <c r="E347" s="41"/>
      <c r="F347" s="41"/>
      <c r="G347" s="41"/>
      <c r="H347" s="41"/>
      <c r="I347" s="41"/>
      <c r="J347" s="41"/>
      <c r="K347" s="41"/>
      <c r="L347" s="41"/>
      <c r="M347" s="41"/>
      <c r="N347" s="41"/>
      <c r="O347" s="41"/>
      <c r="P347" s="41"/>
      <c r="Q347" s="41"/>
      <c r="R347" s="41"/>
      <c r="S347" s="41"/>
      <c r="T347" s="41"/>
      <c r="U347" s="41"/>
      <c r="V347" s="41"/>
      <c r="W347" s="41"/>
      <c r="X347" s="41"/>
      <c r="Y347" s="41"/>
      <c r="Z347" s="41"/>
      <c r="AA347" s="41"/>
      <c r="AB347" s="41"/>
      <c r="AC347" s="41"/>
      <c r="AD347" s="41"/>
      <c r="AE347" s="41"/>
      <c r="AF347" s="41"/>
      <c r="AG347" s="41"/>
      <c r="AH347" s="41"/>
      <c r="AI347" s="41"/>
      <c r="AJ347" s="41"/>
      <c r="AK347" s="41"/>
      <c r="AL347" s="41"/>
      <c r="AM347" s="41"/>
      <c r="AN347" s="41"/>
      <c r="AO347" s="41"/>
      <c r="AP347" s="41"/>
      <c r="AQ347" s="41"/>
      <c r="AR347" s="41"/>
      <c r="AS347" s="41"/>
      <c r="AT347" s="41"/>
      <c r="AU347" s="41"/>
      <c r="AV347" s="211"/>
      <c r="AW347" s="41"/>
      <c r="AX347" s="41"/>
      <c r="AY347" s="41"/>
      <c r="AZ347" s="41"/>
      <c r="BA347" s="41"/>
      <c r="BB347" s="41"/>
      <c r="BC347" s="41"/>
      <c r="BD347" s="41"/>
      <c r="BE347" s="41"/>
      <c r="BF347" s="41"/>
      <c r="BG347" s="41"/>
      <c r="BH347" s="41"/>
      <c r="BI347" s="41"/>
      <c r="BJ347" s="41"/>
      <c r="BK347" s="41"/>
      <c r="BL347" s="41"/>
      <c r="BM347" s="41"/>
      <c r="BN347" s="41"/>
      <c r="BO347" s="41"/>
      <c r="BP347" s="41"/>
      <c r="BQ347" s="41"/>
      <c r="BR347" s="41"/>
      <c r="BS347" s="41"/>
      <c r="BT347" s="41"/>
      <c r="BU347" s="41"/>
      <c r="BV347" s="41"/>
      <c r="BW347" s="41"/>
      <c r="BX347" s="41"/>
      <c r="BY347" s="41"/>
      <c r="BZ347" s="41"/>
      <c r="CA347" s="41"/>
      <c r="CB347" s="41"/>
      <c r="CC347" s="41"/>
      <c r="CD347" s="41"/>
      <c r="CE347" s="41"/>
      <c r="CF347" s="41"/>
      <c r="CG347" s="41"/>
      <c r="CH347" s="41"/>
      <c r="CI347" s="41"/>
      <c r="CJ347" s="41"/>
      <c r="CK347" s="41"/>
      <c r="CL347" s="41"/>
      <c r="CM347" s="41"/>
      <c r="CN347" s="41"/>
      <c r="CO347" s="41"/>
      <c r="CP347" s="41"/>
      <c r="CQ347" s="41"/>
      <c r="CR347" s="41"/>
      <c r="CS347" s="41"/>
      <c r="CT347" s="41"/>
      <c r="CU347" s="41"/>
      <c r="CV347" s="211"/>
      <c r="CW347" s="41"/>
      <c r="CX347" s="41"/>
      <c r="CY347" s="41"/>
      <c r="CZ347" s="41"/>
      <c r="DA347" s="41"/>
      <c r="DB347" s="41"/>
      <c r="DC347" s="41"/>
      <c r="DD347" s="41"/>
      <c r="DE347" s="41"/>
      <c r="DF347" s="41"/>
    </row>
    <row r="348" spans="1:110" ht="12" outlineLevel="1">
      <c r="A348" s="1" t="s">
        <v>124</v>
      </c>
      <c r="B348" s="15" t="s">
        <v>344</v>
      </c>
      <c r="C348" s="41"/>
      <c r="D348" s="41"/>
      <c r="E348" s="41"/>
      <c r="F348" s="41"/>
      <c r="G348" s="41"/>
      <c r="H348" s="41"/>
      <c r="I348" s="41"/>
      <c r="J348" s="41"/>
      <c r="K348" s="41"/>
      <c r="L348" s="41"/>
      <c r="M348" s="41"/>
      <c r="N348" s="41"/>
      <c r="O348" s="41"/>
      <c r="P348" s="41"/>
      <c r="Q348" s="41"/>
      <c r="R348" s="41"/>
      <c r="S348" s="41"/>
      <c r="T348" s="41"/>
      <c r="U348" s="41"/>
      <c r="V348" s="41"/>
      <c r="W348" s="41"/>
      <c r="X348" s="41"/>
      <c r="Y348" s="41"/>
      <c r="Z348" s="41"/>
      <c r="AA348" s="41"/>
      <c r="AB348" s="41"/>
      <c r="AC348" s="41"/>
      <c r="AD348" s="41"/>
      <c r="AE348" s="41"/>
      <c r="AF348" s="41"/>
      <c r="AG348" s="41"/>
      <c r="AH348" s="41"/>
      <c r="AI348" s="41"/>
      <c r="AJ348" s="41"/>
      <c r="AK348" s="41"/>
      <c r="AL348" s="41"/>
      <c r="AM348" s="41"/>
      <c r="AN348" s="41"/>
      <c r="AO348" s="41"/>
      <c r="AP348" s="41"/>
      <c r="AQ348" s="41"/>
      <c r="AR348" s="41"/>
      <c r="AS348" s="41"/>
      <c r="AT348" s="41"/>
      <c r="AU348" s="41"/>
      <c r="AV348" s="211"/>
      <c r="AW348" s="41"/>
      <c r="AX348" s="41"/>
      <c r="AY348" s="41"/>
      <c r="AZ348" s="41"/>
      <c r="BA348" s="41"/>
      <c r="BB348" s="41"/>
      <c r="BC348" s="41"/>
      <c r="BD348" s="41"/>
      <c r="BE348" s="41"/>
      <c r="BF348" s="41"/>
      <c r="BG348" s="41"/>
      <c r="BH348" s="41"/>
      <c r="BI348" s="41"/>
      <c r="BJ348" s="41"/>
      <c r="BK348" s="41"/>
      <c r="BL348" s="41"/>
      <c r="BM348" s="41"/>
      <c r="BN348" s="41"/>
      <c r="BO348" s="41"/>
      <c r="BP348" s="41"/>
      <c r="BQ348" s="41"/>
      <c r="BR348" s="41"/>
      <c r="BS348" s="41"/>
      <c r="BT348" s="41"/>
      <c r="BU348" s="41"/>
      <c r="BV348" s="41"/>
      <c r="BW348" s="41"/>
      <c r="BX348" s="41"/>
      <c r="BY348" s="41"/>
      <c r="BZ348" s="41"/>
      <c r="CA348" s="41"/>
      <c r="CB348" s="41"/>
      <c r="CC348" s="41"/>
      <c r="CD348" s="41"/>
      <c r="CE348" s="41"/>
      <c r="CF348" s="41"/>
      <c r="CG348" s="41"/>
      <c r="CH348" s="41"/>
      <c r="CI348" s="41"/>
      <c r="CJ348" s="41"/>
      <c r="CK348" s="41"/>
      <c r="CL348" s="41"/>
      <c r="CM348" s="41"/>
      <c r="CN348" s="41"/>
      <c r="CO348" s="41"/>
      <c r="CP348" s="41"/>
      <c r="CQ348" s="41"/>
      <c r="CR348" s="41"/>
      <c r="CS348" s="41"/>
      <c r="CT348" s="41"/>
      <c r="CU348" s="41"/>
      <c r="CV348" s="211"/>
      <c r="CW348" s="41"/>
      <c r="CX348" s="41"/>
      <c r="CY348" s="41"/>
      <c r="CZ348" s="41"/>
      <c r="DA348" s="41"/>
      <c r="DB348" s="41"/>
      <c r="DC348" s="41"/>
      <c r="DD348" s="41"/>
      <c r="DE348" s="41"/>
      <c r="DF348" s="41"/>
    </row>
    <row r="349" spans="1:110" s="17" customFormat="1" ht="12" outlineLevel="1">
      <c r="A349" s="1" t="s">
        <v>125</v>
      </c>
      <c r="B349" s="17" t="s">
        <v>584</v>
      </c>
      <c r="C349" s="62">
        <v>934.58363584931567</v>
      </c>
      <c r="D349" s="62">
        <v>923.93790301369893</v>
      </c>
      <c r="E349" s="62">
        <v>718.22671370136993</v>
      </c>
      <c r="F349" s="62">
        <v>895.17264637351559</v>
      </c>
      <c r="G349" s="62">
        <v>999.57141499999921</v>
      </c>
      <c r="H349" s="62">
        <v>832.28312500000015</v>
      </c>
      <c r="I349" s="62">
        <v>1173.0877839999991</v>
      </c>
      <c r="J349" s="62">
        <v>1998.2012735287681</v>
      </c>
      <c r="K349" s="62">
        <v>2288.6827213287679</v>
      </c>
      <c r="L349" s="62">
        <v>2473.4046588931506</v>
      </c>
      <c r="M349" s="62">
        <v>2214.5051413945125</v>
      </c>
      <c r="N349" s="62">
        <v>2206.0925707945225</v>
      </c>
      <c r="O349" s="62">
        <v>2351.5881181976811</v>
      </c>
      <c r="P349" s="62">
        <v>1909.1010314503844</v>
      </c>
      <c r="Q349" s="62">
        <v>2031.418858053433</v>
      </c>
      <c r="R349" s="62">
        <v>5383.4928942575334</v>
      </c>
      <c r="S349" s="62">
        <v>4799.8959704833233</v>
      </c>
      <c r="T349" s="62">
        <v>3986.6571421369822</v>
      </c>
      <c r="U349" s="62">
        <v>4078.7153289762637</v>
      </c>
      <c r="V349" s="62">
        <v>4228.4515194520718</v>
      </c>
      <c r="W349" s="62">
        <v>4297.0204162208493</v>
      </c>
      <c r="X349" s="62">
        <v>4790.1684876923018</v>
      </c>
      <c r="Y349" s="62">
        <v>5898.9859623076964</v>
      </c>
      <c r="Z349" s="62">
        <v>6232.6520067835545</v>
      </c>
      <c r="AA349" s="62">
        <v>6463.9083693987186</v>
      </c>
      <c r="AB349" s="62">
        <v>6503.1681238356059</v>
      </c>
      <c r="AC349" s="62">
        <v>6629.7148571232883</v>
      </c>
      <c r="AD349" s="62">
        <v>6797.3060434147892</v>
      </c>
      <c r="AE349" s="62">
        <v>7481.9073107455833</v>
      </c>
      <c r="AF349" s="62">
        <v>7322.7068290076422</v>
      </c>
      <c r="AG349" s="62">
        <v>7908.690718301531</v>
      </c>
      <c r="AH349" s="62">
        <v>7928.4930560920538</v>
      </c>
      <c r="AI349" s="62">
        <v>8276.3373749811508</v>
      </c>
      <c r="AJ349" s="62">
        <v>7988.0769731506871</v>
      </c>
      <c r="AK349" s="62">
        <v>7640.2521090305581</v>
      </c>
      <c r="AL349" s="62">
        <v>8120.5109854246466</v>
      </c>
      <c r="AM349" s="62">
        <v>9478.8798555244193</v>
      </c>
      <c r="AN349" s="62">
        <v>9689.9019240457983</v>
      </c>
      <c r="AO349" s="62">
        <v>10014.9195129771</v>
      </c>
      <c r="AP349" s="62">
        <v>9036.1409210299335</v>
      </c>
      <c r="AQ349" s="62">
        <v>8757.0523896144823</v>
      </c>
      <c r="AR349" s="62">
        <v>8670.5814050060289</v>
      </c>
      <c r="AS349" s="62">
        <v>6416.5711182379982</v>
      </c>
      <c r="AT349" s="62">
        <v>7440.7602154734241</v>
      </c>
      <c r="AU349" s="62">
        <v>7177.2929058057489</v>
      </c>
      <c r="AV349" s="220">
        <v>7602.0375109615388</v>
      </c>
      <c r="AW349" s="62">
        <v>7967.0551131802695</v>
      </c>
      <c r="AX349" s="62">
        <v>8593.8420749191882</v>
      </c>
      <c r="AY349" s="62">
        <v>8892.5399203399593</v>
      </c>
      <c r="AZ349" s="62">
        <v>8993.8342787872207</v>
      </c>
      <c r="BA349" s="62">
        <v>9147.1684959408049</v>
      </c>
      <c r="BB349" s="62">
        <v>9200.7146934962766</v>
      </c>
      <c r="BC349" s="62">
        <v>9325.1242748491022</v>
      </c>
      <c r="BD349" s="62">
        <v>9445.874028823444</v>
      </c>
      <c r="BE349" s="62">
        <v>9595.0279866984602</v>
      </c>
      <c r="BF349" s="62">
        <v>9741.0702898327181</v>
      </c>
      <c r="BG349" s="62">
        <v>9971.6799510099663</v>
      </c>
      <c r="BH349" s="62">
        <v>10097.185307038861</v>
      </c>
      <c r="BI349" s="62">
        <v>10337.634907507021</v>
      </c>
      <c r="BJ349" s="62">
        <v>10478.464626617455</v>
      </c>
      <c r="BK349" s="62">
        <v>10757.796430148168</v>
      </c>
      <c r="BL349" s="62">
        <v>10964.259437042952</v>
      </c>
      <c r="BM349" s="62">
        <v>11205.790552479746</v>
      </c>
      <c r="BN349" s="62">
        <v>11353.442935508747</v>
      </c>
      <c r="BO349" s="62">
        <v>11529.982735000451</v>
      </c>
      <c r="BP349" s="62"/>
      <c r="BQ349" s="62">
        <v>2168.5690749999985</v>
      </c>
      <c r="BR349" s="62">
        <v>2221.7983999999992</v>
      </c>
      <c r="BS349" s="62">
        <v>2028.2683699999998</v>
      </c>
      <c r="BT349" s="62">
        <v>1454.7792083333331</v>
      </c>
      <c r="BU349" s="62">
        <v>1983.8949066666657</v>
      </c>
      <c r="BV349" s="62">
        <v>2677.3504170000006</v>
      </c>
      <c r="BW349" s="62">
        <v>2875.077499999999</v>
      </c>
      <c r="BX349" s="62">
        <v>2603.2567422499997</v>
      </c>
      <c r="BY349" s="62">
        <v>2069.0815338461553</v>
      </c>
      <c r="BZ349" s="62">
        <v>2517.0545899999956</v>
      </c>
      <c r="CA349" s="62">
        <v>1642.1646167150689</v>
      </c>
      <c r="CB349" s="62">
        <v>1894.7440613735148</v>
      </c>
      <c r="CC349" s="62">
        <v>2005.3709089999993</v>
      </c>
      <c r="CD349" s="62">
        <v>4286.883994857536</v>
      </c>
      <c r="CE349" s="62">
        <v>4687.9098002876635</v>
      </c>
      <c r="CF349" s="62">
        <v>4557.6806889922036</v>
      </c>
      <c r="CG349" s="62">
        <v>3940.5198895038175</v>
      </c>
      <c r="CH349" s="62">
        <v>10183.388864740857</v>
      </c>
      <c r="CI349" s="62">
        <v>8065.3724711132454</v>
      </c>
      <c r="CJ349" s="62">
        <v>8525.471935672922</v>
      </c>
      <c r="CK349" s="62">
        <v>10689.154449999998</v>
      </c>
      <c r="CL349" s="62">
        <v>12696.560376182273</v>
      </c>
      <c r="CM349" s="62">
        <v>13132.882980958893</v>
      </c>
      <c r="CN349" s="62">
        <v>14279.213354160373</v>
      </c>
      <c r="CO349" s="62">
        <v>15231.397547309174</v>
      </c>
      <c r="CP349" s="62">
        <v>16204.830431073206</v>
      </c>
      <c r="CQ349" s="62">
        <v>15628.329082181244</v>
      </c>
      <c r="CR349" s="62">
        <v>17599.390840949065</v>
      </c>
      <c r="CS349" s="62">
        <v>19704.821437022896</v>
      </c>
      <c r="CT349" s="62">
        <v>17793.193310644416</v>
      </c>
      <c r="CU349" s="62">
        <v>15087.152523244027</v>
      </c>
      <c r="CV349" s="220">
        <v>14618.053121279172</v>
      </c>
      <c r="CW349" s="62">
        <v>15569.092624141809</v>
      </c>
      <c r="CX349" s="62">
        <v>17486.381995259148</v>
      </c>
      <c r="CY349" s="62">
        <v>18141.002774728026</v>
      </c>
      <c r="CZ349" s="62">
        <v>18525.838968345379</v>
      </c>
      <c r="DA349" s="62">
        <v>19040.902015521904</v>
      </c>
      <c r="DB349" s="62">
        <v>19712.750240842684</v>
      </c>
      <c r="DC349" s="62">
        <v>20434.820214545882</v>
      </c>
      <c r="DD349" s="62">
        <v>21236.261056765623</v>
      </c>
      <c r="DE349" s="62">
        <v>22170.049989522697</v>
      </c>
      <c r="DF349" s="62">
        <v>22883.425670509198</v>
      </c>
    </row>
    <row r="350" spans="1:110" ht="12" outlineLevel="1">
      <c r="A350" s="1" t="s">
        <v>126</v>
      </c>
      <c r="B350" s="15" t="s">
        <v>345</v>
      </c>
      <c r="C350" s="41">
        <v>0</v>
      </c>
      <c r="D350" s="41">
        <v>0</v>
      </c>
      <c r="E350" s="41">
        <v>0</v>
      </c>
      <c r="F350" s="41">
        <v>0</v>
      </c>
      <c r="G350" s="41">
        <v>0</v>
      </c>
      <c r="H350" s="41">
        <v>0</v>
      </c>
      <c r="I350" s="41">
        <v>0</v>
      </c>
      <c r="J350" s="41">
        <v>0</v>
      </c>
      <c r="K350" s="41">
        <v>0</v>
      </c>
      <c r="L350" s="41">
        <v>0</v>
      </c>
      <c r="M350" s="41">
        <v>0</v>
      </c>
      <c r="N350" s="41">
        <v>0</v>
      </c>
      <c r="O350" s="41">
        <v>0</v>
      </c>
      <c r="P350" s="41">
        <v>0</v>
      </c>
      <c r="Q350" s="41">
        <v>0</v>
      </c>
      <c r="R350" s="41">
        <v>0</v>
      </c>
      <c r="S350" s="41">
        <v>0</v>
      </c>
      <c r="T350" s="41">
        <v>0</v>
      </c>
      <c r="U350" s="41">
        <v>0</v>
      </c>
      <c r="V350" s="41">
        <v>0</v>
      </c>
      <c r="W350" s="41">
        <v>0</v>
      </c>
      <c r="X350" s="41">
        <v>0</v>
      </c>
      <c r="Y350" s="41">
        <v>0</v>
      </c>
      <c r="Z350" s="41">
        <v>0</v>
      </c>
      <c r="AA350" s="41">
        <v>0</v>
      </c>
      <c r="AB350" s="41">
        <v>0</v>
      </c>
      <c r="AC350" s="41">
        <v>0</v>
      </c>
      <c r="AD350" s="41">
        <v>0</v>
      </c>
      <c r="AE350" s="41">
        <v>0</v>
      </c>
      <c r="AF350" s="41">
        <v>0</v>
      </c>
      <c r="AG350" s="41">
        <v>0</v>
      </c>
      <c r="AH350" s="41">
        <v>0</v>
      </c>
      <c r="AI350" s="41">
        <v>0</v>
      </c>
      <c r="AJ350" s="41">
        <v>0</v>
      </c>
      <c r="AK350" s="41">
        <v>0</v>
      </c>
      <c r="AL350" s="41">
        <v>0</v>
      </c>
      <c r="AM350" s="41">
        <v>0</v>
      </c>
      <c r="AN350" s="41">
        <v>0</v>
      </c>
      <c r="AO350" s="41">
        <v>0</v>
      </c>
      <c r="AP350" s="41">
        <v>0</v>
      </c>
      <c r="AQ350" s="41">
        <v>0</v>
      </c>
      <c r="AR350" s="41">
        <v>0</v>
      </c>
      <c r="AS350" s="41">
        <v>0</v>
      </c>
      <c r="AT350" s="41">
        <v>0</v>
      </c>
      <c r="AU350" s="41">
        <v>0</v>
      </c>
      <c r="AV350" s="211">
        <v>0</v>
      </c>
      <c r="AW350" s="41">
        <v>0</v>
      </c>
      <c r="AX350" s="41">
        <v>0</v>
      </c>
      <c r="AY350" s="41">
        <v>0</v>
      </c>
      <c r="AZ350" s="41">
        <v>0</v>
      </c>
      <c r="BA350" s="41">
        <v>0</v>
      </c>
      <c r="BB350" s="41">
        <v>0</v>
      </c>
      <c r="BC350" s="41">
        <v>0</v>
      </c>
      <c r="BD350" s="41">
        <v>0</v>
      </c>
      <c r="BE350" s="41">
        <v>0</v>
      </c>
      <c r="BF350" s="41">
        <v>0</v>
      </c>
      <c r="BG350" s="41">
        <v>0</v>
      </c>
      <c r="BH350" s="41">
        <v>0</v>
      </c>
      <c r="BI350" s="41">
        <v>0</v>
      </c>
      <c r="BJ350" s="41">
        <v>0</v>
      </c>
      <c r="BK350" s="41">
        <v>0</v>
      </c>
      <c r="BL350" s="41">
        <v>0</v>
      </c>
      <c r="BM350" s="41">
        <v>0</v>
      </c>
      <c r="BN350" s="41">
        <v>0</v>
      </c>
      <c r="BO350" s="41">
        <v>0</v>
      </c>
      <c r="BP350" s="41"/>
      <c r="BQ350" s="41">
        <v>0</v>
      </c>
      <c r="BR350" s="41">
        <v>0</v>
      </c>
      <c r="BS350" s="41">
        <v>0</v>
      </c>
      <c r="BT350" s="41">
        <v>0</v>
      </c>
      <c r="BU350" s="41">
        <v>0</v>
      </c>
      <c r="BV350" s="41">
        <v>0</v>
      </c>
      <c r="BW350" s="41">
        <v>0</v>
      </c>
      <c r="BX350" s="41">
        <v>0</v>
      </c>
      <c r="BY350" s="41">
        <v>0</v>
      </c>
      <c r="BZ350" s="41">
        <v>0</v>
      </c>
      <c r="CA350" s="41">
        <v>0</v>
      </c>
      <c r="CB350" s="41">
        <v>0</v>
      </c>
      <c r="CC350" s="41">
        <v>0</v>
      </c>
      <c r="CD350" s="41">
        <v>0</v>
      </c>
      <c r="CE350" s="41">
        <v>0</v>
      </c>
      <c r="CF350" s="41">
        <v>0</v>
      </c>
      <c r="CG350" s="41">
        <v>0</v>
      </c>
      <c r="CH350" s="41">
        <v>0</v>
      </c>
      <c r="CI350" s="41">
        <v>0</v>
      </c>
      <c r="CJ350" s="41">
        <v>0</v>
      </c>
      <c r="CK350" s="41">
        <v>0</v>
      </c>
      <c r="CL350" s="41">
        <v>0</v>
      </c>
      <c r="CM350" s="41">
        <v>0</v>
      </c>
      <c r="CN350" s="41">
        <v>0</v>
      </c>
      <c r="CO350" s="41">
        <v>0</v>
      </c>
      <c r="CP350" s="41">
        <v>0</v>
      </c>
      <c r="CQ350" s="41">
        <v>0</v>
      </c>
      <c r="CR350" s="41">
        <v>0</v>
      </c>
      <c r="CS350" s="41">
        <v>0</v>
      </c>
      <c r="CT350" s="41">
        <v>0</v>
      </c>
      <c r="CU350" s="41">
        <v>0</v>
      </c>
      <c r="CV350" s="211">
        <v>0</v>
      </c>
      <c r="CW350" s="41">
        <v>0</v>
      </c>
      <c r="CX350" s="41">
        <v>0</v>
      </c>
      <c r="CY350" s="41">
        <v>0</v>
      </c>
      <c r="CZ350" s="41">
        <v>0</v>
      </c>
      <c r="DA350" s="41">
        <v>0</v>
      </c>
      <c r="DB350" s="41">
        <v>0</v>
      </c>
      <c r="DC350" s="41">
        <v>0</v>
      </c>
      <c r="DD350" s="41">
        <v>0</v>
      </c>
      <c r="DE350" s="41">
        <v>0</v>
      </c>
      <c r="DF350" s="41">
        <v>0</v>
      </c>
    </row>
    <row r="351" spans="1:110" ht="12" outlineLevel="1">
      <c r="A351" s="1" t="s">
        <v>127</v>
      </c>
      <c r="B351" s="15" t="s">
        <v>589</v>
      </c>
      <c r="C351" s="41">
        <v>0</v>
      </c>
      <c r="D351" s="41">
        <v>0</v>
      </c>
      <c r="E351" s="41">
        <v>0</v>
      </c>
      <c r="F351" s="41">
        <v>0</v>
      </c>
      <c r="G351" s="41">
        <v>0</v>
      </c>
      <c r="H351" s="41">
        <v>0</v>
      </c>
      <c r="I351" s="41">
        <v>0</v>
      </c>
      <c r="J351" s="41">
        <v>0</v>
      </c>
      <c r="K351" s="41">
        <v>0</v>
      </c>
      <c r="L351" s="41">
        <v>0</v>
      </c>
      <c r="M351" s="41">
        <v>0</v>
      </c>
      <c r="N351" s="41">
        <v>0</v>
      </c>
      <c r="O351" s="41">
        <v>0</v>
      </c>
      <c r="P351" s="41">
        <v>0</v>
      </c>
      <c r="Q351" s="41">
        <v>0</v>
      </c>
      <c r="R351" s="41">
        <v>0</v>
      </c>
      <c r="S351" s="41">
        <v>0</v>
      </c>
      <c r="T351" s="41">
        <v>0</v>
      </c>
      <c r="U351" s="41">
        <v>0</v>
      </c>
      <c r="V351" s="41">
        <v>0</v>
      </c>
      <c r="W351" s="41">
        <v>0</v>
      </c>
      <c r="X351" s="41">
        <v>0</v>
      </c>
      <c r="Y351" s="41">
        <v>0</v>
      </c>
      <c r="Z351" s="41">
        <v>0</v>
      </c>
      <c r="AA351" s="41">
        <v>0</v>
      </c>
      <c r="AB351" s="41">
        <v>0</v>
      </c>
      <c r="AC351" s="41">
        <v>0</v>
      </c>
      <c r="AD351" s="41">
        <v>0</v>
      </c>
      <c r="AE351" s="41">
        <v>0</v>
      </c>
      <c r="AF351" s="41">
        <v>0</v>
      </c>
      <c r="AG351" s="41">
        <v>0</v>
      </c>
      <c r="AH351" s="41">
        <v>0</v>
      </c>
      <c r="AI351" s="41">
        <v>0</v>
      </c>
      <c r="AJ351" s="41">
        <v>0</v>
      </c>
      <c r="AK351" s="41">
        <v>0</v>
      </c>
      <c r="AL351" s="41">
        <v>0</v>
      </c>
      <c r="AM351" s="41">
        <v>0</v>
      </c>
      <c r="AN351" s="41">
        <v>0</v>
      </c>
      <c r="AO351" s="41">
        <v>0</v>
      </c>
      <c r="AP351" s="41">
        <v>0</v>
      </c>
      <c r="AQ351" s="41">
        <v>0</v>
      </c>
      <c r="AR351" s="41">
        <v>0</v>
      </c>
      <c r="AS351" s="41">
        <v>0</v>
      </c>
      <c r="AT351" s="41">
        <v>0</v>
      </c>
      <c r="AU351" s="41">
        <v>0</v>
      </c>
      <c r="AV351" s="211">
        <v>0</v>
      </c>
      <c r="AW351" s="41">
        <v>0</v>
      </c>
      <c r="AX351" s="41">
        <v>0</v>
      </c>
      <c r="AY351" s="41">
        <v>0</v>
      </c>
      <c r="AZ351" s="41">
        <v>0</v>
      </c>
      <c r="BA351" s="41">
        <v>0</v>
      </c>
      <c r="BB351" s="41">
        <v>0</v>
      </c>
      <c r="BC351" s="41">
        <v>0</v>
      </c>
      <c r="BD351" s="41">
        <v>0</v>
      </c>
      <c r="BE351" s="41">
        <v>0</v>
      </c>
      <c r="BF351" s="41">
        <v>0</v>
      </c>
      <c r="BG351" s="41">
        <v>0</v>
      </c>
      <c r="BH351" s="41">
        <v>0</v>
      </c>
      <c r="BI351" s="41">
        <v>0</v>
      </c>
      <c r="BJ351" s="41">
        <v>0</v>
      </c>
      <c r="BK351" s="41">
        <v>0</v>
      </c>
      <c r="BL351" s="41">
        <v>0</v>
      </c>
      <c r="BM351" s="41">
        <v>0</v>
      </c>
      <c r="BN351" s="41">
        <v>0</v>
      </c>
      <c r="BO351" s="41">
        <v>0</v>
      </c>
      <c r="BP351" s="41"/>
      <c r="BQ351" s="41">
        <v>0</v>
      </c>
      <c r="BR351" s="41">
        <v>0</v>
      </c>
      <c r="BS351" s="41">
        <v>0</v>
      </c>
      <c r="BT351" s="41">
        <v>0</v>
      </c>
      <c r="BU351" s="41">
        <v>0</v>
      </c>
      <c r="BV351" s="41">
        <v>0</v>
      </c>
      <c r="BW351" s="41">
        <v>0</v>
      </c>
      <c r="BX351" s="41">
        <v>0</v>
      </c>
      <c r="BY351" s="41">
        <v>0</v>
      </c>
      <c r="BZ351" s="41">
        <v>0</v>
      </c>
      <c r="CA351" s="41">
        <v>0</v>
      </c>
      <c r="CB351" s="41">
        <v>0</v>
      </c>
      <c r="CC351" s="41">
        <v>0</v>
      </c>
      <c r="CD351" s="41">
        <v>0</v>
      </c>
      <c r="CE351" s="41">
        <v>0</v>
      </c>
      <c r="CF351" s="41">
        <v>0</v>
      </c>
      <c r="CG351" s="41">
        <v>0</v>
      </c>
      <c r="CH351" s="41">
        <v>0</v>
      </c>
      <c r="CI351" s="41">
        <v>0</v>
      </c>
      <c r="CJ351" s="41">
        <v>0</v>
      </c>
      <c r="CK351" s="41">
        <v>0</v>
      </c>
      <c r="CL351" s="41">
        <v>0</v>
      </c>
      <c r="CM351" s="41">
        <v>0</v>
      </c>
      <c r="CN351" s="41">
        <v>0</v>
      </c>
      <c r="CO351" s="41">
        <v>0</v>
      </c>
      <c r="CP351" s="41">
        <v>0</v>
      </c>
      <c r="CQ351" s="41">
        <v>0</v>
      </c>
      <c r="CR351" s="41">
        <v>0</v>
      </c>
      <c r="CS351" s="41">
        <v>0</v>
      </c>
      <c r="CT351" s="41">
        <v>0</v>
      </c>
      <c r="CU351" s="41">
        <v>0</v>
      </c>
      <c r="CV351" s="211">
        <v>0</v>
      </c>
      <c r="CW351" s="41">
        <v>0</v>
      </c>
      <c r="CX351" s="41">
        <v>0</v>
      </c>
      <c r="CY351" s="41">
        <v>0</v>
      </c>
      <c r="CZ351" s="41">
        <v>0</v>
      </c>
      <c r="DA351" s="41">
        <v>0</v>
      </c>
      <c r="DB351" s="41">
        <v>0</v>
      </c>
      <c r="DC351" s="41">
        <v>0</v>
      </c>
      <c r="DD351" s="41">
        <v>0</v>
      </c>
      <c r="DE351" s="41">
        <v>0</v>
      </c>
      <c r="DF351" s="41">
        <v>0</v>
      </c>
    </row>
    <row r="352" spans="1:110" s="17" customFormat="1" ht="12" outlineLevel="1">
      <c r="A352" s="1" t="s">
        <v>128</v>
      </c>
      <c r="B352" s="17" t="s">
        <v>590</v>
      </c>
      <c r="C352" s="62">
        <v>934.58363584931567</v>
      </c>
      <c r="D352" s="62">
        <v>923.93790301369893</v>
      </c>
      <c r="E352" s="62">
        <v>718.22671370136993</v>
      </c>
      <c r="F352" s="62">
        <v>895.17264637351559</v>
      </c>
      <c r="G352" s="62">
        <v>999.57141499999921</v>
      </c>
      <c r="H352" s="62">
        <v>832.28312500000015</v>
      </c>
      <c r="I352" s="62">
        <v>1173.0877839999991</v>
      </c>
      <c r="J352" s="62">
        <v>1998.2012735287681</v>
      </c>
      <c r="K352" s="62">
        <v>2288.6827213287679</v>
      </c>
      <c r="L352" s="62">
        <v>2473.4046588931506</v>
      </c>
      <c r="M352" s="62">
        <v>2214.5051413945125</v>
      </c>
      <c r="N352" s="62">
        <v>2206.0925707945225</v>
      </c>
      <c r="O352" s="62">
        <v>2351.5881181976811</v>
      </c>
      <c r="P352" s="62">
        <v>1909.1010314503844</v>
      </c>
      <c r="Q352" s="62">
        <v>2031.418858053433</v>
      </c>
      <c r="R352" s="62">
        <v>5383.4928942575334</v>
      </c>
      <c r="S352" s="62">
        <v>4799.8959704833233</v>
      </c>
      <c r="T352" s="62">
        <v>3986.6571421369822</v>
      </c>
      <c r="U352" s="62">
        <v>4078.7153289762637</v>
      </c>
      <c r="V352" s="62">
        <v>4228.4515194520718</v>
      </c>
      <c r="W352" s="62">
        <v>4297.0204162208493</v>
      </c>
      <c r="X352" s="62">
        <v>4790.1684876923018</v>
      </c>
      <c r="Y352" s="62">
        <v>5898.9859623076964</v>
      </c>
      <c r="Z352" s="62">
        <v>6232.6520067835545</v>
      </c>
      <c r="AA352" s="62">
        <v>6463.9083693987186</v>
      </c>
      <c r="AB352" s="62">
        <v>6503.1681238356059</v>
      </c>
      <c r="AC352" s="62">
        <v>6629.7148571232883</v>
      </c>
      <c r="AD352" s="62">
        <v>6797.3060434147892</v>
      </c>
      <c r="AE352" s="62">
        <v>7481.9073107455833</v>
      </c>
      <c r="AF352" s="62">
        <v>7322.7068290076422</v>
      </c>
      <c r="AG352" s="62">
        <v>7908.690718301531</v>
      </c>
      <c r="AH352" s="62">
        <v>7928.4930560920538</v>
      </c>
      <c r="AI352" s="62">
        <v>8276.3373749811508</v>
      </c>
      <c r="AJ352" s="62">
        <v>7988.0769731506871</v>
      </c>
      <c r="AK352" s="62">
        <v>7640.2521090305581</v>
      </c>
      <c r="AL352" s="62">
        <v>8120.5109854246466</v>
      </c>
      <c r="AM352" s="62">
        <v>9478.8798555244193</v>
      </c>
      <c r="AN352" s="62">
        <v>9689.9019240457983</v>
      </c>
      <c r="AO352" s="62">
        <v>10014.9195129771</v>
      </c>
      <c r="AP352" s="62">
        <v>9036.1409210299335</v>
      </c>
      <c r="AQ352" s="62">
        <v>8757.0523896144823</v>
      </c>
      <c r="AR352" s="62">
        <v>8670.5814050060289</v>
      </c>
      <c r="AS352" s="62">
        <v>6416.5711182379982</v>
      </c>
      <c r="AT352" s="62">
        <v>7440.7602154734241</v>
      </c>
      <c r="AU352" s="62">
        <v>7177.2929058057489</v>
      </c>
      <c r="AV352" s="220">
        <v>7602.0375109615388</v>
      </c>
      <c r="AW352" s="62">
        <v>7967.0551131802695</v>
      </c>
      <c r="AX352" s="62">
        <v>8593.8420749191882</v>
      </c>
      <c r="AY352" s="62">
        <v>8892.5399203399593</v>
      </c>
      <c r="AZ352" s="62">
        <v>8993.8342787872207</v>
      </c>
      <c r="BA352" s="62">
        <v>9147.1684959408049</v>
      </c>
      <c r="BB352" s="62">
        <v>9200.7146934962766</v>
      </c>
      <c r="BC352" s="62">
        <v>9325.1242748491022</v>
      </c>
      <c r="BD352" s="62">
        <v>9445.874028823444</v>
      </c>
      <c r="BE352" s="62">
        <v>9595.0279866984602</v>
      </c>
      <c r="BF352" s="62">
        <v>9741.0702898327181</v>
      </c>
      <c r="BG352" s="62">
        <v>9971.6799510099663</v>
      </c>
      <c r="BH352" s="62">
        <v>10097.185307038861</v>
      </c>
      <c r="BI352" s="62">
        <v>10337.634907507021</v>
      </c>
      <c r="BJ352" s="62">
        <v>10478.464626617455</v>
      </c>
      <c r="BK352" s="62">
        <v>10757.796430148168</v>
      </c>
      <c r="BL352" s="62">
        <v>10964.259437042952</v>
      </c>
      <c r="BM352" s="62">
        <v>11205.790552479746</v>
      </c>
      <c r="BN352" s="62">
        <v>11353.442935508747</v>
      </c>
      <c r="BO352" s="62">
        <v>11529.982735000451</v>
      </c>
      <c r="BP352" s="62"/>
      <c r="BQ352" s="62">
        <v>2168.5690749999985</v>
      </c>
      <c r="BR352" s="62">
        <v>2221.7983999999992</v>
      </c>
      <c r="BS352" s="62">
        <v>2028.2683699999998</v>
      </c>
      <c r="BT352" s="62">
        <v>1454.7792083333331</v>
      </c>
      <c r="BU352" s="62">
        <v>1983.8949066666657</v>
      </c>
      <c r="BV352" s="62">
        <v>2677.3504170000006</v>
      </c>
      <c r="BW352" s="62">
        <v>2875.077499999999</v>
      </c>
      <c r="BX352" s="62">
        <v>2603.2567422499997</v>
      </c>
      <c r="BY352" s="62">
        <v>2069.0815338461553</v>
      </c>
      <c r="BZ352" s="62">
        <v>2517.0545899999956</v>
      </c>
      <c r="CA352" s="62">
        <v>1642.1646167150689</v>
      </c>
      <c r="CB352" s="62">
        <v>1894.7440613735148</v>
      </c>
      <c r="CC352" s="62">
        <v>2005.3709089999993</v>
      </c>
      <c r="CD352" s="62">
        <v>4286.883994857536</v>
      </c>
      <c r="CE352" s="62">
        <v>4687.9098002876635</v>
      </c>
      <c r="CF352" s="62">
        <v>4557.6806889922036</v>
      </c>
      <c r="CG352" s="62">
        <v>3940.5198895038175</v>
      </c>
      <c r="CH352" s="62">
        <v>10183.388864740857</v>
      </c>
      <c r="CI352" s="62">
        <v>8065.3724711132454</v>
      </c>
      <c r="CJ352" s="62">
        <v>8525.471935672922</v>
      </c>
      <c r="CK352" s="62">
        <v>10689.154449999998</v>
      </c>
      <c r="CL352" s="62">
        <v>12696.560376182273</v>
      </c>
      <c r="CM352" s="62">
        <v>13132.882980958893</v>
      </c>
      <c r="CN352" s="62">
        <v>14279.213354160373</v>
      </c>
      <c r="CO352" s="62">
        <v>15231.397547309174</v>
      </c>
      <c r="CP352" s="62">
        <v>16204.830431073206</v>
      </c>
      <c r="CQ352" s="62">
        <v>15628.329082181244</v>
      </c>
      <c r="CR352" s="62">
        <v>17599.390840949065</v>
      </c>
      <c r="CS352" s="62">
        <v>19704.821437022896</v>
      </c>
      <c r="CT352" s="62">
        <v>17793.193310644416</v>
      </c>
      <c r="CU352" s="62">
        <v>15087.152523244027</v>
      </c>
      <c r="CV352" s="220">
        <v>14618.053121279172</v>
      </c>
      <c r="CW352" s="62">
        <v>15569.092624141809</v>
      </c>
      <c r="CX352" s="62">
        <v>17486.381995259148</v>
      </c>
      <c r="CY352" s="62">
        <v>18141.002774728026</v>
      </c>
      <c r="CZ352" s="62">
        <v>18525.838968345379</v>
      </c>
      <c r="DA352" s="62">
        <v>19040.902015521904</v>
      </c>
      <c r="DB352" s="62">
        <v>19712.750240842684</v>
      </c>
      <c r="DC352" s="62">
        <v>20434.820214545882</v>
      </c>
      <c r="DD352" s="62">
        <v>21236.261056765623</v>
      </c>
      <c r="DE352" s="62">
        <v>22170.049989522697</v>
      </c>
      <c r="DF352" s="62">
        <v>22883.425670509198</v>
      </c>
    </row>
    <row r="353" spans="1:110" ht="12" outlineLevel="1">
      <c r="A353" s="1" t="s">
        <v>53</v>
      </c>
      <c r="B353" s="15" t="s">
        <v>389</v>
      </c>
      <c r="C353" s="41">
        <v>463.06305836164324</v>
      </c>
      <c r="D353" s="41">
        <v>354.35966082191766</v>
      </c>
      <c r="E353" s="41">
        <v>291.62123879177966</v>
      </c>
      <c r="F353" s="41">
        <v>306.94924234246605</v>
      </c>
      <c r="G353" s="41">
        <v>243.87597136986307</v>
      </c>
      <c r="H353" s="41">
        <v>291.32812499999949</v>
      </c>
      <c r="I353" s="41">
        <v>242.83025599999999</v>
      </c>
      <c r="J353" s="41">
        <v>289.040475952512</v>
      </c>
      <c r="K353" s="41">
        <v>291.10542053972642</v>
      </c>
      <c r="L353" s="41">
        <v>31.754031254795674</v>
      </c>
      <c r="M353" s="41">
        <v>85.580680607163885</v>
      </c>
      <c r="N353" s="41">
        <v>14.733567884932897</v>
      </c>
      <c r="O353" s="41">
        <v>39.20791032286639</v>
      </c>
      <c r="P353" s="41">
        <v>-192.83714732824319</v>
      </c>
      <c r="Q353" s="41">
        <v>-424.07240248091671</v>
      </c>
      <c r="R353" s="41">
        <v>118.61326344657398</v>
      </c>
      <c r="S353" s="41">
        <v>-63.902692984419311</v>
      </c>
      <c r="T353" s="41">
        <v>-398.88213194520546</v>
      </c>
      <c r="U353" s="41">
        <v>-596.14211063474011</v>
      </c>
      <c r="V353" s="41">
        <v>-564.01560876712074</v>
      </c>
      <c r="W353" s="41">
        <v>-627.75127159259478</v>
      </c>
      <c r="X353" s="41">
        <v>-825.09972000000187</v>
      </c>
      <c r="Y353" s="41">
        <v>-666.30503230769045</v>
      </c>
      <c r="Z353" s="41">
        <v>-478.08893053151019</v>
      </c>
      <c r="AA353" s="41">
        <v>-410.89870257032402</v>
      </c>
      <c r="AB353" s="41">
        <v>-309.44176767123264</v>
      </c>
      <c r="AC353" s="41">
        <v>-404.9545650000004</v>
      </c>
      <c r="AD353" s="41">
        <v>-505.49142113753396</v>
      </c>
      <c r="AE353" s="41">
        <v>-292.54353276168484</v>
      </c>
      <c r="AF353" s="41">
        <v>-529.01522786259284</v>
      </c>
      <c r="AG353" s="41">
        <v>-152.53340599236435</v>
      </c>
      <c r="AH353" s="41">
        <v>-75.145915068492513</v>
      </c>
      <c r="AI353" s="41">
        <v>-78.182943732629752</v>
      </c>
      <c r="AJ353" s="41">
        <v>58.859730849314786</v>
      </c>
      <c r="AK353" s="41">
        <v>-26.032266781875084</v>
      </c>
      <c r="AL353" s="41">
        <v>-89.412002849320046</v>
      </c>
      <c r="AM353" s="41">
        <v>456.60135905677998</v>
      </c>
      <c r="AN353" s="41">
        <v>552.38069770992115</v>
      </c>
      <c r="AO353" s="41">
        <v>128.75760916030413</v>
      </c>
      <c r="AP353" s="41">
        <v>695.38104857939948</v>
      </c>
      <c r="AQ353" s="41">
        <v>725.67056033659344</v>
      </c>
      <c r="AR353" s="41">
        <v>647.52501514958897</v>
      </c>
      <c r="AS353" s="41">
        <v>-420.30625042873396</v>
      </c>
      <c r="AT353" s="41">
        <v>-548.75437742630027</v>
      </c>
      <c r="AU353" s="41">
        <v>-91.153397107653078</v>
      </c>
      <c r="AV353" s="211">
        <v>170.67038009615499</v>
      </c>
      <c r="AW353" s="41">
        <v>159.01498450262702</v>
      </c>
      <c r="AX353" s="41">
        <v>164.64301026652248</v>
      </c>
      <c r="AY353" s="41">
        <v>168.21618386370289</v>
      </c>
      <c r="AZ353" s="41">
        <v>169.5457322347996</v>
      </c>
      <c r="BA353" s="41">
        <v>172.55953008364</v>
      </c>
      <c r="BB353" s="41">
        <v>174.01480536109815</v>
      </c>
      <c r="BC353" s="41">
        <v>177.88340922118297</v>
      </c>
      <c r="BD353" s="41">
        <v>180.57953974531827</v>
      </c>
      <c r="BE353" s="41">
        <v>183.83028179179109</v>
      </c>
      <c r="BF353" s="41">
        <v>186.63839095858441</v>
      </c>
      <c r="BG353" s="41">
        <v>191.06569180963311</v>
      </c>
      <c r="BH353" s="41">
        <v>193.47791058533474</v>
      </c>
      <c r="BI353" s="41">
        <v>198.09137557306261</v>
      </c>
      <c r="BJ353" s="41">
        <v>200.77530996655722</v>
      </c>
      <c r="BK353" s="41">
        <v>206.07193366471978</v>
      </c>
      <c r="BL353" s="41">
        <v>209.9495250774666</v>
      </c>
      <c r="BM353" s="41">
        <v>214.49459923017935</v>
      </c>
      <c r="BN353" s="41">
        <v>217.28062886227502</v>
      </c>
      <c r="BO353" s="41">
        <v>220.65922325612252</v>
      </c>
      <c r="BP353" s="41"/>
      <c r="BQ353" s="41">
        <v>-889.79360000000031</v>
      </c>
      <c r="BR353" s="41">
        <v>305.66622499999949</v>
      </c>
      <c r="BS353" s="41">
        <v>199.37472750000006</v>
      </c>
      <c r="BT353" s="41">
        <v>-91.623608333332868</v>
      </c>
      <c r="BU353" s="41">
        <v>-20.246585000001232</v>
      </c>
      <c r="BV353" s="41">
        <v>337.08419733333358</v>
      </c>
      <c r="BW353" s="41">
        <v>569.69249999999965</v>
      </c>
      <c r="BX353" s="41">
        <v>225.9237194999987</v>
      </c>
      <c r="BY353" s="41">
        <v>236.24800230769233</v>
      </c>
      <c r="BZ353" s="41">
        <v>211.01023999999916</v>
      </c>
      <c r="CA353" s="41">
        <v>645.98089961369737</v>
      </c>
      <c r="CB353" s="41">
        <v>550.82521371232906</v>
      </c>
      <c r="CC353" s="41">
        <v>534.15838099999951</v>
      </c>
      <c r="CD353" s="41">
        <v>580.14589649223842</v>
      </c>
      <c r="CE353" s="41">
        <v>117.33471186195956</v>
      </c>
      <c r="CF353" s="41">
        <v>53.941478207799285</v>
      </c>
      <c r="CG353" s="41">
        <v>-616.9095498091599</v>
      </c>
      <c r="CH353" s="41">
        <v>54.710570462154671</v>
      </c>
      <c r="CI353" s="41">
        <v>-995.02424257994562</v>
      </c>
      <c r="CJ353" s="41">
        <v>-1191.7668803597155</v>
      </c>
      <c r="CK353" s="41">
        <v>-1491.4047523076924</v>
      </c>
      <c r="CL353" s="41">
        <v>-888.98763310183426</v>
      </c>
      <c r="CM353" s="41">
        <v>-714.39633267123304</v>
      </c>
      <c r="CN353" s="41">
        <v>-798.03495389921886</v>
      </c>
      <c r="CO353" s="41">
        <v>-681.54863385495719</v>
      </c>
      <c r="CP353" s="41">
        <v>-153.32885880112227</v>
      </c>
      <c r="CQ353" s="41">
        <v>32.827464067439706</v>
      </c>
      <c r="CR353" s="41">
        <v>367.18935620745992</v>
      </c>
      <c r="CS353" s="41">
        <v>681.13830687022528</v>
      </c>
      <c r="CT353" s="41">
        <v>1421.0516089159928</v>
      </c>
      <c r="CU353" s="41">
        <v>227.21876472085501</v>
      </c>
      <c r="CV353" s="211">
        <v>-639.90777453395333</v>
      </c>
      <c r="CW353" s="41">
        <v>329.68536459878203</v>
      </c>
      <c r="CX353" s="41">
        <v>332.85919413022538</v>
      </c>
      <c r="CY353" s="41">
        <v>342.1052623184396</v>
      </c>
      <c r="CZ353" s="41">
        <v>351.89821458228113</v>
      </c>
      <c r="DA353" s="41">
        <v>364.40982153710934</v>
      </c>
      <c r="DB353" s="41">
        <v>377.70408276821752</v>
      </c>
      <c r="DC353" s="41">
        <v>391.56928615839735</v>
      </c>
      <c r="DD353" s="41">
        <v>406.84724363127702</v>
      </c>
      <c r="DE353" s="41">
        <v>424.44412430764595</v>
      </c>
      <c r="DF353" s="41">
        <v>437.93985211839754</v>
      </c>
    </row>
    <row r="354" spans="1:110" s="17" customFormat="1" ht="12" outlineLevel="1">
      <c r="A354" s="1" t="s">
        <v>134</v>
      </c>
      <c r="B354" s="17" t="s">
        <v>472</v>
      </c>
      <c r="C354" s="62">
        <v>1397.6466942109589</v>
      </c>
      <c r="D354" s="62">
        <v>1278.2975638356165</v>
      </c>
      <c r="E354" s="62">
        <v>1009.8479524931496</v>
      </c>
      <c r="F354" s="62">
        <v>1202.1218887159816</v>
      </c>
      <c r="G354" s="62">
        <v>1243.4473863698622</v>
      </c>
      <c r="H354" s="62">
        <v>1123.6112499999997</v>
      </c>
      <c r="I354" s="62">
        <v>1415.9180399999991</v>
      </c>
      <c r="J354" s="62">
        <v>2287.2417494812798</v>
      </c>
      <c r="K354" s="62">
        <v>2579.7881418684942</v>
      </c>
      <c r="L354" s="62">
        <v>2505.1586901479459</v>
      </c>
      <c r="M354" s="62">
        <v>2300.0858220016767</v>
      </c>
      <c r="N354" s="62">
        <v>2220.8261386794557</v>
      </c>
      <c r="O354" s="62">
        <v>2390.7960285205472</v>
      </c>
      <c r="P354" s="62">
        <v>1716.2638841221412</v>
      </c>
      <c r="Q354" s="62">
        <v>1607.3464555725163</v>
      </c>
      <c r="R354" s="62">
        <v>5502.1061577041073</v>
      </c>
      <c r="S354" s="62">
        <v>4735.9932774989038</v>
      </c>
      <c r="T354" s="62">
        <v>3587.7750101917763</v>
      </c>
      <c r="U354" s="62">
        <v>3482.5732183415239</v>
      </c>
      <c r="V354" s="62">
        <v>3664.4359106849511</v>
      </c>
      <c r="W354" s="62">
        <v>3669.2691446282547</v>
      </c>
      <c r="X354" s="62">
        <v>3965.0687676922998</v>
      </c>
      <c r="Y354" s="62">
        <v>5232.6809300000059</v>
      </c>
      <c r="Z354" s="62">
        <v>5754.5630762520441</v>
      </c>
      <c r="AA354" s="62">
        <v>6053.009666828395</v>
      </c>
      <c r="AB354" s="62">
        <v>6193.7263561643731</v>
      </c>
      <c r="AC354" s="62">
        <v>6224.7602921232883</v>
      </c>
      <c r="AD354" s="62">
        <v>6291.8146222772548</v>
      </c>
      <c r="AE354" s="62">
        <v>7189.3637779838982</v>
      </c>
      <c r="AF354" s="62">
        <v>6793.6916011450494</v>
      </c>
      <c r="AG354" s="62">
        <v>7756.1573123091666</v>
      </c>
      <c r="AH354" s="62">
        <v>7853.3471410235616</v>
      </c>
      <c r="AI354" s="62">
        <v>8198.1544312485203</v>
      </c>
      <c r="AJ354" s="62">
        <v>8046.9367040000016</v>
      </c>
      <c r="AK354" s="62">
        <v>7614.2198422486836</v>
      </c>
      <c r="AL354" s="62">
        <v>8031.0989825753268</v>
      </c>
      <c r="AM354" s="62">
        <v>9935.4812145811993</v>
      </c>
      <c r="AN354" s="62">
        <v>10242.282621755719</v>
      </c>
      <c r="AO354" s="62">
        <v>10143.677122137404</v>
      </c>
      <c r="AP354" s="62">
        <v>9731.5219696093336</v>
      </c>
      <c r="AQ354" s="62">
        <v>9482.7229499510759</v>
      </c>
      <c r="AR354" s="62">
        <v>9318.1064201556183</v>
      </c>
      <c r="AS354" s="62">
        <v>5996.2648678092637</v>
      </c>
      <c r="AT354" s="62">
        <v>6892.0058380471237</v>
      </c>
      <c r="AU354" s="62">
        <v>7086.1395086980956</v>
      </c>
      <c r="AV354" s="220">
        <v>7772.7078910576938</v>
      </c>
      <c r="AW354" s="62">
        <v>8126.0700976828966</v>
      </c>
      <c r="AX354" s="62">
        <v>8758.48508518571</v>
      </c>
      <c r="AY354" s="62">
        <v>9060.7561042036614</v>
      </c>
      <c r="AZ354" s="62">
        <v>9163.38001102202</v>
      </c>
      <c r="BA354" s="62">
        <v>9319.7280260244443</v>
      </c>
      <c r="BB354" s="62">
        <v>9374.729498857374</v>
      </c>
      <c r="BC354" s="62">
        <v>9503.0076840702859</v>
      </c>
      <c r="BD354" s="62">
        <v>9626.4535685687624</v>
      </c>
      <c r="BE354" s="62">
        <v>9778.8582684902503</v>
      </c>
      <c r="BF354" s="62">
        <v>9927.708680791302</v>
      </c>
      <c r="BG354" s="62">
        <v>10162.7456428196</v>
      </c>
      <c r="BH354" s="62">
        <v>10290.663217624195</v>
      </c>
      <c r="BI354" s="62">
        <v>10535.726283080085</v>
      </c>
      <c r="BJ354" s="62">
        <v>10679.239936584012</v>
      </c>
      <c r="BK354" s="62">
        <v>10963.868363812888</v>
      </c>
      <c r="BL354" s="62">
        <v>11174.20896212042</v>
      </c>
      <c r="BM354" s="62">
        <v>11420.285151709926</v>
      </c>
      <c r="BN354" s="62">
        <v>11570.723564371021</v>
      </c>
      <c r="BO354" s="62">
        <v>11750.641958256574</v>
      </c>
      <c r="BP354" s="62"/>
      <c r="BQ354" s="62">
        <v>1278.7754749999983</v>
      </c>
      <c r="BR354" s="62">
        <v>2527.4646249999987</v>
      </c>
      <c r="BS354" s="62">
        <v>2227.6430974999998</v>
      </c>
      <c r="BT354" s="62">
        <v>1363.1556000000003</v>
      </c>
      <c r="BU354" s="62">
        <v>1963.6483216666645</v>
      </c>
      <c r="BV354" s="62">
        <v>3014.4346143333341</v>
      </c>
      <c r="BW354" s="62">
        <v>3444.7699999999986</v>
      </c>
      <c r="BX354" s="62">
        <v>2829.1804617499984</v>
      </c>
      <c r="BY354" s="62">
        <v>2305.3295361538476</v>
      </c>
      <c r="BZ354" s="62">
        <v>2728.0648299999948</v>
      </c>
      <c r="CA354" s="62">
        <v>2288.145516328766</v>
      </c>
      <c r="CB354" s="62">
        <v>2445.5692750858439</v>
      </c>
      <c r="CC354" s="62">
        <v>2539.5292899999986</v>
      </c>
      <c r="CD354" s="62">
        <v>4867.0298913497736</v>
      </c>
      <c r="CE354" s="62">
        <v>4805.2445121496221</v>
      </c>
      <c r="CF354" s="62">
        <v>4611.6221672000029</v>
      </c>
      <c r="CG354" s="62">
        <v>3323.6103396946573</v>
      </c>
      <c r="CH354" s="62">
        <v>10238.09943520301</v>
      </c>
      <c r="CI354" s="62">
        <v>7070.3482285333002</v>
      </c>
      <c r="CJ354" s="62">
        <v>7333.7050553132058</v>
      </c>
      <c r="CK354" s="62">
        <v>9197.7496976923067</v>
      </c>
      <c r="CL354" s="62">
        <v>11807.57274308044</v>
      </c>
      <c r="CM354" s="62">
        <v>12418.486648287661</v>
      </c>
      <c r="CN354" s="62">
        <v>13481.178400261153</v>
      </c>
      <c r="CO354" s="62">
        <v>14549.848913454216</v>
      </c>
      <c r="CP354" s="62">
        <v>16051.501572272082</v>
      </c>
      <c r="CQ354" s="62">
        <v>15661.156546248685</v>
      </c>
      <c r="CR354" s="62">
        <v>17966.580197156527</v>
      </c>
      <c r="CS354" s="62">
        <v>20385.959743893123</v>
      </c>
      <c r="CT354" s="62">
        <v>19214.244919560409</v>
      </c>
      <c r="CU354" s="62">
        <v>15314.371287964881</v>
      </c>
      <c r="CV354" s="220">
        <v>13978.145346745219</v>
      </c>
      <c r="CW354" s="62">
        <v>15898.77798874059</v>
      </c>
      <c r="CX354" s="62">
        <v>17819.241189389373</v>
      </c>
      <c r="CY354" s="62">
        <v>18483.108037046462</v>
      </c>
      <c r="CZ354" s="62">
        <v>18877.73718292766</v>
      </c>
      <c r="DA354" s="62">
        <v>19405.311837059013</v>
      </c>
      <c r="DB354" s="62">
        <v>20090.454323610902</v>
      </c>
      <c r="DC354" s="62">
        <v>20826.389500704281</v>
      </c>
      <c r="DD354" s="62">
        <v>21643.1083003969</v>
      </c>
      <c r="DE354" s="62">
        <v>22594.494113830347</v>
      </c>
      <c r="DF354" s="62">
        <v>23321.365522627595</v>
      </c>
    </row>
    <row r="355" spans="1:110" ht="12" outlineLevel="1">
      <c r="C355" s="41"/>
      <c r="D355" s="41"/>
      <c r="E355" s="41"/>
      <c r="F355" s="41"/>
      <c r="G355" s="41"/>
      <c r="H355" s="41"/>
      <c r="I355" s="41"/>
      <c r="J355" s="41"/>
      <c r="K355" s="41"/>
      <c r="L355" s="41"/>
      <c r="M355" s="41"/>
      <c r="N355" s="41"/>
      <c r="O355" s="41"/>
      <c r="P355" s="41"/>
      <c r="Q355" s="41"/>
      <c r="R355" s="41"/>
      <c r="S355" s="41"/>
      <c r="T355" s="41"/>
      <c r="U355" s="41"/>
      <c r="V355" s="41"/>
      <c r="W355" s="41"/>
      <c r="X355" s="41"/>
      <c r="Y355" s="41"/>
      <c r="Z355" s="41"/>
      <c r="AA355" s="41"/>
      <c r="AB355" s="41"/>
      <c r="AC355" s="41"/>
      <c r="AD355" s="41"/>
      <c r="AE355" s="41"/>
      <c r="AF355" s="41"/>
      <c r="AG355" s="41"/>
      <c r="AH355" s="41"/>
      <c r="AI355" s="41"/>
      <c r="AJ355" s="41"/>
      <c r="AK355" s="41"/>
      <c r="AL355" s="41"/>
      <c r="AM355" s="41"/>
      <c r="AN355" s="41"/>
      <c r="AO355" s="41"/>
      <c r="AP355" s="41"/>
      <c r="AQ355" s="41"/>
      <c r="AR355" s="41"/>
      <c r="AS355" s="41"/>
      <c r="AT355" s="41"/>
      <c r="AU355" s="41"/>
      <c r="AV355" s="211"/>
      <c r="AW355" s="41"/>
      <c r="AX355" s="41"/>
      <c r="AY355" s="41"/>
      <c r="AZ355" s="41"/>
      <c r="BA355" s="41"/>
      <c r="BB355" s="41"/>
      <c r="BC355" s="41"/>
      <c r="BD355" s="41"/>
      <c r="BE355" s="41"/>
      <c r="BF355" s="41"/>
      <c r="BG355" s="41"/>
      <c r="BH355" s="41"/>
      <c r="BI355" s="41"/>
      <c r="BJ355" s="41"/>
      <c r="BK355" s="41"/>
      <c r="BL355" s="41"/>
      <c r="BM355" s="41"/>
      <c r="BN355" s="41"/>
      <c r="BO355" s="41"/>
      <c r="BP355" s="41"/>
      <c r="BQ355" s="41"/>
      <c r="BR355" s="41"/>
      <c r="BS355" s="41"/>
      <c r="BT355" s="41"/>
      <c r="BU355" s="41"/>
      <c r="BV355" s="41"/>
      <c r="BW355" s="41"/>
      <c r="BX355" s="41"/>
      <c r="BY355" s="41"/>
      <c r="BZ355" s="41"/>
      <c r="CA355" s="41"/>
      <c r="CB355" s="41"/>
      <c r="CC355" s="41"/>
      <c r="CD355" s="41"/>
      <c r="CE355" s="41"/>
      <c r="CF355" s="41"/>
      <c r="CG355" s="41"/>
      <c r="CH355" s="41"/>
      <c r="CI355" s="41"/>
      <c r="CJ355" s="41"/>
      <c r="CK355" s="41"/>
      <c r="CL355" s="41"/>
      <c r="CM355" s="41"/>
      <c r="CN355" s="41"/>
      <c r="CO355" s="41"/>
      <c r="CP355" s="41"/>
      <c r="CQ355" s="41"/>
      <c r="CR355" s="41"/>
      <c r="CS355" s="41"/>
      <c r="CT355" s="41"/>
      <c r="CU355" s="41"/>
      <c r="CV355" s="211"/>
      <c r="CW355" s="41"/>
      <c r="CX355" s="41"/>
      <c r="CY355" s="41"/>
      <c r="CZ355" s="41"/>
      <c r="DA355" s="41"/>
      <c r="DB355" s="41"/>
      <c r="DC355" s="41"/>
      <c r="DD355" s="41"/>
      <c r="DE355" s="41"/>
      <c r="DF355" s="41"/>
    </row>
    <row r="356" spans="1:110" s="17" customFormat="1" ht="12" outlineLevel="1">
      <c r="A356" s="15"/>
      <c r="B356" s="17" t="s">
        <v>591</v>
      </c>
      <c r="C356" s="62"/>
      <c r="D356" s="62"/>
      <c r="E356" s="62"/>
      <c r="F356" s="62"/>
      <c r="G356" s="62"/>
      <c r="H356" s="62"/>
      <c r="I356" s="62"/>
      <c r="J356" s="62"/>
      <c r="K356" s="62"/>
      <c r="L356" s="62"/>
      <c r="M356" s="62"/>
      <c r="N356" s="62"/>
      <c r="O356" s="62"/>
      <c r="P356" s="62"/>
      <c r="Q356" s="62"/>
      <c r="R356" s="62"/>
      <c r="S356" s="62"/>
      <c r="T356" s="62"/>
      <c r="U356" s="62"/>
      <c r="V356" s="62"/>
      <c r="W356" s="62"/>
      <c r="X356" s="62"/>
      <c r="Y356" s="62"/>
      <c r="Z356" s="62"/>
      <c r="AA356" s="62"/>
      <c r="AB356" s="62"/>
      <c r="AC356" s="62"/>
      <c r="AD356" s="62"/>
      <c r="AE356" s="62"/>
      <c r="AF356" s="62"/>
      <c r="AG356" s="62"/>
      <c r="AH356" s="62"/>
      <c r="AI356" s="62"/>
      <c r="AJ356" s="62"/>
      <c r="AK356" s="62"/>
      <c r="AL356" s="62"/>
      <c r="AM356" s="62"/>
      <c r="AN356" s="62"/>
      <c r="AO356" s="62"/>
      <c r="AP356" s="62"/>
      <c r="AQ356" s="62"/>
      <c r="AR356" s="62"/>
      <c r="AS356" s="62"/>
      <c r="AT356" s="62"/>
      <c r="AU356" s="62"/>
      <c r="AV356" s="220"/>
      <c r="AW356" s="62"/>
      <c r="AX356" s="62"/>
      <c r="AY356" s="62"/>
      <c r="AZ356" s="62"/>
      <c r="BA356" s="62"/>
      <c r="BB356" s="62"/>
      <c r="BC356" s="62"/>
      <c r="BD356" s="62"/>
      <c r="BE356" s="62"/>
      <c r="BF356" s="62"/>
      <c r="BG356" s="62"/>
      <c r="BH356" s="62"/>
      <c r="BI356" s="62"/>
      <c r="BJ356" s="62"/>
      <c r="BK356" s="62"/>
      <c r="BL356" s="62"/>
      <c r="BM356" s="62"/>
      <c r="BN356" s="62"/>
      <c r="BO356" s="62"/>
      <c r="BP356" s="62"/>
      <c r="BQ356" s="62"/>
      <c r="BR356" s="62"/>
      <c r="BS356" s="62"/>
      <c r="BT356" s="62"/>
      <c r="BU356" s="62"/>
      <c r="BV356" s="62"/>
      <c r="BW356" s="62"/>
      <c r="BX356" s="62"/>
      <c r="BY356" s="62"/>
      <c r="BZ356" s="62"/>
      <c r="CA356" s="62"/>
      <c r="CB356" s="62"/>
      <c r="CC356" s="62"/>
      <c r="CD356" s="62"/>
      <c r="CE356" s="62"/>
      <c r="CF356" s="62"/>
      <c r="CG356" s="62"/>
      <c r="CH356" s="62"/>
      <c r="CI356" s="62"/>
      <c r="CJ356" s="62"/>
      <c r="CK356" s="62"/>
      <c r="CL356" s="62"/>
      <c r="CM356" s="62"/>
      <c r="CN356" s="62"/>
      <c r="CO356" s="62"/>
      <c r="CP356" s="62"/>
      <c r="CQ356" s="62"/>
      <c r="CR356" s="62"/>
      <c r="CS356" s="62"/>
      <c r="CT356" s="62"/>
      <c r="CU356" s="62"/>
      <c r="CV356" s="220"/>
      <c r="CW356" s="62"/>
      <c r="CX356" s="62"/>
      <c r="CY356" s="62"/>
      <c r="CZ356" s="62"/>
      <c r="DA356" s="62"/>
      <c r="DB356" s="62"/>
      <c r="DC356" s="62"/>
      <c r="DD356" s="62"/>
      <c r="DE356" s="62"/>
      <c r="DF356" s="62"/>
    </row>
    <row r="357" spans="1:110" ht="12" outlineLevel="1">
      <c r="A357" s="1" t="s">
        <v>135</v>
      </c>
      <c r="B357" s="15" t="s">
        <v>592</v>
      </c>
      <c r="C357" s="41">
        <v>844.86660511917796</v>
      </c>
      <c r="D357" s="41">
        <v>810.28893150684917</v>
      </c>
      <c r="E357" s="41">
        <v>967.29672196849322</v>
      </c>
      <c r="F357" s="41">
        <v>1007.1489580082192</v>
      </c>
      <c r="G357" s="41">
        <v>1027.2608360958907</v>
      </c>
      <c r="H357" s="41">
        <v>1258.6916666666666</v>
      </c>
      <c r="I357" s="41">
        <v>1296.32304</v>
      </c>
      <c r="J357" s="41">
        <v>1397.9371503232874</v>
      </c>
      <c r="K357" s="41">
        <v>1524.7019917698628</v>
      </c>
      <c r="L357" s="41">
        <v>548.70249179178074</v>
      </c>
      <c r="M357" s="41">
        <v>627.54266557681922</v>
      </c>
      <c r="N357" s="41">
        <v>674.013446564383</v>
      </c>
      <c r="O357" s="41">
        <v>739.74873586807189</v>
      </c>
      <c r="P357" s="41">
        <v>938.67227076335803</v>
      </c>
      <c r="Q357" s="41">
        <v>912.0062512595423</v>
      </c>
      <c r="R357" s="41">
        <v>356.48740380273995</v>
      </c>
      <c r="S357" s="41">
        <v>345.67511434215157</v>
      </c>
      <c r="T357" s="41">
        <v>526.1265852054803</v>
      </c>
      <c r="U357" s="41">
        <v>572.6855082087211</v>
      </c>
      <c r="V357" s="41">
        <v>535.82885589040666</v>
      </c>
      <c r="W357" s="41">
        <v>485.60271124960809</v>
      </c>
      <c r="X357" s="41">
        <v>398.59049000000158</v>
      </c>
      <c r="Y357" s="41">
        <v>161.84261461538364</v>
      </c>
      <c r="Z357" s="41">
        <v>86.557561282193959</v>
      </c>
      <c r="AA357" s="41">
        <v>318.33977491582272</v>
      </c>
      <c r="AB357" s="41">
        <v>297.88289561644046</v>
      </c>
      <c r="AC357" s="41">
        <v>316.45232280821898</v>
      </c>
      <c r="AD357" s="41">
        <v>195.61672620034773</v>
      </c>
      <c r="AE357" s="41">
        <v>84.934595081812972</v>
      </c>
      <c r="AF357" s="41">
        <v>284.6276234448066</v>
      </c>
      <c r="AG357" s="41">
        <v>190.65423889904616</v>
      </c>
      <c r="AH357" s="41">
        <v>201.42390113561075</v>
      </c>
      <c r="AI357" s="41">
        <v>239.65497268427436</v>
      </c>
      <c r="AJ357" s="41">
        <v>188.71821221747939</v>
      </c>
      <c r="AK357" s="41">
        <v>372.1903551434404</v>
      </c>
      <c r="AL357" s="41">
        <v>296.36447853345692</v>
      </c>
      <c r="AM357" s="41">
        <v>-211.1324008799813</v>
      </c>
      <c r="AN357" s="41">
        <v>-350.34356465953152</v>
      </c>
      <c r="AO357" s="41">
        <v>-828.10737954918397</v>
      </c>
      <c r="AP357" s="41">
        <v>-826.24107823682016</v>
      </c>
      <c r="AQ357" s="41">
        <v>-779.35676207214374</v>
      </c>
      <c r="AR357" s="41">
        <v>-757.05099094743355</v>
      </c>
      <c r="AS357" s="41">
        <v>808.03865529237191</v>
      </c>
      <c r="AT357" s="41">
        <v>1071.550430343872</v>
      </c>
      <c r="AU357" s="41">
        <v>940.08002185282783</v>
      </c>
      <c r="AV357" s="211">
        <v>676.83160677826277</v>
      </c>
      <c r="AW357" s="41">
        <v>814.64368698647502</v>
      </c>
      <c r="AX357" s="41">
        <v>940.24345787108587</v>
      </c>
      <c r="AY357" s="41">
        <v>967.48590102508604</v>
      </c>
      <c r="AZ357" s="41">
        <v>985.2057109202417</v>
      </c>
      <c r="BA357" s="41">
        <v>1010.1394529209307</v>
      </c>
      <c r="BB357" s="41">
        <v>1024.0941755237775</v>
      </c>
      <c r="BC357" s="41">
        <v>1049.6868255626227</v>
      </c>
      <c r="BD357" s="41">
        <v>1067.1207322538005</v>
      </c>
      <c r="BE357" s="41">
        <v>1087.8210839758581</v>
      </c>
      <c r="BF357" s="41">
        <v>1105.8896335660274</v>
      </c>
      <c r="BG357" s="41">
        <v>1133.546042970398</v>
      </c>
      <c r="BH357" s="41">
        <v>1149.2354643623087</v>
      </c>
      <c r="BI357" s="41">
        <v>1177.9860727395701</v>
      </c>
      <c r="BJ357" s="41">
        <v>1194.3009189841407</v>
      </c>
      <c r="BK357" s="41">
        <v>1224.1895204984301</v>
      </c>
      <c r="BL357" s="41">
        <v>1244.5647657393229</v>
      </c>
      <c r="BM357" s="41">
        <v>1268.7511298894142</v>
      </c>
      <c r="BN357" s="41">
        <v>1283.8398217501697</v>
      </c>
      <c r="BO357" s="41">
        <v>1303.8028255718891</v>
      </c>
      <c r="BP357" s="41"/>
      <c r="BQ357" s="41"/>
      <c r="BR357" s="41"/>
      <c r="BS357" s="41"/>
      <c r="BT357" s="41"/>
      <c r="BU357" s="41"/>
      <c r="BV357" s="41"/>
      <c r="BW357" s="41"/>
      <c r="BX357" s="41"/>
      <c r="BY357" s="41"/>
      <c r="BZ357" s="41"/>
      <c r="CA357" s="41">
        <v>1777.5856534753425</v>
      </c>
      <c r="CB357" s="41">
        <v>2034.40979410411</v>
      </c>
      <c r="CC357" s="41">
        <v>2555.0147066666668</v>
      </c>
      <c r="CD357" s="41">
        <v>2922.6391420931504</v>
      </c>
      <c r="CE357" s="41">
        <v>1176.2451573685998</v>
      </c>
      <c r="CF357" s="41">
        <v>1413.7621824324549</v>
      </c>
      <c r="CG357" s="41">
        <v>1850.6785220229003</v>
      </c>
      <c r="CH357" s="41">
        <v>702.16251814489146</v>
      </c>
      <c r="CI357" s="41">
        <v>1098.8120934142014</v>
      </c>
      <c r="CJ357" s="41">
        <v>1021.4315671400147</v>
      </c>
      <c r="CK357" s="41">
        <v>560.43310461538522</v>
      </c>
      <c r="CL357" s="41">
        <v>404.89733619801666</v>
      </c>
      <c r="CM357" s="41">
        <v>614.33521842465939</v>
      </c>
      <c r="CN357" s="41">
        <v>280.5513212821607</v>
      </c>
      <c r="CO357" s="41">
        <v>475.28186234385277</v>
      </c>
      <c r="CP357" s="41">
        <v>441.07887381988508</v>
      </c>
      <c r="CQ357" s="41">
        <v>560.90856736091973</v>
      </c>
      <c r="CR357" s="41">
        <v>85.232077653475613</v>
      </c>
      <c r="CS357" s="41">
        <v>-1178.4509442087156</v>
      </c>
      <c r="CT357" s="41">
        <v>-1605.5978403089639</v>
      </c>
      <c r="CU357" s="41">
        <v>50.987664344938366</v>
      </c>
      <c r="CV357" s="211">
        <v>2011.6304521966999</v>
      </c>
      <c r="CW357" s="41">
        <v>1491.4752937647377</v>
      </c>
      <c r="CX357" s="41">
        <v>1907.729358896172</v>
      </c>
      <c r="CY357" s="41">
        <v>1995.3451638411725</v>
      </c>
      <c r="CZ357" s="41">
        <v>2073.7810010864005</v>
      </c>
      <c r="DA357" s="41">
        <v>2154.9418162296588</v>
      </c>
      <c r="DB357" s="41">
        <v>2239.4356765364255</v>
      </c>
      <c r="DC357" s="41">
        <v>2327.2215371018788</v>
      </c>
      <c r="DD357" s="41">
        <v>2418.4904394825708</v>
      </c>
      <c r="DE357" s="41">
        <v>2513.3158956287371</v>
      </c>
      <c r="DF357" s="41">
        <v>2587.642647322059</v>
      </c>
    </row>
    <row r="358" spans="1:110" ht="12" outlineLevel="1">
      <c r="A358" s="1" t="s">
        <v>136</v>
      </c>
      <c r="B358" s="15" t="s">
        <v>473</v>
      </c>
      <c r="C358" s="41">
        <v>450.3487918465753</v>
      </c>
      <c r="D358" s="41">
        <v>420.93860027397255</v>
      </c>
      <c r="E358" s="41">
        <v>544.46405220000008</v>
      </c>
      <c r="F358" s="41">
        <v>582.86649367397263</v>
      </c>
      <c r="G358" s="41">
        <v>626.73185294520556</v>
      </c>
      <c r="H358" s="41">
        <v>791.54020833333334</v>
      </c>
      <c r="I358" s="41">
        <v>895.91056800000001</v>
      </c>
      <c r="J358" s="41">
        <v>1074.8442520091321</v>
      </c>
      <c r="K358" s="41">
        <v>1139.0126855178082</v>
      </c>
      <c r="L358" s="41">
        <v>10.20618841643847</v>
      </c>
      <c r="M358" s="41">
        <v>47.010159646365864</v>
      </c>
      <c r="N358" s="41">
        <v>50.88266303561624</v>
      </c>
      <c r="O358" s="41">
        <v>54.79346099599595</v>
      </c>
      <c r="P358" s="41">
        <v>141.58239091602971</v>
      </c>
      <c r="Q358" s="41">
        <v>10.694699923664468</v>
      </c>
      <c r="R358" s="41">
        <v>-726.86412624657464</v>
      </c>
      <c r="S358" s="41">
        <v>-319.65173534162943</v>
      </c>
      <c r="T358" s="41">
        <v>-186.06793731506752</v>
      </c>
      <c r="U358" s="41">
        <v>-238.5525345602843</v>
      </c>
      <c r="V358" s="41">
        <v>-343.03172219178686</v>
      </c>
      <c r="W358" s="41">
        <v>-406.70704097040652</v>
      </c>
      <c r="X358" s="41">
        <v>-534.86248769230565</v>
      </c>
      <c r="Y358" s="41">
        <v>-806.57608923077055</v>
      </c>
      <c r="Z358" s="41">
        <v>-724.42685416986035</v>
      </c>
      <c r="AA358" s="41">
        <v>-618.66775130189137</v>
      </c>
      <c r="AB358" s="41">
        <v>-481.73966164383302</v>
      </c>
      <c r="AC358" s="41">
        <v>-369.21842917808283</v>
      </c>
      <c r="AD358" s="41">
        <v>-343.35685720497139</v>
      </c>
      <c r="AE358" s="41">
        <v>-407.18826388863346</v>
      </c>
      <c r="AF358" s="41">
        <v>-319.90352558729671</v>
      </c>
      <c r="AG358" s="41">
        <v>-472.98965046016343</v>
      </c>
      <c r="AH358" s="41">
        <v>-569.33319902382686</v>
      </c>
      <c r="AI358" s="41">
        <v>-675.54696885698752</v>
      </c>
      <c r="AJ358" s="41">
        <v>-652.799460156294</v>
      </c>
      <c r="AK358" s="41">
        <v>-631.57634916382642</v>
      </c>
      <c r="AL358" s="41">
        <v>-722.8771297072841</v>
      </c>
      <c r="AM358" s="41">
        <v>-1024.1702183124271</v>
      </c>
      <c r="AN358" s="41">
        <v>-909.40360579374442</v>
      </c>
      <c r="AO358" s="41">
        <v>-802.30175059635849</v>
      </c>
      <c r="AP358" s="41">
        <v>-600.4395299618011</v>
      </c>
      <c r="AQ358" s="41">
        <v>-508.49819011680307</v>
      </c>
      <c r="AR358" s="41">
        <v>-445.10648986479941</v>
      </c>
      <c r="AS358" s="41">
        <v>-198.20663075506451</v>
      </c>
      <c r="AT358" s="41">
        <v>-442.00831695861564</v>
      </c>
      <c r="AU358" s="41">
        <v>-663.57391605076668</v>
      </c>
      <c r="AV358" s="211">
        <v>-822.99608333893605</v>
      </c>
      <c r="AW358" s="41">
        <v>-903.19927136160356</v>
      </c>
      <c r="AX358" s="41">
        <v>-988.53237774424099</v>
      </c>
      <c r="AY358" s="41">
        <v>-942.29886036379196</v>
      </c>
      <c r="AZ358" s="41">
        <v>-921.43414386458414</v>
      </c>
      <c r="BA358" s="41">
        <v>-944.75394495697276</v>
      </c>
      <c r="BB358" s="41">
        <v>-977.61940661656308</v>
      </c>
      <c r="BC358" s="41">
        <v>-1022.3598074334099</v>
      </c>
      <c r="BD358" s="41">
        <v>-1039.3398485785876</v>
      </c>
      <c r="BE358" s="41">
        <v>-1059.5012977698962</v>
      </c>
      <c r="BF358" s="41">
        <v>-1077.0994598404791</v>
      </c>
      <c r="BG358" s="41">
        <v>-1104.0358762119015</v>
      </c>
      <c r="BH358" s="41">
        <v>-1119.3168471094625</v>
      </c>
      <c r="BI358" s="41">
        <v>-1147.3189766288222</v>
      </c>
      <c r="BJ358" s="41">
        <v>-1163.2090903834317</v>
      </c>
      <c r="BK358" s="41">
        <v>-1192.3195870996542</v>
      </c>
      <c r="BL358" s="41">
        <v>-1212.1643934681847</v>
      </c>
      <c r="BM358" s="41">
        <v>-1235.7211019957481</v>
      </c>
      <c r="BN358" s="41">
        <v>-1250.4169824522028</v>
      </c>
      <c r="BO358" s="41">
        <v>-1269.8602794870365</v>
      </c>
      <c r="BP358" s="41"/>
      <c r="BQ358" s="41"/>
      <c r="BR358" s="41"/>
      <c r="BS358" s="41"/>
      <c r="BT358" s="41"/>
      <c r="BU358" s="41"/>
      <c r="BV358" s="41"/>
      <c r="BW358" s="41"/>
      <c r="BX358" s="41"/>
      <c r="BY358" s="41"/>
      <c r="BZ358" s="41"/>
      <c r="CA358" s="41">
        <v>965.40265247397269</v>
      </c>
      <c r="CB358" s="41">
        <v>1209.5983466191783</v>
      </c>
      <c r="CC358" s="41">
        <v>1687.4507763333334</v>
      </c>
      <c r="CD358" s="41">
        <v>2213.8569375269403</v>
      </c>
      <c r="CE358" s="41">
        <v>57.216348062804336</v>
      </c>
      <c r="CF358" s="41">
        <v>105.67612403161219</v>
      </c>
      <c r="CG358" s="41">
        <v>152.27709083969418</v>
      </c>
      <c r="CH358" s="41">
        <v>-1046.5158615882042</v>
      </c>
      <c r="CI358" s="41">
        <v>-424.62047187535183</v>
      </c>
      <c r="CJ358" s="41">
        <v>-749.73876316219344</v>
      </c>
      <c r="CK358" s="41">
        <v>-1341.4385769230762</v>
      </c>
      <c r="CL358" s="41">
        <v>-1343.0946054717517</v>
      </c>
      <c r="CM358" s="41">
        <v>-850.9580908219159</v>
      </c>
      <c r="CN358" s="41">
        <v>-750.54512109360485</v>
      </c>
      <c r="CO358" s="41">
        <v>-792.8931760474602</v>
      </c>
      <c r="CP358" s="41">
        <v>-1244.8801678808145</v>
      </c>
      <c r="CQ358" s="41">
        <v>-1284.3758093201204</v>
      </c>
      <c r="CR358" s="41">
        <v>-1747.0473480197111</v>
      </c>
      <c r="CS358" s="41">
        <v>-1711.7053563901029</v>
      </c>
      <c r="CT358" s="41">
        <v>-1108.9377200786041</v>
      </c>
      <c r="CU358" s="41">
        <v>-643.31312061986387</v>
      </c>
      <c r="CV358" s="211">
        <v>-1105.5822330093824</v>
      </c>
      <c r="CW358" s="41">
        <v>-1726.1953547005396</v>
      </c>
      <c r="CX358" s="41">
        <v>-1930.8312381080329</v>
      </c>
      <c r="CY358" s="41">
        <v>-1866.1880888215569</v>
      </c>
      <c r="CZ358" s="41">
        <v>-1999.9792140499731</v>
      </c>
      <c r="DA358" s="41">
        <v>-2098.8411463484836</v>
      </c>
      <c r="DB358" s="41">
        <v>-2181.1353360523808</v>
      </c>
      <c r="DC358" s="41">
        <v>-2266.6358237382847</v>
      </c>
      <c r="DD358" s="41">
        <v>-2355.5286774830856</v>
      </c>
      <c r="DE358" s="41">
        <v>-2447.8854954639328</v>
      </c>
      <c r="DF358" s="41">
        <v>-2520.277261939239</v>
      </c>
    </row>
    <row r="359" spans="1:110" s="17" customFormat="1" ht="12" outlineLevel="1">
      <c r="A359" s="1" t="s">
        <v>137</v>
      </c>
      <c r="B359" s="17" t="s">
        <v>168</v>
      </c>
      <c r="C359" s="62">
        <v>1295.2153969657531</v>
      </c>
      <c r="D359" s="62">
        <v>1231.2275317808219</v>
      </c>
      <c r="E359" s="62">
        <v>1511.7607741684933</v>
      </c>
      <c r="F359" s="62">
        <v>1590.015451682192</v>
      </c>
      <c r="G359" s="62">
        <v>1653.9926890410964</v>
      </c>
      <c r="H359" s="62">
        <v>2050.2318749999999</v>
      </c>
      <c r="I359" s="62">
        <v>2192.233608</v>
      </c>
      <c r="J359" s="62">
        <v>2472.7814023324199</v>
      </c>
      <c r="K359" s="62">
        <v>2663.7146772876708</v>
      </c>
      <c r="L359" s="62">
        <v>558.90868020821915</v>
      </c>
      <c r="M359" s="62">
        <v>674.5528252231851</v>
      </c>
      <c r="N359" s="62">
        <v>724.89610959999925</v>
      </c>
      <c r="O359" s="62">
        <v>794.54219686406782</v>
      </c>
      <c r="P359" s="62">
        <v>1080.2546616793877</v>
      </c>
      <c r="Q359" s="62">
        <v>922.70095118320671</v>
      </c>
      <c r="R359" s="62">
        <v>-370.37672244383475</v>
      </c>
      <c r="S359" s="62">
        <v>26.023379000522141</v>
      </c>
      <c r="T359" s="62">
        <v>340.05864789041277</v>
      </c>
      <c r="U359" s="62">
        <v>334.1329736484368</v>
      </c>
      <c r="V359" s="62">
        <v>192.7971336986198</v>
      </c>
      <c r="W359" s="62">
        <v>78.895670279201553</v>
      </c>
      <c r="X359" s="62">
        <v>-136.27199769230407</v>
      </c>
      <c r="Y359" s="62">
        <v>-644.73347461538697</v>
      </c>
      <c r="Z359" s="62">
        <v>-637.86929288766646</v>
      </c>
      <c r="AA359" s="62">
        <v>-300.32797638606866</v>
      </c>
      <c r="AB359" s="62">
        <v>-183.8567660273925</v>
      </c>
      <c r="AC359" s="62">
        <v>-52.766106369863849</v>
      </c>
      <c r="AD359" s="62">
        <v>-147.74013100462369</v>
      </c>
      <c r="AE359" s="62">
        <v>-322.25366880682049</v>
      </c>
      <c r="AF359" s="62">
        <v>-35.275902142490111</v>
      </c>
      <c r="AG359" s="62">
        <v>-282.33541156111727</v>
      </c>
      <c r="AH359" s="62">
        <v>-367.90929788821614</v>
      </c>
      <c r="AI359" s="62">
        <v>-435.89199617271322</v>
      </c>
      <c r="AJ359" s="62">
        <v>-464.08124793881456</v>
      </c>
      <c r="AK359" s="62">
        <v>-259.38599402038608</v>
      </c>
      <c r="AL359" s="62">
        <v>-426.51265117382724</v>
      </c>
      <c r="AM359" s="62">
        <v>-1235.3026191924082</v>
      </c>
      <c r="AN359" s="62">
        <v>-1259.7471704532759</v>
      </c>
      <c r="AO359" s="62">
        <v>-1630.4091301455423</v>
      </c>
      <c r="AP359" s="62">
        <v>-1426.6806081986213</v>
      </c>
      <c r="AQ359" s="62">
        <v>-1287.854952188947</v>
      </c>
      <c r="AR359" s="62">
        <v>-1202.1574808122332</v>
      </c>
      <c r="AS359" s="62">
        <v>609.83202453730735</v>
      </c>
      <c r="AT359" s="62">
        <v>629.54211338525636</v>
      </c>
      <c r="AU359" s="62">
        <v>276.50610580206103</v>
      </c>
      <c r="AV359" s="220">
        <v>-146.16447656067328</v>
      </c>
      <c r="AW359" s="62">
        <v>-88.555584375128547</v>
      </c>
      <c r="AX359" s="62">
        <v>-48.288919873155123</v>
      </c>
      <c r="AY359" s="62">
        <v>25.187040661294077</v>
      </c>
      <c r="AZ359" s="62">
        <v>63.771567055657556</v>
      </c>
      <c r="BA359" s="62">
        <v>65.385507963957934</v>
      </c>
      <c r="BB359" s="62">
        <v>46.474768907214411</v>
      </c>
      <c r="BC359" s="62">
        <v>27.327018129212888</v>
      </c>
      <c r="BD359" s="62">
        <v>27.780883675212863</v>
      </c>
      <c r="BE359" s="62">
        <v>28.319786205961918</v>
      </c>
      <c r="BF359" s="62">
        <v>28.790173725548357</v>
      </c>
      <c r="BG359" s="62">
        <v>29.510166758496553</v>
      </c>
      <c r="BH359" s="62">
        <v>29.918617252846161</v>
      </c>
      <c r="BI359" s="62">
        <v>30.667096110747934</v>
      </c>
      <c r="BJ359" s="62">
        <v>31.09182860070905</v>
      </c>
      <c r="BK359" s="62">
        <v>31.869933398775856</v>
      </c>
      <c r="BL359" s="62">
        <v>32.400372271138167</v>
      </c>
      <c r="BM359" s="62">
        <v>33.030027893666102</v>
      </c>
      <c r="BN359" s="62">
        <v>33.422839297966902</v>
      </c>
      <c r="BO359" s="62">
        <v>33.942546084852665</v>
      </c>
      <c r="BP359" s="62"/>
      <c r="BQ359" s="62">
        <v>-34.051049999999307</v>
      </c>
      <c r="BR359" s="62">
        <v>55.059100000000136</v>
      </c>
      <c r="BS359" s="62">
        <v>247.66534249999995</v>
      </c>
      <c r="BT359" s="62">
        <v>830.1928333333334</v>
      </c>
      <c r="BU359" s="62">
        <v>638.64954500000056</v>
      </c>
      <c r="BV359" s="62">
        <v>684.0028341666665</v>
      </c>
      <c r="BW359" s="62">
        <v>610.59812500000044</v>
      </c>
      <c r="BX359" s="62">
        <v>621.6324637500004</v>
      </c>
      <c r="BY359" s="62">
        <v>850.79282307692256</v>
      </c>
      <c r="BZ359" s="62">
        <v>659.13979000000177</v>
      </c>
      <c r="CA359" s="62">
        <v>2742.988305949315</v>
      </c>
      <c r="CB359" s="62">
        <v>3244.0081407232883</v>
      </c>
      <c r="CC359" s="62">
        <v>4242.4654829999999</v>
      </c>
      <c r="CD359" s="62">
        <v>5136.4960796200903</v>
      </c>
      <c r="CE359" s="62">
        <v>1233.4615054314042</v>
      </c>
      <c r="CF359" s="62">
        <v>1519.438306464067</v>
      </c>
      <c r="CG359" s="62">
        <v>2002.9556128625945</v>
      </c>
      <c r="CH359" s="62">
        <v>-344.35334344331261</v>
      </c>
      <c r="CI359" s="62">
        <v>674.19162153884963</v>
      </c>
      <c r="CJ359" s="62">
        <v>271.69280397782137</v>
      </c>
      <c r="CK359" s="62">
        <v>-781.00547230769098</v>
      </c>
      <c r="CL359" s="62">
        <v>-938.19726927373517</v>
      </c>
      <c r="CM359" s="62">
        <v>-236.62287239725634</v>
      </c>
      <c r="CN359" s="62">
        <v>-469.99379981144421</v>
      </c>
      <c r="CO359" s="62">
        <v>-317.61131370360738</v>
      </c>
      <c r="CP359" s="62">
        <v>-803.80129406092942</v>
      </c>
      <c r="CQ359" s="62">
        <v>-723.46724195920069</v>
      </c>
      <c r="CR359" s="62">
        <v>-1661.8152703662354</v>
      </c>
      <c r="CS359" s="62">
        <v>-2890.1563005988182</v>
      </c>
      <c r="CT359" s="62">
        <v>-2714.5355603875682</v>
      </c>
      <c r="CU359" s="62">
        <v>-592.32545627492584</v>
      </c>
      <c r="CV359" s="220">
        <v>906.04821918731739</v>
      </c>
      <c r="CW359" s="62">
        <v>-234.72006093580183</v>
      </c>
      <c r="CX359" s="62">
        <v>-23.101879211861046</v>
      </c>
      <c r="CY359" s="62">
        <v>129.15707501961549</v>
      </c>
      <c r="CZ359" s="62">
        <v>73.801787036427299</v>
      </c>
      <c r="DA359" s="62">
        <v>56.100669881174781</v>
      </c>
      <c r="DB359" s="62">
        <v>58.300340484044909</v>
      </c>
      <c r="DC359" s="62">
        <v>60.585713363594095</v>
      </c>
      <c r="DD359" s="62">
        <v>62.961761999484906</v>
      </c>
      <c r="DE359" s="62">
        <v>65.430400164804269</v>
      </c>
      <c r="DF359" s="62">
        <v>67.365385382819568</v>
      </c>
    </row>
    <row r="360" spans="1:110" ht="12" outlineLevel="1">
      <c r="C360" s="41"/>
      <c r="D360" s="41"/>
      <c r="E360" s="41"/>
      <c r="F360" s="41"/>
      <c r="G360" s="41"/>
      <c r="H360" s="41"/>
      <c r="I360" s="41"/>
      <c r="J360" s="41"/>
      <c r="K360" s="41"/>
      <c r="L360" s="41"/>
      <c r="M360" s="41"/>
      <c r="N360" s="41"/>
      <c r="O360" s="41"/>
      <c r="P360" s="41"/>
      <c r="Q360" s="41"/>
      <c r="R360" s="41"/>
      <c r="S360" s="41"/>
      <c r="T360" s="41"/>
      <c r="U360" s="41"/>
      <c r="V360" s="41"/>
      <c r="W360" s="41"/>
      <c r="X360" s="41"/>
      <c r="Y360" s="41"/>
      <c r="Z360" s="41"/>
      <c r="AA360" s="41"/>
      <c r="AB360" s="41"/>
      <c r="AC360" s="41"/>
      <c r="AD360" s="41"/>
      <c r="AE360" s="41"/>
      <c r="AF360" s="41"/>
      <c r="AG360" s="41"/>
      <c r="AH360" s="41"/>
      <c r="AI360" s="41"/>
      <c r="AJ360" s="41"/>
      <c r="AK360" s="41"/>
      <c r="AL360" s="41"/>
      <c r="AM360" s="41"/>
      <c r="AN360" s="41"/>
      <c r="AO360" s="41"/>
      <c r="AP360" s="41"/>
      <c r="AQ360" s="41"/>
      <c r="AR360" s="41"/>
      <c r="AS360" s="41"/>
      <c r="AT360" s="41"/>
      <c r="AU360" s="41"/>
      <c r="AV360" s="211"/>
      <c r="AW360" s="41"/>
      <c r="AX360" s="41"/>
      <c r="AY360" s="41"/>
      <c r="AZ360" s="41"/>
      <c r="BA360" s="41"/>
      <c r="BB360" s="41"/>
      <c r="BC360" s="41"/>
      <c r="BD360" s="41"/>
      <c r="BE360" s="41"/>
      <c r="BF360" s="41"/>
      <c r="BG360" s="41"/>
      <c r="BH360" s="41"/>
      <c r="BI360" s="41"/>
      <c r="BJ360" s="41"/>
      <c r="BK360" s="41"/>
      <c r="BL360" s="41"/>
      <c r="BM360" s="41"/>
      <c r="BN360" s="41"/>
      <c r="BO360" s="41"/>
      <c r="BP360" s="41"/>
      <c r="BQ360" s="41"/>
      <c r="BR360" s="41"/>
      <c r="BS360" s="41"/>
      <c r="BT360" s="41"/>
      <c r="BU360" s="41"/>
      <c r="BV360" s="41"/>
      <c r="BW360" s="41"/>
      <c r="BX360" s="41"/>
      <c r="BY360" s="41"/>
      <c r="BZ360" s="41"/>
      <c r="CA360" s="41"/>
      <c r="CB360" s="41"/>
      <c r="CC360" s="41"/>
      <c r="CD360" s="41"/>
      <c r="CE360" s="41"/>
      <c r="CF360" s="41"/>
      <c r="CG360" s="41"/>
      <c r="CH360" s="41"/>
      <c r="CI360" s="41"/>
      <c r="CJ360" s="41"/>
      <c r="CK360" s="41"/>
      <c r="CL360" s="41"/>
      <c r="CM360" s="41"/>
      <c r="CN360" s="41"/>
      <c r="CO360" s="41"/>
      <c r="CP360" s="41"/>
      <c r="CQ360" s="41"/>
      <c r="CR360" s="41"/>
      <c r="CS360" s="41"/>
      <c r="CT360" s="41"/>
      <c r="CU360" s="41"/>
      <c r="CV360" s="211"/>
      <c r="CW360" s="41"/>
      <c r="CX360" s="41"/>
      <c r="CY360" s="41"/>
      <c r="CZ360" s="41"/>
      <c r="DA360" s="41"/>
      <c r="DB360" s="41"/>
      <c r="DC360" s="41"/>
      <c r="DD360" s="41"/>
      <c r="DE360" s="41"/>
      <c r="DF360" s="41"/>
    </row>
    <row r="361" spans="1:110" s="17" customFormat="1" ht="12" outlineLevel="1">
      <c r="A361" s="15"/>
      <c r="B361" s="17" t="s">
        <v>594</v>
      </c>
      <c r="C361" s="62"/>
      <c r="D361" s="62"/>
      <c r="E361" s="62"/>
      <c r="F361" s="62"/>
      <c r="G361" s="62"/>
      <c r="H361" s="62"/>
      <c r="I361" s="62"/>
      <c r="J361" s="62"/>
      <c r="K361" s="62"/>
      <c r="L361" s="62"/>
      <c r="M361" s="62"/>
      <c r="N361" s="62"/>
      <c r="O361" s="62"/>
      <c r="P361" s="62"/>
      <c r="Q361" s="62"/>
      <c r="R361" s="62"/>
      <c r="S361" s="62"/>
      <c r="T361" s="62"/>
      <c r="U361" s="62"/>
      <c r="V361" s="62"/>
      <c r="W361" s="62"/>
      <c r="X361" s="62"/>
      <c r="Y361" s="62"/>
      <c r="Z361" s="62"/>
      <c r="AA361" s="62"/>
      <c r="AB361" s="62"/>
      <c r="AC361" s="62"/>
      <c r="AD361" s="62"/>
      <c r="AE361" s="62"/>
      <c r="AF361" s="62"/>
      <c r="AG361" s="62"/>
      <c r="AH361" s="62"/>
      <c r="AI361" s="62"/>
      <c r="AJ361" s="62"/>
      <c r="AK361" s="62"/>
      <c r="AL361" s="62"/>
      <c r="AM361" s="62"/>
      <c r="AN361" s="62"/>
      <c r="AO361" s="62"/>
      <c r="AP361" s="62"/>
      <c r="AQ361" s="62"/>
      <c r="AR361" s="62"/>
      <c r="AS361" s="62"/>
      <c r="AT361" s="62"/>
      <c r="AU361" s="62"/>
      <c r="AV361" s="220"/>
      <c r="AW361" s="62"/>
      <c r="AX361" s="62"/>
      <c r="AY361" s="62"/>
      <c r="AZ361" s="62"/>
      <c r="BA361" s="62"/>
      <c r="BB361" s="62"/>
      <c r="BC361" s="62"/>
      <c r="BD361" s="62"/>
      <c r="BE361" s="62"/>
      <c r="BF361" s="62"/>
      <c r="BG361" s="62"/>
      <c r="BH361" s="62"/>
      <c r="BI361" s="62"/>
      <c r="BJ361" s="62"/>
      <c r="BK361" s="62"/>
      <c r="BL361" s="62"/>
      <c r="BM361" s="62"/>
      <c r="BN361" s="62"/>
      <c r="BO361" s="62"/>
      <c r="BP361" s="62"/>
      <c r="BQ361" s="62"/>
      <c r="BR361" s="62"/>
      <c r="BS361" s="62"/>
      <c r="BT361" s="62"/>
      <c r="BU361" s="62"/>
      <c r="BV361" s="62"/>
      <c r="BW361" s="62"/>
      <c r="BX361" s="62"/>
      <c r="BY361" s="62"/>
      <c r="BZ361" s="62"/>
      <c r="CA361" s="62"/>
      <c r="CB361" s="62"/>
      <c r="CC361" s="62"/>
      <c r="CD361" s="62"/>
      <c r="CE361" s="62"/>
      <c r="CF361" s="62"/>
      <c r="CG361" s="62"/>
      <c r="CH361" s="62"/>
      <c r="CI361" s="62"/>
      <c r="CJ361" s="62"/>
      <c r="CK361" s="62"/>
      <c r="CL361" s="62"/>
      <c r="CM361" s="62"/>
      <c r="CN361" s="62"/>
      <c r="CO361" s="62"/>
      <c r="CP361" s="62"/>
      <c r="CQ361" s="62"/>
      <c r="CR361" s="62"/>
      <c r="CS361" s="62"/>
      <c r="CT361" s="62"/>
      <c r="CU361" s="62"/>
      <c r="CV361" s="220"/>
      <c r="CW361" s="62"/>
      <c r="CX361" s="62"/>
      <c r="CY361" s="62"/>
      <c r="CZ361" s="62"/>
      <c r="DA361" s="62"/>
      <c r="DB361" s="62"/>
      <c r="DC361" s="62"/>
      <c r="DD361" s="62"/>
      <c r="DE361" s="62"/>
      <c r="DF361" s="62"/>
    </row>
    <row r="362" spans="1:110" ht="12" outlineLevel="1">
      <c r="A362" s="1" t="s">
        <v>138</v>
      </c>
      <c r="B362" s="15" t="s">
        <v>592</v>
      </c>
      <c r="C362" s="41">
        <v>134.52514462328764</v>
      </c>
      <c r="D362" s="41">
        <v>125.29146767123287</v>
      </c>
      <c r="E362" s="41">
        <v>148.05688074657536</v>
      </c>
      <c r="F362" s="41">
        <v>155.72860499543378</v>
      </c>
      <c r="G362" s="41">
        <v>159.14325931506852</v>
      </c>
      <c r="H362" s="41">
        <v>368.35562499999997</v>
      </c>
      <c r="I362" s="41">
        <v>480.44561400000003</v>
      </c>
      <c r="J362" s="41">
        <v>508.11072001187205</v>
      </c>
      <c r="K362" s="41">
        <v>545.06364493150681</v>
      </c>
      <c r="L362" s="41">
        <v>148.05132618082195</v>
      </c>
      <c r="M362" s="41">
        <v>152.19558042170758</v>
      </c>
      <c r="N362" s="41">
        <v>191.72875999999982</v>
      </c>
      <c r="O362" s="41">
        <v>172.95586139388837</v>
      </c>
      <c r="P362" s="41">
        <v>219.92109351145015</v>
      </c>
      <c r="Q362" s="41">
        <v>228.33454511450392</v>
      </c>
      <c r="R362" s="41">
        <v>55.036698569863063</v>
      </c>
      <c r="S362" s="41">
        <v>122.36509634068798</v>
      </c>
      <c r="T362" s="41">
        <v>225.03566860273989</v>
      </c>
      <c r="U362" s="41">
        <v>256.20115235804667</v>
      </c>
      <c r="V362" s="41">
        <v>243.00122684931415</v>
      </c>
      <c r="W362" s="41">
        <v>288.68077532155183</v>
      </c>
      <c r="X362" s="41">
        <v>256.02133769230801</v>
      </c>
      <c r="Y362" s="41">
        <v>160.59587923076901</v>
      </c>
      <c r="Z362" s="41">
        <v>100.41821743013745</v>
      </c>
      <c r="AA362" s="41">
        <v>79.190262670710425</v>
      </c>
      <c r="AB362" s="41">
        <v>71.904942739726607</v>
      </c>
      <c r="AC362" s="41">
        <v>21.380665684931493</v>
      </c>
      <c r="AD362" s="41">
        <v>-14.96326598050698</v>
      </c>
      <c r="AE362" s="41">
        <v>-45.929155568553696</v>
      </c>
      <c r="AF362" s="41">
        <v>-2.798068822719856</v>
      </c>
      <c r="AG362" s="41">
        <v>-26.623730449950216</v>
      </c>
      <c r="AH362" s="41">
        <v>-25.362310700261865</v>
      </c>
      <c r="AI362" s="41">
        <v>-23.953584114222739</v>
      </c>
      <c r="AJ362" s="41">
        <v>-32.084334238697252</v>
      </c>
      <c r="AK362" s="41">
        <v>9.6647468504172753</v>
      </c>
      <c r="AL362" s="41">
        <v>-5.7357099358895516</v>
      </c>
      <c r="AM362" s="41">
        <v>-118.85963774973432</v>
      </c>
      <c r="AN362" s="41">
        <v>-147.72563036492812</v>
      </c>
      <c r="AO362" s="41">
        <v>-262.01295444174286</v>
      </c>
      <c r="AP362" s="41">
        <v>-270.40554294940154</v>
      </c>
      <c r="AQ362" s="41">
        <v>-271.31689227352001</v>
      </c>
      <c r="AR362" s="41">
        <v>-263.76029822246386</v>
      </c>
      <c r="AS362" s="41">
        <v>63.636920648525063</v>
      </c>
      <c r="AT362" s="41">
        <v>121.76292725864383</v>
      </c>
      <c r="AU362" s="41">
        <v>99.03854434779889</v>
      </c>
      <c r="AV362" s="211">
        <v>42.239296066763103</v>
      </c>
      <c r="AW362" s="41"/>
      <c r="AX362" s="41"/>
      <c r="AY362" s="41"/>
      <c r="AZ362" s="41"/>
      <c r="BA362" s="41"/>
      <c r="BB362" s="41"/>
      <c r="BC362" s="41"/>
      <c r="BD362" s="41"/>
      <c r="BE362" s="41"/>
      <c r="BF362" s="41"/>
      <c r="BG362" s="41"/>
      <c r="BH362" s="41"/>
      <c r="BI362" s="41"/>
      <c r="BJ362" s="41"/>
      <c r="BK362" s="41"/>
      <c r="BL362" s="41"/>
      <c r="BM362" s="41"/>
      <c r="BN362" s="41"/>
      <c r="BO362" s="41"/>
      <c r="BP362" s="41"/>
      <c r="BQ362" s="41"/>
      <c r="BR362" s="41"/>
      <c r="BS362" s="41"/>
      <c r="BT362" s="41"/>
      <c r="BU362" s="41"/>
      <c r="BV362" s="41"/>
      <c r="BW362" s="41"/>
      <c r="BX362" s="41"/>
      <c r="BY362" s="41"/>
      <c r="BZ362" s="41"/>
      <c r="CA362" s="41">
        <v>273.34834841780821</v>
      </c>
      <c r="CB362" s="41">
        <v>314.8718643105023</v>
      </c>
      <c r="CC362" s="41">
        <v>848.80123900000001</v>
      </c>
      <c r="CD362" s="41">
        <v>1053.1743649433788</v>
      </c>
      <c r="CE362" s="41">
        <v>300.24690660252952</v>
      </c>
      <c r="CF362" s="41">
        <v>364.68462139388816</v>
      </c>
      <c r="CG362" s="41">
        <v>448.25563862595408</v>
      </c>
      <c r="CH362" s="41">
        <v>177.40179491055105</v>
      </c>
      <c r="CI362" s="41">
        <v>481.23682096078653</v>
      </c>
      <c r="CJ362" s="41">
        <v>531.68200217086599</v>
      </c>
      <c r="CK362" s="41">
        <v>416.61721692307702</v>
      </c>
      <c r="CL362" s="41">
        <v>179.60848010084788</v>
      </c>
      <c r="CM362" s="41">
        <v>93.285608424658108</v>
      </c>
      <c r="CN362" s="41">
        <v>-60.892421549060678</v>
      </c>
      <c r="CO362" s="41">
        <v>-29.421799272670071</v>
      </c>
      <c r="CP362" s="41">
        <v>-49.315894814484608</v>
      </c>
      <c r="CQ362" s="41">
        <v>-22.419587388279979</v>
      </c>
      <c r="CR362" s="41">
        <v>-124.59534768562386</v>
      </c>
      <c r="CS362" s="41">
        <v>-409.73858480667099</v>
      </c>
      <c r="CT362" s="41">
        <v>-541.7224352229216</v>
      </c>
      <c r="CU362" s="41">
        <v>-200.1233775739388</v>
      </c>
      <c r="CV362" s="211">
        <v>220.8014716064427</v>
      </c>
      <c r="CW362" s="41">
        <v>42.239296066763103</v>
      </c>
      <c r="CX362" s="41">
        <v>0</v>
      </c>
      <c r="CY362" s="41">
        <v>0</v>
      </c>
      <c r="CZ362" s="41">
        <v>0</v>
      </c>
      <c r="DA362" s="41">
        <v>0</v>
      </c>
      <c r="DB362" s="41">
        <v>0</v>
      </c>
      <c r="DC362" s="41">
        <v>0</v>
      </c>
      <c r="DD362" s="41">
        <v>0</v>
      </c>
      <c r="DE362" s="41">
        <v>0</v>
      </c>
      <c r="DF362" s="41">
        <v>0</v>
      </c>
    </row>
    <row r="363" spans="1:110" ht="12" outlineLevel="1">
      <c r="A363" s="1" t="s">
        <v>139</v>
      </c>
      <c r="B363" s="15" t="s">
        <v>473</v>
      </c>
      <c r="C363" s="41">
        <v>211.39317748767118</v>
      </c>
      <c r="D363" s="41">
        <v>185.6081624657534</v>
      </c>
      <c r="E363" s="41">
        <v>227.67912987534248</v>
      </c>
      <c r="F363" s="41">
        <v>261.09136378356163</v>
      </c>
      <c r="G363" s="41">
        <v>251.46752390410964</v>
      </c>
      <c r="H363" s="41">
        <v>499.30104166666666</v>
      </c>
      <c r="I363" s="41">
        <v>644.98103200000003</v>
      </c>
      <c r="J363" s="41">
        <v>712.650939249315</v>
      </c>
      <c r="K363" s="41">
        <v>724.9630364904109</v>
      </c>
      <c r="L363" s="41">
        <v>-171.98976670684937</v>
      </c>
      <c r="M363" s="41">
        <v>-132.36186010937752</v>
      </c>
      <c r="N363" s="41">
        <v>-117.0159470739728</v>
      </c>
      <c r="O363" s="41">
        <v>-145.62268700105355</v>
      </c>
      <c r="P363" s="41">
        <v>-121.20017045801551</v>
      </c>
      <c r="Q363" s="41">
        <v>-102.51686125954184</v>
      </c>
      <c r="R363" s="41">
        <v>-382.96441380273967</v>
      </c>
      <c r="S363" s="41">
        <v>-174.03395354658591</v>
      </c>
      <c r="T363" s="41">
        <v>-13.619543452054517</v>
      </c>
      <c r="U363" s="41">
        <v>61.727539997908579</v>
      </c>
      <c r="V363" s="41">
        <v>42.166444383560261</v>
      </c>
      <c r="W363" s="41">
        <v>96.226007135836184</v>
      </c>
      <c r="X363" s="41">
        <v>66.431887692308109</v>
      </c>
      <c r="Y363" s="41">
        <v>-54.270593846154092</v>
      </c>
      <c r="Z363" s="41">
        <v>-127.47231959451996</v>
      </c>
      <c r="AA363" s="41">
        <v>-166.44490059186404</v>
      </c>
      <c r="AB363" s="41">
        <v>-194.13811698630079</v>
      </c>
      <c r="AC363" s="41">
        <v>-231.69914280821934</v>
      </c>
      <c r="AD363" s="41">
        <v>-231.73639056562644</v>
      </c>
      <c r="AE363" s="41">
        <v>-248.96310217145623</v>
      </c>
      <c r="AF363" s="41">
        <v>-228.40720629297502</v>
      </c>
      <c r="AG363" s="41">
        <v>-302.58834768934423</v>
      </c>
      <c r="AH363" s="41">
        <v>-357.8071063488145</v>
      </c>
      <c r="AI363" s="41">
        <v>-403.29345813150451</v>
      </c>
      <c r="AJ363" s="41">
        <v>-431.31188748908426</v>
      </c>
      <c r="AK363" s="41">
        <v>-452.12532758585729</v>
      </c>
      <c r="AL363" s="41">
        <v>-512.5482264211995</v>
      </c>
      <c r="AM363" s="41">
        <v>-692.08772942542885</v>
      </c>
      <c r="AN363" s="41">
        <v>-660.82618142968454</v>
      </c>
      <c r="AO363" s="41">
        <v>-608.84651082155438</v>
      </c>
      <c r="AP363" s="41">
        <v>-467.40213751131859</v>
      </c>
      <c r="AQ363" s="41">
        <v>-387.55629363227757</v>
      </c>
      <c r="AR363" s="41">
        <v>-378.23306360245476</v>
      </c>
      <c r="AS363" s="41">
        <v>-283.32637883359115</v>
      </c>
      <c r="AT363" s="41">
        <v>-396.91789927267928</v>
      </c>
      <c r="AU363" s="41">
        <v>-503.37642428385283</v>
      </c>
      <c r="AV363" s="211">
        <v>-620.09771615369732</v>
      </c>
      <c r="AW363" s="41"/>
      <c r="AX363" s="41"/>
      <c r="AY363" s="41"/>
      <c r="AZ363" s="41"/>
      <c r="BA363" s="41"/>
      <c r="BB363" s="41"/>
      <c r="BC363" s="41"/>
      <c r="BD363" s="41"/>
      <c r="BE363" s="41"/>
      <c r="BF363" s="41"/>
      <c r="BG363" s="41"/>
      <c r="BH363" s="41"/>
      <c r="BI363" s="41"/>
      <c r="BJ363" s="41"/>
      <c r="BK363" s="41"/>
      <c r="BL363" s="41"/>
      <c r="BM363" s="41"/>
      <c r="BN363" s="41"/>
      <c r="BO363" s="41"/>
      <c r="BP363" s="41"/>
      <c r="BQ363" s="41"/>
      <c r="BR363" s="41"/>
      <c r="BS363" s="41"/>
      <c r="BT363" s="41"/>
      <c r="BU363" s="41"/>
      <c r="BV363" s="41"/>
      <c r="BW363" s="41"/>
      <c r="BX363" s="41"/>
      <c r="BY363" s="41"/>
      <c r="BZ363" s="41"/>
      <c r="CA363" s="41">
        <v>413.28729234109585</v>
      </c>
      <c r="CB363" s="41">
        <v>512.55888768767124</v>
      </c>
      <c r="CC363" s="41">
        <v>1144.2820736666667</v>
      </c>
      <c r="CD363" s="41">
        <v>1437.6139757397259</v>
      </c>
      <c r="CE363" s="41">
        <v>-304.35162681622688</v>
      </c>
      <c r="CF363" s="41">
        <v>-262.63863407502635</v>
      </c>
      <c r="CG363" s="41">
        <v>-223.71703171755735</v>
      </c>
      <c r="CH363" s="41">
        <v>-556.99836734932558</v>
      </c>
      <c r="CI363" s="41">
        <v>48.107996545854064</v>
      </c>
      <c r="CJ363" s="41">
        <v>138.39245151939645</v>
      </c>
      <c r="CK363" s="41">
        <v>12.161293846154017</v>
      </c>
      <c r="CL363" s="41">
        <v>-293.91722018638399</v>
      </c>
      <c r="CM363" s="41">
        <v>-425.83725979452015</v>
      </c>
      <c r="CN363" s="41">
        <v>-480.69949273708266</v>
      </c>
      <c r="CO363" s="41">
        <v>-530.99555398231928</v>
      </c>
      <c r="CP363" s="41">
        <v>-761.10056448031901</v>
      </c>
      <c r="CQ363" s="41">
        <v>-883.43721507494161</v>
      </c>
      <c r="CR363" s="41">
        <v>-1204.6359558466283</v>
      </c>
      <c r="CS363" s="41">
        <v>-1269.6726922512389</v>
      </c>
      <c r="CT363" s="41">
        <v>-854.95843114359616</v>
      </c>
      <c r="CU363" s="41">
        <v>-661.55944243604586</v>
      </c>
      <c r="CV363" s="211">
        <v>-900.29432355653216</v>
      </c>
      <c r="CW363" s="41">
        <v>-620.09771615369732</v>
      </c>
      <c r="CX363" s="41">
        <v>0</v>
      </c>
      <c r="CY363" s="41">
        <v>0</v>
      </c>
      <c r="CZ363" s="41">
        <v>0</v>
      </c>
      <c r="DA363" s="41">
        <v>0</v>
      </c>
      <c r="DB363" s="41">
        <v>0</v>
      </c>
      <c r="DC363" s="41">
        <v>0</v>
      </c>
      <c r="DD363" s="41">
        <v>0</v>
      </c>
      <c r="DE363" s="41">
        <v>0</v>
      </c>
      <c r="DF363" s="41">
        <v>0</v>
      </c>
    </row>
    <row r="364" spans="1:110" s="17" customFormat="1" ht="12" outlineLevel="1">
      <c r="A364" s="1" t="s">
        <v>140</v>
      </c>
      <c r="B364" s="17" t="s">
        <v>168</v>
      </c>
      <c r="C364" s="62">
        <v>345.91832211095885</v>
      </c>
      <c r="D364" s="62">
        <v>310.89963013698627</v>
      </c>
      <c r="E364" s="62">
        <v>375.73601062191779</v>
      </c>
      <c r="F364" s="62">
        <v>416.81996877899547</v>
      </c>
      <c r="G364" s="62">
        <v>410.61078321917813</v>
      </c>
      <c r="H364" s="62">
        <v>867.65666666666664</v>
      </c>
      <c r="I364" s="62">
        <v>1125.4266460000001</v>
      </c>
      <c r="J364" s="62">
        <v>1220.7616592611869</v>
      </c>
      <c r="K364" s="62">
        <v>1270.0266814219176</v>
      </c>
      <c r="L364" s="62">
        <v>-23.938440526027399</v>
      </c>
      <c r="M364" s="62">
        <v>19.833720312330069</v>
      </c>
      <c r="N364" s="62">
        <v>74.712812926027027</v>
      </c>
      <c r="O364" s="62">
        <v>27.333174392834824</v>
      </c>
      <c r="P364" s="62">
        <v>98.720923053434646</v>
      </c>
      <c r="Q364" s="62">
        <v>125.81768385496208</v>
      </c>
      <c r="R364" s="62">
        <v>-327.92771523287661</v>
      </c>
      <c r="S364" s="62">
        <v>-51.668857205897901</v>
      </c>
      <c r="T364" s="62">
        <v>211.41612515068539</v>
      </c>
      <c r="U364" s="62">
        <v>317.92869235595526</v>
      </c>
      <c r="V364" s="62">
        <v>285.1676712328744</v>
      </c>
      <c r="W364" s="62">
        <v>384.90678245738809</v>
      </c>
      <c r="X364" s="62">
        <v>322.45322538461613</v>
      </c>
      <c r="Y364" s="62">
        <v>106.3252853846149</v>
      </c>
      <c r="Z364" s="62">
        <v>-27.054102164382517</v>
      </c>
      <c r="AA364" s="62">
        <v>-87.25463792115363</v>
      </c>
      <c r="AB364" s="62">
        <v>-122.23317424657419</v>
      </c>
      <c r="AC364" s="62">
        <v>-210.31847712328781</v>
      </c>
      <c r="AD364" s="62">
        <v>-246.69965654613341</v>
      </c>
      <c r="AE364" s="62">
        <v>-294.89225774000994</v>
      </c>
      <c r="AF364" s="62">
        <v>-231.20527511569489</v>
      </c>
      <c r="AG364" s="62">
        <v>-329.21207813929453</v>
      </c>
      <c r="AH364" s="62">
        <v>-383.1694170490764</v>
      </c>
      <c r="AI364" s="62">
        <v>-427.24704224572719</v>
      </c>
      <c r="AJ364" s="62">
        <v>-463.39622172778155</v>
      </c>
      <c r="AK364" s="62">
        <v>-442.46058073543998</v>
      </c>
      <c r="AL364" s="62">
        <v>-518.28393635708915</v>
      </c>
      <c r="AM364" s="62">
        <v>-810.94736717516321</v>
      </c>
      <c r="AN364" s="62">
        <v>-808.5518117946126</v>
      </c>
      <c r="AO364" s="62">
        <v>-870.85946526329724</v>
      </c>
      <c r="AP364" s="62">
        <v>-737.80768046072023</v>
      </c>
      <c r="AQ364" s="62">
        <v>-658.87318590579753</v>
      </c>
      <c r="AR364" s="62">
        <v>-641.99336182491868</v>
      </c>
      <c r="AS364" s="62">
        <v>-219.68945818506612</v>
      </c>
      <c r="AT364" s="62">
        <v>-275.15497201403542</v>
      </c>
      <c r="AU364" s="62">
        <v>-404.33787993605392</v>
      </c>
      <c r="AV364" s="220">
        <v>-577.85842008693419</v>
      </c>
      <c r="AW364" s="62">
        <v>-584.01318610117505</v>
      </c>
      <c r="AX364" s="62">
        <v>-592.22570361072019</v>
      </c>
      <c r="AY364" s="62">
        <v>-598.06145838251268</v>
      </c>
      <c r="AZ364" s="62">
        <v>-590.46568517992068</v>
      </c>
      <c r="BA364" s="62">
        <v>-587.8089415244209</v>
      </c>
      <c r="BB364" s="62">
        <v>-580.01928295807193</v>
      </c>
      <c r="BC364" s="62">
        <v>-583.6907287460358</v>
      </c>
      <c r="BD364" s="62">
        <v>-585.02015478617182</v>
      </c>
      <c r="BE364" s="62">
        <v>-587.99001184801364</v>
      </c>
      <c r="BF364" s="62">
        <v>-589.3857451587877</v>
      </c>
      <c r="BG364" s="62">
        <v>-595.69193107186697</v>
      </c>
      <c r="BH364" s="62">
        <v>-595.5316326309204</v>
      </c>
      <c r="BI364" s="62">
        <v>-601.95912701459861</v>
      </c>
      <c r="BJ364" s="62">
        <v>-604.05662066099944</v>
      </c>
      <c r="BK364" s="62">
        <v>-617.34622189498782</v>
      </c>
      <c r="BL364" s="62">
        <v>-628.03423920383364</v>
      </c>
      <c r="BM364" s="62">
        <v>-640.65772741183071</v>
      </c>
      <c r="BN364" s="62">
        <v>-648.48588013645337</v>
      </c>
      <c r="BO364" s="62">
        <v>-658.56947926165196</v>
      </c>
      <c r="BP364" s="62"/>
      <c r="BQ364" s="62">
        <v>10.267096260924699</v>
      </c>
      <c r="BR364" s="62">
        <v>2.2950942929406781</v>
      </c>
      <c r="BS364" s="62">
        <v>34.241329999999977</v>
      </c>
      <c r="BT364" s="62">
        <v>167.5477166666667</v>
      </c>
      <c r="BU364" s="62">
        <v>70.3888216666668</v>
      </c>
      <c r="BV364" s="62">
        <v>-87.832644833333362</v>
      </c>
      <c r="BW364" s="62">
        <v>-533.7562499999998</v>
      </c>
      <c r="BX364" s="62">
        <v>116.55445600000009</v>
      </c>
      <c r="BY364" s="62">
        <v>169.17900461538446</v>
      </c>
      <c r="BZ364" s="62">
        <v>54.67499000000042</v>
      </c>
      <c r="CA364" s="62">
        <v>686.63564075890406</v>
      </c>
      <c r="CB364" s="62">
        <v>827.4307519981736</v>
      </c>
      <c r="CC364" s="62">
        <v>1993.0833126666666</v>
      </c>
      <c r="CD364" s="62">
        <v>2490.7883406831043</v>
      </c>
      <c r="CE364" s="62">
        <v>-4.1047202136973304</v>
      </c>
      <c r="CF364" s="62">
        <v>102.04598731886185</v>
      </c>
      <c r="CG364" s="62">
        <v>224.53860690839673</v>
      </c>
      <c r="CH364" s="62">
        <v>-379.5965724387745</v>
      </c>
      <c r="CI364" s="62">
        <v>529.34481750664065</v>
      </c>
      <c r="CJ364" s="62">
        <v>670.07445369026254</v>
      </c>
      <c r="CK364" s="62">
        <v>428.77851076923105</v>
      </c>
      <c r="CL364" s="62">
        <v>-114.30874008553614</v>
      </c>
      <c r="CM364" s="62">
        <v>-332.55165136986199</v>
      </c>
      <c r="CN364" s="62">
        <v>-541.59191428614338</v>
      </c>
      <c r="CO364" s="62">
        <v>-560.41735325498939</v>
      </c>
      <c r="CP364" s="62">
        <v>-810.41645929480364</v>
      </c>
      <c r="CQ364" s="62">
        <v>-905.85680246322158</v>
      </c>
      <c r="CR364" s="62">
        <v>-1329.2313035322522</v>
      </c>
      <c r="CS364" s="62">
        <v>-1679.41127705791</v>
      </c>
      <c r="CT364" s="62">
        <v>-1396.6808663665179</v>
      </c>
      <c r="CU364" s="62">
        <v>-861.68282000998477</v>
      </c>
      <c r="CV364" s="220">
        <v>-679.49285195008929</v>
      </c>
      <c r="CW364" s="62">
        <v>-1161.8716061881091</v>
      </c>
      <c r="CX364" s="62">
        <v>-1190.287161993233</v>
      </c>
      <c r="CY364" s="62">
        <v>-1178.2746267043417</v>
      </c>
      <c r="CZ364" s="62">
        <v>-1163.7100117041077</v>
      </c>
      <c r="DA364" s="62">
        <v>-1173.0101666341855</v>
      </c>
      <c r="DB364" s="62">
        <v>-1185.0776762306546</v>
      </c>
      <c r="DC364" s="62">
        <v>-1197.4907596455191</v>
      </c>
      <c r="DD364" s="62">
        <v>-1221.4028425559873</v>
      </c>
      <c r="DE364" s="62">
        <v>-1268.6919666156643</v>
      </c>
      <c r="DF364" s="62">
        <v>-1307.0553593981053</v>
      </c>
    </row>
    <row r="365" spans="1:110" ht="12" outlineLevel="1">
      <c r="C365" s="41"/>
      <c r="D365" s="41"/>
      <c r="E365" s="41"/>
      <c r="F365" s="41"/>
      <c r="G365" s="41"/>
      <c r="H365" s="41"/>
      <c r="I365" s="41"/>
      <c r="J365" s="41"/>
      <c r="K365" s="41"/>
      <c r="L365" s="41"/>
      <c r="M365" s="41"/>
      <c r="N365" s="41"/>
      <c r="O365" s="41"/>
      <c r="P365" s="41"/>
      <c r="Q365" s="41"/>
      <c r="R365" s="41"/>
      <c r="S365" s="41"/>
      <c r="T365" s="41"/>
      <c r="U365" s="41"/>
      <c r="V365" s="41"/>
      <c r="W365" s="41"/>
      <c r="X365" s="41"/>
      <c r="Y365" s="41"/>
      <c r="Z365" s="41"/>
      <c r="AA365" s="41"/>
      <c r="AB365" s="41"/>
      <c r="AC365" s="41"/>
      <c r="AD365" s="41"/>
      <c r="AE365" s="41"/>
      <c r="AF365" s="41"/>
      <c r="AG365" s="41"/>
      <c r="AH365" s="41"/>
      <c r="AI365" s="41"/>
      <c r="AJ365" s="41"/>
      <c r="AK365" s="41"/>
      <c r="AL365" s="41"/>
      <c r="AM365" s="41"/>
      <c r="AN365" s="41"/>
      <c r="AO365" s="41"/>
      <c r="AP365" s="41"/>
      <c r="AQ365" s="41"/>
      <c r="AR365" s="41"/>
      <c r="AS365" s="41"/>
      <c r="AT365" s="41"/>
      <c r="AU365" s="41"/>
      <c r="AV365" s="211"/>
      <c r="AW365" s="41"/>
      <c r="AX365" s="41"/>
      <c r="AY365" s="41"/>
      <c r="AZ365" s="41"/>
      <c r="BA365" s="41"/>
      <c r="BB365" s="41"/>
      <c r="BC365" s="41"/>
      <c r="BD365" s="41"/>
      <c r="BE365" s="41"/>
      <c r="BF365" s="41"/>
      <c r="BG365" s="41"/>
      <c r="BH365" s="41"/>
      <c r="BI365" s="41"/>
      <c r="BJ365" s="41"/>
      <c r="BK365" s="41"/>
      <c r="BL365" s="41"/>
      <c r="BM365" s="41"/>
      <c r="BN365" s="41"/>
      <c r="BO365" s="41"/>
      <c r="BP365" s="41"/>
      <c r="BQ365" s="41"/>
      <c r="BR365" s="41"/>
      <c r="BS365" s="41"/>
      <c r="BT365" s="41"/>
      <c r="BU365" s="41"/>
      <c r="BV365" s="41"/>
      <c r="BW365" s="41"/>
      <c r="BX365" s="41"/>
      <c r="BY365" s="41"/>
      <c r="BZ365" s="41"/>
      <c r="CA365" s="41"/>
      <c r="CB365" s="41"/>
      <c r="CC365" s="41"/>
      <c r="CD365" s="41"/>
      <c r="CE365" s="41"/>
      <c r="CF365" s="41"/>
      <c r="CG365" s="41"/>
      <c r="CH365" s="41"/>
      <c r="CI365" s="41"/>
      <c r="CJ365" s="41"/>
      <c r="CK365" s="41"/>
      <c r="CL365" s="41"/>
      <c r="CM365" s="41"/>
      <c r="CN365" s="41"/>
      <c r="CO365" s="41"/>
      <c r="CP365" s="41"/>
      <c r="CQ365" s="41"/>
      <c r="CR365" s="41"/>
      <c r="CS365" s="41"/>
      <c r="CT365" s="41"/>
      <c r="CU365" s="41"/>
      <c r="CV365" s="211"/>
      <c r="CW365" s="41"/>
      <c r="CX365" s="41"/>
      <c r="CY365" s="41"/>
      <c r="CZ365" s="41"/>
      <c r="DA365" s="41"/>
      <c r="DB365" s="41"/>
      <c r="DC365" s="41"/>
      <c r="DD365" s="41"/>
      <c r="DE365" s="41"/>
      <c r="DF365" s="41"/>
    </row>
    <row r="366" spans="1:110" s="17" customFormat="1" ht="12" outlineLevel="1">
      <c r="A366" s="1"/>
      <c r="B366" s="17" t="s">
        <v>494</v>
      </c>
      <c r="C366" s="62"/>
      <c r="D366" s="62"/>
      <c r="E366" s="62"/>
      <c r="F366" s="62"/>
      <c r="G366" s="62"/>
      <c r="H366" s="62"/>
      <c r="I366" s="62"/>
      <c r="J366" s="62"/>
      <c r="K366" s="62"/>
      <c r="L366" s="62"/>
      <c r="M366" s="62"/>
      <c r="N366" s="62"/>
      <c r="O366" s="62"/>
      <c r="P366" s="62"/>
      <c r="Q366" s="62"/>
      <c r="R366" s="62"/>
      <c r="S366" s="62"/>
      <c r="T366" s="62"/>
      <c r="U366" s="62"/>
      <c r="V366" s="62"/>
      <c r="W366" s="62"/>
      <c r="X366" s="62"/>
      <c r="Y366" s="62"/>
      <c r="Z366" s="62"/>
      <c r="AA366" s="62"/>
      <c r="AB366" s="62"/>
      <c r="AC366" s="62"/>
      <c r="AD366" s="62"/>
      <c r="AE366" s="62"/>
      <c r="AF366" s="62"/>
      <c r="AG366" s="62"/>
      <c r="AH366" s="62"/>
      <c r="AI366" s="62"/>
      <c r="AJ366" s="62"/>
      <c r="AK366" s="62"/>
      <c r="AL366" s="62"/>
      <c r="AM366" s="62"/>
      <c r="AN366" s="62"/>
      <c r="AO366" s="62"/>
      <c r="AP366" s="62"/>
      <c r="AQ366" s="62"/>
      <c r="AR366" s="62"/>
      <c r="AS366" s="62"/>
      <c r="AT366" s="62"/>
      <c r="AU366" s="62"/>
      <c r="AV366" s="220"/>
      <c r="AW366" s="62"/>
      <c r="AX366" s="62"/>
      <c r="AY366" s="62"/>
      <c r="AZ366" s="62"/>
      <c r="BA366" s="62"/>
      <c r="BB366" s="62"/>
      <c r="BC366" s="62"/>
      <c r="BD366" s="62"/>
      <c r="BE366" s="62"/>
      <c r="BF366" s="62"/>
      <c r="BG366" s="62"/>
      <c r="BH366" s="62"/>
      <c r="BI366" s="62"/>
      <c r="BJ366" s="62"/>
      <c r="BK366" s="62"/>
      <c r="BL366" s="62"/>
      <c r="BM366" s="62"/>
      <c r="BN366" s="62"/>
      <c r="BO366" s="62"/>
      <c r="BP366" s="62"/>
      <c r="BQ366" s="62"/>
      <c r="BR366" s="62"/>
      <c r="BS366" s="62"/>
      <c r="BT366" s="62"/>
      <c r="BU366" s="62"/>
      <c r="BV366" s="62"/>
      <c r="BW366" s="62"/>
      <c r="BX366" s="62"/>
      <c r="BY366" s="62"/>
      <c r="BZ366" s="62"/>
      <c r="CA366" s="62"/>
      <c r="CB366" s="62"/>
      <c r="CC366" s="62"/>
      <c r="CD366" s="62"/>
      <c r="CE366" s="62"/>
      <c r="CF366" s="62"/>
      <c r="CG366" s="62"/>
      <c r="CH366" s="62"/>
      <c r="CI366" s="62"/>
      <c r="CJ366" s="62"/>
      <c r="CK366" s="62"/>
      <c r="CL366" s="62"/>
      <c r="CM366" s="62"/>
      <c r="CN366" s="62"/>
      <c r="CO366" s="62"/>
      <c r="CP366" s="62"/>
      <c r="CQ366" s="62"/>
      <c r="CR366" s="62"/>
      <c r="CS366" s="62"/>
      <c r="CT366" s="62"/>
      <c r="CU366" s="62"/>
      <c r="CV366" s="220"/>
      <c r="CW366" s="62"/>
      <c r="CX366" s="62"/>
      <c r="CY366" s="62"/>
      <c r="CZ366" s="62"/>
      <c r="DA366" s="62"/>
      <c r="DB366" s="62"/>
      <c r="DC366" s="62"/>
      <c r="DD366" s="62"/>
      <c r="DE366" s="62"/>
      <c r="DF366" s="62"/>
    </row>
    <row r="367" spans="1:110" ht="12" outlineLevel="1">
      <c r="A367" s="1" t="s">
        <v>222</v>
      </c>
      <c r="B367" s="15" t="s">
        <v>592</v>
      </c>
      <c r="C367" s="41">
        <v>40.053187856164378</v>
      </c>
      <c r="D367" s="41">
        <v>36.917976986301369</v>
      </c>
      <c r="E367" s="41">
        <v>44.355322405479455</v>
      </c>
      <c r="F367" s="41">
        <v>43.551220041095895</v>
      </c>
      <c r="G367" s="41">
        <v>39.581291438356175</v>
      </c>
      <c r="H367" s="41">
        <v>50.243958333333332</v>
      </c>
      <c r="I367" s="41">
        <v>54.534402</v>
      </c>
      <c r="J367" s="41">
        <v>57.816331175342455</v>
      </c>
      <c r="K367" s="41">
        <v>65.152138808219178</v>
      </c>
      <c r="L367" s="41">
        <v>60.331261742465749</v>
      </c>
      <c r="M367" s="41">
        <v>64.713784195995871</v>
      </c>
      <c r="N367" s="41">
        <v>72.924693884931486</v>
      </c>
      <c r="O367" s="41">
        <v>81.272993118651215</v>
      </c>
      <c r="P367" s="41">
        <v>98.421404885496145</v>
      </c>
      <c r="Q367" s="41">
        <v>103.51783877862597</v>
      </c>
      <c r="R367" s="41">
        <v>75.657570389041112</v>
      </c>
      <c r="S367" s="41">
        <v>54.964279366935045</v>
      </c>
      <c r="T367" s="41">
        <v>103.49519473972607</v>
      </c>
      <c r="U367" s="41">
        <v>231.37729384084494</v>
      </c>
      <c r="V367" s="41">
        <v>281.15679835616379</v>
      </c>
      <c r="W367" s="41">
        <v>362.28160177350208</v>
      </c>
      <c r="X367" s="41">
        <v>344.60984307692331</v>
      </c>
      <c r="Y367" s="41">
        <v>276.36039538461523</v>
      </c>
      <c r="Z367" s="41">
        <v>251.9957939780825</v>
      </c>
      <c r="AA367" s="41">
        <v>255.20705233295016</v>
      </c>
      <c r="AB367" s="41">
        <v>255.0583608219182</v>
      </c>
      <c r="AC367" s="41">
        <v>278.03423808219173</v>
      </c>
      <c r="AD367" s="41">
        <v>271.92916175057229</v>
      </c>
      <c r="AE367" s="41">
        <v>276.19094493095173</v>
      </c>
      <c r="AF367" s="41">
        <v>319.65255262981754</v>
      </c>
      <c r="AG367" s="41">
        <v>309.70848184479553</v>
      </c>
      <c r="AH367" s="41">
        <v>312.86407425725412</v>
      </c>
      <c r="AI367" s="41">
        <v>334.19311874667079</v>
      </c>
      <c r="AJ367" s="41">
        <v>307.54265299715888</v>
      </c>
      <c r="AK367" s="41">
        <v>319.20405010309543</v>
      </c>
      <c r="AL367" s="41">
        <v>312.30901559232177</v>
      </c>
      <c r="AM367" s="41">
        <v>280.77857501727595</v>
      </c>
      <c r="AN367" s="41">
        <v>282.23599118692061</v>
      </c>
      <c r="AO367" s="41">
        <v>286.25853204228144</v>
      </c>
      <c r="AP367" s="41">
        <v>297.59963770488417</v>
      </c>
      <c r="AQ367" s="41">
        <v>308.33864485784397</v>
      </c>
      <c r="AR367" s="41">
        <v>326.47055704032556</v>
      </c>
      <c r="AS367" s="41">
        <v>502.24616018555417</v>
      </c>
      <c r="AT367" s="41">
        <v>508.13475867710133</v>
      </c>
      <c r="AU367" s="41">
        <v>468.78376918432122</v>
      </c>
      <c r="AV367" s="211">
        <v>440.83173731620252</v>
      </c>
      <c r="AW367" s="41"/>
      <c r="AX367" s="41"/>
      <c r="AY367" s="41"/>
      <c r="AZ367" s="41"/>
      <c r="BA367" s="41"/>
      <c r="BB367" s="41"/>
      <c r="BC367" s="41"/>
      <c r="BD367" s="41"/>
      <c r="BE367" s="41"/>
      <c r="BF367" s="41"/>
      <c r="BG367" s="41"/>
      <c r="BH367" s="41"/>
      <c r="BI367" s="41"/>
      <c r="BJ367" s="41"/>
      <c r="BK367" s="41"/>
      <c r="BL367" s="41"/>
      <c r="BM367" s="41"/>
      <c r="BN367" s="41"/>
      <c r="BO367" s="41"/>
      <c r="BP367" s="41"/>
      <c r="BQ367" s="41"/>
      <c r="BR367" s="41"/>
      <c r="BS367" s="41"/>
      <c r="BT367" s="41"/>
      <c r="BU367" s="41"/>
      <c r="BV367" s="41"/>
      <c r="BW367" s="41"/>
      <c r="BX367" s="41"/>
      <c r="BY367" s="41"/>
      <c r="BZ367" s="41"/>
      <c r="CA367" s="41">
        <v>81.273299391780824</v>
      </c>
      <c r="CB367" s="41">
        <v>83.132511479452063</v>
      </c>
      <c r="CC367" s="41">
        <v>104.77836033333332</v>
      </c>
      <c r="CD367" s="41">
        <v>122.96846998356163</v>
      </c>
      <c r="CE367" s="41">
        <v>125.04504593846161</v>
      </c>
      <c r="CF367" s="41">
        <v>154.1976870035827</v>
      </c>
      <c r="CG367" s="41">
        <v>201.9392436641221</v>
      </c>
      <c r="CH367" s="41">
        <v>130.62184975597614</v>
      </c>
      <c r="CI367" s="41">
        <v>334.87248858057103</v>
      </c>
      <c r="CJ367" s="41">
        <v>643.43840012966587</v>
      </c>
      <c r="CK367" s="41">
        <v>620.97023846153854</v>
      </c>
      <c r="CL367" s="41">
        <v>507.20284631103266</v>
      </c>
      <c r="CM367" s="41">
        <v>533.09259890410999</v>
      </c>
      <c r="CN367" s="41">
        <v>548.12010668152402</v>
      </c>
      <c r="CO367" s="41">
        <v>629.36103447461301</v>
      </c>
      <c r="CP367" s="41">
        <v>647.05719300392491</v>
      </c>
      <c r="CQ367" s="41">
        <v>626.74670310025431</v>
      </c>
      <c r="CR367" s="41">
        <v>593.08759060959778</v>
      </c>
      <c r="CS367" s="41">
        <v>568.49452322920206</v>
      </c>
      <c r="CT367" s="41">
        <v>605.93828256272809</v>
      </c>
      <c r="CU367" s="41">
        <v>828.71671722587973</v>
      </c>
      <c r="CV367" s="211">
        <v>976.91852786142249</v>
      </c>
      <c r="CW367" s="41">
        <v>440.83173731620252</v>
      </c>
      <c r="CX367" s="41">
        <v>0</v>
      </c>
      <c r="CY367" s="41">
        <v>0</v>
      </c>
      <c r="CZ367" s="41">
        <v>0</v>
      </c>
      <c r="DA367" s="41">
        <v>0</v>
      </c>
      <c r="DB367" s="41">
        <v>0</v>
      </c>
      <c r="DC367" s="41">
        <v>0</v>
      </c>
      <c r="DD367" s="41">
        <v>0</v>
      </c>
      <c r="DE367" s="41">
        <v>0</v>
      </c>
      <c r="DF367" s="41">
        <v>0</v>
      </c>
    </row>
    <row r="368" spans="1:110" ht="12" outlineLevel="1">
      <c r="A368" s="1" t="s">
        <v>223</v>
      </c>
      <c r="B368" s="15" t="s">
        <v>473</v>
      </c>
      <c r="C368" s="41">
        <v>339.00336445068484</v>
      </c>
      <c r="D368" s="41">
        <v>339.88804164383555</v>
      </c>
      <c r="E368" s="41">
        <v>359.11511308356165</v>
      </c>
      <c r="F368" s="41">
        <v>361.77506587305936</v>
      </c>
      <c r="G368" s="41">
        <v>346.51074650684939</v>
      </c>
      <c r="H368" s="41">
        <v>353.89104166666664</v>
      </c>
      <c r="I368" s="41">
        <v>344.836186</v>
      </c>
      <c r="J368" s="41">
        <v>304.93317524657527</v>
      </c>
      <c r="K368" s="41">
        <v>317.52796190410959</v>
      </c>
      <c r="L368" s="41">
        <v>76.7454595287671</v>
      </c>
      <c r="M368" s="41">
        <v>76.878585481770685</v>
      </c>
      <c r="N368" s="41">
        <v>81.57270586849306</v>
      </c>
      <c r="O368" s="41">
        <v>117.35359018798741</v>
      </c>
      <c r="P368" s="41">
        <v>295.33392610686997</v>
      </c>
      <c r="Q368" s="41">
        <v>585.74629148854979</v>
      </c>
      <c r="R368" s="41">
        <v>361.30956643287681</v>
      </c>
      <c r="S368" s="41">
        <v>388.48050200627404</v>
      </c>
      <c r="T368" s="41">
        <v>646.39433972602785</v>
      </c>
      <c r="U368" s="41">
        <v>876.42648185715768</v>
      </c>
      <c r="V368" s="41">
        <v>845.85415506849108</v>
      </c>
      <c r="W368" s="41">
        <v>889.73374196381906</v>
      </c>
      <c r="X368" s="41">
        <v>893.14131923077002</v>
      </c>
      <c r="Y368" s="41">
        <v>825.36933230769159</v>
      </c>
      <c r="Z368" s="41">
        <v>758.21469055890543</v>
      </c>
      <c r="AA368" s="41">
        <v>764.15246295095778</v>
      </c>
      <c r="AB368" s="41">
        <v>727.37810684931651</v>
      </c>
      <c r="AC368" s="41">
        <v>775.01422486301362</v>
      </c>
      <c r="AD368" s="41">
        <v>771.59068803799732</v>
      </c>
      <c r="AE368" s="41">
        <v>693.15608545358464</v>
      </c>
      <c r="AF368" s="41">
        <v>786.08312157492378</v>
      </c>
      <c r="AG368" s="41">
        <v>698.71605584034558</v>
      </c>
      <c r="AH368" s="41">
        <v>649.72930836223077</v>
      </c>
      <c r="AI368" s="41">
        <v>561.28833126147822</v>
      </c>
      <c r="AJ368" s="41">
        <v>610.27302961798011</v>
      </c>
      <c r="AK368" s="41">
        <v>602.40863486770309</v>
      </c>
      <c r="AL368" s="41">
        <v>505.70723689561191</v>
      </c>
      <c r="AM368" s="41">
        <v>234.77909528569683</v>
      </c>
      <c r="AN368" s="41">
        <v>163.5779708112168</v>
      </c>
      <c r="AO368" s="41">
        <v>188.70609576905827</v>
      </c>
      <c r="AP368" s="41">
        <v>418.73254128083164</v>
      </c>
      <c r="AQ368" s="41">
        <v>490.9773718997655</v>
      </c>
      <c r="AR368" s="41">
        <v>436.28121056752815</v>
      </c>
      <c r="AS368" s="41">
        <v>741.89070411464172</v>
      </c>
      <c r="AT368" s="41">
        <v>560.64821860115796</v>
      </c>
      <c r="AU368" s="41">
        <v>463.33936675097669</v>
      </c>
      <c r="AV368" s="211">
        <v>474.66896901186396</v>
      </c>
      <c r="AW368" s="41"/>
      <c r="AX368" s="41"/>
      <c r="AY368" s="41"/>
      <c r="AZ368" s="41"/>
      <c r="BA368" s="41"/>
      <c r="BB368" s="41"/>
      <c r="BC368" s="41"/>
      <c r="BD368" s="41"/>
      <c r="BE368" s="41"/>
      <c r="BF368" s="41"/>
      <c r="BG368" s="41"/>
      <c r="BH368" s="41"/>
      <c r="BI368" s="41"/>
      <c r="BJ368" s="41"/>
      <c r="BK368" s="41"/>
      <c r="BL368" s="41"/>
      <c r="BM368" s="41"/>
      <c r="BN368" s="41"/>
      <c r="BO368" s="41"/>
      <c r="BP368" s="41"/>
      <c r="BQ368" s="41"/>
      <c r="BR368" s="41"/>
      <c r="BS368" s="41"/>
      <c r="BT368" s="41"/>
      <c r="BU368" s="41"/>
      <c r="BV368" s="41"/>
      <c r="BW368" s="41"/>
      <c r="BX368" s="41"/>
      <c r="BY368" s="41"/>
      <c r="BZ368" s="41"/>
      <c r="CA368" s="41">
        <v>699.00315472739726</v>
      </c>
      <c r="CB368" s="41">
        <v>708.28581237990875</v>
      </c>
      <c r="CC368" s="41">
        <v>698.72722766666664</v>
      </c>
      <c r="CD368" s="41">
        <v>622.46113715068486</v>
      </c>
      <c r="CE368" s="41">
        <v>153.62404501053777</v>
      </c>
      <c r="CF368" s="41">
        <v>198.92629605648045</v>
      </c>
      <c r="CG368" s="41">
        <v>881.08021759541975</v>
      </c>
      <c r="CH368" s="41">
        <v>749.7900684391509</v>
      </c>
      <c r="CI368" s="41">
        <v>1522.8208215831855</v>
      </c>
      <c r="CJ368" s="41">
        <v>1735.5878970323101</v>
      </c>
      <c r="CK368" s="41">
        <v>1718.5106515384616</v>
      </c>
      <c r="CL368" s="41">
        <v>1522.3671535098633</v>
      </c>
      <c r="CM368" s="41">
        <v>1502.3923317123301</v>
      </c>
      <c r="CN368" s="41">
        <v>1464.746773491582</v>
      </c>
      <c r="CO368" s="41">
        <v>1484.7991774152692</v>
      </c>
      <c r="CP368" s="41">
        <v>1211.0176396237089</v>
      </c>
      <c r="CQ368" s="41">
        <v>1212.6816644856831</v>
      </c>
      <c r="CR368" s="41">
        <v>740.48633218130874</v>
      </c>
      <c r="CS368" s="41">
        <v>352.28406658027507</v>
      </c>
      <c r="CT368" s="41">
        <v>909.70991318059714</v>
      </c>
      <c r="CU368" s="41">
        <v>1178.1719146821699</v>
      </c>
      <c r="CV368" s="211">
        <v>1023.9875853521346</v>
      </c>
      <c r="CW368" s="41">
        <v>474.66896901186396</v>
      </c>
      <c r="CX368" s="41">
        <v>0</v>
      </c>
      <c r="CY368" s="41">
        <v>0</v>
      </c>
      <c r="CZ368" s="41">
        <v>0</v>
      </c>
      <c r="DA368" s="41">
        <v>0</v>
      </c>
      <c r="DB368" s="41">
        <v>0</v>
      </c>
      <c r="DC368" s="41">
        <v>0</v>
      </c>
      <c r="DD368" s="41">
        <v>0</v>
      </c>
      <c r="DE368" s="41">
        <v>0</v>
      </c>
      <c r="DF368" s="41">
        <v>0</v>
      </c>
    </row>
    <row r="369" spans="1:110" s="17" customFormat="1" ht="12" outlineLevel="1">
      <c r="A369" s="1" t="s">
        <v>224</v>
      </c>
      <c r="B369" s="17" t="s">
        <v>168</v>
      </c>
      <c r="C369" s="62">
        <v>379.05655230684926</v>
      </c>
      <c r="D369" s="62">
        <v>376.80601863013698</v>
      </c>
      <c r="E369" s="62">
        <v>403.47043548904111</v>
      </c>
      <c r="F369" s="62">
        <v>405.32628591415528</v>
      </c>
      <c r="G369" s="62">
        <v>386.09203794520556</v>
      </c>
      <c r="H369" s="62">
        <v>404.13499999999999</v>
      </c>
      <c r="I369" s="62">
        <v>399.370588</v>
      </c>
      <c r="J369" s="62">
        <v>362.74950642191772</v>
      </c>
      <c r="K369" s="62">
        <v>382.68010071232874</v>
      </c>
      <c r="L369" s="62">
        <v>137.07672127123286</v>
      </c>
      <c r="M369" s="62">
        <v>141.59236967776656</v>
      </c>
      <c r="N369" s="62">
        <v>154.49739975342453</v>
      </c>
      <c r="O369" s="62">
        <v>198.62658330663862</v>
      </c>
      <c r="P369" s="62">
        <v>393.75533099236611</v>
      </c>
      <c r="Q369" s="62">
        <v>689.2641302671758</v>
      </c>
      <c r="R369" s="62">
        <v>436.9671368219179</v>
      </c>
      <c r="S369" s="62">
        <v>443.44478137320914</v>
      </c>
      <c r="T369" s="62">
        <v>749.88953446575385</v>
      </c>
      <c r="U369" s="62">
        <v>1107.8037756980027</v>
      </c>
      <c r="V369" s="62">
        <v>1127.0109534246549</v>
      </c>
      <c r="W369" s="62">
        <v>1252.015343737321</v>
      </c>
      <c r="X369" s="62">
        <v>1237.7511623076934</v>
      </c>
      <c r="Y369" s="62">
        <v>1101.7297276923068</v>
      </c>
      <c r="Z369" s="62">
        <v>1010.2104845369879</v>
      </c>
      <c r="AA369" s="62">
        <v>1019.359515283908</v>
      </c>
      <c r="AB369" s="62">
        <v>982.43646767123482</v>
      </c>
      <c r="AC369" s="62">
        <v>1053.0484629452053</v>
      </c>
      <c r="AD369" s="62">
        <v>1043.5198497885697</v>
      </c>
      <c r="AE369" s="62">
        <v>969.34703038453642</v>
      </c>
      <c r="AF369" s="62">
        <v>1105.7356742047414</v>
      </c>
      <c r="AG369" s="62">
        <v>1008.424537685141</v>
      </c>
      <c r="AH369" s="62">
        <v>962.59338261948506</v>
      </c>
      <c r="AI369" s="62">
        <v>895.48145000814907</v>
      </c>
      <c r="AJ369" s="62">
        <v>917.81568261513894</v>
      </c>
      <c r="AK369" s="62">
        <v>921.61268497079845</v>
      </c>
      <c r="AL369" s="62">
        <v>818.01625248793368</v>
      </c>
      <c r="AM369" s="62">
        <v>515.55767030297272</v>
      </c>
      <c r="AN369" s="62">
        <v>445.81396199813742</v>
      </c>
      <c r="AO369" s="62">
        <v>474.96462781133971</v>
      </c>
      <c r="AP369" s="62">
        <v>716.33217898571581</v>
      </c>
      <c r="AQ369" s="62">
        <v>799.31601675760942</v>
      </c>
      <c r="AR369" s="62">
        <v>762.75176760785382</v>
      </c>
      <c r="AS369" s="62">
        <v>1244.1368643001958</v>
      </c>
      <c r="AT369" s="62">
        <v>1068.7829772782593</v>
      </c>
      <c r="AU369" s="62">
        <v>932.12313593529802</v>
      </c>
      <c r="AV369" s="220">
        <v>915.5007063280666</v>
      </c>
      <c r="AW369" s="62">
        <v>946.11615857937545</v>
      </c>
      <c r="AX369" s="62">
        <v>966.9147440140124</v>
      </c>
      <c r="AY369" s="62">
        <v>958.65018980679326</v>
      </c>
      <c r="AZ369" s="62">
        <v>894.90304932876177</v>
      </c>
      <c r="BA369" s="62">
        <v>896.86217096469454</v>
      </c>
      <c r="BB369" s="62">
        <v>903.55651861897832</v>
      </c>
      <c r="BC369" s="62">
        <v>930.99157299081014</v>
      </c>
      <c r="BD369" s="62">
        <v>956.70046026786599</v>
      </c>
      <c r="BE369" s="62">
        <v>985.89624999524767</v>
      </c>
      <c r="BF369" s="62">
        <v>1013.2837452196803</v>
      </c>
      <c r="BG369" s="62">
        <v>1050.1167362364665</v>
      </c>
      <c r="BH369" s="62">
        <v>1076.5135707290949</v>
      </c>
      <c r="BI369" s="62">
        <v>1115.8223445321346</v>
      </c>
      <c r="BJ369" s="62">
        <v>1146.5818104037469</v>
      </c>
      <c r="BK369" s="62">
        <v>1196.4284335089956</v>
      </c>
      <c r="BL369" s="62">
        <v>1240.8858834973082</v>
      </c>
      <c r="BM369" s="62">
        <v>1290.5213188372006</v>
      </c>
      <c r="BN369" s="62">
        <v>1318.7817599014388</v>
      </c>
      <c r="BO369" s="62">
        <v>1339.2880916625436</v>
      </c>
      <c r="BP369" s="62"/>
      <c r="BQ369" s="62">
        <v>-71.603458760924298</v>
      </c>
      <c r="BR369" s="62">
        <v>-67.291494292940612</v>
      </c>
      <c r="BS369" s="62">
        <v>-10.938320000000052</v>
      </c>
      <c r="BT369" s="62">
        <v>253.79387499999999</v>
      </c>
      <c r="BU369" s="62">
        <v>222.25305166666683</v>
      </c>
      <c r="BV369" s="62">
        <v>-2.902027333333379</v>
      </c>
      <c r="BW369" s="62">
        <v>-245.29312499999983</v>
      </c>
      <c r="BX369" s="62">
        <v>-77.431589499999916</v>
      </c>
      <c r="BY369" s="62">
        <v>110.62096461538444</v>
      </c>
      <c r="BZ369" s="62">
        <v>114.00750000000041</v>
      </c>
      <c r="CA369" s="62">
        <v>780.27645411917808</v>
      </c>
      <c r="CB369" s="62">
        <v>791.41832385936084</v>
      </c>
      <c r="CC369" s="62">
        <v>803.50558799999999</v>
      </c>
      <c r="CD369" s="62">
        <v>745.42960713424645</v>
      </c>
      <c r="CE369" s="62">
        <v>278.66909094899938</v>
      </c>
      <c r="CF369" s="62">
        <v>353.12398306006315</v>
      </c>
      <c r="CG369" s="62">
        <v>1083.0194612595419</v>
      </c>
      <c r="CH369" s="62">
        <v>880.4119181951271</v>
      </c>
      <c r="CI369" s="62">
        <v>1857.6933101637565</v>
      </c>
      <c r="CJ369" s="62">
        <v>2379.0262971619759</v>
      </c>
      <c r="CK369" s="62">
        <v>2339.4808900000003</v>
      </c>
      <c r="CL369" s="62">
        <v>2029.5699998208959</v>
      </c>
      <c r="CM369" s="62">
        <v>2035.4849306164401</v>
      </c>
      <c r="CN369" s="62">
        <v>2012.866880173106</v>
      </c>
      <c r="CO369" s="62">
        <v>2114.1602118898822</v>
      </c>
      <c r="CP369" s="62">
        <v>1858.0748326276341</v>
      </c>
      <c r="CQ369" s="62">
        <v>1839.4283675859374</v>
      </c>
      <c r="CR369" s="62">
        <v>1333.5739227909064</v>
      </c>
      <c r="CS369" s="62">
        <v>920.77858980947713</v>
      </c>
      <c r="CT369" s="62">
        <v>1515.6481957433252</v>
      </c>
      <c r="CU369" s="62">
        <v>2006.8886319080498</v>
      </c>
      <c r="CV369" s="220">
        <v>2000.9061132135573</v>
      </c>
      <c r="CW369" s="62">
        <v>1861.6168649074421</v>
      </c>
      <c r="CX369" s="62">
        <v>1925.5649338208057</v>
      </c>
      <c r="CY369" s="62">
        <v>1791.7652202934564</v>
      </c>
      <c r="CZ369" s="62">
        <v>1834.5480916097886</v>
      </c>
      <c r="DA369" s="62">
        <v>1942.5967102631137</v>
      </c>
      <c r="DB369" s="62">
        <v>2063.4004814561467</v>
      </c>
      <c r="DC369" s="62">
        <v>2192.3359152612293</v>
      </c>
      <c r="DD369" s="62">
        <v>2343.0102439127422</v>
      </c>
      <c r="DE369" s="62">
        <v>2531.4072023345088</v>
      </c>
      <c r="DF369" s="62">
        <v>2658.0698515639824</v>
      </c>
    </row>
    <row r="370" spans="1:110" ht="12" outlineLevel="1">
      <c r="C370" s="41"/>
      <c r="D370" s="41"/>
      <c r="E370" s="41"/>
      <c r="F370" s="41"/>
      <c r="G370" s="41"/>
      <c r="H370" s="41"/>
      <c r="I370" s="41"/>
      <c r="J370" s="41"/>
      <c r="K370" s="41"/>
      <c r="L370" s="41"/>
      <c r="M370" s="41"/>
      <c r="N370" s="41"/>
      <c r="O370" s="41"/>
      <c r="P370" s="41"/>
      <c r="Q370" s="41"/>
      <c r="R370" s="41"/>
      <c r="S370" s="41"/>
      <c r="T370" s="41"/>
      <c r="U370" s="41"/>
      <c r="V370" s="41"/>
      <c r="W370" s="41"/>
      <c r="X370" s="41"/>
      <c r="Y370" s="41"/>
      <c r="Z370" s="41"/>
      <c r="AA370" s="41"/>
      <c r="AB370" s="41"/>
      <c r="AC370" s="41"/>
      <c r="AD370" s="41"/>
      <c r="AE370" s="41"/>
      <c r="AF370" s="41"/>
      <c r="AG370" s="41"/>
      <c r="AH370" s="41"/>
      <c r="AI370" s="41"/>
      <c r="AJ370" s="41"/>
      <c r="AK370" s="41"/>
      <c r="AL370" s="41"/>
      <c r="AM370" s="41"/>
      <c r="AN370" s="41"/>
      <c r="AO370" s="41"/>
      <c r="AP370" s="41"/>
      <c r="AQ370" s="41"/>
      <c r="AR370" s="41"/>
      <c r="AS370" s="41"/>
      <c r="AT370" s="41"/>
      <c r="AU370" s="41"/>
      <c r="AV370" s="211"/>
      <c r="AW370" s="41"/>
      <c r="AX370" s="41"/>
      <c r="AY370" s="41"/>
      <c r="AZ370" s="41"/>
      <c r="BA370" s="41"/>
      <c r="BB370" s="41"/>
      <c r="BC370" s="41"/>
      <c r="BD370" s="41"/>
      <c r="BE370" s="41"/>
      <c r="BF370" s="41"/>
      <c r="BG370" s="41"/>
      <c r="BH370" s="41"/>
      <c r="BI370" s="41"/>
      <c r="BJ370" s="41"/>
      <c r="BK370" s="41"/>
      <c r="BL370" s="41"/>
      <c r="BM370" s="41"/>
      <c r="BN370" s="41"/>
      <c r="BO370" s="41"/>
      <c r="BP370" s="41"/>
      <c r="BQ370" s="41"/>
      <c r="BR370" s="41"/>
      <c r="BS370" s="41"/>
      <c r="BT370" s="41"/>
      <c r="BU370" s="41"/>
      <c r="BV370" s="41"/>
      <c r="BW370" s="41"/>
      <c r="BX370" s="41"/>
      <c r="BY370" s="41"/>
      <c r="BZ370" s="41"/>
      <c r="CA370" s="41"/>
      <c r="CB370" s="41"/>
      <c r="CC370" s="41"/>
      <c r="CD370" s="41"/>
      <c r="CE370" s="41"/>
      <c r="CF370" s="41"/>
      <c r="CG370" s="41"/>
      <c r="CH370" s="41"/>
      <c r="CI370" s="41"/>
      <c r="CJ370" s="41"/>
      <c r="CK370" s="41"/>
      <c r="CL370" s="41"/>
      <c r="CM370" s="41"/>
      <c r="CN370" s="41"/>
      <c r="CO370" s="41"/>
      <c r="CP370" s="41"/>
      <c r="CQ370" s="41"/>
      <c r="CR370" s="41"/>
      <c r="CS370" s="41"/>
      <c r="CT370" s="41"/>
      <c r="CU370" s="41"/>
      <c r="CV370" s="211"/>
      <c r="CW370" s="41"/>
      <c r="CX370" s="41"/>
      <c r="CY370" s="41"/>
      <c r="CZ370" s="41"/>
      <c r="DA370" s="41"/>
      <c r="DB370" s="41"/>
      <c r="DC370" s="41"/>
      <c r="DD370" s="41"/>
      <c r="DE370" s="41"/>
      <c r="DF370" s="41"/>
    </row>
    <row r="371" spans="1:110" s="17" customFormat="1" ht="12" outlineLevel="1">
      <c r="A371" s="15"/>
      <c r="B371" s="17" t="s">
        <v>499</v>
      </c>
      <c r="C371" s="62"/>
      <c r="D371" s="62"/>
      <c r="E371" s="62"/>
      <c r="F371" s="62"/>
      <c r="G371" s="62"/>
      <c r="H371" s="62"/>
      <c r="I371" s="62"/>
      <c r="J371" s="62"/>
      <c r="K371" s="62"/>
      <c r="L371" s="62"/>
      <c r="M371" s="62"/>
      <c r="N371" s="62"/>
      <c r="O371" s="62"/>
      <c r="P371" s="62"/>
      <c r="Q371" s="62"/>
      <c r="R371" s="62"/>
      <c r="S371" s="62"/>
      <c r="T371" s="62"/>
      <c r="U371" s="62"/>
      <c r="V371" s="62"/>
      <c r="W371" s="62"/>
      <c r="X371" s="62"/>
      <c r="Y371" s="62"/>
      <c r="Z371" s="62"/>
      <c r="AA371" s="62"/>
      <c r="AB371" s="62"/>
      <c r="AC371" s="62"/>
      <c r="AD371" s="62"/>
      <c r="AE371" s="62"/>
      <c r="AF371" s="62"/>
      <c r="AG371" s="62"/>
      <c r="AH371" s="62"/>
      <c r="AI371" s="62"/>
      <c r="AJ371" s="62"/>
      <c r="AK371" s="62"/>
      <c r="AL371" s="62"/>
      <c r="AM371" s="62"/>
      <c r="AN371" s="62"/>
      <c r="AO371" s="62"/>
      <c r="AP371" s="62"/>
      <c r="AQ371" s="62"/>
      <c r="AR371" s="62"/>
      <c r="AS371" s="62"/>
      <c r="AT371" s="62"/>
      <c r="AU371" s="62"/>
      <c r="AV371" s="220"/>
      <c r="AW371" s="62"/>
      <c r="AX371" s="62"/>
      <c r="AY371" s="62"/>
      <c r="AZ371" s="62"/>
      <c r="BA371" s="62"/>
      <c r="BB371" s="62"/>
      <c r="BC371" s="62"/>
      <c r="BD371" s="62"/>
      <c r="BE371" s="62"/>
      <c r="BF371" s="62"/>
      <c r="BG371" s="62"/>
      <c r="BH371" s="62"/>
      <c r="BI371" s="62"/>
      <c r="BJ371" s="62"/>
      <c r="BK371" s="62"/>
      <c r="BL371" s="62"/>
      <c r="BM371" s="62"/>
      <c r="BN371" s="62"/>
      <c r="BO371" s="62"/>
      <c r="BP371" s="62"/>
      <c r="BQ371" s="62"/>
      <c r="BR371" s="62"/>
      <c r="BS371" s="62"/>
      <c r="BT371" s="62"/>
      <c r="BU371" s="62"/>
      <c r="BV371" s="62"/>
      <c r="BW371" s="62"/>
      <c r="BX371" s="62"/>
      <c r="BY371" s="62"/>
      <c r="BZ371" s="62"/>
      <c r="CA371" s="62"/>
      <c r="CB371" s="62"/>
      <c r="CC371" s="62"/>
      <c r="CD371" s="62"/>
      <c r="CE371" s="62"/>
      <c r="CF371" s="62"/>
      <c r="CG371" s="62"/>
      <c r="CH371" s="62"/>
      <c r="CI371" s="62"/>
      <c r="CJ371" s="62"/>
      <c r="CK371" s="62"/>
      <c r="CL371" s="62"/>
      <c r="CM371" s="62"/>
      <c r="CN371" s="62"/>
      <c r="CO371" s="62"/>
      <c r="CP371" s="62"/>
      <c r="CQ371" s="62"/>
      <c r="CR371" s="62"/>
      <c r="CS371" s="62"/>
      <c r="CT371" s="62"/>
      <c r="CU371" s="62"/>
      <c r="CV371" s="220"/>
      <c r="CW371" s="62"/>
      <c r="CX371" s="62"/>
      <c r="CY371" s="62"/>
      <c r="CZ371" s="62"/>
      <c r="DA371" s="62"/>
      <c r="DB371" s="62"/>
      <c r="DC371" s="62"/>
      <c r="DD371" s="62"/>
      <c r="DE371" s="62"/>
      <c r="DF371" s="62"/>
    </row>
    <row r="372" spans="1:110" ht="12" outlineLevel="1">
      <c r="A372" s="1" t="s">
        <v>314</v>
      </c>
      <c r="B372" s="15" t="s">
        <v>592</v>
      </c>
      <c r="C372" s="41">
        <v>1019.4449375986301</v>
      </c>
      <c r="D372" s="41">
        <v>972.49837616438344</v>
      </c>
      <c r="E372" s="41">
        <v>1159.708925120548</v>
      </c>
      <c r="F372" s="41">
        <v>1206.4287830447488</v>
      </c>
      <c r="G372" s="41">
        <v>1225.9853868493153</v>
      </c>
      <c r="H372" s="41">
        <v>1677.2912499999998</v>
      </c>
      <c r="I372" s="41">
        <v>1831.303056</v>
      </c>
      <c r="J372" s="41">
        <v>1963.8642015105017</v>
      </c>
      <c r="K372" s="41">
        <v>2134.9177755095889</v>
      </c>
      <c r="L372" s="41">
        <v>757.08507971506833</v>
      </c>
      <c r="M372" s="41">
        <v>844.45203019452254</v>
      </c>
      <c r="N372" s="41">
        <v>938.6669004493142</v>
      </c>
      <c r="O372" s="41">
        <v>993.97759038061145</v>
      </c>
      <c r="P372" s="41">
        <v>1257.0147691603042</v>
      </c>
      <c r="Q372" s="41">
        <v>1243.8586351526722</v>
      </c>
      <c r="R372" s="41">
        <v>487.18167276164411</v>
      </c>
      <c r="S372" s="41">
        <v>523.00449004977452</v>
      </c>
      <c r="T372" s="41">
        <v>854.65744854794627</v>
      </c>
      <c r="U372" s="41">
        <v>1060.2639544076128</v>
      </c>
      <c r="V372" s="41">
        <v>1059.9868810958847</v>
      </c>
      <c r="W372" s="41">
        <v>1136.5650883446622</v>
      </c>
      <c r="X372" s="41">
        <v>999.2216707692329</v>
      </c>
      <c r="Y372" s="41">
        <v>598.79888923076783</v>
      </c>
      <c r="Z372" s="41">
        <v>438.97157269041389</v>
      </c>
      <c r="AA372" s="41">
        <v>652.73708991948331</v>
      </c>
      <c r="AB372" s="41">
        <v>624.84619917808527</v>
      </c>
      <c r="AC372" s="41">
        <v>615.86722657534222</v>
      </c>
      <c r="AD372" s="41">
        <v>452.58262197041302</v>
      </c>
      <c r="AE372" s="41">
        <v>315.19638444421099</v>
      </c>
      <c r="AF372" s="41">
        <v>601.48210725190427</v>
      </c>
      <c r="AG372" s="41">
        <v>473.73899029389145</v>
      </c>
      <c r="AH372" s="41">
        <v>488.92566469260305</v>
      </c>
      <c r="AI372" s="41">
        <v>549.89450731672241</v>
      </c>
      <c r="AJ372" s="41">
        <v>464.17653097594103</v>
      </c>
      <c r="AK372" s="41">
        <v>701.05915209695308</v>
      </c>
      <c r="AL372" s="41">
        <v>602.93778418988916</v>
      </c>
      <c r="AM372" s="41">
        <v>-49.213463612439675</v>
      </c>
      <c r="AN372" s="41">
        <v>-215.83320383753906</v>
      </c>
      <c r="AO372" s="41">
        <v>-803.86180194864539</v>
      </c>
      <c r="AP372" s="41">
        <v>-799.04698348133752</v>
      </c>
      <c r="AQ372" s="41">
        <v>-742.33500948781978</v>
      </c>
      <c r="AR372" s="41">
        <v>-694.34073212957185</v>
      </c>
      <c r="AS372" s="41">
        <v>1373.9217361264512</v>
      </c>
      <c r="AT372" s="41">
        <v>1701.4481162796171</v>
      </c>
      <c r="AU372" s="41">
        <v>1507.9023353849479</v>
      </c>
      <c r="AV372" s="211">
        <v>1159.9026401612284</v>
      </c>
      <c r="AW372" s="41"/>
      <c r="AX372" s="41"/>
      <c r="AY372" s="41"/>
      <c r="AZ372" s="41"/>
      <c r="BA372" s="41"/>
      <c r="BB372" s="41"/>
      <c r="BC372" s="41"/>
      <c r="BD372" s="41"/>
      <c r="BE372" s="41"/>
      <c r="BF372" s="41"/>
      <c r="BG372" s="41"/>
      <c r="BH372" s="41"/>
      <c r="BI372" s="41"/>
      <c r="BJ372" s="41"/>
      <c r="BK372" s="41"/>
      <c r="BL372" s="41"/>
      <c r="BM372" s="41"/>
      <c r="BN372" s="41"/>
      <c r="BO372" s="41"/>
      <c r="BP372" s="41"/>
      <c r="BQ372" s="41"/>
      <c r="BR372" s="41"/>
      <c r="BS372" s="41"/>
      <c r="BT372" s="41"/>
      <c r="BU372" s="41"/>
      <c r="BV372" s="41"/>
      <c r="BW372" s="41"/>
      <c r="BX372" s="41"/>
      <c r="BY372" s="41"/>
      <c r="BZ372" s="41"/>
      <c r="CA372" s="41">
        <v>2132.2073012849314</v>
      </c>
      <c r="CB372" s="41">
        <v>2432.4141698940639</v>
      </c>
      <c r="CC372" s="41">
        <v>3508.594306</v>
      </c>
      <c r="CD372" s="41">
        <v>4098.7819770200904</v>
      </c>
      <c r="CE372" s="41">
        <v>1601.537109909591</v>
      </c>
      <c r="CF372" s="41">
        <v>1932.6444908299256</v>
      </c>
      <c r="CG372" s="41">
        <v>2500.8734043129762</v>
      </c>
      <c r="CH372" s="41">
        <v>1010.1861628114186</v>
      </c>
      <c r="CI372" s="41">
        <v>1914.9214029555592</v>
      </c>
      <c r="CJ372" s="41">
        <v>2196.5519694405466</v>
      </c>
      <c r="CK372" s="41">
        <v>1598.0205600000008</v>
      </c>
      <c r="CL372" s="41">
        <v>1091.7086626098971</v>
      </c>
      <c r="CM372" s="41">
        <v>1240.7134257534276</v>
      </c>
      <c r="CN372" s="41">
        <v>767.77900641462406</v>
      </c>
      <c r="CO372" s="41">
        <v>1075.2210975457956</v>
      </c>
      <c r="CP372" s="41">
        <v>1038.8201720093255</v>
      </c>
      <c r="CQ372" s="41">
        <v>1165.2356830728941</v>
      </c>
      <c r="CR372" s="41">
        <v>553.72432057744948</v>
      </c>
      <c r="CS372" s="41">
        <v>-1019.6950057861844</v>
      </c>
      <c r="CT372" s="41">
        <v>-1541.3819929691572</v>
      </c>
      <c r="CU372" s="41">
        <v>679.5810039968793</v>
      </c>
      <c r="CV372" s="211">
        <v>3209.3504516645653</v>
      </c>
      <c r="CW372" s="41">
        <v>1159.9026401612284</v>
      </c>
      <c r="CX372" s="41">
        <v>0</v>
      </c>
      <c r="CY372" s="41">
        <v>0</v>
      </c>
      <c r="CZ372" s="41">
        <v>0</v>
      </c>
      <c r="DA372" s="41">
        <v>0</v>
      </c>
      <c r="DB372" s="41">
        <v>0</v>
      </c>
      <c r="DC372" s="41">
        <v>0</v>
      </c>
      <c r="DD372" s="41">
        <v>0</v>
      </c>
      <c r="DE372" s="41">
        <v>0</v>
      </c>
      <c r="DF372" s="41">
        <v>0</v>
      </c>
    </row>
    <row r="373" spans="1:110" ht="12" outlineLevel="1">
      <c r="A373" s="1" t="s">
        <v>315</v>
      </c>
      <c r="B373" s="15" t="s">
        <v>593</v>
      </c>
      <c r="C373" s="41">
        <v>1000.7453337849312</v>
      </c>
      <c r="D373" s="41">
        <v>946.43480438356153</v>
      </c>
      <c r="E373" s="41">
        <v>1131.258295158904</v>
      </c>
      <c r="F373" s="41">
        <v>1205.7329233305936</v>
      </c>
      <c r="G373" s="41">
        <v>1224.7101233561648</v>
      </c>
      <c r="H373" s="41">
        <v>1644.7322916666667</v>
      </c>
      <c r="I373" s="41">
        <v>1885.7277859999999</v>
      </c>
      <c r="J373" s="41">
        <v>2092.4283665050225</v>
      </c>
      <c r="K373" s="41">
        <v>2181.5036839123291</v>
      </c>
      <c r="L373" s="41">
        <v>-85.038118761643787</v>
      </c>
      <c r="M373" s="41">
        <v>-8.4731149812409523</v>
      </c>
      <c r="N373" s="41">
        <v>15.439421830136506</v>
      </c>
      <c r="O373" s="41">
        <v>26.524364182929805</v>
      </c>
      <c r="P373" s="41">
        <v>315.71614656488418</v>
      </c>
      <c r="Q373" s="41">
        <v>493.92413015267243</v>
      </c>
      <c r="R373" s="41">
        <v>-748.51897361643739</v>
      </c>
      <c r="S373" s="41">
        <v>-105.20518688194127</v>
      </c>
      <c r="T373" s="41">
        <v>446.70685895890585</v>
      </c>
      <c r="U373" s="41">
        <v>699.60148729478192</v>
      </c>
      <c r="V373" s="41">
        <v>544.98887726026442</v>
      </c>
      <c r="W373" s="41">
        <v>579.25270812924873</v>
      </c>
      <c r="X373" s="41">
        <v>424.7107192307725</v>
      </c>
      <c r="Y373" s="41">
        <v>-35.477350769232999</v>
      </c>
      <c r="Z373" s="41">
        <v>-93.684483205474919</v>
      </c>
      <c r="AA373" s="41">
        <v>-20.960188942797711</v>
      </c>
      <c r="AB373" s="41">
        <v>51.500328219182684</v>
      </c>
      <c r="AC373" s="41">
        <v>174.0966528767114</v>
      </c>
      <c r="AD373" s="41">
        <v>196.49744026739944</v>
      </c>
      <c r="AE373" s="41">
        <v>37.004719393494966</v>
      </c>
      <c r="AF373" s="41">
        <v>237.77238969465205</v>
      </c>
      <c r="AG373" s="41">
        <v>-76.861942309162075</v>
      </c>
      <c r="AH373" s="41">
        <v>-277.41099701041065</v>
      </c>
      <c r="AI373" s="41">
        <v>-517.55209572701381</v>
      </c>
      <c r="AJ373" s="41">
        <v>-473.83831802739815</v>
      </c>
      <c r="AK373" s="41">
        <v>-481.29304188198057</v>
      </c>
      <c r="AL373" s="41">
        <v>-729.71811923287169</v>
      </c>
      <c r="AM373" s="41">
        <v>-1481.4788524521591</v>
      </c>
      <c r="AN373" s="41">
        <v>-1406.6518164122122</v>
      </c>
      <c r="AO373" s="41">
        <v>-1222.4421656488546</v>
      </c>
      <c r="AP373" s="41">
        <v>-649.10912619228804</v>
      </c>
      <c r="AQ373" s="41">
        <v>-405.07711184931514</v>
      </c>
      <c r="AR373" s="41">
        <v>-387.05834289972603</v>
      </c>
      <c r="AS373" s="41">
        <v>260.35769452598606</v>
      </c>
      <c r="AT373" s="41">
        <v>-278.27799763013695</v>
      </c>
      <c r="AU373" s="41">
        <v>-703.61097358364282</v>
      </c>
      <c r="AV373" s="211">
        <v>-968.4248304807694</v>
      </c>
      <c r="AW373" s="41"/>
      <c r="AX373" s="41"/>
      <c r="AY373" s="41"/>
      <c r="AZ373" s="41"/>
      <c r="BA373" s="41"/>
      <c r="BB373" s="41"/>
      <c r="BC373" s="41"/>
      <c r="BD373" s="41"/>
      <c r="BE373" s="41"/>
      <c r="BF373" s="41"/>
      <c r="BG373" s="41"/>
      <c r="BH373" s="41"/>
      <c r="BI373" s="41"/>
      <c r="BJ373" s="41"/>
      <c r="BK373" s="41"/>
      <c r="BL373" s="41"/>
      <c r="BM373" s="41"/>
      <c r="BN373" s="41"/>
      <c r="BO373" s="41"/>
      <c r="BP373" s="41"/>
      <c r="BQ373" s="41"/>
      <c r="BR373" s="41"/>
      <c r="BS373" s="41"/>
      <c r="BT373" s="41"/>
      <c r="BU373" s="41"/>
      <c r="BV373" s="41"/>
      <c r="BW373" s="41"/>
      <c r="BX373" s="41"/>
      <c r="BY373" s="41"/>
      <c r="BZ373" s="41"/>
      <c r="CA373" s="41">
        <v>2077.6930995424655</v>
      </c>
      <c r="CB373" s="41">
        <v>2430.4430466867584</v>
      </c>
      <c r="CC373" s="41">
        <v>3530.4600776666666</v>
      </c>
      <c r="CD373" s="41">
        <v>4273.932050417352</v>
      </c>
      <c r="CE373" s="41">
        <v>-93.511233742884741</v>
      </c>
      <c r="CF373" s="41">
        <v>41.963786013066311</v>
      </c>
      <c r="CG373" s="41">
        <v>809.64027671755662</v>
      </c>
      <c r="CH373" s="41">
        <v>-853.72416049837864</v>
      </c>
      <c r="CI373" s="41">
        <v>1146.3083462536879</v>
      </c>
      <c r="CJ373" s="41">
        <v>1124.2415853895131</v>
      </c>
      <c r="CK373" s="41">
        <v>389.2333684615395</v>
      </c>
      <c r="CL373" s="41">
        <v>-114.64467214827263</v>
      </c>
      <c r="CM373" s="41">
        <v>225.59698109589408</v>
      </c>
      <c r="CN373" s="41">
        <v>233.50215966089439</v>
      </c>
      <c r="CO373" s="41">
        <v>160.91044738548999</v>
      </c>
      <c r="CP373" s="41">
        <v>-794.9630927374244</v>
      </c>
      <c r="CQ373" s="41">
        <v>-955.13135990937872</v>
      </c>
      <c r="CR373" s="41">
        <v>-2211.1969716850308</v>
      </c>
      <c r="CS373" s="41">
        <v>-2629.0939820610665</v>
      </c>
      <c r="CT373" s="41">
        <v>-1054.1862380416032</v>
      </c>
      <c r="CU373" s="41">
        <v>-126.70064837373997</v>
      </c>
      <c r="CV373" s="211">
        <v>-981.88897121377977</v>
      </c>
      <c r="CW373" s="41">
        <v>-968.4248304807694</v>
      </c>
      <c r="CX373" s="41">
        <v>0</v>
      </c>
      <c r="CY373" s="41">
        <v>0</v>
      </c>
      <c r="CZ373" s="41">
        <v>0</v>
      </c>
      <c r="DA373" s="41">
        <v>0</v>
      </c>
      <c r="DB373" s="41">
        <v>0</v>
      </c>
      <c r="DC373" s="41">
        <v>0</v>
      </c>
      <c r="DD373" s="41">
        <v>0</v>
      </c>
      <c r="DE373" s="41">
        <v>0</v>
      </c>
      <c r="DF373" s="41">
        <v>0</v>
      </c>
    </row>
    <row r="374" spans="1:110" s="17" customFormat="1" ht="12" outlineLevel="1">
      <c r="A374" s="1" t="s">
        <v>316</v>
      </c>
      <c r="B374" s="17" t="s">
        <v>168</v>
      </c>
      <c r="C374" s="62">
        <v>2020.1902713835609</v>
      </c>
      <c r="D374" s="62">
        <v>1918.9331805479446</v>
      </c>
      <c r="E374" s="62">
        <v>2290.9672202794522</v>
      </c>
      <c r="F374" s="62">
        <v>2412.1617063753424</v>
      </c>
      <c r="G374" s="62">
        <v>2450.6955102054803</v>
      </c>
      <c r="H374" s="62">
        <v>3322.0235416666665</v>
      </c>
      <c r="I374" s="62">
        <v>3717.0308420000001</v>
      </c>
      <c r="J374" s="62">
        <v>4056.2925680155245</v>
      </c>
      <c r="K374" s="62">
        <v>4316.4214594219166</v>
      </c>
      <c r="L374" s="62">
        <v>672.04696095342467</v>
      </c>
      <c r="M374" s="62">
        <v>835.97891521328165</v>
      </c>
      <c r="N374" s="62">
        <v>954.10632227945075</v>
      </c>
      <c r="O374" s="62">
        <v>1020.5019545635412</v>
      </c>
      <c r="P374" s="62">
        <v>1572.7309157251884</v>
      </c>
      <c r="Q374" s="62">
        <v>1737.7827653053446</v>
      </c>
      <c r="R374" s="62">
        <v>-261.33730085479345</v>
      </c>
      <c r="S374" s="62">
        <v>417.79930316783339</v>
      </c>
      <c r="T374" s="62">
        <v>1301.3643075068521</v>
      </c>
      <c r="U374" s="62">
        <v>1759.8654417023945</v>
      </c>
      <c r="V374" s="62">
        <v>1604.9757583561491</v>
      </c>
      <c r="W374" s="62">
        <v>1715.8177964739107</v>
      </c>
      <c r="X374" s="62">
        <v>1423.9323900000054</v>
      </c>
      <c r="Y374" s="62">
        <v>563.32153846153471</v>
      </c>
      <c r="Z374" s="62">
        <v>345.28708948493903</v>
      </c>
      <c r="AA374" s="62">
        <v>631.77690097668562</v>
      </c>
      <c r="AB374" s="62">
        <v>676.34652739726812</v>
      </c>
      <c r="AC374" s="62">
        <v>789.96387945205367</v>
      </c>
      <c r="AD374" s="62">
        <v>649.0800622378124</v>
      </c>
      <c r="AE374" s="62">
        <v>352.20110383770594</v>
      </c>
      <c r="AF374" s="62">
        <v>839.25449694655629</v>
      </c>
      <c r="AG374" s="62">
        <v>396.87704798472936</v>
      </c>
      <c r="AH374" s="62">
        <v>211.5146676821924</v>
      </c>
      <c r="AI374" s="62">
        <v>32.342411589708604</v>
      </c>
      <c r="AJ374" s="62">
        <v>-9.6617870514571109</v>
      </c>
      <c r="AK374" s="62">
        <v>219.76611021497251</v>
      </c>
      <c r="AL374" s="62">
        <v>-126.78033504298253</v>
      </c>
      <c r="AM374" s="62">
        <v>-1530.6923160645988</v>
      </c>
      <c r="AN374" s="62">
        <v>-1622.4850202497512</v>
      </c>
      <c r="AO374" s="62">
        <v>-2026.3039675975001</v>
      </c>
      <c r="AP374" s="62">
        <v>-1448.1561096736255</v>
      </c>
      <c r="AQ374" s="62">
        <v>-1147.412121337135</v>
      </c>
      <c r="AR374" s="62">
        <v>-1081.3990750292978</v>
      </c>
      <c r="AS374" s="62">
        <v>1634.2794306524372</v>
      </c>
      <c r="AT374" s="62">
        <v>1423.1701186494802</v>
      </c>
      <c r="AU374" s="62">
        <v>804.29136180130513</v>
      </c>
      <c r="AV374" s="220">
        <v>191.47780968045902</v>
      </c>
      <c r="AW374" s="62">
        <v>273.54738810307185</v>
      </c>
      <c r="AX374" s="62">
        <v>326.40012053013709</v>
      </c>
      <c r="AY374" s="62">
        <v>385.77577208557466</v>
      </c>
      <c r="AZ374" s="62">
        <v>368.20893120449864</v>
      </c>
      <c r="BA374" s="62">
        <v>374.43873740423157</v>
      </c>
      <c r="BB374" s="62">
        <v>370.0120045681208</v>
      </c>
      <c r="BC374" s="62">
        <v>374.62786237398723</v>
      </c>
      <c r="BD374" s="62">
        <v>399.46118915690704</v>
      </c>
      <c r="BE374" s="62">
        <v>426.22602435319595</v>
      </c>
      <c r="BF374" s="62">
        <v>452.68817378644098</v>
      </c>
      <c r="BG374" s="62">
        <v>483.9349719230961</v>
      </c>
      <c r="BH374" s="62">
        <v>510.90055535102067</v>
      </c>
      <c r="BI374" s="62">
        <v>544.53031362828392</v>
      </c>
      <c r="BJ374" s="62">
        <v>573.61701834345649</v>
      </c>
      <c r="BK374" s="62">
        <v>610.9521450127836</v>
      </c>
      <c r="BL374" s="62">
        <v>645.25201656461275</v>
      </c>
      <c r="BM374" s="62">
        <v>682.89361931903602</v>
      </c>
      <c r="BN374" s="62">
        <v>703.71871906295235</v>
      </c>
      <c r="BO374" s="62">
        <v>714.66115848574429</v>
      </c>
      <c r="BP374" s="62"/>
      <c r="BQ374" s="62">
        <v>-95.387412499998902</v>
      </c>
      <c r="BR374" s="62">
        <v>-9.9372999999998015</v>
      </c>
      <c r="BS374" s="62">
        <v>270.96835249999987</v>
      </c>
      <c r="BT374" s="62">
        <v>1251.5344250000001</v>
      </c>
      <c r="BU374" s="62">
        <v>931.29141833333415</v>
      </c>
      <c r="BV374" s="62">
        <v>593.26816199999973</v>
      </c>
      <c r="BW374" s="62">
        <v>-168.45124999999919</v>
      </c>
      <c r="BX374" s="62">
        <v>660.7553302500005</v>
      </c>
      <c r="BY374" s="62">
        <v>1130.5927923076915</v>
      </c>
      <c r="BZ374" s="62">
        <v>827.82228000000259</v>
      </c>
      <c r="CA374" s="62">
        <v>4209.9004008273969</v>
      </c>
      <c r="CB374" s="62">
        <v>4862.8572165808228</v>
      </c>
      <c r="CC374" s="62">
        <v>7039.0543836666666</v>
      </c>
      <c r="CD374" s="62">
        <v>8372.7140274374415</v>
      </c>
      <c r="CE374" s="62">
        <v>1508.0258761667064</v>
      </c>
      <c r="CF374" s="62">
        <v>1974.6082768429919</v>
      </c>
      <c r="CG374" s="62">
        <v>3310.513681030533</v>
      </c>
      <c r="CH374" s="62">
        <v>156.46200231303993</v>
      </c>
      <c r="CI374" s="62">
        <v>3061.2297492092466</v>
      </c>
      <c r="CJ374" s="62">
        <v>3320.7935548300597</v>
      </c>
      <c r="CK374" s="62">
        <v>1987.25392846154</v>
      </c>
      <c r="CL374" s="62">
        <v>977.0639904616246</v>
      </c>
      <c r="CM374" s="62">
        <v>1466.3104068493217</v>
      </c>
      <c r="CN374" s="62">
        <v>1001.2811660755183</v>
      </c>
      <c r="CO374" s="62">
        <v>1236.1315449312856</v>
      </c>
      <c r="CP374" s="62">
        <v>243.857079271901</v>
      </c>
      <c r="CQ374" s="62">
        <v>210.1043231635154</v>
      </c>
      <c r="CR374" s="62">
        <v>-1657.4726511075814</v>
      </c>
      <c r="CS374" s="62">
        <v>-3648.7889878472515</v>
      </c>
      <c r="CT374" s="62">
        <v>-2595.5682310107604</v>
      </c>
      <c r="CU374" s="62">
        <v>552.88035562313939</v>
      </c>
      <c r="CV374" s="220">
        <v>2227.4614804507855</v>
      </c>
      <c r="CW374" s="62">
        <v>465.02519778353087</v>
      </c>
      <c r="CX374" s="62">
        <v>712.17589261571175</v>
      </c>
      <c r="CY374" s="62">
        <v>742.64766860873021</v>
      </c>
      <c r="CZ374" s="62">
        <v>744.63986694210803</v>
      </c>
      <c r="DA374" s="62">
        <v>825.68721351010299</v>
      </c>
      <c r="DB374" s="62">
        <v>936.62314570953708</v>
      </c>
      <c r="DC374" s="62">
        <v>1055.4308689793047</v>
      </c>
      <c r="DD374" s="62">
        <v>1184.5691633562401</v>
      </c>
      <c r="DE374" s="62">
        <v>1328.1456358836488</v>
      </c>
      <c r="DF374" s="62">
        <v>1418.3798775486966</v>
      </c>
    </row>
    <row r="375" spans="1:110" ht="12" outlineLevel="1">
      <c r="A375" s="1" t="s">
        <v>317</v>
      </c>
      <c r="B375" s="15" t="s">
        <v>277</v>
      </c>
      <c r="C375" s="41">
        <v>1892.8149642917806</v>
      </c>
      <c r="D375" s="41">
        <v>1701.5568246575338</v>
      </c>
      <c r="E375" s="41">
        <v>1999.3352421465761</v>
      </c>
      <c r="F375" s="41">
        <v>1410.1509007324203</v>
      </c>
      <c r="G375" s="41">
        <v>1225.1702390410962</v>
      </c>
      <c r="H375" s="41">
        <v>252.20375000000104</v>
      </c>
      <c r="I375" s="41">
        <v>-903.51094399999874</v>
      </c>
      <c r="J375" s="41">
        <v>-3616.7305890712332</v>
      </c>
      <c r="K375" s="41">
        <v>-4112.388899986302</v>
      </c>
      <c r="L375" s="41">
        <v>-230.80080258630215</v>
      </c>
      <c r="M375" s="41">
        <v>-13.695611207372091</v>
      </c>
      <c r="N375" s="41">
        <v>-121.41091125479741</v>
      </c>
      <c r="O375" s="41">
        <v>-179.09381784699553</v>
      </c>
      <c r="P375" s="41">
        <v>8.1205384732809307</v>
      </c>
      <c r="Q375" s="41">
        <v>101.40297267175595</v>
      </c>
      <c r="R375" s="41">
        <v>-931.07183192328489</v>
      </c>
      <c r="S375" s="41">
        <v>-405.00246499236709</v>
      </c>
      <c r="T375" s="41">
        <v>-50.079065643834475</v>
      </c>
      <c r="U375" s="41">
        <v>-75.462556833627701</v>
      </c>
      <c r="V375" s="41">
        <v>-71.684225205483003</v>
      </c>
      <c r="W375" s="41">
        <v>-0.9364788790149956</v>
      </c>
      <c r="X375" s="41">
        <v>13.743849230771275</v>
      </c>
      <c r="Y375" s="41">
        <v>-242.99136615384759</v>
      </c>
      <c r="Z375" s="41">
        <v>-365.6576076328746</v>
      </c>
      <c r="AA375" s="41">
        <v>-658.8351446784468</v>
      </c>
      <c r="AB375" s="41">
        <v>-621.21767753424433</v>
      </c>
      <c r="AC375" s="41">
        <v>-534.86257869862948</v>
      </c>
      <c r="AD375" s="41">
        <v>-314.95847683945033</v>
      </c>
      <c r="AE375" s="41">
        <v>-600.09029022273421</v>
      </c>
      <c r="AF375" s="41">
        <v>-374.15981564885647</v>
      </c>
      <c r="AG375" s="41">
        <v>-832.72688420611007</v>
      </c>
      <c r="AH375" s="41">
        <v>-831.42134894904189</v>
      </c>
      <c r="AI375" s="41">
        <v>-980.7516700999729</v>
      </c>
      <c r="AJ375" s="41">
        <v>-1057.9397803835618</v>
      </c>
      <c r="AK375" s="41">
        <v>-1130.5540602360404</v>
      </c>
      <c r="AL375" s="41">
        <v>-1159.5498776986267</v>
      </c>
      <c r="AM375" s="41">
        <v>-1606.5446987137925</v>
      </c>
      <c r="AN375" s="41">
        <v>-1594.6612767175559</v>
      </c>
      <c r="AO375" s="41">
        <v>-1309.3339480916025</v>
      </c>
      <c r="AP375" s="41">
        <v>-1305.462375634196</v>
      </c>
      <c r="AQ375" s="41">
        <v>-1170.3311188767123</v>
      </c>
      <c r="AR375" s="41">
        <v>-1165.9205812471232</v>
      </c>
      <c r="AS375" s="41">
        <v>-356.76981807173325</v>
      </c>
      <c r="AT375" s="41">
        <v>-886.2649974701369</v>
      </c>
      <c r="AU375" s="41">
        <v>-1069.99179194769</v>
      </c>
      <c r="AV375" s="211">
        <v>-1146.2051150961538</v>
      </c>
      <c r="AW375" s="41">
        <v>-1170.3744124058883</v>
      </c>
      <c r="AX375" s="41">
        <v>-1275.9508391540019</v>
      </c>
      <c r="AY375" s="41">
        <v>-1314.9653626266693</v>
      </c>
      <c r="AZ375" s="41">
        <v>-1380.4964961425906</v>
      </c>
      <c r="BA375" s="41">
        <v>-1409.7554910785373</v>
      </c>
      <c r="BB375" s="41">
        <v>-1439.4870249571425</v>
      </c>
      <c r="BC375" s="41">
        <v>-1486.206836182201</v>
      </c>
      <c r="BD375" s="41">
        <v>-1504.9927937387076</v>
      </c>
      <c r="BE375" s="41">
        <v>-1527.3068600201498</v>
      </c>
      <c r="BF375" s="41">
        <v>-1546.2561696961316</v>
      </c>
      <c r="BG375" s="41">
        <v>-1577.8718239571351</v>
      </c>
      <c r="BH375" s="41">
        <v>-1593.0673690270071</v>
      </c>
      <c r="BI375" s="41">
        <v>-1616.1113308871272</v>
      </c>
      <c r="BJ375" s="41">
        <v>-1625.1209064882185</v>
      </c>
      <c r="BK375" s="41">
        <v>-1662.0207716814732</v>
      </c>
      <c r="BL375" s="41">
        <v>-1685.927777594304</v>
      </c>
      <c r="BM375" s="41">
        <v>-1714.5619332988604</v>
      </c>
      <c r="BN375" s="41">
        <v>-1731.9159209936713</v>
      </c>
      <c r="BO375" s="41">
        <v>-1755.7083154484437</v>
      </c>
      <c r="BP375" s="41"/>
      <c r="BQ375" s="41">
        <v>941.17628750000017</v>
      </c>
      <c r="BR375" s="41">
        <v>-282.1155249999992</v>
      </c>
      <c r="BS375" s="41">
        <v>88.810058333333188</v>
      </c>
      <c r="BT375" s="41">
        <v>69.287550000000351</v>
      </c>
      <c r="BU375" s="41">
        <v>-31.050638333332987</v>
      </c>
      <c r="BV375" s="41">
        <v>-514.82496766666691</v>
      </c>
      <c r="BW375" s="41">
        <v>-140.49499999999972</v>
      </c>
      <c r="BX375" s="41">
        <v>-278.7482764999998</v>
      </c>
      <c r="BY375" s="41">
        <v>-218.18503423077027</v>
      </c>
      <c r="BZ375" s="41">
        <v>-419.72998999999851</v>
      </c>
      <c r="CA375" s="41">
        <v>3700.8920668041101</v>
      </c>
      <c r="CB375" s="41">
        <v>2635.3211397735167</v>
      </c>
      <c r="CC375" s="41">
        <v>-651.30719399999771</v>
      </c>
      <c r="CD375" s="41">
        <v>-7729.1194890575352</v>
      </c>
      <c r="CE375" s="41">
        <v>-244.49641379367424</v>
      </c>
      <c r="CF375" s="41">
        <v>-300.50472910179292</v>
      </c>
      <c r="CG375" s="41">
        <v>109.52351114503688</v>
      </c>
      <c r="CH375" s="41">
        <v>-1336.074296915652</v>
      </c>
      <c r="CI375" s="41">
        <v>-125.54162247746217</v>
      </c>
      <c r="CJ375" s="41">
        <v>-72.620704084498001</v>
      </c>
      <c r="CK375" s="41">
        <v>-229.24751692307632</v>
      </c>
      <c r="CL375" s="41">
        <v>-1024.4927523113215</v>
      </c>
      <c r="CM375" s="41">
        <v>-1156.0802562328738</v>
      </c>
      <c r="CN375" s="41">
        <v>-915.04876706218454</v>
      </c>
      <c r="CO375" s="41">
        <v>-1206.8866998549665</v>
      </c>
      <c r="CP375" s="41">
        <v>-1812.1730190490148</v>
      </c>
      <c r="CQ375" s="41">
        <v>-2188.4938406196025</v>
      </c>
      <c r="CR375" s="41">
        <v>-2766.094576412419</v>
      </c>
      <c r="CS375" s="41">
        <v>-2903.9952248091586</v>
      </c>
      <c r="CT375" s="41">
        <v>-2475.7934945109082</v>
      </c>
      <c r="CU375" s="41">
        <v>-1522.6903993188564</v>
      </c>
      <c r="CV375" s="211">
        <v>-1956.2567894178269</v>
      </c>
      <c r="CW375" s="41">
        <v>-2316.5795275020419</v>
      </c>
      <c r="CX375" s="41">
        <v>-2590.9162017806711</v>
      </c>
      <c r="CY375" s="41">
        <v>-2790.2519872211278</v>
      </c>
      <c r="CZ375" s="41">
        <v>-2925.6938611393434</v>
      </c>
      <c r="DA375" s="41">
        <v>-3032.2996537588574</v>
      </c>
      <c r="DB375" s="41">
        <v>-3124.1279936532665</v>
      </c>
      <c r="DC375" s="41">
        <v>-3209.1786999141341</v>
      </c>
      <c r="DD375" s="41">
        <v>-3287.1416781696917</v>
      </c>
      <c r="DE375" s="41">
        <v>-3400.4897108931646</v>
      </c>
      <c r="DF375" s="41">
        <v>-3487.624236442115</v>
      </c>
    </row>
    <row r="376" spans="1:110" ht="12" outlineLevel="1">
      <c r="A376" s="1" t="s">
        <v>225</v>
      </c>
      <c r="B376" s="15" t="s">
        <v>278</v>
      </c>
      <c r="C376" s="41">
        <v>-3356.6519298863009</v>
      </c>
      <c r="D376" s="41">
        <v>-2933.7875690410956</v>
      </c>
      <c r="E376" s="41">
        <v>-3247.1504149191783</v>
      </c>
      <c r="F376" s="41">
        <v>-2884.4344958237443</v>
      </c>
      <c r="G376" s="41">
        <v>-2748.313135616439</v>
      </c>
      <c r="H376" s="41">
        <v>-2190.8385416666665</v>
      </c>
      <c r="I376" s="41">
        <v>-1484.437938</v>
      </c>
      <c r="J376" s="41">
        <v>413.19627157442915</v>
      </c>
      <c r="K376" s="41">
        <v>447.1792986958904</v>
      </c>
      <c r="L376" s="41">
        <v>421.59515148493153</v>
      </c>
      <c r="M376" s="41">
        <v>452.63087399241351</v>
      </c>
      <c r="N376" s="41">
        <v>557.4784502958903</v>
      </c>
      <c r="O376" s="41">
        <v>458.79583476290838</v>
      </c>
      <c r="P376" s="41">
        <v>482.88466167938918</v>
      </c>
      <c r="Q376" s="41">
        <v>623.46780645038177</v>
      </c>
      <c r="R376" s="41">
        <v>511.30297507397268</v>
      </c>
      <c r="S376" s="41">
        <v>320.20988432562996</v>
      </c>
      <c r="T376" s="41">
        <v>400.93974794520562</v>
      </c>
      <c r="U376" s="41">
        <v>465.02389678971031</v>
      </c>
      <c r="V376" s="41">
        <v>454.27255616438265</v>
      </c>
      <c r="W376" s="41">
        <v>463.84953777684831</v>
      </c>
      <c r="X376" s="41">
        <v>581.25499307692348</v>
      </c>
      <c r="Y376" s="41">
        <v>572.98889769230732</v>
      </c>
      <c r="Z376" s="41">
        <v>501.80744189589097</v>
      </c>
      <c r="AA376" s="41">
        <v>510.04857687336653</v>
      </c>
      <c r="AB376" s="41">
        <v>515.14479397260345</v>
      </c>
      <c r="AC376" s="41">
        <v>553.13840712328761</v>
      </c>
      <c r="AD376" s="41">
        <v>512.06379232438383</v>
      </c>
      <c r="AE376" s="41">
        <v>536.5254084011292</v>
      </c>
      <c r="AF376" s="41">
        <v>309.21371755725147</v>
      </c>
      <c r="AG376" s="41">
        <v>206.6925239122136</v>
      </c>
      <c r="AH376" s="41">
        <v>185.5595402432877</v>
      </c>
      <c r="AI376" s="41">
        <v>206.25482726174334</v>
      </c>
      <c r="AJ376" s="41">
        <v>370.66486343501646</v>
      </c>
      <c r="AK376" s="41">
        <v>460.56810777238422</v>
      </c>
      <c r="AL376" s="41">
        <v>554.23123016628176</v>
      </c>
      <c r="AM376" s="41">
        <v>241.75580019719376</v>
      </c>
      <c r="AN376" s="41">
        <v>196.86367521158687</v>
      </c>
      <c r="AO376" s="41">
        <v>18.960793551699336</v>
      </c>
      <c r="AP376" s="41">
        <v>8.096515698486126</v>
      </c>
      <c r="AQ376" s="41">
        <v>10.02029026277091</v>
      </c>
      <c r="AR376" s="41">
        <v>29.213236120804531</v>
      </c>
      <c r="AS376" s="41">
        <v>500.22551961003444</v>
      </c>
      <c r="AT376" s="41">
        <v>1071.0890407735337</v>
      </c>
      <c r="AU376" s="41">
        <v>1253.5609214482899</v>
      </c>
      <c r="AV376" s="211">
        <v>1081.019414358002</v>
      </c>
      <c r="AW376" s="41">
        <v>1054.0083132680886</v>
      </c>
      <c r="AX376" s="41">
        <v>1055.5505299608856</v>
      </c>
      <c r="AY376" s="41">
        <v>946.41055162347823</v>
      </c>
      <c r="AZ376" s="41">
        <v>833.69558956022377</v>
      </c>
      <c r="BA376" s="41">
        <v>846.07585899053026</v>
      </c>
      <c r="BB376" s="41">
        <v>850.43740516136404</v>
      </c>
      <c r="BC376" s="41">
        <v>869.96670548837062</v>
      </c>
      <c r="BD376" s="41">
        <v>880.19031273427584</v>
      </c>
      <c r="BE376" s="41">
        <v>896.87664881071646</v>
      </c>
      <c r="BF376" s="41">
        <v>909.21920895568462</v>
      </c>
      <c r="BG376" s="41">
        <v>931.58784846453943</v>
      </c>
      <c r="BH376" s="41">
        <v>942.21949294510932</v>
      </c>
      <c r="BI376" s="41">
        <v>1005.7779289462428</v>
      </c>
      <c r="BJ376" s="41">
        <v>1049.2447531599016</v>
      </c>
      <c r="BK376" s="41">
        <v>1072.5312896797448</v>
      </c>
      <c r="BL376" s="41">
        <v>1091.072441433216</v>
      </c>
      <c r="BM376" s="41">
        <v>1113.9094390743205</v>
      </c>
      <c r="BN376" s="41">
        <v>1131.9601197780162</v>
      </c>
      <c r="BO376" s="41">
        <v>1162.7612877004592</v>
      </c>
      <c r="BP376" s="41"/>
      <c r="BQ376" s="41">
        <v>313.23565000000031</v>
      </c>
      <c r="BR376" s="41">
        <v>307.58820000000003</v>
      </c>
      <c r="BS376" s="41">
        <v>206.57849166666665</v>
      </c>
      <c r="BT376" s="41">
        <v>400.022425</v>
      </c>
      <c r="BU376" s="41">
        <v>463.11089833333341</v>
      </c>
      <c r="BV376" s="41">
        <v>344.12219133333332</v>
      </c>
      <c r="BW376" s="41">
        <v>411.1762500000001</v>
      </c>
      <c r="BX376" s="41">
        <v>443.81248450000004</v>
      </c>
      <c r="BY376" s="41">
        <v>583.26270576923071</v>
      </c>
      <c r="BZ376" s="41">
        <v>696.84288000000038</v>
      </c>
      <c r="CA376" s="41">
        <v>-6180.9379839602734</v>
      </c>
      <c r="CB376" s="41">
        <v>-5632.7476314401829</v>
      </c>
      <c r="CC376" s="41">
        <v>-3675.2764796666665</v>
      </c>
      <c r="CD376" s="41">
        <v>860.37557027031949</v>
      </c>
      <c r="CE376" s="41">
        <v>874.22602547734505</v>
      </c>
      <c r="CF376" s="41">
        <v>1016.2742850587987</v>
      </c>
      <c r="CG376" s="41">
        <v>1106.3524681297708</v>
      </c>
      <c r="CH376" s="41">
        <v>831.51285939960258</v>
      </c>
      <c r="CI376" s="41">
        <v>865.96364473491599</v>
      </c>
      <c r="CJ376" s="41">
        <v>918.12209394123101</v>
      </c>
      <c r="CK376" s="41">
        <v>1154.2438907692308</v>
      </c>
      <c r="CL376" s="41">
        <v>1011.8560187692575</v>
      </c>
      <c r="CM376" s="41">
        <v>1068.2832010958909</v>
      </c>
      <c r="CN376" s="41">
        <v>1048.5892007255129</v>
      </c>
      <c r="CO376" s="41">
        <v>515.90624146946504</v>
      </c>
      <c r="CP376" s="41">
        <v>391.81436750503104</v>
      </c>
      <c r="CQ376" s="41">
        <v>831.23297120740062</v>
      </c>
      <c r="CR376" s="41">
        <v>795.98703036347547</v>
      </c>
      <c r="CS376" s="41">
        <v>215.82446876328621</v>
      </c>
      <c r="CT376" s="41">
        <v>18.116805961257036</v>
      </c>
      <c r="CU376" s="41">
        <v>529.43875573083892</v>
      </c>
      <c r="CV376" s="211">
        <v>2324.6499622218234</v>
      </c>
      <c r="CW376" s="41">
        <v>2135.0277276260904</v>
      </c>
      <c r="CX376" s="41">
        <v>2001.9610815843639</v>
      </c>
      <c r="CY376" s="41">
        <v>1679.771448550754</v>
      </c>
      <c r="CZ376" s="41">
        <v>1720.4041106497348</v>
      </c>
      <c r="DA376" s="41">
        <v>1777.0669615449924</v>
      </c>
      <c r="DB376" s="41">
        <v>1840.8070574202241</v>
      </c>
      <c r="DC376" s="41">
        <v>1947.9974218913521</v>
      </c>
      <c r="DD376" s="41">
        <v>2121.7760428396464</v>
      </c>
      <c r="DE376" s="41">
        <v>2204.9818805075365</v>
      </c>
      <c r="DF376" s="41">
        <v>2294.7214074784752</v>
      </c>
    </row>
    <row r="377" spans="1:110" s="17" customFormat="1" ht="12" outlineLevel="1">
      <c r="A377" s="1" t="s">
        <v>226</v>
      </c>
      <c r="B377" s="17" t="s">
        <v>582</v>
      </c>
      <c r="C377" s="62">
        <v>556.35330578904041</v>
      </c>
      <c r="D377" s="62">
        <v>686.70243616438302</v>
      </c>
      <c r="E377" s="62">
        <v>1043.1520475068503</v>
      </c>
      <c r="F377" s="62">
        <v>937.87811128401859</v>
      </c>
      <c r="G377" s="62">
        <v>927.55261363013767</v>
      </c>
      <c r="H377" s="62">
        <v>1383.388750000001</v>
      </c>
      <c r="I377" s="62">
        <v>1329.0819600000011</v>
      </c>
      <c r="J377" s="62">
        <v>852.75825051872027</v>
      </c>
      <c r="K377" s="62">
        <v>651.21185813150589</v>
      </c>
      <c r="L377" s="62">
        <v>862.841309852054</v>
      </c>
      <c r="M377" s="62">
        <v>1274.9141779983231</v>
      </c>
      <c r="N377" s="62">
        <v>1390.1738613205437</v>
      </c>
      <c r="O377" s="62">
        <v>1300.2039714794541</v>
      </c>
      <c r="P377" s="62">
        <v>2063.7361158778585</v>
      </c>
      <c r="Q377" s="62">
        <v>2462.6535444274823</v>
      </c>
      <c r="R377" s="62">
        <v>-681.10615770410573</v>
      </c>
      <c r="S377" s="62">
        <v>333.00672250109625</v>
      </c>
      <c r="T377" s="62">
        <v>1652.2249898082232</v>
      </c>
      <c r="U377" s="62">
        <v>2149.426781658477</v>
      </c>
      <c r="V377" s="62">
        <v>1987.5640893150487</v>
      </c>
      <c r="W377" s="62">
        <v>2178.7308553717439</v>
      </c>
      <c r="X377" s="62">
        <v>2018.9312323077002</v>
      </c>
      <c r="Y377" s="62">
        <v>893.31906999999444</v>
      </c>
      <c r="Z377" s="62">
        <v>481.4369237479554</v>
      </c>
      <c r="AA377" s="62">
        <v>482.99033317160541</v>
      </c>
      <c r="AB377" s="62">
        <v>570.27364383562735</v>
      </c>
      <c r="AC377" s="62">
        <v>808.2397078767118</v>
      </c>
      <c r="AD377" s="62">
        <v>846.18537772274601</v>
      </c>
      <c r="AE377" s="62">
        <v>288.63622201610087</v>
      </c>
      <c r="AF377" s="62">
        <v>774.30839885495141</v>
      </c>
      <c r="AG377" s="62">
        <v>-229.15731230916742</v>
      </c>
      <c r="AH377" s="62">
        <v>-434.34714102356173</v>
      </c>
      <c r="AI377" s="62">
        <v>-742.15443124852084</v>
      </c>
      <c r="AJ377" s="62">
        <v>-696.93670400000269</v>
      </c>
      <c r="AK377" s="62">
        <v>-450.21984224868396</v>
      </c>
      <c r="AL377" s="62">
        <v>-732.09898257532757</v>
      </c>
      <c r="AM377" s="62">
        <v>-2895.4812145811975</v>
      </c>
      <c r="AN377" s="62">
        <v>-3020.2826217557199</v>
      </c>
      <c r="AO377" s="62">
        <v>-3316.6771221374033</v>
      </c>
      <c r="AP377" s="62">
        <v>-2745.5219696093354</v>
      </c>
      <c r="AQ377" s="62">
        <v>-2307.7229499510763</v>
      </c>
      <c r="AR377" s="62">
        <v>-2218.1064201556164</v>
      </c>
      <c r="AS377" s="62">
        <v>1777.7351321907381</v>
      </c>
      <c r="AT377" s="62">
        <v>1607.994161952877</v>
      </c>
      <c r="AU377" s="62">
        <v>987.86049130190497</v>
      </c>
      <c r="AV377" s="220">
        <v>126.29210894230725</v>
      </c>
      <c r="AW377" s="62">
        <v>157.18128896527219</v>
      </c>
      <c r="AX377" s="62">
        <v>105.99981133702079</v>
      </c>
      <c r="AY377" s="62">
        <v>17.22096108238361</v>
      </c>
      <c r="AZ377" s="62">
        <v>-178.59197537786815</v>
      </c>
      <c r="BA377" s="62">
        <v>-189.24089468377554</v>
      </c>
      <c r="BB377" s="62">
        <v>-219.03761522765762</v>
      </c>
      <c r="BC377" s="62">
        <v>-241.61226831984311</v>
      </c>
      <c r="BD377" s="62">
        <v>-225.34129184752476</v>
      </c>
      <c r="BE377" s="62">
        <v>-204.20418685623736</v>
      </c>
      <c r="BF377" s="62">
        <v>-184.34878695400596</v>
      </c>
      <c r="BG377" s="62">
        <v>-162.34900356949959</v>
      </c>
      <c r="BH377" s="62">
        <v>-139.94732073087698</v>
      </c>
      <c r="BI377" s="62">
        <v>-65.803088312600494</v>
      </c>
      <c r="BJ377" s="62">
        <v>-2.2591349848603386</v>
      </c>
      <c r="BK377" s="62">
        <v>21.462663011055156</v>
      </c>
      <c r="BL377" s="62">
        <v>50.39668040352467</v>
      </c>
      <c r="BM377" s="62">
        <v>82.241125094496283</v>
      </c>
      <c r="BN377" s="62">
        <v>103.7629178472971</v>
      </c>
      <c r="BO377" s="62">
        <v>121.71413073775989</v>
      </c>
      <c r="BP377" s="62"/>
      <c r="BQ377" s="62">
        <v>1159.0245250000016</v>
      </c>
      <c r="BR377" s="62">
        <v>15.535375000001014</v>
      </c>
      <c r="BS377" s="62">
        <v>566.35690249999971</v>
      </c>
      <c r="BT377" s="62">
        <v>1720.8444000000004</v>
      </c>
      <c r="BU377" s="62">
        <v>1363.3516783333346</v>
      </c>
      <c r="BV377" s="62">
        <v>422.5653856666662</v>
      </c>
      <c r="BW377" s="62">
        <v>102.23000000000118</v>
      </c>
      <c r="BX377" s="62">
        <v>825.81953825000073</v>
      </c>
      <c r="BY377" s="62">
        <v>1495.670463846152</v>
      </c>
      <c r="BZ377" s="62">
        <v>1104.9351700000045</v>
      </c>
      <c r="CA377" s="62">
        <v>1729.8544836712333</v>
      </c>
      <c r="CB377" s="62">
        <v>1865.4307249141561</v>
      </c>
      <c r="CC377" s="62">
        <v>2712.4707100000023</v>
      </c>
      <c r="CD377" s="62">
        <v>1503.9701086502262</v>
      </c>
      <c r="CE377" s="62">
        <v>2137.755487850377</v>
      </c>
      <c r="CF377" s="62">
        <v>2690.377832799998</v>
      </c>
      <c r="CG377" s="62">
        <v>4526.3896603053408</v>
      </c>
      <c r="CH377" s="62">
        <v>-348.09943520300948</v>
      </c>
      <c r="CI377" s="62">
        <v>3801.6517714667002</v>
      </c>
      <c r="CJ377" s="62">
        <v>4166.2949446867924</v>
      </c>
      <c r="CK377" s="62">
        <v>2912.2503023076947</v>
      </c>
      <c r="CL377" s="62">
        <v>964.42725691956082</v>
      </c>
      <c r="CM377" s="62">
        <v>1378.513351712339</v>
      </c>
      <c r="CN377" s="62">
        <v>1134.821599738847</v>
      </c>
      <c r="CO377" s="62">
        <v>545.15108654578398</v>
      </c>
      <c r="CP377" s="62">
        <v>-1176.5015722720825</v>
      </c>
      <c r="CQ377" s="62">
        <v>-1147.1565462486867</v>
      </c>
      <c r="CR377" s="62">
        <v>-3627.5801971565252</v>
      </c>
      <c r="CS377" s="62">
        <v>-6336.9597438931232</v>
      </c>
      <c r="CT377" s="62">
        <v>-5053.2449195604113</v>
      </c>
      <c r="CU377" s="62">
        <v>-440.37128796487832</v>
      </c>
      <c r="CV377" s="220">
        <v>2595.8546532547821</v>
      </c>
      <c r="CW377" s="62">
        <v>283.47339790757945</v>
      </c>
      <c r="CX377" s="62">
        <v>123.2207724194044</v>
      </c>
      <c r="CY377" s="62">
        <v>-367.83287006164369</v>
      </c>
      <c r="CZ377" s="62">
        <v>-460.64988354750074</v>
      </c>
      <c r="DA377" s="62">
        <v>-429.54547870376211</v>
      </c>
      <c r="DB377" s="62">
        <v>-346.69779052350555</v>
      </c>
      <c r="DC377" s="62">
        <v>-205.75040904347748</v>
      </c>
      <c r="DD377" s="62">
        <v>19.203528026194817</v>
      </c>
      <c r="DE377" s="62">
        <v>132.63780549802095</v>
      </c>
      <c r="DF377" s="62">
        <v>225.47704858505699</v>
      </c>
    </row>
    <row r="378" spans="1:110" ht="12" outlineLevel="1">
      <c r="C378" s="41"/>
      <c r="D378" s="41"/>
      <c r="E378" s="41"/>
      <c r="F378" s="41"/>
      <c r="G378" s="41"/>
      <c r="H378" s="41"/>
      <c r="I378" s="41"/>
      <c r="J378" s="41"/>
      <c r="K378" s="41"/>
      <c r="L378" s="41"/>
      <c r="M378" s="41"/>
      <c r="N378" s="41"/>
      <c r="O378" s="41"/>
      <c r="P378" s="41"/>
      <c r="Q378" s="41"/>
      <c r="R378" s="41"/>
      <c r="S378" s="41"/>
      <c r="T378" s="41"/>
      <c r="U378" s="41"/>
      <c r="V378" s="41"/>
      <c r="W378" s="41"/>
      <c r="X378" s="41"/>
      <c r="Y378" s="41"/>
      <c r="Z378" s="41"/>
      <c r="AA378" s="41"/>
      <c r="AB378" s="41"/>
      <c r="AC378" s="41"/>
      <c r="AD378" s="41"/>
      <c r="AE378" s="41"/>
      <c r="AF378" s="41"/>
      <c r="AG378" s="41"/>
      <c r="AH378" s="41"/>
      <c r="AI378" s="41"/>
      <c r="AJ378" s="41"/>
      <c r="AK378" s="41"/>
      <c r="AL378" s="41"/>
      <c r="AM378" s="41"/>
      <c r="AN378" s="41"/>
      <c r="AO378" s="41"/>
      <c r="AP378" s="41"/>
      <c r="AQ378" s="41"/>
      <c r="AR378" s="41"/>
      <c r="AS378" s="41"/>
      <c r="AT378" s="41"/>
      <c r="AU378" s="41"/>
      <c r="AV378" s="211"/>
      <c r="AW378" s="41"/>
      <c r="AX378" s="41"/>
      <c r="AY378" s="41"/>
      <c r="AZ378" s="41"/>
      <c r="BA378" s="41"/>
      <c r="BB378" s="41"/>
      <c r="BC378" s="41"/>
      <c r="BD378" s="41"/>
      <c r="BE378" s="41"/>
      <c r="BF378" s="41"/>
      <c r="BG378" s="41"/>
      <c r="BH378" s="41"/>
      <c r="BI378" s="41"/>
      <c r="BJ378" s="41"/>
      <c r="BK378" s="41"/>
      <c r="BL378" s="41"/>
      <c r="BM378" s="41"/>
      <c r="BN378" s="41"/>
      <c r="BO378" s="41"/>
      <c r="BP378" s="41"/>
      <c r="BQ378" s="41"/>
      <c r="BR378" s="41"/>
      <c r="BS378" s="41"/>
      <c r="BT378" s="41"/>
      <c r="BU378" s="41"/>
      <c r="BV378" s="41"/>
      <c r="BW378" s="41"/>
      <c r="BX378" s="41"/>
      <c r="BY378" s="41"/>
      <c r="BZ378" s="41"/>
      <c r="CA378" s="41"/>
      <c r="CB378" s="41"/>
      <c r="CC378" s="41"/>
      <c r="CD378" s="41"/>
      <c r="CE378" s="41"/>
      <c r="CF378" s="41"/>
      <c r="CG378" s="41"/>
      <c r="CH378" s="46"/>
      <c r="CI378" s="46"/>
      <c r="CJ378" s="37"/>
      <c r="CK378" s="37"/>
      <c r="CL378" s="41"/>
      <c r="CM378" s="41"/>
      <c r="CN378" s="41"/>
      <c r="CO378" s="41"/>
      <c r="CP378" s="41"/>
      <c r="CQ378" s="41"/>
      <c r="CR378" s="41"/>
      <c r="CS378" s="41"/>
      <c r="CT378" s="41"/>
      <c r="CU378" s="41"/>
      <c r="CV378" s="211"/>
      <c r="CW378" s="41"/>
      <c r="CX378" s="41"/>
      <c r="CY378" s="41"/>
      <c r="CZ378" s="15"/>
      <c r="DA378" s="15"/>
      <c r="DB378" s="15"/>
      <c r="DC378" s="15"/>
      <c r="DD378" s="15"/>
      <c r="DE378" s="15"/>
      <c r="DF378" s="15"/>
    </row>
    <row r="379" spans="1:110" ht="12" outlineLevel="1">
      <c r="A379" s="1" t="s">
        <v>238</v>
      </c>
      <c r="B379" s="15" t="s">
        <v>585</v>
      </c>
      <c r="C379" s="41">
        <v>4843</v>
      </c>
      <c r="D379" s="41">
        <v>4397</v>
      </c>
      <c r="E379" s="41">
        <v>4661.9999999999991</v>
      </c>
      <c r="F379" s="41">
        <v>5021</v>
      </c>
      <c r="G379" s="41">
        <v>5217</v>
      </c>
      <c r="H379" s="41">
        <v>6556.9999999999991</v>
      </c>
      <c r="I379" s="41">
        <v>7590.9999999999991</v>
      </c>
      <c r="J379" s="41">
        <v>9098</v>
      </c>
      <c r="K379" s="41">
        <v>10001</v>
      </c>
      <c r="L379" s="41">
        <v>10777</v>
      </c>
      <c r="M379" s="41">
        <v>11524</v>
      </c>
      <c r="N379" s="41">
        <v>12518.000000000002</v>
      </c>
      <c r="O379" s="41">
        <v>13692</v>
      </c>
      <c r="P379" s="41">
        <v>15612</v>
      </c>
      <c r="Q379" s="41">
        <v>16992</v>
      </c>
      <c r="R379" s="41">
        <v>14699.999999999998</v>
      </c>
      <c r="S379" s="41">
        <v>11506</v>
      </c>
      <c r="T379" s="41">
        <v>12356</v>
      </c>
      <c r="U379" s="41">
        <v>14251.999999999998</v>
      </c>
      <c r="V379" s="41">
        <v>14944.999999999998</v>
      </c>
      <c r="W379" s="41">
        <v>15423.000000000002</v>
      </c>
      <c r="X379" s="41">
        <v>15440</v>
      </c>
      <c r="Y379" s="41">
        <v>15098</v>
      </c>
      <c r="Z379" s="41">
        <v>14326</v>
      </c>
      <c r="AA379" s="41">
        <v>14301</v>
      </c>
      <c r="AB379" s="41">
        <v>14430</v>
      </c>
      <c r="AC379" s="41">
        <v>15094</v>
      </c>
      <c r="AD379" s="41">
        <v>15394</v>
      </c>
      <c r="AE379" s="41">
        <v>15132</v>
      </c>
      <c r="AF379" s="41">
        <v>15089.999999999998</v>
      </c>
      <c r="AG379" s="41">
        <v>14861.000000000002</v>
      </c>
      <c r="AH379" s="41">
        <v>14426</v>
      </c>
      <c r="AI379" s="41">
        <v>14694</v>
      </c>
      <c r="AJ379" s="41">
        <v>14849</v>
      </c>
      <c r="AK379" s="41">
        <v>15478.000000000002</v>
      </c>
      <c r="AL379" s="41">
        <v>15971</v>
      </c>
      <c r="AM379" s="41">
        <v>15107</v>
      </c>
      <c r="AN379" s="41">
        <v>13800</v>
      </c>
      <c r="AO379" s="41">
        <v>10626</v>
      </c>
      <c r="AP379" s="41">
        <v>9879</v>
      </c>
      <c r="AQ379" s="41">
        <v>9650</v>
      </c>
      <c r="AR379" s="41">
        <v>9707</v>
      </c>
      <c r="AS379" s="41">
        <v>13902</v>
      </c>
      <c r="AT379" s="41">
        <v>22830</v>
      </c>
      <c r="AU379" s="41">
        <v>27072</v>
      </c>
      <c r="AV379" s="211">
        <v>29811</v>
      </c>
      <c r="AW379" s="41">
        <v>31376.033045747841</v>
      </c>
      <c r="AX379" s="41">
        <v>33388.80136444317</v>
      </c>
      <c r="AY379" s="41">
        <v>31413.897251479179</v>
      </c>
      <c r="AZ379" s="41">
        <v>29000.953914977432</v>
      </c>
      <c r="BA379" s="41">
        <v>29509.929134273956</v>
      </c>
      <c r="BB379" s="41">
        <v>29735.204022348007</v>
      </c>
      <c r="BC379" s="41">
        <v>30316.12536152294</v>
      </c>
      <c r="BD379" s="41">
        <v>30755.030018249163</v>
      </c>
      <c r="BE379" s="41">
        <v>31287.785404322363</v>
      </c>
      <c r="BF379" s="41">
        <v>31765.196567710267</v>
      </c>
      <c r="BG379" s="41">
        <v>32518.246614881249</v>
      </c>
      <c r="BH379" s="41">
        <v>32928.404076262406</v>
      </c>
      <c r="BI379" s="41">
        <v>33713.262224974169</v>
      </c>
      <c r="BJ379" s="41">
        <v>34170.807651395764</v>
      </c>
      <c r="BK379" s="41">
        <v>35075.163645156535</v>
      </c>
      <c r="BL379" s="41">
        <v>35739.198979425804</v>
      </c>
      <c r="BM379" s="41">
        <v>36517.068232839127</v>
      </c>
      <c r="BN379" s="41">
        <v>36993.483996842624</v>
      </c>
      <c r="BO379" s="41">
        <v>37568.712346903427</v>
      </c>
      <c r="BP379" s="41"/>
      <c r="BQ379" s="41">
        <v>6981.4000000000005</v>
      </c>
      <c r="BR379" s="41">
        <v>6981.4</v>
      </c>
      <c r="BS379" s="41">
        <v>6527</v>
      </c>
      <c r="BT379" s="41">
        <v>8338</v>
      </c>
      <c r="BU379" s="41">
        <v>9310</v>
      </c>
      <c r="BV379" s="41">
        <v>9462</v>
      </c>
      <c r="BW379" s="41">
        <v>9506</v>
      </c>
      <c r="BX379" s="41">
        <v>8700</v>
      </c>
      <c r="BY379" s="41">
        <v>10267</v>
      </c>
      <c r="BZ379" s="41">
        <v>10274</v>
      </c>
      <c r="CA379" s="41">
        <v>9059</v>
      </c>
      <c r="CB379" s="41">
        <v>10238</v>
      </c>
      <c r="CC379" s="41">
        <v>14147.999999999998</v>
      </c>
      <c r="CD379" s="41">
        <v>19099</v>
      </c>
      <c r="CE379" s="41">
        <v>22301</v>
      </c>
      <c r="CF379" s="41">
        <v>26210</v>
      </c>
      <c r="CG379" s="41">
        <v>32604</v>
      </c>
      <c r="CH379" s="41">
        <v>26206</v>
      </c>
      <c r="CI379" s="41">
        <v>26608</v>
      </c>
      <c r="CJ379" s="41">
        <v>30368</v>
      </c>
      <c r="CK379" s="41">
        <v>30538</v>
      </c>
      <c r="CL379" s="41">
        <v>28627</v>
      </c>
      <c r="CM379" s="41">
        <v>29524</v>
      </c>
      <c r="CN379" s="41">
        <v>30526</v>
      </c>
      <c r="CO379" s="41">
        <v>29951</v>
      </c>
      <c r="CP379" s="41">
        <v>29120</v>
      </c>
      <c r="CQ379" s="41">
        <v>30327</v>
      </c>
      <c r="CR379" s="41">
        <v>31078</v>
      </c>
      <c r="CS379" s="41">
        <v>24426</v>
      </c>
      <c r="CT379" s="41">
        <v>19529</v>
      </c>
      <c r="CU379" s="41">
        <v>23609</v>
      </c>
      <c r="CV379" s="211">
        <v>49902</v>
      </c>
      <c r="CW379" s="41">
        <v>61187.033045747841</v>
      </c>
      <c r="CX379" s="41">
        <v>64802.698615922345</v>
      </c>
      <c r="CY379" s="41">
        <v>58510.883049251388</v>
      </c>
      <c r="CZ379" s="41">
        <v>60051.329383870951</v>
      </c>
      <c r="DA379" s="41">
        <v>62042.815422571526</v>
      </c>
      <c r="DB379" s="41">
        <v>64283.443182591516</v>
      </c>
      <c r="DC379" s="41">
        <v>66641.666301236575</v>
      </c>
      <c r="DD379" s="41">
        <v>69245.971296552307</v>
      </c>
      <c r="DE379" s="41">
        <v>72256.267212264938</v>
      </c>
      <c r="DF379" s="41">
        <v>74562.196343746051</v>
      </c>
    </row>
    <row r="380" spans="1:110" ht="12" outlineLevel="1">
      <c r="A380" s="1" t="s">
        <v>239</v>
      </c>
      <c r="B380" s="15" t="s">
        <v>484</v>
      </c>
      <c r="C380" s="41">
        <v>-2889</v>
      </c>
      <c r="D380" s="41">
        <v>-2432</v>
      </c>
      <c r="E380" s="41">
        <v>-2608.9999999999995</v>
      </c>
      <c r="F380" s="41">
        <v>-2881</v>
      </c>
      <c r="G380" s="41">
        <v>-3046</v>
      </c>
      <c r="H380" s="41">
        <v>-4049.9999999999986</v>
      </c>
      <c r="I380" s="41">
        <v>-4846</v>
      </c>
      <c r="J380" s="41">
        <v>-5958</v>
      </c>
      <c r="K380" s="41">
        <v>-6770</v>
      </c>
      <c r="L380" s="41">
        <v>-7409</v>
      </c>
      <c r="M380" s="41">
        <v>-7949</v>
      </c>
      <c r="N380" s="41">
        <v>-8907.0000000000018</v>
      </c>
      <c r="O380" s="41">
        <v>-10001</v>
      </c>
      <c r="P380" s="41">
        <v>-11832</v>
      </c>
      <c r="Q380" s="41">
        <v>-12922.000000000002</v>
      </c>
      <c r="R380" s="41">
        <v>-9878.9999999999982</v>
      </c>
      <c r="S380" s="41">
        <v>-6437</v>
      </c>
      <c r="T380" s="41">
        <v>-7115.9999999999991</v>
      </c>
      <c r="U380" s="41">
        <v>-8619.9999999999982</v>
      </c>
      <c r="V380" s="41">
        <v>-9292.9999999999982</v>
      </c>
      <c r="W380" s="41">
        <v>-9575.0000000000036</v>
      </c>
      <c r="X380" s="41">
        <v>-9456</v>
      </c>
      <c r="Y380" s="41">
        <v>-8972</v>
      </c>
      <c r="Z380" s="41">
        <v>-8090</v>
      </c>
      <c r="AA380" s="41">
        <v>-7765.0000000000009</v>
      </c>
      <c r="AB380" s="41">
        <v>-7666</v>
      </c>
      <c r="AC380" s="41">
        <v>-8060.9999999999991</v>
      </c>
      <c r="AD380" s="41">
        <v>-8256</v>
      </c>
      <c r="AE380" s="41">
        <v>-7654.0000000000009</v>
      </c>
      <c r="AF380" s="41">
        <v>-7521.9999999999982</v>
      </c>
      <c r="AG380" s="41">
        <v>-7334.0000000000018</v>
      </c>
      <c r="AH380" s="41">
        <v>-7007</v>
      </c>
      <c r="AI380" s="41">
        <v>-7238</v>
      </c>
      <c r="AJ380" s="41">
        <v>-7499</v>
      </c>
      <c r="AK380" s="41">
        <v>-8314.0000000000018</v>
      </c>
      <c r="AL380" s="41">
        <v>-8672</v>
      </c>
      <c r="AM380" s="41">
        <v>-8067</v>
      </c>
      <c r="AN380" s="41">
        <v>-6578</v>
      </c>
      <c r="AO380" s="41">
        <v>-3798.9999999999995</v>
      </c>
      <c r="AP380" s="41">
        <v>-2893.0000000000005</v>
      </c>
      <c r="AQ380" s="41">
        <v>-2474.9999999999995</v>
      </c>
      <c r="AR380" s="41">
        <v>-2607</v>
      </c>
      <c r="AS380" s="41">
        <v>-6127.9999999999991</v>
      </c>
      <c r="AT380" s="41">
        <v>-14329.999999999998</v>
      </c>
      <c r="AU380" s="41">
        <v>-18997.999999999996</v>
      </c>
      <c r="AV380" s="211">
        <v>-21912</v>
      </c>
      <c r="AW380" s="41">
        <v>-23092.781659099674</v>
      </c>
      <c r="AX380" s="41">
        <v>-24524.316467920435</v>
      </c>
      <c r="AY380" s="41">
        <v>-22335.920186193132</v>
      </c>
      <c r="AZ380" s="41">
        <v>-20016.165879333286</v>
      </c>
      <c r="BA380" s="41">
        <v>-20379.44200293329</v>
      </c>
      <c r="BB380" s="41">
        <v>-20579.512138718292</v>
      </c>
      <c r="BC380" s="41">
        <v>-21054.729945772495</v>
      </c>
      <c r="BD380" s="41">
        <v>-21353.917741527926</v>
      </c>
      <c r="BE380" s="41">
        <v>-21713.131322688347</v>
      </c>
      <c r="BF380" s="41">
        <v>-22021.836673872978</v>
      </c>
      <c r="BG380" s="41">
        <v>-22517.849975631147</v>
      </c>
      <c r="BH380" s="41">
        <v>-22777.688179369085</v>
      </c>
      <c r="BI380" s="41">
        <v>-23243.339030206684</v>
      </c>
      <c r="BJ380" s="41">
        <v>-23493.826849796606</v>
      </c>
      <c r="BK380" s="41">
        <v>-24089.832618332592</v>
      </c>
      <c r="BL380" s="41">
        <v>-24514.593336901868</v>
      </c>
      <c r="BM380" s="41">
        <v>-25014.541956034707</v>
      </c>
      <c r="BN380" s="41">
        <v>-25318.997514624301</v>
      </c>
      <c r="BO380" s="41">
        <v>-25696.356257909087</v>
      </c>
      <c r="BP380" s="41"/>
      <c r="BQ380" s="41">
        <v>-4543.6000000000004</v>
      </c>
      <c r="BR380" s="41">
        <v>-4438.3999999999996</v>
      </c>
      <c r="BS380" s="41">
        <v>-3733</v>
      </c>
      <c r="BT380" s="41">
        <v>-5254</v>
      </c>
      <c r="BU380" s="41">
        <v>-5983.0000000000009</v>
      </c>
      <c r="BV380" s="41">
        <v>-6025</v>
      </c>
      <c r="BW380" s="41">
        <v>-5959</v>
      </c>
      <c r="BX380" s="41">
        <v>-5045</v>
      </c>
      <c r="BY380" s="41">
        <v>-6466</v>
      </c>
      <c r="BZ380" s="41">
        <v>-6441</v>
      </c>
      <c r="CA380" s="41">
        <v>-5041</v>
      </c>
      <c r="CB380" s="41">
        <v>-5927</v>
      </c>
      <c r="CC380" s="41">
        <v>-8895.9999999999982</v>
      </c>
      <c r="CD380" s="41">
        <v>-12728</v>
      </c>
      <c r="CE380" s="41">
        <v>-15358</v>
      </c>
      <c r="CF380" s="41">
        <v>-18908</v>
      </c>
      <c r="CG380" s="41">
        <v>-24754</v>
      </c>
      <c r="CH380" s="41">
        <v>-16315.999999999998</v>
      </c>
      <c r="CI380" s="41">
        <v>-15735.999999999996</v>
      </c>
      <c r="CJ380" s="41">
        <v>-18868</v>
      </c>
      <c r="CK380" s="41">
        <v>-18428</v>
      </c>
      <c r="CL380" s="41">
        <v>-15855</v>
      </c>
      <c r="CM380" s="41">
        <v>-15727</v>
      </c>
      <c r="CN380" s="41">
        <v>-15910</v>
      </c>
      <c r="CO380" s="41">
        <v>-14856</v>
      </c>
      <c r="CP380" s="41">
        <v>-14245</v>
      </c>
      <c r="CQ380" s="41">
        <v>-15813.000000000002</v>
      </c>
      <c r="CR380" s="41">
        <v>-16739</v>
      </c>
      <c r="CS380" s="41">
        <v>-10377</v>
      </c>
      <c r="CT380" s="41">
        <v>-5368</v>
      </c>
      <c r="CU380" s="41">
        <v>-8735</v>
      </c>
      <c r="CV380" s="211">
        <v>-33327.999999999993</v>
      </c>
      <c r="CW380" s="41">
        <v>-45004.781659099674</v>
      </c>
      <c r="CX380" s="41">
        <v>-46860.236654113571</v>
      </c>
      <c r="CY380" s="41">
        <v>-40395.607882266573</v>
      </c>
      <c r="CZ380" s="41">
        <v>-41634.24208449079</v>
      </c>
      <c r="DA380" s="41">
        <v>-43067.049064216277</v>
      </c>
      <c r="DB380" s="41">
        <v>-44539.686649504125</v>
      </c>
      <c r="DC380" s="41">
        <v>-46021.027209575768</v>
      </c>
      <c r="DD380" s="41">
        <v>-47583.659468129197</v>
      </c>
      <c r="DE380" s="41">
        <v>-49529.135292936575</v>
      </c>
      <c r="DF380" s="41">
        <v>-51015.353772533388</v>
      </c>
    </row>
    <row r="381" spans="1:110" s="17" customFormat="1" ht="12" outlineLevel="1">
      <c r="A381" s="1" t="s">
        <v>240</v>
      </c>
      <c r="B381" s="17" t="s">
        <v>485</v>
      </c>
      <c r="C381" s="62">
        <v>1954</v>
      </c>
      <c r="D381" s="62">
        <v>1965</v>
      </c>
      <c r="E381" s="62">
        <v>2053</v>
      </c>
      <c r="F381" s="62">
        <v>2140</v>
      </c>
      <c r="G381" s="62">
        <v>2171</v>
      </c>
      <c r="H381" s="62">
        <v>2507</v>
      </c>
      <c r="I381" s="62">
        <v>2745</v>
      </c>
      <c r="J381" s="62">
        <v>3140</v>
      </c>
      <c r="K381" s="62">
        <v>3231</v>
      </c>
      <c r="L381" s="62">
        <v>3368</v>
      </c>
      <c r="M381" s="62">
        <v>3575</v>
      </c>
      <c r="N381" s="62">
        <v>3611</v>
      </c>
      <c r="O381" s="62">
        <v>3691</v>
      </c>
      <c r="P381" s="62">
        <v>3780</v>
      </c>
      <c r="Q381" s="62">
        <v>4070</v>
      </c>
      <c r="R381" s="62">
        <v>4821</v>
      </c>
      <c r="S381" s="62">
        <v>5069</v>
      </c>
      <c r="T381" s="62">
        <v>5240</v>
      </c>
      <c r="U381" s="62">
        <v>5632</v>
      </c>
      <c r="V381" s="62">
        <v>5652</v>
      </c>
      <c r="W381" s="62">
        <v>5848</v>
      </c>
      <c r="X381" s="62">
        <v>5984</v>
      </c>
      <c r="Y381" s="62">
        <v>6126</v>
      </c>
      <c r="Z381" s="62">
        <v>6236</v>
      </c>
      <c r="AA381" s="62">
        <v>6536</v>
      </c>
      <c r="AB381" s="62">
        <v>6764</v>
      </c>
      <c r="AC381" s="62">
        <v>7033</v>
      </c>
      <c r="AD381" s="62">
        <v>7138</v>
      </c>
      <c r="AE381" s="62">
        <v>7478</v>
      </c>
      <c r="AF381" s="62">
        <v>7568</v>
      </c>
      <c r="AG381" s="62">
        <v>7527</v>
      </c>
      <c r="AH381" s="62">
        <v>7419</v>
      </c>
      <c r="AI381" s="62">
        <v>7456</v>
      </c>
      <c r="AJ381" s="62">
        <v>7350</v>
      </c>
      <c r="AK381" s="62">
        <v>7164</v>
      </c>
      <c r="AL381" s="62">
        <v>7299</v>
      </c>
      <c r="AM381" s="62">
        <v>7040</v>
      </c>
      <c r="AN381" s="62">
        <v>7222</v>
      </c>
      <c r="AO381" s="62">
        <v>6827</v>
      </c>
      <c r="AP381" s="62">
        <v>6986</v>
      </c>
      <c r="AQ381" s="62">
        <v>7175</v>
      </c>
      <c r="AR381" s="62">
        <v>7100</v>
      </c>
      <c r="AS381" s="62">
        <v>7774</v>
      </c>
      <c r="AT381" s="62">
        <v>8500</v>
      </c>
      <c r="AU381" s="62">
        <v>8074</v>
      </c>
      <c r="AV381" s="220">
        <v>7899</v>
      </c>
      <c r="AW381" s="62">
        <v>8283.2513866481677</v>
      </c>
      <c r="AX381" s="62">
        <v>8864.4848965227357</v>
      </c>
      <c r="AY381" s="62">
        <v>9077.9770652860461</v>
      </c>
      <c r="AZ381" s="62">
        <v>8984.7880356441456</v>
      </c>
      <c r="BA381" s="62">
        <v>9130.4871313406657</v>
      </c>
      <c r="BB381" s="62">
        <v>9155.6918836297154</v>
      </c>
      <c r="BC381" s="62">
        <v>9261.395415750445</v>
      </c>
      <c r="BD381" s="62">
        <v>9401.1122767212364</v>
      </c>
      <c r="BE381" s="62">
        <v>9574.6540816340166</v>
      </c>
      <c r="BF381" s="62">
        <v>9743.3598938372888</v>
      </c>
      <c r="BG381" s="62">
        <v>10000.396639250102</v>
      </c>
      <c r="BH381" s="62">
        <v>10150.715896893322</v>
      </c>
      <c r="BI381" s="62">
        <v>10469.923194767485</v>
      </c>
      <c r="BJ381" s="62">
        <v>10676.980801599158</v>
      </c>
      <c r="BK381" s="62">
        <v>10985.331026823944</v>
      </c>
      <c r="BL381" s="62">
        <v>11224.605642523937</v>
      </c>
      <c r="BM381" s="62">
        <v>11502.526276804419</v>
      </c>
      <c r="BN381" s="62">
        <v>11674.486482218323</v>
      </c>
      <c r="BO381" s="62">
        <v>11872.35608899434</v>
      </c>
      <c r="BP381" s="62"/>
      <c r="BQ381" s="62">
        <v>2437.8000000000002</v>
      </c>
      <c r="BR381" s="62">
        <v>2543</v>
      </c>
      <c r="BS381" s="62">
        <v>2794</v>
      </c>
      <c r="BT381" s="62">
        <v>3084</v>
      </c>
      <c r="BU381" s="62">
        <v>3327</v>
      </c>
      <c r="BV381" s="62">
        <v>3437</v>
      </c>
      <c r="BW381" s="62">
        <v>3547</v>
      </c>
      <c r="BX381" s="62">
        <v>3655</v>
      </c>
      <c r="BY381" s="62">
        <v>3801</v>
      </c>
      <c r="BZ381" s="62">
        <v>3833</v>
      </c>
      <c r="CA381" s="62">
        <v>4018</v>
      </c>
      <c r="CB381" s="62">
        <v>4311</v>
      </c>
      <c r="CC381" s="62">
        <v>5252</v>
      </c>
      <c r="CD381" s="62">
        <v>6371</v>
      </c>
      <c r="CE381" s="62">
        <v>6943</v>
      </c>
      <c r="CF381" s="62">
        <v>7302</v>
      </c>
      <c r="CG381" s="62">
        <v>7850</v>
      </c>
      <c r="CH381" s="62">
        <v>9890</v>
      </c>
      <c r="CI381" s="62">
        <v>10872</v>
      </c>
      <c r="CJ381" s="62">
        <v>11500</v>
      </c>
      <c r="CK381" s="62">
        <v>12110</v>
      </c>
      <c r="CL381" s="62">
        <v>12772</v>
      </c>
      <c r="CM381" s="62">
        <v>13797</v>
      </c>
      <c r="CN381" s="62">
        <v>14616</v>
      </c>
      <c r="CO381" s="62">
        <v>15095</v>
      </c>
      <c r="CP381" s="62">
        <v>14875</v>
      </c>
      <c r="CQ381" s="62">
        <v>14514</v>
      </c>
      <c r="CR381" s="62">
        <v>14339</v>
      </c>
      <c r="CS381" s="62">
        <v>14049</v>
      </c>
      <c r="CT381" s="62">
        <v>14161</v>
      </c>
      <c r="CU381" s="62">
        <v>14874</v>
      </c>
      <c r="CV381" s="220">
        <v>16574</v>
      </c>
      <c r="CW381" s="62">
        <v>16182.251386648168</v>
      </c>
      <c r="CX381" s="62">
        <v>17942.461961808782</v>
      </c>
      <c r="CY381" s="62">
        <v>18115.275166984811</v>
      </c>
      <c r="CZ381" s="62">
        <v>18417.08729938016</v>
      </c>
      <c r="DA381" s="62">
        <v>18975.766358355253</v>
      </c>
      <c r="DB381" s="62">
        <v>19743.756533087391</v>
      </c>
      <c r="DC381" s="62">
        <v>20620.639091660807</v>
      </c>
      <c r="DD381" s="62">
        <v>21662.311828423102</v>
      </c>
      <c r="DE381" s="62">
        <v>22727.131919328356</v>
      </c>
      <c r="DF381" s="62">
        <v>23546.842571212663</v>
      </c>
    </row>
    <row r="382" spans="1:110" ht="12" hidden="1" outlineLevel="2">
      <c r="A382" s="1" t="s">
        <v>931</v>
      </c>
      <c r="B382" s="15" t="s">
        <v>447</v>
      </c>
      <c r="C382" s="40">
        <v>0</v>
      </c>
      <c r="D382" s="40">
        <v>0</v>
      </c>
      <c r="E382" s="40">
        <v>0</v>
      </c>
      <c r="F382" s="40">
        <v>0</v>
      </c>
      <c r="G382" s="40">
        <v>0</v>
      </c>
      <c r="H382" s="40">
        <v>0</v>
      </c>
      <c r="I382" s="40">
        <v>0</v>
      </c>
      <c r="J382" s="40">
        <v>0</v>
      </c>
      <c r="K382" s="40">
        <v>0</v>
      </c>
      <c r="L382" s="40">
        <v>0</v>
      </c>
      <c r="M382" s="40">
        <v>0</v>
      </c>
      <c r="N382" s="40">
        <v>0</v>
      </c>
      <c r="O382" s="40">
        <v>0</v>
      </c>
      <c r="P382" s="40">
        <v>0</v>
      </c>
      <c r="Q382" s="40">
        <v>0</v>
      </c>
      <c r="R382" s="40">
        <v>0</v>
      </c>
      <c r="S382" s="40">
        <v>0</v>
      </c>
      <c r="T382" s="40">
        <v>0</v>
      </c>
      <c r="U382" s="40">
        <v>0</v>
      </c>
      <c r="V382" s="40">
        <v>0</v>
      </c>
      <c r="W382" s="40">
        <v>0</v>
      </c>
      <c r="X382" s="40">
        <v>0</v>
      </c>
      <c r="Y382" s="40">
        <v>0</v>
      </c>
      <c r="Z382" s="141">
        <v>0</v>
      </c>
      <c r="AA382" s="141">
        <v>0</v>
      </c>
      <c r="AB382" s="141">
        <v>0</v>
      </c>
      <c r="AC382" s="141">
        <v>0</v>
      </c>
      <c r="AD382" s="141">
        <v>0</v>
      </c>
      <c r="AE382" s="141">
        <v>0</v>
      </c>
      <c r="AF382" s="141">
        <v>0</v>
      </c>
      <c r="AG382" s="141">
        <v>0</v>
      </c>
      <c r="AH382" s="141">
        <v>0</v>
      </c>
      <c r="AI382" s="141">
        <v>0</v>
      </c>
      <c r="AJ382" s="141">
        <v>0</v>
      </c>
      <c r="AK382" s="141">
        <v>0</v>
      </c>
      <c r="AL382" s="141">
        <v>0</v>
      </c>
      <c r="AM382" s="141">
        <v>0</v>
      </c>
      <c r="AN382" s="141">
        <v>0</v>
      </c>
      <c r="AO382" s="141">
        <v>0</v>
      </c>
      <c r="AP382" s="141">
        <v>0</v>
      </c>
      <c r="AQ382" s="141">
        <v>0</v>
      </c>
      <c r="AR382" s="141">
        <v>0</v>
      </c>
      <c r="AS382" s="141">
        <v>0</v>
      </c>
      <c r="AT382" s="141">
        <v>0</v>
      </c>
      <c r="AU382" s="141">
        <v>0</v>
      </c>
      <c r="AV382" s="226">
        <v>0</v>
      </c>
      <c r="AW382" s="210">
        <v>0</v>
      </c>
      <c r="AX382" s="210">
        <v>0</v>
      </c>
      <c r="AY382" s="210">
        <v>0</v>
      </c>
      <c r="AZ382" s="210">
        <v>0</v>
      </c>
      <c r="BA382" s="210">
        <v>0</v>
      </c>
      <c r="BB382" s="210">
        <v>0</v>
      </c>
      <c r="BC382" s="210">
        <v>0</v>
      </c>
      <c r="BD382" s="210">
        <v>0</v>
      </c>
      <c r="BE382" s="210">
        <v>0</v>
      </c>
      <c r="BF382" s="210">
        <v>0</v>
      </c>
      <c r="BG382" s="210">
        <v>0</v>
      </c>
      <c r="BH382" s="210">
        <v>0</v>
      </c>
      <c r="BI382" s="210">
        <v>0</v>
      </c>
      <c r="BJ382" s="210">
        <v>0</v>
      </c>
      <c r="BK382" s="210">
        <v>0</v>
      </c>
      <c r="BL382" s="210">
        <v>0</v>
      </c>
      <c r="BM382" s="210">
        <v>0</v>
      </c>
      <c r="BN382" s="210">
        <v>0</v>
      </c>
      <c r="BO382" s="210">
        <v>0</v>
      </c>
      <c r="BP382" s="41"/>
      <c r="BQ382" s="40">
        <v>0</v>
      </c>
      <c r="BR382" s="40">
        <v>0</v>
      </c>
      <c r="BS382" s="40">
        <v>0</v>
      </c>
      <c r="BT382" s="40">
        <v>0</v>
      </c>
      <c r="BU382" s="40">
        <v>0</v>
      </c>
      <c r="BV382" s="40">
        <v>0</v>
      </c>
      <c r="BW382" s="40">
        <v>0</v>
      </c>
      <c r="BX382" s="40">
        <v>0</v>
      </c>
      <c r="BY382" s="40">
        <v>0</v>
      </c>
      <c r="BZ382" s="40">
        <v>0</v>
      </c>
      <c r="CA382" s="41">
        <v>0</v>
      </c>
      <c r="CB382" s="41">
        <v>0</v>
      </c>
      <c r="CC382" s="41">
        <v>0</v>
      </c>
      <c r="CD382" s="41">
        <v>0</v>
      </c>
      <c r="CE382" s="41">
        <v>0</v>
      </c>
      <c r="CF382" s="41">
        <v>0</v>
      </c>
      <c r="CG382" s="41">
        <v>0</v>
      </c>
      <c r="CH382" s="41">
        <v>0</v>
      </c>
      <c r="CI382" s="41">
        <v>0</v>
      </c>
      <c r="CJ382" s="41">
        <v>0</v>
      </c>
      <c r="CK382" s="41">
        <v>0</v>
      </c>
      <c r="CL382" s="41">
        <v>0</v>
      </c>
      <c r="CM382" s="41">
        <v>0</v>
      </c>
      <c r="CN382" s="41">
        <v>0</v>
      </c>
      <c r="CO382" s="41">
        <v>0</v>
      </c>
      <c r="CP382" s="41">
        <v>0</v>
      </c>
      <c r="CQ382" s="41">
        <v>0</v>
      </c>
      <c r="CR382" s="41">
        <v>0</v>
      </c>
      <c r="CS382" s="41">
        <v>0</v>
      </c>
      <c r="CT382" s="41">
        <v>0</v>
      </c>
      <c r="CU382" s="41">
        <v>0</v>
      </c>
      <c r="CV382" s="211">
        <v>0</v>
      </c>
      <c r="CW382" s="41">
        <v>0</v>
      </c>
      <c r="CX382" s="41">
        <v>0</v>
      </c>
      <c r="CY382" s="41">
        <v>0</v>
      </c>
      <c r="CZ382" s="41">
        <v>0</v>
      </c>
      <c r="DA382" s="41">
        <v>0</v>
      </c>
      <c r="DB382" s="41">
        <v>0</v>
      </c>
      <c r="DC382" s="41">
        <v>0</v>
      </c>
      <c r="DD382" s="41">
        <v>0</v>
      </c>
      <c r="DE382" s="41">
        <v>0</v>
      </c>
      <c r="DF382" s="41">
        <v>0</v>
      </c>
    </row>
    <row r="383" spans="1:110" ht="12" hidden="1" outlineLevel="2">
      <c r="A383" s="1" t="s">
        <v>932</v>
      </c>
      <c r="B383" s="15" t="s">
        <v>370</v>
      </c>
      <c r="C383" s="40">
        <v>0</v>
      </c>
      <c r="D383" s="40">
        <v>0</v>
      </c>
      <c r="E383" s="40">
        <v>0</v>
      </c>
      <c r="F383" s="40">
        <v>0</v>
      </c>
      <c r="G383" s="40">
        <v>0</v>
      </c>
      <c r="H383" s="40">
        <v>0</v>
      </c>
      <c r="I383" s="40">
        <v>0</v>
      </c>
      <c r="J383" s="40">
        <v>0</v>
      </c>
      <c r="K383" s="40">
        <v>0</v>
      </c>
      <c r="L383" s="40">
        <v>0</v>
      </c>
      <c r="M383" s="40">
        <v>0</v>
      </c>
      <c r="N383" s="40">
        <v>0</v>
      </c>
      <c r="O383" s="40">
        <v>0</v>
      </c>
      <c r="P383" s="40">
        <v>0</v>
      </c>
      <c r="Q383" s="40">
        <v>0</v>
      </c>
      <c r="R383" s="40">
        <v>0</v>
      </c>
      <c r="S383" s="40">
        <v>0</v>
      </c>
      <c r="T383" s="40">
        <v>0</v>
      </c>
      <c r="U383" s="40">
        <v>0</v>
      </c>
      <c r="V383" s="40">
        <v>0</v>
      </c>
      <c r="W383" s="40">
        <v>0</v>
      </c>
      <c r="X383" s="40">
        <v>0</v>
      </c>
      <c r="Y383" s="40">
        <v>0</v>
      </c>
      <c r="Z383" s="141">
        <v>0</v>
      </c>
      <c r="AA383" s="141">
        <v>0</v>
      </c>
      <c r="AB383" s="141">
        <v>0</v>
      </c>
      <c r="AC383" s="141">
        <v>0</v>
      </c>
      <c r="AD383" s="141">
        <v>0</v>
      </c>
      <c r="AE383" s="141">
        <v>0</v>
      </c>
      <c r="AF383" s="141">
        <v>0</v>
      </c>
      <c r="AG383" s="141">
        <v>0</v>
      </c>
      <c r="AH383" s="141">
        <v>0</v>
      </c>
      <c r="AI383" s="141">
        <v>0</v>
      </c>
      <c r="AJ383" s="141">
        <v>0</v>
      </c>
      <c r="AK383" s="141">
        <v>0</v>
      </c>
      <c r="AL383" s="141">
        <v>0</v>
      </c>
      <c r="AM383" s="141">
        <v>0</v>
      </c>
      <c r="AN383" s="141">
        <v>0</v>
      </c>
      <c r="AO383" s="141">
        <v>0</v>
      </c>
      <c r="AP383" s="141">
        <v>0</v>
      </c>
      <c r="AQ383" s="141">
        <v>0</v>
      </c>
      <c r="AR383" s="141">
        <v>0</v>
      </c>
      <c r="AS383" s="141">
        <v>0</v>
      </c>
      <c r="AT383" s="141">
        <v>0</v>
      </c>
      <c r="AU383" s="141">
        <v>0</v>
      </c>
      <c r="AV383" s="226">
        <v>0</v>
      </c>
      <c r="AW383" s="210">
        <v>0</v>
      </c>
      <c r="AX383" s="210">
        <v>0</v>
      </c>
      <c r="AY383" s="210">
        <v>0</v>
      </c>
      <c r="AZ383" s="210">
        <v>0</v>
      </c>
      <c r="BA383" s="210">
        <v>0</v>
      </c>
      <c r="BB383" s="210">
        <v>0</v>
      </c>
      <c r="BC383" s="210">
        <v>0</v>
      </c>
      <c r="BD383" s="210">
        <v>0</v>
      </c>
      <c r="BE383" s="210">
        <v>0</v>
      </c>
      <c r="BF383" s="210">
        <v>0</v>
      </c>
      <c r="BG383" s="210">
        <v>0</v>
      </c>
      <c r="BH383" s="210">
        <v>0</v>
      </c>
      <c r="BI383" s="210">
        <v>0</v>
      </c>
      <c r="BJ383" s="210">
        <v>0</v>
      </c>
      <c r="BK383" s="210">
        <v>0</v>
      </c>
      <c r="BL383" s="210">
        <v>0</v>
      </c>
      <c r="BM383" s="210">
        <v>0</v>
      </c>
      <c r="BN383" s="210">
        <v>0</v>
      </c>
      <c r="BO383" s="210">
        <v>0</v>
      </c>
      <c r="BP383" s="41"/>
      <c r="BQ383" s="40">
        <v>0</v>
      </c>
      <c r="BR383" s="40">
        <v>0</v>
      </c>
      <c r="BS383" s="40">
        <v>0</v>
      </c>
      <c r="BT383" s="40">
        <v>0</v>
      </c>
      <c r="BU383" s="40">
        <v>0</v>
      </c>
      <c r="BV383" s="40">
        <v>0</v>
      </c>
      <c r="BW383" s="40">
        <v>0</v>
      </c>
      <c r="BX383" s="40">
        <v>0</v>
      </c>
      <c r="BY383" s="40">
        <v>0</v>
      </c>
      <c r="BZ383" s="40">
        <v>0</v>
      </c>
      <c r="CA383" s="41">
        <v>0</v>
      </c>
      <c r="CB383" s="41">
        <v>0</v>
      </c>
      <c r="CC383" s="41">
        <v>0</v>
      </c>
      <c r="CD383" s="41">
        <v>0</v>
      </c>
      <c r="CE383" s="41">
        <v>0</v>
      </c>
      <c r="CF383" s="41">
        <v>0</v>
      </c>
      <c r="CG383" s="41">
        <v>0</v>
      </c>
      <c r="CH383" s="41">
        <v>0</v>
      </c>
      <c r="CI383" s="41">
        <v>0</v>
      </c>
      <c r="CJ383" s="41">
        <v>0</v>
      </c>
      <c r="CK383" s="41">
        <v>0</v>
      </c>
      <c r="CL383" s="41">
        <v>0</v>
      </c>
      <c r="CM383" s="41">
        <v>0</v>
      </c>
      <c r="CN383" s="41">
        <v>0</v>
      </c>
      <c r="CO383" s="41">
        <v>0</v>
      </c>
      <c r="CP383" s="41">
        <v>0</v>
      </c>
      <c r="CQ383" s="41">
        <v>0</v>
      </c>
      <c r="CR383" s="41">
        <v>0</v>
      </c>
      <c r="CS383" s="41">
        <v>0</v>
      </c>
      <c r="CT383" s="41">
        <v>0</v>
      </c>
      <c r="CU383" s="41">
        <v>0</v>
      </c>
      <c r="CV383" s="211">
        <v>0</v>
      </c>
      <c r="CW383" s="41">
        <v>0</v>
      </c>
      <c r="CX383" s="41">
        <v>0</v>
      </c>
      <c r="CY383" s="41">
        <v>0</v>
      </c>
      <c r="CZ383" s="41">
        <v>0</v>
      </c>
      <c r="DA383" s="41">
        <v>0</v>
      </c>
      <c r="DB383" s="41">
        <v>0</v>
      </c>
      <c r="DC383" s="41">
        <v>0</v>
      </c>
      <c r="DD383" s="41">
        <v>0</v>
      </c>
      <c r="DE383" s="41">
        <v>0</v>
      </c>
      <c r="DF383" s="41">
        <v>0</v>
      </c>
    </row>
    <row r="384" spans="1:110" ht="12" hidden="1" outlineLevel="2">
      <c r="A384" s="1" t="s">
        <v>933</v>
      </c>
      <c r="B384" s="15" t="s">
        <v>371</v>
      </c>
      <c r="C384" s="40">
        <v>0</v>
      </c>
      <c r="D384" s="40">
        <v>0</v>
      </c>
      <c r="E384" s="40">
        <v>0</v>
      </c>
      <c r="F384" s="40">
        <v>0</v>
      </c>
      <c r="G384" s="40">
        <v>0</v>
      </c>
      <c r="H384" s="40">
        <v>0</v>
      </c>
      <c r="I384" s="40">
        <v>0</v>
      </c>
      <c r="J384" s="40">
        <v>0</v>
      </c>
      <c r="K384" s="40">
        <v>0</v>
      </c>
      <c r="L384" s="40">
        <v>0</v>
      </c>
      <c r="M384" s="40">
        <v>0</v>
      </c>
      <c r="N384" s="40">
        <v>0</v>
      </c>
      <c r="O384" s="40">
        <v>0</v>
      </c>
      <c r="P384" s="40">
        <v>0</v>
      </c>
      <c r="Q384" s="40">
        <v>0</v>
      </c>
      <c r="R384" s="40">
        <v>0</v>
      </c>
      <c r="S384" s="40">
        <v>0</v>
      </c>
      <c r="T384" s="40">
        <v>0</v>
      </c>
      <c r="U384" s="40">
        <v>0</v>
      </c>
      <c r="V384" s="40">
        <v>0</v>
      </c>
      <c r="W384" s="40">
        <v>0</v>
      </c>
      <c r="X384" s="40">
        <v>0</v>
      </c>
      <c r="Y384" s="40">
        <v>0</v>
      </c>
      <c r="Z384" s="141">
        <v>0</v>
      </c>
      <c r="AA384" s="141">
        <v>0</v>
      </c>
      <c r="AB384" s="141">
        <v>0</v>
      </c>
      <c r="AC384" s="141">
        <v>0</v>
      </c>
      <c r="AD384" s="141">
        <v>0</v>
      </c>
      <c r="AE384" s="141">
        <v>0</v>
      </c>
      <c r="AF384" s="141">
        <v>0</v>
      </c>
      <c r="AG384" s="141">
        <v>0</v>
      </c>
      <c r="AH384" s="141">
        <v>0</v>
      </c>
      <c r="AI384" s="141">
        <v>0</v>
      </c>
      <c r="AJ384" s="141">
        <v>0</v>
      </c>
      <c r="AK384" s="141">
        <v>0</v>
      </c>
      <c r="AL384" s="141">
        <v>0</v>
      </c>
      <c r="AM384" s="141">
        <v>0</v>
      </c>
      <c r="AN384" s="141">
        <v>0</v>
      </c>
      <c r="AO384" s="141">
        <v>0</v>
      </c>
      <c r="AP384" s="141">
        <v>0</v>
      </c>
      <c r="AQ384" s="141">
        <v>0</v>
      </c>
      <c r="AR384" s="141">
        <v>0</v>
      </c>
      <c r="AS384" s="141">
        <v>0</v>
      </c>
      <c r="AT384" s="141">
        <v>0</v>
      </c>
      <c r="AU384" s="141">
        <v>0</v>
      </c>
      <c r="AV384" s="226">
        <v>0</v>
      </c>
      <c r="AW384" s="210">
        <v>0</v>
      </c>
      <c r="AX384" s="210">
        <v>0</v>
      </c>
      <c r="AY384" s="210">
        <v>0</v>
      </c>
      <c r="AZ384" s="210">
        <v>0</v>
      </c>
      <c r="BA384" s="210">
        <v>0</v>
      </c>
      <c r="BB384" s="210">
        <v>0</v>
      </c>
      <c r="BC384" s="210">
        <v>0</v>
      </c>
      <c r="BD384" s="210">
        <v>0</v>
      </c>
      <c r="BE384" s="210">
        <v>0</v>
      </c>
      <c r="BF384" s="210">
        <v>0</v>
      </c>
      <c r="BG384" s="210">
        <v>0</v>
      </c>
      <c r="BH384" s="210">
        <v>0</v>
      </c>
      <c r="BI384" s="210">
        <v>0</v>
      </c>
      <c r="BJ384" s="210">
        <v>0</v>
      </c>
      <c r="BK384" s="210">
        <v>0</v>
      </c>
      <c r="BL384" s="210">
        <v>0</v>
      </c>
      <c r="BM384" s="210">
        <v>0</v>
      </c>
      <c r="BN384" s="210">
        <v>0</v>
      </c>
      <c r="BO384" s="210">
        <v>0</v>
      </c>
      <c r="BP384" s="41"/>
      <c r="BQ384" s="40">
        <v>0</v>
      </c>
      <c r="BR384" s="40">
        <v>0</v>
      </c>
      <c r="BS384" s="40">
        <v>0</v>
      </c>
      <c r="BT384" s="40">
        <v>0</v>
      </c>
      <c r="BU384" s="40">
        <v>0</v>
      </c>
      <c r="BV384" s="40">
        <v>0</v>
      </c>
      <c r="BW384" s="40">
        <v>0</v>
      </c>
      <c r="BX384" s="40">
        <v>0</v>
      </c>
      <c r="BY384" s="40">
        <v>0</v>
      </c>
      <c r="BZ384" s="40">
        <v>0</v>
      </c>
      <c r="CA384" s="41">
        <v>0</v>
      </c>
      <c r="CB384" s="41">
        <v>0</v>
      </c>
      <c r="CC384" s="41">
        <v>0</v>
      </c>
      <c r="CD384" s="41">
        <v>0</v>
      </c>
      <c r="CE384" s="41">
        <v>0</v>
      </c>
      <c r="CF384" s="41">
        <v>0</v>
      </c>
      <c r="CG384" s="41">
        <v>0</v>
      </c>
      <c r="CH384" s="41">
        <v>0</v>
      </c>
      <c r="CI384" s="41">
        <v>0</v>
      </c>
      <c r="CJ384" s="41">
        <v>0</v>
      </c>
      <c r="CK384" s="41">
        <v>0</v>
      </c>
      <c r="CL384" s="41">
        <v>0</v>
      </c>
      <c r="CM384" s="41">
        <v>0</v>
      </c>
      <c r="CN384" s="41">
        <v>0</v>
      </c>
      <c r="CO384" s="41">
        <v>0</v>
      </c>
      <c r="CP384" s="41">
        <v>0</v>
      </c>
      <c r="CQ384" s="41">
        <v>0</v>
      </c>
      <c r="CR384" s="41">
        <v>0</v>
      </c>
      <c r="CS384" s="41">
        <v>0</v>
      </c>
      <c r="CT384" s="41">
        <v>0</v>
      </c>
      <c r="CU384" s="41">
        <v>0</v>
      </c>
      <c r="CV384" s="211">
        <v>0</v>
      </c>
      <c r="CW384" s="41">
        <v>0</v>
      </c>
      <c r="CX384" s="41">
        <v>0</v>
      </c>
      <c r="CY384" s="41">
        <v>0</v>
      </c>
      <c r="CZ384" s="41">
        <v>0</v>
      </c>
      <c r="DA384" s="41">
        <v>0</v>
      </c>
      <c r="DB384" s="41">
        <v>0</v>
      </c>
      <c r="DC384" s="41">
        <v>0</v>
      </c>
      <c r="DD384" s="41">
        <v>0</v>
      </c>
      <c r="DE384" s="41">
        <v>0</v>
      </c>
      <c r="DF384" s="41">
        <v>0</v>
      </c>
    </row>
    <row r="385" spans="1:110" ht="12" hidden="1" outlineLevel="2">
      <c r="A385" s="1" t="s">
        <v>990</v>
      </c>
      <c r="B385" s="15" t="s">
        <v>361</v>
      </c>
      <c r="C385" s="40">
        <v>0</v>
      </c>
      <c r="D385" s="40">
        <v>0</v>
      </c>
      <c r="E385" s="40">
        <v>0</v>
      </c>
      <c r="F385" s="40">
        <v>0</v>
      </c>
      <c r="G385" s="40">
        <v>0</v>
      </c>
      <c r="H385" s="40">
        <v>0</v>
      </c>
      <c r="I385" s="40">
        <v>0</v>
      </c>
      <c r="J385" s="40">
        <v>0</v>
      </c>
      <c r="K385" s="40">
        <v>0</v>
      </c>
      <c r="L385" s="40">
        <v>0</v>
      </c>
      <c r="M385" s="40">
        <v>0</v>
      </c>
      <c r="N385" s="40">
        <v>0</v>
      </c>
      <c r="O385" s="40">
        <v>0</v>
      </c>
      <c r="P385" s="40">
        <v>0</v>
      </c>
      <c r="Q385" s="40">
        <v>0</v>
      </c>
      <c r="R385" s="40">
        <v>0</v>
      </c>
      <c r="S385" s="40">
        <v>0</v>
      </c>
      <c r="T385" s="40">
        <v>0</v>
      </c>
      <c r="U385" s="40">
        <v>0</v>
      </c>
      <c r="V385" s="40">
        <v>0</v>
      </c>
      <c r="W385" s="40">
        <v>0</v>
      </c>
      <c r="X385" s="40">
        <v>0</v>
      </c>
      <c r="Y385" s="40">
        <v>0</v>
      </c>
      <c r="Z385" s="141">
        <v>0</v>
      </c>
      <c r="AA385" s="141">
        <v>0</v>
      </c>
      <c r="AB385" s="141">
        <v>0</v>
      </c>
      <c r="AC385" s="141">
        <v>0</v>
      </c>
      <c r="AD385" s="141">
        <v>0</v>
      </c>
      <c r="AE385" s="141">
        <v>0</v>
      </c>
      <c r="AF385" s="141">
        <v>0</v>
      </c>
      <c r="AG385" s="141">
        <v>0</v>
      </c>
      <c r="AH385" s="141">
        <v>0</v>
      </c>
      <c r="AI385" s="141">
        <v>0</v>
      </c>
      <c r="AJ385" s="141">
        <v>0</v>
      </c>
      <c r="AK385" s="141">
        <v>0</v>
      </c>
      <c r="AL385" s="141">
        <v>0</v>
      </c>
      <c r="AM385" s="141">
        <v>0</v>
      </c>
      <c r="AN385" s="141">
        <v>0</v>
      </c>
      <c r="AO385" s="141">
        <v>0</v>
      </c>
      <c r="AP385" s="141">
        <v>0</v>
      </c>
      <c r="AQ385" s="141">
        <v>0</v>
      </c>
      <c r="AR385" s="141">
        <v>0</v>
      </c>
      <c r="AS385" s="141">
        <v>0</v>
      </c>
      <c r="AT385" s="141">
        <v>0</v>
      </c>
      <c r="AU385" s="141">
        <v>0</v>
      </c>
      <c r="AV385" s="226">
        <v>0</v>
      </c>
      <c r="AW385" s="210">
        <v>0</v>
      </c>
      <c r="AX385" s="210">
        <v>0</v>
      </c>
      <c r="AY385" s="210">
        <v>0</v>
      </c>
      <c r="AZ385" s="210">
        <v>0</v>
      </c>
      <c r="BA385" s="210">
        <v>0</v>
      </c>
      <c r="BB385" s="210">
        <v>0</v>
      </c>
      <c r="BC385" s="210">
        <v>0</v>
      </c>
      <c r="BD385" s="210">
        <v>0</v>
      </c>
      <c r="BE385" s="210">
        <v>0</v>
      </c>
      <c r="BF385" s="210">
        <v>0</v>
      </c>
      <c r="BG385" s="210">
        <v>0</v>
      </c>
      <c r="BH385" s="210">
        <v>0</v>
      </c>
      <c r="BI385" s="210">
        <v>0</v>
      </c>
      <c r="BJ385" s="210">
        <v>0</v>
      </c>
      <c r="BK385" s="210">
        <v>0</v>
      </c>
      <c r="BL385" s="210">
        <v>0</v>
      </c>
      <c r="BM385" s="210">
        <v>0</v>
      </c>
      <c r="BN385" s="210">
        <v>0</v>
      </c>
      <c r="BO385" s="210">
        <v>0</v>
      </c>
      <c r="BP385" s="41"/>
      <c r="BQ385" s="40">
        <v>0</v>
      </c>
      <c r="BR385" s="40">
        <v>0</v>
      </c>
      <c r="BS385" s="40">
        <v>0</v>
      </c>
      <c r="BT385" s="40">
        <v>0</v>
      </c>
      <c r="BU385" s="40">
        <v>0</v>
      </c>
      <c r="BV385" s="40">
        <v>0</v>
      </c>
      <c r="BW385" s="40">
        <v>0</v>
      </c>
      <c r="BX385" s="40">
        <v>0</v>
      </c>
      <c r="BY385" s="40">
        <v>0</v>
      </c>
      <c r="BZ385" s="40">
        <v>0</v>
      </c>
      <c r="CA385" s="41">
        <v>0</v>
      </c>
      <c r="CB385" s="41">
        <v>0</v>
      </c>
      <c r="CC385" s="41">
        <v>0</v>
      </c>
      <c r="CD385" s="41">
        <v>0</v>
      </c>
      <c r="CE385" s="41">
        <v>0</v>
      </c>
      <c r="CF385" s="41">
        <v>0</v>
      </c>
      <c r="CG385" s="41">
        <v>0</v>
      </c>
      <c r="CH385" s="41">
        <v>0</v>
      </c>
      <c r="CI385" s="41">
        <v>0</v>
      </c>
      <c r="CJ385" s="41">
        <v>0</v>
      </c>
      <c r="CK385" s="41">
        <v>0</v>
      </c>
      <c r="CL385" s="41">
        <v>0</v>
      </c>
      <c r="CM385" s="41">
        <v>0</v>
      </c>
      <c r="CN385" s="41">
        <v>0</v>
      </c>
      <c r="CO385" s="41">
        <v>0</v>
      </c>
      <c r="CP385" s="41">
        <v>0</v>
      </c>
      <c r="CQ385" s="41">
        <v>0</v>
      </c>
      <c r="CR385" s="41">
        <v>0</v>
      </c>
      <c r="CS385" s="41">
        <v>0</v>
      </c>
      <c r="CT385" s="41">
        <v>0</v>
      </c>
      <c r="CU385" s="41">
        <v>0</v>
      </c>
      <c r="CV385" s="211">
        <v>0</v>
      </c>
      <c r="CW385" s="41">
        <v>0</v>
      </c>
      <c r="CX385" s="41">
        <v>0</v>
      </c>
      <c r="CY385" s="41">
        <v>0</v>
      </c>
      <c r="CZ385" s="41">
        <v>0</v>
      </c>
      <c r="DA385" s="41">
        <v>0</v>
      </c>
      <c r="DB385" s="41">
        <v>0</v>
      </c>
      <c r="DC385" s="41">
        <v>0</v>
      </c>
      <c r="DD385" s="41">
        <v>0</v>
      </c>
      <c r="DE385" s="41">
        <v>0</v>
      </c>
      <c r="DF385" s="41">
        <v>0</v>
      </c>
    </row>
    <row r="386" spans="1:110" ht="12" hidden="1" outlineLevel="2">
      <c r="A386" s="1" t="s">
        <v>991</v>
      </c>
      <c r="B386" s="15" t="s">
        <v>425</v>
      </c>
      <c r="C386" s="40">
        <v>0</v>
      </c>
      <c r="D386" s="40">
        <v>0</v>
      </c>
      <c r="E386" s="40">
        <v>0</v>
      </c>
      <c r="F386" s="40">
        <v>0</v>
      </c>
      <c r="G386" s="40">
        <v>0</v>
      </c>
      <c r="H386" s="40">
        <v>0</v>
      </c>
      <c r="I386" s="40">
        <v>0</v>
      </c>
      <c r="J386" s="40">
        <v>0</v>
      </c>
      <c r="K386" s="40">
        <v>0</v>
      </c>
      <c r="L386" s="40">
        <v>0</v>
      </c>
      <c r="M386" s="40">
        <v>0</v>
      </c>
      <c r="N386" s="40">
        <v>0</v>
      </c>
      <c r="O386" s="40">
        <v>0</v>
      </c>
      <c r="P386" s="40">
        <v>1</v>
      </c>
      <c r="Q386" s="40">
        <v>4</v>
      </c>
      <c r="R386" s="40">
        <v>0</v>
      </c>
      <c r="S386" s="40">
        <v>0</v>
      </c>
      <c r="T386" s="40">
        <v>-1</v>
      </c>
      <c r="U386" s="40">
        <v>-9</v>
      </c>
      <c r="V386" s="40">
        <v>0</v>
      </c>
      <c r="W386" s="40">
        <v>0</v>
      </c>
      <c r="X386" s="40">
        <v>0</v>
      </c>
      <c r="Y386" s="40">
        <v>0</v>
      </c>
      <c r="Z386" s="141">
        <v>0</v>
      </c>
      <c r="AA386" s="141">
        <v>0</v>
      </c>
      <c r="AB386" s="141">
        <v>0</v>
      </c>
      <c r="AC386" s="141">
        <v>0</v>
      </c>
      <c r="AD386" s="141">
        <v>0</v>
      </c>
      <c r="AE386" s="141">
        <v>0</v>
      </c>
      <c r="AF386" s="141">
        <v>0</v>
      </c>
      <c r="AG386" s="141">
        <v>0</v>
      </c>
      <c r="AH386" s="141">
        <v>0</v>
      </c>
      <c r="AI386" s="141">
        <v>0</v>
      </c>
      <c r="AJ386" s="141">
        <v>0</v>
      </c>
      <c r="AK386" s="141">
        <v>0</v>
      </c>
      <c r="AL386" s="141">
        <v>0</v>
      </c>
      <c r="AM386" s="141">
        <v>0</v>
      </c>
      <c r="AN386" s="141">
        <v>0</v>
      </c>
      <c r="AO386" s="141">
        <v>0</v>
      </c>
      <c r="AP386" s="141">
        <v>0</v>
      </c>
      <c r="AQ386" s="141">
        <v>0</v>
      </c>
      <c r="AR386" s="141">
        <v>0</v>
      </c>
      <c r="AS386" s="141">
        <v>0</v>
      </c>
      <c r="AT386" s="141">
        <v>0</v>
      </c>
      <c r="AU386" s="141">
        <v>0</v>
      </c>
      <c r="AV386" s="226">
        <v>0</v>
      </c>
      <c r="AW386" s="210">
        <v>0</v>
      </c>
      <c r="AX386" s="210">
        <v>0</v>
      </c>
      <c r="AY386" s="210">
        <v>0</v>
      </c>
      <c r="AZ386" s="210">
        <v>0</v>
      </c>
      <c r="BA386" s="210">
        <v>0</v>
      </c>
      <c r="BB386" s="210">
        <v>0</v>
      </c>
      <c r="BC386" s="210">
        <v>0</v>
      </c>
      <c r="BD386" s="210">
        <v>0</v>
      </c>
      <c r="BE386" s="210">
        <v>0</v>
      </c>
      <c r="BF386" s="210">
        <v>0</v>
      </c>
      <c r="BG386" s="210">
        <v>0</v>
      </c>
      <c r="BH386" s="210">
        <v>0</v>
      </c>
      <c r="BI386" s="210">
        <v>0</v>
      </c>
      <c r="BJ386" s="210">
        <v>0</v>
      </c>
      <c r="BK386" s="210">
        <v>0</v>
      </c>
      <c r="BL386" s="210">
        <v>0</v>
      </c>
      <c r="BM386" s="210">
        <v>0</v>
      </c>
      <c r="BN386" s="210">
        <v>0</v>
      </c>
      <c r="BO386" s="210">
        <v>0</v>
      </c>
      <c r="BP386" s="41"/>
      <c r="BQ386" s="40">
        <v>0</v>
      </c>
      <c r="BR386" s="40">
        <v>0</v>
      </c>
      <c r="BS386" s="40">
        <v>0</v>
      </c>
      <c r="BT386" s="40">
        <v>0</v>
      </c>
      <c r="BU386" s="40">
        <v>0</v>
      </c>
      <c r="BV386" s="40">
        <v>0</v>
      </c>
      <c r="BW386" s="40">
        <v>0</v>
      </c>
      <c r="BX386" s="40">
        <v>0</v>
      </c>
      <c r="BY386" s="40">
        <v>0</v>
      </c>
      <c r="BZ386" s="40">
        <v>0</v>
      </c>
      <c r="CA386" s="41">
        <v>0</v>
      </c>
      <c r="CB386" s="41">
        <v>0</v>
      </c>
      <c r="CC386" s="41">
        <v>0</v>
      </c>
      <c r="CD386" s="41">
        <v>0</v>
      </c>
      <c r="CE386" s="41">
        <v>0</v>
      </c>
      <c r="CF386" s="41">
        <v>0</v>
      </c>
      <c r="CG386" s="41">
        <v>5</v>
      </c>
      <c r="CH386" s="41">
        <v>0</v>
      </c>
      <c r="CI386" s="41">
        <v>-10</v>
      </c>
      <c r="CJ386" s="41">
        <v>0</v>
      </c>
      <c r="CK386" s="41">
        <v>0</v>
      </c>
      <c r="CL386" s="41">
        <v>0</v>
      </c>
      <c r="CM386" s="41">
        <v>0</v>
      </c>
      <c r="CN386" s="41">
        <v>0</v>
      </c>
      <c r="CO386" s="41">
        <v>0</v>
      </c>
      <c r="CP386" s="41">
        <v>0</v>
      </c>
      <c r="CQ386" s="41">
        <v>0</v>
      </c>
      <c r="CR386" s="41">
        <v>0</v>
      </c>
      <c r="CS386" s="41">
        <v>0</v>
      </c>
      <c r="CT386" s="41">
        <v>0</v>
      </c>
      <c r="CU386" s="41">
        <v>0</v>
      </c>
      <c r="CV386" s="211">
        <v>0</v>
      </c>
      <c r="CW386" s="41">
        <v>0</v>
      </c>
      <c r="CX386" s="41">
        <v>0</v>
      </c>
      <c r="CY386" s="41">
        <v>0</v>
      </c>
      <c r="CZ386" s="41">
        <v>0</v>
      </c>
      <c r="DA386" s="41">
        <v>0</v>
      </c>
      <c r="DB386" s="41">
        <v>0</v>
      </c>
      <c r="DC386" s="41">
        <v>0</v>
      </c>
      <c r="DD386" s="41">
        <v>0</v>
      </c>
      <c r="DE386" s="41">
        <v>0</v>
      </c>
      <c r="DF386" s="41">
        <v>0</v>
      </c>
    </row>
    <row r="387" spans="1:110" s="17" customFormat="1" ht="12" hidden="1" outlineLevel="2">
      <c r="A387" s="1" t="s">
        <v>992</v>
      </c>
      <c r="B387" s="17" t="s">
        <v>426</v>
      </c>
      <c r="C387" s="61">
        <v>1954</v>
      </c>
      <c r="D387" s="61">
        <v>1965</v>
      </c>
      <c r="E387" s="61">
        <v>2053</v>
      </c>
      <c r="F387" s="61">
        <v>2140</v>
      </c>
      <c r="G387" s="61">
        <v>2171</v>
      </c>
      <c r="H387" s="61">
        <v>2507</v>
      </c>
      <c r="I387" s="61">
        <v>2745</v>
      </c>
      <c r="J387" s="61">
        <v>3140</v>
      </c>
      <c r="K387" s="61">
        <v>3231</v>
      </c>
      <c r="L387" s="61">
        <v>3368</v>
      </c>
      <c r="M387" s="61">
        <v>3575</v>
      </c>
      <c r="N387" s="61">
        <v>3611</v>
      </c>
      <c r="O387" s="61">
        <v>3691</v>
      </c>
      <c r="P387" s="61">
        <v>3781</v>
      </c>
      <c r="Q387" s="61">
        <v>4074</v>
      </c>
      <c r="R387" s="61">
        <v>4821</v>
      </c>
      <c r="S387" s="61">
        <v>5069</v>
      </c>
      <c r="T387" s="61">
        <v>5239</v>
      </c>
      <c r="U387" s="61">
        <v>5623</v>
      </c>
      <c r="V387" s="61">
        <v>5652</v>
      </c>
      <c r="W387" s="61">
        <v>5848</v>
      </c>
      <c r="X387" s="61">
        <v>5984</v>
      </c>
      <c r="Y387" s="61">
        <v>6126</v>
      </c>
      <c r="Z387" s="194">
        <v>6236</v>
      </c>
      <c r="AA387" s="194">
        <v>6536</v>
      </c>
      <c r="AB387" s="194">
        <v>6764</v>
      </c>
      <c r="AC387" s="194">
        <v>7033</v>
      </c>
      <c r="AD387" s="194">
        <v>7138</v>
      </c>
      <c r="AE387" s="194">
        <v>7478</v>
      </c>
      <c r="AF387" s="194">
        <v>7568</v>
      </c>
      <c r="AG387" s="194">
        <v>7527</v>
      </c>
      <c r="AH387" s="194">
        <v>7419</v>
      </c>
      <c r="AI387" s="194">
        <v>7456</v>
      </c>
      <c r="AJ387" s="194">
        <v>7350</v>
      </c>
      <c r="AK387" s="194">
        <v>7164</v>
      </c>
      <c r="AL387" s="194">
        <v>7299</v>
      </c>
      <c r="AM387" s="194">
        <v>7040</v>
      </c>
      <c r="AN387" s="194">
        <v>7222</v>
      </c>
      <c r="AO387" s="194">
        <v>6827</v>
      </c>
      <c r="AP387" s="194">
        <v>6986</v>
      </c>
      <c r="AQ387" s="194">
        <v>7175</v>
      </c>
      <c r="AR387" s="194">
        <v>7100</v>
      </c>
      <c r="AS387" s="194">
        <v>7774</v>
      </c>
      <c r="AT387" s="194">
        <v>8500</v>
      </c>
      <c r="AU387" s="194">
        <v>8074</v>
      </c>
      <c r="AV387" s="227">
        <v>7899</v>
      </c>
      <c r="AW387" s="62">
        <v>8283.2513866481677</v>
      </c>
      <c r="AX387" s="62">
        <v>8864.4848965227357</v>
      </c>
      <c r="AY387" s="62">
        <v>9077.9770652860461</v>
      </c>
      <c r="AZ387" s="62">
        <v>8984.7880356441456</v>
      </c>
      <c r="BA387" s="62">
        <v>9130.4871313406657</v>
      </c>
      <c r="BB387" s="62">
        <v>9155.6918836297154</v>
      </c>
      <c r="BC387" s="62">
        <v>9261.395415750445</v>
      </c>
      <c r="BD387" s="62">
        <v>9401.1122767212364</v>
      </c>
      <c r="BE387" s="62">
        <v>9574.6540816340166</v>
      </c>
      <c r="BF387" s="62">
        <v>9743.3598938372888</v>
      </c>
      <c r="BG387" s="62">
        <v>10000.396639250102</v>
      </c>
      <c r="BH387" s="62">
        <v>10150.715896893322</v>
      </c>
      <c r="BI387" s="62">
        <v>10469.923194767485</v>
      </c>
      <c r="BJ387" s="62">
        <v>10676.980801599158</v>
      </c>
      <c r="BK387" s="62">
        <v>10985.331026823944</v>
      </c>
      <c r="BL387" s="62">
        <v>11224.605642523937</v>
      </c>
      <c r="BM387" s="62">
        <v>11502.526276804419</v>
      </c>
      <c r="BN387" s="62">
        <v>11674.486482218323</v>
      </c>
      <c r="BO387" s="62">
        <v>11872.35608899434</v>
      </c>
      <c r="BP387" s="62"/>
      <c r="BQ387" s="61">
        <v>2437.8000000000002</v>
      </c>
      <c r="BR387" s="61">
        <v>2543</v>
      </c>
      <c r="BS387" s="61">
        <v>2794</v>
      </c>
      <c r="BT387" s="61">
        <v>3084</v>
      </c>
      <c r="BU387" s="61">
        <v>3327</v>
      </c>
      <c r="BV387" s="61">
        <v>3437</v>
      </c>
      <c r="BW387" s="61">
        <v>3547</v>
      </c>
      <c r="BX387" s="61">
        <v>3655</v>
      </c>
      <c r="BY387" s="61">
        <v>3801</v>
      </c>
      <c r="BZ387" s="61">
        <v>3833</v>
      </c>
      <c r="CA387" s="62">
        <v>4018</v>
      </c>
      <c r="CB387" s="62">
        <v>4311</v>
      </c>
      <c r="CC387" s="62">
        <v>5252</v>
      </c>
      <c r="CD387" s="62">
        <v>6371</v>
      </c>
      <c r="CE387" s="62">
        <v>6943</v>
      </c>
      <c r="CF387" s="62">
        <v>7302</v>
      </c>
      <c r="CG387" s="62">
        <v>7855</v>
      </c>
      <c r="CH387" s="62">
        <v>9890</v>
      </c>
      <c r="CI387" s="62">
        <v>10862</v>
      </c>
      <c r="CJ387" s="62">
        <v>11500</v>
      </c>
      <c r="CK387" s="62">
        <v>12110</v>
      </c>
      <c r="CL387" s="62">
        <v>12772</v>
      </c>
      <c r="CM387" s="62">
        <v>13797</v>
      </c>
      <c r="CN387" s="62">
        <v>14616</v>
      </c>
      <c r="CO387" s="62">
        <v>15095</v>
      </c>
      <c r="CP387" s="62">
        <v>14875</v>
      </c>
      <c r="CQ387" s="62">
        <v>14514</v>
      </c>
      <c r="CR387" s="62">
        <v>14339</v>
      </c>
      <c r="CS387" s="62">
        <v>14049</v>
      </c>
      <c r="CT387" s="62">
        <v>14161</v>
      </c>
      <c r="CU387" s="62">
        <v>14874</v>
      </c>
      <c r="CV387" s="220">
        <v>16574</v>
      </c>
      <c r="CW387" s="62">
        <v>16182.251386648168</v>
      </c>
      <c r="CX387" s="62">
        <v>17942.461961808782</v>
      </c>
      <c r="CY387" s="62">
        <v>18115.275166984811</v>
      </c>
      <c r="CZ387" s="62">
        <v>18417.08729938016</v>
      </c>
      <c r="DA387" s="62">
        <v>18975.766358355253</v>
      </c>
      <c r="DB387" s="62">
        <v>19743.756533087391</v>
      </c>
      <c r="DC387" s="62">
        <v>20620.639091660807</v>
      </c>
      <c r="DD387" s="62">
        <v>21662.311828423102</v>
      </c>
      <c r="DE387" s="62">
        <v>22727.131919328356</v>
      </c>
      <c r="DF387" s="62">
        <v>23546.842571212663</v>
      </c>
    </row>
    <row r="388" spans="1:110" ht="12" hidden="1" outlineLevel="2">
      <c r="A388" s="1" t="s">
        <v>993</v>
      </c>
      <c r="B388" s="15" t="s">
        <v>529</v>
      </c>
      <c r="C388" s="41">
        <v>0</v>
      </c>
      <c r="D388" s="41">
        <v>0</v>
      </c>
      <c r="E388" s="41">
        <v>0</v>
      </c>
      <c r="F388" s="41">
        <v>0</v>
      </c>
      <c r="G388" s="41">
        <v>0</v>
      </c>
      <c r="H388" s="41">
        <v>2</v>
      </c>
      <c r="I388" s="41">
        <v>0</v>
      </c>
      <c r="J388" s="41">
        <v>-275</v>
      </c>
      <c r="K388" s="41">
        <v>-278</v>
      </c>
      <c r="L388" s="41">
        <v>0</v>
      </c>
      <c r="M388" s="41">
        <v>0</v>
      </c>
      <c r="N388" s="41">
        <v>0</v>
      </c>
      <c r="O388" s="41">
        <v>0</v>
      </c>
      <c r="P388" s="41">
        <v>-1</v>
      </c>
      <c r="Q388" s="41">
        <v>-4</v>
      </c>
      <c r="R388" s="41">
        <v>1</v>
      </c>
      <c r="S388" s="41">
        <v>-3</v>
      </c>
      <c r="T388" s="41">
        <v>-3</v>
      </c>
      <c r="U388" s="41">
        <v>10</v>
      </c>
      <c r="V388" s="41">
        <v>-6</v>
      </c>
      <c r="W388" s="41">
        <v>6</v>
      </c>
      <c r="X388" s="41">
        <v>0</v>
      </c>
      <c r="Y388" s="41">
        <v>0</v>
      </c>
      <c r="Z388" s="41">
        <v>-36</v>
      </c>
      <c r="AA388" s="41">
        <v>22</v>
      </c>
      <c r="AB388" s="41">
        <v>14</v>
      </c>
      <c r="AC388" s="41">
        <v>-1</v>
      </c>
      <c r="AD388" s="41">
        <v>0</v>
      </c>
      <c r="AE388" s="41">
        <v>0</v>
      </c>
      <c r="AF388" s="41">
        <v>0</v>
      </c>
      <c r="AG388" s="41">
        <v>0</v>
      </c>
      <c r="AH388" s="41">
        <v>-3</v>
      </c>
      <c r="AI388" s="41">
        <v>0</v>
      </c>
      <c r="AJ388" s="41">
        <v>0</v>
      </c>
      <c r="AK388" s="41">
        <v>0</v>
      </c>
      <c r="AL388" s="41">
        <v>-57</v>
      </c>
      <c r="AM388" s="41">
        <v>-19</v>
      </c>
      <c r="AN388" s="41">
        <v>-5</v>
      </c>
      <c r="AO388" s="41">
        <v>0</v>
      </c>
      <c r="AP388" s="41">
        <v>0</v>
      </c>
      <c r="AQ388" s="41">
        <v>0</v>
      </c>
      <c r="AR388" s="41">
        <v>0</v>
      </c>
      <c r="AS388" s="41">
        <v>0</v>
      </c>
      <c r="AT388" s="41">
        <v>0</v>
      </c>
      <c r="AU388" s="41">
        <v>0</v>
      </c>
      <c r="AV388" s="211">
        <v>0</v>
      </c>
      <c r="AW388" s="210">
        <v>0</v>
      </c>
      <c r="AX388" s="210">
        <v>0</v>
      </c>
      <c r="AY388" s="210">
        <v>0</v>
      </c>
      <c r="AZ388" s="210">
        <v>0</v>
      </c>
      <c r="BA388" s="210">
        <v>0</v>
      </c>
      <c r="BB388" s="210">
        <v>0</v>
      </c>
      <c r="BC388" s="210">
        <v>0</v>
      </c>
      <c r="BD388" s="210">
        <v>0</v>
      </c>
      <c r="BE388" s="210">
        <v>0</v>
      </c>
      <c r="BF388" s="210">
        <v>0</v>
      </c>
      <c r="BG388" s="210">
        <v>0</v>
      </c>
      <c r="BH388" s="210">
        <v>0</v>
      </c>
      <c r="BI388" s="210">
        <v>0</v>
      </c>
      <c r="BJ388" s="210">
        <v>0</v>
      </c>
      <c r="BK388" s="210">
        <v>0</v>
      </c>
      <c r="BL388" s="210">
        <v>0</v>
      </c>
      <c r="BM388" s="210">
        <v>0</v>
      </c>
      <c r="BN388" s="210">
        <v>0</v>
      </c>
      <c r="BO388" s="210">
        <v>0</v>
      </c>
      <c r="BP388" s="41"/>
      <c r="BQ388" s="41">
        <v>0</v>
      </c>
      <c r="BR388" s="41">
        <v>0</v>
      </c>
      <c r="BS388" s="41">
        <v>0</v>
      </c>
      <c r="BT388" s="41">
        <v>0</v>
      </c>
      <c r="BU388" s="41">
        <v>0</v>
      </c>
      <c r="BV388" s="41">
        <v>0</v>
      </c>
      <c r="BW388" s="41">
        <v>0</v>
      </c>
      <c r="BX388" s="41">
        <v>0</v>
      </c>
      <c r="BY388" s="41">
        <v>0</v>
      </c>
      <c r="BZ388" s="41">
        <v>0</v>
      </c>
      <c r="CA388" s="41">
        <v>0</v>
      </c>
      <c r="CB388" s="41">
        <v>0</v>
      </c>
      <c r="CC388" s="41">
        <v>2</v>
      </c>
      <c r="CD388" s="41">
        <v>-553</v>
      </c>
      <c r="CE388" s="41">
        <v>0</v>
      </c>
      <c r="CF388" s="41">
        <v>0</v>
      </c>
      <c r="CG388" s="41">
        <v>-5</v>
      </c>
      <c r="CH388" s="41">
        <v>-2</v>
      </c>
      <c r="CI388" s="41">
        <v>7</v>
      </c>
      <c r="CJ388" s="41">
        <v>0</v>
      </c>
      <c r="CK388" s="41">
        <v>0</v>
      </c>
      <c r="CL388" s="41">
        <v>-14</v>
      </c>
      <c r="CM388" s="41">
        <v>13</v>
      </c>
      <c r="CN388" s="41">
        <v>0</v>
      </c>
      <c r="CO388" s="41">
        <v>0</v>
      </c>
      <c r="CP388" s="41">
        <v>-3</v>
      </c>
      <c r="CQ388" s="41">
        <v>0</v>
      </c>
      <c r="CR388" s="41">
        <v>-76</v>
      </c>
      <c r="CS388" s="41">
        <v>-5</v>
      </c>
      <c r="CT388" s="41">
        <v>0</v>
      </c>
      <c r="CU388" s="41">
        <v>0</v>
      </c>
      <c r="CV388" s="211">
        <v>0</v>
      </c>
      <c r="CW388" s="41">
        <v>0</v>
      </c>
      <c r="CX388" s="41">
        <v>0</v>
      </c>
      <c r="CY388" s="41">
        <v>0</v>
      </c>
      <c r="CZ388" s="41">
        <v>0</v>
      </c>
      <c r="DA388" s="41">
        <v>0</v>
      </c>
      <c r="DB388" s="41">
        <v>0</v>
      </c>
      <c r="DC388" s="41">
        <v>0</v>
      </c>
      <c r="DD388" s="41">
        <v>0</v>
      </c>
      <c r="DE388" s="41">
        <v>0</v>
      </c>
      <c r="DF388" s="41">
        <v>0</v>
      </c>
    </row>
    <row r="389" spans="1:110" s="17" customFormat="1" ht="12" hidden="1" outlineLevel="2">
      <c r="A389" s="1" t="s">
        <v>994</v>
      </c>
      <c r="B389" s="17" t="s">
        <v>530</v>
      </c>
      <c r="C389" s="61">
        <v>1954</v>
      </c>
      <c r="D389" s="61">
        <v>1965</v>
      </c>
      <c r="E389" s="61">
        <v>2053</v>
      </c>
      <c r="F389" s="61">
        <v>2140</v>
      </c>
      <c r="G389" s="61">
        <v>2171</v>
      </c>
      <c r="H389" s="61">
        <v>2509</v>
      </c>
      <c r="I389" s="61">
        <v>2745</v>
      </c>
      <c r="J389" s="61">
        <v>2865</v>
      </c>
      <c r="K389" s="61">
        <v>2953</v>
      </c>
      <c r="L389" s="61">
        <v>3368</v>
      </c>
      <c r="M389" s="61">
        <v>3575</v>
      </c>
      <c r="N389" s="61">
        <v>3611</v>
      </c>
      <c r="O389" s="61">
        <v>3691</v>
      </c>
      <c r="P389" s="61">
        <v>3780</v>
      </c>
      <c r="Q389" s="61">
        <v>4070</v>
      </c>
      <c r="R389" s="61">
        <v>4822</v>
      </c>
      <c r="S389" s="61">
        <v>5066</v>
      </c>
      <c r="T389" s="61">
        <v>5236</v>
      </c>
      <c r="U389" s="61">
        <v>5633</v>
      </c>
      <c r="V389" s="61">
        <v>5646</v>
      </c>
      <c r="W389" s="61">
        <v>5854</v>
      </c>
      <c r="X389" s="61">
        <v>5984</v>
      </c>
      <c r="Y389" s="61">
        <v>6126</v>
      </c>
      <c r="Z389" s="194">
        <v>6200</v>
      </c>
      <c r="AA389" s="194">
        <v>6558</v>
      </c>
      <c r="AB389" s="194">
        <v>6778</v>
      </c>
      <c r="AC389" s="194">
        <v>7032</v>
      </c>
      <c r="AD389" s="194">
        <v>7138</v>
      </c>
      <c r="AE389" s="194">
        <v>7478</v>
      </c>
      <c r="AF389" s="194">
        <v>7568</v>
      </c>
      <c r="AG389" s="194">
        <v>7527</v>
      </c>
      <c r="AH389" s="194">
        <v>7416</v>
      </c>
      <c r="AI389" s="194">
        <v>7456</v>
      </c>
      <c r="AJ389" s="194">
        <v>7350</v>
      </c>
      <c r="AK389" s="194">
        <v>7164</v>
      </c>
      <c r="AL389" s="194">
        <v>7242</v>
      </c>
      <c r="AM389" s="194">
        <v>7021</v>
      </c>
      <c r="AN389" s="194">
        <v>7217</v>
      </c>
      <c r="AO389" s="194">
        <v>6827</v>
      </c>
      <c r="AP389" s="194">
        <v>6986</v>
      </c>
      <c r="AQ389" s="194">
        <v>7175</v>
      </c>
      <c r="AR389" s="194">
        <v>7100</v>
      </c>
      <c r="AS389" s="194">
        <v>7774</v>
      </c>
      <c r="AT389" s="194">
        <v>8500</v>
      </c>
      <c r="AU389" s="194">
        <v>8074</v>
      </c>
      <c r="AV389" s="227">
        <v>7899</v>
      </c>
      <c r="AW389" s="62">
        <v>8283.2513866481677</v>
      </c>
      <c r="AX389" s="62">
        <v>8864.4848965227357</v>
      </c>
      <c r="AY389" s="62">
        <v>9077.9770652860461</v>
      </c>
      <c r="AZ389" s="62">
        <v>8984.7880356441456</v>
      </c>
      <c r="BA389" s="62">
        <v>9130.4871313406657</v>
      </c>
      <c r="BB389" s="62">
        <v>9155.6918836297154</v>
      </c>
      <c r="BC389" s="62">
        <v>9261.395415750445</v>
      </c>
      <c r="BD389" s="62">
        <v>9401.1122767212364</v>
      </c>
      <c r="BE389" s="62">
        <v>9574.6540816340166</v>
      </c>
      <c r="BF389" s="62">
        <v>9743.3598938372888</v>
      </c>
      <c r="BG389" s="62">
        <v>10000.396639250102</v>
      </c>
      <c r="BH389" s="62">
        <v>10150.715896893322</v>
      </c>
      <c r="BI389" s="62">
        <v>10469.923194767485</v>
      </c>
      <c r="BJ389" s="62">
        <v>10676.980801599158</v>
      </c>
      <c r="BK389" s="62">
        <v>10985.331026823944</v>
      </c>
      <c r="BL389" s="62">
        <v>11224.605642523937</v>
      </c>
      <c r="BM389" s="62">
        <v>11502.526276804419</v>
      </c>
      <c r="BN389" s="62">
        <v>11674.486482218323</v>
      </c>
      <c r="BO389" s="62">
        <v>11872.35608899434</v>
      </c>
      <c r="BP389" s="62"/>
      <c r="BQ389" s="61">
        <v>2437.8000000000002</v>
      </c>
      <c r="BR389" s="61">
        <v>2543</v>
      </c>
      <c r="BS389" s="61">
        <v>2794</v>
      </c>
      <c r="BT389" s="61">
        <v>3084</v>
      </c>
      <c r="BU389" s="61">
        <v>3327</v>
      </c>
      <c r="BV389" s="61">
        <v>3437</v>
      </c>
      <c r="BW389" s="61">
        <v>3547</v>
      </c>
      <c r="BX389" s="61">
        <v>3655</v>
      </c>
      <c r="BY389" s="61">
        <v>3801</v>
      </c>
      <c r="BZ389" s="61">
        <v>3833</v>
      </c>
      <c r="CA389" s="62">
        <v>4018</v>
      </c>
      <c r="CB389" s="62">
        <v>4311</v>
      </c>
      <c r="CC389" s="62">
        <v>5254</v>
      </c>
      <c r="CD389" s="62">
        <v>5818</v>
      </c>
      <c r="CE389" s="62">
        <v>6943</v>
      </c>
      <c r="CF389" s="62">
        <v>7302</v>
      </c>
      <c r="CG389" s="62">
        <v>7850</v>
      </c>
      <c r="CH389" s="62">
        <v>9888</v>
      </c>
      <c r="CI389" s="62">
        <v>10869</v>
      </c>
      <c r="CJ389" s="62">
        <v>11500</v>
      </c>
      <c r="CK389" s="62">
        <v>12110</v>
      </c>
      <c r="CL389" s="62">
        <v>12758</v>
      </c>
      <c r="CM389" s="62">
        <v>13810</v>
      </c>
      <c r="CN389" s="62">
        <v>14616</v>
      </c>
      <c r="CO389" s="62">
        <v>15095</v>
      </c>
      <c r="CP389" s="62">
        <v>14872</v>
      </c>
      <c r="CQ389" s="62">
        <v>14514</v>
      </c>
      <c r="CR389" s="62">
        <v>14263</v>
      </c>
      <c r="CS389" s="62">
        <v>14044</v>
      </c>
      <c r="CT389" s="62">
        <v>14161</v>
      </c>
      <c r="CU389" s="62">
        <v>14874</v>
      </c>
      <c r="CV389" s="220">
        <v>16574</v>
      </c>
      <c r="CW389" s="62">
        <v>16182.251386648168</v>
      </c>
      <c r="CX389" s="62">
        <v>17942.461961808782</v>
      </c>
      <c r="CY389" s="62">
        <v>18115.275166984811</v>
      </c>
      <c r="CZ389" s="62">
        <v>18417.08729938016</v>
      </c>
      <c r="DA389" s="62">
        <v>18975.766358355253</v>
      </c>
      <c r="DB389" s="62">
        <v>19743.756533087391</v>
      </c>
      <c r="DC389" s="62">
        <v>20620.639091660807</v>
      </c>
      <c r="DD389" s="62">
        <v>21662.311828423102</v>
      </c>
      <c r="DE389" s="62">
        <v>22727.131919328356</v>
      </c>
      <c r="DF389" s="62">
        <v>23546.842571212663</v>
      </c>
    </row>
    <row r="390" spans="1:110" ht="12" outlineLevel="1" collapsed="1">
      <c r="C390" s="41"/>
      <c r="D390" s="41"/>
      <c r="E390" s="41"/>
      <c r="F390" s="41"/>
      <c r="G390" s="41"/>
      <c r="H390" s="41"/>
      <c r="I390" s="41"/>
      <c r="J390" s="41"/>
      <c r="K390" s="41"/>
      <c r="L390" s="41"/>
      <c r="M390" s="41"/>
      <c r="N390" s="41"/>
      <c r="O390" s="41"/>
      <c r="P390" s="41"/>
      <c r="Q390" s="41"/>
      <c r="R390" s="41"/>
      <c r="S390" s="41"/>
      <c r="T390" s="41"/>
      <c r="U390" s="41"/>
      <c r="V390" s="41"/>
      <c r="W390" s="41"/>
      <c r="X390" s="41"/>
      <c r="Y390" s="41"/>
      <c r="Z390" s="41"/>
      <c r="AA390" s="41"/>
      <c r="AB390" s="41"/>
      <c r="AC390" s="41"/>
      <c r="AD390" s="41"/>
      <c r="AE390" s="41"/>
      <c r="AF390" s="41"/>
      <c r="AG390" s="41"/>
      <c r="AH390" s="41"/>
      <c r="AI390" s="41"/>
      <c r="AJ390" s="41"/>
      <c r="AK390" s="41"/>
      <c r="AL390" s="41"/>
      <c r="AM390" s="41"/>
      <c r="AN390" s="41"/>
      <c r="AO390" s="41"/>
      <c r="AP390" s="41"/>
      <c r="AQ390" s="41"/>
      <c r="AR390" s="41"/>
      <c r="AS390" s="41"/>
      <c r="AT390" s="41"/>
      <c r="AU390" s="41"/>
      <c r="AV390" s="211"/>
      <c r="AW390" s="41"/>
      <c r="AX390" s="41"/>
      <c r="AY390" s="41"/>
      <c r="AZ390" s="41"/>
      <c r="BA390" s="41"/>
      <c r="BB390" s="41"/>
      <c r="BC390" s="41"/>
      <c r="BD390" s="41"/>
      <c r="BE390" s="41"/>
      <c r="BF390" s="41"/>
      <c r="BG390" s="41"/>
      <c r="BH390" s="41"/>
      <c r="BI390" s="41"/>
      <c r="BJ390" s="41"/>
      <c r="BK390" s="41"/>
      <c r="BL390" s="41"/>
      <c r="BM390" s="41"/>
      <c r="BN390" s="41"/>
      <c r="BO390" s="41"/>
      <c r="BP390" s="41"/>
      <c r="BQ390" s="41"/>
      <c r="BR390" s="41"/>
      <c r="BS390" s="41"/>
      <c r="BT390" s="41"/>
      <c r="BU390" s="41"/>
      <c r="BV390" s="41"/>
      <c r="BW390" s="41"/>
      <c r="BX390" s="41"/>
      <c r="BY390" s="41"/>
      <c r="BZ390" s="41"/>
      <c r="CA390" s="41"/>
      <c r="CB390" s="41"/>
      <c r="CC390" s="41"/>
      <c r="CD390" s="41"/>
      <c r="CE390" s="41"/>
      <c r="CF390" s="41"/>
      <c r="CG390" s="41"/>
      <c r="CH390" s="41"/>
      <c r="CI390" s="41"/>
      <c r="CJ390" s="41"/>
      <c r="CK390" s="41"/>
      <c r="CL390" s="41"/>
      <c r="CM390" s="41"/>
      <c r="CN390" s="41"/>
      <c r="CO390" s="41"/>
      <c r="CP390" s="41"/>
      <c r="CQ390" s="41"/>
      <c r="CR390" s="41"/>
      <c r="CS390" s="41"/>
      <c r="CT390" s="41"/>
      <c r="CU390" s="41"/>
      <c r="CV390" s="211"/>
      <c r="CW390" s="41"/>
      <c r="CX390" s="41"/>
      <c r="CY390" s="41"/>
      <c r="CZ390" s="15"/>
      <c r="DA390" s="15"/>
      <c r="DB390" s="15"/>
      <c r="DC390" s="15"/>
      <c r="DD390" s="15"/>
      <c r="DE390" s="15"/>
      <c r="DF390" s="15"/>
    </row>
    <row r="391" spans="1:110" s="4" customFormat="1" ht="12.95" customHeight="1" outlineLevel="1">
      <c r="A391" s="74"/>
      <c r="B391" s="5" t="s">
        <v>643</v>
      </c>
      <c r="C391" s="389" t="s">
        <v>800</v>
      </c>
      <c r="D391" s="389" t="s">
        <v>800</v>
      </c>
      <c r="E391" s="389" t="s">
        <v>800</v>
      </c>
      <c r="F391" s="389" t="s">
        <v>800</v>
      </c>
      <c r="G391" s="389" t="s">
        <v>800</v>
      </c>
      <c r="H391" s="389" t="s">
        <v>800</v>
      </c>
      <c r="I391" s="389" t="s">
        <v>800</v>
      </c>
      <c r="J391" s="389" t="s">
        <v>800</v>
      </c>
      <c r="K391" s="389" t="s">
        <v>800</v>
      </c>
      <c r="L391" s="389" t="s">
        <v>800</v>
      </c>
      <c r="M391" s="75" t="s">
        <v>800</v>
      </c>
      <c r="N391" s="75" t="s">
        <v>800</v>
      </c>
      <c r="O391" s="75" t="s">
        <v>800</v>
      </c>
      <c r="P391" s="75" t="s">
        <v>800</v>
      </c>
      <c r="Q391" s="75" t="s">
        <v>800</v>
      </c>
      <c r="R391" s="75" t="s">
        <v>800</v>
      </c>
      <c r="S391" s="75" t="s">
        <v>800</v>
      </c>
      <c r="T391" s="78" t="s">
        <v>800</v>
      </c>
      <c r="U391" s="75" t="s">
        <v>800</v>
      </c>
      <c r="V391" s="75" t="s">
        <v>800</v>
      </c>
      <c r="W391" s="75" t="s">
        <v>800</v>
      </c>
      <c r="X391" s="75" t="s">
        <v>800</v>
      </c>
      <c r="Y391" s="78" t="s">
        <v>800</v>
      </c>
      <c r="Z391" s="78" t="s">
        <v>800</v>
      </c>
      <c r="AA391" s="78" t="s">
        <v>800</v>
      </c>
      <c r="AB391" s="78" t="s">
        <v>800</v>
      </c>
      <c r="AC391" s="78" t="s">
        <v>800</v>
      </c>
      <c r="AD391" s="78" t="s">
        <v>800</v>
      </c>
      <c r="AE391" s="78" t="s">
        <v>800</v>
      </c>
      <c r="AF391" s="78" t="s">
        <v>800</v>
      </c>
      <c r="AG391" s="78" t="s">
        <v>800</v>
      </c>
      <c r="AH391" s="78" t="s">
        <v>800</v>
      </c>
      <c r="AI391" s="78" t="s">
        <v>800</v>
      </c>
      <c r="AJ391" s="78" t="s">
        <v>800</v>
      </c>
      <c r="AK391" s="78" t="s">
        <v>800</v>
      </c>
      <c r="AL391" s="78" t="s">
        <v>800</v>
      </c>
      <c r="AM391" s="78" t="s">
        <v>800</v>
      </c>
      <c r="AN391" s="78" t="s">
        <v>800</v>
      </c>
      <c r="AO391" s="78" t="s">
        <v>800</v>
      </c>
      <c r="AP391" s="78" t="s">
        <v>800</v>
      </c>
      <c r="AQ391" s="78" t="s">
        <v>800</v>
      </c>
      <c r="AR391" s="78" t="s">
        <v>800</v>
      </c>
      <c r="AS391" s="78" t="s">
        <v>800</v>
      </c>
      <c r="AT391" s="78" t="s">
        <v>800</v>
      </c>
      <c r="AU391" s="78" t="s">
        <v>800</v>
      </c>
      <c r="AV391" s="76" t="s">
        <v>800</v>
      </c>
      <c r="AW391" s="75" t="s">
        <v>800</v>
      </c>
      <c r="AX391" s="75" t="s">
        <v>800</v>
      </c>
      <c r="AY391" s="75" t="s">
        <v>800</v>
      </c>
      <c r="AZ391" s="75" t="s">
        <v>800</v>
      </c>
      <c r="BA391" s="75" t="s">
        <v>800</v>
      </c>
      <c r="BB391" s="75" t="s">
        <v>800</v>
      </c>
      <c r="BC391" s="75" t="s">
        <v>800</v>
      </c>
      <c r="BD391" s="75" t="s">
        <v>800</v>
      </c>
      <c r="BE391" s="75" t="s">
        <v>800</v>
      </c>
      <c r="BF391" s="75" t="s">
        <v>800</v>
      </c>
      <c r="BG391" s="75" t="s">
        <v>800</v>
      </c>
      <c r="BH391" s="75" t="s">
        <v>800</v>
      </c>
      <c r="BI391" s="75" t="s">
        <v>800</v>
      </c>
      <c r="BJ391" s="75" t="s">
        <v>800</v>
      </c>
      <c r="BK391" s="75" t="s">
        <v>800</v>
      </c>
      <c r="BL391" s="75" t="s">
        <v>800</v>
      </c>
      <c r="BM391" s="75" t="s">
        <v>800</v>
      </c>
      <c r="BN391" s="75" t="s">
        <v>800</v>
      </c>
      <c r="BO391" s="75" t="s">
        <v>800</v>
      </c>
      <c r="BP391" s="77"/>
      <c r="BQ391" s="389" t="s">
        <v>800</v>
      </c>
      <c r="BR391" s="389" t="s">
        <v>800</v>
      </c>
      <c r="BS391" s="389" t="s">
        <v>800</v>
      </c>
      <c r="BT391" s="389" t="s">
        <v>800</v>
      </c>
      <c r="BU391" s="389" t="s">
        <v>800</v>
      </c>
      <c r="BV391" s="389" t="s">
        <v>800</v>
      </c>
      <c r="BW391" s="389" t="s">
        <v>800</v>
      </c>
      <c r="BX391" s="389" t="s">
        <v>800</v>
      </c>
      <c r="BY391" s="389" t="s">
        <v>800</v>
      </c>
      <c r="BZ391" s="389" t="s">
        <v>800</v>
      </c>
      <c r="CA391" s="75" t="s">
        <v>800</v>
      </c>
      <c r="CB391" s="75" t="s">
        <v>800</v>
      </c>
      <c r="CC391" s="75" t="s">
        <v>800</v>
      </c>
      <c r="CD391" s="75" t="s">
        <v>800</v>
      </c>
      <c r="CE391" s="75" t="s">
        <v>800</v>
      </c>
      <c r="CF391" s="75" t="s">
        <v>800</v>
      </c>
      <c r="CG391" s="75" t="s">
        <v>800</v>
      </c>
      <c r="CH391" s="75" t="s">
        <v>800</v>
      </c>
      <c r="CI391" s="75" t="s">
        <v>800</v>
      </c>
      <c r="CJ391" s="75" t="s">
        <v>800</v>
      </c>
      <c r="CK391" s="78" t="s">
        <v>800</v>
      </c>
      <c r="CL391" s="78" t="s">
        <v>800</v>
      </c>
      <c r="CM391" s="78" t="s">
        <v>800</v>
      </c>
      <c r="CN391" s="78" t="s">
        <v>800</v>
      </c>
      <c r="CO391" s="78" t="s">
        <v>800</v>
      </c>
      <c r="CP391" s="78" t="s">
        <v>800</v>
      </c>
      <c r="CQ391" s="78" t="s">
        <v>800</v>
      </c>
      <c r="CR391" s="78" t="s">
        <v>800</v>
      </c>
      <c r="CS391" s="78" t="s">
        <v>800</v>
      </c>
      <c r="CT391" s="78" t="s">
        <v>800</v>
      </c>
      <c r="CU391" s="78" t="s">
        <v>800</v>
      </c>
      <c r="CV391" s="76" t="s">
        <v>800</v>
      </c>
      <c r="CW391" s="75" t="s">
        <v>800</v>
      </c>
      <c r="CX391" s="75" t="s">
        <v>800</v>
      </c>
      <c r="CY391" s="75" t="s">
        <v>800</v>
      </c>
      <c r="CZ391" s="75" t="s">
        <v>800</v>
      </c>
      <c r="DA391" s="75" t="s">
        <v>800</v>
      </c>
      <c r="DB391" s="75" t="s">
        <v>800</v>
      </c>
      <c r="DC391" s="75" t="s">
        <v>800</v>
      </c>
      <c r="DD391" s="75" t="s">
        <v>800</v>
      </c>
      <c r="DE391" s="75" t="s">
        <v>800</v>
      </c>
      <c r="DF391" s="75" t="s">
        <v>800</v>
      </c>
    </row>
    <row r="392" spans="1:110" ht="12">
      <c r="C392" s="41"/>
      <c r="D392" s="41"/>
      <c r="E392" s="41"/>
      <c r="F392" s="41"/>
      <c r="G392" s="41"/>
      <c r="H392" s="41"/>
      <c r="I392" s="41"/>
      <c r="J392" s="41"/>
      <c r="K392" s="41"/>
      <c r="L392" s="41"/>
      <c r="M392" s="41"/>
      <c r="N392" s="41"/>
      <c r="O392" s="41"/>
      <c r="P392" s="41"/>
      <c r="Q392" s="41"/>
      <c r="R392" s="41"/>
      <c r="S392" s="41"/>
      <c r="T392" s="41"/>
      <c r="U392" s="41"/>
      <c r="V392" s="41"/>
      <c r="W392" s="41"/>
      <c r="X392" s="41"/>
      <c r="Y392" s="41"/>
      <c r="Z392" s="41"/>
      <c r="AA392" s="41"/>
      <c r="AB392" s="41"/>
      <c r="AC392" s="46"/>
      <c r="AD392" s="46"/>
      <c r="AE392" s="46"/>
      <c r="AF392" s="46"/>
      <c r="AG392" s="41"/>
      <c r="AH392" s="41"/>
      <c r="AI392" s="41"/>
      <c r="AJ392" s="41"/>
      <c r="AK392" s="41"/>
      <c r="AL392" s="41"/>
      <c r="AM392" s="41"/>
      <c r="AN392" s="41"/>
      <c r="AO392" s="41"/>
      <c r="AP392" s="41"/>
      <c r="AQ392" s="41"/>
      <c r="AR392" s="41"/>
      <c r="AS392" s="41"/>
      <c r="AT392" s="41"/>
      <c r="AU392" s="41"/>
      <c r="AV392" s="211"/>
      <c r="AW392" s="41"/>
      <c r="AX392" s="41"/>
      <c r="AY392" s="41"/>
      <c r="AZ392" s="41"/>
      <c r="BA392" s="41"/>
      <c r="BB392" s="41"/>
      <c r="BC392" s="41"/>
      <c r="BD392" s="41"/>
      <c r="BE392" s="41"/>
      <c r="BF392" s="41"/>
      <c r="BG392" s="41"/>
      <c r="BH392" s="41"/>
      <c r="BI392" s="41"/>
      <c r="BJ392" s="41"/>
      <c r="BK392" s="41"/>
      <c r="BL392" s="41"/>
      <c r="BM392" s="41"/>
      <c r="BN392" s="41"/>
      <c r="BO392" s="41"/>
      <c r="BP392" s="41"/>
      <c r="BQ392" s="41"/>
      <c r="BR392" s="41"/>
      <c r="BS392" s="41"/>
      <c r="BT392" s="41"/>
      <c r="BU392" s="41"/>
      <c r="BV392" s="41"/>
      <c r="BW392" s="41"/>
      <c r="BX392" s="41"/>
      <c r="BY392" s="41"/>
      <c r="BZ392" s="41"/>
      <c r="CA392" s="41"/>
      <c r="CB392" s="41"/>
      <c r="CC392" s="41"/>
      <c r="CD392" s="41"/>
      <c r="CE392" s="41"/>
      <c r="CF392" s="41"/>
      <c r="CG392" s="41"/>
      <c r="CH392" s="41"/>
      <c r="CI392" s="41"/>
      <c r="CJ392" s="41"/>
      <c r="CK392" s="41"/>
      <c r="CL392" s="41"/>
      <c r="CM392" s="41"/>
      <c r="CN392" s="41"/>
      <c r="CO392" s="41"/>
      <c r="CP392" s="41"/>
      <c r="CQ392" s="41"/>
      <c r="CR392" s="41"/>
      <c r="CS392" s="41"/>
      <c r="CT392" s="41"/>
      <c r="CU392" s="41"/>
      <c r="CV392" s="211"/>
      <c r="CW392" s="41"/>
      <c r="CX392" s="41"/>
      <c r="CY392" s="41"/>
      <c r="CZ392" s="15"/>
      <c r="DA392" s="15"/>
      <c r="DB392" s="15"/>
      <c r="DC392" s="15"/>
      <c r="DD392" s="15"/>
      <c r="DE392" s="15"/>
      <c r="DF392" s="15"/>
    </row>
    <row r="393" spans="1:110" s="26" customFormat="1" ht="12" collapsed="1">
      <c r="A393" s="1" t="s">
        <v>995</v>
      </c>
      <c r="B393" s="2" t="s">
        <v>644</v>
      </c>
      <c r="C393" s="60">
        <v>1333</v>
      </c>
      <c r="D393" s="60">
        <v>1409</v>
      </c>
      <c r="E393" s="60">
        <v>1481.57</v>
      </c>
      <c r="F393" s="60">
        <v>1453.43</v>
      </c>
      <c r="G393" s="60">
        <v>1566.25</v>
      </c>
      <c r="H393" s="60">
        <v>1683.25</v>
      </c>
      <c r="I393" s="60">
        <v>1831.69</v>
      </c>
      <c r="J393" s="60">
        <v>1506.47</v>
      </c>
      <c r="K393" s="60">
        <v>1635.31</v>
      </c>
      <c r="L393" s="60">
        <v>1681.58</v>
      </c>
      <c r="M393" s="60">
        <v>1705.99</v>
      </c>
      <c r="N393" s="60">
        <v>1903.28</v>
      </c>
      <c r="O393" s="60">
        <v>2082.79</v>
      </c>
      <c r="P393" s="60">
        <v>2458.69</v>
      </c>
      <c r="Q393" s="60">
        <v>1966.77</v>
      </c>
      <c r="R393" s="60">
        <v>1296.1199999999999</v>
      </c>
      <c r="S393" s="60">
        <v>3106.36</v>
      </c>
      <c r="T393" s="60">
        <v>2427</v>
      </c>
      <c r="U393" s="60">
        <v>2635</v>
      </c>
      <c r="V393" s="60">
        <v>2856</v>
      </c>
      <c r="W393" s="60">
        <v>2529</v>
      </c>
      <c r="X393" s="60">
        <v>2736</v>
      </c>
      <c r="Y393" s="60">
        <v>3002</v>
      </c>
      <c r="Z393" s="60">
        <v>2856</v>
      </c>
      <c r="AA393" s="60">
        <v>2763</v>
      </c>
      <c r="AB393" s="60">
        <v>2904</v>
      </c>
      <c r="AC393" s="60">
        <v>2877</v>
      </c>
      <c r="AD393" s="60">
        <v>3057</v>
      </c>
      <c r="AE393" s="60">
        <v>2864</v>
      </c>
      <c r="AF393" s="60">
        <v>2757</v>
      </c>
      <c r="AG393" s="60">
        <v>2742</v>
      </c>
      <c r="AH393" s="60">
        <v>2557</v>
      </c>
      <c r="AI393" s="60">
        <v>2384</v>
      </c>
      <c r="AJ393" s="60">
        <v>2520</v>
      </c>
      <c r="AK393" s="60">
        <v>2333</v>
      </c>
      <c r="AL393" s="60">
        <v>2447</v>
      </c>
      <c r="AM393" s="60">
        <v>2243</v>
      </c>
      <c r="AN393" s="60">
        <v>1357</v>
      </c>
      <c r="AO393" s="60">
        <v>2346</v>
      </c>
      <c r="AP393" s="60">
        <v>1437</v>
      </c>
      <c r="AQ393" s="60">
        <v>1849</v>
      </c>
      <c r="AR393" s="60">
        <v>1848</v>
      </c>
      <c r="AS393" s="60">
        <v>1825</v>
      </c>
      <c r="AT393" s="60">
        <v>2040</v>
      </c>
      <c r="AU393" s="60">
        <v>2291</v>
      </c>
      <c r="AV393" s="219">
        <v>2448</v>
      </c>
      <c r="AW393" s="60">
        <v>2131.4528258618802</v>
      </c>
      <c r="AX393" s="60">
        <v>2412.4965668048553</v>
      </c>
      <c r="AY393" s="60">
        <v>2204.6519446782781</v>
      </c>
      <c r="AZ393" s="60">
        <v>2467.8984118211065</v>
      </c>
      <c r="BA393" s="60">
        <v>2253.2380522886192</v>
      </c>
      <c r="BB393" s="60">
        <v>2539.0580512106631</v>
      </c>
      <c r="BC393" s="60">
        <v>2333.7529270383134</v>
      </c>
      <c r="BD393" s="60">
        <v>2651.1365708612348</v>
      </c>
      <c r="BE393" s="60">
        <v>2426.9004730541524</v>
      </c>
      <c r="BF393" s="60">
        <v>2758.2753307200555</v>
      </c>
      <c r="BG393" s="60">
        <v>2538.4413554004905</v>
      </c>
      <c r="BH393" s="60">
        <v>2878.5484347159668</v>
      </c>
      <c r="BI393" s="60">
        <v>2648.7050050294324</v>
      </c>
      <c r="BJ393" s="60">
        <v>3007.6220551153056</v>
      </c>
      <c r="BK393" s="60">
        <v>2774.1407687224764</v>
      </c>
      <c r="BL393" s="60">
        <v>3168.3119133428104</v>
      </c>
      <c r="BM393" s="60">
        <v>2908.2417136702479</v>
      </c>
      <c r="BN393" s="60">
        <v>3299.2627052395046</v>
      </c>
      <c r="BO393" s="60">
        <v>3002.7617599791693</v>
      </c>
      <c r="BP393" s="60"/>
      <c r="BQ393" s="60">
        <v>2108.6999999999998</v>
      </c>
      <c r="BR393" s="60">
        <v>1875</v>
      </c>
      <c r="BS393" s="60">
        <v>1793</v>
      </c>
      <c r="BT393" s="60">
        <v>1754</v>
      </c>
      <c r="BU393" s="60">
        <v>1839</v>
      </c>
      <c r="BV393" s="60">
        <v>2110</v>
      </c>
      <c r="BW393" s="60">
        <v>2142</v>
      </c>
      <c r="BX393" s="60">
        <v>2377</v>
      </c>
      <c r="BY393" s="60">
        <v>2583</v>
      </c>
      <c r="BZ393" s="60">
        <v>2573</v>
      </c>
      <c r="CA393" s="60">
        <v>2890.5699999999997</v>
      </c>
      <c r="CB393" s="60">
        <v>3019.6800000000003</v>
      </c>
      <c r="CC393" s="60">
        <v>3514.94</v>
      </c>
      <c r="CD393" s="60">
        <v>3141.7799999999997</v>
      </c>
      <c r="CE393" s="60">
        <v>3387.5699999999997</v>
      </c>
      <c r="CF393" s="60">
        <v>3986.0699999999997</v>
      </c>
      <c r="CG393" s="60">
        <v>4425.46</v>
      </c>
      <c r="CH393" s="60">
        <v>4402.4799999999996</v>
      </c>
      <c r="CI393" s="60">
        <v>5062</v>
      </c>
      <c r="CJ393" s="60">
        <v>5385</v>
      </c>
      <c r="CK393" s="60">
        <v>5738</v>
      </c>
      <c r="CL393" s="60">
        <v>5619</v>
      </c>
      <c r="CM393" s="60">
        <v>5781</v>
      </c>
      <c r="CN393" s="60">
        <v>5921</v>
      </c>
      <c r="CO393" s="60">
        <v>5499</v>
      </c>
      <c r="CP393" s="60">
        <v>4941</v>
      </c>
      <c r="CQ393" s="60">
        <v>4853</v>
      </c>
      <c r="CR393" s="60">
        <v>4690</v>
      </c>
      <c r="CS393" s="60">
        <v>3703</v>
      </c>
      <c r="CT393" s="60">
        <v>3286</v>
      </c>
      <c r="CU393" s="60">
        <v>3673</v>
      </c>
      <c r="CV393" s="219">
        <v>4331</v>
      </c>
      <c r="CW393" s="60">
        <v>4579.4528258618802</v>
      </c>
      <c r="CX393" s="60">
        <v>4617.1485114831339</v>
      </c>
      <c r="CY393" s="60">
        <v>4721.1364641097261</v>
      </c>
      <c r="CZ393" s="60">
        <v>4872.8109782489764</v>
      </c>
      <c r="DA393" s="60">
        <v>5078.0370439153867</v>
      </c>
      <c r="DB393" s="60">
        <v>5296.716686120546</v>
      </c>
      <c r="DC393" s="60">
        <v>5527.2534397453992</v>
      </c>
      <c r="DD393" s="60">
        <v>5781.762823837782</v>
      </c>
      <c r="DE393" s="60">
        <v>6076.5536270130578</v>
      </c>
      <c r="DF393" s="60">
        <v>6302.0244652186739</v>
      </c>
    </row>
    <row r="394" spans="1:110" ht="12" outlineLevel="1">
      <c r="C394" s="41"/>
      <c r="D394" s="41"/>
      <c r="E394" s="41"/>
      <c r="F394" s="41"/>
      <c r="G394" s="41"/>
      <c r="H394" s="41"/>
      <c r="I394" s="41"/>
      <c r="J394" s="41"/>
      <c r="K394" s="41"/>
      <c r="L394" s="41"/>
      <c r="M394" s="41"/>
      <c r="N394" s="41"/>
      <c r="O394" s="41">
        <v>487</v>
      </c>
      <c r="P394" s="41"/>
      <c r="Q394" s="41"/>
      <c r="R394" s="41"/>
      <c r="S394" s="41"/>
      <c r="T394" s="41"/>
      <c r="U394" s="41"/>
      <c r="V394" s="41"/>
      <c r="W394" s="41"/>
      <c r="X394" s="41"/>
      <c r="Y394" s="41"/>
      <c r="Z394" s="41"/>
      <c r="AA394" s="41"/>
      <c r="AB394" s="361"/>
      <c r="AC394" s="41"/>
      <c r="AD394" s="41"/>
      <c r="AE394" s="41"/>
      <c r="AF394" s="41"/>
      <c r="AG394" s="41"/>
      <c r="AH394" s="41"/>
      <c r="AI394" s="41"/>
      <c r="AJ394" s="41"/>
      <c r="AK394" s="41"/>
      <c r="AL394" s="41"/>
      <c r="AM394" s="41"/>
      <c r="AN394" s="41"/>
      <c r="AO394" s="41"/>
      <c r="AP394" s="41"/>
      <c r="AQ394" s="41"/>
      <c r="AR394" s="41"/>
      <c r="AS394" s="41"/>
      <c r="AT394" s="41"/>
      <c r="AU394" s="41"/>
      <c r="AV394" s="211"/>
      <c r="AW394" s="41"/>
      <c r="AX394" s="41"/>
      <c r="AY394" s="41"/>
      <c r="AZ394" s="41"/>
      <c r="BA394" s="41"/>
      <c r="BB394" s="41"/>
      <c r="BC394" s="41"/>
      <c r="BD394" s="41"/>
      <c r="BE394" s="41"/>
      <c r="BF394" s="41"/>
      <c r="BG394" s="41"/>
      <c r="BH394" s="41"/>
      <c r="BI394" s="41"/>
      <c r="BJ394" s="41"/>
      <c r="BK394" s="41"/>
      <c r="BL394" s="41"/>
      <c r="BM394" s="41"/>
      <c r="BN394" s="41"/>
      <c r="BO394" s="41"/>
      <c r="BP394" s="41"/>
      <c r="BQ394" s="41"/>
      <c r="BR394" s="41"/>
      <c r="BS394" s="41"/>
      <c r="BT394" s="41"/>
      <c r="BU394" s="41"/>
      <c r="BV394" s="41"/>
      <c r="BW394" s="41"/>
      <c r="BX394" s="41"/>
      <c r="BY394" s="41"/>
      <c r="BZ394" s="41"/>
      <c r="CA394" s="41"/>
      <c r="CB394" s="41"/>
      <c r="CC394" s="41"/>
      <c r="CD394" s="41"/>
      <c r="CE394" s="41"/>
      <c r="CF394" s="41"/>
      <c r="CG394" s="41"/>
      <c r="CH394" s="41"/>
      <c r="CI394" s="41"/>
      <c r="CJ394" s="41"/>
      <c r="CK394" s="41"/>
      <c r="CL394" s="41"/>
      <c r="CM394" s="41"/>
      <c r="CN394" s="41"/>
      <c r="CO394" s="32"/>
      <c r="CP394" s="32"/>
      <c r="CQ394" s="32"/>
      <c r="CR394" s="32"/>
      <c r="CS394" s="32"/>
      <c r="CT394" s="32"/>
      <c r="CU394" s="32"/>
      <c r="CV394" s="31"/>
      <c r="CW394" s="30"/>
      <c r="CX394" s="30"/>
      <c r="CY394" s="30"/>
      <c r="CZ394" s="15"/>
      <c r="DA394" s="15"/>
      <c r="DB394" s="15"/>
      <c r="DC394" s="15"/>
      <c r="DD394" s="15"/>
      <c r="DE394" s="15"/>
      <c r="DF394" s="15"/>
    </row>
    <row r="395" spans="1:110" ht="12" outlineLevel="1">
      <c r="A395" s="1" t="s">
        <v>996</v>
      </c>
      <c r="B395" s="15" t="s">
        <v>536</v>
      </c>
      <c r="C395" s="40">
        <v>409</v>
      </c>
      <c r="D395" s="40">
        <v>417</v>
      </c>
      <c r="E395" s="40">
        <v>459</v>
      </c>
      <c r="F395" s="40">
        <v>469</v>
      </c>
      <c r="G395" s="40">
        <v>464</v>
      </c>
      <c r="H395" s="40">
        <v>496</v>
      </c>
      <c r="I395" s="40">
        <v>506</v>
      </c>
      <c r="J395" s="40">
        <v>508</v>
      </c>
      <c r="K395" s="40">
        <v>535</v>
      </c>
      <c r="L395" s="40">
        <v>215</v>
      </c>
      <c r="M395" s="40">
        <v>215</v>
      </c>
      <c r="N395" s="40">
        <v>232</v>
      </c>
      <c r="O395" s="40">
        <v>259</v>
      </c>
      <c r="P395" s="40">
        <v>285</v>
      </c>
      <c r="Q395" s="40">
        <v>310</v>
      </c>
      <c r="R395" s="40">
        <v>361</v>
      </c>
      <c r="S395" s="40">
        <v>323</v>
      </c>
      <c r="T395" s="40">
        <v>304</v>
      </c>
      <c r="U395" s="40">
        <v>330</v>
      </c>
      <c r="V395" s="40">
        <v>306</v>
      </c>
      <c r="W395" s="40">
        <v>346</v>
      </c>
      <c r="X395" s="40">
        <v>341</v>
      </c>
      <c r="Y395" s="40">
        <v>356</v>
      </c>
      <c r="Z395" s="141">
        <v>371</v>
      </c>
      <c r="AA395" s="141">
        <v>373</v>
      </c>
      <c r="AB395" s="141">
        <v>396</v>
      </c>
      <c r="AC395" s="141">
        <v>383</v>
      </c>
      <c r="AD395" s="141">
        <v>422</v>
      </c>
      <c r="AE395" s="141">
        <v>411</v>
      </c>
      <c r="AF395" s="141">
        <v>391</v>
      </c>
      <c r="AG395" s="141">
        <v>388</v>
      </c>
      <c r="AH395" s="141">
        <v>369</v>
      </c>
      <c r="AI395" s="141">
        <v>363</v>
      </c>
      <c r="AJ395" s="141">
        <v>343</v>
      </c>
      <c r="AK395" s="141">
        <v>309</v>
      </c>
      <c r="AL395" s="141">
        <v>303</v>
      </c>
      <c r="AM395" s="141">
        <v>299</v>
      </c>
      <c r="AN395" s="141">
        <v>303</v>
      </c>
      <c r="AO395" s="141">
        <v>276</v>
      </c>
      <c r="AP395" s="141">
        <v>244</v>
      </c>
      <c r="AQ395" s="141">
        <v>230</v>
      </c>
      <c r="AR395" s="141">
        <v>188</v>
      </c>
      <c r="AS395" s="141">
        <v>186</v>
      </c>
      <c r="AT395" s="141">
        <v>199</v>
      </c>
      <c r="AU395" s="141">
        <v>198</v>
      </c>
      <c r="AV395" s="226">
        <v>207</v>
      </c>
      <c r="AW395" s="41">
        <v>183.185920508674</v>
      </c>
      <c r="AX395" s="41">
        <v>131.48990982380332</v>
      </c>
      <c r="AY395" s="41">
        <v>133.91108264744631</v>
      </c>
      <c r="AZ395" s="41">
        <v>134.04399028541937</v>
      </c>
      <c r="BA395" s="41">
        <v>136.41356683860488</v>
      </c>
      <c r="BB395" s="41">
        <v>137.87271974711834</v>
      </c>
      <c r="BC395" s="41">
        <v>141.40485749167129</v>
      </c>
      <c r="BD395" s="41">
        <v>144.09891452533785</v>
      </c>
      <c r="BE395" s="41">
        <v>147.25765017633913</v>
      </c>
      <c r="BF395" s="41">
        <v>150.08447175346342</v>
      </c>
      <c r="BG395" s="41">
        <v>154.23990023350683</v>
      </c>
      <c r="BH395" s="41">
        <v>156.79416460221927</v>
      </c>
      <c r="BI395" s="41">
        <v>161.15869877109461</v>
      </c>
      <c r="BJ395" s="41">
        <v>163.99986458539871</v>
      </c>
      <c r="BK395" s="41">
        <v>169.04480832050345</v>
      </c>
      <c r="BL395" s="41">
        <v>172.98340490048824</v>
      </c>
      <c r="BM395" s="41">
        <v>177.50972873231811</v>
      </c>
      <c r="BN395" s="41">
        <v>180.20878509714296</v>
      </c>
      <c r="BO395" s="41">
        <v>183.01093268958746</v>
      </c>
      <c r="BP395" s="41"/>
      <c r="BQ395" s="40">
        <v>614.9</v>
      </c>
      <c r="BR395" s="40">
        <v>597.70000000000005</v>
      </c>
      <c r="BS395" s="40">
        <v>559</v>
      </c>
      <c r="BT395" s="40">
        <v>537</v>
      </c>
      <c r="BU395" s="40">
        <v>550</v>
      </c>
      <c r="BV395" s="40">
        <v>570</v>
      </c>
      <c r="BW395" s="40">
        <v>592</v>
      </c>
      <c r="BX395" s="40">
        <v>679</v>
      </c>
      <c r="BY395" s="40">
        <v>702</v>
      </c>
      <c r="BZ395" s="40">
        <v>787</v>
      </c>
      <c r="CA395" s="41">
        <v>876</v>
      </c>
      <c r="CB395" s="41">
        <v>933</v>
      </c>
      <c r="CC395" s="41">
        <v>1002</v>
      </c>
      <c r="CD395" s="41">
        <v>1043</v>
      </c>
      <c r="CE395" s="41">
        <v>430</v>
      </c>
      <c r="CF395" s="41">
        <v>491</v>
      </c>
      <c r="CG395" s="41">
        <v>595</v>
      </c>
      <c r="CH395" s="41">
        <v>684</v>
      </c>
      <c r="CI395" s="41">
        <v>634</v>
      </c>
      <c r="CJ395" s="41">
        <v>652</v>
      </c>
      <c r="CK395" s="41">
        <v>697</v>
      </c>
      <c r="CL395" s="41">
        <v>744</v>
      </c>
      <c r="CM395" s="41">
        <v>779</v>
      </c>
      <c r="CN395" s="41">
        <v>833</v>
      </c>
      <c r="CO395" s="41">
        <v>779</v>
      </c>
      <c r="CP395" s="41">
        <v>732</v>
      </c>
      <c r="CQ395" s="41">
        <v>652</v>
      </c>
      <c r="CR395" s="41">
        <v>602</v>
      </c>
      <c r="CS395" s="41">
        <v>579</v>
      </c>
      <c r="CT395" s="41">
        <v>474</v>
      </c>
      <c r="CU395" s="41">
        <v>374</v>
      </c>
      <c r="CV395" s="211">
        <v>397</v>
      </c>
      <c r="CW395" s="41">
        <v>390.18592050867403</v>
      </c>
      <c r="CX395" s="41">
        <v>265.40099247124965</v>
      </c>
      <c r="CY395" s="41">
        <v>270.45755712402422</v>
      </c>
      <c r="CZ395" s="41">
        <v>279.2775772387896</v>
      </c>
      <c r="DA395" s="41">
        <v>291.35656470167697</v>
      </c>
      <c r="DB395" s="41">
        <v>304.32437198697028</v>
      </c>
      <c r="DC395" s="41">
        <v>317.9528633733139</v>
      </c>
      <c r="DD395" s="41">
        <v>333.04467290590219</v>
      </c>
      <c r="DE395" s="41">
        <v>350.49313363280635</v>
      </c>
      <c r="DF395" s="41">
        <v>363.21971778673043</v>
      </c>
    </row>
    <row r="396" spans="1:110" ht="12" outlineLevel="1">
      <c r="A396" s="1" t="s">
        <v>997</v>
      </c>
      <c r="B396" s="15" t="s">
        <v>537</v>
      </c>
      <c r="C396" s="40">
        <v>566</v>
      </c>
      <c r="D396" s="40">
        <v>597</v>
      </c>
      <c r="E396" s="40">
        <v>599</v>
      </c>
      <c r="F396" s="40">
        <v>521</v>
      </c>
      <c r="G396" s="40">
        <v>594</v>
      </c>
      <c r="H396" s="40">
        <v>665</v>
      </c>
      <c r="I396" s="40">
        <v>754</v>
      </c>
      <c r="J396" s="40">
        <v>445</v>
      </c>
      <c r="K396" s="40">
        <v>492</v>
      </c>
      <c r="L396" s="40">
        <v>814</v>
      </c>
      <c r="M396" s="40">
        <v>901</v>
      </c>
      <c r="N396" s="40">
        <v>911</v>
      </c>
      <c r="O396" s="40">
        <v>978</v>
      </c>
      <c r="P396" s="40">
        <v>1024</v>
      </c>
      <c r="Q396" s="40">
        <v>1037</v>
      </c>
      <c r="R396" s="40">
        <v>859</v>
      </c>
      <c r="S396" s="40">
        <v>854</v>
      </c>
      <c r="T396" s="40">
        <v>828</v>
      </c>
      <c r="U396" s="40">
        <v>862</v>
      </c>
      <c r="V396" s="40">
        <v>823</v>
      </c>
      <c r="W396" s="40">
        <v>834</v>
      </c>
      <c r="X396" s="40">
        <v>815</v>
      </c>
      <c r="Y396" s="40">
        <v>780</v>
      </c>
      <c r="Z396" s="141">
        <v>774</v>
      </c>
      <c r="AA396" s="141">
        <v>798</v>
      </c>
      <c r="AB396" s="141">
        <v>795</v>
      </c>
      <c r="AC396" s="141">
        <v>800</v>
      </c>
      <c r="AD396" s="141">
        <v>795</v>
      </c>
      <c r="AE396" s="141">
        <v>820</v>
      </c>
      <c r="AF396" s="141">
        <v>836</v>
      </c>
      <c r="AG396" s="141">
        <v>805</v>
      </c>
      <c r="AH396" s="141">
        <v>808</v>
      </c>
      <c r="AI396" s="141">
        <v>822</v>
      </c>
      <c r="AJ396" s="141">
        <v>979</v>
      </c>
      <c r="AK396" s="141">
        <v>1054</v>
      </c>
      <c r="AL396" s="141">
        <v>859.46928499496471</v>
      </c>
      <c r="AM396" s="141">
        <v>913.47783731125185</v>
      </c>
      <c r="AN396" s="141">
        <v>776.18766200103687</v>
      </c>
      <c r="AO396" s="141">
        <v>719.90882862088858</v>
      </c>
      <c r="AP396" s="141">
        <v>617.32547169811323</v>
      </c>
      <c r="AQ396" s="141">
        <v>688.25962660443406</v>
      </c>
      <c r="AR396" s="141">
        <v>599.33171619163124</v>
      </c>
      <c r="AS396" s="141">
        <v>684.30546190155087</v>
      </c>
      <c r="AT396" s="141">
        <v>614.19731543624164</v>
      </c>
      <c r="AU396" s="141">
        <v>692.8</v>
      </c>
      <c r="AV396" s="226">
        <v>633.00130039011708</v>
      </c>
      <c r="AW396" s="41">
        <v>735.09622501430806</v>
      </c>
      <c r="AX396" s="41">
        <v>696.38799736295607</v>
      </c>
      <c r="AY396" s="41">
        <v>798.25354203147617</v>
      </c>
      <c r="AZ396" s="41">
        <v>712.18791819446062</v>
      </c>
      <c r="BA396" s="41">
        <v>814.64134253166662</v>
      </c>
      <c r="BB396" s="41">
        <v>730.04898236126166</v>
      </c>
      <c r="BC396" s="41">
        <v>840.64318574744323</v>
      </c>
      <c r="BD396" s="41">
        <v>759.31709478192931</v>
      </c>
      <c r="BE396" s="41">
        <v>871.09798165789437</v>
      </c>
      <c r="BF396" s="41">
        <v>786.94022087949247</v>
      </c>
      <c r="BG396" s="41">
        <v>907.88604206569551</v>
      </c>
      <c r="BH396" s="41">
        <v>818.05686730190564</v>
      </c>
      <c r="BI396" s="41">
        <v>943.92683791526724</v>
      </c>
      <c r="BJ396" s="41">
        <v>851.44460949417942</v>
      </c>
      <c r="BK396" s="41">
        <v>985.30307811776106</v>
      </c>
      <c r="BL396" s="41">
        <v>893.77122892209445</v>
      </c>
      <c r="BM396" s="41">
        <v>1029.7006115449744</v>
      </c>
      <c r="BN396" s="41">
        <v>927.78448128226592</v>
      </c>
      <c r="BO396" s="41">
        <v>1060.36053878963</v>
      </c>
      <c r="BP396" s="41"/>
      <c r="BQ396" s="40">
        <v>686.69999999999993</v>
      </c>
      <c r="BR396" s="40">
        <v>697.89999999999986</v>
      </c>
      <c r="BS396" s="40">
        <v>763</v>
      </c>
      <c r="BT396" s="40">
        <v>801</v>
      </c>
      <c r="BU396" s="40">
        <v>730</v>
      </c>
      <c r="BV396" s="40">
        <v>889</v>
      </c>
      <c r="BW396" s="40">
        <v>982</v>
      </c>
      <c r="BX396" s="40">
        <v>1022</v>
      </c>
      <c r="BY396" s="40">
        <v>1025</v>
      </c>
      <c r="BZ396" s="40">
        <v>1105</v>
      </c>
      <c r="CA396" s="41">
        <v>1196</v>
      </c>
      <c r="CB396" s="41">
        <v>1115</v>
      </c>
      <c r="CC396" s="41">
        <v>1419</v>
      </c>
      <c r="CD396" s="41">
        <v>937</v>
      </c>
      <c r="CE396" s="41">
        <v>1715</v>
      </c>
      <c r="CF396" s="41">
        <v>1889</v>
      </c>
      <c r="CG396" s="41">
        <v>2061</v>
      </c>
      <c r="CH396" s="41">
        <v>1713</v>
      </c>
      <c r="CI396" s="41">
        <v>1690</v>
      </c>
      <c r="CJ396" s="41">
        <v>1657</v>
      </c>
      <c r="CK396" s="41">
        <v>1595</v>
      </c>
      <c r="CL396" s="41">
        <v>1572</v>
      </c>
      <c r="CM396" s="41">
        <v>1595</v>
      </c>
      <c r="CN396" s="41">
        <v>1615</v>
      </c>
      <c r="CO396" s="41">
        <v>1641</v>
      </c>
      <c r="CP396" s="41">
        <v>1630</v>
      </c>
      <c r="CQ396" s="41">
        <v>2033</v>
      </c>
      <c r="CR396" s="41">
        <v>1772.9471223062164</v>
      </c>
      <c r="CS396" s="41">
        <v>1496.0964906219256</v>
      </c>
      <c r="CT396" s="41">
        <v>1305.5850983025473</v>
      </c>
      <c r="CU396" s="41">
        <v>1283.6371780931822</v>
      </c>
      <c r="CV396" s="211">
        <v>1306.9973154362415</v>
      </c>
      <c r="CW396" s="41">
        <v>1368.0975254044251</v>
      </c>
      <c r="CX396" s="41">
        <v>1494.6415393944321</v>
      </c>
      <c r="CY396" s="41">
        <v>1526.8292607261274</v>
      </c>
      <c r="CZ396" s="41">
        <v>1570.6921681087049</v>
      </c>
      <c r="DA396" s="41">
        <v>1630.4150764398237</v>
      </c>
      <c r="DB396" s="41">
        <v>1694.8262629451879</v>
      </c>
      <c r="DC396" s="41">
        <v>1761.9837052171729</v>
      </c>
      <c r="DD396" s="41">
        <v>1836.7476876119404</v>
      </c>
      <c r="DE396" s="41">
        <v>1923.4718404670689</v>
      </c>
      <c r="DF396" s="41">
        <v>1988.1450200718959</v>
      </c>
    </row>
    <row r="397" spans="1:110" ht="12" outlineLevel="1">
      <c r="A397" s="1" t="s">
        <v>998</v>
      </c>
      <c r="B397" s="15" t="s">
        <v>538</v>
      </c>
      <c r="C397" s="40">
        <v>206</v>
      </c>
      <c r="D397" s="40">
        <v>217</v>
      </c>
      <c r="E397" s="40">
        <v>207</v>
      </c>
      <c r="F397" s="40">
        <v>232</v>
      </c>
      <c r="G397" s="40">
        <v>226</v>
      </c>
      <c r="H397" s="40">
        <v>278</v>
      </c>
      <c r="I397" s="40">
        <v>284</v>
      </c>
      <c r="J397" s="40">
        <v>260</v>
      </c>
      <c r="K397" s="40">
        <v>326</v>
      </c>
      <c r="L397" s="40">
        <v>371</v>
      </c>
      <c r="M397" s="40">
        <v>285</v>
      </c>
      <c r="N397" s="40">
        <v>410</v>
      </c>
      <c r="O397" s="40">
        <v>446</v>
      </c>
      <c r="P397" s="40">
        <v>582</v>
      </c>
      <c r="Q397" s="40">
        <v>613</v>
      </c>
      <c r="R397" s="40">
        <v>629</v>
      </c>
      <c r="S397" s="40">
        <v>471</v>
      </c>
      <c r="T397" s="40">
        <v>565</v>
      </c>
      <c r="U397" s="40">
        <v>505</v>
      </c>
      <c r="V397" s="40">
        <v>652</v>
      </c>
      <c r="W397" s="40">
        <v>346</v>
      </c>
      <c r="X397" s="40">
        <v>674</v>
      </c>
      <c r="Y397" s="40">
        <v>547</v>
      </c>
      <c r="Z397" s="141">
        <v>741</v>
      </c>
      <c r="AA397" s="141">
        <v>565</v>
      </c>
      <c r="AB397" s="141">
        <v>720</v>
      </c>
      <c r="AC397" s="141">
        <v>566</v>
      </c>
      <c r="AD397" s="141">
        <v>737</v>
      </c>
      <c r="AE397" s="141">
        <v>448</v>
      </c>
      <c r="AF397" s="141">
        <v>400</v>
      </c>
      <c r="AG397" s="141">
        <v>365</v>
      </c>
      <c r="AH397" s="141">
        <v>886</v>
      </c>
      <c r="AI397" s="141">
        <v>550</v>
      </c>
      <c r="AJ397" s="141">
        <v>547</v>
      </c>
      <c r="AK397" s="141">
        <v>588</v>
      </c>
      <c r="AL397" s="141">
        <v>665</v>
      </c>
      <c r="AM397" s="141">
        <v>618</v>
      </c>
      <c r="AN397" s="141">
        <v>764</v>
      </c>
      <c r="AO397" s="141">
        <v>1138</v>
      </c>
      <c r="AP397" s="141">
        <v>610</v>
      </c>
      <c r="AQ397" s="141">
        <v>491</v>
      </c>
      <c r="AR397" s="141">
        <v>396</v>
      </c>
      <c r="AS397" s="141">
        <v>464</v>
      </c>
      <c r="AT397" s="141">
        <v>985</v>
      </c>
      <c r="AU397" s="141">
        <v>938</v>
      </c>
      <c r="AV397" s="226">
        <v>1276</v>
      </c>
      <c r="AW397" s="41">
        <v>883.06067782670789</v>
      </c>
      <c r="AX397" s="41">
        <v>1233.5692270126558</v>
      </c>
      <c r="AY397" s="41">
        <v>912.59865414638762</v>
      </c>
      <c r="AZ397" s="41">
        <v>1257.5302675593084</v>
      </c>
      <c r="BA397" s="41">
        <v>929.65298347987869</v>
      </c>
      <c r="BB397" s="41">
        <v>1293.4493951093798</v>
      </c>
      <c r="BC397" s="41">
        <v>963.66842897092977</v>
      </c>
      <c r="BD397" s="41">
        <v>1351.8602822268042</v>
      </c>
      <c r="BE397" s="41">
        <v>1003.5549762336972</v>
      </c>
      <c r="BF397" s="41">
        <v>1408.0136343207625</v>
      </c>
      <c r="BG397" s="41">
        <v>1051.1387301628665</v>
      </c>
      <c r="BH397" s="41">
        <v>1470.9604462246043</v>
      </c>
      <c r="BI397" s="41">
        <v>1098.2900645325244</v>
      </c>
      <c r="BJ397" s="41">
        <v>1538.5605363778845</v>
      </c>
      <c r="BK397" s="41">
        <v>1152.0335846277876</v>
      </c>
      <c r="BL397" s="41">
        <v>1622.8393901482741</v>
      </c>
      <c r="BM397" s="41">
        <v>1209.7216775216109</v>
      </c>
      <c r="BN397" s="41">
        <v>1690.6241097210789</v>
      </c>
      <c r="BO397" s="41">
        <v>1247.2121617170544</v>
      </c>
      <c r="BP397" s="41"/>
      <c r="BQ397" s="40">
        <v>548.5</v>
      </c>
      <c r="BR397" s="40">
        <v>311.7</v>
      </c>
      <c r="BS397" s="40">
        <v>348</v>
      </c>
      <c r="BT397" s="40">
        <v>322</v>
      </c>
      <c r="BU397" s="40">
        <v>331</v>
      </c>
      <c r="BV397" s="40">
        <v>419</v>
      </c>
      <c r="BW397" s="40">
        <v>290</v>
      </c>
      <c r="BX397" s="40">
        <v>429</v>
      </c>
      <c r="BY397" s="40">
        <v>368</v>
      </c>
      <c r="BZ397" s="40">
        <v>411</v>
      </c>
      <c r="CA397" s="41">
        <v>424</v>
      </c>
      <c r="CB397" s="41">
        <v>458</v>
      </c>
      <c r="CC397" s="41">
        <v>562</v>
      </c>
      <c r="CD397" s="41">
        <v>586</v>
      </c>
      <c r="CE397" s="41">
        <v>656</v>
      </c>
      <c r="CF397" s="41">
        <v>856</v>
      </c>
      <c r="CG397" s="41">
        <v>1195</v>
      </c>
      <c r="CH397" s="41">
        <v>1100</v>
      </c>
      <c r="CI397" s="41">
        <v>1070</v>
      </c>
      <c r="CJ397" s="41">
        <v>998</v>
      </c>
      <c r="CK397" s="41">
        <v>1221</v>
      </c>
      <c r="CL397" s="41">
        <v>1306</v>
      </c>
      <c r="CM397" s="41">
        <v>1286</v>
      </c>
      <c r="CN397" s="41">
        <v>1185</v>
      </c>
      <c r="CO397" s="41">
        <v>765</v>
      </c>
      <c r="CP397" s="41">
        <v>1436</v>
      </c>
      <c r="CQ397" s="41">
        <v>1135</v>
      </c>
      <c r="CR397" s="41">
        <v>1283</v>
      </c>
      <c r="CS397" s="41">
        <v>1902</v>
      </c>
      <c r="CT397" s="41">
        <v>1101</v>
      </c>
      <c r="CU397" s="41">
        <v>860</v>
      </c>
      <c r="CV397" s="211">
        <v>1923</v>
      </c>
      <c r="CW397" s="41">
        <v>2159.0606778267079</v>
      </c>
      <c r="CX397" s="41">
        <v>2146.1678811590436</v>
      </c>
      <c r="CY397" s="41">
        <v>2187.1832510391869</v>
      </c>
      <c r="CZ397" s="41">
        <v>2257.1178240803097</v>
      </c>
      <c r="DA397" s="41">
        <v>2355.4152584605013</v>
      </c>
      <c r="DB397" s="41">
        <v>2459.1523644836288</v>
      </c>
      <c r="DC397" s="41">
        <v>2569.2505107571287</v>
      </c>
      <c r="DD397" s="41">
        <v>2690.5941210056722</v>
      </c>
      <c r="DE397" s="41">
        <v>2832.5610676698852</v>
      </c>
      <c r="DF397" s="41">
        <v>2937.8362714381333</v>
      </c>
    </row>
    <row r="398" spans="1:110" ht="12" outlineLevel="1">
      <c r="A398" s="1" t="s">
        <v>999</v>
      </c>
      <c r="B398" s="15" t="s">
        <v>434</v>
      </c>
      <c r="C398" s="40">
        <v>0</v>
      </c>
      <c r="D398" s="40">
        <v>0</v>
      </c>
      <c r="E398" s="40">
        <v>89.67</v>
      </c>
      <c r="F398" s="40">
        <v>93.1</v>
      </c>
      <c r="G398" s="40">
        <v>98.98</v>
      </c>
      <c r="H398" s="40">
        <v>100.94</v>
      </c>
      <c r="I398" s="40">
        <v>116.13</v>
      </c>
      <c r="J398" s="40">
        <v>86.73</v>
      </c>
      <c r="K398" s="40">
        <v>93.59</v>
      </c>
      <c r="L398" s="40">
        <v>101.92</v>
      </c>
      <c r="M398" s="40">
        <v>116.13</v>
      </c>
      <c r="N398" s="40">
        <v>119.07</v>
      </c>
      <c r="O398" s="40">
        <v>126.42</v>
      </c>
      <c r="P398" s="40">
        <v>124.95</v>
      </c>
      <c r="Q398" s="40">
        <v>118.58</v>
      </c>
      <c r="R398" s="40">
        <v>93.59</v>
      </c>
      <c r="S398" s="40">
        <v>103.39</v>
      </c>
      <c r="T398" s="40">
        <v>155.21064301552107</v>
      </c>
      <c r="U398" s="40">
        <v>264.31807780320366</v>
      </c>
      <c r="V398" s="40">
        <v>250.84745762711864</v>
      </c>
      <c r="W398" s="40">
        <v>198.41852939790456</v>
      </c>
      <c r="X398" s="40">
        <v>235.86415494826215</v>
      </c>
      <c r="Y398" s="40">
        <v>229.72087971762153</v>
      </c>
      <c r="Z398" s="141">
        <v>243.70796915167097</v>
      </c>
      <c r="AA398" s="141">
        <v>257.96664177246703</v>
      </c>
      <c r="AB398" s="141">
        <v>287.39035560344831</v>
      </c>
      <c r="AC398" s="141">
        <v>266.40000000000003</v>
      </c>
      <c r="AD398" s="141">
        <v>304.39603960396039</v>
      </c>
      <c r="AE398" s="141">
        <v>320.41415929203544</v>
      </c>
      <c r="AF398" s="141">
        <v>278.28994082840239</v>
      </c>
      <c r="AG398" s="141">
        <v>259.70345628812083</v>
      </c>
      <c r="AH398" s="141">
        <v>345</v>
      </c>
      <c r="AI398" s="141">
        <v>323</v>
      </c>
      <c r="AJ398" s="141">
        <v>54</v>
      </c>
      <c r="AK398" s="141">
        <v>71</v>
      </c>
      <c r="AL398" s="141">
        <v>81.530715005035248</v>
      </c>
      <c r="AM398" s="141">
        <v>80.522162688748168</v>
      </c>
      <c r="AN398" s="141">
        <v>84.812337998963187</v>
      </c>
      <c r="AO398" s="141">
        <v>90.091171379111373</v>
      </c>
      <c r="AP398" s="141">
        <v>86.674528301886795</v>
      </c>
      <c r="AQ398" s="141">
        <v>93.740373395565925</v>
      </c>
      <c r="AR398" s="141">
        <v>81.668283808368713</v>
      </c>
      <c r="AS398" s="141">
        <v>82.694538098449087</v>
      </c>
      <c r="AT398" s="141">
        <v>76.80268456375839</v>
      </c>
      <c r="AU398" s="141">
        <v>81.199999999999989</v>
      </c>
      <c r="AV398" s="226">
        <v>78.998699609882962</v>
      </c>
      <c r="AW398" s="41">
        <v>82.578890324706464</v>
      </c>
      <c r="AX398" s="41">
        <v>84.51735658988855</v>
      </c>
      <c r="AY398" s="41">
        <v>87.982655281526505</v>
      </c>
      <c r="AZ398" s="41">
        <v>90.591785731695538</v>
      </c>
      <c r="BA398" s="41">
        <v>94.306142276144612</v>
      </c>
      <c r="BB398" s="41">
        <v>97.10279607868479</v>
      </c>
      <c r="BC398" s="41">
        <v>101.08411075513207</v>
      </c>
      <c r="BD398" s="41">
        <v>104.36770449973504</v>
      </c>
      <c r="BE398" s="41">
        <v>108.05318906488193</v>
      </c>
      <c r="BF398" s="41">
        <v>111.56232739331436</v>
      </c>
      <c r="BG398" s="41">
        <v>116.13649775015664</v>
      </c>
      <c r="BH398" s="41">
        <v>119.58053193719422</v>
      </c>
      <c r="BI398" s="41">
        <v>124.4834569408485</v>
      </c>
      <c r="BJ398" s="41">
        <v>128.17502065880404</v>
      </c>
      <c r="BK398" s="41">
        <v>133.43032855425662</v>
      </c>
      <c r="BL398" s="41">
        <v>137.76464963506834</v>
      </c>
      <c r="BM398" s="41">
        <v>142.62946382530669</v>
      </c>
      <c r="BN398" s="41">
        <v>147.26150220015387</v>
      </c>
      <c r="BO398" s="41">
        <v>153.29937550207259</v>
      </c>
      <c r="BP398" s="41"/>
      <c r="BQ398" s="40">
        <v>0</v>
      </c>
      <c r="BR398" s="40">
        <v>0</v>
      </c>
      <c r="BS398" s="40">
        <v>0</v>
      </c>
      <c r="BT398" s="40">
        <v>0</v>
      </c>
      <c r="BU398" s="40">
        <v>0</v>
      </c>
      <c r="BV398" s="40">
        <v>0</v>
      </c>
      <c r="BW398" s="40">
        <v>0</v>
      </c>
      <c r="BX398" s="40">
        <v>0</v>
      </c>
      <c r="BY398" s="40">
        <v>0</v>
      </c>
      <c r="BZ398" s="40">
        <v>0</v>
      </c>
      <c r="CA398" s="41">
        <v>89.67</v>
      </c>
      <c r="CB398" s="41">
        <v>192.07999999999998</v>
      </c>
      <c r="CC398" s="41">
        <v>217.07</v>
      </c>
      <c r="CD398" s="41">
        <v>180.32</v>
      </c>
      <c r="CE398" s="41">
        <v>218.05</v>
      </c>
      <c r="CF398" s="41">
        <v>245.49</v>
      </c>
      <c r="CG398" s="41">
        <v>243.53</v>
      </c>
      <c r="CH398" s="41">
        <v>196.98000000000002</v>
      </c>
      <c r="CI398" s="41">
        <v>419.52872081872476</v>
      </c>
      <c r="CJ398" s="41">
        <v>449.26598702502321</v>
      </c>
      <c r="CK398" s="41">
        <v>465.58503466588365</v>
      </c>
      <c r="CL398" s="41">
        <v>501.67461092413799</v>
      </c>
      <c r="CM398" s="41">
        <v>553.79035560344835</v>
      </c>
      <c r="CN398" s="41">
        <v>624.81019889599588</v>
      </c>
      <c r="CO398" s="41">
        <v>537.99339711652328</v>
      </c>
      <c r="CP398" s="41">
        <v>668</v>
      </c>
      <c r="CQ398" s="41">
        <v>125</v>
      </c>
      <c r="CR398" s="41">
        <v>162.05287769378342</v>
      </c>
      <c r="CS398" s="41">
        <v>174.90350937807455</v>
      </c>
      <c r="CT398" s="41">
        <v>180.41490169745271</v>
      </c>
      <c r="CU398" s="41">
        <v>164.3628219068178</v>
      </c>
      <c r="CV398" s="211">
        <v>158.00268456375838</v>
      </c>
      <c r="CW398" s="41">
        <v>161.57758993458941</v>
      </c>
      <c r="CX398" s="41">
        <v>172.50001187141504</v>
      </c>
      <c r="CY398" s="41">
        <v>184.89792800784016</v>
      </c>
      <c r="CZ398" s="41">
        <v>198.18690683381686</v>
      </c>
      <c r="DA398" s="41">
        <v>212.42089356461696</v>
      </c>
      <c r="DB398" s="41">
        <v>227.698825143471</v>
      </c>
      <c r="DC398" s="41">
        <v>244.06398887804272</v>
      </c>
      <c r="DD398" s="41">
        <v>261.60534921306066</v>
      </c>
      <c r="DE398" s="41">
        <v>280.39411346037502</v>
      </c>
      <c r="DF398" s="41">
        <v>300.56087770222643</v>
      </c>
    </row>
    <row r="399" spans="1:110" ht="12" outlineLevel="1">
      <c r="A399" s="1" t="s">
        <v>1000</v>
      </c>
      <c r="B399" s="15" t="s">
        <v>783</v>
      </c>
      <c r="C399" s="40">
        <v>0</v>
      </c>
      <c r="D399" s="40">
        <v>0</v>
      </c>
      <c r="E399" s="40">
        <v>28.419999999999998</v>
      </c>
      <c r="F399" s="40">
        <v>37.24</v>
      </c>
      <c r="G399" s="40">
        <v>40.18</v>
      </c>
      <c r="H399" s="40">
        <v>39.200000000000003</v>
      </c>
      <c r="I399" s="40">
        <v>49.49</v>
      </c>
      <c r="J399" s="40">
        <v>53.9</v>
      </c>
      <c r="K399" s="40">
        <v>53.9</v>
      </c>
      <c r="L399" s="40">
        <v>59.78</v>
      </c>
      <c r="M399" s="40">
        <v>54.879999999999995</v>
      </c>
      <c r="N399" s="40">
        <v>67.62</v>
      </c>
      <c r="O399" s="40">
        <v>71.539999999999992</v>
      </c>
      <c r="P399" s="40">
        <v>82.32</v>
      </c>
      <c r="Q399" s="40">
        <v>78.400000000000006</v>
      </c>
      <c r="R399" s="40">
        <v>95.06</v>
      </c>
      <c r="S399" s="40">
        <v>74.97</v>
      </c>
      <c r="T399" s="40">
        <v>171.78935698447893</v>
      </c>
      <c r="U399" s="40">
        <v>243.68192219679634</v>
      </c>
      <c r="V399" s="40">
        <v>281.15254237288138</v>
      </c>
      <c r="W399" s="40">
        <v>278.58147060209546</v>
      </c>
      <c r="X399" s="40">
        <v>282.56441648030932</v>
      </c>
      <c r="Y399" s="40">
        <v>269.42197742523558</v>
      </c>
      <c r="Z399" s="141">
        <v>306.00631656261476</v>
      </c>
      <c r="AA399" s="141">
        <v>326.8905010846758</v>
      </c>
      <c r="AB399" s="141">
        <v>253.89535868226596</v>
      </c>
      <c r="AC399" s="141">
        <v>321.02857142857141</v>
      </c>
      <c r="AD399" s="141">
        <v>349.03253182461106</v>
      </c>
      <c r="AE399" s="141">
        <v>367.30012642225029</v>
      </c>
      <c r="AF399" s="141">
        <v>402.71005917159761</v>
      </c>
      <c r="AG399" s="141">
        <v>420.153686569022</v>
      </c>
      <c r="AH399" s="141">
        <v>0</v>
      </c>
      <c r="AI399" s="141">
        <v>0</v>
      </c>
      <c r="AJ399" s="141">
        <v>0</v>
      </c>
      <c r="AK399" s="141">
        <v>0</v>
      </c>
      <c r="AL399" s="141">
        <v>0</v>
      </c>
      <c r="AM399" s="141">
        <v>0</v>
      </c>
      <c r="AN399" s="141">
        <v>0</v>
      </c>
      <c r="AO399" s="141">
        <v>0</v>
      </c>
      <c r="AP399" s="141">
        <v>0</v>
      </c>
      <c r="AQ399" s="141">
        <v>0</v>
      </c>
      <c r="AR399" s="141">
        <v>0</v>
      </c>
      <c r="AS399" s="141">
        <v>0</v>
      </c>
      <c r="AT399" s="141">
        <v>0</v>
      </c>
      <c r="AU399" s="141">
        <v>0</v>
      </c>
      <c r="AV399" s="226">
        <v>0</v>
      </c>
      <c r="AW399" s="210">
        <v>0</v>
      </c>
      <c r="AX399" s="210">
        <v>0</v>
      </c>
      <c r="AY399" s="210">
        <v>0</v>
      </c>
      <c r="AZ399" s="210">
        <v>0</v>
      </c>
      <c r="BA399" s="210">
        <v>0</v>
      </c>
      <c r="BB399" s="210">
        <v>0</v>
      </c>
      <c r="BC399" s="210">
        <v>0</v>
      </c>
      <c r="BD399" s="210">
        <v>0</v>
      </c>
      <c r="BE399" s="210">
        <v>0</v>
      </c>
      <c r="BF399" s="210">
        <v>0</v>
      </c>
      <c r="BG399" s="210">
        <v>0</v>
      </c>
      <c r="BH399" s="210">
        <v>0</v>
      </c>
      <c r="BI399" s="210">
        <v>0</v>
      </c>
      <c r="BJ399" s="210">
        <v>0</v>
      </c>
      <c r="BK399" s="210">
        <v>0</v>
      </c>
      <c r="BL399" s="210">
        <v>0</v>
      </c>
      <c r="BM399" s="210">
        <v>0</v>
      </c>
      <c r="BN399" s="210">
        <v>0</v>
      </c>
      <c r="BO399" s="210">
        <v>0</v>
      </c>
      <c r="BP399" s="41"/>
      <c r="BQ399" s="40">
        <v>23.7</v>
      </c>
      <c r="BR399" s="40">
        <v>17</v>
      </c>
      <c r="BS399" s="40">
        <v>42</v>
      </c>
      <c r="BT399" s="40">
        <v>52</v>
      </c>
      <c r="BU399" s="40">
        <v>55</v>
      </c>
      <c r="BV399" s="40">
        <v>94</v>
      </c>
      <c r="BW399" s="40">
        <v>38</v>
      </c>
      <c r="BX399" s="40">
        <v>174</v>
      </c>
      <c r="BY399" s="40">
        <v>175</v>
      </c>
      <c r="BZ399" s="40">
        <v>190</v>
      </c>
      <c r="CA399" s="41">
        <v>28.419999999999998</v>
      </c>
      <c r="CB399" s="41">
        <v>77.42</v>
      </c>
      <c r="CC399" s="41">
        <v>88.69</v>
      </c>
      <c r="CD399" s="41">
        <v>107.8</v>
      </c>
      <c r="CE399" s="41">
        <v>114.66</v>
      </c>
      <c r="CF399" s="41">
        <v>139.16</v>
      </c>
      <c r="CG399" s="41">
        <v>160.72</v>
      </c>
      <c r="CH399" s="41">
        <v>170.03</v>
      </c>
      <c r="CI399" s="41">
        <v>415.47127918127524</v>
      </c>
      <c r="CJ399" s="41">
        <v>559.73401297497685</v>
      </c>
      <c r="CK399" s="41">
        <v>551.9863939055449</v>
      </c>
      <c r="CL399" s="41">
        <v>632.89681764729062</v>
      </c>
      <c r="CM399" s="41">
        <v>574.92393011083732</v>
      </c>
      <c r="CN399" s="41">
        <v>716.33265824686134</v>
      </c>
      <c r="CO399" s="41">
        <v>822.86374574061961</v>
      </c>
      <c r="CP399" s="41">
        <v>0</v>
      </c>
      <c r="CQ399" s="41">
        <v>0</v>
      </c>
      <c r="CR399" s="41">
        <v>0</v>
      </c>
      <c r="CS399" s="41">
        <v>0</v>
      </c>
      <c r="CT399" s="41">
        <v>0</v>
      </c>
      <c r="CU399" s="41">
        <v>0</v>
      </c>
      <c r="CV399" s="211">
        <v>0</v>
      </c>
      <c r="CW399" s="41">
        <v>0</v>
      </c>
      <c r="CX399" s="41">
        <v>0</v>
      </c>
      <c r="CY399" s="41">
        <v>0</v>
      </c>
      <c r="CZ399" s="41">
        <v>0</v>
      </c>
      <c r="DA399" s="41">
        <v>0</v>
      </c>
      <c r="DB399" s="41">
        <v>0</v>
      </c>
      <c r="DC399" s="41">
        <v>0</v>
      </c>
      <c r="DD399" s="41">
        <v>0</v>
      </c>
      <c r="DE399" s="41">
        <v>0</v>
      </c>
      <c r="DF399" s="41">
        <v>0</v>
      </c>
    </row>
    <row r="400" spans="1:110" ht="12" outlineLevel="1">
      <c r="A400" s="1" t="s">
        <v>807</v>
      </c>
      <c r="B400" s="15" t="s">
        <v>803</v>
      </c>
      <c r="C400" s="40">
        <v>0</v>
      </c>
      <c r="D400" s="40">
        <v>0</v>
      </c>
      <c r="E400" s="40">
        <v>-2.94</v>
      </c>
      <c r="F400" s="40">
        <v>11.76</v>
      </c>
      <c r="G400" s="40">
        <v>29.89</v>
      </c>
      <c r="H400" s="40">
        <v>31.849999999999998</v>
      </c>
      <c r="I400" s="40">
        <v>48.51</v>
      </c>
      <c r="J400" s="40">
        <v>34.299999999999997</v>
      </c>
      <c r="K400" s="40">
        <v>30.87</v>
      </c>
      <c r="L400" s="40">
        <v>13.719999999999999</v>
      </c>
      <c r="M400" s="40">
        <v>14.209999999999999</v>
      </c>
      <c r="N400" s="40">
        <v>20.58</v>
      </c>
      <c r="O400" s="40">
        <v>13.23</v>
      </c>
      <c r="P400" s="40">
        <v>5.88</v>
      </c>
      <c r="Q400" s="40">
        <v>-14.7</v>
      </c>
      <c r="R400" s="40">
        <v>-24.5</v>
      </c>
      <c r="S400" s="40">
        <v>0.98</v>
      </c>
      <c r="T400" s="40">
        <v>23</v>
      </c>
      <c r="U400" s="40">
        <v>61</v>
      </c>
      <c r="V400" s="40">
        <v>60</v>
      </c>
      <c r="W400" s="40">
        <v>77</v>
      </c>
      <c r="X400" s="40">
        <v>38.571428571428577</v>
      </c>
      <c r="Y400" s="40">
        <v>42.857142857142861</v>
      </c>
      <c r="Z400" s="141">
        <v>44.285714285714292</v>
      </c>
      <c r="AA400" s="141">
        <v>37.142857142857146</v>
      </c>
      <c r="AB400" s="141">
        <v>75.714285714285722</v>
      </c>
      <c r="AC400" s="141">
        <v>78.571428571428569</v>
      </c>
      <c r="AD400" s="141">
        <v>78.571428571428569</v>
      </c>
      <c r="AE400" s="141">
        <v>84.285714285714292</v>
      </c>
      <c r="AF400" s="141">
        <v>90</v>
      </c>
      <c r="AG400" s="141">
        <v>67.142857142857153</v>
      </c>
      <c r="AH400" s="141">
        <v>0</v>
      </c>
      <c r="AI400" s="141">
        <v>0</v>
      </c>
      <c r="AJ400" s="141">
        <v>0</v>
      </c>
      <c r="AK400" s="141">
        <v>0</v>
      </c>
      <c r="AL400" s="141">
        <v>0</v>
      </c>
      <c r="AM400" s="141">
        <v>0</v>
      </c>
      <c r="AN400" s="141">
        <v>0</v>
      </c>
      <c r="AO400" s="141">
        <v>0</v>
      </c>
      <c r="AP400" s="141">
        <v>0</v>
      </c>
      <c r="AQ400" s="141">
        <v>0</v>
      </c>
      <c r="AR400" s="141">
        <v>0</v>
      </c>
      <c r="AS400" s="141">
        <v>0</v>
      </c>
      <c r="AT400" s="141">
        <v>0</v>
      </c>
      <c r="AU400" s="141">
        <v>0</v>
      </c>
      <c r="AV400" s="226">
        <v>0</v>
      </c>
      <c r="AW400" s="210">
        <v>0</v>
      </c>
      <c r="AX400" s="210">
        <v>0</v>
      </c>
      <c r="AY400" s="210">
        <v>0</v>
      </c>
      <c r="AZ400" s="210">
        <v>0</v>
      </c>
      <c r="BA400" s="210">
        <v>0</v>
      </c>
      <c r="BB400" s="210">
        <v>0</v>
      </c>
      <c r="BC400" s="210">
        <v>0</v>
      </c>
      <c r="BD400" s="210">
        <v>0</v>
      </c>
      <c r="BE400" s="210">
        <v>0</v>
      </c>
      <c r="BF400" s="210">
        <v>0</v>
      </c>
      <c r="BG400" s="210">
        <v>0</v>
      </c>
      <c r="BH400" s="210">
        <v>0</v>
      </c>
      <c r="BI400" s="210">
        <v>0</v>
      </c>
      <c r="BJ400" s="210">
        <v>0</v>
      </c>
      <c r="BK400" s="210">
        <v>0</v>
      </c>
      <c r="BL400" s="210">
        <v>0</v>
      </c>
      <c r="BM400" s="210">
        <v>0</v>
      </c>
      <c r="BN400" s="210">
        <v>0</v>
      </c>
      <c r="BO400" s="210">
        <v>0</v>
      </c>
      <c r="BP400" s="41"/>
      <c r="BQ400" s="40">
        <v>0</v>
      </c>
      <c r="BR400" s="40">
        <v>0</v>
      </c>
      <c r="BS400" s="40">
        <v>0</v>
      </c>
      <c r="BT400" s="40">
        <v>0</v>
      </c>
      <c r="BU400" s="40">
        <v>0</v>
      </c>
      <c r="BV400" s="40">
        <v>0</v>
      </c>
      <c r="BW400" s="40">
        <v>0</v>
      </c>
      <c r="BX400" s="40">
        <v>0</v>
      </c>
      <c r="BY400" s="40">
        <v>0</v>
      </c>
      <c r="BZ400" s="40">
        <v>0</v>
      </c>
      <c r="CA400" s="41">
        <v>-2.94</v>
      </c>
      <c r="CB400" s="41">
        <v>41.65</v>
      </c>
      <c r="CC400" s="41">
        <v>80.36</v>
      </c>
      <c r="CD400" s="41">
        <v>65.17</v>
      </c>
      <c r="CE400" s="41">
        <v>27.93</v>
      </c>
      <c r="CF400" s="41">
        <v>33.81</v>
      </c>
      <c r="CG400" s="41">
        <v>-8.82</v>
      </c>
      <c r="CH400" s="41">
        <v>-23.52</v>
      </c>
      <c r="CI400" s="41">
        <v>84</v>
      </c>
      <c r="CJ400" s="41">
        <v>137</v>
      </c>
      <c r="CK400" s="41">
        <v>81.428571428571445</v>
      </c>
      <c r="CL400" s="41">
        <v>81.428571428571445</v>
      </c>
      <c r="CM400" s="41">
        <v>154.28571428571428</v>
      </c>
      <c r="CN400" s="41">
        <v>162.85714285714286</v>
      </c>
      <c r="CO400" s="41">
        <v>157.14285714285717</v>
      </c>
      <c r="CP400" s="41">
        <v>0</v>
      </c>
      <c r="CQ400" s="41">
        <v>0</v>
      </c>
      <c r="CR400" s="41">
        <v>0</v>
      </c>
      <c r="CS400" s="41">
        <v>0</v>
      </c>
      <c r="CT400" s="41">
        <v>0</v>
      </c>
      <c r="CU400" s="41">
        <v>0</v>
      </c>
      <c r="CV400" s="211">
        <v>0</v>
      </c>
      <c r="CW400" s="41">
        <v>0</v>
      </c>
      <c r="CX400" s="41">
        <v>0</v>
      </c>
      <c r="CY400" s="41">
        <v>0</v>
      </c>
      <c r="CZ400" s="41">
        <v>0</v>
      </c>
      <c r="DA400" s="41">
        <v>0</v>
      </c>
      <c r="DB400" s="41">
        <v>0</v>
      </c>
      <c r="DC400" s="41">
        <v>0</v>
      </c>
      <c r="DD400" s="41">
        <v>0</v>
      </c>
      <c r="DE400" s="41">
        <v>0</v>
      </c>
      <c r="DF400" s="41">
        <v>0</v>
      </c>
    </row>
    <row r="401" spans="1:110" ht="12" hidden="1" outlineLevel="2">
      <c r="A401" s="1" t="s">
        <v>808</v>
      </c>
      <c r="B401" s="15" t="s">
        <v>804</v>
      </c>
      <c r="C401" s="41"/>
      <c r="D401" s="41"/>
      <c r="E401" s="41"/>
      <c r="F401" s="41"/>
      <c r="G401" s="41"/>
      <c r="H401" s="41"/>
      <c r="I401" s="41"/>
      <c r="J401" s="41"/>
      <c r="K401" s="41"/>
      <c r="L401" s="41"/>
      <c r="M401" s="41"/>
      <c r="N401" s="41"/>
      <c r="O401" s="41"/>
      <c r="P401" s="41"/>
      <c r="Q401" s="41"/>
      <c r="R401" s="41"/>
      <c r="S401" s="41"/>
      <c r="T401" s="41"/>
      <c r="U401" s="41"/>
      <c r="V401" s="41"/>
      <c r="W401" s="41"/>
      <c r="X401" s="41"/>
      <c r="Y401" s="41"/>
      <c r="Z401" s="41"/>
      <c r="AA401" s="41"/>
      <c r="AB401" s="41"/>
      <c r="AC401" s="41"/>
      <c r="AD401" s="41"/>
      <c r="AE401" s="41"/>
      <c r="AF401" s="41"/>
      <c r="AG401" s="41"/>
      <c r="AH401" s="41"/>
      <c r="AI401" s="41"/>
      <c r="AJ401" s="41"/>
      <c r="AK401" s="41"/>
      <c r="AL401" s="41"/>
      <c r="AM401" s="41"/>
      <c r="AN401" s="41"/>
      <c r="AO401" s="41"/>
      <c r="AP401" s="41"/>
      <c r="AQ401" s="41"/>
      <c r="AR401" s="41"/>
      <c r="AS401" s="41"/>
      <c r="AT401" s="41"/>
      <c r="AU401" s="41"/>
      <c r="AV401" s="211"/>
      <c r="AW401" s="41"/>
      <c r="AX401" s="41"/>
      <c r="AY401" s="41"/>
      <c r="AZ401" s="41"/>
      <c r="BA401" s="41"/>
      <c r="BB401" s="41"/>
      <c r="BC401" s="41"/>
      <c r="BD401" s="41"/>
      <c r="BE401" s="41"/>
      <c r="BF401" s="41"/>
      <c r="BG401" s="41"/>
      <c r="BH401" s="41"/>
      <c r="BI401" s="41"/>
      <c r="BJ401" s="41"/>
      <c r="BK401" s="41"/>
      <c r="BL401" s="41"/>
      <c r="BM401" s="41"/>
      <c r="BN401" s="41"/>
      <c r="BO401" s="41"/>
      <c r="BP401" s="41"/>
      <c r="BQ401" s="41"/>
      <c r="BR401" s="41"/>
      <c r="BS401" s="41"/>
      <c r="BT401" s="41"/>
      <c r="BU401" s="41"/>
      <c r="BV401" s="41"/>
      <c r="BW401" s="41"/>
      <c r="BX401" s="41"/>
      <c r="BY401" s="41"/>
      <c r="BZ401" s="41"/>
      <c r="CA401" s="41"/>
      <c r="CB401" s="41"/>
      <c r="CC401" s="41"/>
      <c r="CD401" s="41"/>
      <c r="CE401" s="41"/>
      <c r="CF401" s="41"/>
      <c r="CG401" s="41"/>
      <c r="CH401" s="41"/>
      <c r="CI401" s="41"/>
      <c r="CJ401" s="41"/>
      <c r="CK401" s="41"/>
      <c r="CL401" s="41"/>
      <c r="CM401" s="41"/>
      <c r="CN401" s="41"/>
      <c r="CO401" s="41"/>
      <c r="CP401" s="41"/>
      <c r="CQ401" s="41"/>
      <c r="CR401" s="41"/>
      <c r="CS401" s="41"/>
      <c r="CT401" s="41"/>
      <c r="CU401" s="41"/>
      <c r="CV401" s="211"/>
      <c r="CW401" s="41"/>
      <c r="CX401" s="41"/>
      <c r="CY401" s="41"/>
      <c r="CZ401" s="15"/>
      <c r="DA401" s="15"/>
      <c r="DB401" s="15"/>
      <c r="DC401" s="15"/>
      <c r="DD401" s="15"/>
      <c r="DE401" s="15"/>
      <c r="DF401" s="15"/>
    </row>
    <row r="402" spans="1:110" ht="12" hidden="1" outlineLevel="2">
      <c r="A402" s="1" t="s">
        <v>110</v>
      </c>
      <c r="B402" s="15" t="s">
        <v>804</v>
      </c>
      <c r="C402" s="41"/>
      <c r="D402" s="41"/>
      <c r="E402" s="41"/>
      <c r="F402" s="41"/>
      <c r="G402" s="41"/>
      <c r="H402" s="41"/>
      <c r="I402" s="41"/>
      <c r="J402" s="41"/>
      <c r="K402" s="41"/>
      <c r="L402" s="41"/>
      <c r="M402" s="41"/>
      <c r="N402" s="41"/>
      <c r="O402" s="41"/>
      <c r="P402" s="41"/>
      <c r="Q402" s="41"/>
      <c r="R402" s="41"/>
      <c r="S402" s="41"/>
      <c r="T402" s="41"/>
      <c r="U402" s="41"/>
      <c r="V402" s="41"/>
      <c r="W402" s="41"/>
      <c r="X402" s="41"/>
      <c r="Y402" s="41"/>
      <c r="Z402" s="41"/>
      <c r="AA402" s="41"/>
      <c r="AB402" s="41"/>
      <c r="AC402" s="41"/>
      <c r="AD402" s="41"/>
      <c r="AE402" s="41"/>
      <c r="AF402" s="41"/>
      <c r="AG402" s="41"/>
      <c r="AH402" s="41"/>
      <c r="AI402" s="41"/>
      <c r="AJ402" s="41"/>
      <c r="AK402" s="41"/>
      <c r="AL402" s="41"/>
      <c r="AM402" s="41"/>
      <c r="AN402" s="41"/>
      <c r="AO402" s="41"/>
      <c r="AP402" s="41"/>
      <c r="AQ402" s="41"/>
      <c r="AR402" s="41"/>
      <c r="AS402" s="41"/>
      <c r="AT402" s="41"/>
      <c r="AU402" s="41"/>
      <c r="AV402" s="211"/>
      <c r="AW402" s="41"/>
      <c r="AX402" s="41"/>
      <c r="AY402" s="41"/>
      <c r="AZ402" s="41"/>
      <c r="BA402" s="41"/>
      <c r="BB402" s="41"/>
      <c r="BC402" s="41"/>
      <c r="BD402" s="41"/>
      <c r="BE402" s="41"/>
      <c r="BF402" s="41"/>
      <c r="BG402" s="41"/>
      <c r="BH402" s="41"/>
      <c r="BI402" s="41"/>
      <c r="BJ402" s="41"/>
      <c r="BK402" s="41"/>
      <c r="BL402" s="41"/>
      <c r="BM402" s="41"/>
      <c r="BN402" s="41"/>
      <c r="BO402" s="41"/>
      <c r="BP402" s="41"/>
      <c r="BQ402" s="41"/>
      <c r="BR402" s="41"/>
      <c r="BS402" s="41"/>
      <c r="BT402" s="41"/>
      <c r="BU402" s="41"/>
      <c r="BV402" s="41"/>
      <c r="BW402" s="41"/>
      <c r="BX402" s="41"/>
      <c r="BY402" s="41"/>
      <c r="BZ402" s="41"/>
      <c r="CA402" s="41"/>
      <c r="CB402" s="41"/>
      <c r="CC402" s="41"/>
      <c r="CD402" s="41"/>
      <c r="CE402" s="41"/>
      <c r="CF402" s="41"/>
      <c r="CG402" s="41"/>
      <c r="CH402" s="41"/>
      <c r="CI402" s="41"/>
      <c r="CJ402" s="41"/>
      <c r="CK402" s="41"/>
      <c r="CL402" s="41"/>
      <c r="CM402" s="41"/>
      <c r="CN402" s="41"/>
      <c r="CO402" s="41"/>
      <c r="CP402" s="41"/>
      <c r="CQ402" s="41"/>
      <c r="CR402" s="41"/>
      <c r="CS402" s="41"/>
      <c r="CT402" s="41"/>
      <c r="CU402" s="41"/>
      <c r="CV402" s="211"/>
      <c r="CW402" s="41"/>
      <c r="CX402" s="41"/>
      <c r="CY402" s="41"/>
      <c r="CZ402" s="15"/>
      <c r="DA402" s="15"/>
      <c r="DB402" s="15"/>
      <c r="DC402" s="15"/>
      <c r="DD402" s="15"/>
      <c r="DE402" s="15"/>
      <c r="DF402" s="15"/>
    </row>
    <row r="403" spans="1:110" ht="12" hidden="1" outlineLevel="2">
      <c r="A403" s="1" t="s">
        <v>111</v>
      </c>
      <c r="B403" s="15" t="s">
        <v>804</v>
      </c>
      <c r="C403" s="41"/>
      <c r="D403" s="41"/>
      <c r="E403" s="41"/>
      <c r="F403" s="41"/>
      <c r="G403" s="41"/>
      <c r="H403" s="41"/>
      <c r="I403" s="41"/>
      <c r="J403" s="41"/>
      <c r="K403" s="41"/>
      <c r="L403" s="41"/>
      <c r="M403" s="41"/>
      <c r="N403" s="41"/>
      <c r="O403" s="41"/>
      <c r="P403" s="41"/>
      <c r="Q403" s="41"/>
      <c r="R403" s="41"/>
      <c r="S403" s="41"/>
      <c r="T403" s="41"/>
      <c r="U403" s="41"/>
      <c r="V403" s="41"/>
      <c r="W403" s="41"/>
      <c r="X403" s="41"/>
      <c r="Y403" s="41"/>
      <c r="Z403" s="41"/>
      <c r="AA403" s="41"/>
      <c r="AB403" s="41"/>
      <c r="AC403" s="41"/>
      <c r="AD403" s="41"/>
      <c r="AE403" s="41"/>
      <c r="AF403" s="41"/>
      <c r="AG403" s="41"/>
      <c r="AH403" s="41"/>
      <c r="AI403" s="41"/>
      <c r="AJ403" s="41"/>
      <c r="AK403" s="41"/>
      <c r="AL403" s="41"/>
      <c r="AM403" s="41"/>
      <c r="AN403" s="41"/>
      <c r="AO403" s="41"/>
      <c r="AP403" s="41"/>
      <c r="AQ403" s="41"/>
      <c r="AR403" s="41"/>
      <c r="AS403" s="41"/>
      <c r="AT403" s="41"/>
      <c r="AU403" s="41"/>
      <c r="AV403" s="211"/>
      <c r="AW403" s="41"/>
      <c r="AX403" s="41"/>
      <c r="AY403" s="41"/>
      <c r="AZ403" s="41"/>
      <c r="BA403" s="41"/>
      <c r="BB403" s="41"/>
      <c r="BC403" s="41"/>
      <c r="BD403" s="41"/>
      <c r="BE403" s="41"/>
      <c r="BF403" s="41"/>
      <c r="BG403" s="41"/>
      <c r="BH403" s="41"/>
      <c r="BI403" s="41"/>
      <c r="BJ403" s="41"/>
      <c r="BK403" s="41"/>
      <c r="BL403" s="41"/>
      <c r="BM403" s="41"/>
      <c r="BN403" s="41"/>
      <c r="BO403" s="41"/>
      <c r="BP403" s="41"/>
      <c r="BQ403" s="41"/>
      <c r="BR403" s="41"/>
      <c r="BS403" s="41"/>
      <c r="BT403" s="41"/>
      <c r="BU403" s="41"/>
      <c r="BV403" s="41"/>
      <c r="BW403" s="41"/>
      <c r="BX403" s="41"/>
      <c r="BY403" s="41"/>
      <c r="BZ403" s="41"/>
      <c r="CA403" s="41"/>
      <c r="CB403" s="41"/>
      <c r="CC403" s="41"/>
      <c r="CD403" s="41"/>
      <c r="CE403" s="41"/>
      <c r="CF403" s="41"/>
      <c r="CG403" s="41"/>
      <c r="CH403" s="41"/>
      <c r="CI403" s="41"/>
      <c r="CJ403" s="41"/>
      <c r="CK403" s="41"/>
      <c r="CL403" s="41"/>
      <c r="CM403" s="41"/>
      <c r="CN403" s="41"/>
      <c r="CO403" s="41"/>
      <c r="CP403" s="41"/>
      <c r="CQ403" s="41"/>
      <c r="CR403" s="41"/>
      <c r="CS403" s="41"/>
      <c r="CT403" s="41"/>
      <c r="CU403" s="41"/>
      <c r="CV403" s="211"/>
      <c r="CW403" s="41"/>
      <c r="CX403" s="41"/>
      <c r="CY403" s="41"/>
      <c r="CZ403" s="15"/>
      <c r="DA403" s="15"/>
      <c r="DB403" s="15"/>
      <c r="DC403" s="15"/>
      <c r="DD403" s="15"/>
      <c r="DE403" s="15"/>
      <c r="DF403" s="15"/>
    </row>
    <row r="404" spans="1:110" ht="12" hidden="1" outlineLevel="2">
      <c r="A404" s="1" t="s">
        <v>112</v>
      </c>
      <c r="B404" s="15" t="s">
        <v>804</v>
      </c>
      <c r="C404" s="41"/>
      <c r="D404" s="41"/>
      <c r="E404" s="41"/>
      <c r="F404" s="41"/>
      <c r="G404" s="41"/>
      <c r="H404" s="41"/>
      <c r="I404" s="41"/>
      <c r="J404" s="41"/>
      <c r="K404" s="41"/>
      <c r="L404" s="41"/>
      <c r="M404" s="41"/>
      <c r="N404" s="41"/>
      <c r="O404" s="41"/>
      <c r="P404" s="41"/>
      <c r="Q404" s="41"/>
      <c r="R404" s="41"/>
      <c r="S404" s="41"/>
      <c r="T404" s="41"/>
      <c r="U404" s="41"/>
      <c r="V404" s="41"/>
      <c r="W404" s="41"/>
      <c r="X404" s="41"/>
      <c r="Y404" s="41"/>
      <c r="Z404" s="41"/>
      <c r="AA404" s="41"/>
      <c r="AB404" s="41"/>
      <c r="AC404" s="41"/>
      <c r="AD404" s="41"/>
      <c r="AE404" s="41"/>
      <c r="AF404" s="41"/>
      <c r="AG404" s="41"/>
      <c r="AH404" s="41"/>
      <c r="AI404" s="41"/>
      <c r="AJ404" s="41"/>
      <c r="AK404" s="41"/>
      <c r="AL404" s="41"/>
      <c r="AM404" s="41"/>
      <c r="AN404" s="41"/>
      <c r="AO404" s="41"/>
      <c r="AP404" s="41"/>
      <c r="AQ404" s="41"/>
      <c r="AR404" s="41"/>
      <c r="AS404" s="41"/>
      <c r="AT404" s="41"/>
      <c r="AU404" s="41"/>
      <c r="AV404" s="211"/>
      <c r="AW404" s="41"/>
      <c r="AX404" s="41"/>
      <c r="AY404" s="41"/>
      <c r="AZ404" s="41"/>
      <c r="BA404" s="41"/>
      <c r="BB404" s="41"/>
      <c r="BC404" s="41"/>
      <c r="BD404" s="41"/>
      <c r="BE404" s="41"/>
      <c r="BF404" s="41"/>
      <c r="BG404" s="41"/>
      <c r="BH404" s="41"/>
      <c r="BI404" s="41"/>
      <c r="BJ404" s="41"/>
      <c r="BK404" s="41"/>
      <c r="BL404" s="41"/>
      <c r="BM404" s="41"/>
      <c r="BN404" s="41"/>
      <c r="BO404" s="41"/>
      <c r="BP404" s="41"/>
      <c r="BQ404" s="41"/>
      <c r="BR404" s="41"/>
      <c r="BS404" s="41"/>
      <c r="BT404" s="41"/>
      <c r="BU404" s="41"/>
      <c r="BV404" s="41"/>
      <c r="BW404" s="41"/>
      <c r="BX404" s="41"/>
      <c r="BY404" s="41"/>
      <c r="BZ404" s="41"/>
      <c r="CA404" s="41"/>
      <c r="CB404" s="41"/>
      <c r="CC404" s="41"/>
      <c r="CD404" s="41"/>
      <c r="CE404" s="41"/>
      <c r="CF404" s="41"/>
      <c r="CG404" s="41"/>
      <c r="CH404" s="41"/>
      <c r="CI404" s="41"/>
      <c r="CJ404" s="41"/>
      <c r="CK404" s="41"/>
      <c r="CL404" s="41"/>
      <c r="CM404" s="41"/>
      <c r="CN404" s="41"/>
      <c r="CO404" s="41"/>
      <c r="CP404" s="41"/>
      <c r="CQ404" s="41"/>
      <c r="CR404" s="41"/>
      <c r="CS404" s="41"/>
      <c r="CT404" s="41"/>
      <c r="CU404" s="41"/>
      <c r="CV404" s="211"/>
      <c r="CW404" s="41"/>
      <c r="CX404" s="41"/>
      <c r="CY404" s="41"/>
      <c r="CZ404" s="15"/>
      <c r="DA404" s="15"/>
      <c r="DB404" s="15"/>
      <c r="DC404" s="15"/>
      <c r="DD404" s="15"/>
      <c r="DE404" s="15"/>
      <c r="DF404" s="15"/>
    </row>
    <row r="405" spans="1:110" ht="12" outlineLevel="1" collapsed="1">
      <c r="A405" s="1" t="s">
        <v>809</v>
      </c>
      <c r="B405" s="15" t="s">
        <v>658</v>
      </c>
      <c r="C405" s="41">
        <v>152</v>
      </c>
      <c r="D405" s="41">
        <v>178</v>
      </c>
      <c r="E405" s="41">
        <v>101.41999999999985</v>
      </c>
      <c r="F405" s="41">
        <v>89.330000000000155</v>
      </c>
      <c r="G405" s="41">
        <v>113.19999999999982</v>
      </c>
      <c r="H405" s="41">
        <v>72.259999999999991</v>
      </c>
      <c r="I405" s="41">
        <v>73.559999999999945</v>
      </c>
      <c r="J405" s="41">
        <v>118.53999999999996</v>
      </c>
      <c r="K405" s="41">
        <v>103.95000000000005</v>
      </c>
      <c r="L405" s="41">
        <v>106.15999999999985</v>
      </c>
      <c r="M405" s="41">
        <v>119.76999999999975</v>
      </c>
      <c r="N405" s="41">
        <v>143.01</v>
      </c>
      <c r="O405" s="41">
        <v>188.59999999999991</v>
      </c>
      <c r="P405" s="41">
        <v>227.53999999999996</v>
      </c>
      <c r="Q405" s="41">
        <v>129.48999999999978</v>
      </c>
      <c r="R405" s="41">
        <v>94.970000000000027</v>
      </c>
      <c r="S405" s="41">
        <v>520.02</v>
      </c>
      <c r="T405" s="41">
        <v>316</v>
      </c>
      <c r="U405" s="41">
        <v>364</v>
      </c>
      <c r="V405" s="41">
        <v>428</v>
      </c>
      <c r="W405" s="41">
        <v>500</v>
      </c>
      <c r="X405" s="41">
        <v>401</v>
      </c>
      <c r="Y405" s="41">
        <v>507.00000000000045</v>
      </c>
      <c r="Z405" s="41">
        <v>376</v>
      </c>
      <c r="AA405" s="41">
        <v>405</v>
      </c>
      <c r="AB405" s="41">
        <v>376</v>
      </c>
      <c r="AC405" s="41">
        <v>334.35714285714266</v>
      </c>
      <c r="AD405" s="41">
        <v>346.00000000000045</v>
      </c>
      <c r="AE405" s="41">
        <v>387</v>
      </c>
      <c r="AF405" s="41">
        <v>512</v>
      </c>
      <c r="AG405" s="41">
        <v>674</v>
      </c>
      <c r="AH405" s="41">
        <v>359</v>
      </c>
      <c r="AI405" s="41">
        <v>313</v>
      </c>
      <c r="AJ405" s="41">
        <v>273</v>
      </c>
      <c r="AK405" s="41">
        <v>291</v>
      </c>
      <c r="AL405" s="41">
        <v>306</v>
      </c>
      <c r="AM405" s="41">
        <v>329</v>
      </c>
      <c r="AN405" s="41">
        <v>279</v>
      </c>
      <c r="AO405" s="41">
        <v>259</v>
      </c>
      <c r="AP405" s="41">
        <v>379</v>
      </c>
      <c r="AQ405" s="41">
        <v>307</v>
      </c>
      <c r="AR405" s="41">
        <v>311.00000000000023</v>
      </c>
      <c r="AS405" s="41">
        <v>393</v>
      </c>
      <c r="AT405" s="41">
        <v>214.99999999999977</v>
      </c>
      <c r="AU405" s="41">
        <v>381</v>
      </c>
      <c r="AV405" s="211">
        <v>253</v>
      </c>
      <c r="AW405" s="41">
        <v>247.53111218748387</v>
      </c>
      <c r="AX405" s="41">
        <v>266.53207601555204</v>
      </c>
      <c r="AY405" s="41">
        <v>271.90601057144164</v>
      </c>
      <c r="AZ405" s="41">
        <v>273.54445005022268</v>
      </c>
      <c r="BA405" s="41">
        <v>278.22401716232446</v>
      </c>
      <c r="BB405" s="41">
        <v>280.58415791421879</v>
      </c>
      <c r="BC405" s="41">
        <v>286.95234407313723</v>
      </c>
      <c r="BD405" s="41">
        <v>291.49257482742871</v>
      </c>
      <c r="BE405" s="41">
        <v>296.93667592133988</v>
      </c>
      <c r="BF405" s="41">
        <v>301.67467637302275</v>
      </c>
      <c r="BG405" s="41">
        <v>309.04018518826473</v>
      </c>
      <c r="BH405" s="41">
        <v>313.15642465004299</v>
      </c>
      <c r="BI405" s="41">
        <v>320.8459468696978</v>
      </c>
      <c r="BJ405" s="41">
        <v>325.44202399903844</v>
      </c>
      <c r="BK405" s="41">
        <v>334.32896910216795</v>
      </c>
      <c r="BL405" s="41">
        <v>340.95323973688471</v>
      </c>
      <c r="BM405" s="41">
        <v>348.68023204603787</v>
      </c>
      <c r="BN405" s="41">
        <v>353.38382693886354</v>
      </c>
      <c r="BO405" s="41">
        <v>358.87875128082499</v>
      </c>
      <c r="BP405" s="41"/>
      <c r="BQ405" s="41">
        <v>234.89999999999986</v>
      </c>
      <c r="BR405" s="41">
        <v>250.70000000000005</v>
      </c>
      <c r="BS405" s="41">
        <v>81</v>
      </c>
      <c r="BT405" s="41">
        <v>42</v>
      </c>
      <c r="BU405" s="41">
        <v>173</v>
      </c>
      <c r="BV405" s="41">
        <v>138</v>
      </c>
      <c r="BW405" s="41">
        <v>240</v>
      </c>
      <c r="BX405" s="41">
        <v>73</v>
      </c>
      <c r="BY405" s="41">
        <v>313</v>
      </c>
      <c r="BZ405" s="41">
        <v>80</v>
      </c>
      <c r="CA405" s="41">
        <v>279.41999999999985</v>
      </c>
      <c r="CB405" s="41">
        <v>202.52999999999997</v>
      </c>
      <c r="CC405" s="41">
        <v>145.81999999999994</v>
      </c>
      <c r="CD405" s="41">
        <v>222.49</v>
      </c>
      <c r="CE405" s="41">
        <v>225.92999999999961</v>
      </c>
      <c r="CF405" s="41">
        <v>331.6099999999999</v>
      </c>
      <c r="CG405" s="41">
        <v>357.02999999999975</v>
      </c>
      <c r="CH405" s="41">
        <v>614.99</v>
      </c>
      <c r="CI405" s="41">
        <v>680</v>
      </c>
      <c r="CJ405" s="41">
        <v>928</v>
      </c>
      <c r="CK405" s="41">
        <v>908.00000000000045</v>
      </c>
      <c r="CL405" s="41">
        <v>781</v>
      </c>
      <c r="CM405" s="41">
        <v>710.35714285714266</v>
      </c>
      <c r="CN405" s="41">
        <v>733.00000000000045</v>
      </c>
      <c r="CO405" s="41">
        <v>1186</v>
      </c>
      <c r="CP405" s="41">
        <v>672</v>
      </c>
      <c r="CQ405" s="41">
        <v>564</v>
      </c>
      <c r="CR405" s="41">
        <v>635</v>
      </c>
      <c r="CS405" s="41">
        <v>538</v>
      </c>
      <c r="CT405" s="41">
        <v>686</v>
      </c>
      <c r="CU405" s="41">
        <v>704.00000000000023</v>
      </c>
      <c r="CV405" s="211">
        <v>595.99999999999977</v>
      </c>
      <c r="CW405" s="41">
        <v>500.53111218748387</v>
      </c>
      <c r="CX405" s="41">
        <v>538.43808658699368</v>
      </c>
      <c r="CY405" s="41">
        <v>551.76846721254719</v>
      </c>
      <c r="CZ405" s="41">
        <v>567.53650198735602</v>
      </c>
      <c r="DA405" s="41">
        <v>588.4292507487686</v>
      </c>
      <c r="DB405" s="41">
        <v>610.71486156128753</v>
      </c>
      <c r="DC405" s="41">
        <v>634.00237151974079</v>
      </c>
      <c r="DD405" s="41">
        <v>659.77099310120639</v>
      </c>
      <c r="DE405" s="41">
        <v>689.63347178292258</v>
      </c>
      <c r="DF405" s="41">
        <v>712.26257821968852</v>
      </c>
    </row>
    <row r="406" spans="1:110" s="17" customFormat="1" ht="12" outlineLevel="1">
      <c r="A406" s="1" t="s">
        <v>810</v>
      </c>
      <c r="B406" s="17" t="s">
        <v>574</v>
      </c>
      <c r="C406" s="62">
        <v>1333</v>
      </c>
      <c r="D406" s="62">
        <v>1409</v>
      </c>
      <c r="E406" s="62">
        <v>1481.57</v>
      </c>
      <c r="F406" s="62">
        <v>1453.43</v>
      </c>
      <c r="G406" s="62">
        <v>1566.25</v>
      </c>
      <c r="H406" s="62">
        <v>1683.25</v>
      </c>
      <c r="I406" s="62">
        <v>1831.69</v>
      </c>
      <c r="J406" s="62">
        <v>1506.47</v>
      </c>
      <c r="K406" s="62">
        <v>1635.31</v>
      </c>
      <c r="L406" s="62">
        <v>1681.58</v>
      </c>
      <c r="M406" s="62">
        <v>1705.99</v>
      </c>
      <c r="N406" s="62">
        <v>1903.28</v>
      </c>
      <c r="O406" s="62">
        <v>2082.79</v>
      </c>
      <c r="P406" s="62">
        <v>2331.69</v>
      </c>
      <c r="Q406" s="62">
        <v>2271.77</v>
      </c>
      <c r="R406" s="62">
        <v>2108.12</v>
      </c>
      <c r="S406" s="62">
        <v>2347.36</v>
      </c>
      <c r="T406" s="62">
        <v>2363</v>
      </c>
      <c r="U406" s="62">
        <v>2630</v>
      </c>
      <c r="V406" s="62">
        <v>2801</v>
      </c>
      <c r="W406" s="62">
        <v>2580</v>
      </c>
      <c r="X406" s="62">
        <v>2788</v>
      </c>
      <c r="Y406" s="62">
        <v>2732</v>
      </c>
      <c r="Z406" s="62">
        <v>2856</v>
      </c>
      <c r="AA406" s="62">
        <v>2763</v>
      </c>
      <c r="AB406" s="62">
        <v>2904</v>
      </c>
      <c r="AC406" s="62">
        <v>2749.3571428571427</v>
      </c>
      <c r="AD406" s="62">
        <v>3032</v>
      </c>
      <c r="AE406" s="62">
        <v>2838</v>
      </c>
      <c r="AF406" s="62">
        <v>2910</v>
      </c>
      <c r="AG406" s="62">
        <v>2979</v>
      </c>
      <c r="AH406" s="62">
        <v>2767</v>
      </c>
      <c r="AI406" s="62">
        <v>2371</v>
      </c>
      <c r="AJ406" s="62">
        <v>2196</v>
      </c>
      <c r="AK406" s="62">
        <v>2313</v>
      </c>
      <c r="AL406" s="62">
        <v>2215</v>
      </c>
      <c r="AM406" s="62">
        <v>2240</v>
      </c>
      <c r="AN406" s="62">
        <v>2207</v>
      </c>
      <c r="AO406" s="62">
        <v>2483</v>
      </c>
      <c r="AP406" s="62">
        <v>1937</v>
      </c>
      <c r="AQ406" s="62">
        <v>1810</v>
      </c>
      <c r="AR406" s="62">
        <v>1576</v>
      </c>
      <c r="AS406" s="62">
        <v>1810</v>
      </c>
      <c r="AT406" s="62">
        <v>2090</v>
      </c>
      <c r="AU406" s="62">
        <v>2291</v>
      </c>
      <c r="AV406" s="220">
        <v>2448</v>
      </c>
      <c r="AW406" s="62">
        <v>2131.4528258618802</v>
      </c>
      <c r="AX406" s="62">
        <v>2412.4965668048553</v>
      </c>
      <c r="AY406" s="62">
        <v>2204.6519446782781</v>
      </c>
      <c r="AZ406" s="62">
        <v>2467.8984118211065</v>
      </c>
      <c r="BA406" s="62">
        <v>2253.2380522886192</v>
      </c>
      <c r="BB406" s="62">
        <v>2539.0580512106631</v>
      </c>
      <c r="BC406" s="62">
        <v>2333.7529270383134</v>
      </c>
      <c r="BD406" s="62">
        <v>2651.1365708612348</v>
      </c>
      <c r="BE406" s="62">
        <v>2426.9004730541524</v>
      </c>
      <c r="BF406" s="62">
        <v>2758.2753307200555</v>
      </c>
      <c r="BG406" s="62">
        <v>2538.4413554004905</v>
      </c>
      <c r="BH406" s="62">
        <v>2878.5484347159668</v>
      </c>
      <c r="BI406" s="62">
        <v>2648.7050050294324</v>
      </c>
      <c r="BJ406" s="62">
        <v>3007.6220551153056</v>
      </c>
      <c r="BK406" s="62">
        <v>2774.1407687224764</v>
      </c>
      <c r="BL406" s="62">
        <v>3168.3119133428104</v>
      </c>
      <c r="BM406" s="62">
        <v>2908.2417136702479</v>
      </c>
      <c r="BN406" s="62">
        <v>3299.2627052395046</v>
      </c>
      <c r="BO406" s="62">
        <v>3002.7617599791693</v>
      </c>
      <c r="BP406" s="62"/>
      <c r="BQ406" s="62">
        <v>2108.6999999999998</v>
      </c>
      <c r="BR406" s="62">
        <v>1875</v>
      </c>
      <c r="BS406" s="62">
        <v>1793</v>
      </c>
      <c r="BT406" s="62">
        <v>1754</v>
      </c>
      <c r="BU406" s="62">
        <v>1839</v>
      </c>
      <c r="BV406" s="62">
        <v>2110</v>
      </c>
      <c r="BW406" s="62">
        <v>2142</v>
      </c>
      <c r="BX406" s="62">
        <v>2377</v>
      </c>
      <c r="BY406" s="62">
        <v>2583</v>
      </c>
      <c r="BZ406" s="62">
        <v>2573</v>
      </c>
      <c r="CA406" s="62">
        <v>2890.5699999999997</v>
      </c>
      <c r="CB406" s="62">
        <v>3019.6800000000003</v>
      </c>
      <c r="CC406" s="62">
        <v>3514.94</v>
      </c>
      <c r="CD406" s="62">
        <v>3141.7799999999997</v>
      </c>
      <c r="CE406" s="62">
        <v>3387.5699999999997</v>
      </c>
      <c r="CF406" s="62">
        <v>3986.0699999999997</v>
      </c>
      <c r="CG406" s="62">
        <v>4603.46</v>
      </c>
      <c r="CH406" s="62">
        <v>4455.4799999999996</v>
      </c>
      <c r="CI406" s="62">
        <v>4993</v>
      </c>
      <c r="CJ406" s="62">
        <v>5381</v>
      </c>
      <c r="CK406" s="62">
        <v>5520</v>
      </c>
      <c r="CL406" s="62">
        <v>5619</v>
      </c>
      <c r="CM406" s="62">
        <v>5653.3571428571431</v>
      </c>
      <c r="CN406" s="62">
        <v>5870</v>
      </c>
      <c r="CO406" s="62">
        <v>5889</v>
      </c>
      <c r="CP406" s="62">
        <v>5138</v>
      </c>
      <c r="CQ406" s="62">
        <v>4509</v>
      </c>
      <c r="CR406" s="62">
        <v>4455</v>
      </c>
      <c r="CS406" s="62">
        <v>4690</v>
      </c>
      <c r="CT406" s="62">
        <v>3747</v>
      </c>
      <c r="CU406" s="62">
        <v>3386</v>
      </c>
      <c r="CV406" s="220">
        <v>4381</v>
      </c>
      <c r="CW406" s="62">
        <v>4579.4528258618802</v>
      </c>
      <c r="CX406" s="62">
        <v>4617.1485114831339</v>
      </c>
      <c r="CY406" s="62">
        <v>4721.1364641097261</v>
      </c>
      <c r="CZ406" s="62">
        <v>4872.8109782489764</v>
      </c>
      <c r="DA406" s="62">
        <v>5078.0370439153867</v>
      </c>
      <c r="DB406" s="62">
        <v>5296.716686120546</v>
      </c>
      <c r="DC406" s="62">
        <v>5527.2534397453992</v>
      </c>
      <c r="DD406" s="62">
        <v>5781.762823837782</v>
      </c>
      <c r="DE406" s="62">
        <v>6076.5536270130578</v>
      </c>
      <c r="DF406" s="62">
        <v>6302.0244652186739</v>
      </c>
    </row>
    <row r="407" spans="1:110" ht="12" outlineLevel="1">
      <c r="A407" s="1" t="s">
        <v>811</v>
      </c>
      <c r="B407" s="15" t="s">
        <v>715</v>
      </c>
      <c r="C407" s="40">
        <v>0</v>
      </c>
      <c r="D407" s="40">
        <v>0</v>
      </c>
      <c r="E407" s="40">
        <v>0</v>
      </c>
      <c r="F407" s="40">
        <v>0</v>
      </c>
      <c r="G407" s="40">
        <v>0</v>
      </c>
      <c r="H407" s="40">
        <v>0</v>
      </c>
      <c r="I407" s="40">
        <v>0</v>
      </c>
      <c r="J407" s="40">
        <v>0</v>
      </c>
      <c r="K407" s="40">
        <v>0</v>
      </c>
      <c r="L407" s="40">
        <v>0</v>
      </c>
      <c r="M407" s="40">
        <v>0</v>
      </c>
      <c r="N407" s="40">
        <v>0</v>
      </c>
      <c r="O407" s="40">
        <v>0</v>
      </c>
      <c r="P407" s="40">
        <v>127</v>
      </c>
      <c r="Q407" s="40">
        <v>-305</v>
      </c>
      <c r="R407" s="40">
        <v>-812</v>
      </c>
      <c r="S407" s="40">
        <v>759</v>
      </c>
      <c r="T407" s="40">
        <v>64</v>
      </c>
      <c r="U407" s="40">
        <v>5</v>
      </c>
      <c r="V407" s="40">
        <v>55</v>
      </c>
      <c r="W407" s="40">
        <v>-51</v>
      </c>
      <c r="X407" s="40">
        <v>-52</v>
      </c>
      <c r="Y407" s="40">
        <v>270</v>
      </c>
      <c r="Z407" s="141">
        <v>0</v>
      </c>
      <c r="AA407" s="141">
        <v>0</v>
      </c>
      <c r="AB407" s="141">
        <v>0</v>
      </c>
      <c r="AC407" s="141">
        <v>127.64285714285714</v>
      </c>
      <c r="AD407" s="141">
        <v>25</v>
      </c>
      <c r="AE407" s="141">
        <v>26</v>
      </c>
      <c r="AF407" s="141">
        <v>-153</v>
      </c>
      <c r="AG407" s="141">
        <v>-237</v>
      </c>
      <c r="AH407" s="141">
        <v>-210</v>
      </c>
      <c r="AI407" s="141">
        <v>13</v>
      </c>
      <c r="AJ407" s="141">
        <v>324</v>
      </c>
      <c r="AK407" s="141">
        <v>20</v>
      </c>
      <c r="AL407" s="141">
        <v>232</v>
      </c>
      <c r="AM407" s="141">
        <v>3</v>
      </c>
      <c r="AN407" s="141">
        <v>-850</v>
      </c>
      <c r="AO407" s="141">
        <v>-137</v>
      </c>
      <c r="AP407" s="141">
        <v>-500</v>
      </c>
      <c r="AQ407" s="141">
        <v>39</v>
      </c>
      <c r="AR407" s="141">
        <v>272</v>
      </c>
      <c r="AS407" s="141">
        <v>15</v>
      </c>
      <c r="AT407" s="141">
        <v>-50</v>
      </c>
      <c r="AU407" s="141">
        <v>0</v>
      </c>
      <c r="AV407" s="211">
        <v>0</v>
      </c>
      <c r="AW407" s="210">
        <v>0</v>
      </c>
      <c r="AX407" s="210">
        <v>0</v>
      </c>
      <c r="AY407" s="210">
        <v>0</v>
      </c>
      <c r="AZ407" s="210">
        <v>0</v>
      </c>
      <c r="BA407" s="210">
        <v>0</v>
      </c>
      <c r="BB407" s="210">
        <v>0</v>
      </c>
      <c r="BC407" s="210">
        <v>0</v>
      </c>
      <c r="BD407" s="210">
        <v>0</v>
      </c>
      <c r="BE407" s="210">
        <v>0</v>
      </c>
      <c r="BF407" s="210">
        <v>0</v>
      </c>
      <c r="BG407" s="210">
        <v>0</v>
      </c>
      <c r="BH407" s="210">
        <v>0</v>
      </c>
      <c r="BI407" s="210">
        <v>0</v>
      </c>
      <c r="BJ407" s="210">
        <v>0</v>
      </c>
      <c r="BK407" s="210">
        <v>0</v>
      </c>
      <c r="BL407" s="210">
        <v>0</v>
      </c>
      <c r="BM407" s="210">
        <v>0</v>
      </c>
      <c r="BN407" s="210">
        <v>0</v>
      </c>
      <c r="BO407" s="210">
        <v>0</v>
      </c>
      <c r="BP407" s="41"/>
      <c r="BQ407" s="40">
        <v>0</v>
      </c>
      <c r="BR407" s="40">
        <v>0</v>
      </c>
      <c r="BS407" s="40">
        <v>0</v>
      </c>
      <c r="BT407" s="40">
        <v>0</v>
      </c>
      <c r="BU407" s="40">
        <v>0</v>
      </c>
      <c r="BV407" s="40">
        <v>0</v>
      </c>
      <c r="BW407" s="40">
        <v>0</v>
      </c>
      <c r="BX407" s="40">
        <v>0</v>
      </c>
      <c r="BY407" s="40">
        <v>0</v>
      </c>
      <c r="BZ407" s="40">
        <v>0</v>
      </c>
      <c r="CA407" s="41">
        <v>0</v>
      </c>
      <c r="CB407" s="41">
        <v>0</v>
      </c>
      <c r="CC407" s="41">
        <v>0</v>
      </c>
      <c r="CD407" s="41">
        <v>0</v>
      </c>
      <c r="CE407" s="41">
        <v>0</v>
      </c>
      <c r="CF407" s="41">
        <v>0</v>
      </c>
      <c r="CG407" s="41">
        <v>-178</v>
      </c>
      <c r="CH407" s="41">
        <v>-53</v>
      </c>
      <c r="CI407" s="41">
        <v>69</v>
      </c>
      <c r="CJ407" s="41">
        <v>4</v>
      </c>
      <c r="CK407" s="41">
        <v>218</v>
      </c>
      <c r="CL407" s="41">
        <v>0</v>
      </c>
      <c r="CM407" s="41">
        <v>127.64285714285714</v>
      </c>
      <c r="CN407" s="41">
        <v>51</v>
      </c>
      <c r="CO407" s="41">
        <v>-390</v>
      </c>
      <c r="CP407" s="41">
        <v>-197</v>
      </c>
      <c r="CQ407" s="41">
        <v>344</v>
      </c>
      <c r="CR407" s="41">
        <v>235</v>
      </c>
      <c r="CS407" s="41">
        <v>-987</v>
      </c>
      <c r="CT407" s="41">
        <v>-461</v>
      </c>
      <c r="CU407" s="41">
        <v>287</v>
      </c>
      <c r="CV407" s="211">
        <v>-50</v>
      </c>
      <c r="CW407" s="41">
        <v>0</v>
      </c>
      <c r="CX407" s="41">
        <v>0</v>
      </c>
      <c r="CY407" s="41">
        <v>0</v>
      </c>
      <c r="CZ407" s="41">
        <v>0</v>
      </c>
      <c r="DA407" s="41">
        <v>0</v>
      </c>
      <c r="DB407" s="41">
        <v>0</v>
      </c>
      <c r="DC407" s="41">
        <v>0</v>
      </c>
      <c r="DD407" s="41">
        <v>0</v>
      </c>
      <c r="DE407" s="41">
        <v>0</v>
      </c>
      <c r="DF407" s="41">
        <v>0</v>
      </c>
    </row>
    <row r="408" spans="1:110" s="17" customFormat="1" ht="12" outlineLevel="1">
      <c r="A408" s="1" t="s">
        <v>120</v>
      </c>
      <c r="B408" s="17" t="s">
        <v>168</v>
      </c>
      <c r="C408" s="62">
        <v>1333</v>
      </c>
      <c r="D408" s="62">
        <v>1409</v>
      </c>
      <c r="E408" s="62">
        <v>1481.57</v>
      </c>
      <c r="F408" s="62">
        <v>1453.43</v>
      </c>
      <c r="G408" s="62">
        <v>1566.25</v>
      </c>
      <c r="H408" s="62">
        <v>1683.25</v>
      </c>
      <c r="I408" s="62">
        <v>1831.69</v>
      </c>
      <c r="J408" s="62">
        <v>1506.47</v>
      </c>
      <c r="K408" s="62">
        <v>1635.31</v>
      </c>
      <c r="L408" s="62">
        <v>1681.58</v>
      </c>
      <c r="M408" s="62">
        <v>1705.99</v>
      </c>
      <c r="N408" s="62">
        <v>1903.28</v>
      </c>
      <c r="O408" s="62">
        <v>2082.79</v>
      </c>
      <c r="P408" s="62">
        <v>2458.69</v>
      </c>
      <c r="Q408" s="62">
        <v>1966.77</v>
      </c>
      <c r="R408" s="62">
        <v>1296.1199999999999</v>
      </c>
      <c r="S408" s="62">
        <v>3106.36</v>
      </c>
      <c r="T408" s="62">
        <v>2427</v>
      </c>
      <c r="U408" s="62">
        <v>2635</v>
      </c>
      <c r="V408" s="62">
        <v>2856</v>
      </c>
      <c r="W408" s="62">
        <v>2529</v>
      </c>
      <c r="X408" s="62">
        <v>2736</v>
      </c>
      <c r="Y408" s="62">
        <v>3002</v>
      </c>
      <c r="Z408" s="62">
        <v>2856</v>
      </c>
      <c r="AA408" s="62">
        <v>2763</v>
      </c>
      <c r="AB408" s="62">
        <v>2904</v>
      </c>
      <c r="AC408" s="62">
        <v>2877</v>
      </c>
      <c r="AD408" s="62">
        <v>3057</v>
      </c>
      <c r="AE408" s="62">
        <v>2864</v>
      </c>
      <c r="AF408" s="62">
        <v>2757</v>
      </c>
      <c r="AG408" s="62">
        <v>2742</v>
      </c>
      <c r="AH408" s="62">
        <v>2557</v>
      </c>
      <c r="AI408" s="62">
        <v>2384</v>
      </c>
      <c r="AJ408" s="62">
        <v>2520</v>
      </c>
      <c r="AK408" s="62">
        <v>2333</v>
      </c>
      <c r="AL408" s="62">
        <v>2447</v>
      </c>
      <c r="AM408" s="62">
        <v>2243</v>
      </c>
      <c r="AN408" s="62">
        <v>1357</v>
      </c>
      <c r="AO408" s="62">
        <v>2346</v>
      </c>
      <c r="AP408" s="62">
        <v>1437</v>
      </c>
      <c r="AQ408" s="62">
        <v>1849</v>
      </c>
      <c r="AR408" s="62">
        <v>1848</v>
      </c>
      <c r="AS408" s="62">
        <v>1825</v>
      </c>
      <c r="AT408" s="62">
        <v>2040</v>
      </c>
      <c r="AU408" s="62">
        <v>2291</v>
      </c>
      <c r="AV408" s="220">
        <v>2448</v>
      </c>
      <c r="AW408" s="62">
        <v>2131.4528258618802</v>
      </c>
      <c r="AX408" s="62">
        <v>2412.4965668048553</v>
      </c>
      <c r="AY408" s="62">
        <v>2204.6519446782781</v>
      </c>
      <c r="AZ408" s="62">
        <v>2467.8984118211065</v>
      </c>
      <c r="BA408" s="62">
        <v>2253.2380522886192</v>
      </c>
      <c r="BB408" s="62">
        <v>2539.0580512106631</v>
      </c>
      <c r="BC408" s="62">
        <v>2333.7529270383134</v>
      </c>
      <c r="BD408" s="62">
        <v>2651.1365708612348</v>
      </c>
      <c r="BE408" s="62">
        <v>2426.9004730541524</v>
      </c>
      <c r="BF408" s="62">
        <v>2758.2753307200555</v>
      </c>
      <c r="BG408" s="62">
        <v>2538.4413554004905</v>
      </c>
      <c r="BH408" s="62">
        <v>2878.5484347159668</v>
      </c>
      <c r="BI408" s="62">
        <v>2648.7050050294324</v>
      </c>
      <c r="BJ408" s="62">
        <v>3007.6220551153056</v>
      </c>
      <c r="BK408" s="62">
        <v>2774.1407687224764</v>
      </c>
      <c r="BL408" s="62">
        <v>3168.3119133428104</v>
      </c>
      <c r="BM408" s="62">
        <v>2908.2417136702479</v>
      </c>
      <c r="BN408" s="62">
        <v>3299.2627052395046</v>
      </c>
      <c r="BO408" s="62">
        <v>3002.7617599791693</v>
      </c>
      <c r="BP408" s="62"/>
      <c r="BQ408" s="62">
        <v>2108.6999999999998</v>
      </c>
      <c r="BR408" s="62">
        <v>1875</v>
      </c>
      <c r="BS408" s="62">
        <v>1793</v>
      </c>
      <c r="BT408" s="62">
        <v>1754</v>
      </c>
      <c r="BU408" s="62">
        <v>1839</v>
      </c>
      <c r="BV408" s="62">
        <v>2110</v>
      </c>
      <c r="BW408" s="62">
        <v>2142</v>
      </c>
      <c r="BX408" s="62">
        <v>2377</v>
      </c>
      <c r="BY408" s="62">
        <v>2583</v>
      </c>
      <c r="BZ408" s="62">
        <v>2573</v>
      </c>
      <c r="CA408" s="62">
        <v>2890.5699999999997</v>
      </c>
      <c r="CB408" s="62">
        <v>3019.6800000000003</v>
      </c>
      <c r="CC408" s="62">
        <v>3514.94</v>
      </c>
      <c r="CD408" s="62">
        <v>3141.7799999999997</v>
      </c>
      <c r="CE408" s="62">
        <v>3387.5699999999997</v>
      </c>
      <c r="CF408" s="62">
        <v>3986.0699999999997</v>
      </c>
      <c r="CG408" s="62">
        <v>4425.46</v>
      </c>
      <c r="CH408" s="62">
        <v>4402.4799999999996</v>
      </c>
      <c r="CI408" s="62">
        <v>5062</v>
      </c>
      <c r="CJ408" s="62">
        <v>5385</v>
      </c>
      <c r="CK408" s="62">
        <v>5738</v>
      </c>
      <c r="CL408" s="62">
        <v>5619</v>
      </c>
      <c r="CM408" s="62">
        <v>5781</v>
      </c>
      <c r="CN408" s="62">
        <v>5921</v>
      </c>
      <c r="CO408" s="62">
        <v>5499</v>
      </c>
      <c r="CP408" s="62">
        <v>4941</v>
      </c>
      <c r="CQ408" s="62">
        <v>4853</v>
      </c>
      <c r="CR408" s="62">
        <v>4690</v>
      </c>
      <c r="CS408" s="62">
        <v>3703</v>
      </c>
      <c r="CT408" s="62">
        <v>3286</v>
      </c>
      <c r="CU408" s="62">
        <v>3673</v>
      </c>
      <c r="CV408" s="220">
        <v>4331</v>
      </c>
      <c r="CW408" s="62">
        <v>4579.4528258618802</v>
      </c>
      <c r="CX408" s="62">
        <v>4617.1485114831339</v>
      </c>
      <c r="CY408" s="62">
        <v>4721.1364641097261</v>
      </c>
      <c r="CZ408" s="62">
        <v>4872.8109782489764</v>
      </c>
      <c r="DA408" s="62">
        <v>5078.0370439153867</v>
      </c>
      <c r="DB408" s="62">
        <v>5296.716686120546</v>
      </c>
      <c r="DC408" s="62">
        <v>5527.2534397453992</v>
      </c>
      <c r="DD408" s="62">
        <v>5781.762823837782</v>
      </c>
      <c r="DE408" s="62">
        <v>6076.5536270130578</v>
      </c>
      <c r="DF408" s="62">
        <v>6302.0244652186739</v>
      </c>
    </row>
    <row r="409" spans="1:110" ht="12" hidden="1" outlineLevel="2">
      <c r="A409" s="1" t="s">
        <v>812</v>
      </c>
      <c r="B409" s="15" t="s">
        <v>857</v>
      </c>
      <c r="C409" s="41">
        <v>0</v>
      </c>
      <c r="D409" s="41">
        <v>0</v>
      </c>
      <c r="E409" s="41">
        <v>0</v>
      </c>
      <c r="F409" s="41">
        <v>0</v>
      </c>
      <c r="G409" s="41">
        <v>0</v>
      </c>
      <c r="H409" s="41">
        <v>0</v>
      </c>
      <c r="I409" s="41">
        <v>0</v>
      </c>
      <c r="J409" s="41">
        <v>0</v>
      </c>
      <c r="K409" s="41">
        <v>0</v>
      </c>
      <c r="L409" s="41">
        <v>0</v>
      </c>
      <c r="M409" s="41">
        <v>0</v>
      </c>
      <c r="N409" s="41">
        <v>0</v>
      </c>
      <c r="O409" s="41">
        <v>0</v>
      </c>
      <c r="P409" s="41">
        <v>0</v>
      </c>
      <c r="Q409" s="41">
        <v>0</v>
      </c>
      <c r="R409" s="41">
        <v>0</v>
      </c>
      <c r="S409" s="41">
        <v>0</v>
      </c>
      <c r="T409" s="41">
        <v>0</v>
      </c>
      <c r="U409" s="41">
        <v>0</v>
      </c>
      <c r="V409" s="41">
        <v>0</v>
      </c>
      <c r="W409" s="41">
        <v>0</v>
      </c>
      <c r="X409" s="41">
        <v>0</v>
      </c>
      <c r="Y409" s="41">
        <v>0</v>
      </c>
      <c r="Z409" s="41">
        <v>0</v>
      </c>
      <c r="AA409" s="41">
        <v>0</v>
      </c>
      <c r="AB409" s="41">
        <v>0</v>
      </c>
      <c r="AC409" s="41">
        <v>0</v>
      </c>
      <c r="AD409" s="41">
        <v>0</v>
      </c>
      <c r="AE409" s="41">
        <v>0</v>
      </c>
      <c r="AF409" s="41">
        <v>0</v>
      </c>
      <c r="AG409" s="41">
        <v>0</v>
      </c>
      <c r="AH409" s="41">
        <v>0</v>
      </c>
      <c r="AI409" s="41">
        <v>0</v>
      </c>
      <c r="AJ409" s="41">
        <v>0</v>
      </c>
      <c r="AK409" s="41">
        <v>0</v>
      </c>
      <c r="AL409" s="41">
        <v>0</v>
      </c>
      <c r="AM409" s="41">
        <v>0</v>
      </c>
      <c r="AN409" s="41">
        <v>0</v>
      </c>
      <c r="AO409" s="41">
        <v>0</v>
      </c>
      <c r="AP409" s="41">
        <v>0</v>
      </c>
      <c r="AQ409" s="41">
        <v>0</v>
      </c>
      <c r="AR409" s="41">
        <v>0</v>
      </c>
      <c r="AS409" s="41">
        <v>0</v>
      </c>
      <c r="AT409" s="41">
        <v>0</v>
      </c>
      <c r="AU409" s="41">
        <v>0</v>
      </c>
      <c r="AV409" s="211">
        <v>0</v>
      </c>
      <c r="AW409" s="41">
        <v>0</v>
      </c>
      <c r="AX409" s="41">
        <v>0</v>
      </c>
      <c r="AY409" s="41">
        <v>0</v>
      </c>
      <c r="AZ409" s="41">
        <v>0</v>
      </c>
      <c r="BA409" s="41">
        <v>0</v>
      </c>
      <c r="BB409" s="41">
        <v>0</v>
      </c>
      <c r="BC409" s="41">
        <v>0</v>
      </c>
      <c r="BD409" s="41">
        <v>0</v>
      </c>
      <c r="BE409" s="41">
        <v>0</v>
      </c>
      <c r="BF409" s="41">
        <v>0</v>
      </c>
      <c r="BG409" s="41">
        <v>0</v>
      </c>
      <c r="BH409" s="41">
        <v>0</v>
      </c>
      <c r="BI409" s="41">
        <v>0</v>
      </c>
      <c r="BJ409" s="41">
        <v>0</v>
      </c>
      <c r="BK409" s="41">
        <v>0</v>
      </c>
      <c r="BL409" s="41">
        <v>0</v>
      </c>
      <c r="BM409" s="41">
        <v>0</v>
      </c>
      <c r="BN409" s="41">
        <v>0</v>
      </c>
      <c r="BO409" s="41">
        <v>0</v>
      </c>
      <c r="BP409" s="41"/>
      <c r="BQ409" s="41">
        <v>0</v>
      </c>
      <c r="BR409" s="41">
        <v>0</v>
      </c>
      <c r="BS409" s="41">
        <v>0</v>
      </c>
      <c r="BT409" s="41">
        <v>0</v>
      </c>
      <c r="BU409" s="41">
        <v>0</v>
      </c>
      <c r="BV409" s="41">
        <v>0</v>
      </c>
      <c r="BW409" s="41">
        <v>0</v>
      </c>
      <c r="BX409" s="41">
        <v>0</v>
      </c>
      <c r="BY409" s="41">
        <v>0</v>
      </c>
      <c r="BZ409" s="41">
        <v>0</v>
      </c>
      <c r="CA409" s="41">
        <v>0</v>
      </c>
      <c r="CB409" s="41">
        <v>0</v>
      </c>
      <c r="CC409" s="41">
        <v>0</v>
      </c>
      <c r="CD409" s="41">
        <v>0</v>
      </c>
      <c r="CE409" s="41">
        <v>0</v>
      </c>
      <c r="CF409" s="41">
        <v>0</v>
      </c>
      <c r="CG409" s="41">
        <v>0</v>
      </c>
      <c r="CH409" s="41">
        <v>0</v>
      </c>
      <c r="CI409" s="41">
        <v>0</v>
      </c>
      <c r="CJ409" s="41">
        <v>0</v>
      </c>
      <c r="CK409" s="41">
        <v>0</v>
      </c>
      <c r="CL409" s="41">
        <v>0</v>
      </c>
      <c r="CM409" s="41">
        <v>0</v>
      </c>
      <c r="CN409" s="41">
        <v>0</v>
      </c>
      <c r="CO409" s="41">
        <v>0</v>
      </c>
      <c r="CP409" s="41">
        <v>0</v>
      </c>
      <c r="CQ409" s="41">
        <v>0</v>
      </c>
      <c r="CR409" s="41">
        <v>0</v>
      </c>
      <c r="CS409" s="41">
        <v>0</v>
      </c>
      <c r="CT409" s="41">
        <v>0</v>
      </c>
      <c r="CU409" s="41">
        <v>0</v>
      </c>
      <c r="CV409" s="211">
        <v>0</v>
      </c>
      <c r="CW409" s="41">
        <v>0</v>
      </c>
      <c r="CX409" s="41">
        <v>0</v>
      </c>
      <c r="CY409" s="41">
        <v>0</v>
      </c>
      <c r="CZ409" s="41">
        <v>0</v>
      </c>
      <c r="DA409" s="41">
        <v>0</v>
      </c>
      <c r="DB409" s="41">
        <v>0</v>
      </c>
      <c r="DC409" s="41">
        <v>0</v>
      </c>
      <c r="DD409" s="41">
        <v>0</v>
      </c>
      <c r="DE409" s="41">
        <v>0</v>
      </c>
      <c r="DF409" s="41">
        <v>0</v>
      </c>
    </row>
    <row r="410" spans="1:110" ht="12" hidden="1" outlineLevel="2">
      <c r="A410" s="1" t="s">
        <v>113</v>
      </c>
      <c r="B410" s="15" t="s">
        <v>370</v>
      </c>
      <c r="C410" s="40">
        <v>0</v>
      </c>
      <c r="D410" s="40">
        <v>0</v>
      </c>
      <c r="E410" s="40">
        <v>-92.12</v>
      </c>
      <c r="F410" s="40">
        <v>-101.42999999999999</v>
      </c>
      <c r="G410" s="40">
        <v>-96.039999999999992</v>
      </c>
      <c r="H410" s="40">
        <v>-97.02</v>
      </c>
      <c r="I410" s="40">
        <v>-122.99</v>
      </c>
      <c r="J410" s="40">
        <v>-92.12</v>
      </c>
      <c r="K410" s="40">
        <v>-91.63</v>
      </c>
      <c r="L410" s="40">
        <v>-109.75999999999999</v>
      </c>
      <c r="M410" s="40">
        <v>-106.33</v>
      </c>
      <c r="N410" s="40">
        <v>-125.44</v>
      </c>
      <c r="O410" s="40">
        <v>-106.82</v>
      </c>
      <c r="P410" s="40">
        <v>-115.64</v>
      </c>
      <c r="Q410" s="40">
        <v>-113.67999999999999</v>
      </c>
      <c r="R410" s="40">
        <v>-120.53999999999999</v>
      </c>
      <c r="S410" s="40">
        <v>-109.27</v>
      </c>
      <c r="T410" s="40">
        <v>0</v>
      </c>
      <c r="U410" s="40">
        <v>0</v>
      </c>
      <c r="V410" s="40">
        <v>0</v>
      </c>
      <c r="W410" s="40">
        <v>0</v>
      </c>
      <c r="X410" s="40">
        <v>0</v>
      </c>
      <c r="Y410" s="40">
        <v>0</v>
      </c>
      <c r="Z410" s="141">
        <v>0</v>
      </c>
      <c r="AA410" s="141">
        <v>0</v>
      </c>
      <c r="AB410" s="141">
        <v>0</v>
      </c>
      <c r="AC410" s="141">
        <v>0</v>
      </c>
      <c r="AD410" s="141">
        <v>0</v>
      </c>
      <c r="AE410" s="141">
        <v>0</v>
      </c>
      <c r="AF410" s="141">
        <v>0</v>
      </c>
      <c r="AG410" s="141">
        <v>0</v>
      </c>
      <c r="AH410" s="141">
        <v>0</v>
      </c>
      <c r="AI410" s="141">
        <v>0</v>
      </c>
      <c r="AJ410" s="141">
        <v>0</v>
      </c>
      <c r="AK410" s="141">
        <v>0</v>
      </c>
      <c r="AL410" s="141">
        <v>0</v>
      </c>
      <c r="AM410" s="141">
        <v>0</v>
      </c>
      <c r="AN410" s="141">
        <v>0</v>
      </c>
      <c r="AO410" s="141">
        <v>0</v>
      </c>
      <c r="AP410" s="141">
        <v>0</v>
      </c>
      <c r="AQ410" s="141">
        <v>0</v>
      </c>
      <c r="AR410" s="141">
        <v>0</v>
      </c>
      <c r="AS410" s="141">
        <v>0</v>
      </c>
      <c r="AT410" s="141">
        <v>0</v>
      </c>
      <c r="AU410" s="141">
        <v>0</v>
      </c>
      <c r="AV410" s="226">
        <v>0</v>
      </c>
      <c r="AW410" s="210">
        <v>0</v>
      </c>
      <c r="AX410" s="210">
        <v>0</v>
      </c>
      <c r="AY410" s="210">
        <v>0</v>
      </c>
      <c r="AZ410" s="210">
        <v>0</v>
      </c>
      <c r="BA410" s="210">
        <v>0</v>
      </c>
      <c r="BB410" s="210">
        <v>0</v>
      </c>
      <c r="BC410" s="210">
        <v>0</v>
      </c>
      <c r="BD410" s="210">
        <v>0</v>
      </c>
      <c r="BE410" s="210">
        <v>0</v>
      </c>
      <c r="BF410" s="210">
        <v>0</v>
      </c>
      <c r="BG410" s="210">
        <v>0</v>
      </c>
      <c r="BH410" s="210">
        <v>0</v>
      </c>
      <c r="BI410" s="210">
        <v>0</v>
      </c>
      <c r="BJ410" s="210">
        <v>0</v>
      </c>
      <c r="BK410" s="210">
        <v>0</v>
      </c>
      <c r="BL410" s="210">
        <v>0</v>
      </c>
      <c r="BM410" s="210">
        <v>0</v>
      </c>
      <c r="BN410" s="210">
        <v>0</v>
      </c>
      <c r="BO410" s="210">
        <v>0</v>
      </c>
      <c r="BP410" s="41"/>
      <c r="BQ410" s="40">
        <v>0</v>
      </c>
      <c r="BR410" s="40">
        <v>0</v>
      </c>
      <c r="BS410" s="40">
        <v>0</v>
      </c>
      <c r="BT410" s="40">
        <v>0</v>
      </c>
      <c r="BU410" s="40">
        <v>0</v>
      </c>
      <c r="BV410" s="40">
        <v>0</v>
      </c>
      <c r="BW410" s="40">
        <v>0</v>
      </c>
      <c r="BX410" s="40">
        <v>0</v>
      </c>
      <c r="BY410" s="40">
        <v>0</v>
      </c>
      <c r="BZ410" s="40">
        <v>0</v>
      </c>
      <c r="CA410" s="41">
        <v>-92.12</v>
      </c>
      <c r="CB410" s="41">
        <v>-197.46999999999997</v>
      </c>
      <c r="CC410" s="41">
        <v>-220.01</v>
      </c>
      <c r="CD410" s="41">
        <v>-183.75</v>
      </c>
      <c r="CE410" s="41">
        <v>-216.08999999999997</v>
      </c>
      <c r="CF410" s="41">
        <v>-232.26</v>
      </c>
      <c r="CG410" s="41">
        <v>-229.32</v>
      </c>
      <c r="CH410" s="41">
        <v>-229.81</v>
      </c>
      <c r="CI410" s="41">
        <v>0</v>
      </c>
      <c r="CJ410" s="41">
        <v>0</v>
      </c>
      <c r="CK410" s="41">
        <v>0</v>
      </c>
      <c r="CL410" s="41">
        <v>0</v>
      </c>
      <c r="CM410" s="41">
        <v>0</v>
      </c>
      <c r="CN410" s="41">
        <v>0</v>
      </c>
      <c r="CO410" s="41">
        <v>0</v>
      </c>
      <c r="CP410" s="41">
        <v>0</v>
      </c>
      <c r="CQ410" s="41">
        <v>0</v>
      </c>
      <c r="CR410" s="41">
        <v>0</v>
      </c>
      <c r="CS410" s="41">
        <v>0</v>
      </c>
      <c r="CT410" s="41">
        <v>0</v>
      </c>
      <c r="CU410" s="41">
        <v>0</v>
      </c>
      <c r="CV410" s="211">
        <v>0</v>
      </c>
      <c r="CW410" s="41">
        <v>0</v>
      </c>
      <c r="CX410" s="41">
        <v>0</v>
      </c>
      <c r="CY410" s="41">
        <v>0</v>
      </c>
      <c r="CZ410" s="41">
        <v>0</v>
      </c>
      <c r="DA410" s="41">
        <v>0</v>
      </c>
      <c r="DB410" s="41">
        <v>0</v>
      </c>
      <c r="DC410" s="41">
        <v>0</v>
      </c>
      <c r="DD410" s="41">
        <v>0</v>
      </c>
      <c r="DE410" s="41">
        <v>0</v>
      </c>
      <c r="DF410" s="41">
        <v>0</v>
      </c>
    </row>
    <row r="411" spans="1:110" ht="12" hidden="1" outlineLevel="2">
      <c r="A411" s="1" t="s">
        <v>114</v>
      </c>
      <c r="B411" s="15" t="s">
        <v>371</v>
      </c>
      <c r="C411" s="40">
        <v>0</v>
      </c>
      <c r="D411" s="40">
        <v>0</v>
      </c>
      <c r="E411" s="40">
        <v>0</v>
      </c>
      <c r="F411" s="40">
        <v>0</v>
      </c>
      <c r="G411" s="40">
        <v>0</v>
      </c>
      <c r="H411" s="40">
        <v>0</v>
      </c>
      <c r="I411" s="40">
        <v>0</v>
      </c>
      <c r="J411" s="40">
        <v>0</v>
      </c>
      <c r="K411" s="40">
        <v>0</v>
      </c>
      <c r="L411" s="40">
        <v>0</v>
      </c>
      <c r="M411" s="40">
        <v>0</v>
      </c>
      <c r="N411" s="40">
        <v>0</v>
      </c>
      <c r="O411" s="40">
        <v>0</v>
      </c>
      <c r="P411" s="40">
        <v>-45</v>
      </c>
      <c r="Q411" s="40">
        <v>-111</v>
      </c>
      <c r="R411" s="40">
        <v>-92</v>
      </c>
      <c r="S411" s="40">
        <v>10</v>
      </c>
      <c r="T411" s="40">
        <v>-17</v>
      </c>
      <c r="U411" s="40">
        <v>-17</v>
      </c>
      <c r="V411" s="40">
        <v>0</v>
      </c>
      <c r="W411" s="40">
        <v>0</v>
      </c>
      <c r="X411" s="40">
        <v>0</v>
      </c>
      <c r="Y411" s="40">
        <v>0</v>
      </c>
      <c r="Z411" s="141">
        <v>0</v>
      </c>
      <c r="AA411" s="141">
        <v>0</v>
      </c>
      <c r="AB411" s="141">
        <v>0</v>
      </c>
      <c r="AC411" s="141">
        <v>0</v>
      </c>
      <c r="AD411" s="141">
        <v>0</v>
      </c>
      <c r="AE411" s="141">
        <v>0</v>
      </c>
      <c r="AF411" s="141">
        <v>0</v>
      </c>
      <c r="AG411" s="141">
        <v>0</v>
      </c>
      <c r="AH411" s="141">
        <v>0</v>
      </c>
      <c r="AI411" s="141">
        <v>0</v>
      </c>
      <c r="AJ411" s="141">
        <v>0</v>
      </c>
      <c r="AK411" s="141">
        <v>0</v>
      </c>
      <c r="AL411" s="141">
        <v>0</v>
      </c>
      <c r="AM411" s="141">
        <v>0</v>
      </c>
      <c r="AN411" s="141">
        <v>0</v>
      </c>
      <c r="AO411" s="141">
        <v>0</v>
      </c>
      <c r="AP411" s="141">
        <v>0</v>
      </c>
      <c r="AQ411" s="141">
        <v>0</v>
      </c>
      <c r="AR411" s="141">
        <v>0</v>
      </c>
      <c r="AS411" s="141">
        <v>0</v>
      </c>
      <c r="AT411" s="141">
        <v>0</v>
      </c>
      <c r="AU411" s="141">
        <v>0</v>
      </c>
      <c r="AV411" s="226">
        <v>0</v>
      </c>
      <c r="AW411" s="210">
        <v>0</v>
      </c>
      <c r="AX411" s="210">
        <v>0</v>
      </c>
      <c r="AY411" s="210">
        <v>0</v>
      </c>
      <c r="AZ411" s="210">
        <v>0</v>
      </c>
      <c r="BA411" s="210">
        <v>0</v>
      </c>
      <c r="BB411" s="210">
        <v>0</v>
      </c>
      <c r="BC411" s="210">
        <v>0</v>
      </c>
      <c r="BD411" s="210">
        <v>0</v>
      </c>
      <c r="BE411" s="210">
        <v>0</v>
      </c>
      <c r="BF411" s="210">
        <v>0</v>
      </c>
      <c r="BG411" s="210">
        <v>0</v>
      </c>
      <c r="BH411" s="210">
        <v>0</v>
      </c>
      <c r="BI411" s="210">
        <v>0</v>
      </c>
      <c r="BJ411" s="210">
        <v>0</v>
      </c>
      <c r="BK411" s="210">
        <v>0</v>
      </c>
      <c r="BL411" s="210">
        <v>0</v>
      </c>
      <c r="BM411" s="210">
        <v>0</v>
      </c>
      <c r="BN411" s="210">
        <v>0</v>
      </c>
      <c r="BO411" s="210">
        <v>0</v>
      </c>
      <c r="BP411" s="41"/>
      <c r="BQ411" s="40">
        <v>0</v>
      </c>
      <c r="BR411" s="40">
        <v>0</v>
      </c>
      <c r="BS411" s="40">
        <v>0</v>
      </c>
      <c r="BT411" s="40">
        <v>0</v>
      </c>
      <c r="BU411" s="40">
        <v>0</v>
      </c>
      <c r="BV411" s="40">
        <v>0</v>
      </c>
      <c r="BW411" s="40">
        <v>0</v>
      </c>
      <c r="BX411" s="40">
        <v>0</v>
      </c>
      <c r="BY411" s="40">
        <v>0</v>
      </c>
      <c r="BZ411" s="40">
        <v>0</v>
      </c>
      <c r="CA411" s="41">
        <v>0</v>
      </c>
      <c r="CB411" s="41">
        <v>0</v>
      </c>
      <c r="CC411" s="41">
        <v>0</v>
      </c>
      <c r="CD411" s="41">
        <v>0</v>
      </c>
      <c r="CE411" s="41">
        <v>0</v>
      </c>
      <c r="CF411" s="41">
        <v>0</v>
      </c>
      <c r="CG411" s="41">
        <v>-156</v>
      </c>
      <c r="CH411" s="41">
        <v>-82</v>
      </c>
      <c r="CI411" s="41">
        <v>-34</v>
      </c>
      <c r="CJ411" s="41">
        <v>0</v>
      </c>
      <c r="CK411" s="41">
        <v>0</v>
      </c>
      <c r="CL411" s="41">
        <v>0</v>
      </c>
      <c r="CM411" s="41">
        <v>0</v>
      </c>
      <c r="CN411" s="41">
        <v>0</v>
      </c>
      <c r="CO411" s="41">
        <v>0</v>
      </c>
      <c r="CP411" s="41">
        <v>0</v>
      </c>
      <c r="CQ411" s="41">
        <v>0</v>
      </c>
      <c r="CR411" s="41">
        <v>0</v>
      </c>
      <c r="CS411" s="41">
        <v>0</v>
      </c>
      <c r="CT411" s="41">
        <v>0</v>
      </c>
      <c r="CU411" s="41">
        <v>0</v>
      </c>
      <c r="CV411" s="211">
        <v>0</v>
      </c>
      <c r="CW411" s="41">
        <v>0</v>
      </c>
      <c r="CX411" s="41">
        <v>0</v>
      </c>
      <c r="CY411" s="41">
        <v>0</v>
      </c>
      <c r="CZ411" s="41">
        <v>0</v>
      </c>
      <c r="DA411" s="41">
        <v>0</v>
      </c>
      <c r="DB411" s="41">
        <v>0</v>
      </c>
      <c r="DC411" s="41">
        <v>0</v>
      </c>
      <c r="DD411" s="41">
        <v>0</v>
      </c>
      <c r="DE411" s="41">
        <v>0</v>
      </c>
      <c r="DF411" s="41">
        <v>0</v>
      </c>
    </row>
    <row r="412" spans="1:110" ht="12" hidden="1" outlineLevel="2">
      <c r="A412" s="1" t="s">
        <v>115</v>
      </c>
      <c r="B412" s="15" t="s">
        <v>361</v>
      </c>
      <c r="C412" s="40">
        <v>0</v>
      </c>
      <c r="D412" s="40">
        <v>0</v>
      </c>
      <c r="E412" s="40">
        <v>-2.4500000000000002</v>
      </c>
      <c r="F412" s="40">
        <v>0</v>
      </c>
      <c r="G412" s="40">
        <v>-14.209999999999999</v>
      </c>
      <c r="H412" s="40">
        <v>-13.23</v>
      </c>
      <c r="I412" s="40">
        <v>-14.7</v>
      </c>
      <c r="J412" s="40">
        <v>-7.35</v>
      </c>
      <c r="K412" s="40">
        <v>-15.68</v>
      </c>
      <c r="L412" s="40">
        <v>-8.82</v>
      </c>
      <c r="M412" s="40">
        <v>-16.66</v>
      </c>
      <c r="N412" s="40">
        <v>-7.84</v>
      </c>
      <c r="O412" s="40">
        <v>-25.97</v>
      </c>
      <c r="P412" s="40">
        <v>-22.05</v>
      </c>
      <c r="Q412" s="40">
        <v>-20.09</v>
      </c>
      <c r="R412" s="40">
        <v>-20.58</v>
      </c>
      <c r="S412" s="40">
        <v>-20.09</v>
      </c>
      <c r="T412" s="40">
        <v>0</v>
      </c>
      <c r="U412" s="40">
        <v>0</v>
      </c>
      <c r="V412" s="40">
        <v>0</v>
      </c>
      <c r="W412" s="40">
        <v>0</v>
      </c>
      <c r="X412" s="40">
        <v>0</v>
      </c>
      <c r="Y412" s="40">
        <v>0</v>
      </c>
      <c r="Z412" s="141">
        <v>0</v>
      </c>
      <c r="AA412" s="141">
        <v>0</v>
      </c>
      <c r="AB412" s="141">
        <v>0</v>
      </c>
      <c r="AC412" s="141">
        <v>0</v>
      </c>
      <c r="AD412" s="141">
        <v>0</v>
      </c>
      <c r="AE412" s="141">
        <v>0</v>
      </c>
      <c r="AF412" s="141">
        <v>0</v>
      </c>
      <c r="AG412" s="141">
        <v>0</v>
      </c>
      <c r="AH412" s="141">
        <v>0</v>
      </c>
      <c r="AI412" s="141">
        <v>0</v>
      </c>
      <c r="AJ412" s="141">
        <v>0</v>
      </c>
      <c r="AK412" s="141">
        <v>0</v>
      </c>
      <c r="AL412" s="141">
        <v>0</v>
      </c>
      <c r="AM412" s="141">
        <v>0</v>
      </c>
      <c r="AN412" s="141">
        <v>0</v>
      </c>
      <c r="AO412" s="141">
        <v>0</v>
      </c>
      <c r="AP412" s="141">
        <v>0</v>
      </c>
      <c r="AQ412" s="141">
        <v>0</v>
      </c>
      <c r="AR412" s="141">
        <v>0</v>
      </c>
      <c r="AS412" s="141">
        <v>0</v>
      </c>
      <c r="AT412" s="141">
        <v>0</v>
      </c>
      <c r="AU412" s="141">
        <v>0</v>
      </c>
      <c r="AV412" s="226">
        <v>0</v>
      </c>
      <c r="AW412" s="210">
        <v>0</v>
      </c>
      <c r="AX412" s="210">
        <v>0</v>
      </c>
      <c r="AY412" s="210">
        <v>0</v>
      </c>
      <c r="AZ412" s="210">
        <v>0</v>
      </c>
      <c r="BA412" s="210">
        <v>0</v>
      </c>
      <c r="BB412" s="210">
        <v>0</v>
      </c>
      <c r="BC412" s="210">
        <v>0</v>
      </c>
      <c r="BD412" s="210">
        <v>0</v>
      </c>
      <c r="BE412" s="210">
        <v>0</v>
      </c>
      <c r="BF412" s="210">
        <v>0</v>
      </c>
      <c r="BG412" s="210">
        <v>0</v>
      </c>
      <c r="BH412" s="210">
        <v>0</v>
      </c>
      <c r="BI412" s="210">
        <v>0</v>
      </c>
      <c r="BJ412" s="210">
        <v>0</v>
      </c>
      <c r="BK412" s="210">
        <v>0</v>
      </c>
      <c r="BL412" s="210">
        <v>0</v>
      </c>
      <c r="BM412" s="210">
        <v>0</v>
      </c>
      <c r="BN412" s="210">
        <v>0</v>
      </c>
      <c r="BO412" s="210">
        <v>0</v>
      </c>
      <c r="BP412" s="41"/>
      <c r="BQ412" s="40">
        <v>0</v>
      </c>
      <c r="BR412" s="40">
        <v>0</v>
      </c>
      <c r="BS412" s="40">
        <v>0</v>
      </c>
      <c r="BT412" s="40">
        <v>0</v>
      </c>
      <c r="BU412" s="40">
        <v>0</v>
      </c>
      <c r="BV412" s="40">
        <v>0</v>
      </c>
      <c r="BW412" s="40">
        <v>0</v>
      </c>
      <c r="BX412" s="40">
        <v>0</v>
      </c>
      <c r="BY412" s="40">
        <v>0</v>
      </c>
      <c r="BZ412" s="40">
        <v>0</v>
      </c>
      <c r="CA412" s="41">
        <v>-2.4500000000000002</v>
      </c>
      <c r="CB412" s="41">
        <v>-14.209999999999999</v>
      </c>
      <c r="CC412" s="41">
        <v>-27.93</v>
      </c>
      <c r="CD412" s="41">
        <v>-23.03</v>
      </c>
      <c r="CE412" s="41">
        <v>-25.48</v>
      </c>
      <c r="CF412" s="41">
        <v>-33.81</v>
      </c>
      <c r="CG412" s="41">
        <v>-42.14</v>
      </c>
      <c r="CH412" s="41">
        <v>-40.67</v>
      </c>
      <c r="CI412" s="41">
        <v>0</v>
      </c>
      <c r="CJ412" s="41">
        <v>0</v>
      </c>
      <c r="CK412" s="41">
        <v>0</v>
      </c>
      <c r="CL412" s="41">
        <v>0</v>
      </c>
      <c r="CM412" s="41">
        <v>0</v>
      </c>
      <c r="CN412" s="41">
        <v>0</v>
      </c>
      <c r="CO412" s="41">
        <v>0</v>
      </c>
      <c r="CP412" s="41">
        <v>0</v>
      </c>
      <c r="CQ412" s="41">
        <v>0</v>
      </c>
      <c r="CR412" s="41">
        <v>0</v>
      </c>
      <c r="CS412" s="41">
        <v>0</v>
      </c>
      <c r="CT412" s="41">
        <v>0</v>
      </c>
      <c r="CU412" s="41">
        <v>0</v>
      </c>
      <c r="CV412" s="211">
        <v>0</v>
      </c>
      <c r="CW412" s="41">
        <v>0</v>
      </c>
      <c r="CX412" s="41">
        <v>0</v>
      </c>
      <c r="CY412" s="41">
        <v>0</v>
      </c>
      <c r="CZ412" s="41">
        <v>0</v>
      </c>
      <c r="DA412" s="41">
        <v>0</v>
      </c>
      <c r="DB412" s="41">
        <v>0</v>
      </c>
      <c r="DC412" s="41">
        <v>0</v>
      </c>
      <c r="DD412" s="41">
        <v>0</v>
      </c>
      <c r="DE412" s="41">
        <v>0</v>
      </c>
      <c r="DF412" s="41">
        <v>0</v>
      </c>
    </row>
    <row r="413" spans="1:110" ht="12" hidden="1" outlineLevel="2">
      <c r="A413" s="1" t="s">
        <v>116</v>
      </c>
      <c r="B413" s="15" t="s">
        <v>425</v>
      </c>
      <c r="C413" s="40">
        <v>0</v>
      </c>
      <c r="D413" s="40">
        <v>0</v>
      </c>
      <c r="E413" s="40">
        <v>0</v>
      </c>
      <c r="F413" s="40">
        <v>0</v>
      </c>
      <c r="G413" s="40">
        <v>0</v>
      </c>
      <c r="H413" s="40">
        <v>0</v>
      </c>
      <c r="I413" s="40">
        <v>0</v>
      </c>
      <c r="J413" s="40">
        <v>0</v>
      </c>
      <c r="K413" s="40">
        <v>0</v>
      </c>
      <c r="L413" s="40">
        <v>0</v>
      </c>
      <c r="M413" s="40">
        <v>0</v>
      </c>
      <c r="N413" s="40">
        <v>0</v>
      </c>
      <c r="O413" s="40">
        <v>0</v>
      </c>
      <c r="P413" s="40">
        <v>-77</v>
      </c>
      <c r="Q413" s="40">
        <v>519</v>
      </c>
      <c r="R413" s="40">
        <v>1155</v>
      </c>
      <c r="S413" s="40">
        <v>-728</v>
      </c>
      <c r="T413" s="40">
        <v>-82</v>
      </c>
      <c r="U413" s="40">
        <v>-26</v>
      </c>
      <c r="V413" s="40">
        <v>0</v>
      </c>
      <c r="W413" s="40">
        <v>0</v>
      </c>
      <c r="X413" s="40">
        <v>0</v>
      </c>
      <c r="Y413" s="40">
        <v>0</v>
      </c>
      <c r="Z413" s="141">
        <v>0</v>
      </c>
      <c r="AA413" s="141">
        <v>0</v>
      </c>
      <c r="AB413" s="141">
        <v>0</v>
      </c>
      <c r="AC413" s="141">
        <v>0</v>
      </c>
      <c r="AD413" s="141">
        <v>0</v>
      </c>
      <c r="AE413" s="141">
        <v>0</v>
      </c>
      <c r="AF413" s="141">
        <v>0</v>
      </c>
      <c r="AG413" s="141">
        <v>0</v>
      </c>
      <c r="AH413" s="141">
        <v>0</v>
      </c>
      <c r="AI413" s="141">
        <v>0</v>
      </c>
      <c r="AJ413" s="141">
        <v>0</v>
      </c>
      <c r="AK413" s="141">
        <v>0</v>
      </c>
      <c r="AL413" s="141">
        <v>0</v>
      </c>
      <c r="AM413" s="141">
        <v>0</v>
      </c>
      <c r="AN413" s="141">
        <v>0</v>
      </c>
      <c r="AO413" s="141">
        <v>0</v>
      </c>
      <c r="AP413" s="141">
        <v>0</v>
      </c>
      <c r="AQ413" s="141">
        <v>0</v>
      </c>
      <c r="AR413" s="141">
        <v>0</v>
      </c>
      <c r="AS413" s="141">
        <v>0</v>
      </c>
      <c r="AT413" s="141">
        <v>0</v>
      </c>
      <c r="AU413" s="141">
        <v>0</v>
      </c>
      <c r="AV413" s="226">
        <v>0</v>
      </c>
      <c r="AW413" s="210">
        <v>0</v>
      </c>
      <c r="AX413" s="210">
        <v>0</v>
      </c>
      <c r="AY413" s="210">
        <v>0</v>
      </c>
      <c r="AZ413" s="210">
        <v>0</v>
      </c>
      <c r="BA413" s="210">
        <v>0</v>
      </c>
      <c r="BB413" s="210">
        <v>0</v>
      </c>
      <c r="BC413" s="210">
        <v>0</v>
      </c>
      <c r="BD413" s="210">
        <v>0</v>
      </c>
      <c r="BE413" s="210">
        <v>0</v>
      </c>
      <c r="BF413" s="210">
        <v>0</v>
      </c>
      <c r="BG413" s="210">
        <v>0</v>
      </c>
      <c r="BH413" s="210">
        <v>0</v>
      </c>
      <c r="BI413" s="210">
        <v>0</v>
      </c>
      <c r="BJ413" s="210">
        <v>0</v>
      </c>
      <c r="BK413" s="210">
        <v>0</v>
      </c>
      <c r="BL413" s="210">
        <v>0</v>
      </c>
      <c r="BM413" s="210">
        <v>0</v>
      </c>
      <c r="BN413" s="210">
        <v>0</v>
      </c>
      <c r="BO413" s="210">
        <v>0</v>
      </c>
      <c r="BP413" s="41"/>
      <c r="BQ413" s="40">
        <v>0</v>
      </c>
      <c r="BR413" s="40">
        <v>0</v>
      </c>
      <c r="BS413" s="40">
        <v>0</v>
      </c>
      <c r="BT413" s="40">
        <v>0</v>
      </c>
      <c r="BU413" s="40">
        <v>0</v>
      </c>
      <c r="BV413" s="40">
        <v>0</v>
      </c>
      <c r="BW413" s="40">
        <v>0</v>
      </c>
      <c r="BX413" s="40">
        <v>0</v>
      </c>
      <c r="BY413" s="40">
        <v>0</v>
      </c>
      <c r="BZ413" s="40">
        <v>0</v>
      </c>
      <c r="CA413" s="41">
        <v>0</v>
      </c>
      <c r="CB413" s="41">
        <v>0</v>
      </c>
      <c r="CC413" s="41">
        <v>0</v>
      </c>
      <c r="CD413" s="41">
        <v>0</v>
      </c>
      <c r="CE413" s="41">
        <v>0</v>
      </c>
      <c r="CF413" s="41">
        <v>0</v>
      </c>
      <c r="CG413" s="41">
        <v>442</v>
      </c>
      <c r="CH413" s="41">
        <v>427</v>
      </c>
      <c r="CI413" s="41">
        <v>-108</v>
      </c>
      <c r="CJ413" s="41">
        <v>0</v>
      </c>
      <c r="CK413" s="41">
        <v>0</v>
      </c>
      <c r="CL413" s="41">
        <v>0</v>
      </c>
      <c r="CM413" s="41">
        <v>0</v>
      </c>
      <c r="CN413" s="41">
        <v>0</v>
      </c>
      <c r="CO413" s="41">
        <v>0</v>
      </c>
      <c r="CP413" s="41">
        <v>0</v>
      </c>
      <c r="CQ413" s="41">
        <v>0</v>
      </c>
      <c r="CR413" s="41">
        <v>0</v>
      </c>
      <c r="CS413" s="41">
        <v>0</v>
      </c>
      <c r="CT413" s="41">
        <v>0</v>
      </c>
      <c r="CU413" s="41">
        <v>0</v>
      </c>
      <c r="CV413" s="211">
        <v>0</v>
      </c>
      <c r="CW413" s="41">
        <v>0</v>
      </c>
      <c r="CX413" s="41">
        <v>0</v>
      </c>
      <c r="CY413" s="41">
        <v>0</v>
      </c>
      <c r="CZ413" s="41">
        <v>0</v>
      </c>
      <c r="DA413" s="41">
        <v>0</v>
      </c>
      <c r="DB413" s="41">
        <v>0</v>
      </c>
      <c r="DC413" s="41">
        <v>0</v>
      </c>
      <c r="DD413" s="41">
        <v>0</v>
      </c>
      <c r="DE413" s="41">
        <v>0</v>
      </c>
      <c r="DF413" s="41">
        <v>0</v>
      </c>
    </row>
    <row r="414" spans="1:110" s="17" customFormat="1" ht="12" hidden="1" outlineLevel="2">
      <c r="A414" s="1" t="s">
        <v>117</v>
      </c>
      <c r="B414" s="17" t="s">
        <v>581</v>
      </c>
      <c r="C414" s="61">
        <v>1333</v>
      </c>
      <c r="D414" s="61">
        <v>1409</v>
      </c>
      <c r="E414" s="61">
        <v>1387</v>
      </c>
      <c r="F414" s="61">
        <v>1352</v>
      </c>
      <c r="G414" s="61">
        <v>1456</v>
      </c>
      <c r="H414" s="61">
        <v>1573</v>
      </c>
      <c r="I414" s="61">
        <v>1694</v>
      </c>
      <c r="J414" s="61">
        <v>1407</v>
      </c>
      <c r="K414" s="61">
        <v>1528</v>
      </c>
      <c r="L414" s="61">
        <v>1563</v>
      </c>
      <c r="M414" s="61">
        <v>1583</v>
      </c>
      <c r="N414" s="61">
        <v>1770</v>
      </c>
      <c r="O414" s="61">
        <v>1950</v>
      </c>
      <c r="P414" s="61">
        <v>2199</v>
      </c>
      <c r="Q414" s="61">
        <v>2241</v>
      </c>
      <c r="R414" s="61">
        <v>2218</v>
      </c>
      <c r="S414" s="61">
        <v>2259</v>
      </c>
      <c r="T414" s="61">
        <v>2328</v>
      </c>
      <c r="U414" s="61">
        <v>2592</v>
      </c>
      <c r="V414" s="61">
        <v>2856</v>
      </c>
      <c r="W414" s="61">
        <v>2529</v>
      </c>
      <c r="X414" s="61">
        <v>2736</v>
      </c>
      <c r="Y414" s="61">
        <v>3002</v>
      </c>
      <c r="Z414" s="194">
        <v>2856</v>
      </c>
      <c r="AA414" s="194">
        <v>2763</v>
      </c>
      <c r="AB414" s="194">
        <v>2904</v>
      </c>
      <c r="AC414" s="194">
        <v>2877</v>
      </c>
      <c r="AD414" s="194">
        <v>3057</v>
      </c>
      <c r="AE414" s="194">
        <v>2864</v>
      </c>
      <c r="AF414" s="194">
        <v>2757</v>
      </c>
      <c r="AG414" s="194">
        <v>2742</v>
      </c>
      <c r="AH414" s="194">
        <v>2557</v>
      </c>
      <c r="AI414" s="194">
        <v>2384</v>
      </c>
      <c r="AJ414" s="194">
        <v>2520</v>
      </c>
      <c r="AK414" s="194">
        <v>2333</v>
      </c>
      <c r="AL414" s="194">
        <v>2447</v>
      </c>
      <c r="AM414" s="194">
        <v>2243</v>
      </c>
      <c r="AN414" s="194">
        <v>1357</v>
      </c>
      <c r="AO414" s="194">
        <v>2346</v>
      </c>
      <c r="AP414" s="194">
        <v>1437</v>
      </c>
      <c r="AQ414" s="194">
        <v>1849</v>
      </c>
      <c r="AR414" s="194">
        <v>1848</v>
      </c>
      <c r="AS414" s="194">
        <v>1825</v>
      </c>
      <c r="AT414" s="194">
        <v>2040</v>
      </c>
      <c r="AU414" s="194">
        <v>2291</v>
      </c>
      <c r="AV414" s="227">
        <v>2448</v>
      </c>
      <c r="AW414" s="62">
        <v>2131.4528258618802</v>
      </c>
      <c r="AX414" s="62">
        <v>2412.4965668048553</v>
      </c>
      <c r="AY414" s="62">
        <v>2204.6519446782781</v>
      </c>
      <c r="AZ414" s="62">
        <v>2467.8984118211065</v>
      </c>
      <c r="BA414" s="62">
        <v>2253.2380522886192</v>
      </c>
      <c r="BB414" s="62">
        <v>2539.0580512106631</v>
      </c>
      <c r="BC414" s="62">
        <v>2333.7529270383134</v>
      </c>
      <c r="BD414" s="62">
        <v>2651.1365708612348</v>
      </c>
      <c r="BE414" s="62">
        <v>2426.9004730541524</v>
      </c>
      <c r="BF414" s="62">
        <v>2758.2753307200555</v>
      </c>
      <c r="BG414" s="62">
        <v>2538.4413554004905</v>
      </c>
      <c r="BH414" s="62">
        <v>2878.5484347159668</v>
      </c>
      <c r="BI414" s="62">
        <v>2648.7050050294324</v>
      </c>
      <c r="BJ414" s="62">
        <v>3007.6220551153056</v>
      </c>
      <c r="BK414" s="62">
        <v>2774.1407687224764</v>
      </c>
      <c r="BL414" s="62">
        <v>3168.3119133428104</v>
      </c>
      <c r="BM414" s="62">
        <v>2908.2417136702479</v>
      </c>
      <c r="BN414" s="62">
        <v>3299.2627052395046</v>
      </c>
      <c r="BO414" s="62">
        <v>3002.7617599791693</v>
      </c>
      <c r="BP414" s="62"/>
      <c r="BQ414" s="61">
        <v>2108.6999999999998</v>
      </c>
      <c r="BR414" s="61">
        <v>1875</v>
      </c>
      <c r="BS414" s="61">
        <v>1793</v>
      </c>
      <c r="BT414" s="61">
        <v>1754</v>
      </c>
      <c r="BU414" s="61">
        <v>1839</v>
      </c>
      <c r="BV414" s="61">
        <v>2110</v>
      </c>
      <c r="BW414" s="61">
        <v>2142</v>
      </c>
      <c r="BX414" s="61">
        <v>2377</v>
      </c>
      <c r="BY414" s="61">
        <v>2583</v>
      </c>
      <c r="BZ414" s="61">
        <v>2573</v>
      </c>
      <c r="CA414" s="62">
        <v>2796</v>
      </c>
      <c r="CB414" s="62">
        <v>2808</v>
      </c>
      <c r="CC414" s="62">
        <v>3267</v>
      </c>
      <c r="CD414" s="62">
        <v>2935</v>
      </c>
      <c r="CE414" s="62">
        <v>3146</v>
      </c>
      <c r="CF414" s="62">
        <v>3720</v>
      </c>
      <c r="CG414" s="62">
        <v>4440</v>
      </c>
      <c r="CH414" s="62">
        <v>4477</v>
      </c>
      <c r="CI414" s="62">
        <v>4920</v>
      </c>
      <c r="CJ414" s="62">
        <v>5385</v>
      </c>
      <c r="CK414" s="62">
        <v>5738</v>
      </c>
      <c r="CL414" s="62">
        <v>5619</v>
      </c>
      <c r="CM414" s="62">
        <v>5781</v>
      </c>
      <c r="CN414" s="62">
        <v>5921</v>
      </c>
      <c r="CO414" s="62">
        <v>5499</v>
      </c>
      <c r="CP414" s="62">
        <v>4941</v>
      </c>
      <c r="CQ414" s="62">
        <v>4853</v>
      </c>
      <c r="CR414" s="62">
        <v>4690</v>
      </c>
      <c r="CS414" s="62">
        <v>3703</v>
      </c>
      <c r="CT414" s="62">
        <v>3286</v>
      </c>
      <c r="CU414" s="62">
        <v>3673</v>
      </c>
      <c r="CV414" s="220">
        <v>4331</v>
      </c>
      <c r="CW414" s="62">
        <v>4579.4528258618802</v>
      </c>
      <c r="CX414" s="62">
        <v>4617.1485114831339</v>
      </c>
      <c r="CY414" s="62">
        <v>4721.1364641097261</v>
      </c>
      <c r="CZ414" s="62">
        <v>4872.8109782489764</v>
      </c>
      <c r="DA414" s="62">
        <v>5078.0370439153867</v>
      </c>
      <c r="DB414" s="62">
        <v>5296.716686120546</v>
      </c>
      <c r="DC414" s="62">
        <v>5527.2534397453992</v>
      </c>
      <c r="DD414" s="62">
        <v>5781.762823837782</v>
      </c>
      <c r="DE414" s="62">
        <v>6076.5536270130578</v>
      </c>
      <c r="DF414" s="62">
        <v>6302.0244652186739</v>
      </c>
    </row>
    <row r="415" spans="1:110" ht="12" hidden="1" outlineLevel="2">
      <c r="A415" s="1" t="s">
        <v>118</v>
      </c>
      <c r="B415" s="15" t="s">
        <v>529</v>
      </c>
      <c r="C415" s="41">
        <v>0</v>
      </c>
      <c r="D415" s="41">
        <v>0</v>
      </c>
      <c r="E415" s="41">
        <v>174</v>
      </c>
      <c r="F415" s="41">
        <v>0</v>
      </c>
      <c r="G415" s="41">
        <v>0</v>
      </c>
      <c r="H415" s="41">
        <v>110</v>
      </c>
      <c r="I415" s="41">
        <v>0</v>
      </c>
      <c r="J415" s="41">
        <v>310</v>
      </c>
      <c r="K415" s="41">
        <v>333</v>
      </c>
      <c r="L415" s="41">
        <v>32</v>
      </c>
      <c r="M415" s="41">
        <v>31</v>
      </c>
      <c r="N415" s="41">
        <v>232</v>
      </c>
      <c r="O415" s="41">
        <v>86</v>
      </c>
      <c r="P415" s="41">
        <v>159</v>
      </c>
      <c r="Q415" s="41">
        <v>-290</v>
      </c>
      <c r="R415" s="41">
        <v>-473</v>
      </c>
      <c r="S415" s="41">
        <v>-282</v>
      </c>
      <c r="T415" s="41">
        <v>-347</v>
      </c>
      <c r="U415" s="41">
        <v>250</v>
      </c>
      <c r="V415" s="41">
        <v>103</v>
      </c>
      <c r="W415" s="41">
        <v>-56</v>
      </c>
      <c r="X415" s="41">
        <v>97</v>
      </c>
      <c r="Y415" s="41">
        <v>-234</v>
      </c>
      <c r="Z415" s="41">
        <v>-120</v>
      </c>
      <c r="AA415" s="41">
        <v>202</v>
      </c>
      <c r="AB415" s="41">
        <v>-148</v>
      </c>
      <c r="AC415" s="41">
        <v>611</v>
      </c>
      <c r="AD415" s="41">
        <v>45</v>
      </c>
      <c r="AE415" s="41">
        <v>508</v>
      </c>
      <c r="AF415" s="41">
        <v>-51</v>
      </c>
      <c r="AG415" s="41">
        <v>3</v>
      </c>
      <c r="AH415" s="41">
        <v>23</v>
      </c>
      <c r="AI415" s="41">
        <v>437</v>
      </c>
      <c r="AJ415" s="41">
        <v>138</v>
      </c>
      <c r="AK415" s="41">
        <v>560</v>
      </c>
      <c r="AL415" s="41">
        <v>-254</v>
      </c>
      <c r="AM415" s="41">
        <v>255</v>
      </c>
      <c r="AN415" s="41">
        <v>205</v>
      </c>
      <c r="AO415" s="41">
        <v>-366</v>
      </c>
      <c r="AP415" s="41">
        <v>-29</v>
      </c>
      <c r="AQ415" s="41">
        <v>29</v>
      </c>
      <c r="AR415" s="41">
        <v>594</v>
      </c>
      <c r="AS415" s="41">
        <v>285</v>
      </c>
      <c r="AT415" s="41">
        <v>-389</v>
      </c>
      <c r="AU415" s="41">
        <v>-45</v>
      </c>
      <c r="AV415" s="211">
        <v>-202</v>
      </c>
      <c r="AW415" s="210">
        <v>0</v>
      </c>
      <c r="AX415" s="210">
        <v>0</v>
      </c>
      <c r="AY415" s="210">
        <v>0</v>
      </c>
      <c r="AZ415" s="210">
        <v>0</v>
      </c>
      <c r="BA415" s="210">
        <v>0</v>
      </c>
      <c r="BB415" s="210">
        <v>0</v>
      </c>
      <c r="BC415" s="210">
        <v>0</v>
      </c>
      <c r="BD415" s="210">
        <v>0</v>
      </c>
      <c r="BE415" s="210">
        <v>0</v>
      </c>
      <c r="BF415" s="210">
        <v>0</v>
      </c>
      <c r="BG415" s="210">
        <v>0</v>
      </c>
      <c r="BH415" s="210">
        <v>0</v>
      </c>
      <c r="BI415" s="210">
        <v>0</v>
      </c>
      <c r="BJ415" s="210">
        <v>0</v>
      </c>
      <c r="BK415" s="210">
        <v>0</v>
      </c>
      <c r="BL415" s="210">
        <v>0</v>
      </c>
      <c r="BM415" s="210">
        <v>0</v>
      </c>
      <c r="BN415" s="210">
        <v>0</v>
      </c>
      <c r="BO415" s="210">
        <v>0</v>
      </c>
      <c r="BP415" s="41"/>
      <c r="BQ415" s="41">
        <v>11.699999999999818</v>
      </c>
      <c r="BR415" s="41">
        <v>-172.5</v>
      </c>
      <c r="BS415" s="41">
        <v>21</v>
      </c>
      <c r="BT415" s="41">
        <v>0</v>
      </c>
      <c r="BU415" s="41">
        <v>0</v>
      </c>
      <c r="BV415" s="41">
        <v>145</v>
      </c>
      <c r="BW415" s="41">
        <v>-70</v>
      </c>
      <c r="BX415" s="41">
        <v>0</v>
      </c>
      <c r="BY415" s="41">
        <v>1207</v>
      </c>
      <c r="BZ415" s="41">
        <v>0</v>
      </c>
      <c r="CA415" s="41">
        <v>174</v>
      </c>
      <c r="CB415" s="41">
        <v>0</v>
      </c>
      <c r="CC415" s="41">
        <v>110</v>
      </c>
      <c r="CD415" s="41">
        <v>643</v>
      </c>
      <c r="CE415" s="41">
        <v>63</v>
      </c>
      <c r="CF415" s="41">
        <v>318</v>
      </c>
      <c r="CG415" s="41">
        <v>-131</v>
      </c>
      <c r="CH415" s="41">
        <v>-755</v>
      </c>
      <c r="CI415" s="41">
        <v>-97</v>
      </c>
      <c r="CJ415" s="41">
        <v>47</v>
      </c>
      <c r="CK415" s="41">
        <v>-137</v>
      </c>
      <c r="CL415" s="41">
        <v>82</v>
      </c>
      <c r="CM415" s="41">
        <v>463</v>
      </c>
      <c r="CN415" s="41">
        <v>553</v>
      </c>
      <c r="CO415" s="41">
        <v>-48</v>
      </c>
      <c r="CP415" s="41">
        <v>460</v>
      </c>
      <c r="CQ415" s="41">
        <v>698</v>
      </c>
      <c r="CR415" s="41">
        <v>1</v>
      </c>
      <c r="CS415" s="41">
        <v>-161</v>
      </c>
      <c r="CT415" s="41">
        <v>0</v>
      </c>
      <c r="CU415" s="41">
        <v>879</v>
      </c>
      <c r="CV415" s="211">
        <v>-434</v>
      </c>
      <c r="CW415" s="41">
        <v>-202</v>
      </c>
      <c r="CX415" s="41">
        <v>0</v>
      </c>
      <c r="CY415" s="41">
        <v>0</v>
      </c>
      <c r="CZ415" s="41">
        <v>0</v>
      </c>
      <c r="DA415" s="41">
        <v>0</v>
      </c>
      <c r="DB415" s="41">
        <v>0</v>
      </c>
      <c r="DC415" s="41">
        <v>0</v>
      </c>
      <c r="DD415" s="41">
        <v>0</v>
      </c>
      <c r="DE415" s="41">
        <v>0</v>
      </c>
      <c r="DF415" s="41">
        <v>0</v>
      </c>
    </row>
    <row r="416" spans="1:110" s="17" customFormat="1" ht="12" hidden="1" outlineLevel="2">
      <c r="A416" s="1" t="s">
        <v>119</v>
      </c>
      <c r="B416" s="17" t="s">
        <v>716</v>
      </c>
      <c r="C416" s="61">
        <v>1333</v>
      </c>
      <c r="D416" s="61">
        <v>1409</v>
      </c>
      <c r="E416" s="61">
        <v>1561</v>
      </c>
      <c r="F416" s="61">
        <v>1352</v>
      </c>
      <c r="G416" s="61">
        <v>1456</v>
      </c>
      <c r="H416" s="61">
        <v>1683</v>
      </c>
      <c r="I416" s="61">
        <v>1694</v>
      </c>
      <c r="J416" s="61">
        <v>1717</v>
      </c>
      <c r="K416" s="61">
        <v>1861</v>
      </c>
      <c r="L416" s="61">
        <v>1595</v>
      </c>
      <c r="M416" s="61">
        <v>1614</v>
      </c>
      <c r="N416" s="61">
        <v>2002</v>
      </c>
      <c r="O416" s="61">
        <v>2036</v>
      </c>
      <c r="P416" s="61">
        <v>2358</v>
      </c>
      <c r="Q416" s="61">
        <v>1951</v>
      </c>
      <c r="R416" s="61">
        <v>1745</v>
      </c>
      <c r="S416" s="61">
        <v>1977</v>
      </c>
      <c r="T416" s="61">
        <v>1981</v>
      </c>
      <c r="U416" s="61">
        <v>2842</v>
      </c>
      <c r="V416" s="61">
        <v>2959</v>
      </c>
      <c r="W416" s="61">
        <v>2473</v>
      </c>
      <c r="X416" s="61">
        <v>2833</v>
      </c>
      <c r="Y416" s="61">
        <v>2768</v>
      </c>
      <c r="Z416" s="194">
        <v>2736</v>
      </c>
      <c r="AA416" s="194">
        <v>2965</v>
      </c>
      <c r="AB416" s="194">
        <v>2756</v>
      </c>
      <c r="AC416" s="194">
        <v>3488</v>
      </c>
      <c r="AD416" s="194">
        <v>3102</v>
      </c>
      <c r="AE416" s="194">
        <v>3372</v>
      </c>
      <c r="AF416" s="194">
        <v>2706</v>
      </c>
      <c r="AG416" s="194">
        <v>2745</v>
      </c>
      <c r="AH416" s="194">
        <v>2580</v>
      </c>
      <c r="AI416" s="194">
        <v>2821</v>
      </c>
      <c r="AJ416" s="194">
        <v>2658</v>
      </c>
      <c r="AK416" s="194">
        <v>2893</v>
      </c>
      <c r="AL416" s="194">
        <v>2193</v>
      </c>
      <c r="AM416" s="194">
        <v>2498</v>
      </c>
      <c r="AN416" s="194">
        <v>1562</v>
      </c>
      <c r="AO416" s="194">
        <v>1980</v>
      </c>
      <c r="AP416" s="194">
        <v>1408</v>
      </c>
      <c r="AQ416" s="194">
        <v>1878</v>
      </c>
      <c r="AR416" s="194">
        <v>2442</v>
      </c>
      <c r="AS416" s="194">
        <v>2110</v>
      </c>
      <c r="AT416" s="194">
        <v>1651</v>
      </c>
      <c r="AU416" s="194">
        <v>2246</v>
      </c>
      <c r="AV416" s="227">
        <v>2246</v>
      </c>
      <c r="AW416" s="62">
        <v>2131.4528258618802</v>
      </c>
      <c r="AX416" s="62">
        <v>2412.4965668048553</v>
      </c>
      <c r="AY416" s="62">
        <v>2204.6519446782781</v>
      </c>
      <c r="AZ416" s="62">
        <v>2467.8984118211065</v>
      </c>
      <c r="BA416" s="62">
        <v>2253.2380522886192</v>
      </c>
      <c r="BB416" s="62">
        <v>2539.0580512106631</v>
      </c>
      <c r="BC416" s="62">
        <v>2333.7529270383134</v>
      </c>
      <c r="BD416" s="62">
        <v>2651.1365708612348</v>
      </c>
      <c r="BE416" s="62">
        <v>2426.9004730541524</v>
      </c>
      <c r="BF416" s="62">
        <v>2758.2753307200555</v>
      </c>
      <c r="BG416" s="62">
        <v>2538.4413554004905</v>
      </c>
      <c r="BH416" s="62">
        <v>2878.5484347159668</v>
      </c>
      <c r="BI416" s="62">
        <v>2648.7050050294324</v>
      </c>
      <c r="BJ416" s="62">
        <v>3007.6220551153056</v>
      </c>
      <c r="BK416" s="62">
        <v>2774.1407687224764</v>
      </c>
      <c r="BL416" s="62">
        <v>3168.3119133428104</v>
      </c>
      <c r="BM416" s="62">
        <v>2908.2417136702479</v>
      </c>
      <c r="BN416" s="62">
        <v>3299.2627052395046</v>
      </c>
      <c r="BO416" s="62">
        <v>3002.7617599791693</v>
      </c>
      <c r="BP416" s="62"/>
      <c r="BQ416" s="61">
        <v>2120.3999999999996</v>
      </c>
      <c r="BR416" s="61">
        <v>1702.5</v>
      </c>
      <c r="BS416" s="61">
        <v>1814</v>
      </c>
      <c r="BT416" s="61">
        <v>1754</v>
      </c>
      <c r="BU416" s="61">
        <v>1839</v>
      </c>
      <c r="BV416" s="61">
        <v>2255</v>
      </c>
      <c r="BW416" s="61">
        <v>2072</v>
      </c>
      <c r="BX416" s="61">
        <v>2377</v>
      </c>
      <c r="BY416" s="61">
        <v>3790</v>
      </c>
      <c r="BZ416" s="61">
        <v>2573</v>
      </c>
      <c r="CA416" s="62">
        <v>2970</v>
      </c>
      <c r="CB416" s="62">
        <v>2808</v>
      </c>
      <c r="CC416" s="62">
        <v>3377</v>
      </c>
      <c r="CD416" s="62">
        <v>3578</v>
      </c>
      <c r="CE416" s="62">
        <v>3209</v>
      </c>
      <c r="CF416" s="62">
        <v>4038</v>
      </c>
      <c r="CG416" s="62">
        <v>4309</v>
      </c>
      <c r="CH416" s="62">
        <v>3722</v>
      </c>
      <c r="CI416" s="62">
        <v>4823</v>
      </c>
      <c r="CJ416" s="62">
        <v>5432</v>
      </c>
      <c r="CK416" s="62">
        <v>5601</v>
      </c>
      <c r="CL416" s="62">
        <v>5701</v>
      </c>
      <c r="CM416" s="62">
        <v>6244</v>
      </c>
      <c r="CN416" s="62">
        <v>6474</v>
      </c>
      <c r="CO416" s="62">
        <v>5451</v>
      </c>
      <c r="CP416" s="62">
        <v>5401</v>
      </c>
      <c r="CQ416" s="62">
        <v>5551</v>
      </c>
      <c r="CR416" s="62">
        <v>4691</v>
      </c>
      <c r="CS416" s="62">
        <v>3542</v>
      </c>
      <c r="CT416" s="62">
        <v>3286</v>
      </c>
      <c r="CU416" s="62">
        <v>4552</v>
      </c>
      <c r="CV416" s="220">
        <v>3897</v>
      </c>
      <c r="CW416" s="62">
        <v>4377.4528258618802</v>
      </c>
      <c r="CX416" s="62">
        <v>4617.1485114831339</v>
      </c>
      <c r="CY416" s="62">
        <v>4721.1364641097261</v>
      </c>
      <c r="CZ416" s="62">
        <v>4872.8109782489764</v>
      </c>
      <c r="DA416" s="62">
        <v>5078.0370439153867</v>
      </c>
      <c r="DB416" s="62">
        <v>5296.716686120546</v>
      </c>
      <c r="DC416" s="62">
        <v>5527.2534397453992</v>
      </c>
      <c r="DD416" s="62">
        <v>5781.762823837782</v>
      </c>
      <c r="DE416" s="62">
        <v>6076.5536270130578</v>
      </c>
      <c r="DF416" s="62">
        <v>6302.0244652186739</v>
      </c>
    </row>
    <row r="417" spans="1:110" ht="12" outlineLevel="1" collapsed="1">
      <c r="A417" s="74"/>
      <c r="C417" s="41"/>
      <c r="D417" s="41"/>
      <c r="E417" s="41"/>
      <c r="F417" s="41"/>
      <c r="G417" s="41"/>
      <c r="H417" s="41"/>
      <c r="I417" s="41"/>
      <c r="J417" s="41"/>
      <c r="K417" s="41"/>
      <c r="L417" s="41"/>
      <c r="M417" s="41"/>
      <c r="N417" s="41"/>
      <c r="O417" s="41"/>
      <c r="P417" s="41"/>
      <c r="Q417" s="41"/>
      <c r="R417" s="41"/>
      <c r="S417" s="41"/>
      <c r="T417" s="41"/>
      <c r="U417" s="41"/>
      <c r="V417" s="41"/>
      <c r="W417" s="41"/>
      <c r="X417" s="41"/>
      <c r="Y417" s="41"/>
      <c r="Z417" s="41"/>
      <c r="AA417" s="41"/>
      <c r="AB417" s="41"/>
      <c r="AC417" s="41"/>
      <c r="AD417" s="41"/>
      <c r="AE417" s="41"/>
      <c r="AF417" s="41"/>
      <c r="AG417" s="41"/>
      <c r="AH417" s="41"/>
      <c r="AI417" s="41"/>
      <c r="AJ417" s="43"/>
      <c r="AK417" s="62"/>
      <c r="AL417" s="41"/>
      <c r="AM417" s="41"/>
      <c r="AN417" s="41"/>
      <c r="AO417" s="41"/>
      <c r="AP417" s="41"/>
      <c r="AQ417" s="41"/>
      <c r="AR417" s="41"/>
      <c r="AS417" s="41"/>
      <c r="AT417" s="41"/>
      <c r="AU417" s="41"/>
      <c r="AV417" s="211"/>
      <c r="AW417" s="41"/>
      <c r="AX417" s="41"/>
      <c r="AY417" s="41"/>
      <c r="AZ417" s="41"/>
      <c r="BA417" s="41"/>
      <c r="BB417" s="41"/>
      <c r="BC417" s="41"/>
      <c r="BD417" s="41"/>
      <c r="BE417" s="41"/>
      <c r="BF417" s="41"/>
      <c r="BG417" s="41"/>
      <c r="BH417" s="41"/>
      <c r="BI417" s="41"/>
      <c r="BJ417" s="41"/>
      <c r="BK417" s="41"/>
      <c r="BL417" s="41"/>
      <c r="BM417" s="41"/>
      <c r="BN417" s="41"/>
      <c r="BO417" s="41"/>
      <c r="BP417" s="41"/>
      <c r="BQ417" s="41"/>
      <c r="BR417" s="41"/>
      <c r="BS417" s="41"/>
      <c r="BT417" s="41"/>
      <c r="BU417" s="41"/>
      <c r="BV417" s="41"/>
      <c r="BW417" s="41"/>
      <c r="BX417" s="41"/>
      <c r="BY417" s="41"/>
      <c r="BZ417" s="41"/>
      <c r="CA417" s="41"/>
      <c r="CB417" s="41"/>
      <c r="CC417" s="41"/>
      <c r="CD417" s="41"/>
      <c r="CE417" s="41"/>
      <c r="CF417" s="41"/>
      <c r="CG417" s="41"/>
      <c r="CH417" s="41"/>
      <c r="CI417" s="41"/>
      <c r="CJ417" s="41"/>
      <c r="CK417" s="41"/>
      <c r="CL417" s="41"/>
      <c r="CM417" s="41"/>
      <c r="CN417" s="41"/>
      <c r="CO417" s="41"/>
      <c r="CP417" s="41"/>
      <c r="CQ417" s="41"/>
      <c r="CR417" s="41"/>
      <c r="CS417" s="41"/>
      <c r="CT417" s="41"/>
      <c r="CU417" s="41"/>
      <c r="CV417" s="211"/>
      <c r="CW417" s="41"/>
      <c r="CX417" s="41"/>
      <c r="CY417" s="41"/>
      <c r="CZ417" s="15"/>
      <c r="DA417" s="15"/>
      <c r="DB417" s="15"/>
      <c r="DC417" s="15"/>
      <c r="DD417" s="15"/>
      <c r="DE417" s="15"/>
      <c r="DF417" s="15"/>
    </row>
    <row r="418" spans="1:110" ht="12">
      <c r="C418" s="41"/>
      <c r="D418" s="41"/>
      <c r="E418" s="41"/>
      <c r="F418" s="41"/>
      <c r="G418" s="41"/>
      <c r="H418" s="41"/>
      <c r="I418" s="41"/>
      <c r="J418" s="41"/>
      <c r="K418" s="41"/>
      <c r="L418" s="41"/>
      <c r="M418" s="41"/>
      <c r="N418" s="41"/>
      <c r="O418" s="41"/>
      <c r="P418" s="41"/>
      <c r="Q418" s="41"/>
      <c r="R418" s="41"/>
      <c r="S418" s="41"/>
      <c r="T418" s="41"/>
      <c r="U418" s="41"/>
      <c r="V418" s="41"/>
      <c r="W418" s="41"/>
      <c r="X418" s="41"/>
      <c r="Y418" s="41"/>
      <c r="Z418" s="41"/>
      <c r="AA418" s="41"/>
      <c r="AB418" s="361"/>
      <c r="AC418" s="41"/>
      <c r="AD418" s="41"/>
      <c r="AE418" s="41"/>
      <c r="AF418" s="41"/>
      <c r="AG418" s="32"/>
      <c r="AH418" s="41"/>
      <c r="AI418" s="41"/>
      <c r="AJ418" s="41"/>
      <c r="AK418" s="62"/>
      <c r="AL418" s="41"/>
      <c r="AM418" s="41"/>
      <c r="AN418" s="41"/>
      <c r="AO418" s="41"/>
      <c r="AP418" s="41"/>
      <c r="AQ418" s="41"/>
      <c r="AR418" s="41"/>
      <c r="AS418" s="41"/>
      <c r="AT418" s="41"/>
      <c r="AU418" s="41"/>
      <c r="AV418" s="211"/>
      <c r="AW418" s="41"/>
      <c r="AX418" s="41"/>
      <c r="AY418" s="41"/>
      <c r="AZ418" s="41"/>
      <c r="BA418" s="41"/>
      <c r="BB418" s="41"/>
      <c r="BC418" s="41"/>
      <c r="BD418" s="41"/>
      <c r="BE418" s="41"/>
      <c r="BF418" s="41"/>
      <c r="BG418" s="41"/>
      <c r="BH418" s="41"/>
      <c r="BI418" s="41"/>
      <c r="BJ418" s="41"/>
      <c r="BK418" s="41"/>
      <c r="BL418" s="41"/>
      <c r="BM418" s="41"/>
      <c r="BN418" s="41"/>
      <c r="BO418" s="41"/>
      <c r="BP418" s="41"/>
      <c r="BQ418" s="41"/>
      <c r="BR418" s="41"/>
      <c r="BS418" s="41"/>
      <c r="BT418" s="41"/>
      <c r="BU418" s="41"/>
      <c r="BV418" s="41"/>
      <c r="BW418" s="41"/>
      <c r="BX418" s="41"/>
      <c r="BY418" s="41"/>
      <c r="BZ418" s="41"/>
      <c r="CA418" s="41"/>
      <c r="CB418" s="41"/>
      <c r="CC418" s="41"/>
      <c r="CD418" s="41"/>
      <c r="CE418" s="41"/>
      <c r="CF418" s="41"/>
      <c r="CG418" s="41"/>
      <c r="CH418" s="41"/>
      <c r="CI418" s="41"/>
      <c r="CJ418" s="41"/>
      <c r="CK418" s="41"/>
      <c r="CL418" s="41"/>
      <c r="CM418" s="118"/>
      <c r="CN418" s="41"/>
      <c r="CO418" s="41"/>
      <c r="CP418" s="41"/>
      <c r="CQ418" s="41"/>
      <c r="CR418" s="41"/>
      <c r="CS418" s="41"/>
      <c r="CT418" s="41"/>
      <c r="CU418" s="41"/>
      <c r="CV418" s="211"/>
      <c r="CW418" s="41"/>
      <c r="CX418" s="41"/>
      <c r="CY418" s="41"/>
      <c r="CZ418" s="15"/>
      <c r="DA418" s="15"/>
      <c r="DB418" s="15"/>
      <c r="DC418" s="15"/>
      <c r="DD418" s="15"/>
      <c r="DE418" s="15"/>
      <c r="DF418" s="15"/>
    </row>
    <row r="419" spans="1:110" s="26" customFormat="1" ht="12" collapsed="1">
      <c r="A419" s="1" t="s">
        <v>813</v>
      </c>
      <c r="B419" s="2" t="s">
        <v>504</v>
      </c>
      <c r="C419" s="60">
        <v>3287</v>
      </c>
      <c r="D419" s="60">
        <v>3374</v>
      </c>
      <c r="E419" s="60">
        <v>3534.5699999999997</v>
      </c>
      <c r="F419" s="60">
        <v>3593.4300000000003</v>
      </c>
      <c r="G419" s="60">
        <v>3737.25</v>
      </c>
      <c r="H419" s="60">
        <v>4190.25</v>
      </c>
      <c r="I419" s="60">
        <v>4576.6900000000005</v>
      </c>
      <c r="J419" s="60">
        <v>4646.47</v>
      </c>
      <c r="K419" s="60">
        <v>4866.3099999999995</v>
      </c>
      <c r="L419" s="60">
        <v>5049.58</v>
      </c>
      <c r="M419" s="60">
        <v>5280.99</v>
      </c>
      <c r="N419" s="60">
        <v>5514.28</v>
      </c>
      <c r="O419" s="60">
        <v>5773.79</v>
      </c>
      <c r="P419" s="60">
        <v>6238.6900000000005</v>
      </c>
      <c r="Q419" s="60">
        <v>6036.77</v>
      </c>
      <c r="R419" s="60">
        <v>6117.12</v>
      </c>
      <c r="S419" s="60">
        <v>8175.3600000000006</v>
      </c>
      <c r="T419" s="60">
        <v>7667</v>
      </c>
      <c r="U419" s="60">
        <v>8267</v>
      </c>
      <c r="V419" s="60">
        <v>8508</v>
      </c>
      <c r="W419" s="60">
        <v>8377</v>
      </c>
      <c r="X419" s="60">
        <v>8720</v>
      </c>
      <c r="Y419" s="60">
        <v>9128</v>
      </c>
      <c r="Z419" s="60">
        <v>9092</v>
      </c>
      <c r="AA419" s="60">
        <v>9299</v>
      </c>
      <c r="AB419" s="60">
        <v>9668</v>
      </c>
      <c r="AC419" s="60">
        <v>9910</v>
      </c>
      <c r="AD419" s="60">
        <v>10195</v>
      </c>
      <c r="AE419" s="60">
        <v>10342</v>
      </c>
      <c r="AF419" s="60">
        <v>10325</v>
      </c>
      <c r="AG419" s="60">
        <v>10269</v>
      </c>
      <c r="AH419" s="60">
        <v>9976</v>
      </c>
      <c r="AI419" s="60">
        <v>9840</v>
      </c>
      <c r="AJ419" s="60">
        <v>9870</v>
      </c>
      <c r="AK419" s="60">
        <v>9497</v>
      </c>
      <c r="AL419" s="60">
        <v>9746</v>
      </c>
      <c r="AM419" s="60">
        <v>9283</v>
      </c>
      <c r="AN419" s="60">
        <v>8579</v>
      </c>
      <c r="AO419" s="60">
        <v>9173</v>
      </c>
      <c r="AP419" s="60">
        <v>8423</v>
      </c>
      <c r="AQ419" s="60">
        <v>9024</v>
      </c>
      <c r="AR419" s="60">
        <v>8948</v>
      </c>
      <c r="AS419" s="60">
        <v>9599</v>
      </c>
      <c r="AT419" s="60">
        <v>10540</v>
      </c>
      <c r="AU419" s="60">
        <v>10365</v>
      </c>
      <c r="AV419" s="219">
        <v>10347</v>
      </c>
      <c r="AW419" s="60">
        <v>10414.704212510049</v>
      </c>
      <c r="AX419" s="60">
        <v>11276.981463327591</v>
      </c>
      <c r="AY419" s="60">
        <v>11282.629009964325</v>
      </c>
      <c r="AZ419" s="60">
        <v>11452.686447465252</v>
      </c>
      <c r="BA419" s="60">
        <v>11383.725183629285</v>
      </c>
      <c r="BB419" s="60">
        <v>11694.749934840378</v>
      </c>
      <c r="BC419" s="60">
        <v>11595.148342788758</v>
      </c>
      <c r="BD419" s="60">
        <v>12052.248847582472</v>
      </c>
      <c r="BE419" s="60">
        <v>12001.554554688169</v>
      </c>
      <c r="BF419" s="60">
        <v>12501.635224557343</v>
      </c>
      <c r="BG419" s="60">
        <v>12538.837994650592</v>
      </c>
      <c r="BH419" s="60">
        <v>13029.264331609289</v>
      </c>
      <c r="BI419" s="60">
        <v>13118.628199796918</v>
      </c>
      <c r="BJ419" s="60">
        <v>13684.602856714464</v>
      </c>
      <c r="BK419" s="60">
        <v>13759.47179554642</v>
      </c>
      <c r="BL419" s="60">
        <v>14392.917555866747</v>
      </c>
      <c r="BM419" s="60">
        <v>14410.767990474667</v>
      </c>
      <c r="BN419" s="60">
        <v>14973.749187457826</v>
      </c>
      <c r="BO419" s="60">
        <v>14875.11784897351</v>
      </c>
      <c r="BP419" s="60"/>
      <c r="BQ419" s="60">
        <v>4546.5</v>
      </c>
      <c r="BR419" s="60">
        <v>4418</v>
      </c>
      <c r="BS419" s="60">
        <v>4587</v>
      </c>
      <c r="BT419" s="60">
        <v>4838</v>
      </c>
      <c r="BU419" s="60">
        <v>5166</v>
      </c>
      <c r="BV419" s="60">
        <v>5547</v>
      </c>
      <c r="BW419" s="60">
        <v>5689</v>
      </c>
      <c r="BX419" s="60">
        <v>6032</v>
      </c>
      <c r="BY419" s="60">
        <v>6384</v>
      </c>
      <c r="BZ419" s="60">
        <v>6406</v>
      </c>
      <c r="CA419" s="60">
        <v>6908.57</v>
      </c>
      <c r="CB419" s="60">
        <v>7330.68</v>
      </c>
      <c r="CC419" s="60">
        <v>8766.94</v>
      </c>
      <c r="CD419" s="60">
        <v>9512.7799999999988</v>
      </c>
      <c r="CE419" s="60">
        <v>10330.57</v>
      </c>
      <c r="CF419" s="60">
        <v>11288.07</v>
      </c>
      <c r="CG419" s="60">
        <v>12275.46</v>
      </c>
      <c r="CH419" s="60">
        <v>14292.48</v>
      </c>
      <c r="CI419" s="60">
        <v>15934</v>
      </c>
      <c r="CJ419" s="60">
        <v>16885</v>
      </c>
      <c r="CK419" s="60">
        <v>17848</v>
      </c>
      <c r="CL419" s="60">
        <v>18391</v>
      </c>
      <c r="CM419" s="60">
        <v>19578</v>
      </c>
      <c r="CN419" s="60">
        <v>20537</v>
      </c>
      <c r="CO419" s="60">
        <v>20594</v>
      </c>
      <c r="CP419" s="60">
        <v>19816</v>
      </c>
      <c r="CQ419" s="60">
        <v>19367</v>
      </c>
      <c r="CR419" s="60">
        <v>19029</v>
      </c>
      <c r="CS419" s="60">
        <v>17752</v>
      </c>
      <c r="CT419" s="60">
        <v>17447</v>
      </c>
      <c r="CU419" s="60">
        <v>18547</v>
      </c>
      <c r="CV419" s="219">
        <v>20905</v>
      </c>
      <c r="CW419" s="60">
        <v>20761.704212510049</v>
      </c>
      <c r="CX419" s="60">
        <v>22559.610473291916</v>
      </c>
      <c r="CY419" s="60">
        <v>22836.411631094539</v>
      </c>
      <c r="CZ419" s="60">
        <v>23289.898277629138</v>
      </c>
      <c r="DA419" s="60">
        <v>24053.803402270642</v>
      </c>
      <c r="DB419" s="60">
        <v>25040.473219207939</v>
      </c>
      <c r="DC419" s="60">
        <v>26147.892531406207</v>
      </c>
      <c r="DD419" s="60">
        <v>27444.074652260882</v>
      </c>
      <c r="DE419" s="60">
        <v>28803.685546341414</v>
      </c>
      <c r="DF419" s="60">
        <v>29848.867036431337</v>
      </c>
    </row>
    <row r="420" spans="1:110" ht="12" hidden="1" outlineLevel="2">
      <c r="A420" s="1" t="s">
        <v>94</v>
      </c>
      <c r="B420" s="15" t="s">
        <v>857</v>
      </c>
      <c r="C420" s="41">
        <v>0</v>
      </c>
      <c r="D420" s="41">
        <v>0</v>
      </c>
      <c r="E420" s="41">
        <v>0</v>
      </c>
      <c r="F420" s="41">
        <v>0</v>
      </c>
      <c r="G420" s="41">
        <v>0</v>
      </c>
      <c r="H420" s="41">
        <v>0</v>
      </c>
      <c r="I420" s="41">
        <v>0</v>
      </c>
      <c r="J420" s="41">
        <v>0</v>
      </c>
      <c r="K420" s="41">
        <v>0</v>
      </c>
      <c r="L420" s="41">
        <v>0</v>
      </c>
      <c r="M420" s="41">
        <v>0</v>
      </c>
      <c r="N420" s="41">
        <v>0</v>
      </c>
      <c r="O420" s="41">
        <v>0</v>
      </c>
      <c r="P420" s="41">
        <v>0</v>
      </c>
      <c r="Q420" s="41">
        <v>0</v>
      </c>
      <c r="R420" s="41">
        <v>0</v>
      </c>
      <c r="S420" s="41">
        <v>0</v>
      </c>
      <c r="T420" s="41">
        <v>0</v>
      </c>
      <c r="U420" s="41">
        <v>0</v>
      </c>
      <c r="V420" s="41">
        <v>0</v>
      </c>
      <c r="W420" s="41">
        <v>0</v>
      </c>
      <c r="X420" s="41">
        <v>0</v>
      </c>
      <c r="Y420" s="41">
        <v>0</v>
      </c>
      <c r="Z420" s="41">
        <v>0</v>
      </c>
      <c r="AA420" s="41">
        <v>0</v>
      </c>
      <c r="AB420" s="41">
        <v>0</v>
      </c>
      <c r="AC420" s="41">
        <v>0</v>
      </c>
      <c r="AD420" s="41">
        <v>0</v>
      </c>
      <c r="AE420" s="41">
        <v>0</v>
      </c>
      <c r="AF420" s="41">
        <v>0</v>
      </c>
      <c r="AG420" s="41">
        <v>0</v>
      </c>
      <c r="AH420" s="41">
        <v>0</v>
      </c>
      <c r="AI420" s="41">
        <v>0</v>
      </c>
      <c r="AJ420" s="41">
        <v>0</v>
      </c>
      <c r="AK420" s="41">
        <v>0</v>
      </c>
      <c r="AL420" s="41">
        <v>0</v>
      </c>
      <c r="AM420" s="41">
        <v>0</v>
      </c>
      <c r="AN420" s="41">
        <v>0</v>
      </c>
      <c r="AO420" s="41">
        <v>0</v>
      </c>
      <c r="AP420" s="41">
        <v>0</v>
      </c>
      <c r="AQ420" s="41">
        <v>0</v>
      </c>
      <c r="AR420" s="41">
        <v>0</v>
      </c>
      <c r="AS420" s="41">
        <v>0</v>
      </c>
      <c r="AT420" s="41">
        <v>0</v>
      </c>
      <c r="AU420" s="41">
        <v>0</v>
      </c>
      <c r="AV420" s="211">
        <v>0</v>
      </c>
      <c r="AW420" s="41">
        <v>0</v>
      </c>
      <c r="AX420" s="41">
        <v>0</v>
      </c>
      <c r="AY420" s="41">
        <v>0</v>
      </c>
      <c r="AZ420" s="41">
        <v>0</v>
      </c>
      <c r="BA420" s="41">
        <v>0</v>
      </c>
      <c r="BB420" s="41">
        <v>0</v>
      </c>
      <c r="BC420" s="41">
        <v>0</v>
      </c>
      <c r="BD420" s="41">
        <v>0</v>
      </c>
      <c r="BE420" s="41">
        <v>0</v>
      </c>
      <c r="BF420" s="41">
        <v>0</v>
      </c>
      <c r="BG420" s="41">
        <v>0</v>
      </c>
      <c r="BH420" s="41">
        <v>0</v>
      </c>
      <c r="BI420" s="41">
        <v>0</v>
      </c>
      <c r="BJ420" s="41">
        <v>0</v>
      </c>
      <c r="BK420" s="41">
        <v>0</v>
      </c>
      <c r="BL420" s="41">
        <v>0</v>
      </c>
      <c r="BM420" s="41">
        <v>0</v>
      </c>
      <c r="BN420" s="41">
        <v>0</v>
      </c>
      <c r="BO420" s="41">
        <v>0</v>
      </c>
      <c r="BP420" s="41"/>
      <c r="BQ420" s="41">
        <v>0</v>
      </c>
      <c r="BR420" s="41">
        <v>0</v>
      </c>
      <c r="BS420" s="41">
        <v>0</v>
      </c>
      <c r="BT420" s="41">
        <v>0</v>
      </c>
      <c r="BU420" s="41">
        <v>0</v>
      </c>
      <c r="BV420" s="41">
        <v>0</v>
      </c>
      <c r="BW420" s="41">
        <v>0</v>
      </c>
      <c r="BX420" s="41">
        <v>0</v>
      </c>
      <c r="BY420" s="41">
        <v>0</v>
      </c>
      <c r="BZ420" s="41">
        <v>0</v>
      </c>
      <c r="CA420" s="41">
        <v>0</v>
      </c>
      <c r="CB420" s="41">
        <v>0</v>
      </c>
      <c r="CC420" s="41">
        <v>0</v>
      </c>
      <c r="CD420" s="41">
        <v>0</v>
      </c>
      <c r="CE420" s="41">
        <v>0</v>
      </c>
      <c r="CF420" s="41">
        <v>0</v>
      </c>
      <c r="CG420" s="41">
        <v>0</v>
      </c>
      <c r="CH420" s="41">
        <v>0</v>
      </c>
      <c r="CI420" s="41">
        <v>0</v>
      </c>
      <c r="CJ420" s="41">
        <v>0</v>
      </c>
      <c r="CK420" s="41">
        <v>0</v>
      </c>
      <c r="CL420" s="41">
        <v>0</v>
      </c>
      <c r="CM420" s="41">
        <v>0</v>
      </c>
      <c r="CN420" s="41">
        <v>0</v>
      </c>
      <c r="CO420" s="41">
        <v>0</v>
      </c>
      <c r="CP420" s="41">
        <v>0</v>
      </c>
      <c r="CQ420" s="41">
        <v>0</v>
      </c>
      <c r="CR420" s="41">
        <v>0</v>
      </c>
      <c r="CS420" s="41">
        <v>0</v>
      </c>
      <c r="CT420" s="41">
        <v>0</v>
      </c>
      <c r="CU420" s="41">
        <v>0</v>
      </c>
      <c r="CV420" s="211">
        <v>0</v>
      </c>
      <c r="CW420" s="41">
        <v>0</v>
      </c>
      <c r="CX420" s="41">
        <v>0</v>
      </c>
      <c r="CY420" s="41">
        <v>0</v>
      </c>
      <c r="CZ420" s="41">
        <v>0</v>
      </c>
      <c r="DA420" s="41">
        <v>0</v>
      </c>
      <c r="DB420" s="41">
        <v>0</v>
      </c>
      <c r="DC420" s="41">
        <v>0</v>
      </c>
      <c r="DD420" s="41">
        <v>0</v>
      </c>
      <c r="DE420" s="41">
        <v>0</v>
      </c>
      <c r="DF420" s="41">
        <v>0</v>
      </c>
    </row>
    <row r="421" spans="1:110" ht="12" hidden="1" outlineLevel="2">
      <c r="A421" s="1" t="s">
        <v>669</v>
      </c>
      <c r="B421" s="15" t="s">
        <v>447</v>
      </c>
      <c r="C421" s="41">
        <v>0</v>
      </c>
      <c r="D421" s="41">
        <v>0</v>
      </c>
      <c r="E421" s="41">
        <v>0</v>
      </c>
      <c r="F421" s="41">
        <v>0</v>
      </c>
      <c r="G421" s="41">
        <v>0</v>
      </c>
      <c r="H421" s="41">
        <v>0</v>
      </c>
      <c r="I421" s="41">
        <v>0</v>
      </c>
      <c r="J421" s="41">
        <v>0</v>
      </c>
      <c r="K421" s="41">
        <v>0</v>
      </c>
      <c r="L421" s="41">
        <v>0</v>
      </c>
      <c r="M421" s="41">
        <v>0</v>
      </c>
      <c r="N421" s="41">
        <v>0</v>
      </c>
      <c r="O421" s="41">
        <v>0</v>
      </c>
      <c r="P421" s="41">
        <v>0</v>
      </c>
      <c r="Q421" s="41">
        <v>0</v>
      </c>
      <c r="R421" s="41">
        <v>0</v>
      </c>
      <c r="S421" s="41">
        <v>0</v>
      </c>
      <c r="T421" s="41">
        <v>0</v>
      </c>
      <c r="U421" s="41">
        <v>0</v>
      </c>
      <c r="V421" s="41">
        <v>0</v>
      </c>
      <c r="W421" s="41">
        <v>0</v>
      </c>
      <c r="X421" s="41">
        <v>0</v>
      </c>
      <c r="Y421" s="41">
        <v>0</v>
      </c>
      <c r="Z421" s="41">
        <v>0</v>
      </c>
      <c r="AA421" s="41">
        <v>0</v>
      </c>
      <c r="AB421" s="41">
        <v>0</v>
      </c>
      <c r="AC421" s="41">
        <v>0</v>
      </c>
      <c r="AD421" s="41">
        <v>0</v>
      </c>
      <c r="AE421" s="41">
        <v>0</v>
      </c>
      <c r="AF421" s="41">
        <v>0</v>
      </c>
      <c r="AG421" s="41">
        <v>0</v>
      </c>
      <c r="AH421" s="41">
        <v>0</v>
      </c>
      <c r="AI421" s="41">
        <v>0</v>
      </c>
      <c r="AJ421" s="41">
        <v>0</v>
      </c>
      <c r="AK421" s="41">
        <v>0</v>
      </c>
      <c r="AL421" s="41">
        <v>0</v>
      </c>
      <c r="AM421" s="41">
        <v>0</v>
      </c>
      <c r="AN421" s="41">
        <v>0</v>
      </c>
      <c r="AO421" s="41">
        <v>0</v>
      </c>
      <c r="AP421" s="41">
        <v>0</v>
      </c>
      <c r="AQ421" s="41">
        <v>0</v>
      </c>
      <c r="AR421" s="41">
        <v>0</v>
      </c>
      <c r="AS421" s="41">
        <v>0</v>
      </c>
      <c r="AT421" s="41">
        <v>0</v>
      </c>
      <c r="AU421" s="41">
        <v>0</v>
      </c>
      <c r="AV421" s="211">
        <v>0</v>
      </c>
      <c r="AW421" s="41">
        <v>0</v>
      </c>
      <c r="AX421" s="41">
        <v>0</v>
      </c>
      <c r="AY421" s="41">
        <v>0</v>
      </c>
      <c r="AZ421" s="41">
        <v>0</v>
      </c>
      <c r="BA421" s="41">
        <v>0</v>
      </c>
      <c r="BB421" s="41">
        <v>0</v>
      </c>
      <c r="BC421" s="41">
        <v>0</v>
      </c>
      <c r="BD421" s="41">
        <v>0</v>
      </c>
      <c r="BE421" s="41">
        <v>0</v>
      </c>
      <c r="BF421" s="41">
        <v>0</v>
      </c>
      <c r="BG421" s="41">
        <v>0</v>
      </c>
      <c r="BH421" s="41">
        <v>0</v>
      </c>
      <c r="BI421" s="41">
        <v>0</v>
      </c>
      <c r="BJ421" s="41">
        <v>0</v>
      </c>
      <c r="BK421" s="41">
        <v>0</v>
      </c>
      <c r="BL421" s="41">
        <v>0</v>
      </c>
      <c r="BM421" s="41">
        <v>0</v>
      </c>
      <c r="BN421" s="41">
        <v>0</v>
      </c>
      <c r="BO421" s="41">
        <v>0</v>
      </c>
      <c r="BP421" s="41"/>
      <c r="BQ421" s="41">
        <v>0</v>
      </c>
      <c r="BR421" s="41">
        <v>0</v>
      </c>
      <c r="BS421" s="41">
        <v>0</v>
      </c>
      <c r="BT421" s="41">
        <v>0</v>
      </c>
      <c r="BU421" s="41">
        <v>0</v>
      </c>
      <c r="BV421" s="41">
        <v>0</v>
      </c>
      <c r="BW421" s="41">
        <v>0</v>
      </c>
      <c r="BX421" s="41">
        <v>0</v>
      </c>
      <c r="BY421" s="41">
        <v>0</v>
      </c>
      <c r="BZ421" s="41">
        <v>0</v>
      </c>
      <c r="CA421" s="41">
        <v>0</v>
      </c>
      <c r="CB421" s="41">
        <v>0</v>
      </c>
      <c r="CC421" s="41">
        <v>0</v>
      </c>
      <c r="CD421" s="41">
        <v>0</v>
      </c>
      <c r="CE421" s="41">
        <v>0</v>
      </c>
      <c r="CF421" s="41">
        <v>0</v>
      </c>
      <c r="CG421" s="41">
        <v>0</v>
      </c>
      <c r="CH421" s="41">
        <v>0</v>
      </c>
      <c r="CI421" s="41">
        <v>0</v>
      </c>
      <c r="CJ421" s="41">
        <v>0</v>
      </c>
      <c r="CK421" s="41">
        <v>0</v>
      </c>
      <c r="CL421" s="41">
        <v>0</v>
      </c>
      <c r="CM421" s="41">
        <v>0</v>
      </c>
      <c r="CN421" s="41">
        <v>0</v>
      </c>
      <c r="CO421" s="41">
        <v>0</v>
      </c>
      <c r="CP421" s="41">
        <v>0</v>
      </c>
      <c r="CQ421" s="41">
        <v>0</v>
      </c>
      <c r="CR421" s="41">
        <v>0</v>
      </c>
      <c r="CS421" s="41">
        <v>0</v>
      </c>
      <c r="CT421" s="41">
        <v>0</v>
      </c>
      <c r="CU421" s="41">
        <v>0</v>
      </c>
      <c r="CV421" s="211">
        <v>0</v>
      </c>
      <c r="CW421" s="41">
        <v>0</v>
      </c>
      <c r="CX421" s="41">
        <v>0</v>
      </c>
      <c r="CY421" s="41">
        <v>0</v>
      </c>
      <c r="CZ421" s="41">
        <v>0</v>
      </c>
      <c r="DA421" s="41">
        <v>0</v>
      </c>
      <c r="DB421" s="41">
        <v>0</v>
      </c>
      <c r="DC421" s="41">
        <v>0</v>
      </c>
      <c r="DD421" s="41">
        <v>0</v>
      </c>
      <c r="DE421" s="41">
        <v>0</v>
      </c>
      <c r="DF421" s="41">
        <v>0</v>
      </c>
    </row>
    <row r="422" spans="1:110" ht="12" hidden="1" outlineLevel="2">
      <c r="A422" s="1" t="s">
        <v>670</v>
      </c>
      <c r="B422" s="15" t="s">
        <v>370</v>
      </c>
      <c r="C422" s="41">
        <v>0</v>
      </c>
      <c r="D422" s="41">
        <v>0</v>
      </c>
      <c r="E422" s="41">
        <v>-92.12</v>
      </c>
      <c r="F422" s="41">
        <v>-101.42999999999999</v>
      </c>
      <c r="G422" s="41">
        <v>-96.039999999999992</v>
      </c>
      <c r="H422" s="41">
        <v>-97.02</v>
      </c>
      <c r="I422" s="41">
        <v>-122.99</v>
      </c>
      <c r="J422" s="41">
        <v>-92.12</v>
      </c>
      <c r="K422" s="41">
        <v>-91.63</v>
      </c>
      <c r="L422" s="41">
        <v>-109.75999999999999</v>
      </c>
      <c r="M422" s="41">
        <v>-106.33</v>
      </c>
      <c r="N422" s="41">
        <v>-125.44</v>
      </c>
      <c r="O422" s="41">
        <v>-106.82</v>
      </c>
      <c r="P422" s="41">
        <v>-115.64</v>
      </c>
      <c r="Q422" s="41">
        <v>-113.67999999999999</v>
      </c>
      <c r="R422" s="41">
        <v>-120.53999999999999</v>
      </c>
      <c r="S422" s="41">
        <v>-109.27</v>
      </c>
      <c r="T422" s="41">
        <v>0</v>
      </c>
      <c r="U422" s="41">
        <v>0</v>
      </c>
      <c r="V422" s="41">
        <v>0</v>
      </c>
      <c r="W422" s="41">
        <v>0</v>
      </c>
      <c r="X422" s="41">
        <v>0</v>
      </c>
      <c r="Y422" s="41">
        <v>0</v>
      </c>
      <c r="Z422" s="41">
        <v>0</v>
      </c>
      <c r="AA422" s="41">
        <v>0</v>
      </c>
      <c r="AB422" s="41">
        <v>0</v>
      </c>
      <c r="AC422" s="41">
        <v>0</v>
      </c>
      <c r="AD422" s="41">
        <v>0</v>
      </c>
      <c r="AE422" s="41">
        <v>0</v>
      </c>
      <c r="AF422" s="41">
        <v>0</v>
      </c>
      <c r="AG422" s="41">
        <v>0</v>
      </c>
      <c r="AH422" s="41">
        <v>0</v>
      </c>
      <c r="AI422" s="41">
        <v>0</v>
      </c>
      <c r="AJ422" s="41">
        <v>0</v>
      </c>
      <c r="AK422" s="41">
        <v>0</v>
      </c>
      <c r="AL422" s="41">
        <v>0</v>
      </c>
      <c r="AM422" s="41">
        <v>0</v>
      </c>
      <c r="AN422" s="41">
        <v>0</v>
      </c>
      <c r="AO422" s="41">
        <v>0</v>
      </c>
      <c r="AP422" s="41">
        <v>0</v>
      </c>
      <c r="AQ422" s="41">
        <v>0</v>
      </c>
      <c r="AR422" s="41">
        <v>0</v>
      </c>
      <c r="AS422" s="41">
        <v>0</v>
      </c>
      <c r="AT422" s="41">
        <v>0</v>
      </c>
      <c r="AU422" s="41">
        <v>0</v>
      </c>
      <c r="AV422" s="211">
        <v>0</v>
      </c>
      <c r="AW422" s="41">
        <v>0</v>
      </c>
      <c r="AX422" s="41">
        <v>0</v>
      </c>
      <c r="AY422" s="41">
        <v>0</v>
      </c>
      <c r="AZ422" s="41">
        <v>0</v>
      </c>
      <c r="BA422" s="41">
        <v>0</v>
      </c>
      <c r="BB422" s="41">
        <v>0</v>
      </c>
      <c r="BC422" s="41">
        <v>0</v>
      </c>
      <c r="BD422" s="41">
        <v>0</v>
      </c>
      <c r="BE422" s="41">
        <v>0</v>
      </c>
      <c r="BF422" s="41">
        <v>0</v>
      </c>
      <c r="BG422" s="41">
        <v>0</v>
      </c>
      <c r="BH422" s="41">
        <v>0</v>
      </c>
      <c r="BI422" s="41">
        <v>0</v>
      </c>
      <c r="BJ422" s="41">
        <v>0</v>
      </c>
      <c r="BK422" s="41">
        <v>0</v>
      </c>
      <c r="BL422" s="41">
        <v>0</v>
      </c>
      <c r="BM422" s="41">
        <v>0</v>
      </c>
      <c r="BN422" s="41">
        <v>0</v>
      </c>
      <c r="BO422" s="41">
        <v>0</v>
      </c>
      <c r="BP422" s="41"/>
      <c r="BQ422" s="41">
        <v>0</v>
      </c>
      <c r="BR422" s="41">
        <v>0</v>
      </c>
      <c r="BS422" s="41">
        <v>0</v>
      </c>
      <c r="BT422" s="41">
        <v>0</v>
      </c>
      <c r="BU422" s="41">
        <v>0</v>
      </c>
      <c r="BV422" s="41">
        <v>0</v>
      </c>
      <c r="BW422" s="41">
        <v>0</v>
      </c>
      <c r="BX422" s="41">
        <v>0</v>
      </c>
      <c r="BY422" s="41">
        <v>0</v>
      </c>
      <c r="BZ422" s="41">
        <v>0</v>
      </c>
      <c r="CA422" s="41">
        <v>-92.12</v>
      </c>
      <c r="CB422" s="41">
        <v>-197.46999999999997</v>
      </c>
      <c r="CC422" s="41">
        <v>-220.01</v>
      </c>
      <c r="CD422" s="41">
        <v>-183.75</v>
      </c>
      <c r="CE422" s="41">
        <v>-216.08999999999997</v>
      </c>
      <c r="CF422" s="41">
        <v>-232.26</v>
      </c>
      <c r="CG422" s="41">
        <v>-229.32</v>
      </c>
      <c r="CH422" s="41">
        <v>-229.81</v>
      </c>
      <c r="CI422" s="41">
        <v>0</v>
      </c>
      <c r="CJ422" s="41">
        <v>0</v>
      </c>
      <c r="CK422" s="41">
        <v>0</v>
      </c>
      <c r="CL422" s="41">
        <v>0</v>
      </c>
      <c r="CM422" s="41">
        <v>0</v>
      </c>
      <c r="CN422" s="41">
        <v>0</v>
      </c>
      <c r="CO422" s="41">
        <v>0</v>
      </c>
      <c r="CP422" s="41">
        <v>0</v>
      </c>
      <c r="CQ422" s="41">
        <v>0</v>
      </c>
      <c r="CR422" s="41">
        <v>0</v>
      </c>
      <c r="CS422" s="41">
        <v>0</v>
      </c>
      <c r="CT422" s="41">
        <v>0</v>
      </c>
      <c r="CU422" s="41">
        <v>0</v>
      </c>
      <c r="CV422" s="211">
        <v>0</v>
      </c>
      <c r="CW422" s="41">
        <v>0</v>
      </c>
      <c r="CX422" s="41">
        <v>0</v>
      </c>
      <c r="CY422" s="41">
        <v>0</v>
      </c>
      <c r="CZ422" s="41">
        <v>0</v>
      </c>
      <c r="DA422" s="41">
        <v>0</v>
      </c>
      <c r="DB422" s="41">
        <v>0</v>
      </c>
      <c r="DC422" s="41">
        <v>0</v>
      </c>
      <c r="DD422" s="41">
        <v>0</v>
      </c>
      <c r="DE422" s="41">
        <v>0</v>
      </c>
      <c r="DF422" s="41">
        <v>0</v>
      </c>
    </row>
    <row r="423" spans="1:110" ht="12" hidden="1" outlineLevel="2">
      <c r="A423" s="1" t="s">
        <v>88</v>
      </c>
      <c r="B423" s="15" t="s">
        <v>371</v>
      </c>
      <c r="C423" s="41">
        <v>0</v>
      </c>
      <c r="D423" s="41">
        <v>0</v>
      </c>
      <c r="E423" s="41">
        <v>0</v>
      </c>
      <c r="F423" s="41">
        <v>0</v>
      </c>
      <c r="G423" s="41">
        <v>0</v>
      </c>
      <c r="H423" s="41">
        <v>0</v>
      </c>
      <c r="I423" s="41">
        <v>0</v>
      </c>
      <c r="J423" s="41">
        <v>0</v>
      </c>
      <c r="K423" s="41">
        <v>0</v>
      </c>
      <c r="L423" s="41">
        <v>0</v>
      </c>
      <c r="M423" s="41">
        <v>0</v>
      </c>
      <c r="N423" s="41">
        <v>0</v>
      </c>
      <c r="O423" s="41">
        <v>0</v>
      </c>
      <c r="P423" s="41">
        <v>-45</v>
      </c>
      <c r="Q423" s="41">
        <v>-111</v>
      </c>
      <c r="R423" s="41">
        <v>-92</v>
      </c>
      <c r="S423" s="41">
        <v>10</v>
      </c>
      <c r="T423" s="41">
        <v>-17</v>
      </c>
      <c r="U423" s="41">
        <v>-17</v>
      </c>
      <c r="V423" s="41">
        <v>0</v>
      </c>
      <c r="W423" s="41">
        <v>0</v>
      </c>
      <c r="X423" s="41">
        <v>0</v>
      </c>
      <c r="Y423" s="41">
        <v>0</v>
      </c>
      <c r="Z423" s="41">
        <v>0</v>
      </c>
      <c r="AA423" s="41">
        <v>0</v>
      </c>
      <c r="AB423" s="41">
        <v>0</v>
      </c>
      <c r="AC423" s="41">
        <v>0</v>
      </c>
      <c r="AD423" s="41">
        <v>0</v>
      </c>
      <c r="AE423" s="41">
        <v>0</v>
      </c>
      <c r="AF423" s="41">
        <v>0</v>
      </c>
      <c r="AG423" s="41">
        <v>0</v>
      </c>
      <c r="AH423" s="41">
        <v>0</v>
      </c>
      <c r="AI423" s="41">
        <v>0</v>
      </c>
      <c r="AJ423" s="41">
        <v>0</v>
      </c>
      <c r="AK423" s="41">
        <v>0</v>
      </c>
      <c r="AL423" s="41">
        <v>0</v>
      </c>
      <c r="AM423" s="41">
        <v>0</v>
      </c>
      <c r="AN423" s="41">
        <v>0</v>
      </c>
      <c r="AO423" s="41">
        <v>0</v>
      </c>
      <c r="AP423" s="41">
        <v>0</v>
      </c>
      <c r="AQ423" s="41">
        <v>0</v>
      </c>
      <c r="AR423" s="41">
        <v>0</v>
      </c>
      <c r="AS423" s="41">
        <v>0</v>
      </c>
      <c r="AT423" s="41">
        <v>0</v>
      </c>
      <c r="AU423" s="41">
        <v>0</v>
      </c>
      <c r="AV423" s="211">
        <v>0</v>
      </c>
      <c r="AW423" s="41">
        <v>0</v>
      </c>
      <c r="AX423" s="41">
        <v>0</v>
      </c>
      <c r="AY423" s="41">
        <v>0</v>
      </c>
      <c r="AZ423" s="41">
        <v>0</v>
      </c>
      <c r="BA423" s="41">
        <v>0</v>
      </c>
      <c r="BB423" s="41">
        <v>0</v>
      </c>
      <c r="BC423" s="41">
        <v>0</v>
      </c>
      <c r="BD423" s="41">
        <v>0</v>
      </c>
      <c r="BE423" s="41">
        <v>0</v>
      </c>
      <c r="BF423" s="41">
        <v>0</v>
      </c>
      <c r="BG423" s="41">
        <v>0</v>
      </c>
      <c r="BH423" s="41">
        <v>0</v>
      </c>
      <c r="BI423" s="41">
        <v>0</v>
      </c>
      <c r="BJ423" s="41">
        <v>0</v>
      </c>
      <c r="BK423" s="41">
        <v>0</v>
      </c>
      <c r="BL423" s="41">
        <v>0</v>
      </c>
      <c r="BM423" s="41">
        <v>0</v>
      </c>
      <c r="BN423" s="41">
        <v>0</v>
      </c>
      <c r="BO423" s="41">
        <v>0</v>
      </c>
      <c r="BP423" s="41"/>
      <c r="BQ423" s="41">
        <v>0</v>
      </c>
      <c r="BR423" s="41">
        <v>0</v>
      </c>
      <c r="BS423" s="41">
        <v>0</v>
      </c>
      <c r="BT423" s="41">
        <v>0</v>
      </c>
      <c r="BU423" s="41">
        <v>0</v>
      </c>
      <c r="BV423" s="41">
        <v>0</v>
      </c>
      <c r="BW423" s="41">
        <v>0</v>
      </c>
      <c r="BX423" s="41">
        <v>0</v>
      </c>
      <c r="BY423" s="41">
        <v>0</v>
      </c>
      <c r="BZ423" s="41">
        <v>0</v>
      </c>
      <c r="CA423" s="41">
        <v>0</v>
      </c>
      <c r="CB423" s="41">
        <v>0</v>
      </c>
      <c r="CC423" s="41">
        <v>0</v>
      </c>
      <c r="CD423" s="41">
        <v>0</v>
      </c>
      <c r="CE423" s="41">
        <v>0</v>
      </c>
      <c r="CF423" s="41">
        <v>0</v>
      </c>
      <c r="CG423" s="41">
        <v>-156</v>
      </c>
      <c r="CH423" s="41">
        <v>-82</v>
      </c>
      <c r="CI423" s="41">
        <v>-34</v>
      </c>
      <c r="CJ423" s="41">
        <v>0</v>
      </c>
      <c r="CK423" s="41">
        <v>0</v>
      </c>
      <c r="CL423" s="41">
        <v>0</v>
      </c>
      <c r="CM423" s="41">
        <v>0</v>
      </c>
      <c r="CN423" s="41">
        <v>0</v>
      </c>
      <c r="CO423" s="41">
        <v>0</v>
      </c>
      <c r="CP423" s="41">
        <v>0</v>
      </c>
      <c r="CQ423" s="41">
        <v>0</v>
      </c>
      <c r="CR423" s="41">
        <v>0</v>
      </c>
      <c r="CS423" s="41">
        <v>0</v>
      </c>
      <c r="CT423" s="41">
        <v>0</v>
      </c>
      <c r="CU423" s="41">
        <v>0</v>
      </c>
      <c r="CV423" s="211">
        <v>0</v>
      </c>
      <c r="CW423" s="41">
        <v>0</v>
      </c>
      <c r="CX423" s="41">
        <v>0</v>
      </c>
      <c r="CY423" s="41">
        <v>0</v>
      </c>
      <c r="CZ423" s="41">
        <v>0</v>
      </c>
      <c r="DA423" s="41">
        <v>0</v>
      </c>
      <c r="DB423" s="41">
        <v>0</v>
      </c>
      <c r="DC423" s="41">
        <v>0</v>
      </c>
      <c r="DD423" s="41">
        <v>0</v>
      </c>
      <c r="DE423" s="41">
        <v>0</v>
      </c>
      <c r="DF423" s="41">
        <v>0</v>
      </c>
    </row>
    <row r="424" spans="1:110" ht="12" hidden="1" outlineLevel="2">
      <c r="A424" s="1" t="s">
        <v>89</v>
      </c>
      <c r="B424" s="15" t="s">
        <v>361</v>
      </c>
      <c r="C424" s="41">
        <v>0</v>
      </c>
      <c r="D424" s="41">
        <v>0</v>
      </c>
      <c r="E424" s="41">
        <v>-2.4500000000000002</v>
      </c>
      <c r="F424" s="41">
        <v>0</v>
      </c>
      <c r="G424" s="41">
        <v>-14.209999999999999</v>
      </c>
      <c r="H424" s="41">
        <v>-13.23</v>
      </c>
      <c r="I424" s="41">
        <v>-14.7</v>
      </c>
      <c r="J424" s="41">
        <v>-7.35</v>
      </c>
      <c r="K424" s="41">
        <v>-15.68</v>
      </c>
      <c r="L424" s="41">
        <v>-8.82</v>
      </c>
      <c r="M424" s="41">
        <v>-16.66</v>
      </c>
      <c r="N424" s="41">
        <v>-7.84</v>
      </c>
      <c r="O424" s="41">
        <v>-25.97</v>
      </c>
      <c r="P424" s="41">
        <v>-22.05</v>
      </c>
      <c r="Q424" s="41">
        <v>-20.09</v>
      </c>
      <c r="R424" s="41">
        <v>-20.58</v>
      </c>
      <c r="S424" s="41">
        <v>-20.09</v>
      </c>
      <c r="T424" s="41">
        <v>0</v>
      </c>
      <c r="U424" s="41">
        <v>0</v>
      </c>
      <c r="V424" s="41">
        <v>0</v>
      </c>
      <c r="W424" s="41">
        <v>0</v>
      </c>
      <c r="X424" s="41">
        <v>0</v>
      </c>
      <c r="Y424" s="41">
        <v>0</v>
      </c>
      <c r="Z424" s="41">
        <v>0</v>
      </c>
      <c r="AA424" s="41">
        <v>0</v>
      </c>
      <c r="AB424" s="41">
        <v>0</v>
      </c>
      <c r="AC424" s="41">
        <v>0</v>
      </c>
      <c r="AD424" s="41">
        <v>0</v>
      </c>
      <c r="AE424" s="41">
        <v>0</v>
      </c>
      <c r="AF424" s="41">
        <v>0</v>
      </c>
      <c r="AG424" s="41">
        <v>0</v>
      </c>
      <c r="AH424" s="41">
        <v>0</v>
      </c>
      <c r="AI424" s="41">
        <v>0</v>
      </c>
      <c r="AJ424" s="41">
        <v>0</v>
      </c>
      <c r="AK424" s="41">
        <v>0</v>
      </c>
      <c r="AL424" s="41">
        <v>0</v>
      </c>
      <c r="AM424" s="41">
        <v>0</v>
      </c>
      <c r="AN424" s="41">
        <v>0</v>
      </c>
      <c r="AO424" s="41">
        <v>0</v>
      </c>
      <c r="AP424" s="41">
        <v>0</v>
      </c>
      <c r="AQ424" s="41">
        <v>0</v>
      </c>
      <c r="AR424" s="41">
        <v>0</v>
      </c>
      <c r="AS424" s="41">
        <v>0</v>
      </c>
      <c r="AT424" s="41">
        <v>0</v>
      </c>
      <c r="AU424" s="41">
        <v>0</v>
      </c>
      <c r="AV424" s="211">
        <v>0</v>
      </c>
      <c r="AW424" s="41">
        <v>0</v>
      </c>
      <c r="AX424" s="41">
        <v>0</v>
      </c>
      <c r="AY424" s="41">
        <v>0</v>
      </c>
      <c r="AZ424" s="41">
        <v>0</v>
      </c>
      <c r="BA424" s="41">
        <v>0</v>
      </c>
      <c r="BB424" s="41">
        <v>0</v>
      </c>
      <c r="BC424" s="41">
        <v>0</v>
      </c>
      <c r="BD424" s="41">
        <v>0</v>
      </c>
      <c r="BE424" s="41">
        <v>0</v>
      </c>
      <c r="BF424" s="41">
        <v>0</v>
      </c>
      <c r="BG424" s="41">
        <v>0</v>
      </c>
      <c r="BH424" s="41">
        <v>0</v>
      </c>
      <c r="BI424" s="41">
        <v>0</v>
      </c>
      <c r="BJ424" s="41">
        <v>0</v>
      </c>
      <c r="BK424" s="41">
        <v>0</v>
      </c>
      <c r="BL424" s="41">
        <v>0</v>
      </c>
      <c r="BM424" s="41">
        <v>0</v>
      </c>
      <c r="BN424" s="41">
        <v>0</v>
      </c>
      <c r="BO424" s="41">
        <v>0</v>
      </c>
      <c r="BP424" s="41"/>
      <c r="BQ424" s="41">
        <v>0</v>
      </c>
      <c r="BR424" s="41">
        <v>0</v>
      </c>
      <c r="BS424" s="41">
        <v>0</v>
      </c>
      <c r="BT424" s="41">
        <v>0</v>
      </c>
      <c r="BU424" s="41">
        <v>0</v>
      </c>
      <c r="BV424" s="41">
        <v>0</v>
      </c>
      <c r="BW424" s="41">
        <v>0</v>
      </c>
      <c r="BX424" s="41">
        <v>0</v>
      </c>
      <c r="BY424" s="41">
        <v>0</v>
      </c>
      <c r="BZ424" s="41">
        <v>0</v>
      </c>
      <c r="CA424" s="41">
        <v>-2.4500000000000002</v>
      </c>
      <c r="CB424" s="41">
        <v>-14.209999999999999</v>
      </c>
      <c r="CC424" s="41">
        <v>-27.93</v>
      </c>
      <c r="CD424" s="41">
        <v>-23.03</v>
      </c>
      <c r="CE424" s="41">
        <v>-25.48</v>
      </c>
      <c r="CF424" s="41">
        <v>-33.81</v>
      </c>
      <c r="CG424" s="41">
        <v>-42.14</v>
      </c>
      <c r="CH424" s="41">
        <v>-40.67</v>
      </c>
      <c r="CI424" s="41">
        <v>0</v>
      </c>
      <c r="CJ424" s="41">
        <v>0</v>
      </c>
      <c r="CK424" s="41">
        <v>0</v>
      </c>
      <c r="CL424" s="41">
        <v>0</v>
      </c>
      <c r="CM424" s="41">
        <v>0</v>
      </c>
      <c r="CN424" s="41">
        <v>0</v>
      </c>
      <c r="CO424" s="41">
        <v>0</v>
      </c>
      <c r="CP424" s="41">
        <v>0</v>
      </c>
      <c r="CQ424" s="41">
        <v>0</v>
      </c>
      <c r="CR424" s="41">
        <v>0</v>
      </c>
      <c r="CS424" s="41">
        <v>0</v>
      </c>
      <c r="CT424" s="41">
        <v>0</v>
      </c>
      <c r="CU424" s="41">
        <v>0</v>
      </c>
      <c r="CV424" s="211">
        <v>0</v>
      </c>
      <c r="CW424" s="41">
        <v>0</v>
      </c>
      <c r="CX424" s="41">
        <v>0</v>
      </c>
      <c r="CY424" s="41">
        <v>0</v>
      </c>
      <c r="CZ424" s="41">
        <v>0</v>
      </c>
      <c r="DA424" s="41">
        <v>0</v>
      </c>
      <c r="DB424" s="41">
        <v>0</v>
      </c>
      <c r="DC424" s="41">
        <v>0</v>
      </c>
      <c r="DD424" s="41">
        <v>0</v>
      </c>
      <c r="DE424" s="41">
        <v>0</v>
      </c>
      <c r="DF424" s="41">
        <v>0</v>
      </c>
    </row>
    <row r="425" spans="1:110" ht="12" hidden="1" outlineLevel="2">
      <c r="A425" s="1" t="s">
        <v>90</v>
      </c>
      <c r="B425" s="15" t="s">
        <v>425</v>
      </c>
      <c r="C425" s="41">
        <v>0</v>
      </c>
      <c r="D425" s="41">
        <v>0</v>
      </c>
      <c r="E425" s="41">
        <v>0</v>
      </c>
      <c r="F425" s="41">
        <v>0</v>
      </c>
      <c r="G425" s="41">
        <v>0</v>
      </c>
      <c r="H425" s="41">
        <v>0</v>
      </c>
      <c r="I425" s="41">
        <v>0</v>
      </c>
      <c r="J425" s="41">
        <v>0</v>
      </c>
      <c r="K425" s="41">
        <v>0</v>
      </c>
      <c r="L425" s="41">
        <v>0</v>
      </c>
      <c r="M425" s="41">
        <v>0</v>
      </c>
      <c r="N425" s="41">
        <v>0</v>
      </c>
      <c r="O425" s="41">
        <v>0</v>
      </c>
      <c r="P425" s="41">
        <v>-76</v>
      </c>
      <c r="Q425" s="41">
        <v>523</v>
      </c>
      <c r="R425" s="41">
        <v>1155</v>
      </c>
      <c r="S425" s="41">
        <v>-728</v>
      </c>
      <c r="T425" s="41">
        <v>-83</v>
      </c>
      <c r="U425" s="41">
        <v>-35</v>
      </c>
      <c r="V425" s="41">
        <v>0</v>
      </c>
      <c r="W425" s="41">
        <v>0</v>
      </c>
      <c r="X425" s="41">
        <v>0</v>
      </c>
      <c r="Y425" s="41">
        <v>0</v>
      </c>
      <c r="Z425" s="41">
        <v>0</v>
      </c>
      <c r="AA425" s="41">
        <v>0</v>
      </c>
      <c r="AB425" s="41">
        <v>0</v>
      </c>
      <c r="AC425" s="41">
        <v>0</v>
      </c>
      <c r="AD425" s="41">
        <v>0</v>
      </c>
      <c r="AE425" s="41">
        <v>0</v>
      </c>
      <c r="AF425" s="41">
        <v>0</v>
      </c>
      <c r="AG425" s="41">
        <v>0</v>
      </c>
      <c r="AH425" s="41">
        <v>0</v>
      </c>
      <c r="AI425" s="41">
        <v>0</v>
      </c>
      <c r="AJ425" s="41">
        <v>0</v>
      </c>
      <c r="AK425" s="41">
        <v>0</v>
      </c>
      <c r="AL425" s="41">
        <v>0</v>
      </c>
      <c r="AM425" s="41">
        <v>0</v>
      </c>
      <c r="AN425" s="41">
        <v>0</v>
      </c>
      <c r="AO425" s="41">
        <v>0</v>
      </c>
      <c r="AP425" s="41">
        <v>0</v>
      </c>
      <c r="AQ425" s="41">
        <v>0</v>
      </c>
      <c r="AR425" s="41">
        <v>0</v>
      </c>
      <c r="AS425" s="41">
        <v>0</v>
      </c>
      <c r="AT425" s="41">
        <v>0</v>
      </c>
      <c r="AU425" s="41">
        <v>0</v>
      </c>
      <c r="AV425" s="211">
        <v>0</v>
      </c>
      <c r="AW425" s="41">
        <v>0</v>
      </c>
      <c r="AX425" s="41">
        <v>0</v>
      </c>
      <c r="AY425" s="41">
        <v>0</v>
      </c>
      <c r="AZ425" s="41">
        <v>0</v>
      </c>
      <c r="BA425" s="41">
        <v>0</v>
      </c>
      <c r="BB425" s="41">
        <v>0</v>
      </c>
      <c r="BC425" s="41">
        <v>0</v>
      </c>
      <c r="BD425" s="41">
        <v>0</v>
      </c>
      <c r="BE425" s="41">
        <v>0</v>
      </c>
      <c r="BF425" s="41">
        <v>0</v>
      </c>
      <c r="BG425" s="41">
        <v>0</v>
      </c>
      <c r="BH425" s="41">
        <v>0</v>
      </c>
      <c r="BI425" s="41">
        <v>0</v>
      </c>
      <c r="BJ425" s="41">
        <v>0</v>
      </c>
      <c r="BK425" s="41">
        <v>0</v>
      </c>
      <c r="BL425" s="41">
        <v>0</v>
      </c>
      <c r="BM425" s="41">
        <v>0</v>
      </c>
      <c r="BN425" s="41">
        <v>0</v>
      </c>
      <c r="BO425" s="41">
        <v>0</v>
      </c>
      <c r="BP425" s="41"/>
      <c r="BQ425" s="41">
        <v>0</v>
      </c>
      <c r="BR425" s="41">
        <v>0</v>
      </c>
      <c r="BS425" s="41">
        <v>0</v>
      </c>
      <c r="BT425" s="41">
        <v>0</v>
      </c>
      <c r="BU425" s="41">
        <v>0</v>
      </c>
      <c r="BV425" s="41">
        <v>0</v>
      </c>
      <c r="BW425" s="41">
        <v>0</v>
      </c>
      <c r="BX425" s="41">
        <v>0</v>
      </c>
      <c r="BY425" s="41">
        <v>0</v>
      </c>
      <c r="BZ425" s="41">
        <v>0</v>
      </c>
      <c r="CA425" s="41">
        <v>0</v>
      </c>
      <c r="CB425" s="41">
        <v>0</v>
      </c>
      <c r="CC425" s="41">
        <v>0</v>
      </c>
      <c r="CD425" s="41">
        <v>0</v>
      </c>
      <c r="CE425" s="41">
        <v>0</v>
      </c>
      <c r="CF425" s="41">
        <v>0</v>
      </c>
      <c r="CG425" s="41">
        <v>447</v>
      </c>
      <c r="CH425" s="41">
        <v>427</v>
      </c>
      <c r="CI425" s="41">
        <v>-118</v>
      </c>
      <c r="CJ425" s="41">
        <v>0</v>
      </c>
      <c r="CK425" s="41">
        <v>0</v>
      </c>
      <c r="CL425" s="41">
        <v>0</v>
      </c>
      <c r="CM425" s="41">
        <v>0</v>
      </c>
      <c r="CN425" s="41">
        <v>0</v>
      </c>
      <c r="CO425" s="41">
        <v>0</v>
      </c>
      <c r="CP425" s="41">
        <v>0</v>
      </c>
      <c r="CQ425" s="41">
        <v>0</v>
      </c>
      <c r="CR425" s="41">
        <v>0</v>
      </c>
      <c r="CS425" s="41">
        <v>0</v>
      </c>
      <c r="CT425" s="41">
        <v>0</v>
      </c>
      <c r="CU425" s="41">
        <v>0</v>
      </c>
      <c r="CV425" s="211">
        <v>0</v>
      </c>
      <c r="CW425" s="41">
        <v>0</v>
      </c>
      <c r="CX425" s="41">
        <v>0</v>
      </c>
      <c r="CY425" s="41">
        <v>0</v>
      </c>
      <c r="CZ425" s="41">
        <v>0</v>
      </c>
      <c r="DA425" s="41">
        <v>0</v>
      </c>
      <c r="DB425" s="41">
        <v>0</v>
      </c>
      <c r="DC425" s="41">
        <v>0</v>
      </c>
      <c r="DD425" s="41">
        <v>0</v>
      </c>
      <c r="DE425" s="41">
        <v>0</v>
      </c>
      <c r="DF425" s="41">
        <v>0</v>
      </c>
    </row>
    <row r="426" spans="1:110" s="17" customFormat="1" ht="12" hidden="1" outlineLevel="2">
      <c r="A426" s="1" t="s">
        <v>91</v>
      </c>
      <c r="B426" s="17" t="s">
        <v>505</v>
      </c>
      <c r="C426" s="62">
        <v>3287</v>
      </c>
      <c r="D426" s="62">
        <v>3374</v>
      </c>
      <c r="E426" s="62">
        <v>3440</v>
      </c>
      <c r="F426" s="62">
        <v>3492.0000000000005</v>
      </c>
      <c r="G426" s="62">
        <v>3627</v>
      </c>
      <c r="H426" s="62">
        <v>4080</v>
      </c>
      <c r="I426" s="62">
        <v>4439.0000000000009</v>
      </c>
      <c r="J426" s="62">
        <v>4547</v>
      </c>
      <c r="K426" s="62">
        <v>4758.9999999999991</v>
      </c>
      <c r="L426" s="62">
        <v>4931</v>
      </c>
      <c r="M426" s="62">
        <v>5158</v>
      </c>
      <c r="N426" s="62">
        <v>5381</v>
      </c>
      <c r="O426" s="62">
        <v>5641</v>
      </c>
      <c r="P426" s="62">
        <v>5980</v>
      </c>
      <c r="Q426" s="62">
        <v>6315</v>
      </c>
      <c r="R426" s="62">
        <v>7039</v>
      </c>
      <c r="S426" s="62">
        <v>7328</v>
      </c>
      <c r="T426" s="62">
        <v>7567</v>
      </c>
      <c r="U426" s="62">
        <v>8215</v>
      </c>
      <c r="V426" s="62">
        <v>8508</v>
      </c>
      <c r="W426" s="62">
        <v>8377</v>
      </c>
      <c r="X426" s="62">
        <v>8720</v>
      </c>
      <c r="Y426" s="62">
        <v>9128</v>
      </c>
      <c r="Z426" s="62">
        <v>9092</v>
      </c>
      <c r="AA426" s="62">
        <v>9299</v>
      </c>
      <c r="AB426" s="62">
        <v>9668</v>
      </c>
      <c r="AC426" s="62">
        <v>9910</v>
      </c>
      <c r="AD426" s="62">
        <v>10195</v>
      </c>
      <c r="AE426" s="62">
        <v>10342</v>
      </c>
      <c r="AF426" s="62">
        <v>10325</v>
      </c>
      <c r="AG426" s="62">
        <v>10269</v>
      </c>
      <c r="AH426" s="62">
        <v>9976</v>
      </c>
      <c r="AI426" s="62">
        <v>9840</v>
      </c>
      <c r="AJ426" s="62">
        <v>9870</v>
      </c>
      <c r="AK426" s="62">
        <v>9497</v>
      </c>
      <c r="AL426" s="62">
        <v>9746</v>
      </c>
      <c r="AM426" s="62">
        <v>9283</v>
      </c>
      <c r="AN426" s="62">
        <v>8579</v>
      </c>
      <c r="AO426" s="62">
        <v>9173</v>
      </c>
      <c r="AP426" s="62">
        <v>8423</v>
      </c>
      <c r="AQ426" s="62">
        <v>9024</v>
      </c>
      <c r="AR426" s="62">
        <v>8948</v>
      </c>
      <c r="AS426" s="62">
        <v>9599</v>
      </c>
      <c r="AT426" s="62">
        <v>10540</v>
      </c>
      <c r="AU426" s="62">
        <v>10365</v>
      </c>
      <c r="AV426" s="220">
        <v>10347</v>
      </c>
      <c r="AW426" s="62">
        <v>10414.704212510049</v>
      </c>
      <c r="AX426" s="62">
        <v>11276.981463327591</v>
      </c>
      <c r="AY426" s="62">
        <v>11282.629009964325</v>
      </c>
      <c r="AZ426" s="62">
        <v>11452.686447465252</v>
      </c>
      <c r="BA426" s="62">
        <v>11383.725183629285</v>
      </c>
      <c r="BB426" s="62">
        <v>11694.749934840378</v>
      </c>
      <c r="BC426" s="62">
        <v>11595.148342788758</v>
      </c>
      <c r="BD426" s="62">
        <v>12052.248847582472</v>
      </c>
      <c r="BE426" s="62">
        <v>12001.554554688169</v>
      </c>
      <c r="BF426" s="62">
        <v>12501.635224557343</v>
      </c>
      <c r="BG426" s="62">
        <v>12538.837994650592</v>
      </c>
      <c r="BH426" s="62">
        <v>13029.264331609289</v>
      </c>
      <c r="BI426" s="62">
        <v>13118.628199796918</v>
      </c>
      <c r="BJ426" s="62">
        <v>13684.602856714464</v>
      </c>
      <c r="BK426" s="62">
        <v>13759.47179554642</v>
      </c>
      <c r="BL426" s="62">
        <v>14392.917555866747</v>
      </c>
      <c r="BM426" s="62">
        <v>14410.767990474667</v>
      </c>
      <c r="BN426" s="62">
        <v>14973.749187457826</v>
      </c>
      <c r="BO426" s="62">
        <v>14875.11784897351</v>
      </c>
      <c r="BP426" s="62"/>
      <c r="BQ426" s="62">
        <v>4546.5</v>
      </c>
      <c r="BR426" s="62">
        <v>4418</v>
      </c>
      <c r="BS426" s="62">
        <v>4587</v>
      </c>
      <c r="BT426" s="62">
        <v>4838</v>
      </c>
      <c r="BU426" s="62">
        <v>5166</v>
      </c>
      <c r="BV426" s="62">
        <v>5547</v>
      </c>
      <c r="BW426" s="62">
        <v>5689</v>
      </c>
      <c r="BX426" s="62">
        <v>6032</v>
      </c>
      <c r="BY426" s="62">
        <v>6384</v>
      </c>
      <c r="BZ426" s="62">
        <v>6406</v>
      </c>
      <c r="CA426" s="62">
        <v>6814</v>
      </c>
      <c r="CB426" s="62">
        <v>7119</v>
      </c>
      <c r="CC426" s="62">
        <v>8519</v>
      </c>
      <c r="CD426" s="62">
        <v>9305.9999999999982</v>
      </c>
      <c r="CE426" s="62">
        <v>10089</v>
      </c>
      <c r="CF426" s="62">
        <v>11022</v>
      </c>
      <c r="CG426" s="62">
        <v>12295</v>
      </c>
      <c r="CH426" s="62">
        <v>14367</v>
      </c>
      <c r="CI426" s="62">
        <v>15782</v>
      </c>
      <c r="CJ426" s="62">
        <v>16885</v>
      </c>
      <c r="CK426" s="62">
        <v>17848</v>
      </c>
      <c r="CL426" s="62">
        <v>18391</v>
      </c>
      <c r="CM426" s="62">
        <v>19578</v>
      </c>
      <c r="CN426" s="62">
        <v>20537</v>
      </c>
      <c r="CO426" s="62">
        <v>20594</v>
      </c>
      <c r="CP426" s="62">
        <v>19816</v>
      </c>
      <c r="CQ426" s="62">
        <v>19367</v>
      </c>
      <c r="CR426" s="62">
        <v>19029</v>
      </c>
      <c r="CS426" s="62">
        <v>17752</v>
      </c>
      <c r="CT426" s="62">
        <v>17447</v>
      </c>
      <c r="CU426" s="62">
        <v>18547</v>
      </c>
      <c r="CV426" s="220">
        <v>20905</v>
      </c>
      <c r="CW426" s="62">
        <v>20761.704212510049</v>
      </c>
      <c r="CX426" s="62">
        <v>22559.610473291916</v>
      </c>
      <c r="CY426" s="62">
        <v>22836.411631094539</v>
      </c>
      <c r="CZ426" s="62">
        <v>23289.898277629138</v>
      </c>
      <c r="DA426" s="62">
        <v>24053.803402270642</v>
      </c>
      <c r="DB426" s="62">
        <v>25040.473219207939</v>
      </c>
      <c r="DC426" s="62">
        <v>26147.892531406207</v>
      </c>
      <c r="DD426" s="62">
        <v>27444.074652260882</v>
      </c>
      <c r="DE426" s="62">
        <v>28803.685546341414</v>
      </c>
      <c r="DF426" s="62">
        <v>29848.867036431337</v>
      </c>
    </row>
    <row r="427" spans="1:110" ht="12" hidden="1" outlineLevel="2">
      <c r="A427" s="1" t="s">
        <v>92</v>
      </c>
      <c r="B427" s="15" t="s">
        <v>529</v>
      </c>
      <c r="C427" s="41">
        <v>0</v>
      </c>
      <c r="D427" s="41">
        <v>0</v>
      </c>
      <c r="E427" s="41">
        <v>174</v>
      </c>
      <c r="F427" s="41">
        <v>0</v>
      </c>
      <c r="G427" s="41">
        <v>0</v>
      </c>
      <c r="H427" s="41">
        <v>112</v>
      </c>
      <c r="I427" s="41">
        <v>0</v>
      </c>
      <c r="J427" s="41">
        <v>35</v>
      </c>
      <c r="K427" s="41">
        <v>55</v>
      </c>
      <c r="L427" s="41">
        <v>32</v>
      </c>
      <c r="M427" s="41">
        <v>31</v>
      </c>
      <c r="N427" s="41">
        <v>232</v>
      </c>
      <c r="O427" s="41">
        <v>86</v>
      </c>
      <c r="P427" s="41">
        <v>158</v>
      </c>
      <c r="Q427" s="41">
        <v>-294</v>
      </c>
      <c r="R427" s="41">
        <v>-472</v>
      </c>
      <c r="S427" s="41">
        <v>-285</v>
      </c>
      <c r="T427" s="41">
        <v>-350</v>
      </c>
      <c r="U427" s="41">
        <v>260</v>
      </c>
      <c r="V427" s="41">
        <v>97</v>
      </c>
      <c r="W427" s="41">
        <v>-50</v>
      </c>
      <c r="X427" s="41">
        <v>97</v>
      </c>
      <c r="Y427" s="41">
        <v>-234</v>
      </c>
      <c r="Z427" s="41">
        <v>-156</v>
      </c>
      <c r="AA427" s="41">
        <v>224</v>
      </c>
      <c r="AB427" s="41">
        <v>-134</v>
      </c>
      <c r="AC427" s="41">
        <v>610</v>
      </c>
      <c r="AD427" s="41">
        <v>45</v>
      </c>
      <c r="AE427" s="41">
        <v>508</v>
      </c>
      <c r="AF427" s="41">
        <v>-51</v>
      </c>
      <c r="AG427" s="41">
        <v>3</v>
      </c>
      <c r="AH427" s="41">
        <v>20</v>
      </c>
      <c r="AI427" s="41">
        <v>437</v>
      </c>
      <c r="AJ427" s="41">
        <v>138</v>
      </c>
      <c r="AK427" s="41">
        <v>560</v>
      </c>
      <c r="AL427" s="41">
        <v>-311</v>
      </c>
      <c r="AM427" s="41">
        <v>236</v>
      </c>
      <c r="AN427" s="41">
        <v>200</v>
      </c>
      <c r="AO427" s="41">
        <v>-366</v>
      </c>
      <c r="AP427" s="41">
        <v>-29</v>
      </c>
      <c r="AQ427" s="41">
        <v>29</v>
      </c>
      <c r="AR427" s="41">
        <v>594</v>
      </c>
      <c r="AS427" s="41">
        <v>285</v>
      </c>
      <c r="AT427" s="41">
        <v>-389</v>
      </c>
      <c r="AU427" s="41">
        <v>-45</v>
      </c>
      <c r="AV427" s="211">
        <v>-202</v>
      </c>
      <c r="AW427" s="41">
        <v>0</v>
      </c>
      <c r="AX427" s="41">
        <v>0</v>
      </c>
      <c r="AY427" s="41">
        <v>0</v>
      </c>
      <c r="AZ427" s="41">
        <v>0</v>
      </c>
      <c r="BA427" s="41">
        <v>0</v>
      </c>
      <c r="BB427" s="41">
        <v>0</v>
      </c>
      <c r="BC427" s="41">
        <v>0</v>
      </c>
      <c r="BD427" s="41">
        <v>0</v>
      </c>
      <c r="BE427" s="41">
        <v>0</v>
      </c>
      <c r="BF427" s="41">
        <v>0</v>
      </c>
      <c r="BG427" s="41">
        <v>0</v>
      </c>
      <c r="BH427" s="41">
        <v>0</v>
      </c>
      <c r="BI427" s="41">
        <v>0</v>
      </c>
      <c r="BJ427" s="41">
        <v>0</v>
      </c>
      <c r="BK427" s="41">
        <v>0</v>
      </c>
      <c r="BL427" s="41">
        <v>0</v>
      </c>
      <c r="BM427" s="41">
        <v>0</v>
      </c>
      <c r="BN427" s="41">
        <v>0</v>
      </c>
      <c r="BO427" s="41">
        <v>0</v>
      </c>
      <c r="BP427" s="41"/>
      <c r="BQ427" s="41">
        <v>11.699999999999818</v>
      </c>
      <c r="BR427" s="41">
        <v>-172.5</v>
      </c>
      <c r="BS427" s="41">
        <v>21</v>
      </c>
      <c r="BT427" s="41">
        <v>0</v>
      </c>
      <c r="BU427" s="41">
        <v>0</v>
      </c>
      <c r="BV427" s="41">
        <v>145</v>
      </c>
      <c r="BW427" s="41">
        <v>-70</v>
      </c>
      <c r="BX427" s="41">
        <v>0</v>
      </c>
      <c r="BY427" s="41">
        <v>1207</v>
      </c>
      <c r="BZ427" s="41">
        <v>0</v>
      </c>
      <c r="CA427" s="41">
        <v>174</v>
      </c>
      <c r="CB427" s="41">
        <v>0</v>
      </c>
      <c r="CC427" s="41">
        <v>112</v>
      </c>
      <c r="CD427" s="41">
        <v>90</v>
      </c>
      <c r="CE427" s="41">
        <v>63</v>
      </c>
      <c r="CF427" s="41">
        <v>318</v>
      </c>
      <c r="CG427" s="41">
        <v>-136</v>
      </c>
      <c r="CH427" s="41">
        <v>-757</v>
      </c>
      <c r="CI427" s="41">
        <v>-90</v>
      </c>
      <c r="CJ427" s="41">
        <v>47</v>
      </c>
      <c r="CK427" s="41">
        <v>-137</v>
      </c>
      <c r="CL427" s="41">
        <v>68</v>
      </c>
      <c r="CM427" s="41">
        <v>476</v>
      </c>
      <c r="CN427" s="41">
        <v>553</v>
      </c>
      <c r="CO427" s="41">
        <v>-48</v>
      </c>
      <c r="CP427" s="41">
        <v>457</v>
      </c>
      <c r="CQ427" s="41">
        <v>698</v>
      </c>
      <c r="CR427" s="41">
        <v>-75</v>
      </c>
      <c r="CS427" s="41">
        <v>-166</v>
      </c>
      <c r="CT427" s="41">
        <v>0</v>
      </c>
      <c r="CU427" s="41">
        <v>879</v>
      </c>
      <c r="CV427" s="211">
        <v>-434</v>
      </c>
      <c r="CW427" s="41">
        <v>-202</v>
      </c>
      <c r="CX427" s="41">
        <v>0</v>
      </c>
      <c r="CY427" s="41">
        <v>0</v>
      </c>
      <c r="CZ427" s="41">
        <v>0</v>
      </c>
      <c r="DA427" s="41">
        <v>0</v>
      </c>
      <c r="DB427" s="41">
        <v>0</v>
      </c>
      <c r="DC427" s="41">
        <v>0</v>
      </c>
      <c r="DD427" s="41">
        <v>0</v>
      </c>
      <c r="DE427" s="41">
        <v>0</v>
      </c>
      <c r="DF427" s="41">
        <v>0</v>
      </c>
    </row>
    <row r="428" spans="1:110" s="17" customFormat="1" ht="12" hidden="1" outlineLevel="2">
      <c r="A428" s="1" t="s">
        <v>93</v>
      </c>
      <c r="B428" s="17" t="s">
        <v>552</v>
      </c>
      <c r="C428" s="62">
        <v>3287</v>
      </c>
      <c r="D428" s="62">
        <v>3374</v>
      </c>
      <c r="E428" s="62">
        <v>3614</v>
      </c>
      <c r="F428" s="62">
        <v>3492.0000000000005</v>
      </c>
      <c r="G428" s="62">
        <v>3627</v>
      </c>
      <c r="H428" s="62">
        <v>4192</v>
      </c>
      <c r="I428" s="62">
        <v>4439.0000000000009</v>
      </c>
      <c r="J428" s="62">
        <v>4582</v>
      </c>
      <c r="K428" s="62">
        <v>4813.9999999999991</v>
      </c>
      <c r="L428" s="62">
        <v>4963</v>
      </c>
      <c r="M428" s="62">
        <v>5189</v>
      </c>
      <c r="N428" s="62">
        <v>5613</v>
      </c>
      <c r="O428" s="62">
        <v>5727</v>
      </c>
      <c r="P428" s="62">
        <v>6138</v>
      </c>
      <c r="Q428" s="62">
        <v>6021</v>
      </c>
      <c r="R428" s="62">
        <v>6567</v>
      </c>
      <c r="S428" s="62">
        <v>7043</v>
      </c>
      <c r="T428" s="62">
        <v>7217</v>
      </c>
      <c r="U428" s="62">
        <v>8475</v>
      </c>
      <c r="V428" s="62">
        <v>8605</v>
      </c>
      <c r="W428" s="62">
        <v>8327</v>
      </c>
      <c r="X428" s="62">
        <v>8817</v>
      </c>
      <c r="Y428" s="62">
        <v>8894</v>
      </c>
      <c r="Z428" s="62">
        <v>8936</v>
      </c>
      <c r="AA428" s="62">
        <v>9523</v>
      </c>
      <c r="AB428" s="62">
        <v>9534</v>
      </c>
      <c r="AC428" s="62">
        <v>10520</v>
      </c>
      <c r="AD428" s="62">
        <v>10240</v>
      </c>
      <c r="AE428" s="62">
        <v>10850</v>
      </c>
      <c r="AF428" s="62">
        <v>10274</v>
      </c>
      <c r="AG428" s="62">
        <v>10272</v>
      </c>
      <c r="AH428" s="62">
        <v>9996</v>
      </c>
      <c r="AI428" s="62">
        <v>10277</v>
      </c>
      <c r="AJ428" s="62">
        <v>10008</v>
      </c>
      <c r="AK428" s="62">
        <v>10057</v>
      </c>
      <c r="AL428" s="62">
        <v>9435</v>
      </c>
      <c r="AM428" s="62">
        <v>9519</v>
      </c>
      <c r="AN428" s="62">
        <v>8779</v>
      </c>
      <c r="AO428" s="62">
        <v>8807</v>
      </c>
      <c r="AP428" s="62">
        <v>8394</v>
      </c>
      <c r="AQ428" s="62">
        <v>9053</v>
      </c>
      <c r="AR428" s="62">
        <v>9542</v>
      </c>
      <c r="AS428" s="62">
        <v>9884</v>
      </c>
      <c r="AT428" s="62">
        <v>10151</v>
      </c>
      <c r="AU428" s="62">
        <v>10320</v>
      </c>
      <c r="AV428" s="220">
        <v>10145</v>
      </c>
      <c r="AW428" s="62">
        <v>10414.704212510049</v>
      </c>
      <c r="AX428" s="62">
        <v>11276.981463327591</v>
      </c>
      <c r="AY428" s="62">
        <v>11282.629009964325</v>
      </c>
      <c r="AZ428" s="62">
        <v>11452.686447465252</v>
      </c>
      <c r="BA428" s="62">
        <v>11383.725183629285</v>
      </c>
      <c r="BB428" s="62">
        <v>11694.749934840378</v>
      </c>
      <c r="BC428" s="62">
        <v>11595.148342788758</v>
      </c>
      <c r="BD428" s="62">
        <v>12052.248847582472</v>
      </c>
      <c r="BE428" s="62">
        <v>12001.554554688169</v>
      </c>
      <c r="BF428" s="62">
        <v>12501.635224557343</v>
      </c>
      <c r="BG428" s="62">
        <v>12538.837994650592</v>
      </c>
      <c r="BH428" s="62">
        <v>13029.264331609289</v>
      </c>
      <c r="BI428" s="62">
        <v>13118.628199796918</v>
      </c>
      <c r="BJ428" s="62">
        <v>13684.602856714464</v>
      </c>
      <c r="BK428" s="62">
        <v>13759.47179554642</v>
      </c>
      <c r="BL428" s="62">
        <v>14392.917555866747</v>
      </c>
      <c r="BM428" s="62">
        <v>14410.767990474667</v>
      </c>
      <c r="BN428" s="62">
        <v>14973.749187457826</v>
      </c>
      <c r="BO428" s="62">
        <v>14875.11784897351</v>
      </c>
      <c r="BP428" s="62"/>
      <c r="BQ428" s="62">
        <v>4558.2</v>
      </c>
      <c r="BR428" s="62">
        <v>4245.5</v>
      </c>
      <c r="BS428" s="62">
        <v>4608</v>
      </c>
      <c r="BT428" s="62">
        <v>4838</v>
      </c>
      <c r="BU428" s="62">
        <v>5166</v>
      </c>
      <c r="BV428" s="62">
        <v>5692</v>
      </c>
      <c r="BW428" s="62">
        <v>5619</v>
      </c>
      <c r="BX428" s="62">
        <v>6032</v>
      </c>
      <c r="BY428" s="62">
        <v>7591</v>
      </c>
      <c r="BZ428" s="62">
        <v>6406</v>
      </c>
      <c r="CA428" s="62">
        <v>6988</v>
      </c>
      <c r="CB428" s="62">
        <v>7119</v>
      </c>
      <c r="CC428" s="62">
        <v>8631</v>
      </c>
      <c r="CD428" s="62">
        <v>9395.9999999999982</v>
      </c>
      <c r="CE428" s="62">
        <v>10152</v>
      </c>
      <c r="CF428" s="62">
        <v>11340</v>
      </c>
      <c r="CG428" s="62">
        <v>12159</v>
      </c>
      <c r="CH428" s="62">
        <v>13610</v>
      </c>
      <c r="CI428" s="62">
        <v>15692</v>
      </c>
      <c r="CJ428" s="62">
        <v>16932</v>
      </c>
      <c r="CK428" s="62">
        <v>17711</v>
      </c>
      <c r="CL428" s="62">
        <v>18459</v>
      </c>
      <c r="CM428" s="62">
        <v>20054</v>
      </c>
      <c r="CN428" s="62">
        <v>21090</v>
      </c>
      <c r="CO428" s="62">
        <v>20546</v>
      </c>
      <c r="CP428" s="62">
        <v>20273</v>
      </c>
      <c r="CQ428" s="62">
        <v>20065</v>
      </c>
      <c r="CR428" s="62">
        <v>18954</v>
      </c>
      <c r="CS428" s="62">
        <v>17586</v>
      </c>
      <c r="CT428" s="62">
        <v>17447</v>
      </c>
      <c r="CU428" s="62">
        <v>19426</v>
      </c>
      <c r="CV428" s="220">
        <v>20471</v>
      </c>
      <c r="CW428" s="62">
        <v>20559.704212510049</v>
      </c>
      <c r="CX428" s="62">
        <v>22559.610473291916</v>
      </c>
      <c r="CY428" s="62">
        <v>22836.411631094539</v>
      </c>
      <c r="CZ428" s="62">
        <v>23289.898277629138</v>
      </c>
      <c r="DA428" s="62">
        <v>24053.803402270642</v>
      </c>
      <c r="DB428" s="62">
        <v>25040.473219207939</v>
      </c>
      <c r="DC428" s="62">
        <v>26147.892531406207</v>
      </c>
      <c r="DD428" s="62">
        <v>27444.074652260882</v>
      </c>
      <c r="DE428" s="62">
        <v>28803.685546341414</v>
      </c>
      <c r="DF428" s="62">
        <v>29848.867036431337</v>
      </c>
    </row>
    <row r="429" spans="1:110" ht="12" collapsed="1">
      <c r="C429" s="41"/>
      <c r="D429" s="41"/>
      <c r="E429" s="41"/>
      <c r="F429" s="41"/>
      <c r="G429" s="41"/>
      <c r="H429" s="41"/>
      <c r="I429" s="41"/>
      <c r="J429" s="41"/>
      <c r="K429" s="41"/>
      <c r="L429" s="41"/>
      <c r="M429" s="41"/>
      <c r="N429" s="41"/>
      <c r="O429" s="41"/>
      <c r="P429" s="41"/>
      <c r="Q429" s="41"/>
      <c r="R429" s="41"/>
      <c r="S429" s="41"/>
      <c r="T429" s="41"/>
      <c r="U429" s="41"/>
      <c r="V429" s="41"/>
      <c r="W429" s="41"/>
      <c r="X429" s="41"/>
      <c r="Y429" s="41"/>
      <c r="Z429" s="41"/>
      <c r="AA429" s="41"/>
      <c r="AB429" s="361"/>
      <c r="AC429" s="41"/>
      <c r="AD429" s="41"/>
      <c r="AE429" s="41"/>
      <c r="AF429" s="41"/>
      <c r="AG429" s="41"/>
      <c r="AH429" s="41"/>
      <c r="AI429" s="41"/>
      <c r="AJ429" s="41"/>
      <c r="AK429" s="41"/>
      <c r="AL429" s="41"/>
      <c r="AM429" s="41"/>
      <c r="AN429" s="41"/>
      <c r="AO429" s="41"/>
      <c r="AP429" s="41"/>
      <c r="AQ429" s="41"/>
      <c r="AR429" s="41"/>
      <c r="AS429" s="41"/>
      <c r="AT429" s="41"/>
      <c r="AU429" s="41"/>
      <c r="AV429" s="211"/>
      <c r="AW429" s="41"/>
      <c r="AX429" s="41"/>
      <c r="AY429" s="41"/>
      <c r="AZ429" s="41"/>
      <c r="BA429" s="41"/>
      <c r="BB429" s="41"/>
      <c r="BC429" s="41"/>
      <c r="BD429" s="41"/>
      <c r="BE429" s="41"/>
      <c r="BF429" s="41"/>
      <c r="BG429" s="41"/>
      <c r="BH429" s="41"/>
      <c r="BI429" s="41"/>
      <c r="BJ429" s="41"/>
      <c r="BK429" s="41"/>
      <c r="BL429" s="41"/>
      <c r="BM429" s="41"/>
      <c r="BN429" s="41"/>
      <c r="BO429" s="41"/>
      <c r="BP429" s="41"/>
      <c r="BQ429" s="41"/>
      <c r="BR429" s="41"/>
      <c r="BS429" s="41"/>
      <c r="BT429" s="41"/>
      <c r="BU429" s="41"/>
      <c r="BV429" s="41"/>
      <c r="BW429" s="41"/>
      <c r="BX429" s="41"/>
      <c r="BY429" s="41"/>
      <c r="BZ429" s="41"/>
      <c r="CA429" s="41"/>
      <c r="CB429" s="41"/>
      <c r="CC429" s="41"/>
      <c r="CD429" s="41"/>
      <c r="CE429" s="41"/>
      <c r="CF429" s="41"/>
      <c r="CG429" s="41"/>
      <c r="CH429" s="41"/>
      <c r="CI429" s="41"/>
      <c r="CJ429" s="41"/>
      <c r="CK429" s="41"/>
      <c r="CL429" s="43"/>
      <c r="CM429" s="32"/>
      <c r="CN429" s="32"/>
      <c r="CO429" s="32"/>
      <c r="CP429" s="32"/>
      <c r="CQ429" s="43"/>
      <c r="CR429" s="32"/>
      <c r="CS429" s="32"/>
      <c r="CT429" s="32"/>
      <c r="CU429" s="32"/>
      <c r="CV429" s="31"/>
      <c r="CW429" s="42"/>
      <c r="CX429" s="42"/>
      <c r="CY429" s="42"/>
      <c r="CZ429" s="42"/>
      <c r="DA429" s="42"/>
      <c r="DB429" s="42"/>
      <c r="DC429" s="42"/>
      <c r="DD429" s="42"/>
      <c r="DE429" s="42"/>
      <c r="DF429" s="42"/>
    </row>
    <row r="430" spans="1:110" s="26" customFormat="1" ht="12" collapsed="1">
      <c r="A430" s="1" t="s">
        <v>671</v>
      </c>
      <c r="B430" s="2" t="s">
        <v>553</v>
      </c>
      <c r="C430" s="60">
        <v>-1553</v>
      </c>
      <c r="D430" s="60">
        <v>-1578</v>
      </c>
      <c r="E430" s="60">
        <v>-1667.12</v>
      </c>
      <c r="F430" s="60">
        <v>-1703.43</v>
      </c>
      <c r="G430" s="60">
        <v>-1722.04</v>
      </c>
      <c r="H430" s="60">
        <v>-1999.02</v>
      </c>
      <c r="I430" s="60">
        <v>-2225.9899999999998</v>
      </c>
      <c r="J430" s="60">
        <v>-2219.12</v>
      </c>
      <c r="K430" s="60">
        <v>-2304.63</v>
      </c>
      <c r="L430" s="60">
        <v>-2368.7600000000002</v>
      </c>
      <c r="M430" s="60">
        <v>-2452.33</v>
      </c>
      <c r="N430" s="60">
        <v>-2511.44</v>
      </c>
      <c r="O430" s="60">
        <v>-2673.82</v>
      </c>
      <c r="P430" s="60">
        <v>-2782.64</v>
      </c>
      <c r="Q430" s="60">
        <v>-2890.68</v>
      </c>
      <c r="R430" s="60">
        <v>-3186.54</v>
      </c>
      <c r="S430" s="60">
        <v>-3244.27</v>
      </c>
      <c r="T430" s="60">
        <v>-3256</v>
      </c>
      <c r="U430" s="60">
        <v>-3729</v>
      </c>
      <c r="V430" s="60">
        <v>-4026</v>
      </c>
      <c r="W430" s="60">
        <v>-3997</v>
      </c>
      <c r="X430" s="60">
        <v>-4133</v>
      </c>
      <c r="Y430" s="60">
        <v>-4113</v>
      </c>
      <c r="Z430" s="60">
        <v>-4044</v>
      </c>
      <c r="AA430" s="60">
        <v>-4213</v>
      </c>
      <c r="AB430" s="60">
        <v>-4286</v>
      </c>
      <c r="AC430" s="60">
        <v>-4474</v>
      </c>
      <c r="AD430" s="60">
        <v>-4603</v>
      </c>
      <c r="AE430" s="60">
        <v>-4775</v>
      </c>
      <c r="AF430" s="60">
        <v>-5488</v>
      </c>
      <c r="AG430" s="60">
        <v>-4951</v>
      </c>
      <c r="AH430" s="60">
        <v>-4487</v>
      </c>
      <c r="AI430" s="60">
        <v>-4480</v>
      </c>
      <c r="AJ430" s="60">
        <v>-4473</v>
      </c>
      <c r="AK430" s="60">
        <v>-4928</v>
      </c>
      <c r="AL430" s="60">
        <v>-4365</v>
      </c>
      <c r="AM430" s="60">
        <v>-4706</v>
      </c>
      <c r="AN430" s="60">
        <v>-4605</v>
      </c>
      <c r="AO430" s="60">
        <v>-4778</v>
      </c>
      <c r="AP430" s="60">
        <v>-4482</v>
      </c>
      <c r="AQ430" s="60">
        <v>-4569</v>
      </c>
      <c r="AR430" s="60">
        <v>-4791</v>
      </c>
      <c r="AS430" s="60">
        <v>-4788</v>
      </c>
      <c r="AT430" s="60">
        <v>-4997</v>
      </c>
      <c r="AU430" s="60">
        <v>-5142</v>
      </c>
      <c r="AV430" s="219">
        <v>-5215</v>
      </c>
      <c r="AW430" s="60">
        <v>-5423.7077376548241</v>
      </c>
      <c r="AX430" s="60">
        <v>-5802.1565140635612</v>
      </c>
      <c r="AY430" s="60">
        <v>-5831.9234631274421</v>
      </c>
      <c r="AZ430" s="60">
        <v>-5870.6804274337946</v>
      </c>
      <c r="BA430" s="60">
        <v>-5931.7055227548317</v>
      </c>
      <c r="BB430" s="60">
        <v>-5993.3512694375795</v>
      </c>
      <c r="BC430" s="60">
        <v>-6065.6110025062962</v>
      </c>
      <c r="BD430" s="60">
        <v>-6135.1893980797886</v>
      </c>
      <c r="BE430" s="60">
        <v>-6217.4037986629501</v>
      </c>
      <c r="BF430" s="60">
        <v>-6292.2375989512402</v>
      </c>
      <c r="BG430" s="60">
        <v>-6432.730092703443</v>
      </c>
      <c r="BH430" s="60">
        <v>-6459.2827650683921</v>
      </c>
      <c r="BI430" s="60">
        <v>-6623.1812159298843</v>
      </c>
      <c r="BJ430" s="60">
        <v>-6779.2944241314035</v>
      </c>
      <c r="BK430" s="60">
        <v>-6947.3060763257881</v>
      </c>
      <c r="BL430" s="60">
        <v>-7141.6544406059184</v>
      </c>
      <c r="BM430" s="60">
        <v>-7276.7374355969323</v>
      </c>
      <c r="BN430" s="60">
        <v>-7427.1258929482146</v>
      </c>
      <c r="BO430" s="60">
        <v>-7522.9523447284264</v>
      </c>
      <c r="BP430" s="60"/>
      <c r="BQ430" s="60">
        <v>-3329</v>
      </c>
      <c r="BR430" s="60">
        <v>-3124</v>
      </c>
      <c r="BS430" s="60">
        <v>-3001</v>
      </c>
      <c r="BT430" s="60">
        <v>-3116</v>
      </c>
      <c r="BU430" s="60">
        <v>-3397</v>
      </c>
      <c r="BV430" s="60">
        <v>-3502</v>
      </c>
      <c r="BW430" s="60">
        <v>-3442</v>
      </c>
      <c r="BX430" s="60">
        <v>-3300</v>
      </c>
      <c r="BY430" s="60">
        <v>-3302</v>
      </c>
      <c r="BZ430" s="60">
        <v>-3075</v>
      </c>
      <c r="CA430" s="60">
        <v>-3245.12</v>
      </c>
      <c r="CB430" s="60">
        <v>-3425.4700000000003</v>
      </c>
      <c r="CC430" s="60">
        <v>-4225.01</v>
      </c>
      <c r="CD430" s="60">
        <v>-4523.75</v>
      </c>
      <c r="CE430" s="60">
        <v>-4821.09</v>
      </c>
      <c r="CF430" s="60">
        <v>-5185.26</v>
      </c>
      <c r="CG430" s="60">
        <v>-5673.32</v>
      </c>
      <c r="CH430" s="60">
        <v>-6430.8099999999995</v>
      </c>
      <c r="CI430" s="60">
        <v>-6985</v>
      </c>
      <c r="CJ430" s="60">
        <v>-8023</v>
      </c>
      <c r="CK430" s="60">
        <v>-8246</v>
      </c>
      <c r="CL430" s="60">
        <v>-8257</v>
      </c>
      <c r="CM430" s="60">
        <v>-8760</v>
      </c>
      <c r="CN430" s="60">
        <v>-9378</v>
      </c>
      <c r="CO430" s="60">
        <v>-10439</v>
      </c>
      <c r="CP430" s="60">
        <v>-8967</v>
      </c>
      <c r="CQ430" s="60">
        <v>-9401</v>
      </c>
      <c r="CR430" s="60">
        <v>-9071</v>
      </c>
      <c r="CS430" s="60">
        <v>-9383</v>
      </c>
      <c r="CT430" s="60">
        <v>-9051</v>
      </c>
      <c r="CU430" s="60">
        <v>-9579</v>
      </c>
      <c r="CV430" s="219">
        <v>-10139</v>
      </c>
      <c r="CW430" s="60">
        <v>-10638.707737654824</v>
      </c>
      <c r="CX430" s="60">
        <v>-11634.079977191002</v>
      </c>
      <c r="CY430" s="60">
        <v>-11802.385950188625</v>
      </c>
      <c r="CZ430" s="60">
        <v>-12058.962271943876</v>
      </c>
      <c r="DA430" s="60">
        <v>-12352.593196742739</v>
      </c>
      <c r="DB430" s="60">
        <v>-12724.967691654683</v>
      </c>
      <c r="DC430" s="60">
        <v>-13082.463980998276</v>
      </c>
      <c r="DD430" s="60">
        <v>-13726.600500457193</v>
      </c>
      <c r="DE430" s="60">
        <v>-14418.391876202852</v>
      </c>
      <c r="DF430" s="60">
        <v>-14950.07823767664</v>
      </c>
    </row>
    <row r="431" spans="1:110" ht="12" outlineLevel="1">
      <c r="C431" s="41"/>
      <c r="D431" s="41"/>
      <c r="E431" s="41"/>
      <c r="F431" s="41"/>
      <c r="G431" s="41"/>
      <c r="H431" s="41"/>
      <c r="I431" s="41"/>
      <c r="J431" s="41"/>
      <c r="K431" s="41"/>
      <c r="L431" s="41"/>
      <c r="M431" s="41"/>
      <c r="N431" s="41"/>
      <c r="O431" s="41"/>
      <c r="P431" s="41"/>
      <c r="Q431" s="41"/>
      <c r="R431" s="41"/>
      <c r="S431" s="41"/>
      <c r="T431" s="41"/>
      <c r="U431" s="41"/>
      <c r="V431" s="41"/>
      <c r="W431" s="41"/>
      <c r="X431" s="41"/>
      <c r="Y431" s="41"/>
      <c r="Z431" s="41"/>
      <c r="AA431" s="41"/>
      <c r="AB431" s="41"/>
      <c r="AC431" s="41"/>
      <c r="AD431" s="41"/>
      <c r="AE431" s="41"/>
      <c r="AF431" s="41"/>
      <c r="AG431" s="41"/>
      <c r="AH431" s="41"/>
      <c r="AI431" s="41"/>
      <c r="AJ431" s="32"/>
      <c r="AK431" s="32"/>
      <c r="AL431" s="32"/>
      <c r="AM431" s="32"/>
      <c r="AN431" s="32"/>
      <c r="AO431" s="32"/>
      <c r="AP431" s="32"/>
      <c r="AQ431" s="32"/>
      <c r="AR431" s="32"/>
      <c r="AS431" s="32"/>
      <c r="AT431" s="32"/>
      <c r="AU431" s="32"/>
      <c r="AV431" s="31"/>
      <c r="AW431" s="41"/>
      <c r="AX431" s="41"/>
      <c r="AY431" s="41"/>
      <c r="AZ431" s="41"/>
      <c r="BA431" s="41"/>
      <c r="BB431" s="41"/>
      <c r="BC431" s="41"/>
      <c r="BD431" s="41"/>
      <c r="BE431" s="41"/>
      <c r="BF431" s="41"/>
      <c r="BG431" s="41"/>
      <c r="BH431" s="41"/>
      <c r="BI431" s="41"/>
      <c r="BJ431" s="41"/>
      <c r="BK431" s="41"/>
      <c r="BL431" s="41"/>
      <c r="BM431" s="41"/>
      <c r="BN431" s="41"/>
      <c r="BO431" s="41"/>
      <c r="BP431" s="41"/>
      <c r="BQ431" s="41"/>
      <c r="BR431" s="41"/>
      <c r="BS431" s="41"/>
      <c r="BT431" s="41"/>
      <c r="BU431" s="41"/>
      <c r="BV431" s="41"/>
      <c r="BW431" s="41"/>
      <c r="BX431" s="41"/>
      <c r="BY431" s="41"/>
      <c r="BZ431" s="41"/>
      <c r="CA431" s="41"/>
      <c r="CB431" s="41"/>
      <c r="CC431" s="41"/>
      <c r="CD431" s="41"/>
      <c r="CE431" s="41"/>
      <c r="CF431" s="41"/>
      <c r="CG431" s="41"/>
      <c r="CH431" s="41"/>
      <c r="CI431" s="41"/>
      <c r="CJ431" s="41"/>
      <c r="CK431" s="41"/>
      <c r="CL431" s="41"/>
      <c r="CM431" s="41"/>
      <c r="CN431" s="32"/>
      <c r="CO431" s="32"/>
      <c r="CP431" s="32"/>
      <c r="CQ431" s="32"/>
      <c r="CR431" s="32"/>
      <c r="CS431" s="32"/>
      <c r="CT431" s="32"/>
      <c r="CU431" s="32"/>
      <c r="CV431" s="31"/>
      <c r="CW431" s="41"/>
      <c r="CX431" s="41"/>
      <c r="CY431" s="41"/>
      <c r="CZ431" s="15"/>
      <c r="DA431" s="15"/>
      <c r="DB431" s="15"/>
      <c r="DC431" s="15"/>
      <c r="DD431" s="15"/>
      <c r="DE431" s="15"/>
      <c r="DF431" s="15"/>
    </row>
    <row r="432" spans="1:110" ht="12" outlineLevel="1">
      <c r="A432" s="1" t="s">
        <v>672</v>
      </c>
      <c r="B432" s="15" t="s">
        <v>554</v>
      </c>
      <c r="C432" s="40">
        <v>-839</v>
      </c>
      <c r="D432" s="40">
        <v>-853</v>
      </c>
      <c r="E432" s="40">
        <v>-861</v>
      </c>
      <c r="F432" s="40">
        <v>-873</v>
      </c>
      <c r="G432" s="40">
        <v>-1258</v>
      </c>
      <c r="H432" s="40">
        <v>-1012</v>
      </c>
      <c r="I432" s="40">
        <v>-1119</v>
      </c>
      <c r="J432" s="40">
        <v>-1219</v>
      </c>
      <c r="K432" s="40">
        <v>-1310</v>
      </c>
      <c r="L432" s="40">
        <v>-1365</v>
      </c>
      <c r="M432" s="40">
        <v>-1390</v>
      </c>
      <c r="N432" s="40">
        <v>-1451</v>
      </c>
      <c r="O432" s="40">
        <v>-1540</v>
      </c>
      <c r="P432" s="40">
        <v>-1616</v>
      </c>
      <c r="Q432" s="40">
        <v>-1628</v>
      </c>
      <c r="R432" s="40">
        <v>-1769</v>
      </c>
      <c r="S432" s="40">
        <v>-1824</v>
      </c>
      <c r="T432" s="40">
        <v>-1912</v>
      </c>
      <c r="U432" s="40">
        <v>-2302</v>
      </c>
      <c r="V432" s="40">
        <v>-2377</v>
      </c>
      <c r="W432" s="40">
        <v>-2323</v>
      </c>
      <c r="X432" s="40">
        <v>-2426</v>
      </c>
      <c r="Y432" s="40">
        <v>-2338</v>
      </c>
      <c r="Z432" s="141">
        <v>-2347</v>
      </c>
      <c r="AA432" s="141">
        <v>-2417</v>
      </c>
      <c r="AB432" s="141">
        <v>-2530</v>
      </c>
      <c r="AC432" s="141">
        <v>-2558</v>
      </c>
      <c r="AD432" s="141">
        <v>-2715</v>
      </c>
      <c r="AE432" s="141">
        <v>-2764</v>
      </c>
      <c r="AF432" s="141">
        <v>-2801</v>
      </c>
      <c r="AG432" s="141">
        <v>-2740</v>
      </c>
      <c r="AH432" s="141">
        <v>-2519</v>
      </c>
      <c r="AI432" s="141">
        <v>-2405</v>
      </c>
      <c r="AJ432" s="141">
        <v>-2355</v>
      </c>
      <c r="AK432" s="141">
        <v>-2260</v>
      </c>
      <c r="AL432" s="141">
        <v>-2370</v>
      </c>
      <c r="AM432" s="141">
        <v>-2395</v>
      </c>
      <c r="AN432" s="141">
        <v>-2465</v>
      </c>
      <c r="AO432" s="141">
        <v>-2413</v>
      </c>
      <c r="AP432" s="141">
        <v>-2449</v>
      </c>
      <c r="AQ432" s="141">
        <v>-2497</v>
      </c>
      <c r="AR432" s="141">
        <v>-2654</v>
      </c>
      <c r="AS432" s="141">
        <v>-2642</v>
      </c>
      <c r="AT432" s="141">
        <v>-2893</v>
      </c>
      <c r="AU432" s="141">
        <v>-2869</v>
      </c>
      <c r="AV432" s="226">
        <v>-3062</v>
      </c>
      <c r="AW432" s="210">
        <v>-3202.6018857624936</v>
      </c>
      <c r="AX432" s="41">
        <v>-3445.0783603320956</v>
      </c>
      <c r="AY432" s="41">
        <v>-3471.986739816577</v>
      </c>
      <c r="AZ432" s="41">
        <v>-3486.9070333475634</v>
      </c>
      <c r="BA432" s="41">
        <v>-3540.4608741823181</v>
      </c>
      <c r="BB432" s="41">
        <v>-3564.461044308498</v>
      </c>
      <c r="BC432" s="41">
        <v>-3628.1487723514492</v>
      </c>
      <c r="BD432" s="41">
        <v>-3680.8726733285853</v>
      </c>
      <c r="BE432" s="41">
        <v>-3744.574552312065</v>
      </c>
      <c r="BF432" s="41">
        <v>-3817.6365953948175</v>
      </c>
      <c r="BG432" s="41">
        <v>-3924.240805548432</v>
      </c>
      <c r="BH432" s="41">
        <v>-3980.0574832452967</v>
      </c>
      <c r="BI432" s="41">
        <v>-4101.1829212163111</v>
      </c>
      <c r="BJ432" s="41">
        <v>-4179.9139409214276</v>
      </c>
      <c r="BK432" s="41">
        <v>-4304.9720973619233</v>
      </c>
      <c r="BL432" s="41">
        <v>-4410.3820921227261</v>
      </c>
      <c r="BM432" s="41">
        <v>-4508.6285399411809</v>
      </c>
      <c r="BN432" s="41">
        <v>-4585.1474654995791</v>
      </c>
      <c r="BO432" s="41">
        <v>-4666.788883947228</v>
      </c>
      <c r="BP432" s="41"/>
      <c r="BQ432" s="40">
        <v>-1480.5</v>
      </c>
      <c r="BR432" s="40">
        <v>-1419.6</v>
      </c>
      <c r="BS432" s="40">
        <v>-1468</v>
      </c>
      <c r="BT432" s="40">
        <v>-1610</v>
      </c>
      <c r="BU432" s="40">
        <v>-1805</v>
      </c>
      <c r="BV432" s="40">
        <v>-1949</v>
      </c>
      <c r="BW432" s="40">
        <v>-1854</v>
      </c>
      <c r="BX432" s="40">
        <v>-1732</v>
      </c>
      <c r="BY432" s="40">
        <v>-1758</v>
      </c>
      <c r="BZ432" s="40">
        <v>-1675</v>
      </c>
      <c r="CA432" s="41">
        <v>-1714</v>
      </c>
      <c r="CB432" s="41">
        <v>-2131</v>
      </c>
      <c r="CC432" s="41">
        <v>-2131</v>
      </c>
      <c r="CD432" s="41">
        <v>-2529</v>
      </c>
      <c r="CE432" s="41">
        <v>-2755</v>
      </c>
      <c r="CF432" s="41">
        <v>-2991</v>
      </c>
      <c r="CG432" s="41">
        <v>-3244</v>
      </c>
      <c r="CH432" s="41">
        <v>-3593</v>
      </c>
      <c r="CI432" s="41">
        <v>-4214</v>
      </c>
      <c r="CJ432" s="41">
        <v>-4700</v>
      </c>
      <c r="CK432" s="41">
        <v>-4764</v>
      </c>
      <c r="CL432" s="41">
        <v>-4764</v>
      </c>
      <c r="CM432" s="41">
        <v>-5088</v>
      </c>
      <c r="CN432" s="41">
        <v>-5479</v>
      </c>
      <c r="CO432" s="41">
        <v>-5541</v>
      </c>
      <c r="CP432" s="41">
        <v>-4924</v>
      </c>
      <c r="CQ432" s="41">
        <v>-4615</v>
      </c>
      <c r="CR432" s="41">
        <v>-4765</v>
      </c>
      <c r="CS432" s="41">
        <v>-4878</v>
      </c>
      <c r="CT432" s="41">
        <v>-4946</v>
      </c>
      <c r="CU432" s="41">
        <v>-5296</v>
      </c>
      <c r="CV432" s="211">
        <v>-5762</v>
      </c>
      <c r="CW432" s="41">
        <v>-6264.6018857624931</v>
      </c>
      <c r="CX432" s="41">
        <v>-6917.0651001486731</v>
      </c>
      <c r="CY432" s="41">
        <v>-7027.3679075298814</v>
      </c>
      <c r="CZ432" s="41">
        <v>-7192.6098166599477</v>
      </c>
      <c r="DA432" s="41">
        <v>-7425.4472256406498</v>
      </c>
      <c r="DB432" s="41">
        <v>-7741.8774009432491</v>
      </c>
      <c r="DC432" s="41">
        <v>-8081.2404044616078</v>
      </c>
      <c r="DD432" s="41">
        <v>-8484.8860382833518</v>
      </c>
      <c r="DE432" s="41">
        <v>-8919.0106320639061</v>
      </c>
      <c r="DF432" s="41">
        <v>-9251.9363494468071</v>
      </c>
    </row>
    <row r="433" spans="1:110" ht="12" outlineLevel="1">
      <c r="A433" s="1" t="s">
        <v>673</v>
      </c>
      <c r="B433" s="15" t="s">
        <v>450</v>
      </c>
      <c r="C433" s="40">
        <v>0</v>
      </c>
      <c r="D433" s="40">
        <v>0</v>
      </c>
      <c r="E433" s="40">
        <v>-30.706666666666667</v>
      </c>
      <c r="F433" s="40">
        <v>-33.809999999999995</v>
      </c>
      <c r="G433" s="40">
        <v>-32.013333333333328</v>
      </c>
      <c r="H433" s="40">
        <v>-32.339999999999996</v>
      </c>
      <c r="I433" s="40">
        <v>-40.996666666666663</v>
      </c>
      <c r="J433" s="40">
        <v>-30.706666666666667</v>
      </c>
      <c r="K433" s="40">
        <v>-30.543333333333329</v>
      </c>
      <c r="L433" s="40">
        <v>-36.586666666666659</v>
      </c>
      <c r="M433" s="40">
        <v>-35.443333333333328</v>
      </c>
      <c r="N433" s="40">
        <v>-41.813333333333333</v>
      </c>
      <c r="O433" s="40">
        <v>-35.606666666666662</v>
      </c>
      <c r="P433" s="40">
        <v>-38.546666666666667</v>
      </c>
      <c r="Q433" s="40">
        <v>-37.893333333333331</v>
      </c>
      <c r="R433" s="40">
        <v>-40.179999999999993</v>
      </c>
      <c r="S433" s="40">
        <v>-36.423333333333332</v>
      </c>
      <c r="T433" s="40">
        <v>-107</v>
      </c>
      <c r="U433" s="40">
        <v>-111.33333333333331</v>
      </c>
      <c r="V433" s="40">
        <v>-119</v>
      </c>
      <c r="W433" s="40">
        <v>-165.33333333333331</v>
      </c>
      <c r="X433" s="40">
        <v>-157</v>
      </c>
      <c r="Y433" s="40">
        <v>-165.33333333333331</v>
      </c>
      <c r="Z433" s="141">
        <v>-154.33333333333331</v>
      </c>
      <c r="AA433" s="141">
        <v>-163</v>
      </c>
      <c r="AB433" s="141">
        <v>-161.33333333333331</v>
      </c>
      <c r="AC433" s="141">
        <v>-173.33333333333331</v>
      </c>
      <c r="AD433" s="141">
        <v>-161.33333333333331</v>
      </c>
      <c r="AE433" s="141">
        <v>-160.33333333333331</v>
      </c>
      <c r="AF433" s="141">
        <v>-136.66666666666666</v>
      </c>
      <c r="AG433" s="141">
        <v>-130.33333333333331</v>
      </c>
      <c r="AH433" s="141">
        <v>-42</v>
      </c>
      <c r="AI433" s="141">
        <v>-45.333333333333329</v>
      </c>
      <c r="AJ433" s="141">
        <v>-28.333333333333332</v>
      </c>
      <c r="AK433" s="141">
        <v>-31.666666666666664</v>
      </c>
      <c r="AL433" s="141">
        <v>0</v>
      </c>
      <c r="AM433" s="141">
        <v>0</v>
      </c>
      <c r="AN433" s="141">
        <v>0</v>
      </c>
      <c r="AO433" s="141">
        <v>0</v>
      </c>
      <c r="AP433" s="141">
        <v>0</v>
      </c>
      <c r="AQ433" s="141">
        <v>0</v>
      </c>
      <c r="AR433" s="141">
        <v>0</v>
      </c>
      <c r="AS433" s="141">
        <v>0</v>
      </c>
      <c r="AT433" s="141">
        <v>0</v>
      </c>
      <c r="AU433" s="141">
        <v>0</v>
      </c>
      <c r="AV433" s="226">
        <v>0</v>
      </c>
      <c r="AW433" s="41">
        <v>0</v>
      </c>
      <c r="AX433" s="41">
        <v>0</v>
      </c>
      <c r="AY433" s="41">
        <v>0</v>
      </c>
      <c r="AZ433" s="41">
        <v>0</v>
      </c>
      <c r="BA433" s="41">
        <v>0</v>
      </c>
      <c r="BB433" s="41">
        <v>0</v>
      </c>
      <c r="BC433" s="41">
        <v>0</v>
      </c>
      <c r="BD433" s="41">
        <v>0</v>
      </c>
      <c r="BE433" s="41">
        <v>0</v>
      </c>
      <c r="BF433" s="41">
        <v>0</v>
      </c>
      <c r="BG433" s="41">
        <v>0</v>
      </c>
      <c r="BH433" s="41">
        <v>0</v>
      </c>
      <c r="BI433" s="41">
        <v>0</v>
      </c>
      <c r="BJ433" s="41">
        <v>0</v>
      </c>
      <c r="BK433" s="41">
        <v>0</v>
      </c>
      <c r="BL433" s="41">
        <v>0</v>
      </c>
      <c r="BM433" s="41">
        <v>0</v>
      </c>
      <c r="BN433" s="41">
        <v>0</v>
      </c>
      <c r="BO433" s="41">
        <v>0</v>
      </c>
      <c r="BP433" s="41"/>
      <c r="BQ433" s="40">
        <v>0</v>
      </c>
      <c r="BR433" s="40">
        <v>0</v>
      </c>
      <c r="BS433" s="40">
        <v>0</v>
      </c>
      <c r="BT433" s="40">
        <v>0</v>
      </c>
      <c r="BU433" s="40">
        <v>0</v>
      </c>
      <c r="BV433" s="40">
        <v>0</v>
      </c>
      <c r="BW433" s="40">
        <v>0</v>
      </c>
      <c r="BX433" s="40">
        <v>0</v>
      </c>
      <c r="BY433" s="40">
        <v>0</v>
      </c>
      <c r="BZ433" s="40">
        <v>0</v>
      </c>
      <c r="CA433" s="41">
        <v>-30.706666666666667</v>
      </c>
      <c r="CB433" s="41">
        <v>-65.823333333333323</v>
      </c>
      <c r="CC433" s="41">
        <v>-73.336666666666659</v>
      </c>
      <c r="CD433" s="41">
        <v>-61.25</v>
      </c>
      <c r="CE433" s="41">
        <v>-72.029999999999987</v>
      </c>
      <c r="CF433" s="41">
        <v>-77.419999999999987</v>
      </c>
      <c r="CG433" s="41">
        <v>-76.44</v>
      </c>
      <c r="CH433" s="41">
        <v>-76.603333333333325</v>
      </c>
      <c r="CI433" s="41">
        <v>-218.33333333333331</v>
      </c>
      <c r="CJ433" s="41">
        <v>-284.33333333333331</v>
      </c>
      <c r="CK433" s="41">
        <v>-322.33333333333331</v>
      </c>
      <c r="CL433" s="41">
        <v>-317.33333333333331</v>
      </c>
      <c r="CM433" s="41">
        <v>-334.66666666666663</v>
      </c>
      <c r="CN433" s="41">
        <v>-321.66666666666663</v>
      </c>
      <c r="CO433" s="41">
        <v>-267</v>
      </c>
      <c r="CP433" s="41">
        <v>-87.333333333333329</v>
      </c>
      <c r="CQ433" s="41">
        <v>-60</v>
      </c>
      <c r="CR433" s="41">
        <v>0</v>
      </c>
      <c r="CS433" s="41">
        <v>0</v>
      </c>
      <c r="CT433" s="41">
        <v>0</v>
      </c>
      <c r="CU433" s="41">
        <v>0</v>
      </c>
      <c r="CV433" s="211">
        <v>0</v>
      </c>
      <c r="CW433" s="41">
        <v>0</v>
      </c>
      <c r="CX433" s="41">
        <v>0</v>
      </c>
      <c r="CY433" s="41">
        <v>0</v>
      </c>
      <c r="CZ433" s="41">
        <v>0</v>
      </c>
      <c r="DA433" s="41">
        <v>0</v>
      </c>
      <c r="DB433" s="41">
        <v>0</v>
      </c>
      <c r="DC433" s="41">
        <v>0</v>
      </c>
      <c r="DD433" s="41">
        <v>0</v>
      </c>
      <c r="DE433" s="41">
        <v>0</v>
      </c>
      <c r="DF433" s="41">
        <v>0</v>
      </c>
    </row>
    <row r="434" spans="1:110" ht="12" outlineLevel="1">
      <c r="A434" s="1" t="s">
        <v>674</v>
      </c>
      <c r="B434" s="15" t="s">
        <v>697</v>
      </c>
      <c r="C434" s="41">
        <v>-13</v>
      </c>
      <c r="D434" s="41">
        <v>-24</v>
      </c>
      <c r="E434" s="41">
        <v>-26</v>
      </c>
      <c r="F434" s="41">
        <v>-37</v>
      </c>
      <c r="G434" s="41">
        <v>-46</v>
      </c>
      <c r="H434" s="41">
        <v>-63</v>
      </c>
      <c r="I434" s="41">
        <v>-66</v>
      </c>
      <c r="J434" s="41">
        <v>-57</v>
      </c>
      <c r="K434" s="41">
        <v>-64</v>
      </c>
      <c r="L434" s="41">
        <v>-57</v>
      </c>
      <c r="M434" s="41">
        <v>-57</v>
      </c>
      <c r="N434" s="41">
        <v>-58</v>
      </c>
      <c r="O434" s="41">
        <v>-64</v>
      </c>
      <c r="P434" s="41">
        <v>-62</v>
      </c>
      <c r="Q434" s="41">
        <v>-59</v>
      </c>
      <c r="R434" s="41">
        <v>-83</v>
      </c>
      <c r="S434" s="41">
        <v>-77</v>
      </c>
      <c r="T434" s="41">
        <v>-86</v>
      </c>
      <c r="U434" s="41">
        <v>-121</v>
      </c>
      <c r="V434" s="41">
        <v>-122</v>
      </c>
      <c r="W434" s="41">
        <v>-127</v>
      </c>
      <c r="X434" s="41">
        <v>-150</v>
      </c>
      <c r="Y434" s="41">
        <v>-170</v>
      </c>
      <c r="Z434" s="41">
        <v>-181</v>
      </c>
      <c r="AA434" s="41">
        <v>-202</v>
      </c>
      <c r="AB434" s="41">
        <v>-205</v>
      </c>
      <c r="AC434" s="41">
        <v>-221</v>
      </c>
      <c r="AD434" s="41">
        <v>-267</v>
      </c>
      <c r="AE434" s="41">
        <v>-275</v>
      </c>
      <c r="AF434" s="41">
        <v>-245</v>
      </c>
      <c r="AG434" s="41">
        <v>-255</v>
      </c>
      <c r="AH434" s="41">
        <v>-294</v>
      </c>
      <c r="AI434" s="41">
        <v>-271</v>
      </c>
      <c r="AJ434" s="41">
        <v>-281</v>
      </c>
      <c r="AK434" s="41">
        <v>-288</v>
      </c>
      <c r="AL434" s="41">
        <v>-252</v>
      </c>
      <c r="AM434" s="41">
        <v>-265</v>
      </c>
      <c r="AN434" s="41">
        <v>-241</v>
      </c>
      <c r="AO434" s="41">
        <v>-219</v>
      </c>
      <c r="AP434" s="41">
        <v>-233</v>
      </c>
      <c r="AQ434" s="41">
        <v>-201</v>
      </c>
      <c r="AR434" s="41">
        <v>-189</v>
      </c>
      <c r="AS434" s="41">
        <v>-186</v>
      </c>
      <c r="AT434" s="41">
        <v>-163</v>
      </c>
      <c r="AU434" s="41">
        <v>-157</v>
      </c>
      <c r="AV434" s="211">
        <v>-151</v>
      </c>
      <c r="AW434" s="41">
        <v>-153.80592405063294</v>
      </c>
      <c r="AX434" s="41">
        <v>-157.7483199445777</v>
      </c>
      <c r="AY434" s="41">
        <v>-160.17967184215601</v>
      </c>
      <c r="AZ434" s="41">
        <v>-161.55703306749467</v>
      </c>
      <c r="BA434" s="41">
        <v>-164.52008904206608</v>
      </c>
      <c r="BB434" s="41">
        <v>-165.59858291036028</v>
      </c>
      <c r="BC434" s="41">
        <v>-168.47410522146507</v>
      </c>
      <c r="BD434" s="41">
        <v>-169.94666758070224</v>
      </c>
      <c r="BE434" s="41">
        <v>-171.9445066719847</v>
      </c>
      <c r="BF434" s="41">
        <v>-173.54469684792639</v>
      </c>
      <c r="BG434" s="41">
        <v>-176.58664419470756</v>
      </c>
      <c r="BH434" s="41">
        <v>-177.87452846355532</v>
      </c>
      <c r="BI434" s="41">
        <v>-181.15394006902423</v>
      </c>
      <c r="BJ434" s="41">
        <v>-182.54004932887324</v>
      </c>
      <c r="BK434" s="41">
        <v>-186.3017102698158</v>
      </c>
      <c r="BL434" s="41">
        <v>-188.82825677140337</v>
      </c>
      <c r="BM434" s="41">
        <v>-192.26970365582704</v>
      </c>
      <c r="BN434" s="41">
        <v>-195.44463720814724</v>
      </c>
      <c r="BO434" s="41">
        <v>-200.28602359360946</v>
      </c>
      <c r="BP434" s="41"/>
      <c r="BQ434" s="40">
        <v>0</v>
      </c>
      <c r="BR434" s="40">
        <v>0</v>
      </c>
      <c r="BS434" s="40">
        <v>0</v>
      </c>
      <c r="BT434" s="40">
        <v>0</v>
      </c>
      <c r="BU434" s="40">
        <v>0</v>
      </c>
      <c r="BV434" s="40">
        <v>0</v>
      </c>
      <c r="BW434" s="40">
        <v>0</v>
      </c>
      <c r="BX434" s="40">
        <v>0</v>
      </c>
      <c r="BY434" s="40">
        <v>0</v>
      </c>
      <c r="BZ434" s="40">
        <v>-22</v>
      </c>
      <c r="CA434" s="41">
        <v>-50</v>
      </c>
      <c r="CB434" s="41">
        <v>-83</v>
      </c>
      <c r="CC434" s="41">
        <v>-129</v>
      </c>
      <c r="CD434" s="41">
        <v>-121</v>
      </c>
      <c r="CE434" s="41">
        <v>-114</v>
      </c>
      <c r="CF434" s="41">
        <v>-122</v>
      </c>
      <c r="CG434" s="41">
        <v>-121</v>
      </c>
      <c r="CH434" s="41">
        <v>-160</v>
      </c>
      <c r="CI434" s="41">
        <v>-207</v>
      </c>
      <c r="CJ434" s="41">
        <v>-249</v>
      </c>
      <c r="CK434" s="41">
        <v>-320</v>
      </c>
      <c r="CL434" s="41">
        <v>-383</v>
      </c>
      <c r="CM434" s="41">
        <v>-426</v>
      </c>
      <c r="CN434" s="41">
        <v>-542</v>
      </c>
      <c r="CO434" s="41">
        <v>-500</v>
      </c>
      <c r="CP434" s="41">
        <v>-565</v>
      </c>
      <c r="CQ434" s="41">
        <v>-569</v>
      </c>
      <c r="CR434" s="41">
        <v>-517</v>
      </c>
      <c r="CS434" s="41">
        <v>-460</v>
      </c>
      <c r="CT434" s="41">
        <v>-434</v>
      </c>
      <c r="CU434" s="41">
        <v>-375</v>
      </c>
      <c r="CV434" s="211">
        <v>-320</v>
      </c>
      <c r="CW434" s="41">
        <v>-304.80592405063294</v>
      </c>
      <c r="CX434" s="41">
        <v>-317.92799178673374</v>
      </c>
      <c r="CY434" s="41">
        <v>-326.07712210956072</v>
      </c>
      <c r="CZ434" s="41">
        <v>-334.07268813182532</v>
      </c>
      <c r="DA434" s="41">
        <v>-341.89117425268694</v>
      </c>
      <c r="DB434" s="41">
        <v>-350.13134104263395</v>
      </c>
      <c r="DC434" s="41">
        <v>-359.02846853257955</v>
      </c>
      <c r="DD434" s="41">
        <v>-368.84175959868901</v>
      </c>
      <c r="DE434" s="41">
        <v>-381.09796042723042</v>
      </c>
      <c r="DF434" s="41">
        <v>-395.7306608017567</v>
      </c>
    </row>
    <row r="435" spans="1:110" ht="12" outlineLevel="1">
      <c r="A435" s="1" t="s">
        <v>675</v>
      </c>
      <c r="B435" s="15" t="s">
        <v>451</v>
      </c>
      <c r="C435" s="40">
        <v>0</v>
      </c>
      <c r="D435" s="40">
        <v>0</v>
      </c>
      <c r="E435" s="40">
        <v>0</v>
      </c>
      <c r="F435" s="40">
        <v>0</v>
      </c>
      <c r="G435" s="40">
        <v>0</v>
      </c>
      <c r="H435" s="40">
        <v>0</v>
      </c>
      <c r="I435" s="40">
        <v>0</v>
      </c>
      <c r="J435" s="40">
        <v>0</v>
      </c>
      <c r="K435" s="40">
        <v>0</v>
      </c>
      <c r="L435" s="40">
        <v>0</v>
      </c>
      <c r="M435" s="40">
        <v>0</v>
      </c>
      <c r="N435" s="40">
        <v>0</v>
      </c>
      <c r="O435" s="40">
        <v>0</v>
      </c>
      <c r="P435" s="40">
        <v>0</v>
      </c>
      <c r="Q435" s="40">
        <v>0</v>
      </c>
      <c r="R435" s="40">
        <v>0</v>
      </c>
      <c r="S435" s="40">
        <v>0</v>
      </c>
      <c r="T435" s="40">
        <v>0</v>
      </c>
      <c r="U435" s="40">
        <v>0</v>
      </c>
      <c r="V435" s="40">
        <v>0</v>
      </c>
      <c r="W435" s="40">
        <v>0</v>
      </c>
      <c r="X435" s="40">
        <v>0</v>
      </c>
      <c r="Y435" s="40">
        <v>0</v>
      </c>
      <c r="Z435" s="141">
        <v>0</v>
      </c>
      <c r="AA435" s="141">
        <v>0</v>
      </c>
      <c r="AB435" s="141">
        <v>0</v>
      </c>
      <c r="AC435" s="141">
        <v>0</v>
      </c>
      <c r="AD435" s="141">
        <v>0</v>
      </c>
      <c r="AE435" s="141">
        <v>0</v>
      </c>
      <c r="AF435" s="141">
        <v>0</v>
      </c>
      <c r="AG435" s="141">
        <v>0</v>
      </c>
      <c r="AH435" s="141">
        <v>0</v>
      </c>
      <c r="AI435" s="141">
        <v>0</v>
      </c>
      <c r="AJ435" s="141">
        <v>0</v>
      </c>
      <c r="AK435" s="141">
        <v>0</v>
      </c>
      <c r="AL435" s="141">
        <v>0</v>
      </c>
      <c r="AM435" s="141">
        <v>0</v>
      </c>
      <c r="AN435" s="141">
        <v>0</v>
      </c>
      <c r="AO435" s="141">
        <v>0</v>
      </c>
      <c r="AP435" s="141">
        <v>0</v>
      </c>
      <c r="AQ435" s="141">
        <v>0</v>
      </c>
      <c r="AR435" s="141">
        <v>0</v>
      </c>
      <c r="AS435" s="141">
        <v>0</v>
      </c>
      <c r="AT435" s="141">
        <v>0</v>
      </c>
      <c r="AU435" s="141">
        <v>0</v>
      </c>
      <c r="AV435" s="226">
        <v>0</v>
      </c>
      <c r="AW435" s="210">
        <v>0</v>
      </c>
      <c r="AX435" s="210">
        <v>0</v>
      </c>
      <c r="AY435" s="210">
        <v>0</v>
      </c>
      <c r="AZ435" s="210">
        <v>0</v>
      </c>
      <c r="BA435" s="210">
        <v>0</v>
      </c>
      <c r="BB435" s="210">
        <v>0</v>
      </c>
      <c r="BC435" s="210">
        <v>0</v>
      </c>
      <c r="BD435" s="210">
        <v>32.5</v>
      </c>
      <c r="BE435" s="210">
        <v>32.5</v>
      </c>
      <c r="BF435" s="210">
        <v>97.5</v>
      </c>
      <c r="BG435" s="210">
        <v>97.5</v>
      </c>
      <c r="BH435" s="210">
        <v>130</v>
      </c>
      <c r="BI435" s="210">
        <v>130</v>
      </c>
      <c r="BJ435" s="210">
        <v>130</v>
      </c>
      <c r="BK435" s="210">
        <v>130</v>
      </c>
      <c r="BL435" s="210">
        <v>130</v>
      </c>
      <c r="BM435" s="210">
        <v>130</v>
      </c>
      <c r="BN435" s="210">
        <v>130</v>
      </c>
      <c r="BO435" s="210">
        <v>130</v>
      </c>
      <c r="BP435" s="210"/>
      <c r="BQ435" s="40">
        <v>0</v>
      </c>
      <c r="BR435" s="40">
        <v>0</v>
      </c>
      <c r="BS435" s="40">
        <v>0</v>
      </c>
      <c r="BT435" s="40">
        <v>0</v>
      </c>
      <c r="BU435" s="40">
        <v>0</v>
      </c>
      <c r="BV435" s="40">
        <v>0</v>
      </c>
      <c r="BW435" s="40">
        <v>0</v>
      </c>
      <c r="BX435" s="40">
        <v>0</v>
      </c>
      <c r="BY435" s="40">
        <v>0</v>
      </c>
      <c r="BZ435" s="40">
        <v>0</v>
      </c>
      <c r="CA435" s="41">
        <v>0</v>
      </c>
      <c r="CB435" s="41">
        <v>0</v>
      </c>
      <c r="CC435" s="41">
        <v>0</v>
      </c>
      <c r="CD435" s="41">
        <v>0</v>
      </c>
      <c r="CE435" s="41">
        <v>0</v>
      </c>
      <c r="CF435" s="41">
        <v>0</v>
      </c>
      <c r="CG435" s="41">
        <v>0</v>
      </c>
      <c r="CH435" s="41">
        <v>0</v>
      </c>
      <c r="CI435" s="41">
        <v>0</v>
      </c>
      <c r="CJ435" s="41">
        <v>0</v>
      </c>
      <c r="CK435" s="41">
        <v>0</v>
      </c>
      <c r="CL435" s="41">
        <v>0</v>
      </c>
      <c r="CM435" s="41">
        <v>0</v>
      </c>
      <c r="CN435" s="41">
        <v>0</v>
      </c>
      <c r="CO435" s="41">
        <v>0</v>
      </c>
      <c r="CP435" s="41">
        <v>0</v>
      </c>
      <c r="CQ435" s="41">
        <v>0</v>
      </c>
      <c r="CR435" s="41">
        <v>0</v>
      </c>
      <c r="CS435" s="41">
        <v>0</v>
      </c>
      <c r="CT435" s="41">
        <v>0</v>
      </c>
      <c r="CU435" s="41">
        <v>0</v>
      </c>
      <c r="CV435" s="211">
        <v>0</v>
      </c>
      <c r="CW435" s="41">
        <v>0</v>
      </c>
      <c r="CX435" s="41">
        <v>0</v>
      </c>
      <c r="CY435" s="41">
        <v>0</v>
      </c>
      <c r="CZ435" s="41">
        <v>0</v>
      </c>
      <c r="DA435" s="41">
        <v>65</v>
      </c>
      <c r="DB435" s="41">
        <v>195</v>
      </c>
      <c r="DC435" s="41">
        <v>260</v>
      </c>
      <c r="DD435" s="41">
        <v>260</v>
      </c>
      <c r="DE435" s="41">
        <v>260</v>
      </c>
      <c r="DF435" s="41">
        <v>260</v>
      </c>
    </row>
    <row r="436" spans="1:110" ht="12" hidden="1" outlineLevel="2">
      <c r="A436" s="1" t="s">
        <v>676</v>
      </c>
      <c r="B436" s="15" t="s">
        <v>804</v>
      </c>
      <c r="C436" s="41"/>
      <c r="D436" s="41"/>
      <c r="E436" s="41"/>
      <c r="F436" s="41"/>
      <c r="G436" s="41"/>
      <c r="H436" s="41"/>
      <c r="I436" s="41"/>
      <c r="J436" s="41"/>
      <c r="K436" s="41"/>
      <c r="L436" s="41"/>
      <c r="M436" s="41"/>
      <c r="N436" s="41"/>
      <c r="O436" s="41"/>
      <c r="P436" s="41"/>
      <c r="Q436" s="41"/>
      <c r="R436" s="41"/>
      <c r="S436" s="41"/>
      <c r="T436" s="41"/>
      <c r="U436" s="41"/>
      <c r="V436" s="41"/>
      <c r="W436" s="41"/>
      <c r="X436" s="41"/>
      <c r="Y436" s="41"/>
      <c r="Z436" s="41"/>
      <c r="AA436" s="41"/>
      <c r="AB436" s="41"/>
      <c r="AC436" s="41"/>
      <c r="AD436" s="41"/>
      <c r="AE436" s="41"/>
      <c r="AF436" s="41"/>
      <c r="AG436" s="41"/>
      <c r="AH436" s="41"/>
      <c r="AI436" s="41"/>
      <c r="AJ436" s="41"/>
      <c r="AK436" s="41"/>
      <c r="AL436" s="41"/>
      <c r="AM436" s="41"/>
      <c r="AN436" s="41"/>
      <c r="AO436" s="41"/>
      <c r="AP436" s="41"/>
      <c r="AQ436" s="41"/>
      <c r="AR436" s="41"/>
      <c r="AS436" s="41"/>
      <c r="AT436" s="41"/>
      <c r="AU436" s="41"/>
      <c r="AV436" s="211"/>
      <c r="AW436" s="41"/>
      <c r="AX436" s="41"/>
      <c r="AY436" s="41"/>
      <c r="AZ436" s="41"/>
      <c r="BA436" s="41"/>
      <c r="BB436" s="41"/>
      <c r="BC436" s="41"/>
      <c r="BD436" s="41"/>
      <c r="BE436" s="41"/>
      <c r="BF436" s="41"/>
      <c r="BG436" s="41"/>
      <c r="BH436" s="41"/>
      <c r="BI436" s="41"/>
      <c r="BJ436" s="41"/>
      <c r="BK436" s="41"/>
      <c r="BL436" s="41"/>
      <c r="BM436" s="41"/>
      <c r="BN436" s="41"/>
      <c r="BO436" s="41"/>
      <c r="BP436" s="41"/>
      <c r="BQ436" s="41"/>
      <c r="BR436" s="41"/>
      <c r="BS436" s="41"/>
      <c r="BT436" s="41"/>
      <c r="BU436" s="41"/>
      <c r="BV436" s="41"/>
      <c r="BW436" s="41"/>
      <c r="BX436" s="41"/>
      <c r="BY436" s="41"/>
      <c r="BZ436" s="41"/>
      <c r="CA436" s="41"/>
      <c r="CB436" s="41"/>
      <c r="CC436" s="41"/>
      <c r="CD436" s="41"/>
      <c r="CE436" s="41"/>
      <c r="CF436" s="41"/>
      <c r="CG436" s="41"/>
      <c r="CH436" s="41"/>
      <c r="CI436" s="41"/>
      <c r="CJ436" s="41"/>
      <c r="CK436" s="41"/>
      <c r="CL436" s="41"/>
      <c r="CM436" s="41"/>
      <c r="CN436" s="41"/>
      <c r="CO436" s="41"/>
      <c r="CP436" s="41"/>
      <c r="CQ436" s="41"/>
      <c r="CR436" s="41"/>
      <c r="CS436" s="41"/>
      <c r="CT436" s="41"/>
      <c r="CU436" s="41"/>
      <c r="CV436" s="211"/>
      <c r="CW436" s="41"/>
      <c r="CX436" s="41"/>
      <c r="CY436" s="41"/>
      <c r="CZ436" s="15"/>
      <c r="DA436" s="15"/>
      <c r="DB436" s="15"/>
      <c r="DC436" s="15"/>
      <c r="DD436" s="15"/>
      <c r="DE436" s="15"/>
      <c r="DF436" s="15"/>
    </row>
    <row r="437" spans="1:110" ht="12" hidden="1" outlineLevel="2">
      <c r="A437" s="1" t="s">
        <v>51</v>
      </c>
      <c r="B437" s="15" t="s">
        <v>804</v>
      </c>
      <c r="C437" s="41"/>
      <c r="D437" s="41"/>
      <c r="E437" s="41"/>
      <c r="F437" s="41"/>
      <c r="G437" s="41"/>
      <c r="H437" s="41"/>
      <c r="I437" s="41"/>
      <c r="J437" s="41"/>
      <c r="K437" s="41"/>
      <c r="L437" s="41"/>
      <c r="M437" s="41"/>
      <c r="N437" s="41"/>
      <c r="O437" s="41"/>
      <c r="P437" s="41"/>
      <c r="Q437" s="41"/>
      <c r="R437" s="41"/>
      <c r="S437" s="41"/>
      <c r="T437" s="41"/>
      <c r="U437" s="41"/>
      <c r="V437" s="41"/>
      <c r="W437" s="41"/>
      <c r="X437" s="41"/>
      <c r="Y437" s="41"/>
      <c r="Z437" s="41"/>
      <c r="AA437" s="41"/>
      <c r="AB437" s="41"/>
      <c r="AC437" s="41"/>
      <c r="AD437" s="41"/>
      <c r="AE437" s="41"/>
      <c r="AF437" s="41"/>
      <c r="AG437" s="41"/>
      <c r="AH437" s="41"/>
      <c r="AI437" s="41"/>
      <c r="AJ437" s="41"/>
      <c r="AK437" s="41"/>
      <c r="AL437" s="41"/>
      <c r="AM437" s="41"/>
      <c r="AN437" s="41"/>
      <c r="AO437" s="41"/>
      <c r="AP437" s="41"/>
      <c r="AQ437" s="41"/>
      <c r="AR437" s="41"/>
      <c r="AS437" s="41"/>
      <c r="AT437" s="41"/>
      <c r="AU437" s="41"/>
      <c r="AV437" s="211"/>
      <c r="AW437" s="41"/>
      <c r="AX437" s="41"/>
      <c r="AY437" s="41"/>
      <c r="AZ437" s="41"/>
      <c r="BA437" s="41"/>
      <c r="BB437" s="41"/>
      <c r="BC437" s="41"/>
      <c r="BD437" s="41"/>
      <c r="BE437" s="41"/>
      <c r="BF437" s="41"/>
      <c r="BG437" s="41"/>
      <c r="BH437" s="41"/>
      <c r="BI437" s="41"/>
      <c r="BJ437" s="41"/>
      <c r="BK437" s="41"/>
      <c r="BL437" s="41"/>
      <c r="BM437" s="41"/>
      <c r="BN437" s="41"/>
      <c r="BO437" s="41"/>
      <c r="BP437" s="41"/>
      <c r="BQ437" s="41"/>
      <c r="BR437" s="41"/>
      <c r="BS437" s="41"/>
      <c r="BT437" s="41"/>
      <c r="BU437" s="41"/>
      <c r="BV437" s="41"/>
      <c r="BW437" s="41"/>
      <c r="BX437" s="41"/>
      <c r="BY437" s="41"/>
      <c r="BZ437" s="41"/>
      <c r="CA437" s="41"/>
      <c r="CB437" s="41"/>
      <c r="CC437" s="41"/>
      <c r="CD437" s="41"/>
      <c r="CE437" s="41"/>
      <c r="CF437" s="41"/>
      <c r="CG437" s="41"/>
      <c r="CH437" s="41"/>
      <c r="CI437" s="41"/>
      <c r="CJ437" s="41"/>
      <c r="CK437" s="41"/>
      <c r="CL437" s="41"/>
      <c r="CM437" s="41"/>
      <c r="CN437" s="41"/>
      <c r="CO437" s="41"/>
      <c r="CP437" s="41"/>
      <c r="CQ437" s="41"/>
      <c r="CR437" s="41"/>
      <c r="CS437" s="41"/>
      <c r="CT437" s="41"/>
      <c r="CU437" s="41"/>
      <c r="CV437" s="211"/>
      <c r="CW437" s="41"/>
      <c r="CX437" s="41"/>
      <c r="CY437" s="41"/>
      <c r="CZ437" s="15"/>
      <c r="DA437" s="15"/>
      <c r="DB437" s="15"/>
      <c r="DC437" s="15"/>
      <c r="DD437" s="15"/>
      <c r="DE437" s="15"/>
      <c r="DF437" s="15"/>
    </row>
    <row r="438" spans="1:110" ht="12" hidden="1" outlineLevel="2">
      <c r="A438" s="1" t="s">
        <v>52</v>
      </c>
      <c r="B438" s="15" t="s">
        <v>804</v>
      </c>
      <c r="C438" s="41"/>
      <c r="D438" s="41"/>
      <c r="E438" s="41"/>
      <c r="F438" s="41"/>
      <c r="G438" s="41"/>
      <c r="H438" s="41"/>
      <c r="I438" s="41"/>
      <c r="J438" s="41"/>
      <c r="K438" s="41"/>
      <c r="L438" s="41"/>
      <c r="M438" s="41"/>
      <c r="N438" s="41"/>
      <c r="O438" s="41"/>
      <c r="P438" s="41"/>
      <c r="Q438" s="41"/>
      <c r="R438" s="41"/>
      <c r="S438" s="41"/>
      <c r="T438" s="41"/>
      <c r="U438" s="41"/>
      <c r="V438" s="41"/>
      <c r="W438" s="41"/>
      <c r="X438" s="41"/>
      <c r="Y438" s="41"/>
      <c r="Z438" s="41"/>
      <c r="AA438" s="41"/>
      <c r="AB438" s="41"/>
      <c r="AC438" s="41"/>
      <c r="AD438" s="41"/>
      <c r="AE438" s="41"/>
      <c r="AF438" s="41"/>
      <c r="AG438" s="41"/>
      <c r="AH438" s="41"/>
      <c r="AI438" s="41"/>
      <c r="AJ438" s="41"/>
      <c r="AK438" s="41"/>
      <c r="AL438" s="41"/>
      <c r="AM438" s="41"/>
      <c r="AN438" s="41"/>
      <c r="AO438" s="41"/>
      <c r="AP438" s="41"/>
      <c r="AQ438" s="41"/>
      <c r="AR438" s="41"/>
      <c r="AS438" s="41"/>
      <c r="AT438" s="41"/>
      <c r="AU438" s="41"/>
      <c r="AV438" s="211"/>
      <c r="AW438" s="41"/>
      <c r="AX438" s="41"/>
      <c r="AY438" s="41"/>
      <c r="AZ438" s="41"/>
      <c r="BA438" s="41"/>
      <c r="BB438" s="41"/>
      <c r="BC438" s="41"/>
      <c r="BD438" s="41"/>
      <c r="BE438" s="41"/>
      <c r="BF438" s="41"/>
      <c r="BG438" s="41"/>
      <c r="BH438" s="41"/>
      <c r="BI438" s="41"/>
      <c r="BJ438" s="41"/>
      <c r="BK438" s="41"/>
      <c r="BL438" s="41"/>
      <c r="BM438" s="41"/>
      <c r="BN438" s="41"/>
      <c r="BO438" s="41"/>
      <c r="BP438" s="41"/>
      <c r="BQ438" s="41"/>
      <c r="BR438" s="41"/>
      <c r="BS438" s="41"/>
      <c r="BT438" s="41"/>
      <c r="BU438" s="41"/>
      <c r="BV438" s="41"/>
      <c r="BW438" s="41"/>
      <c r="BX438" s="41"/>
      <c r="BY438" s="41"/>
      <c r="BZ438" s="41"/>
      <c r="CA438" s="41"/>
      <c r="CB438" s="41"/>
      <c r="CC438" s="41"/>
      <c r="CD438" s="41"/>
      <c r="CE438" s="41"/>
      <c r="CF438" s="41"/>
      <c r="CG438" s="41"/>
      <c r="CH438" s="41"/>
      <c r="CI438" s="41"/>
      <c r="CJ438" s="41"/>
      <c r="CK438" s="41"/>
      <c r="CL438" s="41"/>
      <c r="CM438" s="41"/>
      <c r="CN438" s="41"/>
      <c r="CO438" s="41"/>
      <c r="CP438" s="41"/>
      <c r="CQ438" s="41"/>
      <c r="CR438" s="41"/>
      <c r="CS438" s="41"/>
      <c r="CT438" s="41"/>
      <c r="CU438" s="41"/>
      <c r="CV438" s="211"/>
      <c r="CW438" s="41"/>
      <c r="CX438" s="41"/>
      <c r="CY438" s="41"/>
      <c r="CZ438" s="15"/>
      <c r="DA438" s="15"/>
      <c r="DB438" s="15"/>
      <c r="DC438" s="15"/>
      <c r="DD438" s="15"/>
      <c r="DE438" s="15"/>
      <c r="DF438" s="15"/>
    </row>
    <row r="439" spans="1:110" ht="12" hidden="1" outlineLevel="2">
      <c r="A439" s="1" t="s">
        <v>54</v>
      </c>
      <c r="B439" s="15" t="s">
        <v>804</v>
      </c>
      <c r="C439" s="41"/>
      <c r="D439" s="41"/>
      <c r="E439" s="41"/>
      <c r="F439" s="41"/>
      <c r="G439" s="41"/>
      <c r="H439" s="41"/>
      <c r="I439" s="41"/>
      <c r="J439" s="41"/>
      <c r="K439" s="41"/>
      <c r="L439" s="41"/>
      <c r="M439" s="41"/>
      <c r="N439" s="41"/>
      <c r="O439" s="41"/>
      <c r="P439" s="41"/>
      <c r="Q439" s="41"/>
      <c r="R439" s="41"/>
      <c r="S439" s="41"/>
      <c r="T439" s="41"/>
      <c r="U439" s="41"/>
      <c r="V439" s="41"/>
      <c r="W439" s="41"/>
      <c r="X439" s="41"/>
      <c r="Y439" s="41"/>
      <c r="Z439" s="41"/>
      <c r="AA439" s="41"/>
      <c r="AB439" s="41"/>
      <c r="AC439" s="41"/>
      <c r="AD439" s="41"/>
      <c r="AE439" s="41"/>
      <c r="AF439" s="41"/>
      <c r="AG439" s="41"/>
      <c r="AH439" s="41"/>
      <c r="AI439" s="41"/>
      <c r="AJ439" s="41"/>
      <c r="AK439" s="41"/>
      <c r="AL439" s="41"/>
      <c r="AM439" s="41"/>
      <c r="AN439" s="41"/>
      <c r="AO439" s="41"/>
      <c r="AP439" s="41"/>
      <c r="AQ439" s="41"/>
      <c r="AR439" s="41"/>
      <c r="AS439" s="41"/>
      <c r="AT439" s="41"/>
      <c r="AU439" s="41"/>
      <c r="AV439" s="211"/>
      <c r="AW439" s="41"/>
      <c r="AX439" s="41"/>
      <c r="AY439" s="41"/>
      <c r="AZ439" s="41"/>
      <c r="BA439" s="41"/>
      <c r="BB439" s="41"/>
      <c r="BC439" s="41"/>
      <c r="BD439" s="41"/>
      <c r="BE439" s="41"/>
      <c r="BF439" s="41"/>
      <c r="BG439" s="41"/>
      <c r="BH439" s="41"/>
      <c r="BI439" s="41"/>
      <c r="BJ439" s="41"/>
      <c r="BK439" s="41"/>
      <c r="BL439" s="41"/>
      <c r="BM439" s="41"/>
      <c r="BN439" s="41"/>
      <c r="BO439" s="41"/>
      <c r="BP439" s="41"/>
      <c r="BQ439" s="41"/>
      <c r="BR439" s="41"/>
      <c r="BS439" s="41"/>
      <c r="BT439" s="41"/>
      <c r="BU439" s="41"/>
      <c r="BV439" s="41"/>
      <c r="BW439" s="41"/>
      <c r="BX439" s="41"/>
      <c r="BY439" s="41"/>
      <c r="BZ439" s="41"/>
      <c r="CA439" s="41"/>
      <c r="CB439" s="41"/>
      <c r="CC439" s="41"/>
      <c r="CD439" s="41"/>
      <c r="CE439" s="41"/>
      <c r="CF439" s="41"/>
      <c r="CG439" s="41"/>
      <c r="CH439" s="41"/>
      <c r="CI439" s="41"/>
      <c r="CJ439" s="41"/>
      <c r="CK439" s="41"/>
      <c r="CL439" s="41"/>
      <c r="CM439" s="41"/>
      <c r="CN439" s="41"/>
      <c r="CO439" s="41"/>
      <c r="CP439" s="41"/>
      <c r="CQ439" s="41"/>
      <c r="CR439" s="41"/>
      <c r="CS439" s="41"/>
      <c r="CT439" s="41"/>
      <c r="CU439" s="41"/>
      <c r="CV439" s="211"/>
      <c r="CW439" s="41"/>
      <c r="CX439" s="41"/>
      <c r="CY439" s="41"/>
      <c r="CZ439" s="15"/>
      <c r="DA439" s="15"/>
      <c r="DB439" s="15"/>
      <c r="DC439" s="15"/>
      <c r="DD439" s="15"/>
      <c r="DE439" s="15"/>
      <c r="DF439" s="15"/>
    </row>
    <row r="440" spans="1:110" ht="12" outlineLevel="1" collapsed="1">
      <c r="A440" s="1" t="s">
        <v>678</v>
      </c>
      <c r="B440" s="15" t="s">
        <v>452</v>
      </c>
      <c r="C440" s="41">
        <v>-701</v>
      </c>
      <c r="D440" s="41">
        <v>-701</v>
      </c>
      <c r="E440" s="41">
        <v>-749.41333333333318</v>
      </c>
      <c r="F440" s="41">
        <v>-759.62000000000012</v>
      </c>
      <c r="G440" s="41">
        <v>-386.02666666666664</v>
      </c>
      <c r="H440" s="41">
        <v>-891.68000000000006</v>
      </c>
      <c r="I440" s="41">
        <v>-999.99333333333311</v>
      </c>
      <c r="J440" s="41">
        <v>-912.41333333333318</v>
      </c>
      <c r="K440" s="41">
        <v>-900.08666666666682</v>
      </c>
      <c r="L440" s="41">
        <v>-910.17333333333363</v>
      </c>
      <c r="M440" s="41">
        <v>-969.88666666666654</v>
      </c>
      <c r="N440" s="41">
        <v>-960.62666666666678</v>
      </c>
      <c r="O440" s="41">
        <v>-1034.2133333333336</v>
      </c>
      <c r="P440" s="41">
        <v>-1066.0933333333332</v>
      </c>
      <c r="Q440" s="41">
        <v>-1165.7866666666664</v>
      </c>
      <c r="R440" s="41">
        <v>-1294.3599999999999</v>
      </c>
      <c r="S440" s="41">
        <v>-1306.8466666666666</v>
      </c>
      <c r="T440" s="41">
        <v>-1151</v>
      </c>
      <c r="U440" s="41">
        <v>-1194.6666666666665</v>
      </c>
      <c r="V440" s="41">
        <v>-1408</v>
      </c>
      <c r="W440" s="41">
        <v>-1381.6666666666665</v>
      </c>
      <c r="X440" s="41">
        <v>-1400</v>
      </c>
      <c r="Y440" s="41">
        <v>-1439.6666666666665</v>
      </c>
      <c r="Z440" s="41">
        <v>-1361.6666666666665</v>
      </c>
      <c r="AA440" s="41">
        <v>-1431</v>
      </c>
      <c r="AB440" s="41">
        <v>-1389.6666666666665</v>
      </c>
      <c r="AC440" s="41">
        <v>-1396.6666666666665</v>
      </c>
      <c r="AD440" s="41">
        <v>-1428.6666666666665</v>
      </c>
      <c r="AE440" s="41">
        <v>-1532.6666666666665</v>
      </c>
      <c r="AF440" s="41">
        <v>-1600.3333333333335</v>
      </c>
      <c r="AG440" s="41">
        <v>-1679.6666666666665</v>
      </c>
      <c r="AH440" s="41">
        <v>-1632</v>
      </c>
      <c r="AI440" s="41">
        <v>-1758.6666666666665</v>
      </c>
      <c r="AJ440" s="41">
        <v>-1629.6666666666665</v>
      </c>
      <c r="AK440" s="41">
        <v>-1728.3333333333335</v>
      </c>
      <c r="AL440" s="41">
        <v>-1600</v>
      </c>
      <c r="AM440" s="41">
        <v>-1645</v>
      </c>
      <c r="AN440" s="41">
        <v>-1655</v>
      </c>
      <c r="AO440" s="41">
        <v>-1656</v>
      </c>
      <c r="AP440" s="41">
        <v>-1505</v>
      </c>
      <c r="AQ440" s="41">
        <v>-1725</v>
      </c>
      <c r="AR440" s="41">
        <v>-1701</v>
      </c>
      <c r="AS440" s="41">
        <v>-1798</v>
      </c>
      <c r="AT440" s="41">
        <v>-1788</v>
      </c>
      <c r="AU440" s="41">
        <v>-1848</v>
      </c>
      <c r="AV440" s="211">
        <v>-2002</v>
      </c>
      <c r="AW440" s="41">
        <v>-2067.2999278416978</v>
      </c>
      <c r="AX440" s="41">
        <v>-2132.6631671202208</v>
      </c>
      <c r="AY440" s="41">
        <v>-2133.0903848020421</v>
      </c>
      <c r="AZ440" s="41">
        <v>-2155.5496943520702</v>
      </c>
      <c r="BA440" s="41">
        <v>-2160.0578928637806</v>
      </c>
      <c r="BB440" s="41">
        <v>-2196.6249755520539</v>
      </c>
      <c r="BC440" s="41">
        <v>-2202.3214582667151</v>
      </c>
      <c r="BD440" s="41">
        <v>-2256.8700571705008</v>
      </c>
      <c r="BE440" s="41">
        <v>-2273.3847396789006</v>
      </c>
      <c r="BF440" s="41">
        <v>-2338.5563067084968</v>
      </c>
      <c r="BG440" s="41">
        <v>-2369.4026429603036</v>
      </c>
      <c r="BH440" s="41">
        <v>-2431.3507533595407</v>
      </c>
      <c r="BI440" s="41">
        <v>-2470.8443546445492</v>
      </c>
      <c r="BJ440" s="41">
        <v>-2546.8404338811029</v>
      </c>
      <c r="BK440" s="41">
        <v>-2586.032268694049</v>
      </c>
      <c r="BL440" s="41">
        <v>-2672.4440917117895</v>
      </c>
      <c r="BM440" s="41">
        <v>-2705.839191999924</v>
      </c>
      <c r="BN440" s="41">
        <v>-2776.5337902404881</v>
      </c>
      <c r="BO440" s="41">
        <v>-2785.8774371875884</v>
      </c>
      <c r="BP440" s="41"/>
      <c r="BQ440" s="41">
        <v>-1848.5</v>
      </c>
      <c r="BR440" s="41">
        <v>-1704.4</v>
      </c>
      <c r="BS440" s="41">
        <v>-1533</v>
      </c>
      <c r="BT440" s="41">
        <v>-1506</v>
      </c>
      <c r="BU440" s="41">
        <v>-1592</v>
      </c>
      <c r="BV440" s="41">
        <v>-1553</v>
      </c>
      <c r="BW440" s="41">
        <v>-1588</v>
      </c>
      <c r="BX440" s="41">
        <v>-1568</v>
      </c>
      <c r="BY440" s="41">
        <v>-1544</v>
      </c>
      <c r="BZ440" s="41">
        <v>-1378</v>
      </c>
      <c r="CA440" s="41">
        <v>-1450.4133333333332</v>
      </c>
      <c r="CB440" s="41">
        <v>-1145.6466666666668</v>
      </c>
      <c r="CC440" s="41">
        <v>-1891.6733333333332</v>
      </c>
      <c r="CD440" s="41">
        <v>-1812.5</v>
      </c>
      <c r="CE440" s="41">
        <v>-1880.0600000000002</v>
      </c>
      <c r="CF440" s="41">
        <v>-1994.8400000000004</v>
      </c>
      <c r="CG440" s="41">
        <v>-2231.8799999999997</v>
      </c>
      <c r="CH440" s="41">
        <v>-2601.2066666666665</v>
      </c>
      <c r="CI440" s="41">
        <v>-2345.6666666666665</v>
      </c>
      <c r="CJ440" s="41">
        <v>-2789.6666666666665</v>
      </c>
      <c r="CK440" s="41">
        <v>-2839.6666666666665</v>
      </c>
      <c r="CL440" s="41">
        <v>-2792.6666666666665</v>
      </c>
      <c r="CM440" s="41">
        <v>-2786.333333333333</v>
      </c>
      <c r="CN440" s="41">
        <v>-2961.333333333333</v>
      </c>
      <c r="CO440" s="41">
        <v>-3280</v>
      </c>
      <c r="CP440" s="41">
        <v>-3390.6666666666665</v>
      </c>
      <c r="CQ440" s="41">
        <v>-3358</v>
      </c>
      <c r="CR440" s="41">
        <v>-3245</v>
      </c>
      <c r="CS440" s="41">
        <v>-3311</v>
      </c>
      <c r="CT440" s="41">
        <v>-3230</v>
      </c>
      <c r="CU440" s="41">
        <v>-3499</v>
      </c>
      <c r="CV440" s="211">
        <v>-3636</v>
      </c>
      <c r="CW440" s="41">
        <v>-4069.2999278416978</v>
      </c>
      <c r="CX440" s="41">
        <v>-4265.7535519222629</v>
      </c>
      <c r="CY440" s="41">
        <v>-4315.6075872158508</v>
      </c>
      <c r="CZ440" s="41">
        <v>-4398.946433818769</v>
      </c>
      <c r="DA440" s="41">
        <v>-4530.2547968494018</v>
      </c>
      <c r="DB440" s="41">
        <v>-4707.9589496688004</v>
      </c>
      <c r="DC440" s="41">
        <v>-4902.1951080040899</v>
      </c>
      <c r="DD440" s="41">
        <v>-5132.8727025751523</v>
      </c>
      <c r="DE440" s="41">
        <v>-5378.283283711713</v>
      </c>
      <c r="DF440" s="41">
        <v>-5562.411227428076</v>
      </c>
    </row>
    <row r="441" spans="1:110" s="17" customFormat="1" ht="12" outlineLevel="1">
      <c r="A441" s="1" t="s">
        <v>87</v>
      </c>
      <c r="B441" s="17" t="s">
        <v>376</v>
      </c>
      <c r="C441" s="62">
        <v>-1553</v>
      </c>
      <c r="D441" s="62">
        <v>-1578</v>
      </c>
      <c r="E441" s="62">
        <v>-1667.12</v>
      </c>
      <c r="F441" s="62">
        <v>-1703.43</v>
      </c>
      <c r="G441" s="62">
        <v>-1722.04</v>
      </c>
      <c r="H441" s="62">
        <v>-1999.02</v>
      </c>
      <c r="I441" s="62">
        <v>-2225.9899999999998</v>
      </c>
      <c r="J441" s="62">
        <v>-2219.12</v>
      </c>
      <c r="K441" s="62">
        <v>-2304.63</v>
      </c>
      <c r="L441" s="62">
        <v>-2368.7600000000002</v>
      </c>
      <c r="M441" s="62">
        <v>-2452.33</v>
      </c>
      <c r="N441" s="62">
        <v>-2511.44</v>
      </c>
      <c r="O441" s="62">
        <v>-2673.82</v>
      </c>
      <c r="P441" s="62">
        <v>-2782.64</v>
      </c>
      <c r="Q441" s="62">
        <v>-2890.68</v>
      </c>
      <c r="R441" s="62">
        <v>-3186.54</v>
      </c>
      <c r="S441" s="62">
        <v>-3244.27</v>
      </c>
      <c r="T441" s="62">
        <v>-3256</v>
      </c>
      <c r="U441" s="62">
        <v>-3729</v>
      </c>
      <c r="V441" s="62">
        <v>-4026</v>
      </c>
      <c r="W441" s="62">
        <v>-3997</v>
      </c>
      <c r="X441" s="62">
        <v>-4133</v>
      </c>
      <c r="Y441" s="62">
        <v>-4113</v>
      </c>
      <c r="Z441" s="62">
        <v>-4044</v>
      </c>
      <c r="AA441" s="62">
        <v>-4213</v>
      </c>
      <c r="AB441" s="62">
        <v>-4286</v>
      </c>
      <c r="AC441" s="62">
        <v>-4349</v>
      </c>
      <c r="AD441" s="62">
        <v>-4572</v>
      </c>
      <c r="AE441" s="62">
        <v>-4732</v>
      </c>
      <c r="AF441" s="62">
        <v>-4783</v>
      </c>
      <c r="AG441" s="62">
        <v>-4805</v>
      </c>
      <c r="AH441" s="62">
        <v>-4487</v>
      </c>
      <c r="AI441" s="62">
        <v>-4480</v>
      </c>
      <c r="AJ441" s="62">
        <v>-4294</v>
      </c>
      <c r="AK441" s="62">
        <v>-4308</v>
      </c>
      <c r="AL441" s="62">
        <v>-4222</v>
      </c>
      <c r="AM441" s="62">
        <v>-4305</v>
      </c>
      <c r="AN441" s="62">
        <v>-4361</v>
      </c>
      <c r="AO441" s="62">
        <v>-4288</v>
      </c>
      <c r="AP441" s="62">
        <v>-4187</v>
      </c>
      <c r="AQ441" s="62">
        <v>-4423</v>
      </c>
      <c r="AR441" s="62">
        <v>-4544</v>
      </c>
      <c r="AS441" s="62">
        <v>-4626</v>
      </c>
      <c r="AT441" s="62">
        <v>-4844</v>
      </c>
      <c r="AU441" s="62">
        <v>-4874</v>
      </c>
      <c r="AV441" s="220">
        <v>-5215</v>
      </c>
      <c r="AW441" s="62">
        <v>-5423.7077376548241</v>
      </c>
      <c r="AX441" s="62">
        <v>-5735.4898473968942</v>
      </c>
      <c r="AY441" s="62">
        <v>-5765.2567964607751</v>
      </c>
      <c r="AZ441" s="62">
        <v>-5804.0137607671277</v>
      </c>
      <c r="BA441" s="62">
        <v>-5865.0388560881647</v>
      </c>
      <c r="BB441" s="62">
        <v>-5926.6846027709125</v>
      </c>
      <c r="BC441" s="62">
        <v>-5998.9443358396293</v>
      </c>
      <c r="BD441" s="62">
        <v>-6075.1893980797886</v>
      </c>
      <c r="BE441" s="62">
        <v>-6157.4037986629501</v>
      </c>
      <c r="BF441" s="62">
        <v>-6232.2375989512402</v>
      </c>
      <c r="BG441" s="62">
        <v>-6372.730092703443</v>
      </c>
      <c r="BH441" s="62">
        <v>-6459.2827650683921</v>
      </c>
      <c r="BI441" s="62">
        <v>-6623.1812159298843</v>
      </c>
      <c r="BJ441" s="62">
        <v>-6779.2944241314035</v>
      </c>
      <c r="BK441" s="62">
        <v>-6947.3060763257881</v>
      </c>
      <c r="BL441" s="62">
        <v>-7141.6544406059184</v>
      </c>
      <c r="BM441" s="62">
        <v>-7276.7374355969323</v>
      </c>
      <c r="BN441" s="62">
        <v>-7427.1258929482146</v>
      </c>
      <c r="BO441" s="62">
        <v>-7522.9523447284264</v>
      </c>
      <c r="BP441" s="62"/>
      <c r="BQ441" s="62">
        <v>-3329</v>
      </c>
      <c r="BR441" s="62">
        <v>-3124</v>
      </c>
      <c r="BS441" s="62">
        <v>-3001</v>
      </c>
      <c r="BT441" s="62">
        <v>-3116</v>
      </c>
      <c r="BU441" s="62">
        <v>-3397</v>
      </c>
      <c r="BV441" s="62">
        <v>-3502</v>
      </c>
      <c r="BW441" s="62">
        <v>-3442</v>
      </c>
      <c r="BX441" s="62">
        <v>-3300</v>
      </c>
      <c r="BY441" s="62">
        <v>-3302</v>
      </c>
      <c r="BZ441" s="62">
        <v>-3075</v>
      </c>
      <c r="CA441" s="62">
        <v>-3245.12</v>
      </c>
      <c r="CB441" s="62">
        <v>-3425.4700000000003</v>
      </c>
      <c r="CC441" s="62">
        <v>-4225.01</v>
      </c>
      <c r="CD441" s="62">
        <v>-4523.75</v>
      </c>
      <c r="CE441" s="62">
        <v>-4821.09</v>
      </c>
      <c r="CF441" s="62">
        <v>-5185.26</v>
      </c>
      <c r="CG441" s="62">
        <v>-5673.32</v>
      </c>
      <c r="CH441" s="62">
        <v>-6430.8099999999995</v>
      </c>
      <c r="CI441" s="62">
        <v>-6985</v>
      </c>
      <c r="CJ441" s="62">
        <v>-8023</v>
      </c>
      <c r="CK441" s="62">
        <v>-8246</v>
      </c>
      <c r="CL441" s="62">
        <v>-8257</v>
      </c>
      <c r="CM441" s="62">
        <v>-8635</v>
      </c>
      <c r="CN441" s="62">
        <v>-9304</v>
      </c>
      <c r="CO441" s="62">
        <v>-9588</v>
      </c>
      <c r="CP441" s="62">
        <v>-8967</v>
      </c>
      <c r="CQ441" s="62">
        <v>-8602</v>
      </c>
      <c r="CR441" s="62">
        <v>-8527</v>
      </c>
      <c r="CS441" s="62">
        <v>-8649</v>
      </c>
      <c r="CT441" s="62">
        <v>-8610</v>
      </c>
      <c r="CU441" s="62">
        <v>-9170</v>
      </c>
      <c r="CV441" s="220">
        <v>-9718</v>
      </c>
      <c r="CW441" s="62">
        <v>-10638.707737654824</v>
      </c>
      <c r="CX441" s="62">
        <v>-11500.74664385767</v>
      </c>
      <c r="CY441" s="62">
        <v>-11669.052616855293</v>
      </c>
      <c r="CZ441" s="62">
        <v>-11925.628938610542</v>
      </c>
      <c r="DA441" s="62">
        <v>-12232.593196742739</v>
      </c>
      <c r="DB441" s="62">
        <v>-12604.967691654683</v>
      </c>
      <c r="DC441" s="62">
        <v>-13082.463980998276</v>
      </c>
      <c r="DD441" s="62">
        <v>-13726.600500457193</v>
      </c>
      <c r="DE441" s="62">
        <v>-14418.391876202852</v>
      </c>
      <c r="DF441" s="62">
        <v>-14950.07823767664</v>
      </c>
    </row>
    <row r="442" spans="1:110" ht="12" outlineLevel="1">
      <c r="A442" s="1" t="s">
        <v>0</v>
      </c>
      <c r="B442" s="15" t="s">
        <v>377</v>
      </c>
      <c r="C442" s="41">
        <v>0</v>
      </c>
      <c r="D442" s="41">
        <v>0</v>
      </c>
      <c r="E442" s="41">
        <v>0</v>
      </c>
      <c r="F442" s="41">
        <v>0</v>
      </c>
      <c r="G442" s="41">
        <v>0</v>
      </c>
      <c r="H442" s="41">
        <v>0</v>
      </c>
      <c r="I442" s="41">
        <v>0</v>
      </c>
      <c r="J442" s="41">
        <v>0</v>
      </c>
      <c r="K442" s="41">
        <v>0</v>
      </c>
      <c r="L442" s="41">
        <v>0</v>
      </c>
      <c r="M442" s="41">
        <v>0</v>
      </c>
      <c r="N442" s="41">
        <v>0</v>
      </c>
      <c r="O442" s="41">
        <v>0</v>
      </c>
      <c r="P442" s="41">
        <v>0</v>
      </c>
      <c r="Q442" s="41">
        <v>0</v>
      </c>
      <c r="R442" s="41">
        <v>0</v>
      </c>
      <c r="S442" s="41">
        <v>0</v>
      </c>
      <c r="T442" s="41">
        <v>0</v>
      </c>
      <c r="U442" s="41">
        <v>0</v>
      </c>
      <c r="V442" s="41">
        <v>0</v>
      </c>
      <c r="W442" s="41">
        <v>0</v>
      </c>
      <c r="X442" s="41">
        <v>0</v>
      </c>
      <c r="Y442" s="41">
        <v>0</v>
      </c>
      <c r="Z442" s="41">
        <v>0</v>
      </c>
      <c r="AA442" s="41">
        <v>0</v>
      </c>
      <c r="AB442" s="41">
        <v>0</v>
      </c>
      <c r="AC442" s="141">
        <v>-125</v>
      </c>
      <c r="AD442" s="141">
        <v>-31</v>
      </c>
      <c r="AE442" s="141">
        <v>-43</v>
      </c>
      <c r="AF442" s="141">
        <v>-705</v>
      </c>
      <c r="AG442" s="141">
        <v>-146</v>
      </c>
      <c r="AH442" s="141">
        <v>0</v>
      </c>
      <c r="AI442" s="141">
        <v>0</v>
      </c>
      <c r="AJ442" s="141">
        <v>-179</v>
      </c>
      <c r="AK442" s="141">
        <v>-620</v>
      </c>
      <c r="AL442" s="141">
        <v>-143</v>
      </c>
      <c r="AM442" s="141">
        <v>-401</v>
      </c>
      <c r="AN442" s="141">
        <v>-244</v>
      </c>
      <c r="AO442" s="141">
        <v>-490</v>
      </c>
      <c r="AP442" s="141">
        <v>-295</v>
      </c>
      <c r="AQ442" s="141">
        <v>-146</v>
      </c>
      <c r="AR442" s="141">
        <v>-247</v>
      </c>
      <c r="AS442" s="141">
        <v>-162</v>
      </c>
      <c r="AT442" s="141">
        <v>-153</v>
      </c>
      <c r="AU442" s="141">
        <v>-268</v>
      </c>
      <c r="AV442" s="226">
        <v>0</v>
      </c>
      <c r="AW442" s="210">
        <v>0</v>
      </c>
      <c r="AX442" s="210">
        <v>-66.666666666666671</v>
      </c>
      <c r="AY442" s="210">
        <v>-66.666666666666671</v>
      </c>
      <c r="AZ442" s="210">
        <v>-66.666666666666671</v>
      </c>
      <c r="BA442" s="210">
        <v>-66.666666666666671</v>
      </c>
      <c r="BB442" s="210">
        <v>-66.666666666666671</v>
      </c>
      <c r="BC442" s="210">
        <v>-66.666666666666671</v>
      </c>
      <c r="BD442" s="210">
        <v>-60</v>
      </c>
      <c r="BE442" s="210">
        <v>-60</v>
      </c>
      <c r="BF442" s="210">
        <v>-60</v>
      </c>
      <c r="BG442" s="210">
        <v>-60</v>
      </c>
      <c r="BH442" s="210">
        <v>0</v>
      </c>
      <c r="BI442" s="210">
        <v>0</v>
      </c>
      <c r="BJ442" s="210">
        <v>0</v>
      </c>
      <c r="BK442" s="210">
        <v>0</v>
      </c>
      <c r="BL442" s="210">
        <v>0</v>
      </c>
      <c r="BM442" s="210">
        <v>0</v>
      </c>
      <c r="BN442" s="210">
        <v>0</v>
      </c>
      <c r="BO442" s="210">
        <v>0</v>
      </c>
      <c r="BP442" s="210"/>
      <c r="BQ442" s="40">
        <v>0</v>
      </c>
      <c r="BR442" s="40">
        <v>0</v>
      </c>
      <c r="BS442" s="40">
        <v>0</v>
      </c>
      <c r="BT442" s="40">
        <v>0</v>
      </c>
      <c r="BU442" s="40">
        <v>0</v>
      </c>
      <c r="BV442" s="40">
        <v>0</v>
      </c>
      <c r="BW442" s="40">
        <v>0</v>
      </c>
      <c r="BX442" s="40">
        <v>0</v>
      </c>
      <c r="BY442" s="40">
        <v>0</v>
      </c>
      <c r="BZ442" s="40">
        <v>0</v>
      </c>
      <c r="CA442" s="41">
        <v>0</v>
      </c>
      <c r="CB442" s="41">
        <v>0</v>
      </c>
      <c r="CC442" s="41">
        <v>0</v>
      </c>
      <c r="CD442" s="41">
        <v>0</v>
      </c>
      <c r="CE442" s="41">
        <v>0</v>
      </c>
      <c r="CF442" s="41">
        <v>0</v>
      </c>
      <c r="CG442" s="41">
        <v>0</v>
      </c>
      <c r="CH442" s="41">
        <v>0</v>
      </c>
      <c r="CI442" s="41">
        <v>0</v>
      </c>
      <c r="CJ442" s="41">
        <v>0</v>
      </c>
      <c r="CK442" s="41">
        <v>0</v>
      </c>
      <c r="CL442" s="41">
        <v>0</v>
      </c>
      <c r="CM442" s="41">
        <v>-125</v>
      </c>
      <c r="CN442" s="41">
        <v>-74</v>
      </c>
      <c r="CO442" s="41">
        <v>-851</v>
      </c>
      <c r="CP442" s="41">
        <v>0</v>
      </c>
      <c r="CQ442" s="41">
        <v>-799</v>
      </c>
      <c r="CR442" s="41">
        <v>-544</v>
      </c>
      <c r="CS442" s="41">
        <v>-734</v>
      </c>
      <c r="CT442" s="41">
        <v>-441</v>
      </c>
      <c r="CU442" s="41">
        <v>-409</v>
      </c>
      <c r="CV442" s="211">
        <v>-421</v>
      </c>
      <c r="CW442" s="41">
        <v>0</v>
      </c>
      <c r="CX442" s="41">
        <v>-133.33333333333334</v>
      </c>
      <c r="CY442" s="41">
        <v>-133.33333333333334</v>
      </c>
      <c r="CZ442" s="41">
        <v>-133.33333333333334</v>
      </c>
      <c r="DA442" s="41">
        <v>-120</v>
      </c>
      <c r="DB442" s="41">
        <v>-120</v>
      </c>
      <c r="DC442" s="41">
        <v>0</v>
      </c>
      <c r="DD442" s="41">
        <v>0</v>
      </c>
      <c r="DE442" s="41">
        <v>0</v>
      </c>
      <c r="DF442" s="41">
        <v>0</v>
      </c>
    </row>
    <row r="443" spans="1:110" s="17" customFormat="1" ht="12" outlineLevel="1">
      <c r="A443" s="1" t="s">
        <v>1</v>
      </c>
      <c r="B443" s="17" t="s">
        <v>168</v>
      </c>
      <c r="C443" s="62">
        <v>-1553</v>
      </c>
      <c r="D443" s="62">
        <v>-1578</v>
      </c>
      <c r="E443" s="62">
        <v>-1667.12</v>
      </c>
      <c r="F443" s="62">
        <v>-1703.43</v>
      </c>
      <c r="G443" s="62">
        <v>-1722.04</v>
      </c>
      <c r="H443" s="62">
        <v>-1999.02</v>
      </c>
      <c r="I443" s="62">
        <v>-2225.9899999999998</v>
      </c>
      <c r="J443" s="62">
        <v>-2219.12</v>
      </c>
      <c r="K443" s="62">
        <v>-2304.63</v>
      </c>
      <c r="L443" s="62">
        <v>-2368.7600000000002</v>
      </c>
      <c r="M443" s="62">
        <v>-2452.33</v>
      </c>
      <c r="N443" s="62">
        <v>-2511.44</v>
      </c>
      <c r="O443" s="62">
        <v>-2673.82</v>
      </c>
      <c r="P443" s="62">
        <v>-2782.64</v>
      </c>
      <c r="Q443" s="62">
        <v>-2890.68</v>
      </c>
      <c r="R443" s="62">
        <v>-3186.54</v>
      </c>
      <c r="S443" s="62">
        <v>-3244.27</v>
      </c>
      <c r="T443" s="62">
        <v>-3256</v>
      </c>
      <c r="U443" s="62">
        <v>-3729</v>
      </c>
      <c r="V443" s="62">
        <v>-4026</v>
      </c>
      <c r="W443" s="62">
        <v>-3997</v>
      </c>
      <c r="X443" s="62">
        <v>-4133</v>
      </c>
      <c r="Y443" s="62">
        <v>-4113</v>
      </c>
      <c r="Z443" s="62">
        <v>-4044</v>
      </c>
      <c r="AA443" s="62">
        <v>-4213</v>
      </c>
      <c r="AB443" s="62">
        <v>-4286</v>
      </c>
      <c r="AC443" s="62">
        <v>-4474</v>
      </c>
      <c r="AD443" s="62">
        <v>-4603</v>
      </c>
      <c r="AE443" s="62">
        <v>-4775</v>
      </c>
      <c r="AF443" s="62">
        <v>-5488</v>
      </c>
      <c r="AG443" s="62">
        <v>-4951</v>
      </c>
      <c r="AH443" s="62">
        <v>-4487</v>
      </c>
      <c r="AI443" s="62">
        <v>-4480</v>
      </c>
      <c r="AJ443" s="62">
        <v>-4473</v>
      </c>
      <c r="AK443" s="62">
        <v>-4928</v>
      </c>
      <c r="AL443" s="62">
        <v>-4365</v>
      </c>
      <c r="AM443" s="62">
        <v>-4706</v>
      </c>
      <c r="AN443" s="62">
        <v>-4605</v>
      </c>
      <c r="AO443" s="62">
        <v>-4778</v>
      </c>
      <c r="AP443" s="62">
        <v>-4482</v>
      </c>
      <c r="AQ443" s="62">
        <v>-4569</v>
      </c>
      <c r="AR443" s="62">
        <v>-4791</v>
      </c>
      <c r="AS443" s="62">
        <v>-4788</v>
      </c>
      <c r="AT443" s="62">
        <v>-4997</v>
      </c>
      <c r="AU443" s="62">
        <v>-5142</v>
      </c>
      <c r="AV443" s="220">
        <v>-5215</v>
      </c>
      <c r="AW443" s="62">
        <v>-5423.7077376548241</v>
      </c>
      <c r="AX443" s="62">
        <v>-5802.1565140635612</v>
      </c>
      <c r="AY443" s="62">
        <v>-5831.9234631274421</v>
      </c>
      <c r="AZ443" s="62">
        <v>-5870.6804274337946</v>
      </c>
      <c r="BA443" s="62">
        <v>-5931.7055227548317</v>
      </c>
      <c r="BB443" s="62">
        <v>-5993.3512694375795</v>
      </c>
      <c r="BC443" s="62">
        <v>-6065.6110025062962</v>
      </c>
      <c r="BD443" s="62">
        <v>-6135.1893980797886</v>
      </c>
      <c r="BE443" s="62">
        <v>-6217.4037986629501</v>
      </c>
      <c r="BF443" s="62">
        <v>-6292.2375989512402</v>
      </c>
      <c r="BG443" s="62">
        <v>-6432.730092703443</v>
      </c>
      <c r="BH443" s="62">
        <v>-6459.2827650683921</v>
      </c>
      <c r="BI443" s="62">
        <v>-6623.1812159298843</v>
      </c>
      <c r="BJ443" s="62">
        <v>-6779.2944241314035</v>
      </c>
      <c r="BK443" s="62">
        <v>-6947.3060763257881</v>
      </c>
      <c r="BL443" s="62">
        <v>-7141.6544406059184</v>
      </c>
      <c r="BM443" s="62">
        <v>-7276.7374355969323</v>
      </c>
      <c r="BN443" s="62">
        <v>-7427.1258929482146</v>
      </c>
      <c r="BO443" s="62">
        <v>-7522.9523447284264</v>
      </c>
      <c r="BP443" s="62"/>
      <c r="BQ443" s="62">
        <v>-3329</v>
      </c>
      <c r="BR443" s="62">
        <v>-3124</v>
      </c>
      <c r="BS443" s="62">
        <v>-3001</v>
      </c>
      <c r="BT443" s="62">
        <v>-3116</v>
      </c>
      <c r="BU443" s="62">
        <v>-3397</v>
      </c>
      <c r="BV443" s="62">
        <v>-3502</v>
      </c>
      <c r="BW443" s="62">
        <v>-3442</v>
      </c>
      <c r="BX443" s="62">
        <v>-3300</v>
      </c>
      <c r="BY443" s="62">
        <v>-3302</v>
      </c>
      <c r="BZ443" s="62">
        <v>-3075</v>
      </c>
      <c r="CA443" s="62">
        <v>-3245.12</v>
      </c>
      <c r="CB443" s="62">
        <v>-3425.4700000000003</v>
      </c>
      <c r="CC443" s="62">
        <v>-4225.01</v>
      </c>
      <c r="CD443" s="62">
        <v>-4523.75</v>
      </c>
      <c r="CE443" s="62">
        <v>-4821.09</v>
      </c>
      <c r="CF443" s="62">
        <v>-5185.26</v>
      </c>
      <c r="CG443" s="62">
        <v>-5673.32</v>
      </c>
      <c r="CH443" s="62">
        <v>-6430.8099999999995</v>
      </c>
      <c r="CI443" s="62">
        <v>-6985</v>
      </c>
      <c r="CJ443" s="62">
        <v>-8023</v>
      </c>
      <c r="CK443" s="62">
        <v>-8246</v>
      </c>
      <c r="CL443" s="62">
        <v>-8257</v>
      </c>
      <c r="CM443" s="62">
        <v>-8760</v>
      </c>
      <c r="CN443" s="62">
        <v>-9378</v>
      </c>
      <c r="CO443" s="62">
        <v>-10439</v>
      </c>
      <c r="CP443" s="62">
        <v>-8967</v>
      </c>
      <c r="CQ443" s="62">
        <v>-9401</v>
      </c>
      <c r="CR443" s="62">
        <v>-9071</v>
      </c>
      <c r="CS443" s="62">
        <v>-9383</v>
      </c>
      <c r="CT443" s="62">
        <v>-9051</v>
      </c>
      <c r="CU443" s="62">
        <v>-9579</v>
      </c>
      <c r="CV443" s="220">
        <v>-10139</v>
      </c>
      <c r="CW443" s="62">
        <v>-10638.707737654824</v>
      </c>
      <c r="CX443" s="62">
        <v>-11634.079977191002</v>
      </c>
      <c r="CY443" s="62">
        <v>-11802.385950188625</v>
      </c>
      <c r="CZ443" s="62">
        <v>-12058.962271943876</v>
      </c>
      <c r="DA443" s="62">
        <v>-12352.593196742739</v>
      </c>
      <c r="DB443" s="62">
        <v>-12724.967691654683</v>
      </c>
      <c r="DC443" s="62">
        <v>-13082.463980998276</v>
      </c>
      <c r="DD443" s="62">
        <v>-13726.600500457193</v>
      </c>
      <c r="DE443" s="62">
        <v>-14418.391876202852</v>
      </c>
      <c r="DF443" s="62">
        <v>-14950.07823767664</v>
      </c>
    </row>
    <row r="444" spans="1:110" ht="12" hidden="1" customHeight="1" outlineLevel="2">
      <c r="A444" s="1" t="s">
        <v>2</v>
      </c>
      <c r="B444" s="15" t="s">
        <v>857</v>
      </c>
      <c r="C444" s="41">
        <v>0</v>
      </c>
      <c r="D444" s="41">
        <v>0</v>
      </c>
      <c r="E444" s="41">
        <v>0</v>
      </c>
      <c r="F444" s="41">
        <v>0</v>
      </c>
      <c r="G444" s="41">
        <v>0</v>
      </c>
      <c r="H444" s="41">
        <v>0</v>
      </c>
      <c r="I444" s="41">
        <v>0</v>
      </c>
      <c r="J444" s="41">
        <v>0</v>
      </c>
      <c r="K444" s="41">
        <v>0</v>
      </c>
      <c r="L444" s="41">
        <v>0</v>
      </c>
      <c r="M444" s="41">
        <v>0</v>
      </c>
      <c r="N444" s="41">
        <v>0</v>
      </c>
      <c r="O444" s="41">
        <v>0</v>
      </c>
      <c r="P444" s="41">
        <v>0</v>
      </c>
      <c r="Q444" s="41">
        <v>0</v>
      </c>
      <c r="R444" s="41">
        <v>0</v>
      </c>
      <c r="S444" s="41">
        <v>0</v>
      </c>
      <c r="T444" s="41">
        <v>0</v>
      </c>
      <c r="U444" s="41">
        <v>0</v>
      </c>
      <c r="V444" s="41">
        <v>0</v>
      </c>
      <c r="W444" s="41">
        <v>0</v>
      </c>
      <c r="X444" s="41">
        <v>0</v>
      </c>
      <c r="Y444" s="41">
        <v>0</v>
      </c>
      <c r="Z444" s="41">
        <v>0</v>
      </c>
      <c r="AA444" s="41">
        <v>0</v>
      </c>
      <c r="AB444" s="41">
        <v>0</v>
      </c>
      <c r="AC444" s="41">
        <v>0</v>
      </c>
      <c r="AD444" s="41">
        <v>0</v>
      </c>
      <c r="AE444" s="41">
        <v>0</v>
      </c>
      <c r="AF444" s="41">
        <v>0</v>
      </c>
      <c r="AG444" s="41">
        <v>0</v>
      </c>
      <c r="AH444" s="41">
        <v>0</v>
      </c>
      <c r="AI444" s="41">
        <v>0</v>
      </c>
      <c r="AJ444" s="41">
        <v>0</v>
      </c>
      <c r="AK444" s="41">
        <v>0</v>
      </c>
      <c r="AL444" s="41">
        <v>0</v>
      </c>
      <c r="AM444" s="41">
        <v>0</v>
      </c>
      <c r="AN444" s="41">
        <v>0</v>
      </c>
      <c r="AO444" s="41">
        <v>0</v>
      </c>
      <c r="AP444" s="41">
        <v>0</v>
      </c>
      <c r="AQ444" s="41">
        <v>0</v>
      </c>
      <c r="AR444" s="41">
        <v>0</v>
      </c>
      <c r="AS444" s="41">
        <v>0</v>
      </c>
      <c r="AT444" s="41">
        <v>0</v>
      </c>
      <c r="AU444" s="41">
        <v>0</v>
      </c>
      <c r="AV444" s="211">
        <v>0</v>
      </c>
      <c r="AW444" s="41">
        <v>0</v>
      </c>
      <c r="AX444" s="41">
        <v>0</v>
      </c>
      <c r="AY444" s="41">
        <v>0</v>
      </c>
      <c r="AZ444" s="41">
        <v>0</v>
      </c>
      <c r="BA444" s="41">
        <v>0</v>
      </c>
      <c r="BB444" s="41">
        <v>0</v>
      </c>
      <c r="BC444" s="41">
        <v>0</v>
      </c>
      <c r="BD444" s="41">
        <v>0</v>
      </c>
      <c r="BE444" s="41">
        <v>0</v>
      </c>
      <c r="BF444" s="41">
        <v>0</v>
      </c>
      <c r="BG444" s="41">
        <v>0</v>
      </c>
      <c r="BH444" s="41">
        <v>0</v>
      </c>
      <c r="BI444" s="41">
        <v>0</v>
      </c>
      <c r="BJ444" s="41">
        <v>0</v>
      </c>
      <c r="BK444" s="41">
        <v>0</v>
      </c>
      <c r="BL444" s="41">
        <v>0</v>
      </c>
      <c r="BM444" s="41">
        <v>0</v>
      </c>
      <c r="BN444" s="41">
        <v>0</v>
      </c>
      <c r="BO444" s="41">
        <v>0</v>
      </c>
      <c r="BP444" s="41"/>
      <c r="BQ444" s="41">
        <v>0</v>
      </c>
      <c r="BR444" s="41">
        <v>0</v>
      </c>
      <c r="BS444" s="41">
        <v>0</v>
      </c>
      <c r="BT444" s="41">
        <v>0</v>
      </c>
      <c r="BU444" s="41">
        <v>0</v>
      </c>
      <c r="BV444" s="41">
        <v>0</v>
      </c>
      <c r="BW444" s="41">
        <v>0</v>
      </c>
      <c r="BX444" s="41">
        <v>0</v>
      </c>
      <c r="BY444" s="41">
        <v>0</v>
      </c>
      <c r="BZ444" s="41">
        <v>0</v>
      </c>
      <c r="CA444" s="41">
        <v>0</v>
      </c>
      <c r="CB444" s="41">
        <v>0</v>
      </c>
      <c r="CC444" s="41">
        <v>0</v>
      </c>
      <c r="CD444" s="41">
        <v>0</v>
      </c>
      <c r="CE444" s="41">
        <v>0</v>
      </c>
      <c r="CF444" s="41">
        <v>0</v>
      </c>
      <c r="CG444" s="41">
        <v>0</v>
      </c>
      <c r="CH444" s="41">
        <v>0</v>
      </c>
      <c r="CI444" s="41">
        <v>0</v>
      </c>
      <c r="CJ444" s="41">
        <v>0</v>
      </c>
      <c r="CK444" s="41">
        <v>0</v>
      </c>
      <c r="CL444" s="41">
        <v>0</v>
      </c>
      <c r="CM444" s="41">
        <v>0</v>
      </c>
      <c r="CN444" s="41">
        <v>0</v>
      </c>
      <c r="CO444" s="41">
        <v>0</v>
      </c>
      <c r="CP444" s="41">
        <v>0</v>
      </c>
      <c r="CQ444" s="41">
        <v>0</v>
      </c>
      <c r="CR444" s="41">
        <v>0</v>
      </c>
      <c r="CS444" s="41">
        <v>0</v>
      </c>
      <c r="CT444" s="41">
        <v>0</v>
      </c>
      <c r="CU444" s="41">
        <v>0</v>
      </c>
      <c r="CV444" s="211">
        <v>0</v>
      </c>
      <c r="CW444" s="41">
        <v>0</v>
      </c>
      <c r="CX444" s="41">
        <v>0</v>
      </c>
      <c r="CY444" s="41">
        <v>0</v>
      </c>
      <c r="CZ444" s="41">
        <v>0</v>
      </c>
      <c r="DA444" s="41">
        <v>0</v>
      </c>
      <c r="DB444" s="41">
        <v>0</v>
      </c>
      <c r="DC444" s="41">
        <v>0</v>
      </c>
      <c r="DD444" s="41">
        <v>0</v>
      </c>
      <c r="DE444" s="41">
        <v>0</v>
      </c>
      <c r="DF444" s="41">
        <v>0</v>
      </c>
    </row>
    <row r="445" spans="1:110" ht="12" hidden="1" customHeight="1" outlineLevel="2">
      <c r="A445" s="1" t="s">
        <v>679</v>
      </c>
      <c r="B445" s="15" t="s">
        <v>447</v>
      </c>
      <c r="C445" s="41">
        <v>0</v>
      </c>
      <c r="D445" s="41">
        <v>0</v>
      </c>
      <c r="E445" s="41">
        <v>92.12</v>
      </c>
      <c r="F445" s="41">
        <v>101.42999999999999</v>
      </c>
      <c r="G445" s="41">
        <v>96.039999999999992</v>
      </c>
      <c r="H445" s="41">
        <v>97.02</v>
      </c>
      <c r="I445" s="41">
        <v>122.99</v>
      </c>
      <c r="J445" s="41">
        <v>92.12</v>
      </c>
      <c r="K445" s="41">
        <v>91.63</v>
      </c>
      <c r="L445" s="41">
        <v>109.75999999999999</v>
      </c>
      <c r="M445" s="41">
        <v>106.33</v>
      </c>
      <c r="N445" s="41">
        <v>125.44</v>
      </c>
      <c r="O445" s="41">
        <v>106.82</v>
      </c>
      <c r="P445" s="41">
        <v>115.64</v>
      </c>
      <c r="Q445" s="41">
        <v>113.67999999999999</v>
      </c>
      <c r="R445" s="41">
        <v>120.53999999999999</v>
      </c>
      <c r="S445" s="41">
        <v>109.27</v>
      </c>
      <c r="T445" s="41">
        <v>0</v>
      </c>
      <c r="U445" s="41">
        <v>0</v>
      </c>
      <c r="V445" s="41">
        <v>0</v>
      </c>
      <c r="W445" s="41">
        <v>0</v>
      </c>
      <c r="X445" s="41">
        <v>0</v>
      </c>
      <c r="Y445" s="41">
        <v>0</v>
      </c>
      <c r="Z445" s="41">
        <v>0</v>
      </c>
      <c r="AA445" s="41">
        <v>0</v>
      </c>
      <c r="AB445" s="41">
        <v>0</v>
      </c>
      <c r="AC445" s="41">
        <v>0</v>
      </c>
      <c r="AD445" s="41">
        <v>0</v>
      </c>
      <c r="AE445" s="41">
        <v>0</v>
      </c>
      <c r="AF445" s="41">
        <v>0</v>
      </c>
      <c r="AG445" s="41">
        <v>0</v>
      </c>
      <c r="AH445" s="41">
        <v>0</v>
      </c>
      <c r="AI445" s="41">
        <v>0</v>
      </c>
      <c r="AJ445" s="41">
        <v>0</v>
      </c>
      <c r="AK445" s="41">
        <v>0</v>
      </c>
      <c r="AL445" s="41">
        <v>0</v>
      </c>
      <c r="AM445" s="41">
        <v>0</v>
      </c>
      <c r="AN445" s="41">
        <v>0</v>
      </c>
      <c r="AO445" s="41">
        <v>0</v>
      </c>
      <c r="AP445" s="41">
        <v>0</v>
      </c>
      <c r="AQ445" s="41">
        <v>0</v>
      </c>
      <c r="AR445" s="41">
        <v>0</v>
      </c>
      <c r="AS445" s="41">
        <v>0</v>
      </c>
      <c r="AT445" s="41">
        <v>0</v>
      </c>
      <c r="AU445" s="41">
        <v>0</v>
      </c>
      <c r="AV445" s="211">
        <v>0</v>
      </c>
      <c r="AW445" s="41">
        <v>0</v>
      </c>
      <c r="AX445" s="41">
        <v>0</v>
      </c>
      <c r="AY445" s="41">
        <v>0</v>
      </c>
      <c r="AZ445" s="41">
        <v>0</v>
      </c>
      <c r="BA445" s="41">
        <v>0</v>
      </c>
      <c r="BB445" s="41">
        <v>0</v>
      </c>
      <c r="BC445" s="41">
        <v>0</v>
      </c>
      <c r="BD445" s="41">
        <v>0</v>
      </c>
      <c r="BE445" s="41">
        <v>0</v>
      </c>
      <c r="BF445" s="41">
        <v>0</v>
      </c>
      <c r="BG445" s="41">
        <v>0</v>
      </c>
      <c r="BH445" s="41">
        <v>0</v>
      </c>
      <c r="BI445" s="41">
        <v>0</v>
      </c>
      <c r="BJ445" s="41">
        <v>0</v>
      </c>
      <c r="BK445" s="41">
        <v>0</v>
      </c>
      <c r="BL445" s="41">
        <v>0</v>
      </c>
      <c r="BM445" s="41">
        <v>0</v>
      </c>
      <c r="BN445" s="41">
        <v>0</v>
      </c>
      <c r="BO445" s="41">
        <v>0</v>
      </c>
      <c r="BP445" s="41"/>
      <c r="BQ445" s="41">
        <v>0</v>
      </c>
      <c r="BR445" s="41">
        <v>0</v>
      </c>
      <c r="BS445" s="41">
        <v>0</v>
      </c>
      <c r="BT445" s="41">
        <v>0</v>
      </c>
      <c r="BU445" s="41">
        <v>0</v>
      </c>
      <c r="BV445" s="41">
        <v>0</v>
      </c>
      <c r="BW445" s="41">
        <v>0</v>
      </c>
      <c r="BX445" s="41">
        <v>0</v>
      </c>
      <c r="BY445" s="41">
        <v>0</v>
      </c>
      <c r="BZ445" s="41">
        <v>0</v>
      </c>
      <c r="CA445" s="41">
        <v>92.12</v>
      </c>
      <c r="CB445" s="41">
        <v>197.46999999999997</v>
      </c>
      <c r="CC445" s="41">
        <v>220.01</v>
      </c>
      <c r="CD445" s="41">
        <v>183.75</v>
      </c>
      <c r="CE445" s="41">
        <v>216.08999999999997</v>
      </c>
      <c r="CF445" s="41">
        <v>232.26</v>
      </c>
      <c r="CG445" s="41">
        <v>229.32</v>
      </c>
      <c r="CH445" s="41">
        <v>229.81</v>
      </c>
      <c r="CI445" s="41">
        <v>0</v>
      </c>
      <c r="CJ445" s="41">
        <v>0</v>
      </c>
      <c r="CK445" s="41">
        <v>0</v>
      </c>
      <c r="CL445" s="41">
        <v>0</v>
      </c>
      <c r="CM445" s="41">
        <v>0</v>
      </c>
      <c r="CN445" s="41">
        <v>0</v>
      </c>
      <c r="CO445" s="41">
        <v>0</v>
      </c>
      <c r="CP445" s="41">
        <v>0</v>
      </c>
      <c r="CQ445" s="41">
        <v>0</v>
      </c>
      <c r="CR445" s="41">
        <v>0</v>
      </c>
      <c r="CS445" s="41">
        <v>0</v>
      </c>
      <c r="CT445" s="41">
        <v>0</v>
      </c>
      <c r="CU445" s="41">
        <v>0</v>
      </c>
      <c r="CV445" s="211">
        <v>0</v>
      </c>
      <c r="CW445" s="41">
        <v>0</v>
      </c>
      <c r="CX445" s="41">
        <v>0</v>
      </c>
      <c r="CY445" s="41">
        <v>0</v>
      </c>
      <c r="CZ445" s="41">
        <v>0</v>
      </c>
      <c r="DA445" s="41">
        <v>0</v>
      </c>
      <c r="DB445" s="41">
        <v>0</v>
      </c>
      <c r="DC445" s="41">
        <v>0</v>
      </c>
      <c r="DD445" s="41">
        <v>0</v>
      </c>
      <c r="DE445" s="41">
        <v>0</v>
      </c>
      <c r="DF445" s="41">
        <v>0</v>
      </c>
    </row>
    <row r="446" spans="1:110" ht="12" hidden="1" customHeight="1" outlineLevel="2">
      <c r="A446" s="1" t="s">
        <v>3</v>
      </c>
      <c r="B446" s="15" t="s">
        <v>371</v>
      </c>
      <c r="C446" s="40">
        <v>0</v>
      </c>
      <c r="D446" s="40">
        <v>0</v>
      </c>
      <c r="E446" s="40">
        <v>0</v>
      </c>
      <c r="F446" s="40">
        <v>0</v>
      </c>
      <c r="G446" s="40">
        <v>0</v>
      </c>
      <c r="H446" s="40">
        <v>0</v>
      </c>
      <c r="I446" s="40">
        <v>0</v>
      </c>
      <c r="J446" s="40">
        <v>0</v>
      </c>
      <c r="K446" s="40">
        <v>0</v>
      </c>
      <c r="L446" s="40">
        <v>0</v>
      </c>
      <c r="M446" s="40">
        <v>0</v>
      </c>
      <c r="N446" s="40">
        <v>0</v>
      </c>
      <c r="O446" s="40">
        <v>0</v>
      </c>
      <c r="P446" s="40">
        <v>0</v>
      </c>
      <c r="Q446" s="40">
        <v>0</v>
      </c>
      <c r="R446" s="40">
        <v>0</v>
      </c>
      <c r="S446" s="40">
        <v>0</v>
      </c>
      <c r="T446" s="40">
        <v>0</v>
      </c>
      <c r="U446" s="40">
        <v>0</v>
      </c>
      <c r="V446" s="40">
        <v>0</v>
      </c>
      <c r="W446" s="40">
        <v>0</v>
      </c>
      <c r="X446" s="40">
        <v>0</v>
      </c>
      <c r="Y446" s="40">
        <v>0</v>
      </c>
      <c r="Z446" s="141">
        <v>0</v>
      </c>
      <c r="AA446" s="141">
        <v>0</v>
      </c>
      <c r="AB446" s="141">
        <v>0</v>
      </c>
      <c r="AC446" s="141">
        <v>0</v>
      </c>
      <c r="AD446" s="141">
        <v>0</v>
      </c>
      <c r="AE446" s="141">
        <v>0</v>
      </c>
      <c r="AF446" s="141">
        <v>0</v>
      </c>
      <c r="AG446" s="141">
        <v>0</v>
      </c>
      <c r="AH446" s="141">
        <v>0</v>
      </c>
      <c r="AI446" s="141">
        <v>0</v>
      </c>
      <c r="AJ446" s="141">
        <v>0</v>
      </c>
      <c r="AK446" s="141">
        <v>0</v>
      </c>
      <c r="AL446" s="141">
        <v>0</v>
      </c>
      <c r="AM446" s="141">
        <v>0</v>
      </c>
      <c r="AN446" s="141">
        <v>0</v>
      </c>
      <c r="AO446" s="141">
        <v>0</v>
      </c>
      <c r="AP446" s="141">
        <v>0</v>
      </c>
      <c r="AQ446" s="141">
        <v>0</v>
      </c>
      <c r="AR446" s="141">
        <v>0</v>
      </c>
      <c r="AS446" s="141">
        <v>0</v>
      </c>
      <c r="AT446" s="141">
        <v>0</v>
      </c>
      <c r="AU446" s="141">
        <v>0</v>
      </c>
      <c r="AV446" s="226">
        <v>0</v>
      </c>
      <c r="AW446" s="210">
        <v>0</v>
      </c>
      <c r="AX446" s="210">
        <v>0</v>
      </c>
      <c r="AY446" s="210">
        <v>0</v>
      </c>
      <c r="AZ446" s="210">
        <v>0</v>
      </c>
      <c r="BA446" s="210">
        <v>0</v>
      </c>
      <c r="BB446" s="210">
        <v>0</v>
      </c>
      <c r="BC446" s="210">
        <v>0</v>
      </c>
      <c r="BD446" s="210">
        <v>0</v>
      </c>
      <c r="BE446" s="210">
        <v>0</v>
      </c>
      <c r="BF446" s="210">
        <v>0</v>
      </c>
      <c r="BG446" s="210">
        <v>0</v>
      </c>
      <c r="BH446" s="210">
        <v>0</v>
      </c>
      <c r="BI446" s="210">
        <v>0</v>
      </c>
      <c r="BJ446" s="210">
        <v>0</v>
      </c>
      <c r="BK446" s="210">
        <v>0</v>
      </c>
      <c r="BL446" s="210">
        <v>0</v>
      </c>
      <c r="BM446" s="210">
        <v>0</v>
      </c>
      <c r="BN446" s="210">
        <v>0</v>
      </c>
      <c r="BO446" s="210">
        <v>0</v>
      </c>
      <c r="BP446" s="41"/>
      <c r="BQ446" s="40">
        <v>0</v>
      </c>
      <c r="BR446" s="40">
        <v>0</v>
      </c>
      <c r="BS446" s="40">
        <v>0</v>
      </c>
      <c r="BT446" s="40">
        <v>0</v>
      </c>
      <c r="BU446" s="40">
        <v>0</v>
      </c>
      <c r="BV446" s="40">
        <v>0</v>
      </c>
      <c r="BW446" s="40">
        <v>0</v>
      </c>
      <c r="BX446" s="40">
        <v>0</v>
      </c>
      <c r="BY446" s="40">
        <v>0</v>
      </c>
      <c r="BZ446" s="40">
        <v>0</v>
      </c>
      <c r="CA446" s="41">
        <v>0</v>
      </c>
      <c r="CB446" s="41">
        <v>0</v>
      </c>
      <c r="CC446" s="41">
        <v>0</v>
      </c>
      <c r="CD446" s="41">
        <v>0</v>
      </c>
      <c r="CE446" s="41">
        <v>0</v>
      </c>
      <c r="CF446" s="41">
        <v>0</v>
      </c>
      <c r="CG446" s="41">
        <v>0</v>
      </c>
      <c r="CH446" s="41">
        <v>0</v>
      </c>
      <c r="CI446" s="41">
        <v>0</v>
      </c>
      <c r="CJ446" s="41">
        <v>0</v>
      </c>
      <c r="CK446" s="41">
        <v>0</v>
      </c>
      <c r="CL446" s="41">
        <v>0</v>
      </c>
      <c r="CM446" s="41">
        <v>0</v>
      </c>
      <c r="CN446" s="41">
        <v>0</v>
      </c>
      <c r="CO446" s="41">
        <v>0</v>
      </c>
      <c r="CP446" s="41">
        <v>0</v>
      </c>
      <c r="CQ446" s="41">
        <v>0</v>
      </c>
      <c r="CR446" s="41">
        <v>0</v>
      </c>
      <c r="CS446" s="41">
        <v>0</v>
      </c>
      <c r="CT446" s="41">
        <v>0</v>
      </c>
      <c r="CU446" s="41">
        <v>0</v>
      </c>
      <c r="CV446" s="211">
        <v>0</v>
      </c>
      <c r="CW446" s="41">
        <v>0</v>
      </c>
      <c r="CX446" s="41">
        <v>0</v>
      </c>
      <c r="CY446" s="41">
        <v>0</v>
      </c>
      <c r="CZ446" s="41">
        <v>0</v>
      </c>
      <c r="DA446" s="41">
        <v>0</v>
      </c>
      <c r="DB446" s="41">
        <v>0</v>
      </c>
      <c r="DC446" s="41">
        <v>0</v>
      </c>
      <c r="DD446" s="41">
        <v>0</v>
      </c>
      <c r="DE446" s="41">
        <v>0</v>
      </c>
      <c r="DF446" s="41">
        <v>0</v>
      </c>
    </row>
    <row r="447" spans="1:110" ht="12" hidden="1" customHeight="1" outlineLevel="2">
      <c r="A447" s="1" t="s">
        <v>4</v>
      </c>
      <c r="B447" s="15" t="s">
        <v>361</v>
      </c>
      <c r="C447" s="40">
        <v>0</v>
      </c>
      <c r="D447" s="40">
        <v>0</v>
      </c>
      <c r="E447" s="40">
        <v>0</v>
      </c>
      <c r="F447" s="40">
        <v>0</v>
      </c>
      <c r="G447" s="40">
        <v>0</v>
      </c>
      <c r="H447" s="40">
        <v>0</v>
      </c>
      <c r="I447" s="40">
        <v>0</v>
      </c>
      <c r="J447" s="40">
        <v>0</v>
      </c>
      <c r="K447" s="40">
        <v>0</v>
      </c>
      <c r="L447" s="40">
        <v>0</v>
      </c>
      <c r="M447" s="40">
        <v>0</v>
      </c>
      <c r="N447" s="40">
        <v>0</v>
      </c>
      <c r="O447" s="40">
        <v>0</v>
      </c>
      <c r="P447" s="40">
        <v>0</v>
      </c>
      <c r="Q447" s="40">
        <v>0</v>
      </c>
      <c r="R447" s="40">
        <v>0</v>
      </c>
      <c r="S447" s="40">
        <v>0</v>
      </c>
      <c r="T447" s="40">
        <v>0</v>
      </c>
      <c r="U447" s="40">
        <v>0</v>
      </c>
      <c r="V447" s="40">
        <v>0</v>
      </c>
      <c r="W447" s="40">
        <v>0</v>
      </c>
      <c r="X447" s="40">
        <v>0</v>
      </c>
      <c r="Y447" s="40">
        <v>0</v>
      </c>
      <c r="Z447" s="141">
        <v>0</v>
      </c>
      <c r="AA447" s="141">
        <v>0</v>
      </c>
      <c r="AB447" s="141">
        <v>0</v>
      </c>
      <c r="AC447" s="141">
        <v>0</v>
      </c>
      <c r="AD447" s="141">
        <v>0</v>
      </c>
      <c r="AE447" s="141">
        <v>0</v>
      </c>
      <c r="AF447" s="141">
        <v>0</v>
      </c>
      <c r="AG447" s="141">
        <v>0</v>
      </c>
      <c r="AH447" s="141">
        <v>0</v>
      </c>
      <c r="AI447" s="141">
        <v>0</v>
      </c>
      <c r="AJ447" s="141">
        <v>0</v>
      </c>
      <c r="AK447" s="141">
        <v>0</v>
      </c>
      <c r="AL447" s="141">
        <v>0</v>
      </c>
      <c r="AM447" s="141">
        <v>0</v>
      </c>
      <c r="AN447" s="141">
        <v>0</v>
      </c>
      <c r="AO447" s="141">
        <v>0</v>
      </c>
      <c r="AP447" s="141">
        <v>0</v>
      </c>
      <c r="AQ447" s="141">
        <v>0</v>
      </c>
      <c r="AR447" s="141">
        <v>0</v>
      </c>
      <c r="AS447" s="141">
        <v>0</v>
      </c>
      <c r="AT447" s="141">
        <v>0</v>
      </c>
      <c r="AU447" s="141">
        <v>0</v>
      </c>
      <c r="AV447" s="226">
        <v>0</v>
      </c>
      <c r="AW447" s="210">
        <v>0</v>
      </c>
      <c r="AX447" s="210">
        <v>0</v>
      </c>
      <c r="AY447" s="210">
        <v>0</v>
      </c>
      <c r="AZ447" s="210">
        <v>0</v>
      </c>
      <c r="BA447" s="210">
        <v>0</v>
      </c>
      <c r="BB447" s="210">
        <v>0</v>
      </c>
      <c r="BC447" s="210">
        <v>0</v>
      </c>
      <c r="BD447" s="210">
        <v>0</v>
      </c>
      <c r="BE447" s="210">
        <v>0</v>
      </c>
      <c r="BF447" s="210">
        <v>0</v>
      </c>
      <c r="BG447" s="210">
        <v>0</v>
      </c>
      <c r="BH447" s="210">
        <v>0</v>
      </c>
      <c r="BI447" s="210">
        <v>0</v>
      </c>
      <c r="BJ447" s="210">
        <v>0</v>
      </c>
      <c r="BK447" s="210">
        <v>0</v>
      </c>
      <c r="BL447" s="210">
        <v>0</v>
      </c>
      <c r="BM447" s="210">
        <v>0</v>
      </c>
      <c r="BN447" s="210">
        <v>0</v>
      </c>
      <c r="BO447" s="210">
        <v>0</v>
      </c>
      <c r="BP447" s="41"/>
      <c r="BQ447" s="40">
        <v>0</v>
      </c>
      <c r="BR447" s="40">
        <v>0</v>
      </c>
      <c r="BS447" s="40">
        <v>0</v>
      </c>
      <c r="BT447" s="40">
        <v>0</v>
      </c>
      <c r="BU447" s="40">
        <v>0</v>
      </c>
      <c r="BV447" s="40">
        <v>0</v>
      </c>
      <c r="BW447" s="40">
        <v>0</v>
      </c>
      <c r="BX447" s="40">
        <v>0</v>
      </c>
      <c r="BY447" s="40">
        <v>0</v>
      </c>
      <c r="BZ447" s="40">
        <v>0</v>
      </c>
      <c r="CA447" s="41">
        <v>0</v>
      </c>
      <c r="CB447" s="41">
        <v>0</v>
      </c>
      <c r="CC447" s="41">
        <v>0</v>
      </c>
      <c r="CD447" s="41">
        <v>0</v>
      </c>
      <c r="CE447" s="41">
        <v>0</v>
      </c>
      <c r="CF447" s="41">
        <v>0</v>
      </c>
      <c r="CG447" s="41">
        <v>0</v>
      </c>
      <c r="CH447" s="41">
        <v>0</v>
      </c>
      <c r="CI447" s="41">
        <v>0</v>
      </c>
      <c r="CJ447" s="41">
        <v>0</v>
      </c>
      <c r="CK447" s="41">
        <v>0</v>
      </c>
      <c r="CL447" s="41">
        <v>0</v>
      </c>
      <c r="CM447" s="41">
        <v>0</v>
      </c>
      <c r="CN447" s="41">
        <v>0</v>
      </c>
      <c r="CO447" s="41">
        <v>0</v>
      </c>
      <c r="CP447" s="41">
        <v>0</v>
      </c>
      <c r="CQ447" s="41">
        <v>0</v>
      </c>
      <c r="CR447" s="41">
        <v>0</v>
      </c>
      <c r="CS447" s="41">
        <v>0</v>
      </c>
      <c r="CT447" s="41">
        <v>0</v>
      </c>
      <c r="CU447" s="41">
        <v>0</v>
      </c>
      <c r="CV447" s="211">
        <v>0</v>
      </c>
      <c r="CW447" s="41">
        <v>0</v>
      </c>
      <c r="CX447" s="41">
        <v>0</v>
      </c>
      <c r="CY447" s="41">
        <v>0</v>
      </c>
      <c r="CZ447" s="41">
        <v>0</v>
      </c>
      <c r="DA447" s="41">
        <v>0</v>
      </c>
      <c r="DB447" s="41">
        <v>0</v>
      </c>
      <c r="DC447" s="41">
        <v>0</v>
      </c>
      <c r="DD447" s="41">
        <v>0</v>
      </c>
      <c r="DE447" s="41">
        <v>0</v>
      </c>
      <c r="DF447" s="41">
        <v>0</v>
      </c>
    </row>
    <row r="448" spans="1:110" ht="12" hidden="1" customHeight="1" outlineLevel="2">
      <c r="A448" s="1" t="s">
        <v>5</v>
      </c>
      <c r="B448" s="15" t="s">
        <v>425</v>
      </c>
      <c r="C448" s="40">
        <v>0</v>
      </c>
      <c r="D448" s="40">
        <v>0</v>
      </c>
      <c r="E448" s="40">
        <v>0</v>
      </c>
      <c r="F448" s="40">
        <v>0</v>
      </c>
      <c r="G448" s="40">
        <v>0</v>
      </c>
      <c r="H448" s="40">
        <v>0</v>
      </c>
      <c r="I448" s="40">
        <v>0</v>
      </c>
      <c r="J448" s="40">
        <v>0</v>
      </c>
      <c r="K448" s="40">
        <v>0</v>
      </c>
      <c r="L448" s="40">
        <v>0</v>
      </c>
      <c r="M448" s="40">
        <v>0</v>
      </c>
      <c r="N448" s="40">
        <v>0</v>
      </c>
      <c r="O448" s="40">
        <v>0</v>
      </c>
      <c r="P448" s="40">
        <v>12</v>
      </c>
      <c r="Q448" s="40">
        <v>26</v>
      </c>
      <c r="R448" s="40">
        <v>122</v>
      </c>
      <c r="S448" s="40">
        <v>11</v>
      </c>
      <c r="T448" s="40">
        <v>7</v>
      </c>
      <c r="U448" s="40">
        <v>7</v>
      </c>
      <c r="V448" s="40">
        <v>0</v>
      </c>
      <c r="W448" s="40">
        <v>0</v>
      </c>
      <c r="X448" s="40">
        <v>0</v>
      </c>
      <c r="Y448" s="40">
        <v>-273</v>
      </c>
      <c r="Z448" s="141">
        <v>0</v>
      </c>
      <c r="AA448" s="141">
        <v>0</v>
      </c>
      <c r="AB448" s="141">
        <v>0</v>
      </c>
      <c r="AC448" s="141">
        <v>0</v>
      </c>
      <c r="AD448" s="141">
        <v>0</v>
      </c>
      <c r="AE448" s="141">
        <v>0</v>
      </c>
      <c r="AF448" s="141">
        <v>0</v>
      </c>
      <c r="AG448" s="141">
        <v>0</v>
      </c>
      <c r="AH448" s="141">
        <v>0</v>
      </c>
      <c r="AI448" s="141">
        <v>0</v>
      </c>
      <c r="AJ448" s="141">
        <v>0</v>
      </c>
      <c r="AK448" s="141">
        <v>0</v>
      </c>
      <c r="AL448" s="141">
        <v>0</v>
      </c>
      <c r="AM448" s="141">
        <v>0</v>
      </c>
      <c r="AN448" s="141">
        <v>0</v>
      </c>
      <c r="AO448" s="141">
        <v>0</v>
      </c>
      <c r="AP448" s="141">
        <v>0</v>
      </c>
      <c r="AQ448" s="141">
        <v>0</v>
      </c>
      <c r="AR448" s="141">
        <v>0</v>
      </c>
      <c r="AS448" s="141">
        <v>0</v>
      </c>
      <c r="AT448" s="141">
        <v>0</v>
      </c>
      <c r="AU448" s="141">
        <v>0</v>
      </c>
      <c r="AV448" s="226">
        <v>0</v>
      </c>
      <c r="AW448" s="210">
        <v>0</v>
      </c>
      <c r="AX448" s="210">
        <v>0</v>
      </c>
      <c r="AY448" s="210">
        <v>0</v>
      </c>
      <c r="AZ448" s="210">
        <v>0</v>
      </c>
      <c r="BA448" s="210">
        <v>0</v>
      </c>
      <c r="BB448" s="210">
        <v>0</v>
      </c>
      <c r="BC448" s="210">
        <v>0</v>
      </c>
      <c r="BD448" s="210">
        <v>0</v>
      </c>
      <c r="BE448" s="210">
        <v>0</v>
      </c>
      <c r="BF448" s="210">
        <v>0</v>
      </c>
      <c r="BG448" s="210">
        <v>0</v>
      </c>
      <c r="BH448" s="210">
        <v>0</v>
      </c>
      <c r="BI448" s="210">
        <v>0</v>
      </c>
      <c r="BJ448" s="210">
        <v>0</v>
      </c>
      <c r="BK448" s="210">
        <v>0</v>
      </c>
      <c r="BL448" s="210">
        <v>0</v>
      </c>
      <c r="BM448" s="210">
        <v>0</v>
      </c>
      <c r="BN448" s="210">
        <v>0</v>
      </c>
      <c r="BO448" s="210">
        <v>0</v>
      </c>
      <c r="BP448" s="41"/>
      <c r="BQ448" s="40">
        <v>0</v>
      </c>
      <c r="BR448" s="40">
        <v>0</v>
      </c>
      <c r="BS448" s="40">
        <v>0</v>
      </c>
      <c r="BT448" s="40">
        <v>0</v>
      </c>
      <c r="BU448" s="40">
        <v>0</v>
      </c>
      <c r="BV448" s="40">
        <v>0</v>
      </c>
      <c r="BW448" s="40">
        <v>0</v>
      </c>
      <c r="BX448" s="40">
        <v>0</v>
      </c>
      <c r="BY448" s="40">
        <v>0</v>
      </c>
      <c r="BZ448" s="40">
        <v>0</v>
      </c>
      <c r="CA448" s="41">
        <v>0</v>
      </c>
      <c r="CB448" s="41">
        <v>0</v>
      </c>
      <c r="CC448" s="41">
        <v>0</v>
      </c>
      <c r="CD448" s="41">
        <v>0</v>
      </c>
      <c r="CE448" s="41">
        <v>0</v>
      </c>
      <c r="CF448" s="41">
        <v>0</v>
      </c>
      <c r="CG448" s="41">
        <v>38</v>
      </c>
      <c r="CH448" s="41">
        <v>133</v>
      </c>
      <c r="CI448" s="41">
        <v>14</v>
      </c>
      <c r="CJ448" s="41">
        <v>0</v>
      </c>
      <c r="CK448" s="41">
        <v>-273</v>
      </c>
      <c r="CL448" s="41">
        <v>0</v>
      </c>
      <c r="CM448" s="41">
        <v>0</v>
      </c>
      <c r="CN448" s="41">
        <v>0</v>
      </c>
      <c r="CO448" s="41">
        <v>0</v>
      </c>
      <c r="CP448" s="41">
        <v>0</v>
      </c>
      <c r="CQ448" s="41">
        <v>0</v>
      </c>
      <c r="CR448" s="41">
        <v>0</v>
      </c>
      <c r="CS448" s="41">
        <v>0</v>
      </c>
      <c r="CT448" s="41">
        <v>0</v>
      </c>
      <c r="CU448" s="41">
        <v>0</v>
      </c>
      <c r="CV448" s="211">
        <v>0</v>
      </c>
      <c r="CW448" s="41">
        <v>0</v>
      </c>
      <c r="CX448" s="41">
        <v>0</v>
      </c>
      <c r="CY448" s="41">
        <v>0</v>
      </c>
      <c r="CZ448" s="41">
        <v>0</v>
      </c>
      <c r="DA448" s="41">
        <v>0</v>
      </c>
      <c r="DB448" s="41">
        <v>0</v>
      </c>
      <c r="DC448" s="41">
        <v>0</v>
      </c>
      <c r="DD448" s="41">
        <v>0</v>
      </c>
      <c r="DE448" s="41">
        <v>0</v>
      </c>
      <c r="DF448" s="41">
        <v>0</v>
      </c>
    </row>
    <row r="449" spans="1:110" s="17" customFormat="1" ht="12" hidden="1" customHeight="1" outlineLevel="2">
      <c r="A449" s="1" t="s">
        <v>84</v>
      </c>
      <c r="B449" s="17" t="s">
        <v>453</v>
      </c>
      <c r="C449" s="61">
        <v>-1553</v>
      </c>
      <c r="D449" s="61">
        <v>-1578</v>
      </c>
      <c r="E449" s="61">
        <v>-1575</v>
      </c>
      <c r="F449" s="61">
        <v>-1602</v>
      </c>
      <c r="G449" s="61">
        <v>-1626</v>
      </c>
      <c r="H449" s="61">
        <v>-1902</v>
      </c>
      <c r="I449" s="61">
        <v>-2103</v>
      </c>
      <c r="J449" s="61">
        <v>-2127</v>
      </c>
      <c r="K449" s="61">
        <v>-2213</v>
      </c>
      <c r="L449" s="61">
        <v>-2259</v>
      </c>
      <c r="M449" s="61">
        <v>-2346</v>
      </c>
      <c r="N449" s="61">
        <v>-2386</v>
      </c>
      <c r="O449" s="61">
        <v>-2567</v>
      </c>
      <c r="P449" s="61">
        <v>-2655</v>
      </c>
      <c r="Q449" s="61">
        <v>-2751</v>
      </c>
      <c r="R449" s="61">
        <v>-2944</v>
      </c>
      <c r="S449" s="61">
        <v>-3124</v>
      </c>
      <c r="T449" s="61">
        <v>-3249</v>
      </c>
      <c r="U449" s="61">
        <v>-3722</v>
      </c>
      <c r="V449" s="61">
        <v>-4026</v>
      </c>
      <c r="W449" s="61">
        <v>-3997</v>
      </c>
      <c r="X449" s="61">
        <v>-4133</v>
      </c>
      <c r="Y449" s="61">
        <v>-4386</v>
      </c>
      <c r="Z449" s="194">
        <v>-4044</v>
      </c>
      <c r="AA449" s="194">
        <v>-4213</v>
      </c>
      <c r="AB449" s="194">
        <v>-4286</v>
      </c>
      <c r="AC449" s="194">
        <v>-4474</v>
      </c>
      <c r="AD449" s="194">
        <v>-4603</v>
      </c>
      <c r="AE449" s="194">
        <v>-4775</v>
      </c>
      <c r="AF449" s="194">
        <v>-5488</v>
      </c>
      <c r="AG449" s="194">
        <v>-4951</v>
      </c>
      <c r="AH449" s="194">
        <v>-4487</v>
      </c>
      <c r="AI449" s="194">
        <v>-4480</v>
      </c>
      <c r="AJ449" s="194">
        <v>-4473</v>
      </c>
      <c r="AK449" s="194">
        <v>-4928</v>
      </c>
      <c r="AL449" s="194">
        <v>-4365</v>
      </c>
      <c r="AM449" s="194">
        <v>-4706</v>
      </c>
      <c r="AN449" s="194">
        <v>-4605</v>
      </c>
      <c r="AO449" s="194">
        <v>-4778</v>
      </c>
      <c r="AP449" s="194">
        <v>-4482</v>
      </c>
      <c r="AQ449" s="194">
        <v>-4569</v>
      </c>
      <c r="AR449" s="194">
        <v>-4791</v>
      </c>
      <c r="AS449" s="194">
        <v>-4788</v>
      </c>
      <c r="AT449" s="194">
        <v>-4997</v>
      </c>
      <c r="AU449" s="194">
        <v>-5142</v>
      </c>
      <c r="AV449" s="227">
        <v>-5215</v>
      </c>
      <c r="AW449" s="62">
        <v>-5423.7077376548241</v>
      </c>
      <c r="AX449" s="62">
        <v>-5802.1565140635612</v>
      </c>
      <c r="AY449" s="62">
        <v>-5831.9234631274421</v>
      </c>
      <c r="AZ449" s="62">
        <v>-5870.6804274337946</v>
      </c>
      <c r="BA449" s="62">
        <v>-5931.7055227548317</v>
      </c>
      <c r="BB449" s="62">
        <v>-5993.3512694375795</v>
      </c>
      <c r="BC449" s="62">
        <v>-6065.6110025062962</v>
      </c>
      <c r="BD449" s="62">
        <v>-6135.1893980797886</v>
      </c>
      <c r="BE449" s="62">
        <v>-6217.4037986629501</v>
      </c>
      <c r="BF449" s="62">
        <v>-6292.2375989512402</v>
      </c>
      <c r="BG449" s="62">
        <v>-6432.730092703443</v>
      </c>
      <c r="BH449" s="62">
        <v>-6459.2827650683921</v>
      </c>
      <c r="BI449" s="62">
        <v>-6623.1812159298843</v>
      </c>
      <c r="BJ449" s="62">
        <v>-6779.2944241314035</v>
      </c>
      <c r="BK449" s="62">
        <v>-6947.3060763257881</v>
      </c>
      <c r="BL449" s="62">
        <v>-7141.6544406059184</v>
      </c>
      <c r="BM449" s="62">
        <v>-7276.7374355969323</v>
      </c>
      <c r="BN449" s="62">
        <v>-7427.1258929482146</v>
      </c>
      <c r="BO449" s="62">
        <v>-7522.9523447284264</v>
      </c>
      <c r="BP449" s="62"/>
      <c r="BQ449" s="61">
        <v>-3329</v>
      </c>
      <c r="BR449" s="61">
        <v>-3124</v>
      </c>
      <c r="BS449" s="61">
        <v>-3001</v>
      </c>
      <c r="BT449" s="61">
        <v>-3116</v>
      </c>
      <c r="BU449" s="61">
        <v>-3397</v>
      </c>
      <c r="BV449" s="61">
        <v>-3502</v>
      </c>
      <c r="BW449" s="61">
        <v>-3442</v>
      </c>
      <c r="BX449" s="61">
        <v>-3300</v>
      </c>
      <c r="BY449" s="61">
        <v>-3302</v>
      </c>
      <c r="BZ449" s="61">
        <v>-3075</v>
      </c>
      <c r="CA449" s="62">
        <v>-3153</v>
      </c>
      <c r="CB449" s="62">
        <v>-3228</v>
      </c>
      <c r="CC449" s="62">
        <v>-4005</v>
      </c>
      <c r="CD449" s="62">
        <v>-4340</v>
      </c>
      <c r="CE449" s="62">
        <v>-4605</v>
      </c>
      <c r="CF449" s="62">
        <v>-4953</v>
      </c>
      <c r="CG449" s="62">
        <v>-5406</v>
      </c>
      <c r="CH449" s="62">
        <v>-6068</v>
      </c>
      <c r="CI449" s="62">
        <v>-6971</v>
      </c>
      <c r="CJ449" s="62">
        <v>-8023</v>
      </c>
      <c r="CK449" s="62">
        <v>-8519</v>
      </c>
      <c r="CL449" s="62">
        <v>-8257</v>
      </c>
      <c r="CM449" s="62">
        <v>-8760</v>
      </c>
      <c r="CN449" s="62">
        <v>-9378</v>
      </c>
      <c r="CO449" s="62">
        <v>-10439</v>
      </c>
      <c r="CP449" s="62">
        <v>-8967</v>
      </c>
      <c r="CQ449" s="62">
        <v>-9401</v>
      </c>
      <c r="CR449" s="62">
        <v>-9071</v>
      </c>
      <c r="CS449" s="62">
        <v>-9383</v>
      </c>
      <c r="CT449" s="62">
        <v>-9051</v>
      </c>
      <c r="CU449" s="62">
        <v>-9579</v>
      </c>
      <c r="CV449" s="220">
        <v>-10139</v>
      </c>
      <c r="CW449" s="62">
        <v>-10638.707737654824</v>
      </c>
      <c r="CX449" s="62">
        <v>-11634.079977191002</v>
      </c>
      <c r="CY449" s="62">
        <v>-11802.385950188625</v>
      </c>
      <c r="CZ449" s="62">
        <v>-12058.962271943876</v>
      </c>
      <c r="DA449" s="62">
        <v>-12352.593196742739</v>
      </c>
      <c r="DB449" s="62">
        <v>-12724.967691654683</v>
      </c>
      <c r="DC449" s="62">
        <v>-13082.463980998276</v>
      </c>
      <c r="DD449" s="62">
        <v>-13726.600500457193</v>
      </c>
      <c r="DE449" s="62">
        <v>-14418.391876202852</v>
      </c>
      <c r="DF449" s="62">
        <v>-14950.07823767664</v>
      </c>
    </row>
    <row r="450" spans="1:110" ht="12" hidden="1" customHeight="1" outlineLevel="2">
      <c r="A450" s="1" t="s">
        <v>85</v>
      </c>
      <c r="B450" s="15" t="s">
        <v>529</v>
      </c>
      <c r="C450" s="41">
        <v>0</v>
      </c>
      <c r="D450" s="41">
        <v>248</v>
      </c>
      <c r="E450" s="41">
        <v>0</v>
      </c>
      <c r="F450" s="41">
        <v>0</v>
      </c>
      <c r="G450" s="41">
        <v>0</v>
      </c>
      <c r="H450" s="41">
        <v>0</v>
      </c>
      <c r="I450" s="41">
        <v>0</v>
      </c>
      <c r="J450" s="41">
        <v>-25</v>
      </c>
      <c r="K450" s="41">
        <v>-53</v>
      </c>
      <c r="L450" s="41">
        <v>74</v>
      </c>
      <c r="M450" s="41">
        <v>0</v>
      </c>
      <c r="N450" s="41">
        <v>0</v>
      </c>
      <c r="O450" s="41">
        <v>0</v>
      </c>
      <c r="P450" s="41">
        <v>-46</v>
      </c>
      <c r="Q450" s="41">
        <v>-244</v>
      </c>
      <c r="R450" s="41">
        <v>-146</v>
      </c>
      <c r="S450" s="41">
        <v>-11</v>
      </c>
      <c r="T450" s="41">
        <v>-133</v>
      </c>
      <c r="U450" s="41">
        <v>-200</v>
      </c>
      <c r="V450" s="41">
        <v>0</v>
      </c>
      <c r="W450" s="41">
        <v>0</v>
      </c>
      <c r="X450" s="41">
        <v>0</v>
      </c>
      <c r="Y450" s="41">
        <v>0</v>
      </c>
      <c r="Z450" s="41">
        <v>0</v>
      </c>
      <c r="AA450" s="41">
        <v>0</v>
      </c>
      <c r="AB450" s="41">
        <v>0</v>
      </c>
      <c r="AC450" s="41">
        <v>0</v>
      </c>
      <c r="AD450" s="41">
        <v>0</v>
      </c>
      <c r="AE450" s="41">
        <v>0</v>
      </c>
      <c r="AF450" s="41">
        <v>0</v>
      </c>
      <c r="AG450" s="41">
        <v>0</v>
      </c>
      <c r="AH450" s="41">
        <v>-244</v>
      </c>
      <c r="AI450" s="41">
        <v>-237</v>
      </c>
      <c r="AJ450" s="41">
        <v>-243</v>
      </c>
      <c r="AK450" s="41">
        <v>-301</v>
      </c>
      <c r="AL450" s="41">
        <v>-221</v>
      </c>
      <c r="AM450" s="41">
        <v>-228</v>
      </c>
      <c r="AN450" s="41">
        <v>-120</v>
      </c>
      <c r="AO450" s="41">
        <v>-80</v>
      </c>
      <c r="AP450" s="41">
        <v>-38</v>
      </c>
      <c r="AQ450" s="41">
        <v>0</v>
      </c>
      <c r="AR450" s="41">
        <v>0</v>
      </c>
      <c r="AS450" s="41">
        <v>0</v>
      </c>
      <c r="AT450" s="41">
        <v>0</v>
      </c>
      <c r="AU450" s="41">
        <v>0</v>
      </c>
      <c r="AV450" s="211">
        <v>0</v>
      </c>
      <c r="AW450" s="210">
        <v>0</v>
      </c>
      <c r="AX450" s="210">
        <v>0</v>
      </c>
      <c r="AY450" s="210">
        <v>0</v>
      </c>
      <c r="AZ450" s="210">
        <v>0</v>
      </c>
      <c r="BA450" s="210">
        <v>0</v>
      </c>
      <c r="BB450" s="210">
        <v>0</v>
      </c>
      <c r="BC450" s="210">
        <v>0</v>
      </c>
      <c r="BD450" s="210">
        <v>0</v>
      </c>
      <c r="BE450" s="210">
        <v>0</v>
      </c>
      <c r="BF450" s="210">
        <v>0</v>
      </c>
      <c r="BG450" s="210">
        <v>0</v>
      </c>
      <c r="BH450" s="210">
        <v>0</v>
      </c>
      <c r="BI450" s="210">
        <v>0</v>
      </c>
      <c r="BJ450" s="210">
        <v>0</v>
      </c>
      <c r="BK450" s="210">
        <v>0</v>
      </c>
      <c r="BL450" s="210">
        <v>0</v>
      </c>
      <c r="BM450" s="210">
        <v>0</v>
      </c>
      <c r="BN450" s="210">
        <v>0</v>
      </c>
      <c r="BO450" s="210">
        <v>0</v>
      </c>
      <c r="BP450" s="41"/>
      <c r="BQ450" s="41">
        <v>0</v>
      </c>
      <c r="BR450" s="41">
        <v>0</v>
      </c>
      <c r="BS450" s="41">
        <v>0</v>
      </c>
      <c r="BT450" s="41">
        <v>0</v>
      </c>
      <c r="BU450" s="41">
        <v>0</v>
      </c>
      <c r="BV450" s="41">
        <v>-327</v>
      </c>
      <c r="BW450" s="41">
        <v>-32</v>
      </c>
      <c r="BX450" s="41">
        <v>0</v>
      </c>
      <c r="BY450" s="41">
        <v>-998</v>
      </c>
      <c r="BZ450" s="41">
        <v>-17</v>
      </c>
      <c r="CA450" s="41">
        <v>248</v>
      </c>
      <c r="CB450" s="41">
        <v>0</v>
      </c>
      <c r="CC450" s="41">
        <v>0</v>
      </c>
      <c r="CD450" s="41">
        <v>-78</v>
      </c>
      <c r="CE450" s="41">
        <v>74</v>
      </c>
      <c r="CF450" s="41">
        <v>0</v>
      </c>
      <c r="CG450" s="41">
        <v>-290</v>
      </c>
      <c r="CH450" s="41">
        <v>-157</v>
      </c>
      <c r="CI450" s="41">
        <v>-333</v>
      </c>
      <c r="CJ450" s="41">
        <v>0</v>
      </c>
      <c r="CK450" s="41">
        <v>0</v>
      </c>
      <c r="CL450" s="41">
        <v>0</v>
      </c>
      <c r="CM450" s="41">
        <v>0</v>
      </c>
      <c r="CN450" s="41">
        <v>0</v>
      </c>
      <c r="CO450" s="41">
        <v>0</v>
      </c>
      <c r="CP450" s="41">
        <v>-481</v>
      </c>
      <c r="CQ450" s="41">
        <v>-544</v>
      </c>
      <c r="CR450" s="41">
        <v>-449</v>
      </c>
      <c r="CS450" s="41">
        <v>-200</v>
      </c>
      <c r="CT450" s="41">
        <v>-38</v>
      </c>
      <c r="CU450" s="41">
        <v>0</v>
      </c>
      <c r="CV450" s="211">
        <v>0</v>
      </c>
      <c r="CW450" s="41">
        <v>0</v>
      </c>
      <c r="CX450" s="41">
        <v>0</v>
      </c>
      <c r="CY450" s="41">
        <v>0</v>
      </c>
      <c r="CZ450" s="41">
        <v>0</v>
      </c>
      <c r="DA450" s="41">
        <v>0</v>
      </c>
      <c r="DB450" s="41">
        <v>0</v>
      </c>
      <c r="DC450" s="41">
        <v>0</v>
      </c>
      <c r="DD450" s="41">
        <v>0</v>
      </c>
      <c r="DE450" s="41">
        <v>0</v>
      </c>
      <c r="DF450" s="41">
        <v>0</v>
      </c>
    </row>
    <row r="451" spans="1:110" s="17" customFormat="1" ht="12" hidden="1" customHeight="1" outlineLevel="2">
      <c r="A451" s="1" t="s">
        <v>86</v>
      </c>
      <c r="B451" s="17" t="s">
        <v>380</v>
      </c>
      <c r="C451" s="61">
        <v>-1553</v>
      </c>
      <c r="D451" s="61">
        <v>-1330</v>
      </c>
      <c r="E451" s="61">
        <v>-1575</v>
      </c>
      <c r="F451" s="61">
        <v>-1602</v>
      </c>
      <c r="G451" s="61">
        <v>-1626</v>
      </c>
      <c r="H451" s="61">
        <v>-1902</v>
      </c>
      <c r="I451" s="61">
        <v>-2103</v>
      </c>
      <c r="J451" s="61">
        <v>-2152</v>
      </c>
      <c r="K451" s="61">
        <v>-2266</v>
      </c>
      <c r="L451" s="61">
        <v>-2185</v>
      </c>
      <c r="M451" s="61">
        <v>-2346</v>
      </c>
      <c r="N451" s="61">
        <v>-2386</v>
      </c>
      <c r="O451" s="61">
        <v>-2567</v>
      </c>
      <c r="P451" s="61">
        <v>-2701</v>
      </c>
      <c r="Q451" s="61">
        <v>-2995</v>
      </c>
      <c r="R451" s="61">
        <v>-3090</v>
      </c>
      <c r="S451" s="61">
        <v>-3135</v>
      </c>
      <c r="T451" s="61">
        <v>-3382</v>
      </c>
      <c r="U451" s="61">
        <v>-3922</v>
      </c>
      <c r="V451" s="61">
        <v>-4026</v>
      </c>
      <c r="W451" s="61">
        <v>-3997</v>
      </c>
      <c r="X451" s="61">
        <v>-4133</v>
      </c>
      <c r="Y451" s="61">
        <v>-4386</v>
      </c>
      <c r="Z451" s="194">
        <v>-4044</v>
      </c>
      <c r="AA451" s="194">
        <v>-4213</v>
      </c>
      <c r="AB451" s="194">
        <v>-4286</v>
      </c>
      <c r="AC451" s="194">
        <v>-4474</v>
      </c>
      <c r="AD451" s="194">
        <v>-4603</v>
      </c>
      <c r="AE451" s="194">
        <v>-4775</v>
      </c>
      <c r="AF451" s="194">
        <v>-5488</v>
      </c>
      <c r="AG451" s="194">
        <v>-4951</v>
      </c>
      <c r="AH451" s="194">
        <v>-4731</v>
      </c>
      <c r="AI451" s="194">
        <v>-4717</v>
      </c>
      <c r="AJ451" s="194">
        <v>-4716</v>
      </c>
      <c r="AK451" s="194">
        <v>-5229</v>
      </c>
      <c r="AL451" s="194">
        <v>-4586</v>
      </c>
      <c r="AM451" s="194">
        <v>-4934</v>
      </c>
      <c r="AN451" s="194">
        <v>-4725</v>
      </c>
      <c r="AO451" s="194">
        <v>-4858</v>
      </c>
      <c r="AP451" s="194">
        <v>-4520</v>
      </c>
      <c r="AQ451" s="194">
        <v>-4569</v>
      </c>
      <c r="AR451" s="194">
        <v>-4791</v>
      </c>
      <c r="AS451" s="194">
        <v>-4788</v>
      </c>
      <c r="AT451" s="194">
        <v>-4997</v>
      </c>
      <c r="AU451" s="194">
        <v>-5142</v>
      </c>
      <c r="AV451" s="227">
        <v>-5215</v>
      </c>
      <c r="AW451" s="62">
        <v>-5423.7077376548241</v>
      </c>
      <c r="AX451" s="62">
        <v>-5802.1565140635612</v>
      </c>
      <c r="AY451" s="62">
        <v>-5831.9234631274421</v>
      </c>
      <c r="AZ451" s="62">
        <v>-5870.6804274337946</v>
      </c>
      <c r="BA451" s="62">
        <v>-5931.7055227548317</v>
      </c>
      <c r="BB451" s="62">
        <v>-5993.3512694375795</v>
      </c>
      <c r="BC451" s="62">
        <v>-6065.6110025062962</v>
      </c>
      <c r="BD451" s="62">
        <v>-6135.1893980797886</v>
      </c>
      <c r="BE451" s="62">
        <v>-6217.4037986629501</v>
      </c>
      <c r="BF451" s="62">
        <v>-6292.2375989512402</v>
      </c>
      <c r="BG451" s="62">
        <v>-6432.730092703443</v>
      </c>
      <c r="BH451" s="62">
        <v>-6459.2827650683921</v>
      </c>
      <c r="BI451" s="62">
        <v>-6623.1812159298843</v>
      </c>
      <c r="BJ451" s="62">
        <v>-6779.2944241314035</v>
      </c>
      <c r="BK451" s="62">
        <v>-6947.3060763257881</v>
      </c>
      <c r="BL451" s="62">
        <v>-7141.6544406059184</v>
      </c>
      <c r="BM451" s="62">
        <v>-7276.7374355969323</v>
      </c>
      <c r="BN451" s="62">
        <v>-7427.1258929482146</v>
      </c>
      <c r="BO451" s="62">
        <v>-7522.9523447284264</v>
      </c>
      <c r="BP451" s="62"/>
      <c r="BQ451" s="61">
        <v>-3329</v>
      </c>
      <c r="BR451" s="61">
        <v>-3124</v>
      </c>
      <c r="BS451" s="61">
        <v>-3001</v>
      </c>
      <c r="BT451" s="61">
        <v>-3116</v>
      </c>
      <c r="BU451" s="61">
        <v>-3397</v>
      </c>
      <c r="BV451" s="61">
        <v>-3829</v>
      </c>
      <c r="BW451" s="61">
        <v>-3474</v>
      </c>
      <c r="BX451" s="61">
        <v>-3300</v>
      </c>
      <c r="BY451" s="61">
        <v>-4300</v>
      </c>
      <c r="BZ451" s="61">
        <v>-3092</v>
      </c>
      <c r="CA451" s="62">
        <v>-2905</v>
      </c>
      <c r="CB451" s="62">
        <v>-3228</v>
      </c>
      <c r="CC451" s="62">
        <v>-4005</v>
      </c>
      <c r="CD451" s="62">
        <v>-4418</v>
      </c>
      <c r="CE451" s="62">
        <v>-4531</v>
      </c>
      <c r="CF451" s="62">
        <v>-4953</v>
      </c>
      <c r="CG451" s="62">
        <v>-5696</v>
      </c>
      <c r="CH451" s="62">
        <v>-6225</v>
      </c>
      <c r="CI451" s="62">
        <v>-7304</v>
      </c>
      <c r="CJ451" s="62">
        <v>-8023</v>
      </c>
      <c r="CK451" s="62">
        <v>-8519</v>
      </c>
      <c r="CL451" s="62">
        <v>-8257</v>
      </c>
      <c r="CM451" s="62">
        <v>-8760</v>
      </c>
      <c r="CN451" s="62">
        <v>-9378</v>
      </c>
      <c r="CO451" s="62">
        <v>-10439</v>
      </c>
      <c r="CP451" s="62">
        <v>-9448</v>
      </c>
      <c r="CQ451" s="62">
        <v>-9945</v>
      </c>
      <c r="CR451" s="62">
        <v>-9520</v>
      </c>
      <c r="CS451" s="62">
        <v>-9583</v>
      </c>
      <c r="CT451" s="62">
        <v>-9089</v>
      </c>
      <c r="CU451" s="62">
        <v>-9579</v>
      </c>
      <c r="CV451" s="220">
        <v>-10139</v>
      </c>
      <c r="CW451" s="62">
        <v>-10638.707737654824</v>
      </c>
      <c r="CX451" s="62">
        <v>-11634.079977191002</v>
      </c>
      <c r="CY451" s="62">
        <v>-11802.385950188625</v>
      </c>
      <c r="CZ451" s="62">
        <v>-12058.962271943876</v>
      </c>
      <c r="DA451" s="62">
        <v>-12352.593196742739</v>
      </c>
      <c r="DB451" s="62">
        <v>-12724.967691654683</v>
      </c>
      <c r="DC451" s="62">
        <v>-13082.463980998276</v>
      </c>
      <c r="DD451" s="62">
        <v>-13726.600500457193</v>
      </c>
      <c r="DE451" s="62">
        <v>-14418.391876202852</v>
      </c>
      <c r="DF451" s="62">
        <v>-14950.07823767664</v>
      </c>
    </row>
    <row r="452" spans="1:110" ht="12" outlineLevel="1" collapsed="1">
      <c r="A452" s="74"/>
      <c r="C452" s="41"/>
      <c r="D452" s="41"/>
      <c r="E452" s="41"/>
      <c r="F452" s="41"/>
      <c r="G452" s="41"/>
      <c r="H452" s="41"/>
      <c r="I452" s="41"/>
      <c r="J452" s="41"/>
      <c r="K452" s="41"/>
      <c r="L452" s="41"/>
      <c r="M452" s="41"/>
      <c r="N452" s="41"/>
      <c r="O452" s="41"/>
      <c r="P452" s="41"/>
      <c r="Q452" s="41"/>
      <c r="R452" s="41"/>
      <c r="S452" s="41"/>
      <c r="T452" s="41"/>
      <c r="U452" s="41"/>
      <c r="V452" s="41"/>
      <c r="W452" s="41"/>
      <c r="X452" s="41"/>
      <c r="Y452" s="41"/>
      <c r="Z452" s="32"/>
      <c r="AA452" s="43"/>
      <c r="AB452" s="41"/>
      <c r="AC452" s="41"/>
      <c r="AD452" s="41"/>
      <c r="AE452" s="41"/>
      <c r="AF452" s="41"/>
      <c r="AG452" s="41"/>
      <c r="AH452" s="32"/>
      <c r="AI452" s="32"/>
      <c r="AJ452" s="32"/>
      <c r="AK452" s="403"/>
      <c r="AL452" s="502"/>
      <c r="AV452" s="36"/>
      <c r="AW452" s="35"/>
      <c r="AX452" s="35"/>
      <c r="AY452" s="35"/>
      <c r="AZ452" s="35"/>
      <c r="BA452" s="35"/>
      <c r="BB452" s="35"/>
      <c r="BC452" s="35"/>
      <c r="BD452" s="35"/>
      <c r="BE452" s="35"/>
      <c r="BF452" s="35"/>
      <c r="BG452" s="41"/>
      <c r="BH452" s="41"/>
      <c r="BI452" s="41"/>
      <c r="BJ452" s="41"/>
      <c r="BK452" s="41"/>
      <c r="BL452" s="41"/>
      <c r="BM452" s="41"/>
      <c r="BN452" s="41"/>
      <c r="BO452" s="41"/>
      <c r="BP452" s="41"/>
      <c r="BQ452" s="41"/>
      <c r="BR452" s="41"/>
      <c r="BS452" s="41"/>
      <c r="BT452" s="41"/>
      <c r="BU452" s="41"/>
      <c r="BV452" s="41"/>
      <c r="BW452" s="41"/>
      <c r="BX452" s="41"/>
      <c r="BY452" s="41"/>
      <c r="BZ452" s="41"/>
      <c r="CA452" s="41"/>
      <c r="CB452" s="41"/>
      <c r="CC452" s="41"/>
      <c r="CD452" s="41"/>
      <c r="CE452" s="41"/>
      <c r="CF452" s="41"/>
      <c r="CG452" s="41"/>
      <c r="CH452" s="41"/>
      <c r="CI452" s="41"/>
      <c r="CJ452" s="41"/>
      <c r="CK452" s="41"/>
      <c r="CL452" s="32"/>
      <c r="CM452" s="32"/>
      <c r="CN452" s="41"/>
      <c r="CO452" s="41"/>
      <c r="CP452" s="41"/>
      <c r="CQ452" s="32"/>
      <c r="CR452" s="403"/>
      <c r="CS452" s="15"/>
      <c r="CT452" s="15"/>
      <c r="CU452" s="403"/>
      <c r="CV452" s="247"/>
      <c r="CW452" s="15"/>
      <c r="CX452" s="30"/>
      <c r="CY452" s="30"/>
      <c r="CZ452" s="30"/>
      <c r="DA452" s="15"/>
      <c r="DB452" s="15"/>
      <c r="DC452" s="15"/>
      <c r="DD452" s="15"/>
      <c r="DE452" s="15"/>
      <c r="DF452" s="15"/>
    </row>
    <row r="453" spans="1:110" ht="12">
      <c r="C453" s="41"/>
      <c r="D453" s="41"/>
      <c r="E453" s="41"/>
      <c r="F453" s="41"/>
      <c r="G453" s="41"/>
      <c r="H453" s="41"/>
      <c r="I453" s="41"/>
      <c r="J453" s="41"/>
      <c r="K453" s="41"/>
      <c r="L453" s="41"/>
      <c r="M453" s="41"/>
      <c r="N453" s="41"/>
      <c r="O453" s="41"/>
      <c r="P453" s="41"/>
      <c r="Q453" s="41"/>
      <c r="R453" s="41"/>
      <c r="S453" s="41"/>
      <c r="T453" s="41"/>
      <c r="U453" s="41"/>
      <c r="V453" s="41"/>
      <c r="W453" s="41"/>
      <c r="X453" s="41"/>
      <c r="Y453" s="41"/>
      <c r="Z453" s="41"/>
      <c r="AA453" s="41"/>
      <c r="AB453" s="41"/>
      <c r="AC453" s="41"/>
      <c r="AD453" s="41"/>
      <c r="AE453" s="41"/>
      <c r="AF453" s="41"/>
      <c r="AG453" s="41"/>
      <c r="AH453" s="41"/>
      <c r="AI453" s="41"/>
      <c r="AJ453" s="41"/>
      <c r="AK453" s="32"/>
      <c r="AL453" s="41"/>
      <c r="AM453" s="41"/>
      <c r="AN453" s="41"/>
      <c r="AO453" s="41"/>
      <c r="AP453" s="41"/>
      <c r="AQ453" s="41"/>
      <c r="AR453" s="41"/>
      <c r="AS453" s="41"/>
      <c r="AT453" s="41"/>
      <c r="AU453" s="41"/>
      <c r="AV453" s="211"/>
      <c r="AW453" s="41"/>
      <c r="AX453" s="41"/>
      <c r="AY453" s="41"/>
      <c r="AZ453" s="41"/>
      <c r="BA453" s="41"/>
      <c r="BB453" s="41"/>
      <c r="BC453" s="41"/>
      <c r="BD453" s="41"/>
      <c r="BE453" s="41"/>
      <c r="BF453" s="41"/>
      <c r="BG453" s="41"/>
      <c r="BH453" s="41"/>
      <c r="BI453" s="41"/>
      <c r="BJ453" s="41"/>
      <c r="BK453" s="41"/>
      <c r="BL453" s="41"/>
      <c r="BM453" s="41"/>
      <c r="BN453" s="41"/>
      <c r="BO453" s="41"/>
      <c r="BP453" s="41"/>
      <c r="BQ453" s="41"/>
      <c r="BR453" s="41"/>
      <c r="BS453" s="41"/>
      <c r="BT453" s="41"/>
      <c r="BU453" s="41"/>
      <c r="BV453" s="41"/>
      <c r="BW453" s="41"/>
      <c r="BX453" s="41"/>
      <c r="BY453" s="41"/>
      <c r="BZ453" s="41"/>
      <c r="CA453" s="41"/>
      <c r="CB453" s="41"/>
      <c r="CC453" s="41"/>
      <c r="CD453" s="41"/>
      <c r="CE453" s="41"/>
      <c r="CF453" s="41"/>
      <c r="CG453" s="41"/>
      <c r="CH453" s="41"/>
      <c r="CI453" s="41"/>
      <c r="CJ453" s="41"/>
      <c r="CK453" s="41"/>
      <c r="CL453" s="41"/>
      <c r="CM453" s="41"/>
      <c r="CN453" s="32"/>
      <c r="CO453" s="41"/>
      <c r="CP453" s="41"/>
      <c r="CQ453" s="41"/>
      <c r="CR453" s="41"/>
      <c r="CS453" s="41"/>
      <c r="CT453" s="41"/>
      <c r="CU453" s="41"/>
      <c r="CV453" s="44"/>
      <c r="CW453" s="30"/>
      <c r="CX453" s="30"/>
      <c r="CY453" s="30"/>
      <c r="CZ453" s="30"/>
      <c r="DA453" s="15"/>
      <c r="DB453" s="15"/>
      <c r="DC453" s="15"/>
      <c r="DD453" s="15"/>
      <c r="DE453" s="15"/>
      <c r="DF453" s="15"/>
    </row>
    <row r="454" spans="1:110" s="26" customFormat="1" ht="12" collapsed="1">
      <c r="A454" s="1" t="s">
        <v>100</v>
      </c>
      <c r="B454" s="2" t="s">
        <v>381</v>
      </c>
      <c r="C454" s="60">
        <v>1734</v>
      </c>
      <c r="D454" s="60">
        <v>1796</v>
      </c>
      <c r="E454" s="60">
        <v>1867.4499999999998</v>
      </c>
      <c r="F454" s="60">
        <v>1890.0000000000002</v>
      </c>
      <c r="G454" s="60">
        <v>2015.21</v>
      </c>
      <c r="H454" s="60">
        <v>2191.23</v>
      </c>
      <c r="I454" s="60">
        <v>2350.7000000000007</v>
      </c>
      <c r="J454" s="60">
        <v>2427.3500000000004</v>
      </c>
      <c r="K454" s="60">
        <v>2561.6799999999994</v>
      </c>
      <c r="L454" s="60">
        <v>2680.8199999999997</v>
      </c>
      <c r="M454" s="60">
        <v>2828.66</v>
      </c>
      <c r="N454" s="60">
        <v>3002.8399999999997</v>
      </c>
      <c r="O454" s="60">
        <v>3099.97</v>
      </c>
      <c r="P454" s="60">
        <v>3456.0500000000006</v>
      </c>
      <c r="Q454" s="60">
        <v>3146.0900000000006</v>
      </c>
      <c r="R454" s="60">
        <v>2930.58</v>
      </c>
      <c r="S454" s="60">
        <v>4931.09</v>
      </c>
      <c r="T454" s="60">
        <v>4411</v>
      </c>
      <c r="U454" s="60">
        <v>4538</v>
      </c>
      <c r="V454" s="60">
        <v>4482</v>
      </c>
      <c r="W454" s="60">
        <v>4380</v>
      </c>
      <c r="X454" s="60">
        <v>4587</v>
      </c>
      <c r="Y454" s="60">
        <v>5015</v>
      </c>
      <c r="Z454" s="60">
        <v>5048</v>
      </c>
      <c r="AA454" s="60">
        <v>5086</v>
      </c>
      <c r="AB454" s="60">
        <v>5382</v>
      </c>
      <c r="AC454" s="60">
        <v>5436</v>
      </c>
      <c r="AD454" s="60">
        <v>5592</v>
      </c>
      <c r="AE454" s="60">
        <v>5567</v>
      </c>
      <c r="AF454" s="60">
        <v>4837</v>
      </c>
      <c r="AG454" s="60">
        <v>5318</v>
      </c>
      <c r="AH454" s="60">
        <v>5489</v>
      </c>
      <c r="AI454" s="60">
        <v>5360</v>
      </c>
      <c r="AJ454" s="60">
        <v>5397</v>
      </c>
      <c r="AK454" s="60">
        <v>4569</v>
      </c>
      <c r="AL454" s="60">
        <v>5381</v>
      </c>
      <c r="AM454" s="60">
        <v>4577</v>
      </c>
      <c r="AN454" s="60">
        <v>3974</v>
      </c>
      <c r="AO454" s="60">
        <v>4395</v>
      </c>
      <c r="AP454" s="60">
        <v>3941</v>
      </c>
      <c r="AQ454" s="60">
        <v>4455</v>
      </c>
      <c r="AR454" s="60">
        <v>4157</v>
      </c>
      <c r="AS454" s="60">
        <v>4811</v>
      </c>
      <c r="AT454" s="60">
        <v>5543</v>
      </c>
      <c r="AU454" s="60">
        <v>5223</v>
      </c>
      <c r="AV454" s="219">
        <v>5132</v>
      </c>
      <c r="AW454" s="60">
        <v>4990.9964748552247</v>
      </c>
      <c r="AX454" s="60">
        <v>5474.8249492640298</v>
      </c>
      <c r="AY454" s="60">
        <v>5450.7055468368826</v>
      </c>
      <c r="AZ454" s="60">
        <v>5582.0060200314574</v>
      </c>
      <c r="BA454" s="60">
        <v>5452.0196608744536</v>
      </c>
      <c r="BB454" s="60">
        <v>5701.3986654027985</v>
      </c>
      <c r="BC454" s="60">
        <v>5529.5373402824616</v>
      </c>
      <c r="BD454" s="60">
        <v>5917.0594495026835</v>
      </c>
      <c r="BE454" s="60">
        <v>5784.1507560252194</v>
      </c>
      <c r="BF454" s="60">
        <v>6209.3976256061032</v>
      </c>
      <c r="BG454" s="60">
        <v>6106.107901947149</v>
      </c>
      <c r="BH454" s="60">
        <v>6569.9815665408969</v>
      </c>
      <c r="BI454" s="60">
        <v>6495.4469838670339</v>
      </c>
      <c r="BJ454" s="60">
        <v>6905.3084325830605</v>
      </c>
      <c r="BK454" s="60">
        <v>6812.1657192206321</v>
      </c>
      <c r="BL454" s="60">
        <v>7251.2631152608283</v>
      </c>
      <c r="BM454" s="60">
        <v>7134.0305548777351</v>
      </c>
      <c r="BN454" s="60">
        <v>7546.6232945096117</v>
      </c>
      <c r="BO454" s="60">
        <v>7352.1655042450839</v>
      </c>
      <c r="BP454" s="60"/>
      <c r="BQ454" s="60">
        <v>1217.5</v>
      </c>
      <c r="BR454" s="60">
        <v>1294</v>
      </c>
      <c r="BS454" s="60">
        <v>1586</v>
      </c>
      <c r="BT454" s="60">
        <v>1722</v>
      </c>
      <c r="BU454" s="60">
        <v>1769</v>
      </c>
      <c r="BV454" s="60">
        <v>2045</v>
      </c>
      <c r="BW454" s="60">
        <v>2247</v>
      </c>
      <c r="BX454" s="60">
        <v>2732</v>
      </c>
      <c r="BY454" s="60">
        <v>3082</v>
      </c>
      <c r="BZ454" s="60">
        <v>3331</v>
      </c>
      <c r="CA454" s="60">
        <v>3663.45</v>
      </c>
      <c r="CB454" s="60">
        <v>3905.21</v>
      </c>
      <c r="CC454" s="60">
        <v>4541.93</v>
      </c>
      <c r="CD454" s="60">
        <v>4989.0299999999988</v>
      </c>
      <c r="CE454" s="60">
        <v>5509.48</v>
      </c>
      <c r="CF454" s="60">
        <v>6102.8099999999995</v>
      </c>
      <c r="CG454" s="60">
        <v>6602.1399999999994</v>
      </c>
      <c r="CH454" s="60">
        <v>7861.67</v>
      </c>
      <c r="CI454" s="60">
        <v>8949</v>
      </c>
      <c r="CJ454" s="60">
        <v>8862</v>
      </c>
      <c r="CK454" s="60">
        <v>9602</v>
      </c>
      <c r="CL454" s="60">
        <v>10134</v>
      </c>
      <c r="CM454" s="60">
        <v>10818</v>
      </c>
      <c r="CN454" s="60">
        <v>11159</v>
      </c>
      <c r="CO454" s="60">
        <v>10155</v>
      </c>
      <c r="CP454" s="60">
        <v>10849</v>
      </c>
      <c r="CQ454" s="60">
        <v>9966</v>
      </c>
      <c r="CR454" s="60">
        <v>9958</v>
      </c>
      <c r="CS454" s="60">
        <v>8369</v>
      </c>
      <c r="CT454" s="60">
        <v>8396</v>
      </c>
      <c r="CU454" s="60">
        <v>8968</v>
      </c>
      <c r="CV454" s="219">
        <v>10766</v>
      </c>
      <c r="CW454" s="60">
        <v>10122.996474855225</v>
      </c>
      <c r="CX454" s="60">
        <v>10925.530496100913</v>
      </c>
      <c r="CY454" s="60">
        <v>11034.025680905914</v>
      </c>
      <c r="CZ454" s="60">
        <v>11230.936005685262</v>
      </c>
      <c r="DA454" s="60">
        <v>11701.210205527903</v>
      </c>
      <c r="DB454" s="60">
        <v>12315.505527553256</v>
      </c>
      <c r="DC454" s="60">
        <v>13065.428550407931</v>
      </c>
      <c r="DD454" s="60">
        <v>13717.47415180369</v>
      </c>
      <c r="DE454" s="60">
        <v>14385.293670138562</v>
      </c>
      <c r="DF454" s="60">
        <v>14898.788798754696</v>
      </c>
    </row>
    <row r="455" spans="1:110" ht="12" hidden="1" outlineLevel="2">
      <c r="A455" s="1" t="s">
        <v>176</v>
      </c>
      <c r="B455" s="15" t="s">
        <v>857</v>
      </c>
      <c r="C455" s="41">
        <v>0</v>
      </c>
      <c r="D455" s="41">
        <v>0</v>
      </c>
      <c r="E455" s="41">
        <v>0</v>
      </c>
      <c r="F455" s="41">
        <v>0</v>
      </c>
      <c r="G455" s="41">
        <v>0</v>
      </c>
      <c r="H455" s="41">
        <v>0</v>
      </c>
      <c r="I455" s="41">
        <v>0</v>
      </c>
      <c r="J455" s="41">
        <v>0</v>
      </c>
      <c r="K455" s="41">
        <v>0</v>
      </c>
      <c r="L455" s="41">
        <v>0</v>
      </c>
      <c r="M455" s="41">
        <v>0</v>
      </c>
      <c r="N455" s="41">
        <v>0</v>
      </c>
      <c r="O455" s="41">
        <v>0</v>
      </c>
      <c r="P455" s="41">
        <v>0</v>
      </c>
      <c r="Q455" s="41">
        <v>0</v>
      </c>
      <c r="R455" s="41">
        <v>0</v>
      </c>
      <c r="S455" s="41">
        <v>0</v>
      </c>
      <c r="T455" s="41">
        <v>0</v>
      </c>
      <c r="U455" s="41">
        <v>0</v>
      </c>
      <c r="V455" s="41">
        <v>0</v>
      </c>
      <c r="W455" s="41">
        <v>0</v>
      </c>
      <c r="X455" s="41">
        <v>0</v>
      </c>
      <c r="Y455" s="41">
        <v>0</v>
      </c>
      <c r="Z455" s="41">
        <v>0</v>
      </c>
      <c r="AA455" s="41">
        <v>0</v>
      </c>
      <c r="AB455" s="41">
        <v>0</v>
      </c>
      <c r="AC455" s="41">
        <v>0</v>
      </c>
      <c r="AD455" s="41">
        <v>0</v>
      </c>
      <c r="AE455" s="41">
        <v>0</v>
      </c>
      <c r="AF455" s="41">
        <v>0</v>
      </c>
      <c r="AG455" s="41">
        <v>0</v>
      </c>
      <c r="AH455" s="41">
        <v>0</v>
      </c>
      <c r="AI455" s="41">
        <v>0</v>
      </c>
      <c r="AJ455" s="41">
        <v>0</v>
      </c>
      <c r="AK455" s="41">
        <v>0</v>
      </c>
      <c r="AL455" s="41">
        <v>0</v>
      </c>
      <c r="AM455" s="41">
        <v>0</v>
      </c>
      <c r="AN455" s="41">
        <v>0</v>
      </c>
      <c r="AO455" s="41">
        <v>0</v>
      </c>
      <c r="AP455" s="41">
        <v>0</v>
      </c>
      <c r="AQ455" s="41">
        <v>0</v>
      </c>
      <c r="AR455" s="41">
        <v>0</v>
      </c>
      <c r="AS455" s="41">
        <v>0</v>
      </c>
      <c r="AT455" s="41">
        <v>0</v>
      </c>
      <c r="AU455" s="41">
        <v>0</v>
      </c>
      <c r="AV455" s="211">
        <v>0</v>
      </c>
      <c r="AW455" s="41">
        <v>0</v>
      </c>
      <c r="AX455" s="41">
        <v>0</v>
      </c>
      <c r="AY455" s="41">
        <v>0</v>
      </c>
      <c r="AZ455" s="41">
        <v>0</v>
      </c>
      <c r="BA455" s="41">
        <v>0</v>
      </c>
      <c r="BB455" s="41">
        <v>0</v>
      </c>
      <c r="BC455" s="41">
        <v>0</v>
      </c>
      <c r="BD455" s="41">
        <v>0</v>
      </c>
      <c r="BE455" s="41">
        <v>0</v>
      </c>
      <c r="BF455" s="41">
        <v>0</v>
      </c>
      <c r="BG455" s="41">
        <v>0</v>
      </c>
      <c r="BH455" s="41">
        <v>0</v>
      </c>
      <c r="BI455" s="41">
        <v>0</v>
      </c>
      <c r="BJ455" s="41">
        <v>0</v>
      </c>
      <c r="BK455" s="41">
        <v>0</v>
      </c>
      <c r="BL455" s="41">
        <v>0</v>
      </c>
      <c r="BM455" s="41">
        <v>0</v>
      </c>
      <c r="BN455" s="41">
        <v>0</v>
      </c>
      <c r="BO455" s="41">
        <v>0</v>
      </c>
      <c r="BP455" s="41"/>
      <c r="BQ455" s="41">
        <v>0</v>
      </c>
      <c r="BR455" s="41">
        <v>0</v>
      </c>
      <c r="BS455" s="41">
        <v>0</v>
      </c>
      <c r="BT455" s="41">
        <v>0</v>
      </c>
      <c r="BU455" s="41">
        <v>0</v>
      </c>
      <c r="BV455" s="41">
        <v>0</v>
      </c>
      <c r="BW455" s="41">
        <v>0</v>
      </c>
      <c r="BX455" s="41">
        <v>0</v>
      </c>
      <c r="BY455" s="41">
        <v>0</v>
      </c>
      <c r="BZ455" s="41">
        <v>0</v>
      </c>
      <c r="CA455" s="41">
        <v>0</v>
      </c>
      <c r="CB455" s="41">
        <v>0</v>
      </c>
      <c r="CC455" s="41">
        <v>0</v>
      </c>
      <c r="CD455" s="41">
        <v>0</v>
      </c>
      <c r="CE455" s="41">
        <v>0</v>
      </c>
      <c r="CF455" s="41">
        <v>0</v>
      </c>
      <c r="CG455" s="41">
        <v>0</v>
      </c>
      <c r="CH455" s="41">
        <v>0</v>
      </c>
      <c r="CI455" s="41">
        <v>0</v>
      </c>
      <c r="CJ455" s="41">
        <v>0</v>
      </c>
      <c r="CK455" s="41">
        <v>0</v>
      </c>
      <c r="CL455" s="41">
        <v>0</v>
      </c>
      <c r="CM455" s="41">
        <v>0</v>
      </c>
      <c r="CN455" s="41">
        <v>0</v>
      </c>
      <c r="CO455" s="41">
        <v>0</v>
      </c>
      <c r="CP455" s="41">
        <v>0</v>
      </c>
      <c r="CQ455" s="41">
        <v>0</v>
      </c>
      <c r="CR455" s="41">
        <v>0</v>
      </c>
      <c r="CS455" s="41">
        <v>0</v>
      </c>
      <c r="CT455" s="41">
        <v>0</v>
      </c>
      <c r="CU455" s="41">
        <v>0</v>
      </c>
      <c r="CV455" s="211">
        <v>0</v>
      </c>
      <c r="CW455" s="41">
        <v>0</v>
      </c>
      <c r="CX455" s="41">
        <v>0</v>
      </c>
      <c r="CY455" s="41">
        <v>0</v>
      </c>
      <c r="CZ455" s="41">
        <v>0</v>
      </c>
      <c r="DA455" s="41">
        <v>0</v>
      </c>
      <c r="DB455" s="41">
        <v>0</v>
      </c>
      <c r="DC455" s="41">
        <v>0</v>
      </c>
      <c r="DD455" s="41">
        <v>0</v>
      </c>
      <c r="DE455" s="41">
        <v>0</v>
      </c>
      <c r="DF455" s="41">
        <v>0</v>
      </c>
    </row>
    <row r="456" spans="1:110" ht="12" hidden="1" outlineLevel="2">
      <c r="A456" s="1" t="s">
        <v>680</v>
      </c>
      <c r="B456" s="15" t="s">
        <v>447</v>
      </c>
      <c r="C456" s="41">
        <v>0</v>
      </c>
      <c r="D456" s="41">
        <v>0</v>
      </c>
      <c r="E456" s="41">
        <v>92.12</v>
      </c>
      <c r="F456" s="41">
        <v>101.42999999999999</v>
      </c>
      <c r="G456" s="41">
        <v>96.039999999999992</v>
      </c>
      <c r="H456" s="41">
        <v>97.02</v>
      </c>
      <c r="I456" s="41">
        <v>122.99</v>
      </c>
      <c r="J456" s="41">
        <v>92.12</v>
      </c>
      <c r="K456" s="41">
        <v>91.63</v>
      </c>
      <c r="L456" s="41">
        <v>109.75999999999999</v>
      </c>
      <c r="M456" s="41">
        <v>106.33</v>
      </c>
      <c r="N456" s="41">
        <v>125.44</v>
      </c>
      <c r="O456" s="41">
        <v>106.82</v>
      </c>
      <c r="P456" s="41">
        <v>115.64</v>
      </c>
      <c r="Q456" s="41">
        <v>113.67999999999999</v>
      </c>
      <c r="R456" s="41">
        <v>120.53999999999999</v>
      </c>
      <c r="S456" s="41">
        <v>109.27</v>
      </c>
      <c r="T456" s="41">
        <v>0</v>
      </c>
      <c r="U456" s="41">
        <v>0</v>
      </c>
      <c r="V456" s="41">
        <v>0</v>
      </c>
      <c r="W456" s="41">
        <v>0</v>
      </c>
      <c r="X456" s="41">
        <v>0</v>
      </c>
      <c r="Y456" s="41">
        <v>0</v>
      </c>
      <c r="Z456" s="41">
        <v>0</v>
      </c>
      <c r="AA456" s="41">
        <v>0</v>
      </c>
      <c r="AB456" s="41">
        <v>0</v>
      </c>
      <c r="AC456" s="41">
        <v>0</v>
      </c>
      <c r="AD456" s="41">
        <v>0</v>
      </c>
      <c r="AE456" s="41">
        <v>0</v>
      </c>
      <c r="AF456" s="41">
        <v>0</v>
      </c>
      <c r="AG456" s="41">
        <v>0</v>
      </c>
      <c r="AH456" s="41">
        <v>0</v>
      </c>
      <c r="AI456" s="41">
        <v>0</v>
      </c>
      <c r="AJ456" s="41">
        <v>0</v>
      </c>
      <c r="AK456" s="41">
        <v>0</v>
      </c>
      <c r="AL456" s="41">
        <v>0</v>
      </c>
      <c r="AM456" s="41">
        <v>0</v>
      </c>
      <c r="AN456" s="41">
        <v>0</v>
      </c>
      <c r="AO456" s="41">
        <v>0</v>
      </c>
      <c r="AP456" s="41">
        <v>0</v>
      </c>
      <c r="AQ456" s="41">
        <v>0</v>
      </c>
      <c r="AR456" s="41">
        <v>0</v>
      </c>
      <c r="AS456" s="41">
        <v>0</v>
      </c>
      <c r="AT456" s="41">
        <v>0</v>
      </c>
      <c r="AU456" s="41">
        <v>0</v>
      </c>
      <c r="AV456" s="211">
        <v>0</v>
      </c>
      <c r="AW456" s="41">
        <v>0</v>
      </c>
      <c r="AX456" s="41">
        <v>0</v>
      </c>
      <c r="AY456" s="41">
        <v>0</v>
      </c>
      <c r="AZ456" s="41">
        <v>0</v>
      </c>
      <c r="BA456" s="41">
        <v>0</v>
      </c>
      <c r="BB456" s="41">
        <v>0</v>
      </c>
      <c r="BC456" s="41">
        <v>0</v>
      </c>
      <c r="BD456" s="41">
        <v>0</v>
      </c>
      <c r="BE456" s="41">
        <v>0</v>
      </c>
      <c r="BF456" s="41">
        <v>0</v>
      </c>
      <c r="BG456" s="41">
        <v>0</v>
      </c>
      <c r="BH456" s="41">
        <v>0</v>
      </c>
      <c r="BI456" s="41">
        <v>0</v>
      </c>
      <c r="BJ456" s="41">
        <v>0</v>
      </c>
      <c r="BK456" s="41">
        <v>0</v>
      </c>
      <c r="BL456" s="41">
        <v>0</v>
      </c>
      <c r="BM456" s="41">
        <v>0</v>
      </c>
      <c r="BN456" s="41">
        <v>0</v>
      </c>
      <c r="BO456" s="41">
        <v>0</v>
      </c>
      <c r="BP456" s="41"/>
      <c r="BQ456" s="41">
        <v>0</v>
      </c>
      <c r="BR456" s="41">
        <v>0</v>
      </c>
      <c r="BS456" s="41">
        <v>0</v>
      </c>
      <c r="BT456" s="41">
        <v>0</v>
      </c>
      <c r="BU456" s="41">
        <v>0</v>
      </c>
      <c r="BV456" s="41">
        <v>0</v>
      </c>
      <c r="BW456" s="41">
        <v>0</v>
      </c>
      <c r="BX456" s="41">
        <v>0</v>
      </c>
      <c r="BY456" s="41">
        <v>0</v>
      </c>
      <c r="BZ456" s="41">
        <v>0</v>
      </c>
      <c r="CA456" s="41">
        <v>92.12</v>
      </c>
      <c r="CB456" s="41">
        <v>197.46999999999997</v>
      </c>
      <c r="CC456" s="41">
        <v>220.01</v>
      </c>
      <c r="CD456" s="41">
        <v>183.75</v>
      </c>
      <c r="CE456" s="41">
        <v>216.08999999999997</v>
      </c>
      <c r="CF456" s="41">
        <v>232.26</v>
      </c>
      <c r="CG456" s="41">
        <v>229.32</v>
      </c>
      <c r="CH456" s="41">
        <v>229.81</v>
      </c>
      <c r="CI456" s="41">
        <v>0</v>
      </c>
      <c r="CJ456" s="41">
        <v>0</v>
      </c>
      <c r="CK456" s="41">
        <v>0</v>
      </c>
      <c r="CL456" s="41">
        <v>0</v>
      </c>
      <c r="CM456" s="41">
        <v>0</v>
      </c>
      <c r="CN456" s="41">
        <v>0</v>
      </c>
      <c r="CO456" s="41">
        <v>0</v>
      </c>
      <c r="CP456" s="41">
        <v>0</v>
      </c>
      <c r="CQ456" s="41">
        <v>0</v>
      </c>
      <c r="CR456" s="41">
        <v>0</v>
      </c>
      <c r="CS456" s="41">
        <v>0</v>
      </c>
      <c r="CT456" s="41">
        <v>0</v>
      </c>
      <c r="CU456" s="41">
        <v>0</v>
      </c>
      <c r="CV456" s="211">
        <v>0</v>
      </c>
      <c r="CW456" s="41">
        <v>0</v>
      </c>
      <c r="CX456" s="41">
        <v>0</v>
      </c>
      <c r="CY456" s="41">
        <v>0</v>
      </c>
      <c r="CZ456" s="41">
        <v>0</v>
      </c>
      <c r="DA456" s="41">
        <v>0</v>
      </c>
      <c r="DB456" s="41">
        <v>0</v>
      </c>
      <c r="DC456" s="41">
        <v>0</v>
      </c>
      <c r="DD456" s="41">
        <v>0</v>
      </c>
      <c r="DE456" s="41">
        <v>0</v>
      </c>
      <c r="DF456" s="41">
        <v>0</v>
      </c>
    </row>
    <row r="457" spans="1:110" ht="12" hidden="1" outlineLevel="2">
      <c r="A457" s="1" t="s">
        <v>681</v>
      </c>
      <c r="B457" s="15" t="s">
        <v>370</v>
      </c>
      <c r="C457" s="41">
        <v>0</v>
      </c>
      <c r="D457" s="41">
        <v>0</v>
      </c>
      <c r="E457" s="41">
        <v>-92.12</v>
      </c>
      <c r="F457" s="41">
        <v>-101.42999999999999</v>
      </c>
      <c r="G457" s="41">
        <v>-96.039999999999992</v>
      </c>
      <c r="H457" s="41">
        <v>-97.02</v>
      </c>
      <c r="I457" s="41">
        <v>-122.99</v>
      </c>
      <c r="J457" s="41">
        <v>-92.12</v>
      </c>
      <c r="K457" s="41">
        <v>-91.63</v>
      </c>
      <c r="L457" s="41">
        <v>-109.75999999999999</v>
      </c>
      <c r="M457" s="41">
        <v>-106.33</v>
      </c>
      <c r="N457" s="41">
        <v>-125.44</v>
      </c>
      <c r="O457" s="41">
        <v>-106.82</v>
      </c>
      <c r="P457" s="41">
        <v>-115.64</v>
      </c>
      <c r="Q457" s="41">
        <v>-113.67999999999999</v>
      </c>
      <c r="R457" s="41">
        <v>-120.53999999999999</v>
      </c>
      <c r="S457" s="41">
        <v>-109.27</v>
      </c>
      <c r="T457" s="41">
        <v>0</v>
      </c>
      <c r="U457" s="41">
        <v>0</v>
      </c>
      <c r="V457" s="41">
        <v>0</v>
      </c>
      <c r="W457" s="41">
        <v>0</v>
      </c>
      <c r="X457" s="41">
        <v>0</v>
      </c>
      <c r="Y457" s="41">
        <v>0</v>
      </c>
      <c r="Z457" s="41">
        <v>0</v>
      </c>
      <c r="AA457" s="41">
        <v>0</v>
      </c>
      <c r="AB457" s="41">
        <v>0</v>
      </c>
      <c r="AC457" s="41">
        <v>0</v>
      </c>
      <c r="AD457" s="41">
        <v>0</v>
      </c>
      <c r="AE457" s="41">
        <v>0</v>
      </c>
      <c r="AF457" s="41">
        <v>0</v>
      </c>
      <c r="AG457" s="41">
        <v>0</v>
      </c>
      <c r="AH457" s="41">
        <v>0</v>
      </c>
      <c r="AI457" s="41">
        <v>0</v>
      </c>
      <c r="AJ457" s="41">
        <v>0</v>
      </c>
      <c r="AK457" s="41">
        <v>0</v>
      </c>
      <c r="AL457" s="41">
        <v>0</v>
      </c>
      <c r="AM457" s="41">
        <v>0</v>
      </c>
      <c r="AN457" s="41">
        <v>0</v>
      </c>
      <c r="AO457" s="41">
        <v>0</v>
      </c>
      <c r="AP457" s="41">
        <v>0</v>
      </c>
      <c r="AQ457" s="41">
        <v>0</v>
      </c>
      <c r="AR457" s="41">
        <v>0</v>
      </c>
      <c r="AS457" s="41">
        <v>0</v>
      </c>
      <c r="AT457" s="41">
        <v>0</v>
      </c>
      <c r="AU457" s="41">
        <v>0</v>
      </c>
      <c r="AV457" s="211">
        <v>0</v>
      </c>
      <c r="AW457" s="41">
        <v>0</v>
      </c>
      <c r="AX457" s="41">
        <v>0</v>
      </c>
      <c r="AY457" s="41">
        <v>0</v>
      </c>
      <c r="AZ457" s="41">
        <v>0</v>
      </c>
      <c r="BA457" s="41">
        <v>0</v>
      </c>
      <c r="BB457" s="41">
        <v>0</v>
      </c>
      <c r="BC457" s="41">
        <v>0</v>
      </c>
      <c r="BD457" s="41">
        <v>0</v>
      </c>
      <c r="BE457" s="41">
        <v>0</v>
      </c>
      <c r="BF457" s="41">
        <v>0</v>
      </c>
      <c r="BG457" s="41">
        <v>0</v>
      </c>
      <c r="BH457" s="41">
        <v>0</v>
      </c>
      <c r="BI457" s="41">
        <v>0</v>
      </c>
      <c r="BJ457" s="41">
        <v>0</v>
      </c>
      <c r="BK457" s="41">
        <v>0</v>
      </c>
      <c r="BL457" s="41">
        <v>0</v>
      </c>
      <c r="BM457" s="41">
        <v>0</v>
      </c>
      <c r="BN457" s="41">
        <v>0</v>
      </c>
      <c r="BO457" s="41">
        <v>0</v>
      </c>
      <c r="BP457" s="41"/>
      <c r="BQ457" s="41">
        <v>0</v>
      </c>
      <c r="BR457" s="41">
        <v>0</v>
      </c>
      <c r="BS457" s="41">
        <v>0</v>
      </c>
      <c r="BT457" s="41">
        <v>0</v>
      </c>
      <c r="BU457" s="41">
        <v>0</v>
      </c>
      <c r="BV457" s="41">
        <v>0</v>
      </c>
      <c r="BW457" s="41">
        <v>0</v>
      </c>
      <c r="BX457" s="41">
        <v>0</v>
      </c>
      <c r="BY457" s="41">
        <v>0</v>
      </c>
      <c r="BZ457" s="41">
        <v>0</v>
      </c>
      <c r="CA457" s="41">
        <v>-92.12</v>
      </c>
      <c r="CB457" s="41">
        <v>-197.46999999999997</v>
      </c>
      <c r="CC457" s="41">
        <v>-220.01</v>
      </c>
      <c r="CD457" s="41">
        <v>-183.75</v>
      </c>
      <c r="CE457" s="41">
        <v>-216.08999999999997</v>
      </c>
      <c r="CF457" s="41">
        <v>-232.26</v>
      </c>
      <c r="CG457" s="41">
        <v>-229.32</v>
      </c>
      <c r="CH457" s="41">
        <v>-229.81</v>
      </c>
      <c r="CI457" s="41">
        <v>0</v>
      </c>
      <c r="CJ457" s="41">
        <v>0</v>
      </c>
      <c r="CK457" s="41">
        <v>0</v>
      </c>
      <c r="CL457" s="41">
        <v>0</v>
      </c>
      <c r="CM457" s="41">
        <v>0</v>
      </c>
      <c r="CN457" s="41">
        <v>0</v>
      </c>
      <c r="CO457" s="41">
        <v>0</v>
      </c>
      <c r="CP457" s="41">
        <v>0</v>
      </c>
      <c r="CQ457" s="41">
        <v>0</v>
      </c>
      <c r="CR457" s="41">
        <v>0</v>
      </c>
      <c r="CS457" s="41">
        <v>0</v>
      </c>
      <c r="CT457" s="41">
        <v>0</v>
      </c>
      <c r="CU457" s="41">
        <v>0</v>
      </c>
      <c r="CV457" s="211">
        <v>0</v>
      </c>
      <c r="CW457" s="41">
        <v>0</v>
      </c>
      <c r="CX457" s="41">
        <v>0</v>
      </c>
      <c r="CY457" s="41">
        <v>0</v>
      </c>
      <c r="CZ457" s="41">
        <v>0</v>
      </c>
      <c r="DA457" s="41">
        <v>0</v>
      </c>
      <c r="DB457" s="41">
        <v>0</v>
      </c>
      <c r="DC457" s="41">
        <v>0</v>
      </c>
      <c r="DD457" s="41">
        <v>0</v>
      </c>
      <c r="DE457" s="41">
        <v>0</v>
      </c>
      <c r="DF457" s="41">
        <v>0</v>
      </c>
    </row>
    <row r="458" spans="1:110" ht="12" hidden="1" outlineLevel="2">
      <c r="A458" s="1" t="s">
        <v>177</v>
      </c>
      <c r="B458" s="15" t="s">
        <v>371</v>
      </c>
      <c r="C458" s="41">
        <v>0</v>
      </c>
      <c r="D458" s="41">
        <v>0</v>
      </c>
      <c r="E458" s="41">
        <v>0</v>
      </c>
      <c r="F458" s="41">
        <v>0</v>
      </c>
      <c r="G458" s="41">
        <v>0</v>
      </c>
      <c r="H458" s="41">
        <v>0</v>
      </c>
      <c r="I458" s="41">
        <v>0</v>
      </c>
      <c r="J458" s="41">
        <v>0</v>
      </c>
      <c r="K458" s="41">
        <v>0</v>
      </c>
      <c r="L458" s="41">
        <v>0</v>
      </c>
      <c r="M458" s="41">
        <v>0</v>
      </c>
      <c r="N458" s="41">
        <v>0</v>
      </c>
      <c r="O458" s="41">
        <v>0</v>
      </c>
      <c r="P458" s="41">
        <v>-45</v>
      </c>
      <c r="Q458" s="41">
        <v>-111</v>
      </c>
      <c r="R458" s="41">
        <v>-92</v>
      </c>
      <c r="S458" s="41">
        <v>10</v>
      </c>
      <c r="T458" s="41">
        <v>-17</v>
      </c>
      <c r="U458" s="41">
        <v>-17</v>
      </c>
      <c r="V458" s="41">
        <v>0</v>
      </c>
      <c r="W458" s="41">
        <v>0</v>
      </c>
      <c r="X458" s="41">
        <v>0</v>
      </c>
      <c r="Y458" s="41">
        <v>0</v>
      </c>
      <c r="Z458" s="41">
        <v>0</v>
      </c>
      <c r="AA458" s="41">
        <v>0</v>
      </c>
      <c r="AB458" s="41">
        <v>0</v>
      </c>
      <c r="AC458" s="41">
        <v>0</v>
      </c>
      <c r="AD458" s="41">
        <v>0</v>
      </c>
      <c r="AE458" s="41">
        <v>0</v>
      </c>
      <c r="AF458" s="41">
        <v>0</v>
      </c>
      <c r="AG458" s="41">
        <v>0</v>
      </c>
      <c r="AH458" s="41">
        <v>0</v>
      </c>
      <c r="AI458" s="41">
        <v>0</v>
      </c>
      <c r="AJ458" s="41">
        <v>0</v>
      </c>
      <c r="AK458" s="41">
        <v>0</v>
      </c>
      <c r="AL458" s="41">
        <v>0</v>
      </c>
      <c r="AM458" s="41">
        <v>0</v>
      </c>
      <c r="AN458" s="41">
        <v>0</v>
      </c>
      <c r="AO458" s="41">
        <v>0</v>
      </c>
      <c r="AP458" s="41">
        <v>0</v>
      </c>
      <c r="AQ458" s="41">
        <v>0</v>
      </c>
      <c r="AR458" s="41">
        <v>0</v>
      </c>
      <c r="AS458" s="41">
        <v>0</v>
      </c>
      <c r="AT458" s="41">
        <v>0</v>
      </c>
      <c r="AU458" s="41">
        <v>0</v>
      </c>
      <c r="AV458" s="211">
        <v>0</v>
      </c>
      <c r="AW458" s="41">
        <v>0</v>
      </c>
      <c r="AX458" s="41">
        <v>0</v>
      </c>
      <c r="AY458" s="41">
        <v>0</v>
      </c>
      <c r="AZ458" s="41">
        <v>0</v>
      </c>
      <c r="BA458" s="41">
        <v>0</v>
      </c>
      <c r="BB458" s="41">
        <v>0</v>
      </c>
      <c r="BC458" s="41">
        <v>0</v>
      </c>
      <c r="BD458" s="41">
        <v>0</v>
      </c>
      <c r="BE458" s="41">
        <v>0</v>
      </c>
      <c r="BF458" s="41">
        <v>0</v>
      </c>
      <c r="BG458" s="41">
        <v>0</v>
      </c>
      <c r="BH458" s="41">
        <v>0</v>
      </c>
      <c r="BI458" s="41">
        <v>0</v>
      </c>
      <c r="BJ458" s="41">
        <v>0</v>
      </c>
      <c r="BK458" s="41">
        <v>0</v>
      </c>
      <c r="BL458" s="41">
        <v>0</v>
      </c>
      <c r="BM458" s="41">
        <v>0</v>
      </c>
      <c r="BN458" s="41">
        <v>0</v>
      </c>
      <c r="BO458" s="41">
        <v>0</v>
      </c>
      <c r="BP458" s="41"/>
      <c r="BQ458" s="41">
        <v>0</v>
      </c>
      <c r="BR458" s="41">
        <v>0</v>
      </c>
      <c r="BS458" s="41">
        <v>0</v>
      </c>
      <c r="BT458" s="41">
        <v>0</v>
      </c>
      <c r="BU458" s="41">
        <v>0</v>
      </c>
      <c r="BV458" s="41">
        <v>0</v>
      </c>
      <c r="BW458" s="41">
        <v>0</v>
      </c>
      <c r="BX458" s="41">
        <v>0</v>
      </c>
      <c r="BY458" s="41">
        <v>0</v>
      </c>
      <c r="BZ458" s="41">
        <v>0</v>
      </c>
      <c r="CA458" s="41">
        <v>0</v>
      </c>
      <c r="CB458" s="41">
        <v>0</v>
      </c>
      <c r="CC458" s="41">
        <v>0</v>
      </c>
      <c r="CD458" s="41">
        <v>0</v>
      </c>
      <c r="CE458" s="41">
        <v>0</v>
      </c>
      <c r="CF458" s="41">
        <v>0</v>
      </c>
      <c r="CG458" s="41">
        <v>-156</v>
      </c>
      <c r="CH458" s="41">
        <v>-82</v>
      </c>
      <c r="CI458" s="41">
        <v>-34</v>
      </c>
      <c r="CJ458" s="41">
        <v>0</v>
      </c>
      <c r="CK458" s="41">
        <v>0</v>
      </c>
      <c r="CL458" s="41">
        <v>0</v>
      </c>
      <c r="CM458" s="41">
        <v>0</v>
      </c>
      <c r="CN458" s="41">
        <v>0</v>
      </c>
      <c r="CO458" s="41">
        <v>0</v>
      </c>
      <c r="CP458" s="41">
        <v>0</v>
      </c>
      <c r="CQ458" s="41">
        <v>0</v>
      </c>
      <c r="CR458" s="41">
        <v>0</v>
      </c>
      <c r="CS458" s="41">
        <v>0</v>
      </c>
      <c r="CT458" s="41">
        <v>0</v>
      </c>
      <c r="CU458" s="41">
        <v>0</v>
      </c>
      <c r="CV458" s="211">
        <v>0</v>
      </c>
      <c r="CW458" s="41">
        <v>0</v>
      </c>
      <c r="CX458" s="41">
        <v>0</v>
      </c>
      <c r="CY458" s="41">
        <v>0</v>
      </c>
      <c r="CZ458" s="41">
        <v>0</v>
      </c>
      <c r="DA458" s="41">
        <v>0</v>
      </c>
      <c r="DB458" s="41">
        <v>0</v>
      </c>
      <c r="DC458" s="41">
        <v>0</v>
      </c>
      <c r="DD458" s="41">
        <v>0</v>
      </c>
      <c r="DE458" s="41">
        <v>0</v>
      </c>
      <c r="DF458" s="41">
        <v>0</v>
      </c>
    </row>
    <row r="459" spans="1:110" ht="12" hidden="1" outlineLevel="2">
      <c r="A459" s="1" t="s">
        <v>95</v>
      </c>
      <c r="B459" s="15" t="s">
        <v>361</v>
      </c>
      <c r="C459" s="41">
        <v>0</v>
      </c>
      <c r="D459" s="41">
        <v>0</v>
      </c>
      <c r="E459" s="41">
        <v>-2.4500000000000002</v>
      </c>
      <c r="F459" s="41">
        <v>0</v>
      </c>
      <c r="G459" s="41">
        <v>-14.209999999999999</v>
      </c>
      <c r="H459" s="41">
        <v>-13.23</v>
      </c>
      <c r="I459" s="41">
        <v>-14.7</v>
      </c>
      <c r="J459" s="41">
        <v>-7.35</v>
      </c>
      <c r="K459" s="41">
        <v>-15.68</v>
      </c>
      <c r="L459" s="41">
        <v>-8.82</v>
      </c>
      <c r="M459" s="41">
        <v>-16.66</v>
      </c>
      <c r="N459" s="41">
        <v>-7.84</v>
      </c>
      <c r="O459" s="41">
        <v>-25.97</v>
      </c>
      <c r="P459" s="41">
        <v>-22.05</v>
      </c>
      <c r="Q459" s="41">
        <v>-20.09</v>
      </c>
      <c r="R459" s="41">
        <v>-20.58</v>
      </c>
      <c r="S459" s="41">
        <v>-20.09</v>
      </c>
      <c r="T459" s="41">
        <v>0</v>
      </c>
      <c r="U459" s="41">
        <v>0</v>
      </c>
      <c r="V459" s="41">
        <v>0</v>
      </c>
      <c r="W459" s="41">
        <v>0</v>
      </c>
      <c r="X459" s="41">
        <v>0</v>
      </c>
      <c r="Y459" s="41">
        <v>0</v>
      </c>
      <c r="Z459" s="41">
        <v>0</v>
      </c>
      <c r="AA459" s="41">
        <v>0</v>
      </c>
      <c r="AB459" s="41">
        <v>0</v>
      </c>
      <c r="AC459" s="41">
        <v>0</v>
      </c>
      <c r="AD459" s="41">
        <v>0</v>
      </c>
      <c r="AE459" s="41">
        <v>0</v>
      </c>
      <c r="AF459" s="41">
        <v>0</v>
      </c>
      <c r="AG459" s="41">
        <v>0</v>
      </c>
      <c r="AH459" s="41">
        <v>0</v>
      </c>
      <c r="AI459" s="41">
        <v>0</v>
      </c>
      <c r="AJ459" s="41">
        <v>0</v>
      </c>
      <c r="AK459" s="41">
        <v>0</v>
      </c>
      <c r="AL459" s="41">
        <v>0</v>
      </c>
      <c r="AM459" s="41">
        <v>0</v>
      </c>
      <c r="AN459" s="41">
        <v>0</v>
      </c>
      <c r="AO459" s="41">
        <v>0</v>
      </c>
      <c r="AP459" s="41">
        <v>0</v>
      </c>
      <c r="AQ459" s="41">
        <v>0</v>
      </c>
      <c r="AR459" s="41">
        <v>0</v>
      </c>
      <c r="AS459" s="41">
        <v>0</v>
      </c>
      <c r="AT459" s="41">
        <v>0</v>
      </c>
      <c r="AU459" s="41">
        <v>0</v>
      </c>
      <c r="AV459" s="211">
        <v>0</v>
      </c>
      <c r="AW459" s="41">
        <v>0</v>
      </c>
      <c r="AX459" s="41">
        <v>0</v>
      </c>
      <c r="AY459" s="41">
        <v>0</v>
      </c>
      <c r="AZ459" s="41">
        <v>0</v>
      </c>
      <c r="BA459" s="41">
        <v>0</v>
      </c>
      <c r="BB459" s="41">
        <v>0</v>
      </c>
      <c r="BC459" s="41">
        <v>0</v>
      </c>
      <c r="BD459" s="41">
        <v>0</v>
      </c>
      <c r="BE459" s="41">
        <v>0</v>
      </c>
      <c r="BF459" s="41">
        <v>0</v>
      </c>
      <c r="BG459" s="41">
        <v>0</v>
      </c>
      <c r="BH459" s="41">
        <v>0</v>
      </c>
      <c r="BI459" s="41">
        <v>0</v>
      </c>
      <c r="BJ459" s="41">
        <v>0</v>
      </c>
      <c r="BK459" s="41">
        <v>0</v>
      </c>
      <c r="BL459" s="41">
        <v>0</v>
      </c>
      <c r="BM459" s="41">
        <v>0</v>
      </c>
      <c r="BN459" s="41">
        <v>0</v>
      </c>
      <c r="BO459" s="41">
        <v>0</v>
      </c>
      <c r="BP459" s="41"/>
      <c r="BQ459" s="41">
        <v>0</v>
      </c>
      <c r="BR459" s="41">
        <v>0</v>
      </c>
      <c r="BS459" s="41">
        <v>0</v>
      </c>
      <c r="BT459" s="41">
        <v>0</v>
      </c>
      <c r="BU459" s="41">
        <v>0</v>
      </c>
      <c r="BV459" s="41">
        <v>0</v>
      </c>
      <c r="BW459" s="41">
        <v>0</v>
      </c>
      <c r="BX459" s="41">
        <v>0</v>
      </c>
      <c r="BY459" s="41">
        <v>0</v>
      </c>
      <c r="BZ459" s="41">
        <v>0</v>
      </c>
      <c r="CA459" s="41">
        <v>-2.4500000000000002</v>
      </c>
      <c r="CB459" s="41">
        <v>-14.209999999999999</v>
      </c>
      <c r="CC459" s="41">
        <v>-27.93</v>
      </c>
      <c r="CD459" s="41">
        <v>-23.03</v>
      </c>
      <c r="CE459" s="41">
        <v>-25.48</v>
      </c>
      <c r="CF459" s="41">
        <v>-33.81</v>
      </c>
      <c r="CG459" s="41">
        <v>-42.14</v>
      </c>
      <c r="CH459" s="41">
        <v>-40.67</v>
      </c>
      <c r="CI459" s="41">
        <v>0</v>
      </c>
      <c r="CJ459" s="41">
        <v>0</v>
      </c>
      <c r="CK459" s="41">
        <v>0</v>
      </c>
      <c r="CL459" s="41">
        <v>0</v>
      </c>
      <c r="CM459" s="41">
        <v>0</v>
      </c>
      <c r="CN459" s="41">
        <v>0</v>
      </c>
      <c r="CO459" s="41">
        <v>0</v>
      </c>
      <c r="CP459" s="41">
        <v>0</v>
      </c>
      <c r="CQ459" s="41">
        <v>0</v>
      </c>
      <c r="CR459" s="41">
        <v>0</v>
      </c>
      <c r="CS459" s="41">
        <v>0</v>
      </c>
      <c r="CT459" s="41">
        <v>0</v>
      </c>
      <c r="CU459" s="41">
        <v>0</v>
      </c>
      <c r="CV459" s="211">
        <v>0</v>
      </c>
      <c r="CW459" s="41">
        <v>0</v>
      </c>
      <c r="CX459" s="41">
        <v>0</v>
      </c>
      <c r="CY459" s="41">
        <v>0</v>
      </c>
      <c r="CZ459" s="41">
        <v>0</v>
      </c>
      <c r="DA459" s="41">
        <v>0</v>
      </c>
      <c r="DB459" s="41">
        <v>0</v>
      </c>
      <c r="DC459" s="41">
        <v>0</v>
      </c>
      <c r="DD459" s="41">
        <v>0</v>
      </c>
      <c r="DE459" s="41">
        <v>0</v>
      </c>
      <c r="DF459" s="41">
        <v>0</v>
      </c>
    </row>
    <row r="460" spans="1:110" ht="12" hidden="1" outlineLevel="2">
      <c r="A460" s="1" t="s">
        <v>96</v>
      </c>
      <c r="B460" s="15" t="s">
        <v>425</v>
      </c>
      <c r="C460" s="41">
        <v>0</v>
      </c>
      <c r="D460" s="41">
        <v>0</v>
      </c>
      <c r="E460" s="41">
        <v>0</v>
      </c>
      <c r="F460" s="41">
        <v>0</v>
      </c>
      <c r="G460" s="41">
        <v>0</v>
      </c>
      <c r="H460" s="41">
        <v>0</v>
      </c>
      <c r="I460" s="41">
        <v>0</v>
      </c>
      <c r="J460" s="41">
        <v>0</v>
      </c>
      <c r="K460" s="41">
        <v>0</v>
      </c>
      <c r="L460" s="41">
        <v>0</v>
      </c>
      <c r="M460" s="41">
        <v>0</v>
      </c>
      <c r="N460" s="41">
        <v>0</v>
      </c>
      <c r="O460" s="41">
        <v>0</v>
      </c>
      <c r="P460" s="41">
        <v>-64</v>
      </c>
      <c r="Q460" s="41">
        <v>549</v>
      </c>
      <c r="R460" s="41">
        <v>1277</v>
      </c>
      <c r="S460" s="41">
        <v>-717</v>
      </c>
      <c r="T460" s="41">
        <v>-76</v>
      </c>
      <c r="U460" s="41">
        <v>-28</v>
      </c>
      <c r="V460" s="41">
        <v>0</v>
      </c>
      <c r="W460" s="41">
        <v>0</v>
      </c>
      <c r="X460" s="41">
        <v>0</v>
      </c>
      <c r="Y460" s="41">
        <v>-273</v>
      </c>
      <c r="Z460" s="41">
        <v>0</v>
      </c>
      <c r="AA460" s="41">
        <v>0</v>
      </c>
      <c r="AB460" s="41">
        <v>0</v>
      </c>
      <c r="AC460" s="41">
        <v>0</v>
      </c>
      <c r="AD460" s="41">
        <v>0</v>
      </c>
      <c r="AE460" s="41">
        <v>0</v>
      </c>
      <c r="AF460" s="41">
        <v>0</v>
      </c>
      <c r="AG460" s="41">
        <v>0</v>
      </c>
      <c r="AH460" s="41">
        <v>0</v>
      </c>
      <c r="AI460" s="41">
        <v>0</v>
      </c>
      <c r="AJ460" s="41">
        <v>0</v>
      </c>
      <c r="AK460" s="41">
        <v>0</v>
      </c>
      <c r="AL460" s="41">
        <v>0</v>
      </c>
      <c r="AM460" s="41">
        <v>0</v>
      </c>
      <c r="AN460" s="41">
        <v>0</v>
      </c>
      <c r="AO460" s="41">
        <v>0</v>
      </c>
      <c r="AP460" s="41">
        <v>0</v>
      </c>
      <c r="AQ460" s="41">
        <v>0</v>
      </c>
      <c r="AR460" s="41">
        <v>0</v>
      </c>
      <c r="AS460" s="41">
        <v>0</v>
      </c>
      <c r="AT460" s="41">
        <v>0</v>
      </c>
      <c r="AU460" s="41">
        <v>0</v>
      </c>
      <c r="AV460" s="211">
        <v>0</v>
      </c>
      <c r="AW460" s="41">
        <v>0</v>
      </c>
      <c r="AX460" s="41">
        <v>0</v>
      </c>
      <c r="AY460" s="41">
        <v>0</v>
      </c>
      <c r="AZ460" s="41">
        <v>0</v>
      </c>
      <c r="BA460" s="41">
        <v>0</v>
      </c>
      <c r="BB460" s="41">
        <v>0</v>
      </c>
      <c r="BC460" s="41">
        <v>0</v>
      </c>
      <c r="BD460" s="41">
        <v>0</v>
      </c>
      <c r="BE460" s="41">
        <v>0</v>
      </c>
      <c r="BF460" s="41">
        <v>0</v>
      </c>
      <c r="BG460" s="41">
        <v>0</v>
      </c>
      <c r="BH460" s="41">
        <v>0</v>
      </c>
      <c r="BI460" s="41">
        <v>0</v>
      </c>
      <c r="BJ460" s="41">
        <v>0</v>
      </c>
      <c r="BK460" s="41">
        <v>0</v>
      </c>
      <c r="BL460" s="41">
        <v>0</v>
      </c>
      <c r="BM460" s="41">
        <v>0</v>
      </c>
      <c r="BN460" s="41">
        <v>0</v>
      </c>
      <c r="BO460" s="41">
        <v>0</v>
      </c>
      <c r="BP460" s="41"/>
      <c r="BQ460" s="41">
        <v>0</v>
      </c>
      <c r="BR460" s="41">
        <v>0</v>
      </c>
      <c r="BS460" s="41">
        <v>0</v>
      </c>
      <c r="BT460" s="41">
        <v>0</v>
      </c>
      <c r="BU460" s="41">
        <v>0</v>
      </c>
      <c r="BV460" s="41">
        <v>0</v>
      </c>
      <c r="BW460" s="41">
        <v>0</v>
      </c>
      <c r="BX460" s="41">
        <v>0</v>
      </c>
      <c r="BY460" s="41">
        <v>0</v>
      </c>
      <c r="BZ460" s="41">
        <v>0</v>
      </c>
      <c r="CA460" s="41">
        <v>0</v>
      </c>
      <c r="CB460" s="41">
        <v>0</v>
      </c>
      <c r="CC460" s="41">
        <v>0</v>
      </c>
      <c r="CD460" s="41">
        <v>0</v>
      </c>
      <c r="CE460" s="41">
        <v>0</v>
      </c>
      <c r="CF460" s="41">
        <v>0</v>
      </c>
      <c r="CG460" s="41">
        <v>485</v>
      </c>
      <c r="CH460" s="41">
        <v>560</v>
      </c>
      <c r="CI460" s="41">
        <v>-104</v>
      </c>
      <c r="CJ460" s="41">
        <v>0</v>
      </c>
      <c r="CK460" s="41">
        <v>-273</v>
      </c>
      <c r="CL460" s="41">
        <v>0</v>
      </c>
      <c r="CM460" s="41">
        <v>0</v>
      </c>
      <c r="CN460" s="41">
        <v>0</v>
      </c>
      <c r="CO460" s="41">
        <v>0</v>
      </c>
      <c r="CP460" s="41">
        <v>0</v>
      </c>
      <c r="CQ460" s="41">
        <v>0</v>
      </c>
      <c r="CR460" s="41">
        <v>0</v>
      </c>
      <c r="CS460" s="41">
        <v>0</v>
      </c>
      <c r="CT460" s="41">
        <v>0</v>
      </c>
      <c r="CU460" s="41">
        <v>0</v>
      </c>
      <c r="CV460" s="211">
        <v>0</v>
      </c>
      <c r="CW460" s="41">
        <v>0</v>
      </c>
      <c r="CX460" s="41">
        <v>0</v>
      </c>
      <c r="CY460" s="41">
        <v>0</v>
      </c>
      <c r="CZ460" s="41">
        <v>0</v>
      </c>
      <c r="DA460" s="41">
        <v>0</v>
      </c>
      <c r="DB460" s="41">
        <v>0</v>
      </c>
      <c r="DC460" s="41">
        <v>0</v>
      </c>
      <c r="DD460" s="41">
        <v>0</v>
      </c>
      <c r="DE460" s="41">
        <v>0</v>
      </c>
      <c r="DF460" s="41">
        <v>0</v>
      </c>
    </row>
    <row r="461" spans="1:110" s="17" customFormat="1" ht="12" hidden="1" outlineLevel="2">
      <c r="A461" s="1" t="s">
        <v>97</v>
      </c>
      <c r="B461" s="17" t="s">
        <v>321</v>
      </c>
      <c r="C461" s="62">
        <v>1734</v>
      </c>
      <c r="D461" s="62">
        <v>1796</v>
      </c>
      <c r="E461" s="62">
        <v>1864.9999999999998</v>
      </c>
      <c r="F461" s="62">
        <v>1890.0000000000002</v>
      </c>
      <c r="G461" s="62">
        <v>2001</v>
      </c>
      <c r="H461" s="62">
        <v>2178</v>
      </c>
      <c r="I461" s="62">
        <v>2336.0000000000009</v>
      </c>
      <c r="J461" s="62">
        <v>2420.0000000000005</v>
      </c>
      <c r="K461" s="62">
        <v>2545.9999999999995</v>
      </c>
      <c r="L461" s="62">
        <v>2671.9999999999995</v>
      </c>
      <c r="M461" s="62">
        <v>2812</v>
      </c>
      <c r="N461" s="62">
        <v>2994.9999999999995</v>
      </c>
      <c r="O461" s="62">
        <v>3074</v>
      </c>
      <c r="P461" s="62">
        <v>3325.0000000000005</v>
      </c>
      <c r="Q461" s="62">
        <v>3564.0000000000005</v>
      </c>
      <c r="R461" s="62">
        <v>4095</v>
      </c>
      <c r="S461" s="62">
        <v>4204</v>
      </c>
      <c r="T461" s="62">
        <v>4318</v>
      </c>
      <c r="U461" s="62">
        <v>4493</v>
      </c>
      <c r="V461" s="62">
        <v>4482</v>
      </c>
      <c r="W461" s="62">
        <v>4380</v>
      </c>
      <c r="X461" s="62">
        <v>4587</v>
      </c>
      <c r="Y461" s="62">
        <v>4742</v>
      </c>
      <c r="Z461" s="62">
        <v>5048</v>
      </c>
      <c r="AA461" s="62">
        <v>5086</v>
      </c>
      <c r="AB461" s="62">
        <v>5382</v>
      </c>
      <c r="AC461" s="62">
        <v>5436</v>
      </c>
      <c r="AD461" s="62">
        <v>5592</v>
      </c>
      <c r="AE461" s="62">
        <v>5567</v>
      </c>
      <c r="AF461" s="62">
        <v>4837</v>
      </c>
      <c r="AG461" s="62">
        <v>5318</v>
      </c>
      <c r="AH461" s="62">
        <v>5489</v>
      </c>
      <c r="AI461" s="62">
        <v>5360</v>
      </c>
      <c r="AJ461" s="62">
        <v>5397</v>
      </c>
      <c r="AK461" s="62">
        <v>4569</v>
      </c>
      <c r="AL461" s="62">
        <v>5381</v>
      </c>
      <c r="AM461" s="62">
        <v>4577</v>
      </c>
      <c r="AN461" s="62">
        <v>3974</v>
      </c>
      <c r="AO461" s="62">
        <v>4395</v>
      </c>
      <c r="AP461" s="62">
        <v>3941</v>
      </c>
      <c r="AQ461" s="62">
        <v>4455</v>
      </c>
      <c r="AR461" s="62">
        <v>4157</v>
      </c>
      <c r="AS461" s="62">
        <v>4811</v>
      </c>
      <c r="AT461" s="62">
        <v>5543</v>
      </c>
      <c r="AU461" s="62">
        <v>5223</v>
      </c>
      <c r="AV461" s="220">
        <v>5132</v>
      </c>
      <c r="AW461" s="62">
        <v>4990.9964748552247</v>
      </c>
      <c r="AX461" s="62">
        <v>5474.8249492640298</v>
      </c>
      <c r="AY461" s="62">
        <v>5450.7055468368826</v>
      </c>
      <c r="AZ461" s="62">
        <v>5582.0060200314574</v>
      </c>
      <c r="BA461" s="62">
        <v>5452.0196608744536</v>
      </c>
      <c r="BB461" s="62">
        <v>5701.3986654027985</v>
      </c>
      <c r="BC461" s="62">
        <v>5529.5373402824616</v>
      </c>
      <c r="BD461" s="62">
        <v>5917.0594495026835</v>
      </c>
      <c r="BE461" s="62">
        <v>5784.1507560252194</v>
      </c>
      <c r="BF461" s="62">
        <v>6209.3976256061032</v>
      </c>
      <c r="BG461" s="62">
        <v>6106.107901947149</v>
      </c>
      <c r="BH461" s="62">
        <v>6569.9815665408969</v>
      </c>
      <c r="BI461" s="62">
        <v>6495.4469838670339</v>
      </c>
      <c r="BJ461" s="62">
        <v>6905.3084325830605</v>
      </c>
      <c r="BK461" s="62">
        <v>6812.1657192206321</v>
      </c>
      <c r="BL461" s="62">
        <v>7251.2631152608283</v>
      </c>
      <c r="BM461" s="62">
        <v>7134.0305548777351</v>
      </c>
      <c r="BN461" s="62">
        <v>7546.6232945096117</v>
      </c>
      <c r="BO461" s="62">
        <v>7352.1655042450839</v>
      </c>
      <c r="BP461" s="62"/>
      <c r="BQ461" s="62">
        <v>1217.5</v>
      </c>
      <c r="BR461" s="62">
        <v>1294</v>
      </c>
      <c r="BS461" s="62">
        <v>1586</v>
      </c>
      <c r="BT461" s="62">
        <v>1722</v>
      </c>
      <c r="BU461" s="62">
        <v>1769</v>
      </c>
      <c r="BV461" s="62">
        <v>2045</v>
      </c>
      <c r="BW461" s="62">
        <v>2247</v>
      </c>
      <c r="BX461" s="62">
        <v>2732</v>
      </c>
      <c r="BY461" s="62">
        <v>3082</v>
      </c>
      <c r="BZ461" s="62">
        <v>3331</v>
      </c>
      <c r="CA461" s="62">
        <v>3661</v>
      </c>
      <c r="CB461" s="62">
        <v>3891.0000000000005</v>
      </c>
      <c r="CC461" s="62">
        <v>4514</v>
      </c>
      <c r="CD461" s="62">
        <v>4965.9999999999991</v>
      </c>
      <c r="CE461" s="62">
        <v>5484</v>
      </c>
      <c r="CF461" s="62">
        <v>6068.9999999999991</v>
      </c>
      <c r="CG461" s="62">
        <v>6888.9999999999991</v>
      </c>
      <c r="CH461" s="62">
        <v>8299</v>
      </c>
      <c r="CI461" s="62">
        <v>8811</v>
      </c>
      <c r="CJ461" s="62">
        <v>8862</v>
      </c>
      <c r="CK461" s="62">
        <v>9329</v>
      </c>
      <c r="CL461" s="62">
        <v>10134</v>
      </c>
      <c r="CM461" s="62">
        <v>10818</v>
      </c>
      <c r="CN461" s="62">
        <v>11159</v>
      </c>
      <c r="CO461" s="62">
        <v>10155</v>
      </c>
      <c r="CP461" s="62">
        <v>10849</v>
      </c>
      <c r="CQ461" s="62">
        <v>9966</v>
      </c>
      <c r="CR461" s="62">
        <v>9958</v>
      </c>
      <c r="CS461" s="62">
        <v>8369</v>
      </c>
      <c r="CT461" s="62">
        <v>8396</v>
      </c>
      <c r="CU461" s="62">
        <v>8968</v>
      </c>
      <c r="CV461" s="220">
        <v>10766</v>
      </c>
      <c r="CW461" s="62">
        <v>10122.996474855225</v>
      </c>
      <c r="CX461" s="62">
        <v>10925.530496100913</v>
      </c>
      <c r="CY461" s="62">
        <v>11034.025680905914</v>
      </c>
      <c r="CZ461" s="62">
        <v>11230.936005685262</v>
      </c>
      <c r="DA461" s="62">
        <v>11701.210205527903</v>
      </c>
      <c r="DB461" s="62">
        <v>12315.505527553256</v>
      </c>
      <c r="DC461" s="62">
        <v>13065.428550407931</v>
      </c>
      <c r="DD461" s="62">
        <v>13717.47415180369</v>
      </c>
      <c r="DE461" s="62">
        <v>14385.293670138562</v>
      </c>
      <c r="DF461" s="62">
        <v>14898.788798754696</v>
      </c>
    </row>
    <row r="462" spans="1:110" ht="12" hidden="1" outlineLevel="2">
      <c r="A462" s="1" t="s">
        <v>98</v>
      </c>
      <c r="B462" s="15" t="s">
        <v>529</v>
      </c>
      <c r="C462" s="41">
        <v>0</v>
      </c>
      <c r="D462" s="41">
        <v>248</v>
      </c>
      <c r="E462" s="41">
        <v>174</v>
      </c>
      <c r="F462" s="41">
        <v>0</v>
      </c>
      <c r="G462" s="41">
        <v>0</v>
      </c>
      <c r="H462" s="41">
        <v>112</v>
      </c>
      <c r="I462" s="41">
        <v>0</v>
      </c>
      <c r="J462" s="41">
        <v>10</v>
      </c>
      <c r="K462" s="41">
        <v>2</v>
      </c>
      <c r="L462" s="41">
        <v>106</v>
      </c>
      <c r="M462" s="41">
        <v>31</v>
      </c>
      <c r="N462" s="41">
        <v>232</v>
      </c>
      <c r="O462" s="41">
        <v>86</v>
      </c>
      <c r="P462" s="41">
        <v>112</v>
      </c>
      <c r="Q462" s="41">
        <v>-538</v>
      </c>
      <c r="R462" s="41">
        <v>-618</v>
      </c>
      <c r="S462" s="41">
        <v>-296</v>
      </c>
      <c r="T462" s="41">
        <v>-483</v>
      </c>
      <c r="U462" s="41">
        <v>60</v>
      </c>
      <c r="V462" s="41">
        <v>97</v>
      </c>
      <c r="W462" s="41">
        <v>-50</v>
      </c>
      <c r="X462" s="41">
        <v>97</v>
      </c>
      <c r="Y462" s="41">
        <v>-234</v>
      </c>
      <c r="Z462" s="41">
        <v>-156</v>
      </c>
      <c r="AA462" s="41">
        <v>224</v>
      </c>
      <c r="AB462" s="41">
        <v>-134</v>
      </c>
      <c r="AC462" s="41">
        <v>610</v>
      </c>
      <c r="AD462" s="41">
        <v>45</v>
      </c>
      <c r="AE462" s="41">
        <v>508</v>
      </c>
      <c r="AF462" s="41">
        <v>-51</v>
      </c>
      <c r="AG462" s="41">
        <v>3</v>
      </c>
      <c r="AH462" s="41">
        <v>-224</v>
      </c>
      <c r="AI462" s="41">
        <v>200</v>
      </c>
      <c r="AJ462" s="41">
        <v>-105</v>
      </c>
      <c r="AK462" s="41">
        <v>259</v>
      </c>
      <c r="AL462" s="41">
        <v>-532</v>
      </c>
      <c r="AM462" s="41">
        <v>8</v>
      </c>
      <c r="AN462" s="41">
        <v>80</v>
      </c>
      <c r="AO462" s="41">
        <v>-446</v>
      </c>
      <c r="AP462" s="41">
        <v>-67</v>
      </c>
      <c r="AQ462" s="41">
        <v>29</v>
      </c>
      <c r="AR462" s="41">
        <v>594</v>
      </c>
      <c r="AS462" s="41">
        <v>285</v>
      </c>
      <c r="AT462" s="41">
        <v>-389</v>
      </c>
      <c r="AU462" s="41">
        <v>-45</v>
      </c>
      <c r="AV462" s="211">
        <v>-202</v>
      </c>
      <c r="AW462" s="41">
        <v>0</v>
      </c>
      <c r="AX462" s="41">
        <v>0</v>
      </c>
      <c r="AY462" s="41">
        <v>0</v>
      </c>
      <c r="AZ462" s="41">
        <v>0</v>
      </c>
      <c r="BA462" s="41">
        <v>0</v>
      </c>
      <c r="BB462" s="41">
        <v>0</v>
      </c>
      <c r="BC462" s="41">
        <v>0</v>
      </c>
      <c r="BD462" s="41">
        <v>0</v>
      </c>
      <c r="BE462" s="41">
        <v>0</v>
      </c>
      <c r="BF462" s="41">
        <v>0</v>
      </c>
      <c r="BG462" s="41">
        <v>0</v>
      </c>
      <c r="BH462" s="41">
        <v>0</v>
      </c>
      <c r="BI462" s="41">
        <v>0</v>
      </c>
      <c r="BJ462" s="41">
        <v>0</v>
      </c>
      <c r="BK462" s="41">
        <v>0</v>
      </c>
      <c r="BL462" s="41">
        <v>0</v>
      </c>
      <c r="BM462" s="41">
        <v>0</v>
      </c>
      <c r="BN462" s="41">
        <v>0</v>
      </c>
      <c r="BO462" s="41">
        <v>0</v>
      </c>
      <c r="BP462" s="41"/>
      <c r="BQ462" s="41">
        <v>11.699999999999818</v>
      </c>
      <c r="BR462" s="41">
        <v>-172.5</v>
      </c>
      <c r="BS462" s="41">
        <v>21</v>
      </c>
      <c r="BT462" s="41">
        <v>0</v>
      </c>
      <c r="BU462" s="41">
        <v>0</v>
      </c>
      <c r="BV462" s="41">
        <v>-182</v>
      </c>
      <c r="BW462" s="41">
        <v>-102</v>
      </c>
      <c r="BX462" s="41">
        <v>0</v>
      </c>
      <c r="BY462" s="41">
        <v>209</v>
      </c>
      <c r="BZ462" s="41">
        <v>-17</v>
      </c>
      <c r="CA462" s="41">
        <v>422</v>
      </c>
      <c r="CB462" s="41">
        <v>0</v>
      </c>
      <c r="CC462" s="41">
        <v>112</v>
      </c>
      <c r="CD462" s="41">
        <v>12</v>
      </c>
      <c r="CE462" s="41">
        <v>137</v>
      </c>
      <c r="CF462" s="41">
        <v>318</v>
      </c>
      <c r="CG462" s="41">
        <v>-426</v>
      </c>
      <c r="CH462" s="41">
        <v>-914</v>
      </c>
      <c r="CI462" s="41">
        <v>-423</v>
      </c>
      <c r="CJ462" s="41">
        <v>47</v>
      </c>
      <c r="CK462" s="41">
        <v>-137</v>
      </c>
      <c r="CL462" s="41">
        <v>68</v>
      </c>
      <c r="CM462" s="41">
        <v>476</v>
      </c>
      <c r="CN462" s="41">
        <v>553</v>
      </c>
      <c r="CO462" s="41">
        <v>-48</v>
      </c>
      <c r="CP462" s="41">
        <v>-24</v>
      </c>
      <c r="CQ462" s="41">
        <v>154</v>
      </c>
      <c r="CR462" s="41">
        <v>-524</v>
      </c>
      <c r="CS462" s="41">
        <v>-366</v>
      </c>
      <c r="CT462" s="41">
        <v>-38</v>
      </c>
      <c r="CU462" s="41">
        <v>879</v>
      </c>
      <c r="CV462" s="211">
        <v>-434</v>
      </c>
      <c r="CW462" s="41">
        <v>-202</v>
      </c>
      <c r="CX462" s="41">
        <v>0</v>
      </c>
      <c r="CY462" s="41">
        <v>0</v>
      </c>
      <c r="CZ462" s="41">
        <v>0</v>
      </c>
      <c r="DA462" s="41">
        <v>0</v>
      </c>
      <c r="DB462" s="41">
        <v>0</v>
      </c>
      <c r="DC462" s="41">
        <v>0</v>
      </c>
      <c r="DD462" s="41">
        <v>0</v>
      </c>
      <c r="DE462" s="41">
        <v>0</v>
      </c>
      <c r="DF462" s="41">
        <v>0</v>
      </c>
    </row>
    <row r="463" spans="1:110" s="17" customFormat="1" ht="12" hidden="1" outlineLevel="2">
      <c r="A463" s="1" t="s">
        <v>99</v>
      </c>
      <c r="B463" s="17" t="s">
        <v>478</v>
      </c>
      <c r="C463" s="62">
        <v>1734</v>
      </c>
      <c r="D463" s="62">
        <v>2044</v>
      </c>
      <c r="E463" s="62">
        <v>2038.9999999999998</v>
      </c>
      <c r="F463" s="62">
        <v>1890.0000000000002</v>
      </c>
      <c r="G463" s="62">
        <v>2001</v>
      </c>
      <c r="H463" s="62">
        <v>2290</v>
      </c>
      <c r="I463" s="62">
        <v>2336.0000000000009</v>
      </c>
      <c r="J463" s="62">
        <v>2430.0000000000005</v>
      </c>
      <c r="K463" s="62">
        <v>2547.9999999999995</v>
      </c>
      <c r="L463" s="62">
        <v>2777.9999999999995</v>
      </c>
      <c r="M463" s="62">
        <v>2843</v>
      </c>
      <c r="N463" s="62">
        <v>3226.9999999999995</v>
      </c>
      <c r="O463" s="62">
        <v>3160</v>
      </c>
      <c r="P463" s="62">
        <v>3437.0000000000005</v>
      </c>
      <c r="Q463" s="62">
        <v>3026.0000000000005</v>
      </c>
      <c r="R463" s="62">
        <v>3477</v>
      </c>
      <c r="S463" s="62">
        <v>3908</v>
      </c>
      <c r="T463" s="62">
        <v>3835</v>
      </c>
      <c r="U463" s="62">
        <v>4553</v>
      </c>
      <c r="V463" s="62">
        <v>4579</v>
      </c>
      <c r="W463" s="62">
        <v>4330</v>
      </c>
      <c r="X463" s="62">
        <v>4684</v>
      </c>
      <c r="Y463" s="62">
        <v>4508</v>
      </c>
      <c r="Z463" s="62">
        <v>4892</v>
      </c>
      <c r="AA463" s="62">
        <v>5310</v>
      </c>
      <c r="AB463" s="62">
        <v>5248</v>
      </c>
      <c r="AC463" s="62">
        <v>6046</v>
      </c>
      <c r="AD463" s="62">
        <v>5637</v>
      </c>
      <c r="AE463" s="62">
        <v>6075</v>
      </c>
      <c r="AF463" s="62">
        <v>4786</v>
      </c>
      <c r="AG463" s="62">
        <v>5321</v>
      </c>
      <c r="AH463" s="62">
        <v>5265</v>
      </c>
      <c r="AI463" s="62">
        <v>5560</v>
      </c>
      <c r="AJ463" s="62">
        <v>5292</v>
      </c>
      <c r="AK463" s="62">
        <v>4828</v>
      </c>
      <c r="AL463" s="62">
        <v>4849</v>
      </c>
      <c r="AM463" s="62">
        <v>4585</v>
      </c>
      <c r="AN463" s="62">
        <v>4054</v>
      </c>
      <c r="AO463" s="62">
        <v>3949</v>
      </c>
      <c r="AP463" s="62">
        <v>3874</v>
      </c>
      <c r="AQ463" s="62">
        <v>4484</v>
      </c>
      <c r="AR463" s="62">
        <v>4751</v>
      </c>
      <c r="AS463" s="62">
        <v>5096</v>
      </c>
      <c r="AT463" s="62">
        <v>5154</v>
      </c>
      <c r="AU463" s="62">
        <v>5178</v>
      </c>
      <c r="AV463" s="220">
        <v>4930</v>
      </c>
      <c r="AW463" s="62">
        <v>4990.9964748552247</v>
      </c>
      <c r="AX463" s="62">
        <v>5474.8249492640298</v>
      </c>
      <c r="AY463" s="62">
        <v>5450.7055468368826</v>
      </c>
      <c r="AZ463" s="62">
        <v>5582.0060200314574</v>
      </c>
      <c r="BA463" s="62">
        <v>5452.0196608744536</v>
      </c>
      <c r="BB463" s="62">
        <v>5701.3986654027985</v>
      </c>
      <c r="BC463" s="62">
        <v>5529.5373402824616</v>
      </c>
      <c r="BD463" s="62">
        <v>5917.0594495026835</v>
      </c>
      <c r="BE463" s="62">
        <v>5784.1507560252194</v>
      </c>
      <c r="BF463" s="62">
        <v>6209.3976256061032</v>
      </c>
      <c r="BG463" s="62">
        <v>6106.107901947149</v>
      </c>
      <c r="BH463" s="62">
        <v>6569.9815665408969</v>
      </c>
      <c r="BI463" s="62">
        <v>6495.4469838670339</v>
      </c>
      <c r="BJ463" s="62">
        <v>6905.3084325830605</v>
      </c>
      <c r="BK463" s="62">
        <v>6812.1657192206321</v>
      </c>
      <c r="BL463" s="62">
        <v>7251.2631152608283</v>
      </c>
      <c r="BM463" s="62">
        <v>7134.0305548777351</v>
      </c>
      <c r="BN463" s="62">
        <v>7546.6232945096117</v>
      </c>
      <c r="BO463" s="62">
        <v>7352.1655042450839</v>
      </c>
      <c r="BP463" s="62"/>
      <c r="BQ463" s="62">
        <v>1229.1999999999998</v>
      </c>
      <c r="BR463" s="62">
        <v>1121.5</v>
      </c>
      <c r="BS463" s="62">
        <v>1607</v>
      </c>
      <c r="BT463" s="62">
        <v>1722</v>
      </c>
      <c r="BU463" s="62">
        <v>1769</v>
      </c>
      <c r="BV463" s="62">
        <v>1863</v>
      </c>
      <c r="BW463" s="62">
        <v>2145</v>
      </c>
      <c r="BX463" s="62">
        <v>2732</v>
      </c>
      <c r="BY463" s="62">
        <v>3291</v>
      </c>
      <c r="BZ463" s="62">
        <v>3314</v>
      </c>
      <c r="CA463" s="62">
        <v>4083</v>
      </c>
      <c r="CB463" s="62">
        <v>3891.0000000000005</v>
      </c>
      <c r="CC463" s="62">
        <v>4626</v>
      </c>
      <c r="CD463" s="62">
        <v>4977.9999999999991</v>
      </c>
      <c r="CE463" s="62">
        <v>5621</v>
      </c>
      <c r="CF463" s="62">
        <v>6386.9999999999991</v>
      </c>
      <c r="CG463" s="62">
        <v>6462.9999999999991</v>
      </c>
      <c r="CH463" s="62">
        <v>7385</v>
      </c>
      <c r="CI463" s="62">
        <v>8388</v>
      </c>
      <c r="CJ463" s="62">
        <v>8909</v>
      </c>
      <c r="CK463" s="62">
        <v>9192</v>
      </c>
      <c r="CL463" s="62">
        <v>10202</v>
      </c>
      <c r="CM463" s="62">
        <v>11294</v>
      </c>
      <c r="CN463" s="62">
        <v>11712</v>
      </c>
      <c r="CO463" s="62">
        <v>10107</v>
      </c>
      <c r="CP463" s="62">
        <v>10825</v>
      </c>
      <c r="CQ463" s="62">
        <v>10120</v>
      </c>
      <c r="CR463" s="62">
        <v>9434</v>
      </c>
      <c r="CS463" s="62">
        <v>8003</v>
      </c>
      <c r="CT463" s="62">
        <v>8358</v>
      </c>
      <c r="CU463" s="62">
        <v>9847</v>
      </c>
      <c r="CV463" s="220">
        <v>10332</v>
      </c>
      <c r="CW463" s="62">
        <v>9920.9964748552247</v>
      </c>
      <c r="CX463" s="62">
        <v>10925.530496100913</v>
      </c>
      <c r="CY463" s="62">
        <v>11034.025680905914</v>
      </c>
      <c r="CZ463" s="62">
        <v>11230.936005685262</v>
      </c>
      <c r="DA463" s="62">
        <v>11701.210205527903</v>
      </c>
      <c r="DB463" s="62">
        <v>12315.505527553256</v>
      </c>
      <c r="DC463" s="62">
        <v>13065.428550407931</v>
      </c>
      <c r="DD463" s="62">
        <v>13717.47415180369</v>
      </c>
      <c r="DE463" s="62">
        <v>14385.293670138562</v>
      </c>
      <c r="DF463" s="62">
        <v>14898.788798754696</v>
      </c>
    </row>
    <row r="464" spans="1:110" ht="12" collapsed="1">
      <c r="C464" s="41"/>
      <c r="D464" s="41"/>
      <c r="E464" s="41"/>
      <c r="F464" s="41"/>
      <c r="G464" s="41"/>
      <c r="H464" s="41"/>
      <c r="I464" s="41"/>
      <c r="J464" s="41"/>
      <c r="K464" s="41"/>
      <c r="L464" s="41"/>
      <c r="M464" s="41"/>
      <c r="N464" s="41"/>
      <c r="O464" s="41"/>
      <c r="P464" s="41"/>
      <c r="Q464" s="41"/>
      <c r="R464" s="41"/>
      <c r="S464" s="41"/>
      <c r="T464" s="41"/>
      <c r="U464" s="41"/>
      <c r="V464" s="41"/>
      <c r="W464" s="41"/>
      <c r="X464" s="41"/>
      <c r="Y464" s="41"/>
      <c r="Z464" s="41"/>
      <c r="AA464" s="41"/>
      <c r="AB464" s="41"/>
      <c r="AC464" s="41"/>
      <c r="AD464" s="41"/>
      <c r="AE464" s="41"/>
      <c r="AF464" s="41"/>
      <c r="AG464" s="41"/>
      <c r="AH464" s="41"/>
      <c r="AI464" s="41"/>
      <c r="AJ464" s="41"/>
      <c r="AK464" s="41"/>
      <c r="AL464" s="41"/>
      <c r="AM464" s="41"/>
      <c r="AN464" s="41"/>
      <c r="AO464" s="41"/>
      <c r="AP464" s="41"/>
      <c r="AQ464" s="41"/>
      <c r="AR464" s="41"/>
      <c r="AS464" s="41"/>
      <c r="AT464" s="41"/>
      <c r="AU464" s="41"/>
      <c r="AV464" s="211"/>
      <c r="AW464" s="41"/>
      <c r="AX464" s="41"/>
      <c r="AY464" s="41"/>
      <c r="AZ464" s="41"/>
      <c r="BA464" s="41"/>
      <c r="BB464" s="41"/>
      <c r="BC464" s="41"/>
      <c r="BD464" s="41"/>
      <c r="BE464" s="41"/>
      <c r="BF464" s="41"/>
      <c r="BG464" s="41"/>
      <c r="BH464" s="41"/>
      <c r="BI464" s="41"/>
      <c r="BJ464" s="41"/>
      <c r="BK464" s="41"/>
      <c r="BL464" s="41"/>
      <c r="BM464" s="41"/>
      <c r="BN464" s="41"/>
      <c r="BO464" s="41"/>
      <c r="BP464" s="41"/>
      <c r="BQ464" s="41"/>
      <c r="BR464" s="41"/>
      <c r="BS464" s="41"/>
      <c r="BT464" s="41"/>
      <c r="BU464" s="41"/>
      <c r="BV464" s="41"/>
      <c r="BW464" s="41"/>
      <c r="BX464" s="41"/>
      <c r="BY464" s="41"/>
      <c r="BZ464" s="41"/>
      <c r="CA464" s="41"/>
      <c r="CB464" s="41"/>
      <c r="CC464" s="41"/>
      <c r="CD464" s="41"/>
      <c r="CE464" s="41"/>
      <c r="CF464" s="41"/>
      <c r="CG464" s="41"/>
      <c r="CH464" s="41"/>
      <c r="CI464" s="41"/>
      <c r="CJ464" s="41"/>
      <c r="CK464" s="41"/>
      <c r="CL464" s="41"/>
      <c r="CM464" s="41"/>
      <c r="CN464" s="32"/>
      <c r="CO464" s="41"/>
      <c r="CP464" s="41"/>
      <c r="CQ464" s="41"/>
      <c r="CR464" s="41"/>
      <c r="CS464" s="41"/>
      <c r="CT464" s="41"/>
      <c r="CU464" s="41"/>
      <c r="CV464" s="211"/>
      <c r="CW464" s="41"/>
      <c r="CX464" s="41"/>
      <c r="CY464" s="41"/>
      <c r="CZ464" s="41"/>
      <c r="DA464" s="41"/>
      <c r="DB464" s="41"/>
      <c r="DC464" s="41"/>
      <c r="DD464" s="41"/>
      <c r="DE464" s="41"/>
      <c r="DF464" s="41"/>
    </row>
    <row r="465" spans="1:110" s="26" customFormat="1" ht="12" collapsed="1">
      <c r="A465" s="1" t="s">
        <v>682</v>
      </c>
      <c r="B465" s="2" t="s">
        <v>479</v>
      </c>
      <c r="C465" s="60">
        <v>-290</v>
      </c>
      <c r="D465" s="60">
        <v>-301</v>
      </c>
      <c r="E465" s="60">
        <v>-309</v>
      </c>
      <c r="F465" s="60">
        <v>-303</v>
      </c>
      <c r="G465" s="60">
        <v>-311</v>
      </c>
      <c r="H465" s="60">
        <v>-313</v>
      </c>
      <c r="I465" s="60">
        <v>-319</v>
      </c>
      <c r="J465" s="60">
        <v>-240</v>
      </c>
      <c r="K465" s="60">
        <v>-325</v>
      </c>
      <c r="L465" s="60">
        <v>-224</v>
      </c>
      <c r="M465" s="60">
        <v>-183</v>
      </c>
      <c r="N465" s="60">
        <v>-240</v>
      </c>
      <c r="O465" s="60">
        <v>-282</v>
      </c>
      <c r="P465" s="60">
        <v>-726</v>
      </c>
      <c r="Q465" s="60">
        <v>-1378</v>
      </c>
      <c r="R465" s="60">
        <v>-1465</v>
      </c>
      <c r="S465" s="60">
        <v>-1622</v>
      </c>
      <c r="T465" s="60">
        <v>-1099</v>
      </c>
      <c r="U465" s="60">
        <v>-722</v>
      </c>
      <c r="V465" s="60">
        <v>-660</v>
      </c>
      <c r="W465" s="60">
        <v>-560</v>
      </c>
      <c r="X465" s="60">
        <v>-570</v>
      </c>
      <c r="Y465" s="60">
        <v>-688</v>
      </c>
      <c r="Z465" s="60">
        <v>-599</v>
      </c>
      <c r="AA465" s="60">
        <v>-598</v>
      </c>
      <c r="AB465" s="60">
        <v>-528</v>
      </c>
      <c r="AC465" s="60">
        <v>-461</v>
      </c>
      <c r="AD465" s="60">
        <v>-510</v>
      </c>
      <c r="AE465" s="60">
        <v>-695</v>
      </c>
      <c r="AF465" s="60">
        <v>-918</v>
      </c>
      <c r="AG465" s="60">
        <v>-1038</v>
      </c>
      <c r="AH465" s="60">
        <v>-720</v>
      </c>
      <c r="AI465" s="60">
        <v>-479</v>
      </c>
      <c r="AJ465" s="60">
        <v>-408</v>
      </c>
      <c r="AK465" s="60">
        <v>-280</v>
      </c>
      <c r="AL465" s="60">
        <v>-393</v>
      </c>
      <c r="AM465" s="60">
        <v>-402</v>
      </c>
      <c r="AN465" s="60">
        <v>-1674</v>
      </c>
      <c r="AO465" s="60">
        <v>-1064</v>
      </c>
      <c r="AP465" s="60">
        <v>491</v>
      </c>
      <c r="AQ465" s="60">
        <v>76</v>
      </c>
      <c r="AR465" s="60">
        <v>284</v>
      </c>
      <c r="AS465" s="60">
        <v>-52</v>
      </c>
      <c r="AT465" s="60">
        <v>-133</v>
      </c>
      <c r="AU465" s="60">
        <v>-112</v>
      </c>
      <c r="AV465" s="219">
        <v>-70</v>
      </c>
      <c r="AW465" s="60">
        <v>-230.21124296838011</v>
      </c>
      <c r="AX465" s="60">
        <v>-627.28264559140564</v>
      </c>
      <c r="AY465" s="60">
        <v>-646.55201339071073</v>
      </c>
      <c r="AZ465" s="60">
        <v>-657.19032765031852</v>
      </c>
      <c r="BA465" s="60">
        <v>-671.4448777150053</v>
      </c>
      <c r="BB465" s="60">
        <v>-672.51954185663612</v>
      </c>
      <c r="BC465" s="60">
        <v>-679.34977811451722</v>
      </c>
      <c r="BD465" s="60">
        <v>-692.33321045330035</v>
      </c>
      <c r="BE465" s="60">
        <v>-707.29483042217112</v>
      </c>
      <c r="BF465" s="60">
        <v>-721.32701551122182</v>
      </c>
      <c r="BG465" s="60">
        <v>-739.5337176079961</v>
      </c>
      <c r="BH465" s="60">
        <v>-1480.914255328687</v>
      </c>
      <c r="BI465" s="60">
        <v>-2292.8757173624867</v>
      </c>
      <c r="BJ465" s="60">
        <v>-2338.8019798776327</v>
      </c>
      <c r="BK465" s="60">
        <v>-1660.0651400363329</v>
      </c>
      <c r="BL465" s="60">
        <v>-1040.8991902007883</v>
      </c>
      <c r="BM465" s="60">
        <v>-1066.7020004352585</v>
      </c>
      <c r="BN465" s="60">
        <v>-1078.9209827084208</v>
      </c>
      <c r="BO465" s="60">
        <v>-1108.0676070441045</v>
      </c>
      <c r="BP465" s="60"/>
      <c r="BQ465" s="60">
        <v>-1937</v>
      </c>
      <c r="BR465" s="60">
        <v>-634</v>
      </c>
      <c r="BS465" s="60">
        <v>-388</v>
      </c>
      <c r="BT465" s="60">
        <v>-237</v>
      </c>
      <c r="BU465" s="60">
        <v>-175</v>
      </c>
      <c r="BV465" s="60">
        <v>-400</v>
      </c>
      <c r="BW465" s="60">
        <v>-487</v>
      </c>
      <c r="BX465" s="60">
        <v>-510</v>
      </c>
      <c r="BY465" s="60">
        <v>-502</v>
      </c>
      <c r="BZ465" s="60">
        <v>-531</v>
      </c>
      <c r="CA465" s="60">
        <v>-610</v>
      </c>
      <c r="CB465" s="60">
        <v>-614</v>
      </c>
      <c r="CC465" s="60">
        <v>-632</v>
      </c>
      <c r="CD465" s="60">
        <v>-565</v>
      </c>
      <c r="CE465" s="60">
        <v>-407</v>
      </c>
      <c r="CF465" s="60">
        <v>-522</v>
      </c>
      <c r="CG465" s="60">
        <v>-2104</v>
      </c>
      <c r="CH465" s="60">
        <v>-3087</v>
      </c>
      <c r="CI465" s="60">
        <v>-1821</v>
      </c>
      <c r="CJ465" s="60">
        <v>-1220</v>
      </c>
      <c r="CK465" s="60">
        <v>-1258</v>
      </c>
      <c r="CL465" s="60">
        <v>-1197</v>
      </c>
      <c r="CM465" s="60">
        <v>-989</v>
      </c>
      <c r="CN465" s="60">
        <v>-1205</v>
      </c>
      <c r="CO465" s="60">
        <v>-1956</v>
      </c>
      <c r="CP465" s="60">
        <v>-1199</v>
      </c>
      <c r="CQ465" s="60">
        <v>-688</v>
      </c>
      <c r="CR465" s="60">
        <v>-795</v>
      </c>
      <c r="CS465" s="60">
        <v>-2738</v>
      </c>
      <c r="CT465" s="60">
        <v>567</v>
      </c>
      <c r="CU465" s="60">
        <v>232</v>
      </c>
      <c r="CV465" s="219">
        <v>-245</v>
      </c>
      <c r="CW465" s="60">
        <v>-300.21124296838013</v>
      </c>
      <c r="CX465" s="60">
        <v>-1273.8346589821163</v>
      </c>
      <c r="CY465" s="60">
        <v>-1328.6352053653238</v>
      </c>
      <c r="CZ465" s="60">
        <v>-1351.8693199711533</v>
      </c>
      <c r="DA465" s="60">
        <v>-1399.6280408754715</v>
      </c>
      <c r="DB465" s="60">
        <v>-1460.8607331192179</v>
      </c>
      <c r="DC465" s="60">
        <v>-3773.7899726911737</v>
      </c>
      <c r="DD465" s="60">
        <v>-3998.8671199139653</v>
      </c>
      <c r="DE465" s="60">
        <v>-2107.6011906360468</v>
      </c>
      <c r="DF465" s="60">
        <v>-2186.9885897525255</v>
      </c>
    </row>
    <row r="466" spans="1:110" ht="12" outlineLevel="1">
      <c r="C466" s="41"/>
      <c r="D466" s="41"/>
      <c r="E466" s="41"/>
      <c r="F466" s="41"/>
      <c r="G466" s="41"/>
      <c r="H466" s="41"/>
      <c r="I466" s="41"/>
      <c r="J466" s="212"/>
      <c r="K466" s="41"/>
      <c r="L466" s="41"/>
      <c r="M466" s="41"/>
      <c r="N466" s="41"/>
      <c r="O466" s="41"/>
      <c r="P466" s="41"/>
      <c r="Q466" s="41"/>
      <c r="R466" s="41"/>
      <c r="S466" s="41"/>
      <c r="T466" s="41"/>
      <c r="U466" s="41"/>
      <c r="V466" s="41"/>
      <c r="W466" s="41"/>
      <c r="X466" s="41"/>
      <c r="Y466" s="41"/>
      <c r="Z466" s="41"/>
      <c r="AA466" s="43"/>
      <c r="AB466" s="41"/>
      <c r="AC466" s="41"/>
      <c r="AD466" s="41"/>
      <c r="AE466" s="41"/>
      <c r="AF466" s="41"/>
      <c r="AG466" s="41"/>
      <c r="AH466" s="41"/>
      <c r="AI466" s="41"/>
      <c r="AJ466" s="41"/>
      <c r="AV466" s="200"/>
      <c r="AW466" s="41"/>
      <c r="AX466" s="41"/>
      <c r="AY466" s="41"/>
      <c r="AZ466" s="41"/>
      <c r="BA466" s="41"/>
      <c r="BB466" s="41"/>
      <c r="BC466" s="41"/>
      <c r="BD466" s="41"/>
      <c r="BE466" s="41"/>
      <c r="BF466" s="41"/>
      <c r="BG466" s="41"/>
      <c r="BH466" s="41"/>
      <c r="BI466" s="41"/>
      <c r="BJ466" s="41"/>
      <c r="BK466" s="41"/>
      <c r="BL466" s="41"/>
      <c r="BM466" s="41"/>
      <c r="BN466" s="41"/>
      <c r="BO466" s="41"/>
      <c r="BP466" s="41"/>
      <c r="BQ466" s="41"/>
      <c r="BR466" s="41"/>
      <c r="BS466" s="41"/>
      <c r="BT466" s="41"/>
      <c r="BU466" s="41"/>
      <c r="BV466" s="41"/>
      <c r="BW466" s="41"/>
      <c r="BX466" s="41"/>
      <c r="BY466" s="41"/>
      <c r="BZ466" s="41"/>
      <c r="CA466" s="41"/>
      <c r="CB466" s="41"/>
      <c r="CC466" s="41"/>
      <c r="CD466" s="41"/>
      <c r="CE466" s="41"/>
      <c r="CF466" s="41"/>
      <c r="CG466" s="41"/>
      <c r="CH466" s="41"/>
      <c r="CI466" s="41"/>
      <c r="CJ466" s="41"/>
      <c r="CK466" s="41"/>
      <c r="CL466" s="41"/>
      <c r="CM466" s="41"/>
      <c r="CN466" s="41"/>
      <c r="CO466" s="41"/>
      <c r="CP466" s="41"/>
      <c r="CQ466" s="41"/>
      <c r="CR466" s="41"/>
      <c r="CS466" s="41"/>
      <c r="CT466" s="41"/>
      <c r="CU466" s="41"/>
      <c r="CV466" s="211"/>
      <c r="CW466" s="41"/>
      <c r="CX466" s="41"/>
      <c r="CY466" s="41"/>
      <c r="CZ466" s="15"/>
      <c r="DA466" s="15"/>
      <c r="DB466" s="15"/>
      <c r="DC466" s="15"/>
      <c r="DD466" s="15"/>
      <c r="DE466" s="15"/>
      <c r="DF466" s="15"/>
    </row>
    <row r="467" spans="1:110" ht="12" outlineLevel="1">
      <c r="A467" s="1" t="s">
        <v>683</v>
      </c>
      <c r="B467" s="15" t="s">
        <v>489</v>
      </c>
      <c r="C467" s="41">
        <v>-12.083566855717212</v>
      </c>
      <c r="D467" s="41">
        <v>-258.66168160586744</v>
      </c>
      <c r="E467" s="41">
        <v>-10.452474578106091</v>
      </c>
      <c r="F467" s="41">
        <v>-487.75978615216303</v>
      </c>
      <c r="G467" s="41">
        <v>137.49737675498989</v>
      </c>
      <c r="H467" s="41">
        <v>-739.82280707023631</v>
      </c>
      <c r="I467" s="41">
        <v>510.77384108182804</v>
      </c>
      <c r="J467" s="41">
        <v>-475.25821218701623</v>
      </c>
      <c r="K467" s="41">
        <v>407.44597789264128</v>
      </c>
      <c r="L467" s="41">
        <v>-182.93834524812877</v>
      </c>
      <c r="M467" s="41">
        <v>178.11186803428168</v>
      </c>
      <c r="N467" s="41">
        <v>-3.9285647730803865</v>
      </c>
      <c r="O467" s="41">
        <v>-6.8148893801259867</v>
      </c>
      <c r="P467" s="41">
        <v>-20.809682804674459</v>
      </c>
      <c r="Q467" s="40">
        <v>-24.190317195325541</v>
      </c>
      <c r="R467" s="40">
        <v>-14</v>
      </c>
      <c r="S467" s="40">
        <v>-32</v>
      </c>
      <c r="T467" s="40">
        <v>-52</v>
      </c>
      <c r="U467" s="40">
        <v>-65</v>
      </c>
      <c r="V467" s="40">
        <v>-40</v>
      </c>
      <c r="W467" s="40">
        <v>-52</v>
      </c>
      <c r="X467" s="40">
        <v>-47</v>
      </c>
      <c r="Y467" s="40">
        <v>-43</v>
      </c>
      <c r="Z467" s="40">
        <v>-32</v>
      </c>
      <c r="AA467" s="40">
        <v>-56</v>
      </c>
      <c r="AB467" s="40">
        <v>-29</v>
      </c>
      <c r="AC467" s="40">
        <v>-29</v>
      </c>
      <c r="AD467" s="40">
        <v>-25</v>
      </c>
      <c r="AE467" s="40">
        <v>-21</v>
      </c>
      <c r="AF467" s="40">
        <v>-20</v>
      </c>
      <c r="AG467" s="40">
        <v>-20</v>
      </c>
      <c r="AH467" s="40">
        <v>-23</v>
      </c>
      <c r="AI467" s="40">
        <v>-21</v>
      </c>
      <c r="AJ467" s="40">
        <v>-25</v>
      </c>
      <c r="AK467" s="40">
        <v>-44</v>
      </c>
      <c r="AL467" s="40">
        <v>-51</v>
      </c>
      <c r="AM467" s="40">
        <v>-68</v>
      </c>
      <c r="AN467" s="40">
        <v>-48</v>
      </c>
      <c r="AO467" s="40">
        <v>-34</v>
      </c>
      <c r="AP467" s="40">
        <v>-73</v>
      </c>
      <c r="AQ467" s="40">
        <v>-22</v>
      </c>
      <c r="AR467" s="40">
        <v>-21</v>
      </c>
      <c r="AS467" s="40">
        <v>-15</v>
      </c>
      <c r="AT467" s="40">
        <v>-12</v>
      </c>
      <c r="AU467" s="40">
        <v>-12</v>
      </c>
      <c r="AV467" s="429">
        <v>-10</v>
      </c>
      <c r="AW467" s="41">
        <v>-10.283029555539271</v>
      </c>
      <c r="AX467" s="41">
        <v>-63.000306355337166</v>
      </c>
      <c r="AY467" s="41">
        <v>-64.504786370718435</v>
      </c>
      <c r="AZ467" s="41">
        <v>-65.308242897593942</v>
      </c>
      <c r="BA467" s="41">
        <v>-66.473316735681124</v>
      </c>
      <c r="BB467" s="41">
        <v>-66.935975218891286</v>
      </c>
      <c r="BC467" s="41">
        <v>-68.275891959836784</v>
      </c>
      <c r="BD467" s="41">
        <v>-69.135977898338339</v>
      </c>
      <c r="BE467" s="41">
        <v>-70.201385787102737</v>
      </c>
      <c r="BF467" s="41">
        <v>-71.090571920842677</v>
      </c>
      <c r="BG467" s="41">
        <v>-72.588087947715664</v>
      </c>
      <c r="BH467" s="41">
        <v>-73.311950103494908</v>
      </c>
      <c r="BI467" s="41">
        <v>-74.861530056469647</v>
      </c>
      <c r="BJ467" s="41">
        <v>-75.667187404136129</v>
      </c>
      <c r="BK467" s="41">
        <v>-77.43540563534971</v>
      </c>
      <c r="BL467" s="41">
        <v>-85.802275590608716</v>
      </c>
      <c r="BM467" s="41">
        <v>-87.389278454296573</v>
      </c>
      <c r="BN467" s="41">
        <v>-88.388199592890402</v>
      </c>
      <c r="BO467" s="41">
        <v>-89.762587531615054</v>
      </c>
      <c r="BP467" s="41"/>
      <c r="BQ467" s="41">
        <v>-269.11415618397353</v>
      </c>
      <c r="BR467" s="41">
        <v>-350.26240939717314</v>
      </c>
      <c r="BS467" s="41">
        <v>-229.04896598840827</v>
      </c>
      <c r="BT467" s="41">
        <v>-67.81223429437496</v>
      </c>
      <c r="BU467" s="41">
        <v>-49.558816770964597</v>
      </c>
      <c r="BV467" s="41">
        <v>-14.149170451478</v>
      </c>
      <c r="BW467" s="41">
        <v>-27.849971527729181</v>
      </c>
      <c r="BX467" s="41">
        <v>-11.292859513393125</v>
      </c>
      <c r="BY467" s="41">
        <v>-36.331645929965873</v>
      </c>
      <c r="BZ467" s="41">
        <v>-7.8973099170014658</v>
      </c>
      <c r="CA467" s="41">
        <v>-12.156296589252658</v>
      </c>
      <c r="CB467" s="41">
        <v>-7.1135069017578596</v>
      </c>
      <c r="CC467" s="41">
        <v>-5.9876842889998141</v>
      </c>
      <c r="CD467" s="41">
        <v>-3.7093420519782816</v>
      </c>
      <c r="CE467" s="41">
        <v>-4.8264772138470864</v>
      </c>
      <c r="CF467" s="41">
        <v>-10.743454153206374</v>
      </c>
      <c r="CG467" s="41">
        <v>-45</v>
      </c>
      <c r="CH467" s="41">
        <v>-46</v>
      </c>
      <c r="CI467" s="41">
        <v>-117</v>
      </c>
      <c r="CJ467" s="41">
        <v>-92</v>
      </c>
      <c r="CK467" s="41">
        <v>-90</v>
      </c>
      <c r="CL467" s="41">
        <v>-88</v>
      </c>
      <c r="CM467" s="41">
        <v>-58</v>
      </c>
      <c r="CN467" s="41">
        <v>-46</v>
      </c>
      <c r="CO467" s="41">
        <v>-40</v>
      </c>
      <c r="CP467" s="41">
        <v>-44</v>
      </c>
      <c r="CQ467" s="41">
        <v>-69</v>
      </c>
      <c r="CR467" s="41">
        <v>-119</v>
      </c>
      <c r="CS467" s="41">
        <v>-82</v>
      </c>
      <c r="CT467" s="41">
        <v>-95</v>
      </c>
      <c r="CU467" s="41">
        <v>-36</v>
      </c>
      <c r="CV467" s="211">
        <v>-24</v>
      </c>
      <c r="CW467" s="41">
        <v>-20.283029555539272</v>
      </c>
      <c r="CX467" s="41">
        <v>-127.50509272605561</v>
      </c>
      <c r="CY467" s="41">
        <v>-131.78155963327507</v>
      </c>
      <c r="CZ467" s="41">
        <v>-135.21186717872808</v>
      </c>
      <c r="DA467" s="41">
        <v>-139.33736368544106</v>
      </c>
      <c r="DB467" s="41">
        <v>-143.67865986855833</v>
      </c>
      <c r="DC467" s="41">
        <v>-148.17348015996456</v>
      </c>
      <c r="DD467" s="41">
        <v>-153.10259303948584</v>
      </c>
      <c r="DE467" s="41">
        <v>-173.19155404490527</v>
      </c>
      <c r="DF467" s="41">
        <v>-178.15078712450546</v>
      </c>
    </row>
    <row r="468" spans="1:110" ht="12" outlineLevel="1">
      <c r="A468" s="1" t="s">
        <v>684</v>
      </c>
      <c r="B468" s="15" t="s">
        <v>491</v>
      </c>
      <c r="C468" s="41">
        <v>-386.2773731223092</v>
      </c>
      <c r="D468" s="41">
        <v>-18.697740865121105</v>
      </c>
      <c r="E468" s="41">
        <v>-397.26491812649977</v>
      </c>
      <c r="F468" s="41">
        <v>231.60292052516814</v>
      </c>
      <c r="G468" s="41">
        <v>-496.00404596069609</v>
      </c>
      <c r="H468" s="41">
        <v>428.51252127595558</v>
      </c>
      <c r="I468" s="41">
        <v>-869.88649904859108</v>
      </c>
      <c r="J468" s="41">
        <v>231.11619818475003</v>
      </c>
      <c r="K468" s="41">
        <v>-722.56839026571549</v>
      </c>
      <c r="L468" s="41">
        <v>75.294141880740426</v>
      </c>
      <c r="M468" s="41">
        <v>-252.53367922161002</v>
      </c>
      <c r="N468" s="41">
        <v>-85.698205002718069</v>
      </c>
      <c r="O468" s="41">
        <v>-191.63828694232376</v>
      </c>
      <c r="P468" s="41">
        <v>-59.346132442960453</v>
      </c>
      <c r="Q468" s="41">
        <v>-68.98720089037289</v>
      </c>
      <c r="R468" s="41">
        <v>-539</v>
      </c>
      <c r="S468" s="41">
        <v>-652</v>
      </c>
      <c r="T468" s="41">
        <v>-563.33333333333326</v>
      </c>
      <c r="U468" s="41">
        <v>-359.33333333333331</v>
      </c>
      <c r="V468" s="41">
        <v>-256.33333333333331</v>
      </c>
      <c r="W468" s="41">
        <v>-193.33333333333326</v>
      </c>
      <c r="X468" s="41">
        <v>-190.99999999999994</v>
      </c>
      <c r="Y468" s="41">
        <v>-353.33333333333331</v>
      </c>
      <c r="Z468" s="41">
        <v>-434.99999999999994</v>
      </c>
      <c r="AA468" s="41">
        <v>-271.33333333333326</v>
      </c>
      <c r="AB468" s="41">
        <v>-199</v>
      </c>
      <c r="AC468" s="41">
        <v>-392.66666666666669</v>
      </c>
      <c r="AD468" s="41">
        <v>-107.66666666666669</v>
      </c>
      <c r="AE468" s="41">
        <v>-204</v>
      </c>
      <c r="AF468" s="41">
        <v>-86</v>
      </c>
      <c r="AG468" s="41">
        <v>-457</v>
      </c>
      <c r="AH468" s="41">
        <v>-290</v>
      </c>
      <c r="AI468" s="41">
        <v>-192</v>
      </c>
      <c r="AJ468" s="41">
        <v>-90.666666666666686</v>
      </c>
      <c r="AK468" s="41">
        <v>-16.333333333333314</v>
      </c>
      <c r="AL468" s="41">
        <v>-27</v>
      </c>
      <c r="AM468" s="41">
        <v>-36.666666666666686</v>
      </c>
      <c r="AN468" s="41">
        <v>-41.666666666666686</v>
      </c>
      <c r="AO468" s="41">
        <v>-283.33333333333331</v>
      </c>
      <c r="AP468" s="41">
        <v>-21.333333333333343</v>
      </c>
      <c r="AQ468" s="41">
        <v>-18.333333333333343</v>
      </c>
      <c r="AR468" s="41">
        <v>31</v>
      </c>
      <c r="AS468" s="41">
        <v>32.666666666666671</v>
      </c>
      <c r="AT468" s="41">
        <v>-40.666666666666664</v>
      </c>
      <c r="AU468" s="41">
        <v>-91</v>
      </c>
      <c r="AV468" s="211">
        <v>-16</v>
      </c>
      <c r="AW468" s="41">
        <v>-14.136134181222113</v>
      </c>
      <c r="AX468" s="41">
        <v>-445.10531132898114</v>
      </c>
      <c r="AY468" s="41">
        <v>-453.36319849598362</v>
      </c>
      <c r="AZ468" s="41">
        <v>-453.81695323767491</v>
      </c>
      <c r="BA468" s="41">
        <v>-461.89705034722414</v>
      </c>
      <c r="BB468" s="41">
        <v>-466.93275192993036</v>
      </c>
      <c r="BC468" s="41">
        <v>-479.01438831916437</v>
      </c>
      <c r="BD468" s="41">
        <v>-488.272158506425</v>
      </c>
      <c r="BE468" s="41">
        <v>-499.10877914730685</v>
      </c>
      <c r="BF468" s="41">
        <v>-508.82478645171602</v>
      </c>
      <c r="BG468" s="41">
        <v>-523.05029110417274</v>
      </c>
      <c r="BH468" s="41">
        <v>-558.4434184251644</v>
      </c>
      <c r="BI468" s="41">
        <v>-1184.7266498486429</v>
      </c>
      <c r="BJ468" s="41">
        <v>-2040.804191581703</v>
      </c>
      <c r="BK468" s="41">
        <v>-2104.1564598774698</v>
      </c>
      <c r="BL468" s="41">
        <v>-753.82113772551668</v>
      </c>
      <c r="BM468" s="41">
        <v>-773.75654536159675</v>
      </c>
      <c r="BN468" s="41">
        <v>-785.62663130495434</v>
      </c>
      <c r="BO468" s="41">
        <v>-797.84269375876192</v>
      </c>
      <c r="BP468" s="41"/>
      <c r="BQ468" s="41">
        <v>-450.6626589916209</v>
      </c>
      <c r="BR468" s="41">
        <v>-993.401125435528</v>
      </c>
      <c r="BS468" s="41">
        <v>-1100.3739777726353</v>
      </c>
      <c r="BT468" s="41">
        <v>-365.45219208096546</v>
      </c>
      <c r="BU468" s="41">
        <v>-238.58484852987323</v>
      </c>
      <c r="BV468" s="41">
        <v>-121.17560117614099</v>
      </c>
      <c r="BW468" s="41">
        <v>-135.22110829271043</v>
      </c>
      <c r="BX468" s="41">
        <v>-319.17915121564437</v>
      </c>
      <c r="BY468" s="41">
        <v>-414.11013978193472</v>
      </c>
      <c r="BZ468" s="41">
        <v>-657.96220016648101</v>
      </c>
      <c r="CA468" s="41">
        <v>-608.33336574346265</v>
      </c>
      <c r="CB468" s="41">
        <v>-575.18179168929566</v>
      </c>
      <c r="CC468" s="41">
        <v>-616.65419871177278</v>
      </c>
      <c r="CD468" s="41">
        <v>-499.15345411233022</v>
      </c>
      <c r="CE468" s="41">
        <v>-177.23953734086959</v>
      </c>
      <c r="CF468" s="41">
        <v>-277.33649194504187</v>
      </c>
      <c r="CG468" s="41">
        <v>-128.33333333333334</v>
      </c>
      <c r="CH468" s="41">
        <v>-1191</v>
      </c>
      <c r="CI468" s="41">
        <v>-922.66666666666652</v>
      </c>
      <c r="CJ468" s="41">
        <v>-449.66666666666657</v>
      </c>
      <c r="CK468" s="41">
        <v>-544.33333333333326</v>
      </c>
      <c r="CL468" s="41">
        <v>-706.33333333333326</v>
      </c>
      <c r="CM468" s="41">
        <v>-591.66666666666674</v>
      </c>
      <c r="CN468" s="41">
        <v>-311.66666666666669</v>
      </c>
      <c r="CO468" s="41">
        <v>-543</v>
      </c>
      <c r="CP468" s="41">
        <v>-482</v>
      </c>
      <c r="CQ468" s="41">
        <v>-107</v>
      </c>
      <c r="CR468" s="41">
        <v>-63.666666666666686</v>
      </c>
      <c r="CS468" s="41">
        <v>-325</v>
      </c>
      <c r="CT468" s="41">
        <v>-39.666666666666686</v>
      </c>
      <c r="CU468" s="41">
        <v>63.666666666666671</v>
      </c>
      <c r="CV468" s="211">
        <v>-131.66666666666666</v>
      </c>
      <c r="CW468" s="41">
        <v>-30.136134181222111</v>
      </c>
      <c r="CX468" s="41">
        <v>-898.46850982496471</v>
      </c>
      <c r="CY468" s="41">
        <v>-915.71400358489905</v>
      </c>
      <c r="CZ468" s="41">
        <v>-945.94714024909467</v>
      </c>
      <c r="DA468" s="41">
        <v>-987.38093765373185</v>
      </c>
      <c r="DB468" s="41">
        <v>-1031.8750775558888</v>
      </c>
      <c r="DC468" s="41">
        <v>-1743.1700682738074</v>
      </c>
      <c r="DD468" s="41">
        <v>-4144.9606514591724</v>
      </c>
      <c r="DE468" s="41">
        <v>-1527.5776830871134</v>
      </c>
      <c r="DF468" s="41">
        <v>-1583.4693250637163</v>
      </c>
    </row>
    <row r="469" spans="1:110" ht="12" outlineLevel="1">
      <c r="A469" s="1" t="s">
        <v>685</v>
      </c>
      <c r="B469" s="15" t="s">
        <v>490</v>
      </c>
      <c r="C469" s="41">
        <v>-58.63906002197357</v>
      </c>
      <c r="D469" s="41">
        <v>-15.640577529011454</v>
      </c>
      <c r="E469" s="41">
        <v>3.7173927046058566</v>
      </c>
      <c r="F469" s="41">
        <v>-26.843134373005121</v>
      </c>
      <c r="G469" s="41">
        <v>1.5066692057062134</v>
      </c>
      <c r="H469" s="41">
        <v>-27.689714205719273</v>
      </c>
      <c r="I469" s="41">
        <v>18.112657966762931</v>
      </c>
      <c r="J469" s="41">
        <v>-16.857985997733795</v>
      </c>
      <c r="K469" s="41">
        <v>5.122412373074205</v>
      </c>
      <c r="L469" s="41">
        <v>-20.355796632611654</v>
      </c>
      <c r="M469" s="41">
        <v>-91.578188812671641</v>
      </c>
      <c r="N469" s="41">
        <v>-66.373230224201549</v>
      </c>
      <c r="O469" s="41">
        <v>-78.54682367755025</v>
      </c>
      <c r="P469" s="41">
        <v>-196.84418475236507</v>
      </c>
      <c r="Q469" s="40">
        <v>-228.82248191430159</v>
      </c>
      <c r="R469" s="40">
        <v>-280</v>
      </c>
      <c r="S469" s="40">
        <v>-369</v>
      </c>
      <c r="T469" s="40">
        <v>-306.66666666666669</v>
      </c>
      <c r="U469" s="40">
        <v>-237.66666666666669</v>
      </c>
      <c r="V469" s="40">
        <v>-309.66666666666669</v>
      </c>
      <c r="W469" s="40">
        <v>-342.66666666666674</v>
      </c>
      <c r="X469" s="40">
        <v>-307.00000000000006</v>
      </c>
      <c r="Y469" s="40">
        <v>-347.66666666666669</v>
      </c>
      <c r="Z469" s="40">
        <v>-286.00000000000006</v>
      </c>
      <c r="AA469" s="40">
        <v>-329.66666666666674</v>
      </c>
      <c r="AB469" s="141">
        <v>-352</v>
      </c>
      <c r="AC469" s="141">
        <v>-373.33333333333331</v>
      </c>
      <c r="AD469" s="141">
        <v>-369.33333333333331</v>
      </c>
      <c r="AE469" s="141">
        <v>-458</v>
      </c>
      <c r="AF469" s="141">
        <v>-451</v>
      </c>
      <c r="AG469" s="141">
        <v>-466</v>
      </c>
      <c r="AH469" s="141">
        <v>-475</v>
      </c>
      <c r="AI469" s="40">
        <v>-464</v>
      </c>
      <c r="AJ469" s="40">
        <v>-428.33333333333331</v>
      </c>
      <c r="AK469" s="40">
        <v>-373.66666666666669</v>
      </c>
      <c r="AL469" s="40">
        <v>-327</v>
      </c>
      <c r="AM469" s="40">
        <v>-354.33333333333331</v>
      </c>
      <c r="AN469" s="40">
        <v>-275.33333333333331</v>
      </c>
      <c r="AO469" s="40">
        <v>-207.66666666666669</v>
      </c>
      <c r="AP469" s="40">
        <v>-157.66666666666666</v>
      </c>
      <c r="AQ469" s="40">
        <v>-151.66666666666666</v>
      </c>
      <c r="AR469" s="40">
        <v>-133</v>
      </c>
      <c r="AS469" s="40">
        <v>-114.66666666666667</v>
      </c>
      <c r="AT469" s="40">
        <v>-31.333333333333336</v>
      </c>
      <c r="AU469" s="40">
        <v>-55</v>
      </c>
      <c r="AV469" s="429">
        <v>-42</v>
      </c>
      <c r="AW469" s="41">
        <v>-41.717040986140248</v>
      </c>
      <c r="AX469" s="41">
        <v>-53.57088738906203</v>
      </c>
      <c r="AY469" s="41">
        <v>-54.224591913477504</v>
      </c>
      <c r="AZ469" s="41">
        <v>-54.258077172445006</v>
      </c>
      <c r="BA469" s="41">
        <v>-54.907568957955299</v>
      </c>
      <c r="BB469" s="41">
        <v>-54.985044678365959</v>
      </c>
      <c r="BC469" s="41">
        <v>-55.753101373646295</v>
      </c>
      <c r="BD469" s="41">
        <v>-56.109337307677237</v>
      </c>
      <c r="BE469" s="41">
        <v>-56.623382078523051</v>
      </c>
      <c r="BF469" s="41">
        <v>-56.986390009093363</v>
      </c>
      <c r="BG469" s="41">
        <v>-57.826065803988236</v>
      </c>
      <c r="BH469" s="41">
        <v>-58.039351153217609</v>
      </c>
      <c r="BI469" s="41">
        <v>-91.453562369570975</v>
      </c>
      <c r="BJ469" s="41">
        <v>-183.69459156537286</v>
      </c>
      <c r="BK469" s="41">
        <v>-186.73947358529136</v>
      </c>
      <c r="BL469" s="41">
        <v>-62.169998496967402</v>
      </c>
      <c r="BM469" s="41">
        <v>-62.893542313149709</v>
      </c>
      <c r="BN469" s="41">
        <v>-63.399732912834544</v>
      </c>
      <c r="BO469" s="41">
        <v>-64.38556392461102</v>
      </c>
      <c r="BP469" s="41"/>
      <c r="BQ469" s="41">
        <v>-11.923184824405597</v>
      </c>
      <c r="BR469" s="41">
        <v>-25.336465167298908</v>
      </c>
      <c r="BS469" s="41">
        <v>-9.5770562389563434</v>
      </c>
      <c r="BT469" s="41">
        <v>-11.73557362465959</v>
      </c>
      <c r="BU469" s="41">
        <v>-11.856334699162177</v>
      </c>
      <c r="BV469" s="41">
        <v>-14.675228372381012</v>
      </c>
      <c r="BW469" s="41">
        <v>-20.928920179560418</v>
      </c>
      <c r="BX469" s="41">
        <v>-18.527989270962514</v>
      </c>
      <c r="BY469" s="41">
        <v>-42.558214288099386</v>
      </c>
      <c r="BZ469" s="41">
        <v>-93.14048991651751</v>
      </c>
      <c r="CA469" s="41">
        <v>-76.510337667284745</v>
      </c>
      <c r="CB469" s="41">
        <v>-57.704701408946462</v>
      </c>
      <c r="CC469" s="41">
        <v>-57.358116999227363</v>
      </c>
      <c r="CD469" s="41">
        <v>-68.137203835691452</v>
      </c>
      <c r="CE469" s="41">
        <v>-111.9339854452833</v>
      </c>
      <c r="CF469" s="41">
        <v>-144.9200539017518</v>
      </c>
      <c r="CG469" s="41">
        <v>-425.66666666666663</v>
      </c>
      <c r="CH469" s="41">
        <v>-649</v>
      </c>
      <c r="CI469" s="41">
        <v>-544.33333333333337</v>
      </c>
      <c r="CJ469" s="41">
        <v>-652.33333333333348</v>
      </c>
      <c r="CK469" s="41">
        <v>-654.66666666666674</v>
      </c>
      <c r="CL469" s="41">
        <v>-615.66666666666674</v>
      </c>
      <c r="CM469" s="41">
        <v>-725.33333333333326</v>
      </c>
      <c r="CN469" s="41">
        <v>-827.33333333333326</v>
      </c>
      <c r="CO469" s="41">
        <v>-917</v>
      </c>
      <c r="CP469" s="41">
        <v>-939</v>
      </c>
      <c r="CQ469" s="41">
        <v>-802</v>
      </c>
      <c r="CR469" s="41">
        <v>-681.33333333333326</v>
      </c>
      <c r="CS469" s="41">
        <v>-483</v>
      </c>
      <c r="CT469" s="41">
        <v>-309.33333333333331</v>
      </c>
      <c r="CU469" s="41">
        <v>-247.66666666666669</v>
      </c>
      <c r="CV469" s="211">
        <v>-86.333333333333343</v>
      </c>
      <c r="CW469" s="41">
        <v>-83.717040986140248</v>
      </c>
      <c r="CX469" s="41">
        <v>-107.79547930253953</v>
      </c>
      <c r="CY469" s="41">
        <v>-109.1656461304003</v>
      </c>
      <c r="CZ469" s="41">
        <v>-110.73814605201225</v>
      </c>
      <c r="DA469" s="41">
        <v>-112.73271938620029</v>
      </c>
      <c r="DB469" s="41">
        <v>-114.8124558130816</v>
      </c>
      <c r="DC469" s="41">
        <v>-149.49291352278857</v>
      </c>
      <c r="DD469" s="41">
        <v>-370.4340651506642</v>
      </c>
      <c r="DE469" s="41">
        <v>-125.0635408101171</v>
      </c>
      <c r="DF469" s="41">
        <v>-127.78529683744557</v>
      </c>
    </row>
    <row r="470" spans="1:110" s="17" customFormat="1" ht="12" outlineLevel="1">
      <c r="A470" s="1" t="s">
        <v>686</v>
      </c>
      <c r="B470" s="17" t="s">
        <v>480</v>
      </c>
      <c r="C470" s="61">
        <v>-457</v>
      </c>
      <c r="D470" s="61">
        <v>-293</v>
      </c>
      <c r="E470" s="61">
        <v>-404</v>
      </c>
      <c r="F470" s="61">
        <v>-283</v>
      </c>
      <c r="G470" s="61">
        <v>-357</v>
      </c>
      <c r="H470" s="61">
        <v>-339</v>
      </c>
      <c r="I470" s="61">
        <v>-341</v>
      </c>
      <c r="J470" s="61">
        <v>-261</v>
      </c>
      <c r="K470" s="61">
        <v>-310</v>
      </c>
      <c r="L470" s="61">
        <v>-128</v>
      </c>
      <c r="M470" s="61">
        <v>-166</v>
      </c>
      <c r="N470" s="61">
        <v>-156</v>
      </c>
      <c r="O470" s="61">
        <v>-277</v>
      </c>
      <c r="P470" s="61">
        <v>-277</v>
      </c>
      <c r="Q470" s="61">
        <v>-322</v>
      </c>
      <c r="R470" s="61">
        <v>-833</v>
      </c>
      <c r="S470" s="61">
        <v>-1053</v>
      </c>
      <c r="T470" s="61">
        <v>-922</v>
      </c>
      <c r="U470" s="61">
        <v>-662</v>
      </c>
      <c r="V470" s="61">
        <v>-606</v>
      </c>
      <c r="W470" s="61">
        <v>-588</v>
      </c>
      <c r="X470" s="61">
        <v>-545</v>
      </c>
      <c r="Y470" s="61">
        <v>-744</v>
      </c>
      <c r="Z470" s="194">
        <v>-753</v>
      </c>
      <c r="AA470" s="194">
        <v>-657</v>
      </c>
      <c r="AB470" s="194">
        <v>-580</v>
      </c>
      <c r="AC470" s="194">
        <v>-795</v>
      </c>
      <c r="AD470" s="194">
        <v>-502</v>
      </c>
      <c r="AE470" s="194">
        <v>-683</v>
      </c>
      <c r="AF470" s="194">
        <v>-557</v>
      </c>
      <c r="AG470" s="194">
        <v>-943</v>
      </c>
      <c r="AH470" s="194">
        <v>-788</v>
      </c>
      <c r="AI470" s="194">
        <v>-677</v>
      </c>
      <c r="AJ470" s="194">
        <v>-544</v>
      </c>
      <c r="AK470" s="194">
        <v>-434</v>
      </c>
      <c r="AL470" s="194">
        <v>-405</v>
      </c>
      <c r="AM470" s="194">
        <v>-459</v>
      </c>
      <c r="AN470" s="194">
        <v>-365</v>
      </c>
      <c r="AO470" s="194">
        <v>-525</v>
      </c>
      <c r="AP470" s="61">
        <v>-252</v>
      </c>
      <c r="AQ470" s="61">
        <v>-192</v>
      </c>
      <c r="AR470" s="61">
        <v>-123</v>
      </c>
      <c r="AS470" s="61">
        <v>-97</v>
      </c>
      <c r="AT470" s="61">
        <v>-84</v>
      </c>
      <c r="AU470" s="61">
        <v>-158</v>
      </c>
      <c r="AV470" s="512">
        <v>-68</v>
      </c>
      <c r="AW470" s="62">
        <v>-66.136204722901624</v>
      </c>
      <c r="AX470" s="62">
        <v>-561.67650507338033</v>
      </c>
      <c r="AY470" s="62">
        <v>-572.09257678017957</v>
      </c>
      <c r="AZ470" s="62">
        <v>-573.38327330771392</v>
      </c>
      <c r="BA470" s="62">
        <v>-583.27793604086048</v>
      </c>
      <c r="BB470" s="62">
        <v>-588.85377182718764</v>
      </c>
      <c r="BC470" s="62">
        <v>-603.04338165264744</v>
      </c>
      <c r="BD470" s="62">
        <v>-613.51747371244062</v>
      </c>
      <c r="BE470" s="62">
        <v>-625.93354701293265</v>
      </c>
      <c r="BF470" s="62">
        <v>-636.90174838165206</v>
      </c>
      <c r="BG470" s="62">
        <v>-653.46444485587665</v>
      </c>
      <c r="BH470" s="62">
        <v>-689.79471968187693</v>
      </c>
      <c r="BI470" s="62">
        <v>-1351.0417422746837</v>
      </c>
      <c r="BJ470" s="62">
        <v>-2300.165970551212</v>
      </c>
      <c r="BK470" s="62">
        <v>-2368.3313390981107</v>
      </c>
      <c r="BL470" s="62">
        <v>-901.7934118130928</v>
      </c>
      <c r="BM470" s="62">
        <v>-924.03936612904306</v>
      </c>
      <c r="BN470" s="62">
        <v>-937.41456381067928</v>
      </c>
      <c r="BO470" s="62">
        <v>-951.99084521498798</v>
      </c>
      <c r="BP470" s="62"/>
      <c r="BQ470" s="61">
        <v>-731.7</v>
      </c>
      <c r="BR470" s="61">
        <v>-1369</v>
      </c>
      <c r="BS470" s="61">
        <v>-1339</v>
      </c>
      <c r="BT470" s="61">
        <v>-445</v>
      </c>
      <c r="BU470" s="61">
        <v>-300</v>
      </c>
      <c r="BV470" s="61">
        <v>-150</v>
      </c>
      <c r="BW470" s="61">
        <v>-184</v>
      </c>
      <c r="BX470" s="61">
        <v>-349</v>
      </c>
      <c r="BY470" s="61">
        <v>-493</v>
      </c>
      <c r="BZ470" s="61">
        <v>-759</v>
      </c>
      <c r="CA470" s="62">
        <v>-697</v>
      </c>
      <c r="CB470" s="62">
        <v>-640</v>
      </c>
      <c r="CC470" s="62">
        <v>-680</v>
      </c>
      <c r="CD470" s="62">
        <v>-571</v>
      </c>
      <c r="CE470" s="62">
        <v>-294</v>
      </c>
      <c r="CF470" s="62">
        <v>-433</v>
      </c>
      <c r="CG470" s="62">
        <v>-599</v>
      </c>
      <c r="CH470" s="62">
        <v>-1886</v>
      </c>
      <c r="CI470" s="62">
        <v>-1584</v>
      </c>
      <c r="CJ470" s="62">
        <v>-1194</v>
      </c>
      <c r="CK470" s="62">
        <v>-1289</v>
      </c>
      <c r="CL470" s="62">
        <v>-1410</v>
      </c>
      <c r="CM470" s="62">
        <v>-1375</v>
      </c>
      <c r="CN470" s="62">
        <v>-1185</v>
      </c>
      <c r="CO470" s="62">
        <v>-1500</v>
      </c>
      <c r="CP470" s="62">
        <v>-1465</v>
      </c>
      <c r="CQ470" s="62">
        <v>-978</v>
      </c>
      <c r="CR470" s="62">
        <v>-864</v>
      </c>
      <c r="CS470" s="62">
        <v>-890</v>
      </c>
      <c r="CT470" s="62">
        <v>-444</v>
      </c>
      <c r="CU470" s="62">
        <v>-220</v>
      </c>
      <c r="CV470" s="220">
        <v>-242</v>
      </c>
      <c r="CW470" s="62">
        <v>-134.13620472290162</v>
      </c>
      <c r="CX470" s="62">
        <v>-1133.7690818535598</v>
      </c>
      <c r="CY470" s="62">
        <v>-1156.6612093485744</v>
      </c>
      <c r="CZ470" s="62">
        <v>-1191.8971534798352</v>
      </c>
      <c r="DA470" s="62">
        <v>-1239.4510207253734</v>
      </c>
      <c r="DB470" s="62">
        <v>-1290.3661932375287</v>
      </c>
      <c r="DC470" s="62">
        <v>-2040.8364619565605</v>
      </c>
      <c r="DD470" s="62">
        <v>-4668.4973096493231</v>
      </c>
      <c r="DE470" s="62">
        <v>-1825.8327779421359</v>
      </c>
      <c r="DF470" s="62">
        <v>-1889.4054090256673</v>
      </c>
    </row>
    <row r="471" spans="1:110" ht="12" outlineLevel="1">
      <c r="A471" s="1" t="s">
        <v>687</v>
      </c>
      <c r="B471" s="15" t="s">
        <v>481</v>
      </c>
      <c r="C471" s="41">
        <v>167</v>
      </c>
      <c r="D471" s="41">
        <v>-8</v>
      </c>
      <c r="E471" s="41">
        <v>95</v>
      </c>
      <c r="F471" s="41">
        <v>-20</v>
      </c>
      <c r="G471" s="41">
        <v>46</v>
      </c>
      <c r="H471" s="41">
        <v>26</v>
      </c>
      <c r="I471" s="41">
        <v>22</v>
      </c>
      <c r="J471" s="41">
        <v>21</v>
      </c>
      <c r="K471" s="41">
        <v>-15</v>
      </c>
      <c r="L471" s="41">
        <v>-96</v>
      </c>
      <c r="M471" s="41">
        <v>-17</v>
      </c>
      <c r="N471" s="41">
        <v>-84</v>
      </c>
      <c r="O471" s="41">
        <v>-5</v>
      </c>
      <c r="P471" s="41">
        <v>-449</v>
      </c>
      <c r="Q471" s="41">
        <v>-1056</v>
      </c>
      <c r="R471" s="41">
        <v>-632</v>
      </c>
      <c r="S471" s="41">
        <v>-569</v>
      </c>
      <c r="T471" s="41">
        <v>-177</v>
      </c>
      <c r="U471" s="41">
        <v>-60</v>
      </c>
      <c r="V471" s="41">
        <v>-54</v>
      </c>
      <c r="W471" s="41">
        <v>28</v>
      </c>
      <c r="X471" s="41">
        <v>-25</v>
      </c>
      <c r="Y471" s="41">
        <v>56</v>
      </c>
      <c r="Z471" s="41">
        <v>154</v>
      </c>
      <c r="AA471" s="41">
        <v>59</v>
      </c>
      <c r="AB471" s="41">
        <v>52</v>
      </c>
      <c r="AC471" s="41">
        <v>334</v>
      </c>
      <c r="AD471" s="41">
        <v>-8</v>
      </c>
      <c r="AE471" s="41">
        <v>-12</v>
      </c>
      <c r="AF471" s="41">
        <v>-361</v>
      </c>
      <c r="AG471" s="41">
        <v>-95</v>
      </c>
      <c r="AH471" s="41">
        <v>68</v>
      </c>
      <c r="AI471" s="41">
        <v>198</v>
      </c>
      <c r="AJ471" s="41">
        <v>136</v>
      </c>
      <c r="AK471" s="41">
        <v>154</v>
      </c>
      <c r="AL471" s="41">
        <v>12</v>
      </c>
      <c r="AM471" s="41">
        <v>57</v>
      </c>
      <c r="AN471" s="41">
        <v>-1309</v>
      </c>
      <c r="AO471" s="41">
        <v>-539</v>
      </c>
      <c r="AP471" s="41">
        <v>743</v>
      </c>
      <c r="AQ471" s="41">
        <v>268</v>
      </c>
      <c r="AR471" s="41">
        <v>407</v>
      </c>
      <c r="AS471" s="41">
        <v>45</v>
      </c>
      <c r="AT471" s="41">
        <v>-49</v>
      </c>
      <c r="AU471" s="41">
        <v>46</v>
      </c>
      <c r="AV471" s="211">
        <v>-2</v>
      </c>
      <c r="AW471" s="210">
        <v>-164.07503824547848</v>
      </c>
      <c r="AX471" s="41">
        <v>-65.606140518025313</v>
      </c>
      <c r="AY471" s="41">
        <v>-74.459436610531156</v>
      </c>
      <c r="AZ471" s="41">
        <v>-83.807054342604545</v>
      </c>
      <c r="BA471" s="41">
        <v>-88.166941674144766</v>
      </c>
      <c r="BB471" s="41">
        <v>-83.665770029448481</v>
      </c>
      <c r="BC471" s="41">
        <v>-76.306396461869724</v>
      </c>
      <c r="BD471" s="41">
        <v>-78.815736740859791</v>
      </c>
      <c r="BE471" s="41">
        <v>-81.361283409238467</v>
      </c>
      <c r="BF471" s="41">
        <v>-84.425267129569818</v>
      </c>
      <c r="BG471" s="41">
        <v>-86.069272752119389</v>
      </c>
      <c r="BH471" s="41">
        <v>-791.11953564681016</v>
      </c>
      <c r="BI471" s="41">
        <v>-941.8339750878032</v>
      </c>
      <c r="BJ471" s="41">
        <v>-38.636009326420549</v>
      </c>
      <c r="BK471" s="41">
        <v>708.2661990617778</v>
      </c>
      <c r="BL471" s="41">
        <v>-139.10577838769552</v>
      </c>
      <c r="BM471" s="41">
        <v>-142.66263430621541</v>
      </c>
      <c r="BN471" s="41">
        <v>-141.50641889774147</v>
      </c>
      <c r="BO471" s="41">
        <v>-156.07676182911644</v>
      </c>
      <c r="BP471" s="41"/>
      <c r="BQ471" s="41">
        <v>-1205.3</v>
      </c>
      <c r="BR471" s="41">
        <v>735</v>
      </c>
      <c r="BS471" s="41">
        <v>951</v>
      </c>
      <c r="BT471" s="41">
        <v>208</v>
      </c>
      <c r="BU471" s="41">
        <v>125</v>
      </c>
      <c r="BV471" s="41">
        <v>-250</v>
      </c>
      <c r="BW471" s="41">
        <v>-303</v>
      </c>
      <c r="BX471" s="41">
        <v>-161</v>
      </c>
      <c r="BY471" s="41">
        <v>-9</v>
      </c>
      <c r="BZ471" s="41">
        <v>228</v>
      </c>
      <c r="CA471" s="41">
        <v>87</v>
      </c>
      <c r="CB471" s="41">
        <v>26</v>
      </c>
      <c r="CC471" s="41">
        <v>48</v>
      </c>
      <c r="CD471" s="41">
        <v>6</v>
      </c>
      <c r="CE471" s="41">
        <v>-113</v>
      </c>
      <c r="CF471" s="41">
        <v>-89</v>
      </c>
      <c r="CG471" s="41">
        <v>-1505</v>
      </c>
      <c r="CH471" s="41">
        <v>-1201</v>
      </c>
      <c r="CI471" s="41">
        <v>-237</v>
      </c>
      <c r="CJ471" s="41">
        <v>-26</v>
      </c>
      <c r="CK471" s="41">
        <v>31</v>
      </c>
      <c r="CL471" s="41">
        <v>213</v>
      </c>
      <c r="CM471" s="41">
        <v>386</v>
      </c>
      <c r="CN471" s="41">
        <v>-20</v>
      </c>
      <c r="CO471" s="41">
        <v>-456</v>
      </c>
      <c r="CP471" s="41">
        <v>266</v>
      </c>
      <c r="CQ471" s="41">
        <v>290</v>
      </c>
      <c r="CR471" s="41">
        <v>69</v>
      </c>
      <c r="CS471" s="41">
        <v>-1848</v>
      </c>
      <c r="CT471" s="41">
        <v>1011</v>
      </c>
      <c r="CU471" s="41">
        <v>452</v>
      </c>
      <c r="CV471" s="211">
        <v>-3</v>
      </c>
      <c r="CW471" s="41">
        <v>-166.07503824547848</v>
      </c>
      <c r="CX471" s="41">
        <v>-140.06557712855647</v>
      </c>
      <c r="CY471" s="41">
        <v>-171.97399601674931</v>
      </c>
      <c r="CZ471" s="41">
        <v>-159.97216649131821</v>
      </c>
      <c r="DA471" s="41">
        <v>-160.17702015009826</v>
      </c>
      <c r="DB471" s="41">
        <v>-170.49453988168921</v>
      </c>
      <c r="DC471" s="41">
        <v>-1732.9535107346132</v>
      </c>
      <c r="DD471" s="41">
        <v>669.63018973535725</v>
      </c>
      <c r="DE471" s="41">
        <v>-281.76841269391093</v>
      </c>
      <c r="DF471" s="41">
        <v>-297.5831807268579</v>
      </c>
    </row>
    <row r="472" spans="1:110" s="17" customFormat="1" ht="12" outlineLevel="1">
      <c r="A472" s="1" t="s">
        <v>106</v>
      </c>
      <c r="B472" s="17" t="s">
        <v>168</v>
      </c>
      <c r="C472" s="62">
        <v>-290</v>
      </c>
      <c r="D472" s="62">
        <v>-301</v>
      </c>
      <c r="E472" s="62">
        <v>-309</v>
      </c>
      <c r="F472" s="62">
        <v>-303</v>
      </c>
      <c r="G472" s="62">
        <v>-311</v>
      </c>
      <c r="H472" s="62">
        <v>-313</v>
      </c>
      <c r="I472" s="62">
        <v>-319</v>
      </c>
      <c r="J472" s="62">
        <v>-240</v>
      </c>
      <c r="K472" s="62">
        <v>-325</v>
      </c>
      <c r="L472" s="62">
        <v>-224</v>
      </c>
      <c r="M472" s="62">
        <v>-183</v>
      </c>
      <c r="N472" s="62">
        <v>-240</v>
      </c>
      <c r="O472" s="62">
        <v>-282</v>
      </c>
      <c r="P472" s="62">
        <v>-726</v>
      </c>
      <c r="Q472" s="62">
        <v>-1378</v>
      </c>
      <c r="R472" s="62">
        <v>-1465</v>
      </c>
      <c r="S472" s="62">
        <v>-1622</v>
      </c>
      <c r="T472" s="62">
        <v>-1099</v>
      </c>
      <c r="U472" s="62">
        <v>-722</v>
      </c>
      <c r="V472" s="62">
        <v>-660</v>
      </c>
      <c r="W472" s="62">
        <v>-560</v>
      </c>
      <c r="X472" s="62">
        <v>-570</v>
      </c>
      <c r="Y472" s="62">
        <v>-688</v>
      </c>
      <c r="Z472" s="62">
        <v>-599</v>
      </c>
      <c r="AA472" s="62">
        <v>-598</v>
      </c>
      <c r="AB472" s="62">
        <v>-528</v>
      </c>
      <c r="AC472" s="62">
        <v>-461</v>
      </c>
      <c r="AD472" s="62">
        <v>-510</v>
      </c>
      <c r="AE472" s="62">
        <v>-695</v>
      </c>
      <c r="AF472" s="62">
        <v>-918</v>
      </c>
      <c r="AG472" s="62">
        <v>-1038</v>
      </c>
      <c r="AH472" s="62">
        <v>-720</v>
      </c>
      <c r="AI472" s="62">
        <v>-479</v>
      </c>
      <c r="AJ472" s="62">
        <v>-408</v>
      </c>
      <c r="AK472" s="62">
        <v>-280</v>
      </c>
      <c r="AL472" s="62">
        <v>-393</v>
      </c>
      <c r="AM472" s="62">
        <v>-402</v>
      </c>
      <c r="AN472" s="62">
        <v>-1674</v>
      </c>
      <c r="AO472" s="62">
        <v>-1064</v>
      </c>
      <c r="AP472" s="62">
        <v>491</v>
      </c>
      <c r="AQ472" s="62">
        <v>76</v>
      </c>
      <c r="AR472" s="62">
        <v>284</v>
      </c>
      <c r="AS472" s="62">
        <v>-52</v>
      </c>
      <c r="AT472" s="62">
        <v>-133</v>
      </c>
      <c r="AU472" s="62">
        <v>-112</v>
      </c>
      <c r="AV472" s="220">
        <v>-70</v>
      </c>
      <c r="AW472" s="62">
        <v>-230.21124296838011</v>
      </c>
      <c r="AX472" s="62">
        <v>-627.28264559140564</v>
      </c>
      <c r="AY472" s="62">
        <v>-646.55201339071073</v>
      </c>
      <c r="AZ472" s="62">
        <v>-657.19032765031852</v>
      </c>
      <c r="BA472" s="62">
        <v>-671.4448777150053</v>
      </c>
      <c r="BB472" s="62">
        <v>-672.51954185663612</v>
      </c>
      <c r="BC472" s="62">
        <v>-679.34977811451722</v>
      </c>
      <c r="BD472" s="62">
        <v>-692.33321045330035</v>
      </c>
      <c r="BE472" s="62">
        <v>-707.29483042217112</v>
      </c>
      <c r="BF472" s="62">
        <v>-721.32701551122182</v>
      </c>
      <c r="BG472" s="62">
        <v>-739.5337176079961</v>
      </c>
      <c r="BH472" s="62">
        <v>-1480.914255328687</v>
      </c>
      <c r="BI472" s="62">
        <v>-2292.8757173624867</v>
      </c>
      <c r="BJ472" s="62">
        <v>-2338.8019798776327</v>
      </c>
      <c r="BK472" s="62">
        <v>-1660.0651400363329</v>
      </c>
      <c r="BL472" s="62">
        <v>-1040.8991902007883</v>
      </c>
      <c r="BM472" s="62">
        <v>-1066.7020004352585</v>
      </c>
      <c r="BN472" s="62">
        <v>-1078.9209827084208</v>
      </c>
      <c r="BO472" s="62">
        <v>-1108.0676070441045</v>
      </c>
      <c r="BP472" s="62"/>
      <c r="BQ472" s="62">
        <v>-1937</v>
      </c>
      <c r="BR472" s="62">
        <v>-634</v>
      </c>
      <c r="BS472" s="62">
        <v>-388</v>
      </c>
      <c r="BT472" s="62">
        <v>-237</v>
      </c>
      <c r="BU472" s="62">
        <v>-175</v>
      </c>
      <c r="BV472" s="62">
        <v>-400</v>
      </c>
      <c r="BW472" s="62">
        <v>-487</v>
      </c>
      <c r="BX472" s="62">
        <v>-510</v>
      </c>
      <c r="BY472" s="62">
        <v>-502</v>
      </c>
      <c r="BZ472" s="62">
        <v>-531</v>
      </c>
      <c r="CA472" s="62">
        <v>-610</v>
      </c>
      <c r="CB472" s="62">
        <v>-614</v>
      </c>
      <c r="CC472" s="62">
        <v>-632</v>
      </c>
      <c r="CD472" s="62">
        <v>-565</v>
      </c>
      <c r="CE472" s="62">
        <v>-407</v>
      </c>
      <c r="CF472" s="62">
        <v>-522</v>
      </c>
      <c r="CG472" s="62">
        <v>-2104</v>
      </c>
      <c r="CH472" s="62">
        <v>-3087</v>
      </c>
      <c r="CI472" s="62">
        <v>-1821</v>
      </c>
      <c r="CJ472" s="62">
        <v>-1220</v>
      </c>
      <c r="CK472" s="62">
        <v>-1258</v>
      </c>
      <c r="CL472" s="62">
        <v>-1197</v>
      </c>
      <c r="CM472" s="62">
        <v>-989</v>
      </c>
      <c r="CN472" s="62">
        <v>-1205</v>
      </c>
      <c r="CO472" s="62">
        <v>-1956</v>
      </c>
      <c r="CP472" s="62">
        <v>-1199</v>
      </c>
      <c r="CQ472" s="62">
        <v>-688</v>
      </c>
      <c r="CR472" s="62">
        <v>-795</v>
      </c>
      <c r="CS472" s="62">
        <v>-2738</v>
      </c>
      <c r="CT472" s="62">
        <v>567</v>
      </c>
      <c r="CU472" s="62">
        <v>232</v>
      </c>
      <c r="CV472" s="220">
        <v>-245</v>
      </c>
      <c r="CW472" s="62">
        <v>-300.21124296838013</v>
      </c>
      <c r="CX472" s="62">
        <v>-1273.8346589821163</v>
      </c>
      <c r="CY472" s="62">
        <v>-1328.6352053653238</v>
      </c>
      <c r="CZ472" s="62">
        <v>-1351.8693199711533</v>
      </c>
      <c r="DA472" s="62">
        <v>-1399.6280408754715</v>
      </c>
      <c r="DB472" s="62">
        <v>-1460.8607331192179</v>
      </c>
      <c r="DC472" s="62">
        <v>-3773.7899726911737</v>
      </c>
      <c r="DD472" s="62">
        <v>-3998.8671199139653</v>
      </c>
      <c r="DE472" s="62">
        <v>-2107.6011906360468</v>
      </c>
      <c r="DF472" s="62">
        <v>-2186.9885897525255</v>
      </c>
    </row>
    <row r="473" spans="1:110" ht="12" hidden="1" outlineLevel="2">
      <c r="A473" s="1" t="s">
        <v>363</v>
      </c>
      <c r="B473" s="15" t="s">
        <v>857</v>
      </c>
      <c r="C473" s="41">
        <v>0</v>
      </c>
      <c r="D473" s="41">
        <v>0</v>
      </c>
      <c r="E473" s="41">
        <v>0</v>
      </c>
      <c r="F473" s="41">
        <v>0</v>
      </c>
      <c r="G473" s="41">
        <v>0</v>
      </c>
      <c r="H473" s="41">
        <v>0</v>
      </c>
      <c r="I473" s="41">
        <v>0</v>
      </c>
      <c r="J473" s="41">
        <v>0</v>
      </c>
      <c r="K473" s="41">
        <v>0</v>
      </c>
      <c r="L473" s="41">
        <v>0</v>
      </c>
      <c r="M473" s="41">
        <v>0</v>
      </c>
      <c r="N473" s="41">
        <v>0</v>
      </c>
      <c r="O473" s="41">
        <v>0</v>
      </c>
      <c r="P473" s="41">
        <v>0</v>
      </c>
      <c r="Q473" s="41">
        <v>0</v>
      </c>
      <c r="R473" s="41">
        <v>0</v>
      </c>
      <c r="S473" s="41">
        <v>0</v>
      </c>
      <c r="T473" s="41">
        <v>0</v>
      </c>
      <c r="U473" s="41">
        <v>0</v>
      </c>
      <c r="V473" s="41">
        <v>0</v>
      </c>
      <c r="W473" s="41">
        <v>0</v>
      </c>
      <c r="X473" s="41">
        <v>0</v>
      </c>
      <c r="Y473" s="41">
        <v>0</v>
      </c>
      <c r="Z473" s="41">
        <v>0</v>
      </c>
      <c r="AA473" s="41">
        <v>0</v>
      </c>
      <c r="AB473" s="41">
        <v>0</v>
      </c>
      <c r="AC473" s="41">
        <v>0</v>
      </c>
      <c r="AD473" s="41">
        <v>0</v>
      </c>
      <c r="AE473" s="41">
        <v>0</v>
      </c>
      <c r="AF473" s="41">
        <v>0</v>
      </c>
      <c r="AG473" s="41">
        <v>0</v>
      </c>
      <c r="AH473" s="41">
        <v>0</v>
      </c>
      <c r="AI473" s="41">
        <v>0</v>
      </c>
      <c r="AJ473" s="41">
        <v>0</v>
      </c>
      <c r="AK473" s="41">
        <v>0</v>
      </c>
      <c r="AL473" s="41">
        <v>0</v>
      </c>
      <c r="AM473" s="41">
        <v>0</v>
      </c>
      <c r="AN473" s="41">
        <v>0</v>
      </c>
      <c r="AO473" s="41">
        <v>0</v>
      </c>
      <c r="AP473" s="41">
        <v>0</v>
      </c>
      <c r="AQ473" s="41">
        <v>0</v>
      </c>
      <c r="AR473" s="41">
        <v>0</v>
      </c>
      <c r="AS473" s="41">
        <v>0</v>
      </c>
      <c r="AT473" s="41">
        <v>0</v>
      </c>
      <c r="AU473" s="41">
        <v>0</v>
      </c>
      <c r="AV473" s="211">
        <v>0</v>
      </c>
      <c r="AW473" s="41">
        <v>0</v>
      </c>
      <c r="AX473" s="41">
        <v>0</v>
      </c>
      <c r="AY473" s="41">
        <v>0</v>
      </c>
      <c r="AZ473" s="41">
        <v>0</v>
      </c>
      <c r="BA473" s="41">
        <v>0</v>
      </c>
      <c r="BB473" s="41">
        <v>0</v>
      </c>
      <c r="BC473" s="41">
        <v>0</v>
      </c>
      <c r="BD473" s="41">
        <v>0</v>
      </c>
      <c r="BE473" s="41">
        <v>0</v>
      </c>
      <c r="BF473" s="41">
        <v>0</v>
      </c>
      <c r="BG473" s="41">
        <v>0</v>
      </c>
      <c r="BH473" s="41">
        <v>0</v>
      </c>
      <c r="BI473" s="41">
        <v>0</v>
      </c>
      <c r="BJ473" s="41">
        <v>0</v>
      </c>
      <c r="BK473" s="41">
        <v>0</v>
      </c>
      <c r="BL473" s="41">
        <v>0</v>
      </c>
      <c r="BM473" s="41">
        <v>0</v>
      </c>
      <c r="BN473" s="41">
        <v>0</v>
      </c>
      <c r="BO473" s="41">
        <v>0</v>
      </c>
      <c r="BP473" s="41"/>
      <c r="BQ473" s="41">
        <v>0</v>
      </c>
      <c r="BR473" s="41">
        <v>0</v>
      </c>
      <c r="BS473" s="41">
        <v>0</v>
      </c>
      <c r="BT473" s="41">
        <v>0</v>
      </c>
      <c r="BU473" s="41">
        <v>0</v>
      </c>
      <c r="BV473" s="41">
        <v>0</v>
      </c>
      <c r="BW473" s="41">
        <v>0</v>
      </c>
      <c r="BX473" s="41">
        <v>0</v>
      </c>
      <c r="BY473" s="41">
        <v>0</v>
      </c>
      <c r="BZ473" s="41">
        <v>0</v>
      </c>
      <c r="CA473" s="41">
        <v>0</v>
      </c>
      <c r="CB473" s="41">
        <v>0</v>
      </c>
      <c r="CC473" s="41">
        <v>0</v>
      </c>
      <c r="CD473" s="41">
        <v>0</v>
      </c>
      <c r="CE473" s="41">
        <v>0</v>
      </c>
      <c r="CF473" s="41">
        <v>0</v>
      </c>
      <c r="CG473" s="41">
        <v>0</v>
      </c>
      <c r="CH473" s="41">
        <v>0</v>
      </c>
      <c r="CI473" s="41">
        <v>0</v>
      </c>
      <c r="CJ473" s="41">
        <v>0</v>
      </c>
      <c r="CK473" s="41">
        <v>0</v>
      </c>
      <c r="CL473" s="41">
        <v>0</v>
      </c>
      <c r="CM473" s="41">
        <v>0</v>
      </c>
      <c r="CN473" s="41">
        <v>0</v>
      </c>
      <c r="CO473" s="41">
        <v>0</v>
      </c>
      <c r="CP473" s="41">
        <v>0</v>
      </c>
      <c r="CQ473" s="41">
        <v>0</v>
      </c>
      <c r="CR473" s="41">
        <v>0</v>
      </c>
      <c r="CS473" s="41">
        <v>0</v>
      </c>
      <c r="CT473" s="41">
        <v>0</v>
      </c>
      <c r="CU473" s="41">
        <v>0</v>
      </c>
      <c r="CV473" s="211">
        <v>0</v>
      </c>
      <c r="CW473" s="41">
        <v>0</v>
      </c>
      <c r="CX473" s="41">
        <v>0</v>
      </c>
      <c r="CY473" s="41">
        <v>0</v>
      </c>
      <c r="CZ473" s="41">
        <v>0</v>
      </c>
      <c r="DA473" s="41">
        <v>0</v>
      </c>
      <c r="DB473" s="41">
        <v>0</v>
      </c>
      <c r="DC473" s="41">
        <v>0</v>
      </c>
      <c r="DD473" s="41">
        <v>0</v>
      </c>
      <c r="DE473" s="41">
        <v>0</v>
      </c>
      <c r="DF473" s="41">
        <v>0</v>
      </c>
    </row>
    <row r="474" spans="1:110" ht="12" hidden="1" outlineLevel="2">
      <c r="A474" s="1" t="s">
        <v>364</v>
      </c>
      <c r="B474" s="15" t="s">
        <v>447</v>
      </c>
      <c r="C474" s="41">
        <v>0</v>
      </c>
      <c r="D474" s="41">
        <v>0</v>
      </c>
      <c r="E474" s="41">
        <v>0</v>
      </c>
      <c r="F474" s="41">
        <v>0</v>
      </c>
      <c r="G474" s="41">
        <v>0</v>
      </c>
      <c r="H474" s="41">
        <v>0</v>
      </c>
      <c r="I474" s="41">
        <v>0</v>
      </c>
      <c r="J474" s="41">
        <v>0</v>
      </c>
      <c r="K474" s="41">
        <v>0</v>
      </c>
      <c r="L474" s="41">
        <v>0</v>
      </c>
      <c r="M474" s="41">
        <v>0</v>
      </c>
      <c r="N474" s="41">
        <v>0</v>
      </c>
      <c r="O474" s="41">
        <v>0</v>
      </c>
      <c r="P474" s="41">
        <v>45</v>
      </c>
      <c r="Q474" s="41">
        <v>111</v>
      </c>
      <c r="R474" s="41">
        <v>92</v>
      </c>
      <c r="S474" s="41">
        <v>-10</v>
      </c>
      <c r="T474" s="41">
        <v>17</v>
      </c>
      <c r="U474" s="41">
        <v>17</v>
      </c>
      <c r="V474" s="41">
        <v>0</v>
      </c>
      <c r="W474" s="41">
        <v>0</v>
      </c>
      <c r="X474" s="41">
        <v>0</v>
      </c>
      <c r="Y474" s="41">
        <v>0</v>
      </c>
      <c r="Z474" s="41">
        <v>0</v>
      </c>
      <c r="AA474" s="41">
        <v>0</v>
      </c>
      <c r="AB474" s="41">
        <v>0</v>
      </c>
      <c r="AC474" s="41">
        <v>0</v>
      </c>
      <c r="AD474" s="41">
        <v>0</v>
      </c>
      <c r="AE474" s="41">
        <v>0</v>
      </c>
      <c r="AF474" s="41">
        <v>0</v>
      </c>
      <c r="AG474" s="41">
        <v>0</v>
      </c>
      <c r="AH474" s="41">
        <v>0</v>
      </c>
      <c r="AI474" s="41">
        <v>0</v>
      </c>
      <c r="AJ474" s="41">
        <v>0</v>
      </c>
      <c r="AK474" s="41">
        <v>0</v>
      </c>
      <c r="AL474" s="41">
        <v>0</v>
      </c>
      <c r="AM474" s="41">
        <v>0</v>
      </c>
      <c r="AN474" s="41">
        <v>0</v>
      </c>
      <c r="AO474" s="41">
        <v>0</v>
      </c>
      <c r="AP474" s="41">
        <v>0</v>
      </c>
      <c r="AQ474" s="41">
        <v>0</v>
      </c>
      <c r="AR474" s="41">
        <v>0</v>
      </c>
      <c r="AS474" s="41">
        <v>0</v>
      </c>
      <c r="AT474" s="41">
        <v>0</v>
      </c>
      <c r="AU474" s="41">
        <v>0</v>
      </c>
      <c r="AV474" s="211">
        <v>0</v>
      </c>
      <c r="AW474" s="41">
        <v>0</v>
      </c>
      <c r="AX474" s="41">
        <v>0</v>
      </c>
      <c r="AY474" s="41">
        <v>0</v>
      </c>
      <c r="AZ474" s="41">
        <v>0</v>
      </c>
      <c r="BA474" s="41">
        <v>0</v>
      </c>
      <c r="BB474" s="41">
        <v>0</v>
      </c>
      <c r="BC474" s="41">
        <v>0</v>
      </c>
      <c r="BD474" s="41">
        <v>0</v>
      </c>
      <c r="BE474" s="41">
        <v>0</v>
      </c>
      <c r="BF474" s="41">
        <v>0</v>
      </c>
      <c r="BG474" s="41">
        <v>0</v>
      </c>
      <c r="BH474" s="41">
        <v>0</v>
      </c>
      <c r="BI474" s="41">
        <v>0</v>
      </c>
      <c r="BJ474" s="41">
        <v>0</v>
      </c>
      <c r="BK474" s="41">
        <v>0</v>
      </c>
      <c r="BL474" s="41">
        <v>0</v>
      </c>
      <c r="BM474" s="41">
        <v>0</v>
      </c>
      <c r="BN474" s="41">
        <v>0</v>
      </c>
      <c r="BO474" s="41">
        <v>0</v>
      </c>
      <c r="BP474" s="41"/>
      <c r="BQ474" s="41">
        <v>0</v>
      </c>
      <c r="BR474" s="41">
        <v>0</v>
      </c>
      <c r="BS474" s="41">
        <v>0</v>
      </c>
      <c r="BT474" s="41">
        <v>0</v>
      </c>
      <c r="BU474" s="41">
        <v>0</v>
      </c>
      <c r="BV474" s="41">
        <v>0</v>
      </c>
      <c r="BW474" s="41">
        <v>0</v>
      </c>
      <c r="BX474" s="41">
        <v>0</v>
      </c>
      <c r="BY474" s="41">
        <v>0</v>
      </c>
      <c r="BZ474" s="41">
        <v>0</v>
      </c>
      <c r="CA474" s="41">
        <v>0</v>
      </c>
      <c r="CB474" s="41">
        <v>0</v>
      </c>
      <c r="CC474" s="41">
        <v>0</v>
      </c>
      <c r="CD474" s="41">
        <v>0</v>
      </c>
      <c r="CE474" s="41">
        <v>0</v>
      </c>
      <c r="CF474" s="41">
        <v>0</v>
      </c>
      <c r="CG474" s="41">
        <v>156</v>
      </c>
      <c r="CH474" s="41">
        <v>82</v>
      </c>
      <c r="CI474" s="41">
        <v>34</v>
      </c>
      <c r="CJ474" s="41">
        <v>0</v>
      </c>
      <c r="CK474" s="41">
        <v>0</v>
      </c>
      <c r="CL474" s="41">
        <v>0</v>
      </c>
      <c r="CM474" s="41">
        <v>0</v>
      </c>
      <c r="CN474" s="41">
        <v>0</v>
      </c>
      <c r="CO474" s="41">
        <v>0</v>
      </c>
      <c r="CP474" s="41">
        <v>0</v>
      </c>
      <c r="CQ474" s="41">
        <v>0</v>
      </c>
      <c r="CR474" s="41">
        <v>0</v>
      </c>
      <c r="CS474" s="41">
        <v>0</v>
      </c>
      <c r="CT474" s="41">
        <v>0</v>
      </c>
      <c r="CU474" s="41">
        <v>0</v>
      </c>
      <c r="CV474" s="211">
        <v>0</v>
      </c>
      <c r="CW474" s="41">
        <v>0</v>
      </c>
      <c r="CX474" s="41">
        <v>0</v>
      </c>
      <c r="CY474" s="41">
        <v>0</v>
      </c>
      <c r="CZ474" s="41">
        <v>0</v>
      </c>
      <c r="DA474" s="41">
        <v>0</v>
      </c>
      <c r="DB474" s="41">
        <v>0</v>
      </c>
      <c r="DC474" s="41">
        <v>0</v>
      </c>
      <c r="DD474" s="41">
        <v>0</v>
      </c>
      <c r="DE474" s="41">
        <v>0</v>
      </c>
      <c r="DF474" s="41">
        <v>0</v>
      </c>
    </row>
    <row r="475" spans="1:110" ht="12" hidden="1" outlineLevel="2">
      <c r="A475" s="1" t="s">
        <v>688</v>
      </c>
      <c r="B475" s="15" t="s">
        <v>370</v>
      </c>
      <c r="C475" s="41">
        <v>0</v>
      </c>
      <c r="D475" s="41">
        <v>0</v>
      </c>
      <c r="E475" s="41">
        <v>0</v>
      </c>
      <c r="F475" s="41">
        <v>0</v>
      </c>
      <c r="G475" s="41">
        <v>0</v>
      </c>
      <c r="H475" s="41">
        <v>0</v>
      </c>
      <c r="I475" s="41">
        <v>0</v>
      </c>
      <c r="J475" s="41">
        <v>0</v>
      </c>
      <c r="K475" s="41">
        <v>0</v>
      </c>
      <c r="L475" s="41">
        <v>0</v>
      </c>
      <c r="M475" s="41">
        <v>0</v>
      </c>
      <c r="N475" s="41">
        <v>0</v>
      </c>
      <c r="O475" s="41">
        <v>0</v>
      </c>
      <c r="P475" s="41">
        <v>0</v>
      </c>
      <c r="Q475" s="41">
        <v>0</v>
      </c>
      <c r="R475" s="41">
        <v>0</v>
      </c>
      <c r="S475" s="41">
        <v>0</v>
      </c>
      <c r="T475" s="41">
        <v>0</v>
      </c>
      <c r="U475" s="41">
        <v>0</v>
      </c>
      <c r="V475" s="41">
        <v>0</v>
      </c>
      <c r="W475" s="41">
        <v>0</v>
      </c>
      <c r="X475" s="41">
        <v>0</v>
      </c>
      <c r="Y475" s="41">
        <v>0</v>
      </c>
      <c r="Z475" s="41">
        <v>0</v>
      </c>
      <c r="AA475" s="41">
        <v>0</v>
      </c>
      <c r="AB475" s="41">
        <v>0</v>
      </c>
      <c r="AC475" s="41">
        <v>0</v>
      </c>
      <c r="AD475" s="41">
        <v>0</v>
      </c>
      <c r="AE475" s="41">
        <v>0</v>
      </c>
      <c r="AF475" s="41">
        <v>0</v>
      </c>
      <c r="AG475" s="41">
        <v>0</v>
      </c>
      <c r="AH475" s="41">
        <v>0</v>
      </c>
      <c r="AI475" s="41">
        <v>0</v>
      </c>
      <c r="AJ475" s="41">
        <v>0</v>
      </c>
      <c r="AK475" s="41">
        <v>0</v>
      </c>
      <c r="AL475" s="41">
        <v>0</v>
      </c>
      <c r="AM475" s="41">
        <v>0</v>
      </c>
      <c r="AN475" s="41">
        <v>0</v>
      </c>
      <c r="AO475" s="41">
        <v>0</v>
      </c>
      <c r="AP475" s="41">
        <v>0</v>
      </c>
      <c r="AQ475" s="41">
        <v>0</v>
      </c>
      <c r="AR475" s="41">
        <v>0</v>
      </c>
      <c r="AS475" s="41">
        <v>0</v>
      </c>
      <c r="AT475" s="41">
        <v>0</v>
      </c>
      <c r="AU475" s="41">
        <v>0</v>
      </c>
      <c r="AV475" s="211">
        <v>0</v>
      </c>
      <c r="AW475" s="41">
        <v>0</v>
      </c>
      <c r="AX475" s="41">
        <v>0</v>
      </c>
      <c r="AY475" s="41">
        <v>0</v>
      </c>
      <c r="AZ475" s="41">
        <v>0</v>
      </c>
      <c r="BA475" s="41">
        <v>0</v>
      </c>
      <c r="BB475" s="41">
        <v>0</v>
      </c>
      <c r="BC475" s="41">
        <v>0</v>
      </c>
      <c r="BD475" s="41">
        <v>0</v>
      </c>
      <c r="BE475" s="41">
        <v>0</v>
      </c>
      <c r="BF475" s="41">
        <v>0</v>
      </c>
      <c r="BG475" s="41">
        <v>0</v>
      </c>
      <c r="BH475" s="41">
        <v>0</v>
      </c>
      <c r="BI475" s="41">
        <v>0</v>
      </c>
      <c r="BJ475" s="41">
        <v>0</v>
      </c>
      <c r="BK475" s="41">
        <v>0</v>
      </c>
      <c r="BL475" s="41">
        <v>0</v>
      </c>
      <c r="BM475" s="41">
        <v>0</v>
      </c>
      <c r="BN475" s="41">
        <v>0</v>
      </c>
      <c r="BO475" s="41">
        <v>0</v>
      </c>
      <c r="BP475" s="41"/>
      <c r="BQ475" s="41">
        <v>0</v>
      </c>
      <c r="BR475" s="41">
        <v>0</v>
      </c>
      <c r="BS475" s="41">
        <v>0</v>
      </c>
      <c r="BT475" s="41">
        <v>0</v>
      </c>
      <c r="BU475" s="41">
        <v>0</v>
      </c>
      <c r="BV475" s="41">
        <v>0</v>
      </c>
      <c r="BW475" s="41">
        <v>0</v>
      </c>
      <c r="BX475" s="41">
        <v>0</v>
      </c>
      <c r="BY475" s="41">
        <v>0</v>
      </c>
      <c r="BZ475" s="41">
        <v>0</v>
      </c>
      <c r="CA475" s="41">
        <v>0</v>
      </c>
      <c r="CB475" s="41">
        <v>0</v>
      </c>
      <c r="CC475" s="41">
        <v>0</v>
      </c>
      <c r="CD475" s="41">
        <v>0</v>
      </c>
      <c r="CE475" s="41">
        <v>0</v>
      </c>
      <c r="CF475" s="41">
        <v>0</v>
      </c>
      <c r="CG475" s="41">
        <v>0</v>
      </c>
      <c r="CH475" s="41">
        <v>0</v>
      </c>
      <c r="CI475" s="41">
        <v>0</v>
      </c>
      <c r="CJ475" s="41">
        <v>0</v>
      </c>
      <c r="CK475" s="41">
        <v>0</v>
      </c>
      <c r="CL475" s="41">
        <v>0</v>
      </c>
      <c r="CM475" s="41">
        <v>0</v>
      </c>
      <c r="CN475" s="41">
        <v>0</v>
      </c>
      <c r="CO475" s="41">
        <v>0</v>
      </c>
      <c r="CP475" s="41">
        <v>0</v>
      </c>
      <c r="CQ475" s="41">
        <v>0</v>
      </c>
      <c r="CR475" s="41">
        <v>0</v>
      </c>
      <c r="CS475" s="41">
        <v>0</v>
      </c>
      <c r="CT475" s="41">
        <v>0</v>
      </c>
      <c r="CU475" s="41">
        <v>0</v>
      </c>
      <c r="CV475" s="211">
        <v>0</v>
      </c>
      <c r="CW475" s="41">
        <v>0</v>
      </c>
      <c r="CX475" s="41">
        <v>0</v>
      </c>
      <c r="CY475" s="41">
        <v>0</v>
      </c>
      <c r="CZ475" s="41">
        <v>0</v>
      </c>
      <c r="DA475" s="41">
        <v>0</v>
      </c>
      <c r="DB475" s="41">
        <v>0</v>
      </c>
      <c r="DC475" s="41">
        <v>0</v>
      </c>
      <c r="DD475" s="41">
        <v>0</v>
      </c>
      <c r="DE475" s="41">
        <v>0</v>
      </c>
      <c r="DF475" s="41">
        <v>0</v>
      </c>
    </row>
    <row r="476" spans="1:110" ht="12" hidden="1" outlineLevel="2">
      <c r="A476" s="1" t="s">
        <v>101</v>
      </c>
      <c r="B476" s="15" t="s">
        <v>361</v>
      </c>
      <c r="C476" s="40">
        <v>0</v>
      </c>
      <c r="D476" s="40">
        <v>0</v>
      </c>
      <c r="E476" s="40">
        <v>0</v>
      </c>
      <c r="F476" s="40">
        <v>0</v>
      </c>
      <c r="G476" s="40">
        <v>0</v>
      </c>
      <c r="H476" s="40">
        <v>0</v>
      </c>
      <c r="I476" s="40">
        <v>0</v>
      </c>
      <c r="J476" s="40">
        <v>0</v>
      </c>
      <c r="K476" s="40">
        <v>0</v>
      </c>
      <c r="L476" s="40">
        <v>0</v>
      </c>
      <c r="M476" s="40">
        <v>0</v>
      </c>
      <c r="N476" s="40">
        <v>0</v>
      </c>
      <c r="O476" s="40">
        <v>0</v>
      </c>
      <c r="P476" s="40">
        <v>0</v>
      </c>
      <c r="Q476" s="40">
        <v>0</v>
      </c>
      <c r="R476" s="40">
        <v>0</v>
      </c>
      <c r="S476" s="40">
        <v>0</v>
      </c>
      <c r="T476" s="40">
        <v>0</v>
      </c>
      <c r="U476" s="40">
        <v>0</v>
      </c>
      <c r="V476" s="40">
        <v>0</v>
      </c>
      <c r="W476" s="40">
        <v>0</v>
      </c>
      <c r="X476" s="40">
        <v>0</v>
      </c>
      <c r="Y476" s="40">
        <v>0</v>
      </c>
      <c r="Z476" s="141">
        <v>0</v>
      </c>
      <c r="AA476" s="141">
        <v>0</v>
      </c>
      <c r="AB476" s="141">
        <v>0</v>
      </c>
      <c r="AC476" s="141">
        <v>0</v>
      </c>
      <c r="AD476" s="141">
        <v>0</v>
      </c>
      <c r="AE476" s="141">
        <v>0</v>
      </c>
      <c r="AF476" s="141">
        <v>0</v>
      </c>
      <c r="AG476" s="141">
        <v>0</v>
      </c>
      <c r="AH476" s="141">
        <v>0</v>
      </c>
      <c r="AI476" s="141">
        <v>0</v>
      </c>
      <c r="AJ476" s="141">
        <v>0</v>
      </c>
      <c r="AK476" s="141">
        <v>0</v>
      </c>
      <c r="AL476" s="141">
        <v>0</v>
      </c>
      <c r="AM476" s="141">
        <v>0</v>
      </c>
      <c r="AN476" s="141">
        <v>0</v>
      </c>
      <c r="AO476" s="141">
        <v>0</v>
      </c>
      <c r="AP476" s="141">
        <v>0</v>
      </c>
      <c r="AQ476" s="141">
        <v>0</v>
      </c>
      <c r="AR476" s="141">
        <v>0</v>
      </c>
      <c r="AS476" s="141">
        <v>0</v>
      </c>
      <c r="AT476" s="141">
        <v>0</v>
      </c>
      <c r="AU476" s="141">
        <v>0</v>
      </c>
      <c r="AV476" s="226">
        <v>0</v>
      </c>
      <c r="AW476" s="210">
        <v>0</v>
      </c>
      <c r="AX476" s="210">
        <v>0</v>
      </c>
      <c r="AY476" s="210">
        <v>0</v>
      </c>
      <c r="AZ476" s="210">
        <v>0</v>
      </c>
      <c r="BA476" s="210">
        <v>0</v>
      </c>
      <c r="BB476" s="210">
        <v>0</v>
      </c>
      <c r="BC476" s="210">
        <v>0</v>
      </c>
      <c r="BD476" s="210">
        <v>0</v>
      </c>
      <c r="BE476" s="210">
        <v>0</v>
      </c>
      <c r="BF476" s="210">
        <v>0</v>
      </c>
      <c r="BG476" s="210">
        <v>0</v>
      </c>
      <c r="BH476" s="210">
        <v>0</v>
      </c>
      <c r="BI476" s="210">
        <v>0</v>
      </c>
      <c r="BJ476" s="210">
        <v>0</v>
      </c>
      <c r="BK476" s="210">
        <v>0</v>
      </c>
      <c r="BL476" s="210">
        <v>0</v>
      </c>
      <c r="BM476" s="210">
        <v>0</v>
      </c>
      <c r="BN476" s="210">
        <v>0</v>
      </c>
      <c r="BO476" s="210">
        <v>0</v>
      </c>
      <c r="BP476" s="41"/>
      <c r="BQ476" s="40">
        <v>0</v>
      </c>
      <c r="BR476" s="40">
        <v>0</v>
      </c>
      <c r="BS476" s="40">
        <v>0</v>
      </c>
      <c r="BT476" s="40">
        <v>0</v>
      </c>
      <c r="BU476" s="40">
        <v>0</v>
      </c>
      <c r="BV476" s="40">
        <v>0</v>
      </c>
      <c r="BW476" s="40">
        <v>0</v>
      </c>
      <c r="BX476" s="40">
        <v>0</v>
      </c>
      <c r="BY476" s="40">
        <v>0</v>
      </c>
      <c r="BZ476" s="40">
        <v>0</v>
      </c>
      <c r="CA476" s="41">
        <v>0</v>
      </c>
      <c r="CB476" s="41">
        <v>0</v>
      </c>
      <c r="CC476" s="41">
        <v>0</v>
      </c>
      <c r="CD476" s="41">
        <v>0</v>
      </c>
      <c r="CE476" s="41">
        <v>0</v>
      </c>
      <c r="CF476" s="41">
        <v>0</v>
      </c>
      <c r="CG476" s="41">
        <v>0</v>
      </c>
      <c r="CH476" s="41">
        <v>0</v>
      </c>
      <c r="CI476" s="41">
        <v>0</v>
      </c>
      <c r="CJ476" s="41">
        <v>0</v>
      </c>
      <c r="CK476" s="41">
        <v>0</v>
      </c>
      <c r="CL476" s="41">
        <v>0</v>
      </c>
      <c r="CM476" s="41">
        <v>0</v>
      </c>
      <c r="CN476" s="41">
        <v>0</v>
      </c>
      <c r="CO476" s="41">
        <v>0</v>
      </c>
      <c r="CP476" s="41">
        <v>0</v>
      </c>
      <c r="CQ476" s="41">
        <v>0</v>
      </c>
      <c r="CR476" s="41">
        <v>0</v>
      </c>
      <c r="CS476" s="41">
        <v>0</v>
      </c>
      <c r="CT476" s="41">
        <v>0</v>
      </c>
      <c r="CU476" s="41">
        <v>0</v>
      </c>
      <c r="CV476" s="211">
        <v>0</v>
      </c>
      <c r="CW476" s="41">
        <v>0</v>
      </c>
      <c r="CX476" s="41">
        <v>0</v>
      </c>
      <c r="CY476" s="41">
        <v>0</v>
      </c>
      <c r="CZ476" s="41">
        <v>0</v>
      </c>
      <c r="DA476" s="41">
        <v>0</v>
      </c>
      <c r="DB476" s="41">
        <v>0</v>
      </c>
      <c r="DC476" s="41">
        <v>0</v>
      </c>
      <c r="DD476" s="41">
        <v>0</v>
      </c>
      <c r="DE476" s="41">
        <v>0</v>
      </c>
      <c r="DF476" s="41">
        <v>0</v>
      </c>
    </row>
    <row r="477" spans="1:110" ht="12" hidden="1" outlineLevel="2">
      <c r="A477" s="1" t="s">
        <v>102</v>
      </c>
      <c r="B477" s="15" t="s">
        <v>425</v>
      </c>
      <c r="C477" s="40">
        <v>0</v>
      </c>
      <c r="D477" s="40">
        <v>0</v>
      </c>
      <c r="E477" s="40">
        <v>0</v>
      </c>
      <c r="F477" s="40">
        <v>0</v>
      </c>
      <c r="G477" s="40">
        <v>0</v>
      </c>
      <c r="H477" s="40">
        <v>0</v>
      </c>
      <c r="I477" s="40">
        <v>0</v>
      </c>
      <c r="J477" s="40">
        <v>0</v>
      </c>
      <c r="K477" s="40">
        <v>0</v>
      </c>
      <c r="L477" s="40">
        <v>0</v>
      </c>
      <c r="M477" s="40">
        <v>0</v>
      </c>
      <c r="N477" s="40">
        <v>0</v>
      </c>
      <c r="O477" s="40">
        <v>0</v>
      </c>
      <c r="P477" s="40">
        <v>-45</v>
      </c>
      <c r="Q477" s="40">
        <v>-97</v>
      </c>
      <c r="R477" s="40">
        <v>-62</v>
      </c>
      <c r="S477" s="40">
        <v>11</v>
      </c>
      <c r="T477" s="40">
        <v>-16</v>
      </c>
      <c r="U477" s="40">
        <v>-17</v>
      </c>
      <c r="V477" s="40">
        <v>0</v>
      </c>
      <c r="W477" s="40">
        <v>0</v>
      </c>
      <c r="X477" s="40">
        <v>0</v>
      </c>
      <c r="Y477" s="40">
        <v>0</v>
      </c>
      <c r="Z477" s="141">
        <v>0</v>
      </c>
      <c r="AA477" s="141">
        <v>0</v>
      </c>
      <c r="AB477" s="141">
        <v>0</v>
      </c>
      <c r="AC477" s="141">
        <v>0</v>
      </c>
      <c r="AD477" s="141">
        <v>0</v>
      </c>
      <c r="AE477" s="141">
        <v>0</v>
      </c>
      <c r="AF477" s="141">
        <v>0</v>
      </c>
      <c r="AG477" s="141">
        <v>0</v>
      </c>
      <c r="AH477" s="141">
        <v>0</v>
      </c>
      <c r="AI477" s="141">
        <v>0</v>
      </c>
      <c r="AJ477" s="141">
        <v>0</v>
      </c>
      <c r="AK477" s="141">
        <v>0</v>
      </c>
      <c r="AL477" s="141">
        <v>0</v>
      </c>
      <c r="AM477" s="141">
        <v>0</v>
      </c>
      <c r="AN477" s="141">
        <v>0</v>
      </c>
      <c r="AO477" s="141">
        <v>0</v>
      </c>
      <c r="AP477" s="141">
        <v>0</v>
      </c>
      <c r="AQ477" s="141">
        <v>0</v>
      </c>
      <c r="AR477" s="141">
        <v>0</v>
      </c>
      <c r="AS477" s="141">
        <v>0</v>
      </c>
      <c r="AT477" s="141">
        <v>0</v>
      </c>
      <c r="AU477" s="141">
        <v>0</v>
      </c>
      <c r="AV477" s="226">
        <v>0</v>
      </c>
      <c r="AW477" s="210">
        <v>0</v>
      </c>
      <c r="AX477" s="210">
        <v>0</v>
      </c>
      <c r="AY477" s="210">
        <v>0</v>
      </c>
      <c r="AZ477" s="210">
        <v>0</v>
      </c>
      <c r="BA477" s="210">
        <v>0</v>
      </c>
      <c r="BB477" s="210">
        <v>0</v>
      </c>
      <c r="BC477" s="210">
        <v>0</v>
      </c>
      <c r="BD477" s="210">
        <v>0</v>
      </c>
      <c r="BE477" s="210">
        <v>0</v>
      </c>
      <c r="BF477" s="210">
        <v>0</v>
      </c>
      <c r="BG477" s="210">
        <v>0</v>
      </c>
      <c r="BH477" s="210">
        <v>0</v>
      </c>
      <c r="BI477" s="210">
        <v>0</v>
      </c>
      <c r="BJ477" s="210">
        <v>0</v>
      </c>
      <c r="BK477" s="210">
        <v>0</v>
      </c>
      <c r="BL477" s="210">
        <v>0</v>
      </c>
      <c r="BM477" s="210">
        <v>0</v>
      </c>
      <c r="BN477" s="210">
        <v>0</v>
      </c>
      <c r="BO477" s="210">
        <v>0</v>
      </c>
      <c r="BP477" s="41"/>
      <c r="BQ477" s="40">
        <v>0</v>
      </c>
      <c r="BR477" s="40">
        <v>0</v>
      </c>
      <c r="BS477" s="40">
        <v>0</v>
      </c>
      <c r="BT477" s="40">
        <v>0</v>
      </c>
      <c r="BU477" s="40">
        <v>0</v>
      </c>
      <c r="BV477" s="40">
        <v>0</v>
      </c>
      <c r="BW477" s="40">
        <v>0</v>
      </c>
      <c r="BX477" s="40">
        <v>0</v>
      </c>
      <c r="BY477" s="40">
        <v>0</v>
      </c>
      <c r="BZ477" s="40">
        <v>0</v>
      </c>
      <c r="CA477" s="41">
        <v>0</v>
      </c>
      <c r="CB477" s="41">
        <v>0</v>
      </c>
      <c r="CC477" s="41">
        <v>0</v>
      </c>
      <c r="CD477" s="41">
        <v>0</v>
      </c>
      <c r="CE477" s="41">
        <v>0</v>
      </c>
      <c r="CF477" s="41">
        <v>0</v>
      </c>
      <c r="CG477" s="41">
        <v>-142</v>
      </c>
      <c r="CH477" s="41">
        <v>-51</v>
      </c>
      <c r="CI477" s="41">
        <v>-33</v>
      </c>
      <c r="CJ477" s="41">
        <v>0</v>
      </c>
      <c r="CK477" s="41">
        <v>0</v>
      </c>
      <c r="CL477" s="41">
        <v>0</v>
      </c>
      <c r="CM477" s="41">
        <v>0</v>
      </c>
      <c r="CN477" s="41">
        <v>0</v>
      </c>
      <c r="CO477" s="41">
        <v>0</v>
      </c>
      <c r="CP477" s="41">
        <v>0</v>
      </c>
      <c r="CQ477" s="41">
        <v>0</v>
      </c>
      <c r="CR477" s="41">
        <v>0</v>
      </c>
      <c r="CS477" s="41">
        <v>0</v>
      </c>
      <c r="CT477" s="41">
        <v>0</v>
      </c>
      <c r="CU477" s="41">
        <v>0</v>
      </c>
      <c r="CV477" s="211">
        <v>0</v>
      </c>
      <c r="CW477" s="41">
        <v>0</v>
      </c>
      <c r="CX477" s="41">
        <v>0</v>
      </c>
      <c r="CY477" s="41">
        <v>0</v>
      </c>
      <c r="CZ477" s="41">
        <v>0</v>
      </c>
      <c r="DA477" s="41">
        <v>0</v>
      </c>
      <c r="DB477" s="41">
        <v>0</v>
      </c>
      <c r="DC477" s="41">
        <v>0</v>
      </c>
      <c r="DD477" s="41">
        <v>0</v>
      </c>
      <c r="DE477" s="41">
        <v>0</v>
      </c>
      <c r="DF477" s="41">
        <v>0</v>
      </c>
    </row>
    <row r="478" spans="1:110" s="17" customFormat="1" ht="12" hidden="1" outlineLevel="2">
      <c r="A478" s="1" t="s">
        <v>103</v>
      </c>
      <c r="B478" s="17" t="s">
        <v>498</v>
      </c>
      <c r="C478" s="61">
        <v>-290</v>
      </c>
      <c r="D478" s="61">
        <v>-301</v>
      </c>
      <c r="E478" s="61">
        <v>-309</v>
      </c>
      <c r="F478" s="61">
        <v>-303</v>
      </c>
      <c r="G478" s="61">
        <v>-311</v>
      </c>
      <c r="H478" s="61">
        <v>-313</v>
      </c>
      <c r="I478" s="61">
        <v>-319</v>
      </c>
      <c r="J478" s="61">
        <v>-240</v>
      </c>
      <c r="K478" s="61">
        <v>-325</v>
      </c>
      <c r="L478" s="61">
        <v>-224</v>
      </c>
      <c r="M478" s="61">
        <v>-183</v>
      </c>
      <c r="N478" s="61">
        <v>-240</v>
      </c>
      <c r="O478" s="61">
        <v>-282</v>
      </c>
      <c r="P478" s="61">
        <v>-726</v>
      </c>
      <c r="Q478" s="61">
        <v>-1364</v>
      </c>
      <c r="R478" s="61">
        <v>-1435</v>
      </c>
      <c r="S478" s="61">
        <v>-1621</v>
      </c>
      <c r="T478" s="61">
        <v>-1098</v>
      </c>
      <c r="U478" s="61">
        <v>-722</v>
      </c>
      <c r="V478" s="61">
        <v>-660</v>
      </c>
      <c r="W478" s="61">
        <v>-560</v>
      </c>
      <c r="X478" s="61">
        <v>-570</v>
      </c>
      <c r="Y478" s="61">
        <v>-688</v>
      </c>
      <c r="Z478" s="194">
        <v>-599</v>
      </c>
      <c r="AA478" s="194">
        <v>-598</v>
      </c>
      <c r="AB478" s="194">
        <v>-528</v>
      </c>
      <c r="AC478" s="194">
        <v>-461</v>
      </c>
      <c r="AD478" s="194">
        <v>-510</v>
      </c>
      <c r="AE478" s="194">
        <v>-695</v>
      </c>
      <c r="AF478" s="194">
        <v>-918</v>
      </c>
      <c r="AG478" s="194">
        <v>-1038</v>
      </c>
      <c r="AH478" s="194">
        <v>-720</v>
      </c>
      <c r="AI478" s="194">
        <v>-479</v>
      </c>
      <c r="AJ478" s="194">
        <v>-408</v>
      </c>
      <c r="AK478" s="194">
        <v>-280</v>
      </c>
      <c r="AL478" s="194">
        <v>-393</v>
      </c>
      <c r="AM478" s="194">
        <v>-402</v>
      </c>
      <c r="AN478" s="194">
        <v>-1674</v>
      </c>
      <c r="AO478" s="194">
        <v>-1064</v>
      </c>
      <c r="AP478" s="194">
        <v>491</v>
      </c>
      <c r="AQ478" s="194">
        <v>76</v>
      </c>
      <c r="AR478" s="194">
        <v>284</v>
      </c>
      <c r="AS478" s="194">
        <v>-52</v>
      </c>
      <c r="AT478" s="194">
        <v>-133</v>
      </c>
      <c r="AU478" s="194">
        <v>-112</v>
      </c>
      <c r="AV478" s="227">
        <v>-70</v>
      </c>
      <c r="AW478" s="62">
        <v>-230.21124296838011</v>
      </c>
      <c r="AX478" s="62">
        <v>-627.28264559140564</v>
      </c>
      <c r="AY478" s="62">
        <v>-646.55201339071073</v>
      </c>
      <c r="AZ478" s="62">
        <v>-657.19032765031852</v>
      </c>
      <c r="BA478" s="62">
        <v>-671.4448777150053</v>
      </c>
      <c r="BB478" s="62">
        <v>-672.51954185663612</v>
      </c>
      <c r="BC478" s="62">
        <v>-679.34977811451722</v>
      </c>
      <c r="BD478" s="62">
        <v>-692.33321045330035</v>
      </c>
      <c r="BE478" s="62">
        <v>-707.29483042217112</v>
      </c>
      <c r="BF478" s="62">
        <v>-721.32701551122182</v>
      </c>
      <c r="BG478" s="62">
        <v>-739.5337176079961</v>
      </c>
      <c r="BH478" s="62">
        <v>-1480.914255328687</v>
      </c>
      <c r="BI478" s="62">
        <v>-2292.8757173624867</v>
      </c>
      <c r="BJ478" s="62">
        <v>-2338.8019798776327</v>
      </c>
      <c r="BK478" s="62">
        <v>-1660.0651400363329</v>
      </c>
      <c r="BL478" s="62">
        <v>-1040.8991902007883</v>
      </c>
      <c r="BM478" s="62">
        <v>-1066.7020004352585</v>
      </c>
      <c r="BN478" s="62">
        <v>-1078.9209827084208</v>
      </c>
      <c r="BO478" s="62">
        <v>-1108.0676070441045</v>
      </c>
      <c r="BP478" s="62"/>
      <c r="BQ478" s="61">
        <v>-1937</v>
      </c>
      <c r="BR478" s="61">
        <v>-634</v>
      </c>
      <c r="BS478" s="61">
        <v>-388</v>
      </c>
      <c r="BT478" s="61">
        <v>-237</v>
      </c>
      <c r="BU478" s="61">
        <v>-175</v>
      </c>
      <c r="BV478" s="61">
        <v>-400</v>
      </c>
      <c r="BW478" s="61">
        <v>-487</v>
      </c>
      <c r="BX478" s="61">
        <v>-510</v>
      </c>
      <c r="BY478" s="61">
        <v>-502</v>
      </c>
      <c r="BZ478" s="61">
        <v>-531</v>
      </c>
      <c r="CA478" s="62">
        <v>-610</v>
      </c>
      <c r="CB478" s="62">
        <v>-614</v>
      </c>
      <c r="CC478" s="62">
        <v>-632</v>
      </c>
      <c r="CD478" s="62">
        <v>-565</v>
      </c>
      <c r="CE478" s="62">
        <v>-407</v>
      </c>
      <c r="CF478" s="62">
        <v>-522</v>
      </c>
      <c r="CG478" s="62">
        <v>-2090</v>
      </c>
      <c r="CH478" s="62">
        <v>-3056</v>
      </c>
      <c r="CI478" s="62">
        <v>-1820</v>
      </c>
      <c r="CJ478" s="62">
        <v>-1220</v>
      </c>
      <c r="CK478" s="62">
        <v>-1258</v>
      </c>
      <c r="CL478" s="62">
        <v>-1197</v>
      </c>
      <c r="CM478" s="62">
        <v>-989</v>
      </c>
      <c r="CN478" s="62">
        <v>-1205</v>
      </c>
      <c r="CO478" s="62">
        <v>-1956</v>
      </c>
      <c r="CP478" s="62">
        <v>-1199</v>
      </c>
      <c r="CQ478" s="62">
        <v>-688</v>
      </c>
      <c r="CR478" s="62">
        <v>-795</v>
      </c>
      <c r="CS478" s="62">
        <v>-2738</v>
      </c>
      <c r="CT478" s="62">
        <v>567</v>
      </c>
      <c r="CU478" s="62">
        <v>232</v>
      </c>
      <c r="CV478" s="220">
        <v>-245</v>
      </c>
      <c r="CW478" s="62">
        <v>-300.21124296838013</v>
      </c>
      <c r="CX478" s="62">
        <v>-1273.8346589821163</v>
      </c>
      <c r="CY478" s="62">
        <v>-1328.6352053653238</v>
      </c>
      <c r="CZ478" s="62">
        <v>-1351.8693199711533</v>
      </c>
      <c r="DA478" s="62">
        <v>-1399.6280408754715</v>
      </c>
      <c r="DB478" s="62">
        <v>-1460.8607331192179</v>
      </c>
      <c r="DC478" s="62">
        <v>-3773.7899726911737</v>
      </c>
      <c r="DD478" s="62">
        <v>-3998.8671199139653</v>
      </c>
      <c r="DE478" s="62">
        <v>-2107.6011906360468</v>
      </c>
      <c r="DF478" s="62">
        <v>-2186.9885897525255</v>
      </c>
    </row>
    <row r="479" spans="1:110" ht="12" hidden="1" outlineLevel="2">
      <c r="A479" s="1" t="s">
        <v>104</v>
      </c>
      <c r="B479" s="15" t="s">
        <v>529</v>
      </c>
      <c r="C479" s="41">
        <v>0</v>
      </c>
      <c r="D479" s="41">
        <v>-250</v>
      </c>
      <c r="E479" s="41">
        <v>0</v>
      </c>
      <c r="F479" s="41">
        <v>0</v>
      </c>
      <c r="G479" s="41">
        <v>0</v>
      </c>
      <c r="H479" s="41">
        <v>0</v>
      </c>
      <c r="I479" s="41">
        <v>0</v>
      </c>
      <c r="J479" s="41">
        <v>-44</v>
      </c>
      <c r="K479" s="41">
        <v>29</v>
      </c>
      <c r="L479" s="41">
        <v>0</v>
      </c>
      <c r="M479" s="41">
        <v>0</v>
      </c>
      <c r="N479" s="41">
        <v>0</v>
      </c>
      <c r="O479" s="41">
        <v>0</v>
      </c>
      <c r="P479" s="41">
        <v>45</v>
      </c>
      <c r="Q479" s="41">
        <v>97</v>
      </c>
      <c r="R479" s="41">
        <v>62</v>
      </c>
      <c r="S479" s="41">
        <v>-11</v>
      </c>
      <c r="T479" s="41">
        <v>16</v>
      </c>
      <c r="U479" s="41">
        <v>17</v>
      </c>
      <c r="V479" s="41">
        <v>-15</v>
      </c>
      <c r="W479" s="41">
        <v>-2</v>
      </c>
      <c r="X479" s="41">
        <v>32</v>
      </c>
      <c r="Y479" s="41">
        <v>28</v>
      </c>
      <c r="Z479" s="41">
        <v>11</v>
      </c>
      <c r="AA479" s="41">
        <v>-2</v>
      </c>
      <c r="AB479" s="41">
        <v>1</v>
      </c>
      <c r="AC479" s="41">
        <v>2</v>
      </c>
      <c r="AD479" s="41">
        <v>16</v>
      </c>
      <c r="AE479" s="41">
        <v>10</v>
      </c>
      <c r="AF479" s="41">
        <v>14</v>
      </c>
      <c r="AG479" s="41">
        <v>13</v>
      </c>
      <c r="AH479" s="41">
        <v>1</v>
      </c>
      <c r="AI479" s="41">
        <v>0</v>
      </c>
      <c r="AJ479" s="41">
        <v>0</v>
      </c>
      <c r="AK479" s="41">
        <v>0</v>
      </c>
      <c r="AL479" s="41">
        <v>1</v>
      </c>
      <c r="AM479" s="41">
        <v>0</v>
      </c>
      <c r="AN479" s="41">
        <v>0</v>
      </c>
      <c r="AO479" s="41">
        <v>0</v>
      </c>
      <c r="AP479" s="41">
        <v>0</v>
      </c>
      <c r="AQ479" s="41">
        <v>0</v>
      </c>
      <c r="AR479" s="41">
        <v>0</v>
      </c>
      <c r="AS479" s="41">
        <v>0</v>
      </c>
      <c r="AT479" s="41">
        <v>0</v>
      </c>
      <c r="AU479" s="41">
        <v>0</v>
      </c>
      <c r="AV479" s="211">
        <v>0</v>
      </c>
      <c r="AW479" s="210">
        <v>0</v>
      </c>
      <c r="AX479" s="210">
        <v>0</v>
      </c>
      <c r="AY479" s="210">
        <v>0</v>
      </c>
      <c r="AZ479" s="210">
        <v>0</v>
      </c>
      <c r="BA479" s="210">
        <v>0</v>
      </c>
      <c r="BB479" s="210">
        <v>0</v>
      </c>
      <c r="BC479" s="210">
        <v>0</v>
      </c>
      <c r="BD479" s="210">
        <v>0</v>
      </c>
      <c r="BE479" s="210">
        <v>0</v>
      </c>
      <c r="BF479" s="210">
        <v>0</v>
      </c>
      <c r="BG479" s="210">
        <v>0</v>
      </c>
      <c r="BH479" s="210">
        <v>0</v>
      </c>
      <c r="BI479" s="210">
        <v>0</v>
      </c>
      <c r="BJ479" s="210">
        <v>0</v>
      </c>
      <c r="BK479" s="210">
        <v>0</v>
      </c>
      <c r="BL479" s="210">
        <v>0</v>
      </c>
      <c r="BM479" s="210">
        <v>0</v>
      </c>
      <c r="BN479" s="210">
        <v>0</v>
      </c>
      <c r="BO479" s="210">
        <v>0</v>
      </c>
      <c r="BP479" s="41"/>
      <c r="BQ479" s="41">
        <v>0</v>
      </c>
      <c r="BR479" s="41">
        <v>0</v>
      </c>
      <c r="BS479" s="41">
        <v>0</v>
      </c>
      <c r="BT479" s="41">
        <v>0</v>
      </c>
      <c r="BU479" s="41">
        <v>0</v>
      </c>
      <c r="BV479" s="41">
        <v>0</v>
      </c>
      <c r="BW479" s="41">
        <v>0</v>
      </c>
      <c r="BX479" s="41">
        <v>0</v>
      </c>
      <c r="BY479" s="41">
        <v>0</v>
      </c>
      <c r="BZ479" s="41">
        <v>0</v>
      </c>
      <c r="CA479" s="41">
        <v>-250</v>
      </c>
      <c r="CB479" s="41">
        <v>0</v>
      </c>
      <c r="CC479" s="41">
        <v>0</v>
      </c>
      <c r="CD479" s="41">
        <v>-15</v>
      </c>
      <c r="CE479" s="41">
        <v>0</v>
      </c>
      <c r="CF479" s="41">
        <v>0</v>
      </c>
      <c r="CG479" s="41">
        <v>142</v>
      </c>
      <c r="CH479" s="41">
        <v>51</v>
      </c>
      <c r="CI479" s="41">
        <v>33</v>
      </c>
      <c r="CJ479" s="41">
        <v>-17</v>
      </c>
      <c r="CK479" s="41">
        <v>60</v>
      </c>
      <c r="CL479" s="41">
        <v>9</v>
      </c>
      <c r="CM479" s="41">
        <v>3</v>
      </c>
      <c r="CN479" s="41">
        <v>26</v>
      </c>
      <c r="CO479" s="41">
        <v>27</v>
      </c>
      <c r="CP479" s="41">
        <v>1</v>
      </c>
      <c r="CQ479" s="41">
        <v>0</v>
      </c>
      <c r="CR479" s="41">
        <v>1</v>
      </c>
      <c r="CS479" s="41">
        <v>0</v>
      </c>
      <c r="CT479" s="41">
        <v>0</v>
      </c>
      <c r="CU479" s="41">
        <v>0</v>
      </c>
      <c r="CV479" s="211">
        <v>0</v>
      </c>
      <c r="CW479" s="41">
        <v>0</v>
      </c>
      <c r="CX479" s="41">
        <v>0</v>
      </c>
      <c r="CY479" s="41">
        <v>0</v>
      </c>
      <c r="CZ479" s="41">
        <v>0</v>
      </c>
      <c r="DA479" s="41">
        <v>0</v>
      </c>
      <c r="DB479" s="41">
        <v>0</v>
      </c>
      <c r="DC479" s="41">
        <v>0</v>
      </c>
      <c r="DD479" s="41">
        <v>0</v>
      </c>
      <c r="DE479" s="41">
        <v>0</v>
      </c>
      <c r="DF479" s="41">
        <v>0</v>
      </c>
    </row>
    <row r="480" spans="1:110" s="17" customFormat="1" ht="12" hidden="1" outlineLevel="2">
      <c r="A480" s="1" t="s">
        <v>105</v>
      </c>
      <c r="B480" s="17" t="s">
        <v>507</v>
      </c>
      <c r="C480" s="61">
        <v>-290</v>
      </c>
      <c r="D480" s="61">
        <v>-551</v>
      </c>
      <c r="E480" s="61">
        <v>-309</v>
      </c>
      <c r="F480" s="61">
        <v>-303</v>
      </c>
      <c r="G480" s="61">
        <v>-311</v>
      </c>
      <c r="H480" s="61">
        <v>-313</v>
      </c>
      <c r="I480" s="61">
        <v>-319</v>
      </c>
      <c r="J480" s="61">
        <v>-284</v>
      </c>
      <c r="K480" s="61">
        <v>-296</v>
      </c>
      <c r="L480" s="61">
        <v>-224</v>
      </c>
      <c r="M480" s="61">
        <v>-183</v>
      </c>
      <c r="N480" s="61">
        <v>-240</v>
      </c>
      <c r="O480" s="61">
        <v>-282</v>
      </c>
      <c r="P480" s="61">
        <v>-681</v>
      </c>
      <c r="Q480" s="61">
        <v>-1267</v>
      </c>
      <c r="R480" s="61">
        <v>-1373</v>
      </c>
      <c r="S480" s="61">
        <v>-1632</v>
      </c>
      <c r="T480" s="61">
        <v>-1082</v>
      </c>
      <c r="U480" s="61">
        <v>-705</v>
      </c>
      <c r="V480" s="61">
        <v>-675</v>
      </c>
      <c r="W480" s="61">
        <v>-562</v>
      </c>
      <c r="X480" s="61">
        <v>-538</v>
      </c>
      <c r="Y480" s="61">
        <v>-660</v>
      </c>
      <c r="Z480" s="194">
        <v>-588</v>
      </c>
      <c r="AA480" s="194">
        <v>-600</v>
      </c>
      <c r="AB480" s="194">
        <v>-527</v>
      </c>
      <c r="AC480" s="194">
        <v>-459</v>
      </c>
      <c r="AD480" s="194">
        <v>-494</v>
      </c>
      <c r="AE480" s="194">
        <v>-685</v>
      </c>
      <c r="AF480" s="194">
        <v>-904</v>
      </c>
      <c r="AG480" s="194">
        <v>-1025</v>
      </c>
      <c r="AH480" s="194">
        <v>-719</v>
      </c>
      <c r="AI480" s="194">
        <v>-479</v>
      </c>
      <c r="AJ480" s="194">
        <v>-408</v>
      </c>
      <c r="AK480" s="194">
        <v>-280</v>
      </c>
      <c r="AL480" s="194">
        <v>-392</v>
      </c>
      <c r="AM480" s="194">
        <v>-402</v>
      </c>
      <c r="AN480" s="194">
        <v>-1674</v>
      </c>
      <c r="AO480" s="194">
        <v>-1064</v>
      </c>
      <c r="AP480" s="194">
        <v>491</v>
      </c>
      <c r="AQ480" s="194">
        <v>76</v>
      </c>
      <c r="AR480" s="194">
        <v>284</v>
      </c>
      <c r="AS480" s="194">
        <v>-52</v>
      </c>
      <c r="AT480" s="194">
        <v>-133</v>
      </c>
      <c r="AU480" s="194">
        <v>-112</v>
      </c>
      <c r="AV480" s="227">
        <v>-70</v>
      </c>
      <c r="AW480" s="62">
        <v>-230.21124296838011</v>
      </c>
      <c r="AX480" s="62">
        <v>-627.28264559140564</v>
      </c>
      <c r="AY480" s="62">
        <v>-646.55201339071073</v>
      </c>
      <c r="AZ480" s="62">
        <v>-657.19032765031852</v>
      </c>
      <c r="BA480" s="62">
        <v>-671.4448777150053</v>
      </c>
      <c r="BB480" s="62">
        <v>-672.51954185663612</v>
      </c>
      <c r="BC480" s="62">
        <v>-679.34977811451722</v>
      </c>
      <c r="BD480" s="62">
        <v>-692.33321045330035</v>
      </c>
      <c r="BE480" s="62">
        <v>-707.29483042217112</v>
      </c>
      <c r="BF480" s="62">
        <v>-721.32701551122182</v>
      </c>
      <c r="BG480" s="62">
        <v>-739.5337176079961</v>
      </c>
      <c r="BH480" s="62">
        <v>-1480.914255328687</v>
      </c>
      <c r="BI480" s="62">
        <v>-2292.8757173624867</v>
      </c>
      <c r="BJ480" s="62">
        <v>-2338.8019798776327</v>
      </c>
      <c r="BK480" s="62">
        <v>-1660.0651400363329</v>
      </c>
      <c r="BL480" s="62">
        <v>-1040.8991902007883</v>
      </c>
      <c r="BM480" s="62">
        <v>-1066.7020004352585</v>
      </c>
      <c r="BN480" s="62">
        <v>-1078.9209827084208</v>
      </c>
      <c r="BO480" s="62">
        <v>-1108.0676070441045</v>
      </c>
      <c r="BP480" s="62"/>
      <c r="BQ480" s="61">
        <v>-1937</v>
      </c>
      <c r="BR480" s="61">
        <v>-634</v>
      </c>
      <c r="BS480" s="61">
        <v>-388</v>
      </c>
      <c r="BT480" s="61">
        <v>-237</v>
      </c>
      <c r="BU480" s="61">
        <v>-175</v>
      </c>
      <c r="BV480" s="61">
        <v>-400</v>
      </c>
      <c r="BW480" s="61">
        <v>-487</v>
      </c>
      <c r="BX480" s="61">
        <v>-510</v>
      </c>
      <c r="BY480" s="61">
        <v>-502</v>
      </c>
      <c r="BZ480" s="61">
        <v>-531</v>
      </c>
      <c r="CA480" s="62">
        <v>-860</v>
      </c>
      <c r="CB480" s="62">
        <v>-614</v>
      </c>
      <c r="CC480" s="62">
        <v>-632</v>
      </c>
      <c r="CD480" s="62">
        <v>-580</v>
      </c>
      <c r="CE480" s="62">
        <v>-407</v>
      </c>
      <c r="CF480" s="62">
        <v>-522</v>
      </c>
      <c r="CG480" s="62">
        <v>-1948</v>
      </c>
      <c r="CH480" s="62">
        <v>-3005</v>
      </c>
      <c r="CI480" s="62">
        <v>-1787</v>
      </c>
      <c r="CJ480" s="62">
        <v>-1237</v>
      </c>
      <c r="CK480" s="62">
        <v>-1198</v>
      </c>
      <c r="CL480" s="62">
        <v>-1188</v>
      </c>
      <c r="CM480" s="62">
        <v>-986</v>
      </c>
      <c r="CN480" s="62">
        <v>-1179</v>
      </c>
      <c r="CO480" s="62">
        <v>-1929</v>
      </c>
      <c r="CP480" s="62">
        <v>-1198</v>
      </c>
      <c r="CQ480" s="62">
        <v>-688</v>
      </c>
      <c r="CR480" s="62">
        <v>-794</v>
      </c>
      <c r="CS480" s="62">
        <v>-2738</v>
      </c>
      <c r="CT480" s="62">
        <v>567</v>
      </c>
      <c r="CU480" s="62">
        <v>232</v>
      </c>
      <c r="CV480" s="220">
        <v>-245</v>
      </c>
      <c r="CW480" s="62">
        <v>-300.21124296838013</v>
      </c>
      <c r="CX480" s="62">
        <v>-1273.8346589821163</v>
      </c>
      <c r="CY480" s="62">
        <v>-1328.6352053653238</v>
      </c>
      <c r="CZ480" s="62">
        <v>-1351.8693199711533</v>
      </c>
      <c r="DA480" s="62">
        <v>-1399.6280408754715</v>
      </c>
      <c r="DB480" s="62">
        <v>-1460.8607331192179</v>
      </c>
      <c r="DC480" s="62">
        <v>-3773.7899726911737</v>
      </c>
      <c r="DD480" s="62">
        <v>-3998.8671199139653</v>
      </c>
      <c r="DE480" s="62">
        <v>-2107.6011906360468</v>
      </c>
      <c r="DF480" s="62">
        <v>-2186.9885897525255</v>
      </c>
    </row>
    <row r="481" spans="1:110" ht="12" outlineLevel="1" collapsed="1">
      <c r="A481" s="74"/>
      <c r="C481" s="41"/>
      <c r="D481" s="41"/>
      <c r="E481" s="41"/>
      <c r="F481" s="41"/>
      <c r="G481" s="41"/>
      <c r="H481" s="41"/>
      <c r="I481" s="41"/>
      <c r="J481" s="41"/>
      <c r="K481" s="41"/>
      <c r="L481" s="41"/>
      <c r="M481" s="41"/>
      <c r="N481" s="41"/>
      <c r="O481" s="41"/>
      <c r="P481" s="41"/>
      <c r="Q481" s="41"/>
      <c r="R481" s="41"/>
      <c r="S481" s="41"/>
      <c r="T481" s="41"/>
      <c r="U481" s="41"/>
      <c r="V481" s="41"/>
      <c r="W481" s="41"/>
      <c r="X481" s="41"/>
      <c r="Y481" s="41"/>
      <c r="Z481" s="41"/>
      <c r="AA481" s="32"/>
      <c r="AB481" s="41"/>
      <c r="AC481" s="41"/>
      <c r="AD481" s="41"/>
      <c r="AE481" s="41"/>
      <c r="AF481" s="41"/>
      <c r="AG481" s="41"/>
      <c r="AH481" s="41"/>
      <c r="AI481" s="41"/>
      <c r="AJ481" s="41"/>
      <c r="AK481" s="43"/>
      <c r="AL481" s="41"/>
      <c r="AM481" s="41"/>
      <c r="AN481" s="41"/>
      <c r="AO481" s="41"/>
      <c r="AP481" s="41"/>
      <c r="AQ481" s="41"/>
      <c r="AR481" s="41"/>
      <c r="AS481" s="41"/>
      <c r="AT481" s="41"/>
      <c r="AU481" s="41"/>
      <c r="AV481" s="211"/>
      <c r="AW481" s="218"/>
      <c r="AX481" s="218"/>
      <c r="AY481" s="41"/>
      <c r="AZ481" s="41"/>
      <c r="BA481" s="41"/>
      <c r="BB481" s="41"/>
      <c r="BC481" s="41"/>
      <c r="BD481" s="41"/>
      <c r="BE481" s="41"/>
      <c r="BF481" s="41"/>
      <c r="BG481" s="41"/>
      <c r="BH481" s="41"/>
      <c r="BI481" s="41"/>
      <c r="BJ481" s="41"/>
      <c r="BK481" s="41"/>
      <c r="BL481" s="41"/>
      <c r="BM481" s="41"/>
      <c r="BN481" s="41"/>
      <c r="BO481" s="41"/>
      <c r="BP481" s="41"/>
      <c r="BQ481" s="41"/>
      <c r="BR481" s="41"/>
      <c r="BS481" s="41"/>
      <c r="BT481" s="41"/>
      <c r="BU481" s="41"/>
      <c r="BV481" s="41"/>
      <c r="BW481" s="41"/>
      <c r="BX481" s="41"/>
      <c r="BY481" s="41"/>
      <c r="BZ481" s="41"/>
      <c r="CA481" s="41"/>
      <c r="CB481" s="41"/>
      <c r="CC481" s="41"/>
      <c r="CD481" s="41"/>
      <c r="CE481" s="41"/>
      <c r="CF481" s="41"/>
      <c r="CG481" s="41"/>
      <c r="CH481" s="41"/>
      <c r="CI481" s="41"/>
      <c r="CJ481" s="41"/>
      <c r="CK481" s="41"/>
      <c r="CL481" s="32"/>
      <c r="CM481" s="41"/>
      <c r="CN481" s="41"/>
      <c r="CO481" s="41"/>
      <c r="CP481" s="41"/>
      <c r="CQ481" s="41"/>
      <c r="CR481" s="41"/>
      <c r="CS481" s="41"/>
      <c r="CT481" s="41"/>
      <c r="CU481" s="41"/>
      <c r="CV481" s="211"/>
      <c r="CW481" s="41"/>
      <c r="CX481" s="41"/>
      <c r="CY481" s="41"/>
      <c r="CZ481" s="15"/>
      <c r="DA481" s="15"/>
      <c r="DB481" s="15"/>
      <c r="DC481" s="15"/>
      <c r="DD481" s="15"/>
      <c r="DE481" s="15"/>
      <c r="DF481" s="15"/>
    </row>
    <row r="482" spans="1:110" ht="12">
      <c r="C482" s="41"/>
      <c r="D482" s="41"/>
      <c r="E482" s="41"/>
      <c r="F482" s="41"/>
      <c r="G482" s="41"/>
      <c r="H482" s="41"/>
      <c r="I482" s="41"/>
      <c r="J482" s="41"/>
      <c r="K482" s="41"/>
      <c r="L482" s="41"/>
      <c r="M482" s="41"/>
      <c r="N482" s="41"/>
      <c r="O482" s="41"/>
      <c r="P482" s="41"/>
      <c r="Q482" s="41"/>
      <c r="R482" s="41"/>
      <c r="S482" s="41"/>
      <c r="T482" s="41"/>
      <c r="U482" s="41"/>
      <c r="V482" s="41"/>
      <c r="W482" s="41"/>
      <c r="X482" s="41"/>
      <c r="Y482" s="41"/>
      <c r="Z482" s="41"/>
      <c r="AA482" s="41"/>
      <c r="AB482" s="41"/>
      <c r="AC482" s="41"/>
      <c r="AD482" s="41"/>
      <c r="AE482" s="41"/>
      <c r="AF482" s="41"/>
      <c r="AG482" s="41"/>
      <c r="AH482" s="41"/>
      <c r="AI482" s="41"/>
      <c r="AJ482" s="41"/>
      <c r="AK482" s="41"/>
      <c r="AL482" s="41"/>
      <c r="AM482" s="41"/>
      <c r="AN482" s="41"/>
      <c r="AO482" s="41"/>
      <c r="AP482" s="41"/>
      <c r="AQ482" s="41"/>
      <c r="AR482" s="41"/>
      <c r="AS482" s="41"/>
      <c r="AT482" s="41"/>
      <c r="AU482" s="41"/>
      <c r="AV482" s="211"/>
      <c r="AW482" s="41"/>
      <c r="AX482" s="41"/>
      <c r="AY482" s="41"/>
      <c r="AZ482" s="41"/>
      <c r="BA482" s="41"/>
      <c r="BB482" s="41"/>
      <c r="BC482" s="41"/>
      <c r="BD482" s="41"/>
      <c r="BE482" s="41"/>
      <c r="BF482" s="41"/>
      <c r="BG482" s="41"/>
      <c r="BH482" s="41"/>
      <c r="BI482" s="41"/>
      <c r="BJ482" s="41"/>
      <c r="BK482" s="41"/>
      <c r="BL482" s="41"/>
      <c r="BM482" s="41"/>
      <c r="BN482" s="41"/>
      <c r="BO482" s="41"/>
      <c r="BP482" s="41"/>
      <c r="BQ482" s="41"/>
      <c r="BR482" s="41"/>
      <c r="BS482" s="41"/>
      <c r="BT482" s="41"/>
      <c r="BU482" s="41"/>
      <c r="BV482" s="41"/>
      <c r="BW482" s="41"/>
      <c r="BX482" s="41"/>
      <c r="BY482" s="41"/>
      <c r="BZ482" s="41"/>
      <c r="CA482" s="41"/>
      <c r="CB482" s="41"/>
      <c r="CC482" s="41"/>
      <c r="CD482" s="41"/>
      <c r="CE482" s="41"/>
      <c r="CF482" s="41"/>
      <c r="CG482" s="41"/>
      <c r="CH482" s="41"/>
      <c r="CI482" s="41"/>
      <c r="CJ482" s="41"/>
      <c r="CK482" s="41"/>
      <c r="CL482" s="41"/>
      <c r="CM482" s="41"/>
      <c r="CN482" s="41"/>
      <c r="CO482" s="41"/>
      <c r="CP482" s="41"/>
      <c r="CQ482" s="41"/>
      <c r="CR482" s="41"/>
      <c r="CS482" s="41"/>
      <c r="CT482" s="41"/>
      <c r="CU482" s="41"/>
      <c r="CV482" s="211"/>
      <c r="CW482" s="41"/>
      <c r="CX482" s="41"/>
      <c r="CY482" s="41"/>
      <c r="CZ482" s="15"/>
      <c r="DA482" s="15"/>
      <c r="DB482" s="15"/>
      <c r="DC482" s="15"/>
      <c r="DD482" s="15"/>
      <c r="DE482" s="15"/>
      <c r="DF482" s="15"/>
    </row>
    <row r="483" spans="1:110" s="26" customFormat="1" ht="12" collapsed="1">
      <c r="A483" s="1" t="s">
        <v>288</v>
      </c>
      <c r="B483" s="2" t="s">
        <v>349</v>
      </c>
      <c r="C483" s="60">
        <v>1444</v>
      </c>
      <c r="D483" s="60">
        <v>1495</v>
      </c>
      <c r="E483" s="60">
        <v>1558.4499999999998</v>
      </c>
      <c r="F483" s="60">
        <v>1587.0000000000002</v>
      </c>
      <c r="G483" s="60">
        <v>1704.21</v>
      </c>
      <c r="H483" s="60">
        <v>1878.23</v>
      </c>
      <c r="I483" s="60">
        <v>2031.7000000000007</v>
      </c>
      <c r="J483" s="60">
        <v>2187.3500000000004</v>
      </c>
      <c r="K483" s="60">
        <v>2236.6799999999994</v>
      </c>
      <c r="L483" s="60">
        <v>2456.8199999999997</v>
      </c>
      <c r="M483" s="60">
        <v>2645.66</v>
      </c>
      <c r="N483" s="60">
        <v>2762.8399999999997</v>
      </c>
      <c r="O483" s="60">
        <v>2817.97</v>
      </c>
      <c r="P483" s="60">
        <v>2730.0500000000006</v>
      </c>
      <c r="Q483" s="60">
        <v>1768.0900000000006</v>
      </c>
      <c r="R483" s="60">
        <v>1465.58</v>
      </c>
      <c r="S483" s="60">
        <v>3309.09</v>
      </c>
      <c r="T483" s="60">
        <v>3312</v>
      </c>
      <c r="U483" s="60">
        <v>3816</v>
      </c>
      <c r="V483" s="60">
        <v>3822</v>
      </c>
      <c r="W483" s="60">
        <v>3820</v>
      </c>
      <c r="X483" s="60">
        <v>4017</v>
      </c>
      <c r="Y483" s="60">
        <v>4327</v>
      </c>
      <c r="Z483" s="60">
        <v>4449</v>
      </c>
      <c r="AA483" s="60">
        <v>4488</v>
      </c>
      <c r="AB483" s="60">
        <v>4854</v>
      </c>
      <c r="AC483" s="60">
        <v>4975</v>
      </c>
      <c r="AD483" s="60">
        <v>5082</v>
      </c>
      <c r="AE483" s="60">
        <v>4872</v>
      </c>
      <c r="AF483" s="60">
        <v>3919</v>
      </c>
      <c r="AG483" s="60">
        <v>4280</v>
      </c>
      <c r="AH483" s="60">
        <v>4769</v>
      </c>
      <c r="AI483" s="60">
        <v>4881</v>
      </c>
      <c r="AJ483" s="60">
        <v>4989</v>
      </c>
      <c r="AK483" s="60">
        <v>4289</v>
      </c>
      <c r="AL483" s="60">
        <v>4988</v>
      </c>
      <c r="AM483" s="60">
        <v>4175</v>
      </c>
      <c r="AN483" s="60">
        <v>2300</v>
      </c>
      <c r="AO483" s="60">
        <v>3331</v>
      </c>
      <c r="AP483" s="60">
        <v>4432</v>
      </c>
      <c r="AQ483" s="60">
        <v>4531</v>
      </c>
      <c r="AR483" s="60">
        <v>4441</v>
      </c>
      <c r="AS483" s="60">
        <v>4759</v>
      </c>
      <c r="AT483" s="60">
        <v>5410</v>
      </c>
      <c r="AU483" s="60">
        <v>5111</v>
      </c>
      <c r="AV483" s="219">
        <v>5062</v>
      </c>
      <c r="AW483" s="60">
        <v>4760.7852318868445</v>
      </c>
      <c r="AX483" s="60">
        <v>4847.5423036726243</v>
      </c>
      <c r="AY483" s="60">
        <v>4804.1535334461714</v>
      </c>
      <c r="AZ483" s="60">
        <v>4924.8156923811384</v>
      </c>
      <c r="BA483" s="60">
        <v>4780.5747831594481</v>
      </c>
      <c r="BB483" s="60">
        <v>5028.8791235461622</v>
      </c>
      <c r="BC483" s="60">
        <v>4850.1875621679446</v>
      </c>
      <c r="BD483" s="60">
        <v>5224.7262390493834</v>
      </c>
      <c r="BE483" s="60">
        <v>5076.8559256030485</v>
      </c>
      <c r="BF483" s="60">
        <v>5488.070610094881</v>
      </c>
      <c r="BG483" s="60">
        <v>5366.5741843391534</v>
      </c>
      <c r="BH483" s="60">
        <v>5089.0673112122095</v>
      </c>
      <c r="BI483" s="60">
        <v>4202.5712665045467</v>
      </c>
      <c r="BJ483" s="60">
        <v>4566.5064527054274</v>
      </c>
      <c r="BK483" s="60">
        <v>5152.100579184299</v>
      </c>
      <c r="BL483" s="60">
        <v>6210.3639250600399</v>
      </c>
      <c r="BM483" s="60">
        <v>6067.3285544424762</v>
      </c>
      <c r="BN483" s="60">
        <v>6467.7023118011912</v>
      </c>
      <c r="BO483" s="60">
        <v>6244.0978972009798</v>
      </c>
      <c r="BP483" s="60"/>
      <c r="BQ483" s="60">
        <v>-719.5</v>
      </c>
      <c r="BR483" s="60">
        <v>660</v>
      </c>
      <c r="BS483" s="60">
        <v>1198</v>
      </c>
      <c r="BT483" s="60">
        <v>1485</v>
      </c>
      <c r="BU483" s="60">
        <v>1594</v>
      </c>
      <c r="BV483" s="60">
        <v>1645</v>
      </c>
      <c r="BW483" s="60">
        <v>1760</v>
      </c>
      <c r="BX483" s="60">
        <v>2222</v>
      </c>
      <c r="BY483" s="60">
        <v>2580</v>
      </c>
      <c r="BZ483" s="60">
        <v>2800</v>
      </c>
      <c r="CA483" s="60">
        <v>3053.45</v>
      </c>
      <c r="CB483" s="60">
        <v>3291.21</v>
      </c>
      <c r="CC483" s="60">
        <v>3909.9300000000003</v>
      </c>
      <c r="CD483" s="60">
        <v>4424.0299999999988</v>
      </c>
      <c r="CE483" s="60">
        <v>5102.4799999999996</v>
      </c>
      <c r="CF483" s="60">
        <v>5580.8099999999995</v>
      </c>
      <c r="CG483" s="60">
        <v>4498.1399999999994</v>
      </c>
      <c r="CH483" s="60">
        <v>4774.67</v>
      </c>
      <c r="CI483" s="60">
        <v>7128</v>
      </c>
      <c r="CJ483" s="60">
        <v>7642</v>
      </c>
      <c r="CK483" s="60">
        <v>8344</v>
      </c>
      <c r="CL483" s="60">
        <v>8937</v>
      </c>
      <c r="CM483" s="60">
        <v>9829</v>
      </c>
      <c r="CN483" s="60">
        <v>9954</v>
      </c>
      <c r="CO483" s="60">
        <v>8199</v>
      </c>
      <c r="CP483" s="60">
        <v>9650</v>
      </c>
      <c r="CQ483" s="60">
        <v>9278</v>
      </c>
      <c r="CR483" s="60">
        <v>9163</v>
      </c>
      <c r="CS483" s="60">
        <v>5631</v>
      </c>
      <c r="CT483" s="60">
        <v>8963</v>
      </c>
      <c r="CU483" s="60">
        <v>9200</v>
      </c>
      <c r="CV483" s="219">
        <v>10521</v>
      </c>
      <c r="CW483" s="60">
        <v>9822.7852318868445</v>
      </c>
      <c r="CX483" s="60">
        <v>9651.6958371187975</v>
      </c>
      <c r="CY483" s="60">
        <v>9705.3904755405893</v>
      </c>
      <c r="CZ483" s="60">
        <v>9879.0666857141077</v>
      </c>
      <c r="DA483" s="60">
        <v>10301.582164652431</v>
      </c>
      <c r="DB483" s="60">
        <v>10854.644794434038</v>
      </c>
      <c r="DC483" s="60">
        <v>9291.6385777167561</v>
      </c>
      <c r="DD483" s="60">
        <v>9718.6070318897255</v>
      </c>
      <c r="DE483" s="60">
        <v>12277.692479502515</v>
      </c>
      <c r="DF483" s="60">
        <v>12711.800209002171</v>
      </c>
    </row>
    <row r="484" spans="1:110" ht="12" hidden="1" outlineLevel="2">
      <c r="A484" s="1" t="s">
        <v>107</v>
      </c>
      <c r="B484" s="15" t="s">
        <v>857</v>
      </c>
      <c r="C484" s="41">
        <v>0</v>
      </c>
      <c r="D484" s="41">
        <v>0</v>
      </c>
      <c r="E484" s="41">
        <v>0</v>
      </c>
      <c r="F484" s="41">
        <v>0</v>
      </c>
      <c r="G484" s="41">
        <v>0</v>
      </c>
      <c r="H484" s="41">
        <v>0</v>
      </c>
      <c r="I484" s="41">
        <v>0</v>
      </c>
      <c r="J484" s="41">
        <v>0</v>
      </c>
      <c r="K484" s="41">
        <v>0</v>
      </c>
      <c r="L484" s="41">
        <v>0</v>
      </c>
      <c r="M484" s="41">
        <v>0</v>
      </c>
      <c r="N484" s="41">
        <v>0</v>
      </c>
      <c r="O484" s="41">
        <v>0</v>
      </c>
      <c r="P484" s="41">
        <v>0</v>
      </c>
      <c r="Q484" s="41">
        <v>0</v>
      </c>
      <c r="R484" s="41">
        <v>0</v>
      </c>
      <c r="S484" s="41">
        <v>0</v>
      </c>
      <c r="T484" s="41">
        <v>0</v>
      </c>
      <c r="U484" s="41">
        <v>0</v>
      </c>
      <c r="V484" s="41">
        <v>0</v>
      </c>
      <c r="W484" s="41">
        <v>0</v>
      </c>
      <c r="X484" s="41">
        <v>0</v>
      </c>
      <c r="Y484" s="41">
        <v>0</v>
      </c>
      <c r="Z484" s="41">
        <v>0</v>
      </c>
      <c r="AA484" s="41">
        <v>0</v>
      </c>
      <c r="AB484" s="41">
        <v>0</v>
      </c>
      <c r="AC484" s="41">
        <v>0</v>
      </c>
      <c r="AD484" s="41">
        <v>0</v>
      </c>
      <c r="AE484" s="41">
        <v>0</v>
      </c>
      <c r="AF484" s="41">
        <v>0</v>
      </c>
      <c r="AG484" s="41">
        <v>0</v>
      </c>
      <c r="AH484" s="41">
        <v>0</v>
      </c>
      <c r="AI484" s="41">
        <v>0</v>
      </c>
      <c r="AJ484" s="41">
        <v>0</v>
      </c>
      <c r="AK484" s="41">
        <v>0</v>
      </c>
      <c r="AL484" s="41">
        <v>0</v>
      </c>
      <c r="AM484" s="41">
        <v>0</v>
      </c>
      <c r="AN484" s="41">
        <v>0</v>
      </c>
      <c r="AO484" s="41">
        <v>0</v>
      </c>
      <c r="AP484" s="41">
        <v>0</v>
      </c>
      <c r="AQ484" s="41">
        <v>0</v>
      </c>
      <c r="AR484" s="41">
        <v>0</v>
      </c>
      <c r="AS484" s="41">
        <v>0</v>
      </c>
      <c r="AT484" s="41">
        <v>0</v>
      </c>
      <c r="AU484" s="41">
        <v>0</v>
      </c>
      <c r="AV484" s="211">
        <v>0</v>
      </c>
      <c r="AW484" s="41">
        <v>0</v>
      </c>
      <c r="AX484" s="41">
        <v>0</v>
      </c>
      <c r="AY484" s="41">
        <v>0</v>
      </c>
      <c r="AZ484" s="41">
        <v>0</v>
      </c>
      <c r="BA484" s="41">
        <v>0</v>
      </c>
      <c r="BB484" s="41">
        <v>0</v>
      </c>
      <c r="BC484" s="41">
        <v>0</v>
      </c>
      <c r="BD484" s="41">
        <v>0</v>
      </c>
      <c r="BE484" s="41">
        <v>0</v>
      </c>
      <c r="BF484" s="41">
        <v>0</v>
      </c>
      <c r="BG484" s="41">
        <v>0</v>
      </c>
      <c r="BH484" s="41">
        <v>0</v>
      </c>
      <c r="BI484" s="41">
        <v>0</v>
      </c>
      <c r="BJ484" s="41">
        <v>0</v>
      </c>
      <c r="BK484" s="41">
        <v>0</v>
      </c>
      <c r="BL484" s="41">
        <v>0</v>
      </c>
      <c r="BM484" s="41">
        <v>0</v>
      </c>
      <c r="BN484" s="41">
        <v>0</v>
      </c>
      <c r="BO484" s="41">
        <v>0</v>
      </c>
      <c r="BP484" s="41"/>
      <c r="BQ484" s="41">
        <v>0</v>
      </c>
      <c r="BR484" s="41">
        <v>0</v>
      </c>
      <c r="BS484" s="41">
        <v>0</v>
      </c>
      <c r="BT484" s="41">
        <v>0</v>
      </c>
      <c r="BU484" s="41">
        <v>0</v>
      </c>
      <c r="BV484" s="41">
        <v>0</v>
      </c>
      <c r="BW484" s="41">
        <v>0</v>
      </c>
      <c r="BX484" s="41">
        <v>0</v>
      </c>
      <c r="BY484" s="41">
        <v>0</v>
      </c>
      <c r="BZ484" s="41">
        <v>0</v>
      </c>
      <c r="CA484" s="41">
        <v>0</v>
      </c>
      <c r="CB484" s="41">
        <v>0</v>
      </c>
      <c r="CC484" s="41">
        <v>0</v>
      </c>
      <c r="CD484" s="41">
        <v>0</v>
      </c>
      <c r="CE484" s="41">
        <v>0</v>
      </c>
      <c r="CF484" s="41">
        <v>0</v>
      </c>
      <c r="CG484" s="41">
        <v>0</v>
      </c>
      <c r="CH484" s="41">
        <v>0</v>
      </c>
      <c r="CI484" s="41">
        <v>0</v>
      </c>
      <c r="CJ484" s="41">
        <v>0</v>
      </c>
      <c r="CK484" s="41">
        <v>0</v>
      </c>
      <c r="CL484" s="41">
        <v>0</v>
      </c>
      <c r="CM484" s="41">
        <v>0</v>
      </c>
      <c r="CN484" s="41">
        <v>0</v>
      </c>
      <c r="CO484" s="41">
        <v>0</v>
      </c>
      <c r="CP484" s="41">
        <v>0</v>
      </c>
      <c r="CQ484" s="41">
        <v>0</v>
      </c>
      <c r="CR484" s="41">
        <v>0</v>
      </c>
      <c r="CS484" s="41">
        <v>0</v>
      </c>
      <c r="CT484" s="41">
        <v>0</v>
      </c>
      <c r="CU484" s="41">
        <v>0</v>
      </c>
      <c r="CV484" s="211">
        <v>0</v>
      </c>
      <c r="CW484" s="41">
        <v>0</v>
      </c>
      <c r="CX484" s="41">
        <v>0</v>
      </c>
      <c r="CY484" s="41">
        <v>0</v>
      </c>
      <c r="CZ484" s="41">
        <v>0</v>
      </c>
      <c r="DA484" s="41">
        <v>0</v>
      </c>
      <c r="DB484" s="41">
        <v>0</v>
      </c>
      <c r="DC484" s="41">
        <v>0</v>
      </c>
      <c r="DD484" s="41">
        <v>0</v>
      </c>
      <c r="DE484" s="41">
        <v>0</v>
      </c>
      <c r="DF484" s="41">
        <v>0</v>
      </c>
    </row>
    <row r="485" spans="1:110" ht="12" hidden="1" outlineLevel="2">
      <c r="A485" s="1" t="s">
        <v>181</v>
      </c>
      <c r="B485" s="15" t="s">
        <v>447</v>
      </c>
      <c r="C485" s="41">
        <v>0</v>
      </c>
      <c r="D485" s="41">
        <v>0</v>
      </c>
      <c r="E485" s="41">
        <v>92.12</v>
      </c>
      <c r="F485" s="41">
        <v>101.42999999999999</v>
      </c>
      <c r="G485" s="41">
        <v>96.039999999999992</v>
      </c>
      <c r="H485" s="41">
        <v>97.02</v>
      </c>
      <c r="I485" s="41">
        <v>122.99</v>
      </c>
      <c r="J485" s="41">
        <v>92.12</v>
      </c>
      <c r="K485" s="41">
        <v>91.63</v>
      </c>
      <c r="L485" s="41">
        <v>109.75999999999999</v>
      </c>
      <c r="M485" s="41">
        <v>106.33</v>
      </c>
      <c r="N485" s="41">
        <v>125.44</v>
      </c>
      <c r="O485" s="41">
        <v>106.82</v>
      </c>
      <c r="P485" s="41">
        <v>160.63999999999999</v>
      </c>
      <c r="Q485" s="41">
        <v>224.68</v>
      </c>
      <c r="R485" s="41">
        <v>212.54</v>
      </c>
      <c r="S485" s="41">
        <v>99.27</v>
      </c>
      <c r="T485" s="41">
        <v>17</v>
      </c>
      <c r="U485" s="41">
        <v>17</v>
      </c>
      <c r="V485" s="41">
        <v>0</v>
      </c>
      <c r="W485" s="41">
        <v>0</v>
      </c>
      <c r="X485" s="41">
        <v>0</v>
      </c>
      <c r="Y485" s="41">
        <v>0</v>
      </c>
      <c r="Z485" s="41">
        <v>0</v>
      </c>
      <c r="AA485" s="41">
        <v>0</v>
      </c>
      <c r="AB485" s="41">
        <v>0</v>
      </c>
      <c r="AC485" s="41">
        <v>0</v>
      </c>
      <c r="AD485" s="41">
        <v>0</v>
      </c>
      <c r="AE485" s="41">
        <v>0</v>
      </c>
      <c r="AF485" s="41">
        <v>0</v>
      </c>
      <c r="AG485" s="41">
        <v>0</v>
      </c>
      <c r="AH485" s="41">
        <v>0</v>
      </c>
      <c r="AI485" s="41">
        <v>0</v>
      </c>
      <c r="AJ485" s="41">
        <v>0</v>
      </c>
      <c r="AK485" s="41">
        <v>0</v>
      </c>
      <c r="AL485" s="41">
        <v>0</v>
      </c>
      <c r="AM485" s="41">
        <v>0</v>
      </c>
      <c r="AN485" s="41">
        <v>0</v>
      </c>
      <c r="AO485" s="41">
        <v>0</v>
      </c>
      <c r="AP485" s="41">
        <v>0</v>
      </c>
      <c r="AQ485" s="41">
        <v>0</v>
      </c>
      <c r="AR485" s="41">
        <v>0</v>
      </c>
      <c r="AS485" s="41">
        <v>0</v>
      </c>
      <c r="AT485" s="41">
        <v>0</v>
      </c>
      <c r="AU485" s="41">
        <v>0</v>
      </c>
      <c r="AV485" s="211">
        <v>0</v>
      </c>
      <c r="AW485" s="41">
        <v>0</v>
      </c>
      <c r="AX485" s="41">
        <v>0</v>
      </c>
      <c r="AY485" s="41">
        <v>0</v>
      </c>
      <c r="AZ485" s="41">
        <v>0</v>
      </c>
      <c r="BA485" s="41">
        <v>0</v>
      </c>
      <c r="BB485" s="41">
        <v>0</v>
      </c>
      <c r="BC485" s="41">
        <v>0</v>
      </c>
      <c r="BD485" s="41">
        <v>0</v>
      </c>
      <c r="BE485" s="41">
        <v>0</v>
      </c>
      <c r="BF485" s="41">
        <v>0</v>
      </c>
      <c r="BG485" s="41">
        <v>0</v>
      </c>
      <c r="BH485" s="41">
        <v>0</v>
      </c>
      <c r="BI485" s="41">
        <v>0</v>
      </c>
      <c r="BJ485" s="41">
        <v>0</v>
      </c>
      <c r="BK485" s="41">
        <v>0</v>
      </c>
      <c r="BL485" s="41">
        <v>0</v>
      </c>
      <c r="BM485" s="41">
        <v>0</v>
      </c>
      <c r="BN485" s="41">
        <v>0</v>
      </c>
      <c r="BO485" s="41">
        <v>0</v>
      </c>
      <c r="BP485" s="41"/>
      <c r="BQ485" s="41">
        <v>0</v>
      </c>
      <c r="BR485" s="41">
        <v>0</v>
      </c>
      <c r="BS485" s="41">
        <v>0</v>
      </c>
      <c r="BT485" s="41">
        <v>0</v>
      </c>
      <c r="BU485" s="41">
        <v>0</v>
      </c>
      <c r="BV485" s="41">
        <v>0</v>
      </c>
      <c r="BW485" s="41">
        <v>0</v>
      </c>
      <c r="BX485" s="41">
        <v>0</v>
      </c>
      <c r="BY485" s="41">
        <v>0</v>
      </c>
      <c r="BZ485" s="41">
        <v>0</v>
      </c>
      <c r="CA485" s="41">
        <v>92.12</v>
      </c>
      <c r="CB485" s="41">
        <v>197.46999999999997</v>
      </c>
      <c r="CC485" s="41">
        <v>220.01</v>
      </c>
      <c r="CD485" s="41">
        <v>183.75</v>
      </c>
      <c r="CE485" s="41">
        <v>216.08999999999997</v>
      </c>
      <c r="CF485" s="41">
        <v>232.26</v>
      </c>
      <c r="CG485" s="41">
        <v>385.32</v>
      </c>
      <c r="CH485" s="41">
        <v>311.81</v>
      </c>
      <c r="CI485" s="41">
        <v>34</v>
      </c>
      <c r="CJ485" s="41">
        <v>0</v>
      </c>
      <c r="CK485" s="41">
        <v>0</v>
      </c>
      <c r="CL485" s="41">
        <v>0</v>
      </c>
      <c r="CM485" s="41">
        <v>0</v>
      </c>
      <c r="CN485" s="41">
        <v>0</v>
      </c>
      <c r="CO485" s="41">
        <v>0</v>
      </c>
      <c r="CP485" s="41">
        <v>0</v>
      </c>
      <c r="CQ485" s="41">
        <v>0</v>
      </c>
      <c r="CR485" s="41">
        <v>0</v>
      </c>
      <c r="CS485" s="41">
        <v>0</v>
      </c>
      <c r="CT485" s="41">
        <v>0</v>
      </c>
      <c r="CU485" s="41">
        <v>0</v>
      </c>
      <c r="CV485" s="211">
        <v>0</v>
      </c>
      <c r="CW485" s="41">
        <v>0</v>
      </c>
      <c r="CX485" s="41">
        <v>0</v>
      </c>
      <c r="CY485" s="41">
        <v>0</v>
      </c>
      <c r="CZ485" s="41">
        <v>0</v>
      </c>
      <c r="DA485" s="41">
        <v>0</v>
      </c>
      <c r="DB485" s="41">
        <v>0</v>
      </c>
      <c r="DC485" s="41">
        <v>0</v>
      </c>
      <c r="DD485" s="41">
        <v>0</v>
      </c>
      <c r="DE485" s="41">
        <v>0</v>
      </c>
      <c r="DF485" s="41">
        <v>0</v>
      </c>
    </row>
    <row r="486" spans="1:110" ht="12" hidden="1" outlineLevel="2">
      <c r="A486" s="1" t="s">
        <v>282</v>
      </c>
      <c r="B486" s="15" t="s">
        <v>370</v>
      </c>
      <c r="C486" s="41">
        <v>0</v>
      </c>
      <c r="D486" s="41">
        <v>0</v>
      </c>
      <c r="E486" s="41">
        <v>-92.12</v>
      </c>
      <c r="F486" s="41">
        <v>-101.42999999999999</v>
      </c>
      <c r="G486" s="41">
        <v>-96.039999999999992</v>
      </c>
      <c r="H486" s="41">
        <v>-97.02</v>
      </c>
      <c r="I486" s="41">
        <v>-122.99</v>
      </c>
      <c r="J486" s="41">
        <v>-92.12</v>
      </c>
      <c r="K486" s="41">
        <v>-91.63</v>
      </c>
      <c r="L486" s="41">
        <v>-109.75999999999999</v>
      </c>
      <c r="M486" s="41">
        <v>-106.33</v>
      </c>
      <c r="N486" s="41">
        <v>-125.44</v>
      </c>
      <c r="O486" s="41">
        <v>-106.82</v>
      </c>
      <c r="P486" s="41">
        <v>-115.64</v>
      </c>
      <c r="Q486" s="41">
        <v>-113.67999999999999</v>
      </c>
      <c r="R486" s="41">
        <v>-120.53999999999999</v>
      </c>
      <c r="S486" s="41">
        <v>-109.27</v>
      </c>
      <c r="T486" s="41">
        <v>0</v>
      </c>
      <c r="U486" s="41">
        <v>0</v>
      </c>
      <c r="V486" s="41">
        <v>0</v>
      </c>
      <c r="W486" s="41">
        <v>0</v>
      </c>
      <c r="X486" s="41">
        <v>0</v>
      </c>
      <c r="Y486" s="41">
        <v>0</v>
      </c>
      <c r="Z486" s="41">
        <v>0</v>
      </c>
      <c r="AA486" s="41">
        <v>0</v>
      </c>
      <c r="AB486" s="41">
        <v>0</v>
      </c>
      <c r="AC486" s="41">
        <v>0</v>
      </c>
      <c r="AD486" s="41">
        <v>0</v>
      </c>
      <c r="AE486" s="41">
        <v>0</v>
      </c>
      <c r="AF486" s="41">
        <v>0</v>
      </c>
      <c r="AG486" s="41">
        <v>0</v>
      </c>
      <c r="AH486" s="41">
        <v>0</v>
      </c>
      <c r="AI486" s="41">
        <v>0</v>
      </c>
      <c r="AJ486" s="41">
        <v>0</v>
      </c>
      <c r="AK486" s="41">
        <v>0</v>
      </c>
      <c r="AL486" s="41">
        <v>0</v>
      </c>
      <c r="AM486" s="41">
        <v>0</v>
      </c>
      <c r="AN486" s="41">
        <v>0</v>
      </c>
      <c r="AO486" s="41">
        <v>0</v>
      </c>
      <c r="AP486" s="41">
        <v>0</v>
      </c>
      <c r="AQ486" s="41">
        <v>0</v>
      </c>
      <c r="AR486" s="41">
        <v>0</v>
      </c>
      <c r="AS486" s="41">
        <v>0</v>
      </c>
      <c r="AT486" s="41">
        <v>0</v>
      </c>
      <c r="AU486" s="41">
        <v>0</v>
      </c>
      <c r="AV486" s="211">
        <v>0</v>
      </c>
      <c r="AW486" s="41">
        <v>0</v>
      </c>
      <c r="AX486" s="41">
        <v>0</v>
      </c>
      <c r="AY486" s="41">
        <v>0</v>
      </c>
      <c r="AZ486" s="41">
        <v>0</v>
      </c>
      <c r="BA486" s="41">
        <v>0</v>
      </c>
      <c r="BB486" s="41">
        <v>0</v>
      </c>
      <c r="BC486" s="41">
        <v>0</v>
      </c>
      <c r="BD486" s="41">
        <v>0</v>
      </c>
      <c r="BE486" s="41">
        <v>0</v>
      </c>
      <c r="BF486" s="41">
        <v>0</v>
      </c>
      <c r="BG486" s="41">
        <v>0</v>
      </c>
      <c r="BH486" s="41">
        <v>0</v>
      </c>
      <c r="BI486" s="41">
        <v>0</v>
      </c>
      <c r="BJ486" s="41">
        <v>0</v>
      </c>
      <c r="BK486" s="41">
        <v>0</v>
      </c>
      <c r="BL486" s="41">
        <v>0</v>
      </c>
      <c r="BM486" s="41">
        <v>0</v>
      </c>
      <c r="BN486" s="41">
        <v>0</v>
      </c>
      <c r="BO486" s="41">
        <v>0</v>
      </c>
      <c r="BP486" s="41"/>
      <c r="BQ486" s="41">
        <v>0</v>
      </c>
      <c r="BR486" s="41">
        <v>0</v>
      </c>
      <c r="BS486" s="41">
        <v>0</v>
      </c>
      <c r="BT486" s="41">
        <v>0</v>
      </c>
      <c r="BU486" s="41">
        <v>0</v>
      </c>
      <c r="BV486" s="41">
        <v>0</v>
      </c>
      <c r="BW486" s="41">
        <v>0</v>
      </c>
      <c r="BX486" s="41">
        <v>0</v>
      </c>
      <c r="BY486" s="41">
        <v>0</v>
      </c>
      <c r="BZ486" s="41">
        <v>0</v>
      </c>
      <c r="CA486" s="41">
        <v>-92.12</v>
      </c>
      <c r="CB486" s="41">
        <v>-197.46999999999997</v>
      </c>
      <c r="CC486" s="41">
        <v>-220.01</v>
      </c>
      <c r="CD486" s="41">
        <v>-183.75</v>
      </c>
      <c r="CE486" s="41">
        <v>-216.08999999999997</v>
      </c>
      <c r="CF486" s="41">
        <v>-232.26</v>
      </c>
      <c r="CG486" s="41">
        <v>-229.32</v>
      </c>
      <c r="CH486" s="41">
        <v>-229.81</v>
      </c>
      <c r="CI486" s="41">
        <v>0</v>
      </c>
      <c r="CJ486" s="41">
        <v>0</v>
      </c>
      <c r="CK486" s="41">
        <v>0</v>
      </c>
      <c r="CL486" s="41">
        <v>0</v>
      </c>
      <c r="CM486" s="41">
        <v>0</v>
      </c>
      <c r="CN486" s="41">
        <v>0</v>
      </c>
      <c r="CO486" s="41">
        <v>0</v>
      </c>
      <c r="CP486" s="41">
        <v>0</v>
      </c>
      <c r="CQ486" s="41">
        <v>0</v>
      </c>
      <c r="CR486" s="41">
        <v>0</v>
      </c>
      <c r="CS486" s="41">
        <v>0</v>
      </c>
      <c r="CT486" s="41">
        <v>0</v>
      </c>
      <c r="CU486" s="41">
        <v>0</v>
      </c>
      <c r="CV486" s="211">
        <v>0</v>
      </c>
      <c r="CW486" s="41">
        <v>0</v>
      </c>
      <c r="CX486" s="41">
        <v>0</v>
      </c>
      <c r="CY486" s="41">
        <v>0</v>
      </c>
      <c r="CZ486" s="41">
        <v>0</v>
      </c>
      <c r="DA486" s="41">
        <v>0</v>
      </c>
      <c r="DB486" s="41">
        <v>0</v>
      </c>
      <c r="DC486" s="41">
        <v>0</v>
      </c>
      <c r="DD486" s="41">
        <v>0</v>
      </c>
      <c r="DE486" s="41">
        <v>0</v>
      </c>
      <c r="DF486" s="41">
        <v>0</v>
      </c>
    </row>
    <row r="487" spans="1:110" ht="12" hidden="1" outlineLevel="2">
      <c r="A487" s="1" t="s">
        <v>283</v>
      </c>
      <c r="B487" s="15" t="s">
        <v>371</v>
      </c>
      <c r="C487" s="41">
        <v>0</v>
      </c>
      <c r="D487" s="41">
        <v>0</v>
      </c>
      <c r="E487" s="41">
        <v>0</v>
      </c>
      <c r="F487" s="41">
        <v>0</v>
      </c>
      <c r="G487" s="41">
        <v>0</v>
      </c>
      <c r="H487" s="41">
        <v>0</v>
      </c>
      <c r="I487" s="41">
        <v>0</v>
      </c>
      <c r="J487" s="41">
        <v>0</v>
      </c>
      <c r="K487" s="41">
        <v>0</v>
      </c>
      <c r="L487" s="41">
        <v>0</v>
      </c>
      <c r="M487" s="41">
        <v>0</v>
      </c>
      <c r="N487" s="41">
        <v>0</v>
      </c>
      <c r="O487" s="41">
        <v>0</v>
      </c>
      <c r="P487" s="41">
        <v>-45</v>
      </c>
      <c r="Q487" s="41">
        <v>-111</v>
      </c>
      <c r="R487" s="41">
        <v>-92</v>
      </c>
      <c r="S487" s="41">
        <v>10</v>
      </c>
      <c r="T487" s="41">
        <v>-17</v>
      </c>
      <c r="U487" s="41">
        <v>-17</v>
      </c>
      <c r="V487" s="41">
        <v>0</v>
      </c>
      <c r="W487" s="41">
        <v>0</v>
      </c>
      <c r="X487" s="41">
        <v>0</v>
      </c>
      <c r="Y487" s="41">
        <v>0</v>
      </c>
      <c r="Z487" s="41">
        <v>0</v>
      </c>
      <c r="AA487" s="41">
        <v>0</v>
      </c>
      <c r="AB487" s="41">
        <v>0</v>
      </c>
      <c r="AC487" s="41">
        <v>0</v>
      </c>
      <c r="AD487" s="41">
        <v>0</v>
      </c>
      <c r="AE487" s="41">
        <v>0</v>
      </c>
      <c r="AF487" s="41">
        <v>0</v>
      </c>
      <c r="AG487" s="41">
        <v>0</v>
      </c>
      <c r="AH487" s="41">
        <v>0</v>
      </c>
      <c r="AI487" s="41">
        <v>0</v>
      </c>
      <c r="AJ487" s="41">
        <v>0</v>
      </c>
      <c r="AK487" s="41">
        <v>0</v>
      </c>
      <c r="AL487" s="41">
        <v>0</v>
      </c>
      <c r="AM487" s="41">
        <v>0</v>
      </c>
      <c r="AN487" s="41">
        <v>0</v>
      </c>
      <c r="AO487" s="41">
        <v>0</v>
      </c>
      <c r="AP487" s="41">
        <v>0</v>
      </c>
      <c r="AQ487" s="41">
        <v>0</v>
      </c>
      <c r="AR487" s="41">
        <v>0</v>
      </c>
      <c r="AS487" s="41">
        <v>0</v>
      </c>
      <c r="AT487" s="41">
        <v>0</v>
      </c>
      <c r="AU487" s="41">
        <v>0</v>
      </c>
      <c r="AV487" s="211">
        <v>0</v>
      </c>
      <c r="AW487" s="41">
        <v>0</v>
      </c>
      <c r="AX487" s="41">
        <v>0</v>
      </c>
      <c r="AY487" s="41">
        <v>0</v>
      </c>
      <c r="AZ487" s="41">
        <v>0</v>
      </c>
      <c r="BA487" s="41">
        <v>0</v>
      </c>
      <c r="BB487" s="41">
        <v>0</v>
      </c>
      <c r="BC487" s="41">
        <v>0</v>
      </c>
      <c r="BD487" s="41">
        <v>0</v>
      </c>
      <c r="BE487" s="41">
        <v>0</v>
      </c>
      <c r="BF487" s="41">
        <v>0</v>
      </c>
      <c r="BG487" s="41">
        <v>0</v>
      </c>
      <c r="BH487" s="41">
        <v>0</v>
      </c>
      <c r="BI487" s="41">
        <v>0</v>
      </c>
      <c r="BJ487" s="41">
        <v>0</v>
      </c>
      <c r="BK487" s="41">
        <v>0</v>
      </c>
      <c r="BL487" s="41">
        <v>0</v>
      </c>
      <c r="BM487" s="41">
        <v>0</v>
      </c>
      <c r="BN487" s="41">
        <v>0</v>
      </c>
      <c r="BO487" s="41">
        <v>0</v>
      </c>
      <c r="BP487" s="41"/>
      <c r="BQ487" s="41">
        <v>0</v>
      </c>
      <c r="BR487" s="41">
        <v>0</v>
      </c>
      <c r="BS487" s="41">
        <v>0</v>
      </c>
      <c r="BT487" s="41">
        <v>0</v>
      </c>
      <c r="BU487" s="41">
        <v>0</v>
      </c>
      <c r="BV487" s="41">
        <v>0</v>
      </c>
      <c r="BW487" s="41">
        <v>0</v>
      </c>
      <c r="BX487" s="41">
        <v>0</v>
      </c>
      <c r="BY487" s="41">
        <v>0</v>
      </c>
      <c r="BZ487" s="41">
        <v>0</v>
      </c>
      <c r="CA487" s="41">
        <v>0</v>
      </c>
      <c r="CB487" s="41">
        <v>0</v>
      </c>
      <c r="CC487" s="41">
        <v>0</v>
      </c>
      <c r="CD487" s="41">
        <v>0</v>
      </c>
      <c r="CE487" s="41">
        <v>0</v>
      </c>
      <c r="CF487" s="41">
        <v>0</v>
      </c>
      <c r="CG487" s="41">
        <v>-156</v>
      </c>
      <c r="CH487" s="41">
        <v>-82</v>
      </c>
      <c r="CI487" s="41">
        <v>-34</v>
      </c>
      <c r="CJ487" s="41">
        <v>0</v>
      </c>
      <c r="CK487" s="41">
        <v>0</v>
      </c>
      <c r="CL487" s="41">
        <v>0</v>
      </c>
      <c r="CM487" s="41">
        <v>0</v>
      </c>
      <c r="CN487" s="41">
        <v>0</v>
      </c>
      <c r="CO487" s="41">
        <v>0</v>
      </c>
      <c r="CP487" s="41">
        <v>0</v>
      </c>
      <c r="CQ487" s="41">
        <v>0</v>
      </c>
      <c r="CR487" s="41">
        <v>0</v>
      </c>
      <c r="CS487" s="41">
        <v>0</v>
      </c>
      <c r="CT487" s="41">
        <v>0</v>
      </c>
      <c r="CU487" s="41">
        <v>0</v>
      </c>
      <c r="CV487" s="211">
        <v>0</v>
      </c>
      <c r="CW487" s="41">
        <v>0</v>
      </c>
      <c r="CX487" s="41">
        <v>0</v>
      </c>
      <c r="CY487" s="41">
        <v>0</v>
      </c>
      <c r="CZ487" s="41">
        <v>0</v>
      </c>
      <c r="DA487" s="41">
        <v>0</v>
      </c>
      <c r="DB487" s="41">
        <v>0</v>
      </c>
      <c r="DC487" s="41">
        <v>0</v>
      </c>
      <c r="DD487" s="41">
        <v>0</v>
      </c>
      <c r="DE487" s="41">
        <v>0</v>
      </c>
      <c r="DF487" s="41">
        <v>0</v>
      </c>
    </row>
    <row r="488" spans="1:110" ht="12" hidden="1" outlineLevel="2">
      <c r="A488" s="1" t="s">
        <v>689</v>
      </c>
      <c r="B488" s="15" t="s">
        <v>361</v>
      </c>
      <c r="C488" s="41">
        <v>0</v>
      </c>
      <c r="D488" s="41">
        <v>0</v>
      </c>
      <c r="E488" s="41">
        <v>-2.4500000000000002</v>
      </c>
      <c r="F488" s="41">
        <v>0</v>
      </c>
      <c r="G488" s="41">
        <v>-14.209999999999999</v>
      </c>
      <c r="H488" s="41">
        <v>-13.23</v>
      </c>
      <c r="I488" s="41">
        <v>-14.7</v>
      </c>
      <c r="J488" s="41">
        <v>-7.35</v>
      </c>
      <c r="K488" s="41">
        <v>-15.68</v>
      </c>
      <c r="L488" s="41">
        <v>-8.82</v>
      </c>
      <c r="M488" s="41">
        <v>-16.66</v>
      </c>
      <c r="N488" s="41">
        <v>-7.84</v>
      </c>
      <c r="O488" s="41">
        <v>-25.97</v>
      </c>
      <c r="P488" s="41">
        <v>-22.05</v>
      </c>
      <c r="Q488" s="41">
        <v>-20.09</v>
      </c>
      <c r="R488" s="41">
        <v>-20.58</v>
      </c>
      <c r="S488" s="41">
        <v>-20.09</v>
      </c>
      <c r="T488" s="41">
        <v>0</v>
      </c>
      <c r="U488" s="41">
        <v>0</v>
      </c>
      <c r="V488" s="41">
        <v>0</v>
      </c>
      <c r="W488" s="41">
        <v>0</v>
      </c>
      <c r="X488" s="41">
        <v>0</v>
      </c>
      <c r="Y488" s="41">
        <v>0</v>
      </c>
      <c r="Z488" s="41">
        <v>0</v>
      </c>
      <c r="AA488" s="41">
        <v>0</v>
      </c>
      <c r="AB488" s="41">
        <v>0</v>
      </c>
      <c r="AC488" s="41">
        <v>0</v>
      </c>
      <c r="AD488" s="41">
        <v>0</v>
      </c>
      <c r="AE488" s="41">
        <v>0</v>
      </c>
      <c r="AF488" s="41">
        <v>0</v>
      </c>
      <c r="AG488" s="41">
        <v>0</v>
      </c>
      <c r="AH488" s="41">
        <v>0</v>
      </c>
      <c r="AI488" s="41">
        <v>0</v>
      </c>
      <c r="AJ488" s="41">
        <v>0</v>
      </c>
      <c r="AK488" s="41">
        <v>0</v>
      </c>
      <c r="AL488" s="41">
        <v>0</v>
      </c>
      <c r="AM488" s="41">
        <v>0</v>
      </c>
      <c r="AN488" s="41">
        <v>0</v>
      </c>
      <c r="AO488" s="41">
        <v>0</v>
      </c>
      <c r="AP488" s="41">
        <v>0</v>
      </c>
      <c r="AQ488" s="41">
        <v>0</v>
      </c>
      <c r="AR488" s="41">
        <v>0</v>
      </c>
      <c r="AS488" s="41">
        <v>0</v>
      </c>
      <c r="AT488" s="41">
        <v>0</v>
      </c>
      <c r="AU488" s="41">
        <v>0</v>
      </c>
      <c r="AV488" s="211">
        <v>0</v>
      </c>
      <c r="AW488" s="41">
        <v>0</v>
      </c>
      <c r="AX488" s="41">
        <v>0</v>
      </c>
      <c r="AY488" s="41">
        <v>0</v>
      </c>
      <c r="AZ488" s="41">
        <v>0</v>
      </c>
      <c r="BA488" s="41">
        <v>0</v>
      </c>
      <c r="BB488" s="41">
        <v>0</v>
      </c>
      <c r="BC488" s="41">
        <v>0</v>
      </c>
      <c r="BD488" s="41">
        <v>0</v>
      </c>
      <c r="BE488" s="41">
        <v>0</v>
      </c>
      <c r="BF488" s="41">
        <v>0</v>
      </c>
      <c r="BG488" s="41">
        <v>0</v>
      </c>
      <c r="BH488" s="41">
        <v>0</v>
      </c>
      <c r="BI488" s="41">
        <v>0</v>
      </c>
      <c r="BJ488" s="41">
        <v>0</v>
      </c>
      <c r="BK488" s="41">
        <v>0</v>
      </c>
      <c r="BL488" s="41">
        <v>0</v>
      </c>
      <c r="BM488" s="41">
        <v>0</v>
      </c>
      <c r="BN488" s="41">
        <v>0</v>
      </c>
      <c r="BO488" s="41">
        <v>0</v>
      </c>
      <c r="BP488" s="41"/>
      <c r="BQ488" s="41">
        <v>0</v>
      </c>
      <c r="BR488" s="41">
        <v>0</v>
      </c>
      <c r="BS488" s="41">
        <v>0</v>
      </c>
      <c r="BT488" s="41">
        <v>0</v>
      </c>
      <c r="BU488" s="41">
        <v>0</v>
      </c>
      <c r="BV488" s="41">
        <v>0</v>
      </c>
      <c r="BW488" s="41">
        <v>0</v>
      </c>
      <c r="BX488" s="41">
        <v>0</v>
      </c>
      <c r="BY488" s="41">
        <v>0</v>
      </c>
      <c r="BZ488" s="41">
        <v>0</v>
      </c>
      <c r="CA488" s="41">
        <v>-2.4500000000000002</v>
      </c>
      <c r="CB488" s="41">
        <v>-14.209999999999999</v>
      </c>
      <c r="CC488" s="41">
        <v>-27.93</v>
      </c>
      <c r="CD488" s="41">
        <v>-23.03</v>
      </c>
      <c r="CE488" s="41">
        <v>-25.48</v>
      </c>
      <c r="CF488" s="41">
        <v>-33.81</v>
      </c>
      <c r="CG488" s="41">
        <v>-42.14</v>
      </c>
      <c r="CH488" s="41">
        <v>-40.67</v>
      </c>
      <c r="CI488" s="41">
        <v>0</v>
      </c>
      <c r="CJ488" s="41">
        <v>0</v>
      </c>
      <c r="CK488" s="41">
        <v>0</v>
      </c>
      <c r="CL488" s="41">
        <v>0</v>
      </c>
      <c r="CM488" s="41">
        <v>0</v>
      </c>
      <c r="CN488" s="41">
        <v>0</v>
      </c>
      <c r="CO488" s="41">
        <v>0</v>
      </c>
      <c r="CP488" s="41">
        <v>0</v>
      </c>
      <c r="CQ488" s="41">
        <v>0</v>
      </c>
      <c r="CR488" s="41">
        <v>0</v>
      </c>
      <c r="CS488" s="41">
        <v>0</v>
      </c>
      <c r="CT488" s="41">
        <v>0</v>
      </c>
      <c r="CU488" s="41">
        <v>0</v>
      </c>
      <c r="CV488" s="211">
        <v>0</v>
      </c>
      <c r="CW488" s="41">
        <v>0</v>
      </c>
      <c r="CX488" s="41">
        <v>0</v>
      </c>
      <c r="CY488" s="41">
        <v>0</v>
      </c>
      <c r="CZ488" s="41">
        <v>0</v>
      </c>
      <c r="DA488" s="41">
        <v>0</v>
      </c>
      <c r="DB488" s="41">
        <v>0</v>
      </c>
      <c r="DC488" s="41">
        <v>0</v>
      </c>
      <c r="DD488" s="41">
        <v>0</v>
      </c>
      <c r="DE488" s="41">
        <v>0</v>
      </c>
      <c r="DF488" s="41">
        <v>0</v>
      </c>
    </row>
    <row r="489" spans="1:110" ht="12" hidden="1" outlineLevel="2">
      <c r="A489" s="1" t="s">
        <v>284</v>
      </c>
      <c r="B489" s="15" t="s">
        <v>425</v>
      </c>
      <c r="C489" s="41">
        <v>0</v>
      </c>
      <c r="D489" s="41">
        <v>0</v>
      </c>
      <c r="E489" s="41">
        <v>0</v>
      </c>
      <c r="F489" s="41">
        <v>0</v>
      </c>
      <c r="G489" s="41">
        <v>0</v>
      </c>
      <c r="H489" s="41">
        <v>0</v>
      </c>
      <c r="I489" s="41">
        <v>0</v>
      </c>
      <c r="J489" s="41">
        <v>0</v>
      </c>
      <c r="K489" s="41">
        <v>0</v>
      </c>
      <c r="L489" s="41">
        <v>0</v>
      </c>
      <c r="M489" s="41">
        <v>0</v>
      </c>
      <c r="N489" s="41">
        <v>0</v>
      </c>
      <c r="O489" s="41">
        <v>0</v>
      </c>
      <c r="P489" s="41">
        <v>-109</v>
      </c>
      <c r="Q489" s="41">
        <v>452</v>
      </c>
      <c r="R489" s="41">
        <v>1215</v>
      </c>
      <c r="S489" s="41">
        <v>-706</v>
      </c>
      <c r="T489" s="41">
        <v>-92</v>
      </c>
      <c r="U489" s="41">
        <v>-45</v>
      </c>
      <c r="V489" s="41">
        <v>0</v>
      </c>
      <c r="W489" s="41">
        <v>0</v>
      </c>
      <c r="X489" s="41">
        <v>0</v>
      </c>
      <c r="Y489" s="41">
        <v>-273</v>
      </c>
      <c r="Z489" s="41">
        <v>0</v>
      </c>
      <c r="AA489" s="41">
        <v>0</v>
      </c>
      <c r="AB489" s="41">
        <v>0</v>
      </c>
      <c r="AC489" s="41">
        <v>0</v>
      </c>
      <c r="AD489" s="41">
        <v>0</v>
      </c>
      <c r="AE489" s="41">
        <v>0</v>
      </c>
      <c r="AF489" s="41">
        <v>0</v>
      </c>
      <c r="AG489" s="41">
        <v>0</v>
      </c>
      <c r="AH489" s="41">
        <v>0</v>
      </c>
      <c r="AI489" s="41">
        <v>0</v>
      </c>
      <c r="AJ489" s="41">
        <v>0</v>
      </c>
      <c r="AK489" s="41">
        <v>0</v>
      </c>
      <c r="AL489" s="41">
        <v>0</v>
      </c>
      <c r="AM489" s="41">
        <v>0</v>
      </c>
      <c r="AN489" s="41">
        <v>0</v>
      </c>
      <c r="AO489" s="41">
        <v>0</v>
      </c>
      <c r="AP489" s="41">
        <v>0</v>
      </c>
      <c r="AQ489" s="41">
        <v>0</v>
      </c>
      <c r="AR489" s="41">
        <v>0</v>
      </c>
      <c r="AS489" s="41">
        <v>0</v>
      </c>
      <c r="AT489" s="41">
        <v>0</v>
      </c>
      <c r="AU489" s="41">
        <v>0</v>
      </c>
      <c r="AV489" s="211">
        <v>0</v>
      </c>
      <c r="AW489" s="41">
        <v>0</v>
      </c>
      <c r="AX489" s="41">
        <v>0</v>
      </c>
      <c r="AY489" s="41">
        <v>0</v>
      </c>
      <c r="AZ489" s="41">
        <v>0</v>
      </c>
      <c r="BA489" s="41">
        <v>0</v>
      </c>
      <c r="BB489" s="41">
        <v>0</v>
      </c>
      <c r="BC489" s="41">
        <v>0</v>
      </c>
      <c r="BD489" s="41">
        <v>0</v>
      </c>
      <c r="BE489" s="41">
        <v>0</v>
      </c>
      <c r="BF489" s="41">
        <v>0</v>
      </c>
      <c r="BG489" s="41">
        <v>0</v>
      </c>
      <c r="BH489" s="41">
        <v>0</v>
      </c>
      <c r="BI489" s="41">
        <v>0</v>
      </c>
      <c r="BJ489" s="41">
        <v>0</v>
      </c>
      <c r="BK489" s="41">
        <v>0</v>
      </c>
      <c r="BL489" s="41">
        <v>0</v>
      </c>
      <c r="BM489" s="41">
        <v>0</v>
      </c>
      <c r="BN489" s="41">
        <v>0</v>
      </c>
      <c r="BO489" s="41">
        <v>0</v>
      </c>
      <c r="BP489" s="41"/>
      <c r="BQ489" s="41">
        <v>0</v>
      </c>
      <c r="BR489" s="41">
        <v>0</v>
      </c>
      <c r="BS489" s="41">
        <v>0</v>
      </c>
      <c r="BT489" s="41">
        <v>0</v>
      </c>
      <c r="BU489" s="41">
        <v>0</v>
      </c>
      <c r="BV489" s="41">
        <v>0</v>
      </c>
      <c r="BW489" s="41">
        <v>0</v>
      </c>
      <c r="BX489" s="41">
        <v>0</v>
      </c>
      <c r="BY489" s="41">
        <v>0</v>
      </c>
      <c r="BZ489" s="41">
        <v>0</v>
      </c>
      <c r="CA489" s="41">
        <v>0</v>
      </c>
      <c r="CB489" s="41">
        <v>0</v>
      </c>
      <c r="CC489" s="41">
        <v>0</v>
      </c>
      <c r="CD489" s="41">
        <v>0</v>
      </c>
      <c r="CE489" s="41">
        <v>0</v>
      </c>
      <c r="CF489" s="41">
        <v>0</v>
      </c>
      <c r="CG489" s="41">
        <v>343</v>
      </c>
      <c r="CH489" s="41">
        <v>509</v>
      </c>
      <c r="CI489" s="41">
        <v>-137</v>
      </c>
      <c r="CJ489" s="41">
        <v>0</v>
      </c>
      <c r="CK489" s="41">
        <v>-273</v>
      </c>
      <c r="CL489" s="41">
        <v>0</v>
      </c>
      <c r="CM489" s="41">
        <v>0</v>
      </c>
      <c r="CN489" s="41">
        <v>0</v>
      </c>
      <c r="CO489" s="41">
        <v>0</v>
      </c>
      <c r="CP489" s="41">
        <v>0</v>
      </c>
      <c r="CQ489" s="41">
        <v>0</v>
      </c>
      <c r="CR489" s="41">
        <v>0</v>
      </c>
      <c r="CS489" s="41">
        <v>0</v>
      </c>
      <c r="CT489" s="41">
        <v>0</v>
      </c>
      <c r="CU489" s="41">
        <v>0</v>
      </c>
      <c r="CV489" s="211">
        <v>0</v>
      </c>
      <c r="CW489" s="41">
        <v>0</v>
      </c>
      <c r="CX489" s="41">
        <v>0</v>
      </c>
      <c r="CY489" s="41">
        <v>0</v>
      </c>
      <c r="CZ489" s="41">
        <v>0</v>
      </c>
      <c r="DA489" s="41">
        <v>0</v>
      </c>
      <c r="DB489" s="41">
        <v>0</v>
      </c>
      <c r="DC489" s="41">
        <v>0</v>
      </c>
      <c r="DD489" s="41">
        <v>0</v>
      </c>
      <c r="DE489" s="41">
        <v>0</v>
      </c>
      <c r="DF489" s="41">
        <v>0</v>
      </c>
    </row>
    <row r="490" spans="1:110" s="17" customFormat="1" ht="12" hidden="1" outlineLevel="2">
      <c r="A490" s="1" t="s">
        <v>285</v>
      </c>
      <c r="B490" s="17" t="s">
        <v>350</v>
      </c>
      <c r="C490" s="62">
        <v>1444</v>
      </c>
      <c r="D490" s="62">
        <v>1495</v>
      </c>
      <c r="E490" s="62">
        <v>1555.9999999999998</v>
      </c>
      <c r="F490" s="62">
        <v>1587.0000000000002</v>
      </c>
      <c r="G490" s="62">
        <v>1690</v>
      </c>
      <c r="H490" s="62">
        <v>1865</v>
      </c>
      <c r="I490" s="62">
        <v>2017.0000000000005</v>
      </c>
      <c r="J490" s="62">
        <v>2180.0000000000005</v>
      </c>
      <c r="K490" s="62">
        <v>2220.9999999999995</v>
      </c>
      <c r="L490" s="62">
        <v>2447.9999999999995</v>
      </c>
      <c r="M490" s="62">
        <v>2629</v>
      </c>
      <c r="N490" s="62">
        <v>2754.9999999999995</v>
      </c>
      <c r="O490" s="62">
        <v>2792</v>
      </c>
      <c r="P490" s="62">
        <v>2599.0000000000005</v>
      </c>
      <c r="Q490" s="62">
        <v>2200.0000000000009</v>
      </c>
      <c r="R490" s="62">
        <v>2660</v>
      </c>
      <c r="S490" s="62">
        <v>2583</v>
      </c>
      <c r="T490" s="62">
        <v>3220</v>
      </c>
      <c r="U490" s="62">
        <v>3771</v>
      </c>
      <c r="V490" s="62">
        <v>3822</v>
      </c>
      <c r="W490" s="62">
        <v>3820</v>
      </c>
      <c r="X490" s="62">
        <v>4017</v>
      </c>
      <c r="Y490" s="62">
        <v>4054</v>
      </c>
      <c r="Z490" s="62">
        <v>4449</v>
      </c>
      <c r="AA490" s="62">
        <v>4488</v>
      </c>
      <c r="AB490" s="62">
        <v>4854</v>
      </c>
      <c r="AC490" s="62">
        <v>4975</v>
      </c>
      <c r="AD490" s="62">
        <v>5082</v>
      </c>
      <c r="AE490" s="62">
        <v>4872</v>
      </c>
      <c r="AF490" s="62">
        <v>3919</v>
      </c>
      <c r="AG490" s="62">
        <v>4280</v>
      </c>
      <c r="AH490" s="62">
        <v>4769</v>
      </c>
      <c r="AI490" s="62">
        <v>4881</v>
      </c>
      <c r="AJ490" s="62">
        <v>4989</v>
      </c>
      <c r="AK490" s="62">
        <v>4289</v>
      </c>
      <c r="AL490" s="62">
        <v>4988</v>
      </c>
      <c r="AM490" s="62">
        <v>4175</v>
      </c>
      <c r="AN490" s="62">
        <v>2300</v>
      </c>
      <c r="AO490" s="62">
        <v>3331</v>
      </c>
      <c r="AP490" s="62">
        <v>4432</v>
      </c>
      <c r="AQ490" s="62">
        <v>4531</v>
      </c>
      <c r="AR490" s="62">
        <v>4441</v>
      </c>
      <c r="AS490" s="62">
        <v>4759</v>
      </c>
      <c r="AT490" s="62">
        <v>5410</v>
      </c>
      <c r="AU490" s="62">
        <v>5111</v>
      </c>
      <c r="AV490" s="220">
        <v>5062</v>
      </c>
      <c r="AW490" s="62">
        <v>4760.7852318868445</v>
      </c>
      <c r="AX490" s="62">
        <v>4847.5423036726243</v>
      </c>
      <c r="AY490" s="62">
        <v>4804.1535334461714</v>
      </c>
      <c r="AZ490" s="62">
        <v>4924.8156923811384</v>
      </c>
      <c r="BA490" s="62">
        <v>4780.5747831594481</v>
      </c>
      <c r="BB490" s="62">
        <v>5028.8791235461622</v>
      </c>
      <c r="BC490" s="62">
        <v>4850.1875621679446</v>
      </c>
      <c r="BD490" s="62">
        <v>5224.7262390493834</v>
      </c>
      <c r="BE490" s="62">
        <v>5076.8559256030485</v>
      </c>
      <c r="BF490" s="62">
        <v>5488.070610094881</v>
      </c>
      <c r="BG490" s="62">
        <v>5366.5741843391534</v>
      </c>
      <c r="BH490" s="62">
        <v>5089.0673112122095</v>
      </c>
      <c r="BI490" s="62">
        <v>4202.5712665045467</v>
      </c>
      <c r="BJ490" s="62">
        <v>4566.5064527054274</v>
      </c>
      <c r="BK490" s="62">
        <v>5152.100579184299</v>
      </c>
      <c r="BL490" s="62">
        <v>6210.3639250600399</v>
      </c>
      <c r="BM490" s="62">
        <v>6067.3285544424762</v>
      </c>
      <c r="BN490" s="62">
        <v>6467.7023118011912</v>
      </c>
      <c r="BO490" s="62">
        <v>6244.0978972009798</v>
      </c>
      <c r="BP490" s="62"/>
      <c r="BQ490" s="62">
        <v>-719.5</v>
      </c>
      <c r="BR490" s="62">
        <v>660</v>
      </c>
      <c r="BS490" s="62">
        <v>1198</v>
      </c>
      <c r="BT490" s="62">
        <v>1485</v>
      </c>
      <c r="BU490" s="62">
        <v>1594</v>
      </c>
      <c r="BV490" s="62">
        <v>1645</v>
      </c>
      <c r="BW490" s="62">
        <v>1760</v>
      </c>
      <c r="BX490" s="62">
        <v>2222</v>
      </c>
      <c r="BY490" s="62">
        <v>2580</v>
      </c>
      <c r="BZ490" s="62">
        <v>2800</v>
      </c>
      <c r="CA490" s="62">
        <v>3051</v>
      </c>
      <c r="CB490" s="62">
        <v>3277</v>
      </c>
      <c r="CC490" s="62">
        <v>3882.0000000000005</v>
      </c>
      <c r="CD490" s="62">
        <v>4400.9999999999991</v>
      </c>
      <c r="CE490" s="62">
        <v>5077</v>
      </c>
      <c r="CF490" s="62">
        <v>5546.9999999999991</v>
      </c>
      <c r="CG490" s="62">
        <v>4798.9999999999991</v>
      </c>
      <c r="CH490" s="62">
        <v>5243</v>
      </c>
      <c r="CI490" s="62">
        <v>6991</v>
      </c>
      <c r="CJ490" s="62">
        <v>7642</v>
      </c>
      <c r="CK490" s="62">
        <v>8071</v>
      </c>
      <c r="CL490" s="62">
        <v>8937</v>
      </c>
      <c r="CM490" s="62">
        <v>9829</v>
      </c>
      <c r="CN490" s="62">
        <v>9954</v>
      </c>
      <c r="CO490" s="62">
        <v>8199</v>
      </c>
      <c r="CP490" s="62">
        <v>9650</v>
      </c>
      <c r="CQ490" s="62">
        <v>9278</v>
      </c>
      <c r="CR490" s="62">
        <v>9163</v>
      </c>
      <c r="CS490" s="62">
        <v>5631</v>
      </c>
      <c r="CT490" s="62">
        <v>8963</v>
      </c>
      <c r="CU490" s="62">
        <v>9200</v>
      </c>
      <c r="CV490" s="220">
        <v>10521</v>
      </c>
      <c r="CW490" s="62">
        <v>9822.7852318868445</v>
      </c>
      <c r="CX490" s="62">
        <v>9651.6958371187975</v>
      </c>
      <c r="CY490" s="62">
        <v>9705.3904755405893</v>
      </c>
      <c r="CZ490" s="62">
        <v>9879.0666857141077</v>
      </c>
      <c r="DA490" s="62">
        <v>10301.582164652431</v>
      </c>
      <c r="DB490" s="62">
        <v>10854.644794434038</v>
      </c>
      <c r="DC490" s="62">
        <v>9291.6385777167561</v>
      </c>
      <c r="DD490" s="62">
        <v>9718.6070318897255</v>
      </c>
      <c r="DE490" s="62">
        <v>12277.692479502515</v>
      </c>
      <c r="DF490" s="62">
        <v>12711.800209002171</v>
      </c>
    </row>
    <row r="491" spans="1:110" ht="12" hidden="1" outlineLevel="2">
      <c r="A491" s="1" t="s">
        <v>286</v>
      </c>
      <c r="B491" s="15" t="s">
        <v>529</v>
      </c>
      <c r="C491" s="41">
        <v>0</v>
      </c>
      <c r="D491" s="41">
        <v>-2</v>
      </c>
      <c r="E491" s="41">
        <v>174</v>
      </c>
      <c r="F491" s="41">
        <v>0</v>
      </c>
      <c r="G491" s="41">
        <v>0</v>
      </c>
      <c r="H491" s="41">
        <v>112</v>
      </c>
      <c r="I491" s="41">
        <v>0</v>
      </c>
      <c r="J491" s="41">
        <v>-34</v>
      </c>
      <c r="K491" s="41">
        <v>31</v>
      </c>
      <c r="L491" s="41">
        <v>106</v>
      </c>
      <c r="M491" s="41">
        <v>31</v>
      </c>
      <c r="N491" s="41">
        <v>232</v>
      </c>
      <c r="O491" s="41">
        <v>86</v>
      </c>
      <c r="P491" s="41">
        <v>157</v>
      </c>
      <c r="Q491" s="41">
        <v>-441</v>
      </c>
      <c r="R491" s="41">
        <v>-556</v>
      </c>
      <c r="S491" s="41">
        <v>-307</v>
      </c>
      <c r="T491" s="41">
        <v>-467</v>
      </c>
      <c r="U491" s="41">
        <v>77</v>
      </c>
      <c r="V491" s="41">
        <v>82</v>
      </c>
      <c r="W491" s="41">
        <v>-52</v>
      </c>
      <c r="X491" s="41">
        <v>129</v>
      </c>
      <c r="Y491" s="41">
        <v>-206</v>
      </c>
      <c r="Z491" s="41">
        <v>-145</v>
      </c>
      <c r="AA491" s="41">
        <v>222</v>
      </c>
      <c r="AB491" s="41">
        <v>-133</v>
      </c>
      <c r="AC491" s="41">
        <v>612</v>
      </c>
      <c r="AD491" s="41">
        <v>61</v>
      </c>
      <c r="AE491" s="41">
        <v>518</v>
      </c>
      <c r="AF491" s="41">
        <v>-37</v>
      </c>
      <c r="AG491" s="41">
        <v>16</v>
      </c>
      <c r="AH491" s="41">
        <v>-223</v>
      </c>
      <c r="AI491" s="41">
        <v>200</v>
      </c>
      <c r="AJ491" s="41">
        <v>-105</v>
      </c>
      <c r="AK491" s="41">
        <v>259</v>
      </c>
      <c r="AL491" s="41">
        <v>-531</v>
      </c>
      <c r="AM491" s="41">
        <v>8</v>
      </c>
      <c r="AN491" s="41">
        <v>80</v>
      </c>
      <c r="AO491" s="41">
        <v>-446</v>
      </c>
      <c r="AP491" s="41">
        <v>-67</v>
      </c>
      <c r="AQ491" s="41">
        <v>29</v>
      </c>
      <c r="AR491" s="41">
        <v>594</v>
      </c>
      <c r="AS491" s="41">
        <v>285</v>
      </c>
      <c r="AT491" s="41">
        <v>-389</v>
      </c>
      <c r="AU491" s="41">
        <v>-45</v>
      </c>
      <c r="AV491" s="211">
        <v>-202</v>
      </c>
      <c r="AW491" s="41">
        <v>0</v>
      </c>
      <c r="AX491" s="41">
        <v>0</v>
      </c>
      <c r="AY491" s="41">
        <v>0</v>
      </c>
      <c r="AZ491" s="41">
        <v>0</v>
      </c>
      <c r="BA491" s="41">
        <v>0</v>
      </c>
      <c r="BB491" s="41">
        <v>0</v>
      </c>
      <c r="BC491" s="41">
        <v>0</v>
      </c>
      <c r="BD491" s="41">
        <v>0</v>
      </c>
      <c r="BE491" s="41">
        <v>0</v>
      </c>
      <c r="BF491" s="41">
        <v>0</v>
      </c>
      <c r="BG491" s="41">
        <v>0</v>
      </c>
      <c r="BH491" s="41">
        <v>0</v>
      </c>
      <c r="BI491" s="41">
        <v>0</v>
      </c>
      <c r="BJ491" s="41">
        <v>0</v>
      </c>
      <c r="BK491" s="41">
        <v>0</v>
      </c>
      <c r="BL491" s="41">
        <v>0</v>
      </c>
      <c r="BM491" s="41">
        <v>0</v>
      </c>
      <c r="BN491" s="41">
        <v>0</v>
      </c>
      <c r="BO491" s="41">
        <v>0</v>
      </c>
      <c r="BP491" s="41"/>
      <c r="BQ491" s="41">
        <v>11.699999999999818</v>
      </c>
      <c r="BR491" s="41">
        <v>-172.5</v>
      </c>
      <c r="BS491" s="41">
        <v>21</v>
      </c>
      <c r="BT491" s="41">
        <v>0</v>
      </c>
      <c r="BU491" s="41">
        <v>0</v>
      </c>
      <c r="BV491" s="41">
        <v>-182</v>
      </c>
      <c r="BW491" s="41">
        <v>-102</v>
      </c>
      <c r="BX491" s="41">
        <v>0</v>
      </c>
      <c r="BY491" s="41">
        <v>209</v>
      </c>
      <c r="BZ491" s="41">
        <v>-17</v>
      </c>
      <c r="CA491" s="41">
        <v>172</v>
      </c>
      <c r="CB491" s="41">
        <v>0</v>
      </c>
      <c r="CC491" s="41">
        <v>112</v>
      </c>
      <c r="CD491" s="41">
        <v>-3</v>
      </c>
      <c r="CE491" s="41">
        <v>137</v>
      </c>
      <c r="CF491" s="41">
        <v>318</v>
      </c>
      <c r="CG491" s="41">
        <v>-284</v>
      </c>
      <c r="CH491" s="41">
        <v>-863</v>
      </c>
      <c r="CI491" s="41">
        <v>-390</v>
      </c>
      <c r="CJ491" s="41">
        <v>30</v>
      </c>
      <c r="CK491" s="41">
        <v>-77</v>
      </c>
      <c r="CL491" s="41">
        <v>77</v>
      </c>
      <c r="CM491" s="41">
        <v>479</v>
      </c>
      <c r="CN491" s="41">
        <v>579</v>
      </c>
      <c r="CO491" s="41">
        <v>-21</v>
      </c>
      <c r="CP491" s="41">
        <v>-23</v>
      </c>
      <c r="CQ491" s="41">
        <v>154</v>
      </c>
      <c r="CR491" s="41">
        <v>-523</v>
      </c>
      <c r="CS491" s="41">
        <v>-366</v>
      </c>
      <c r="CT491" s="41">
        <v>-38</v>
      </c>
      <c r="CU491" s="41">
        <v>879</v>
      </c>
      <c r="CV491" s="211">
        <v>-434</v>
      </c>
      <c r="CW491" s="41">
        <v>-202</v>
      </c>
      <c r="CX491" s="41">
        <v>0</v>
      </c>
      <c r="CY491" s="41">
        <v>0</v>
      </c>
      <c r="CZ491" s="41">
        <v>0</v>
      </c>
      <c r="DA491" s="41">
        <v>0</v>
      </c>
      <c r="DB491" s="41">
        <v>0</v>
      </c>
      <c r="DC491" s="41">
        <v>0</v>
      </c>
      <c r="DD491" s="41">
        <v>0</v>
      </c>
      <c r="DE491" s="41">
        <v>0</v>
      </c>
      <c r="DF491" s="41">
        <v>0</v>
      </c>
    </row>
    <row r="492" spans="1:110" ht="12" hidden="1" outlineLevel="2">
      <c r="A492" s="1" t="s">
        <v>690</v>
      </c>
      <c r="B492" s="15" t="s">
        <v>252</v>
      </c>
      <c r="C492" s="40"/>
      <c r="D492" s="40"/>
      <c r="E492" s="40"/>
      <c r="F492" s="40"/>
      <c r="G492" s="40"/>
      <c r="H492" s="40"/>
      <c r="I492" s="40"/>
      <c r="J492" s="40"/>
      <c r="K492" s="40"/>
      <c r="L492" s="40"/>
      <c r="M492" s="40"/>
      <c r="N492" s="40"/>
      <c r="O492" s="40"/>
      <c r="P492" s="40"/>
      <c r="Q492" s="40"/>
      <c r="R492" s="40"/>
      <c r="S492" s="40"/>
      <c r="T492" s="40">
        <v>0</v>
      </c>
      <c r="U492" s="40">
        <v>0</v>
      </c>
      <c r="V492" s="40">
        <v>0</v>
      </c>
      <c r="W492" s="40">
        <v>0</v>
      </c>
      <c r="X492" s="40">
        <v>0</v>
      </c>
      <c r="Y492" s="40">
        <v>0</v>
      </c>
      <c r="Z492" s="210">
        <v>0</v>
      </c>
      <c r="AA492" s="210">
        <v>0</v>
      </c>
      <c r="AB492" s="210">
        <v>0</v>
      </c>
      <c r="AC492" s="210">
        <v>0</v>
      </c>
      <c r="AD492" s="210">
        <v>0</v>
      </c>
      <c r="AE492" s="210">
        <v>0</v>
      </c>
      <c r="AF492" s="210">
        <v>0</v>
      </c>
      <c r="AG492" s="210">
        <v>0</v>
      </c>
      <c r="AH492" s="210">
        <v>0</v>
      </c>
      <c r="AI492" s="210">
        <v>0</v>
      </c>
      <c r="AJ492" s="210">
        <v>0</v>
      </c>
      <c r="AK492" s="210">
        <v>0</v>
      </c>
      <c r="AL492" s="210">
        <v>0</v>
      </c>
      <c r="AM492" s="210">
        <v>0</v>
      </c>
      <c r="AN492" s="210">
        <v>0</v>
      </c>
      <c r="AO492" s="210">
        <v>0</v>
      </c>
      <c r="AP492" s="210">
        <v>0</v>
      </c>
      <c r="AQ492" s="210">
        <v>0</v>
      </c>
      <c r="AR492" s="210">
        <v>0</v>
      </c>
      <c r="AS492" s="210">
        <v>0</v>
      </c>
      <c r="AT492" s="210">
        <v>0</v>
      </c>
      <c r="AU492" s="210">
        <v>0</v>
      </c>
      <c r="AV492" s="234">
        <v>0</v>
      </c>
      <c r="AW492" s="210">
        <v>0</v>
      </c>
      <c r="AX492" s="210">
        <v>0</v>
      </c>
      <c r="AY492" s="210">
        <v>0</v>
      </c>
      <c r="AZ492" s="210">
        <v>0</v>
      </c>
      <c r="BA492" s="210">
        <v>0</v>
      </c>
      <c r="BB492" s="210">
        <v>0</v>
      </c>
      <c r="BC492" s="210">
        <v>0</v>
      </c>
      <c r="BD492" s="210">
        <v>0</v>
      </c>
      <c r="BE492" s="210">
        <v>0</v>
      </c>
      <c r="BF492" s="210">
        <v>0</v>
      </c>
      <c r="BG492" s="210">
        <v>0</v>
      </c>
      <c r="BH492" s="210">
        <v>0</v>
      </c>
      <c r="BI492" s="210">
        <v>0</v>
      </c>
      <c r="BJ492" s="210">
        <v>0</v>
      </c>
      <c r="BK492" s="210">
        <v>0</v>
      </c>
      <c r="BL492" s="210">
        <v>0</v>
      </c>
      <c r="BM492" s="210">
        <v>0</v>
      </c>
      <c r="BN492" s="210">
        <v>0</v>
      </c>
      <c r="BO492" s="210">
        <v>0</v>
      </c>
      <c r="BP492" s="41"/>
      <c r="BQ492" s="40">
        <v>0</v>
      </c>
      <c r="BR492" s="40">
        <v>0</v>
      </c>
      <c r="BS492" s="40">
        <v>0</v>
      </c>
      <c r="BT492" s="40">
        <v>0</v>
      </c>
      <c r="BU492" s="40">
        <v>0</v>
      </c>
      <c r="BV492" s="40">
        <v>0</v>
      </c>
      <c r="BW492" s="40">
        <v>0</v>
      </c>
      <c r="BX492" s="40">
        <v>0</v>
      </c>
      <c r="BY492" s="40">
        <v>0</v>
      </c>
      <c r="BZ492" s="40">
        <v>0</v>
      </c>
      <c r="CA492" s="41">
        <v>0</v>
      </c>
      <c r="CB492" s="41">
        <v>0</v>
      </c>
      <c r="CC492" s="41">
        <v>0</v>
      </c>
      <c r="CD492" s="41">
        <v>0</v>
      </c>
      <c r="CE492" s="41">
        <v>0</v>
      </c>
      <c r="CF492" s="41">
        <v>0</v>
      </c>
      <c r="CG492" s="41">
        <v>0</v>
      </c>
      <c r="CH492" s="41">
        <v>0</v>
      </c>
      <c r="CI492" s="41">
        <v>0</v>
      </c>
      <c r="CJ492" s="41">
        <v>0</v>
      </c>
      <c r="CK492" s="41">
        <v>0</v>
      </c>
      <c r="CL492" s="41">
        <v>0</v>
      </c>
      <c r="CM492" s="41">
        <v>0</v>
      </c>
      <c r="CN492" s="41">
        <v>0</v>
      </c>
      <c r="CO492" s="41">
        <v>0</v>
      </c>
      <c r="CP492" s="41">
        <v>0</v>
      </c>
      <c r="CQ492" s="41">
        <v>0</v>
      </c>
      <c r="CR492" s="41">
        <v>0</v>
      </c>
      <c r="CS492" s="41">
        <v>0</v>
      </c>
      <c r="CT492" s="41">
        <v>0</v>
      </c>
      <c r="CU492" s="41">
        <v>0</v>
      </c>
      <c r="CV492" s="211">
        <v>0</v>
      </c>
      <c r="CW492" s="41">
        <v>0</v>
      </c>
      <c r="CX492" s="41">
        <v>0</v>
      </c>
      <c r="CY492" s="41">
        <v>0</v>
      </c>
      <c r="CZ492" s="41">
        <v>0</v>
      </c>
      <c r="DA492" s="41">
        <v>0</v>
      </c>
      <c r="DB492" s="41">
        <v>0</v>
      </c>
      <c r="DC492" s="41">
        <v>0</v>
      </c>
      <c r="DD492" s="41">
        <v>0</v>
      </c>
      <c r="DE492" s="41">
        <v>0</v>
      </c>
      <c r="DF492" s="41">
        <v>0</v>
      </c>
    </row>
    <row r="493" spans="1:110" s="17" customFormat="1" ht="12" hidden="1" outlineLevel="2">
      <c r="A493" s="1" t="s">
        <v>287</v>
      </c>
      <c r="B493" s="17" t="s">
        <v>157</v>
      </c>
      <c r="C493" s="62">
        <v>1444</v>
      </c>
      <c r="D493" s="62">
        <v>1493</v>
      </c>
      <c r="E493" s="62">
        <v>1729.9999999999998</v>
      </c>
      <c r="F493" s="62">
        <v>1587.0000000000002</v>
      </c>
      <c r="G493" s="62">
        <v>1690</v>
      </c>
      <c r="H493" s="62">
        <v>1977</v>
      </c>
      <c r="I493" s="62">
        <v>2017.0000000000005</v>
      </c>
      <c r="J493" s="62">
        <v>2146.0000000000005</v>
      </c>
      <c r="K493" s="62">
        <v>2251.9999999999995</v>
      </c>
      <c r="L493" s="62">
        <v>2553.9999999999995</v>
      </c>
      <c r="M493" s="62">
        <v>2660</v>
      </c>
      <c r="N493" s="62">
        <v>2986.9999999999995</v>
      </c>
      <c r="O493" s="62">
        <v>2878</v>
      </c>
      <c r="P493" s="62">
        <v>2756.0000000000005</v>
      </c>
      <c r="Q493" s="62">
        <v>1759.0000000000009</v>
      </c>
      <c r="R493" s="62">
        <v>2104</v>
      </c>
      <c r="S493" s="62">
        <v>2276</v>
      </c>
      <c r="T493" s="62">
        <v>2753</v>
      </c>
      <c r="U493" s="62">
        <v>3848</v>
      </c>
      <c r="V493" s="62">
        <v>3904</v>
      </c>
      <c r="W493" s="62">
        <v>3768</v>
      </c>
      <c r="X493" s="62">
        <v>4146</v>
      </c>
      <c r="Y493" s="62">
        <v>3848</v>
      </c>
      <c r="Z493" s="62">
        <v>4304</v>
      </c>
      <c r="AA493" s="62">
        <v>4710</v>
      </c>
      <c r="AB493" s="62">
        <v>4721</v>
      </c>
      <c r="AC493" s="62">
        <v>5587</v>
      </c>
      <c r="AD493" s="62">
        <v>5143</v>
      </c>
      <c r="AE493" s="62">
        <v>5390</v>
      </c>
      <c r="AF493" s="62">
        <v>3882</v>
      </c>
      <c r="AG493" s="62">
        <v>4296</v>
      </c>
      <c r="AH493" s="62">
        <v>4546</v>
      </c>
      <c r="AI493" s="62">
        <v>5081</v>
      </c>
      <c r="AJ493" s="62">
        <v>4884</v>
      </c>
      <c r="AK493" s="62">
        <v>4548</v>
      </c>
      <c r="AL493" s="62">
        <v>4457</v>
      </c>
      <c r="AM493" s="62">
        <v>4183</v>
      </c>
      <c r="AN493" s="62">
        <v>2380</v>
      </c>
      <c r="AO493" s="62">
        <v>2885</v>
      </c>
      <c r="AP493" s="62">
        <v>4365</v>
      </c>
      <c r="AQ493" s="62">
        <v>4560</v>
      </c>
      <c r="AR493" s="62">
        <v>5035</v>
      </c>
      <c r="AS493" s="62">
        <v>5044</v>
      </c>
      <c r="AT493" s="62">
        <v>5021</v>
      </c>
      <c r="AU493" s="62">
        <v>5066</v>
      </c>
      <c r="AV493" s="220">
        <v>4860</v>
      </c>
      <c r="AW493" s="62">
        <v>4760.7852318868445</v>
      </c>
      <c r="AX493" s="62">
        <v>4847.5423036726243</v>
      </c>
      <c r="AY493" s="62">
        <v>4804.1535334461714</v>
      </c>
      <c r="AZ493" s="62">
        <v>4924.8156923811384</v>
      </c>
      <c r="BA493" s="62">
        <v>4780.5747831594481</v>
      </c>
      <c r="BB493" s="62">
        <v>5028.8791235461622</v>
      </c>
      <c r="BC493" s="62">
        <v>4850.1875621679446</v>
      </c>
      <c r="BD493" s="62">
        <v>5224.7262390493834</v>
      </c>
      <c r="BE493" s="62">
        <v>5076.8559256030485</v>
      </c>
      <c r="BF493" s="62">
        <v>5488.070610094881</v>
      </c>
      <c r="BG493" s="62">
        <v>5366.5741843391534</v>
      </c>
      <c r="BH493" s="62">
        <v>5089.0673112122095</v>
      </c>
      <c r="BI493" s="62">
        <v>4202.5712665045467</v>
      </c>
      <c r="BJ493" s="62">
        <v>4566.5064527054274</v>
      </c>
      <c r="BK493" s="62">
        <v>5152.100579184299</v>
      </c>
      <c r="BL493" s="62">
        <v>6210.3639250600399</v>
      </c>
      <c r="BM493" s="62">
        <v>6067.3285544424762</v>
      </c>
      <c r="BN493" s="62">
        <v>6467.7023118011912</v>
      </c>
      <c r="BO493" s="62">
        <v>6244.0978972009798</v>
      </c>
      <c r="BP493" s="62"/>
      <c r="BQ493" s="62">
        <v>-707.80000000000018</v>
      </c>
      <c r="BR493" s="62">
        <v>487.5</v>
      </c>
      <c r="BS493" s="62">
        <v>1219</v>
      </c>
      <c r="BT493" s="62">
        <v>1485</v>
      </c>
      <c r="BU493" s="62">
        <v>1594</v>
      </c>
      <c r="BV493" s="62">
        <v>1463</v>
      </c>
      <c r="BW493" s="62">
        <v>1658</v>
      </c>
      <c r="BX493" s="62">
        <v>2222</v>
      </c>
      <c r="BY493" s="62">
        <v>2789</v>
      </c>
      <c r="BZ493" s="62">
        <v>2783</v>
      </c>
      <c r="CA493" s="62">
        <v>3223</v>
      </c>
      <c r="CB493" s="62">
        <v>3277</v>
      </c>
      <c r="CC493" s="62">
        <v>3994.0000000000005</v>
      </c>
      <c r="CD493" s="62">
        <v>4397.9999999999991</v>
      </c>
      <c r="CE493" s="62">
        <v>5214</v>
      </c>
      <c r="CF493" s="62">
        <v>5864.9999999999991</v>
      </c>
      <c r="CG493" s="62">
        <v>4514.9999999999991</v>
      </c>
      <c r="CH493" s="62">
        <v>4380</v>
      </c>
      <c r="CI493" s="62">
        <v>6601</v>
      </c>
      <c r="CJ493" s="62">
        <v>7672</v>
      </c>
      <c r="CK493" s="62">
        <v>7994</v>
      </c>
      <c r="CL493" s="62">
        <v>9014</v>
      </c>
      <c r="CM493" s="62">
        <v>10308</v>
      </c>
      <c r="CN493" s="62">
        <v>10533</v>
      </c>
      <c r="CO493" s="62">
        <v>8178</v>
      </c>
      <c r="CP493" s="62">
        <v>9627</v>
      </c>
      <c r="CQ493" s="62">
        <v>9432</v>
      </c>
      <c r="CR493" s="62">
        <v>8640</v>
      </c>
      <c r="CS493" s="62">
        <v>5265</v>
      </c>
      <c r="CT493" s="62">
        <v>8925</v>
      </c>
      <c r="CU493" s="62">
        <v>10079</v>
      </c>
      <c r="CV493" s="220">
        <v>10087</v>
      </c>
      <c r="CW493" s="62">
        <v>9620.7852318868445</v>
      </c>
      <c r="CX493" s="62">
        <v>9651.6958371187975</v>
      </c>
      <c r="CY493" s="62">
        <v>9705.3904755405893</v>
      </c>
      <c r="CZ493" s="62">
        <v>9879.0666857141077</v>
      </c>
      <c r="DA493" s="62">
        <v>10301.582164652431</v>
      </c>
      <c r="DB493" s="62">
        <v>10854.644794434038</v>
      </c>
      <c r="DC493" s="62">
        <v>9291.6385777167561</v>
      </c>
      <c r="DD493" s="62">
        <v>9718.6070318897255</v>
      </c>
      <c r="DE493" s="62">
        <v>12277.692479502515</v>
      </c>
      <c r="DF493" s="62">
        <v>12711.800209002171</v>
      </c>
    </row>
    <row r="494" spans="1:110" ht="12" collapsed="1">
      <c r="C494" s="41"/>
      <c r="D494" s="41"/>
      <c r="E494" s="41"/>
      <c r="F494" s="41"/>
      <c r="G494" s="41"/>
      <c r="H494" s="41"/>
      <c r="I494" s="41"/>
      <c r="J494" s="41"/>
      <c r="K494" s="41"/>
      <c r="L494" s="41"/>
      <c r="M494" s="41"/>
      <c r="N494" s="41"/>
      <c r="O494" s="41"/>
      <c r="P494" s="41"/>
      <c r="Q494" s="41"/>
      <c r="R494" s="41"/>
      <c r="S494" s="41"/>
      <c r="T494" s="41"/>
      <c r="U494" s="41"/>
      <c r="V494" s="41"/>
      <c r="W494" s="41"/>
      <c r="X494" s="41"/>
      <c r="Y494" s="41"/>
      <c r="Z494" s="41"/>
      <c r="AA494" s="41"/>
      <c r="AB494" s="41"/>
      <c r="AC494" s="41"/>
      <c r="AD494" s="41"/>
      <c r="AE494" s="41"/>
      <c r="AF494" s="41"/>
      <c r="AG494" s="41"/>
      <c r="AH494" s="41"/>
      <c r="AI494" s="41"/>
      <c r="AJ494" s="41"/>
      <c r="AK494" s="41"/>
      <c r="AL494" s="41"/>
      <c r="AM494" s="41"/>
      <c r="AN494" s="41"/>
      <c r="AO494" s="41"/>
      <c r="AP494" s="41"/>
      <c r="AQ494" s="41"/>
      <c r="AR494" s="41"/>
      <c r="AS494" s="41"/>
      <c r="AT494" s="41"/>
      <c r="AU494" s="41"/>
      <c r="AV494" s="211"/>
      <c r="AW494" s="41"/>
      <c r="AX494" s="41"/>
      <c r="AY494" s="41"/>
      <c r="AZ494" s="41"/>
      <c r="BA494" s="41"/>
      <c r="BB494" s="41"/>
      <c r="BC494" s="41"/>
      <c r="BD494" s="41"/>
      <c r="BE494" s="41"/>
      <c r="BF494" s="41"/>
      <c r="BG494" s="41"/>
      <c r="BH494" s="41"/>
      <c r="BI494" s="41"/>
      <c r="BJ494" s="41"/>
      <c r="BK494" s="41"/>
      <c r="BL494" s="41"/>
      <c r="BM494" s="41"/>
      <c r="BN494" s="41"/>
      <c r="BO494" s="41"/>
      <c r="BP494" s="41"/>
      <c r="BQ494" s="41"/>
      <c r="BR494" s="41"/>
      <c r="BS494" s="41"/>
      <c r="BT494" s="41"/>
      <c r="BU494" s="41"/>
      <c r="BV494" s="41"/>
      <c r="BW494" s="41"/>
      <c r="BX494" s="41"/>
      <c r="BY494" s="41"/>
      <c r="BZ494" s="41"/>
      <c r="CA494" s="41"/>
      <c r="CB494" s="41"/>
      <c r="CC494" s="41"/>
      <c r="CD494" s="41"/>
      <c r="CE494" s="41"/>
      <c r="CF494" s="41"/>
      <c r="CG494" s="41"/>
      <c r="CH494" s="41"/>
      <c r="CI494" s="41"/>
      <c r="CJ494" s="41"/>
      <c r="CK494" s="41"/>
      <c r="CL494" s="41"/>
      <c r="CM494" s="41"/>
      <c r="CN494" s="41"/>
      <c r="CO494" s="41"/>
      <c r="CP494" s="41"/>
      <c r="CQ494" s="41"/>
      <c r="CR494" s="41"/>
      <c r="CS494" s="41"/>
      <c r="CT494" s="41"/>
      <c r="CU494" s="41"/>
      <c r="CV494" s="211"/>
      <c r="CW494" s="41"/>
      <c r="CX494" s="41"/>
      <c r="CY494" s="41"/>
      <c r="CZ494" s="15"/>
      <c r="DA494" s="15"/>
      <c r="DB494" s="15"/>
      <c r="DC494" s="15"/>
      <c r="DD494" s="15"/>
      <c r="DE494" s="15"/>
      <c r="DF494" s="15"/>
    </row>
    <row r="495" spans="1:110" s="26" customFormat="1" ht="12" collapsed="1">
      <c r="A495" s="1" t="s">
        <v>362</v>
      </c>
      <c r="B495" s="2" t="s">
        <v>76</v>
      </c>
      <c r="C495" s="60">
        <v>-529</v>
      </c>
      <c r="D495" s="60">
        <v>-489</v>
      </c>
      <c r="E495" s="60">
        <v>-513.45000000000005</v>
      </c>
      <c r="F495" s="60">
        <v>-500</v>
      </c>
      <c r="G495" s="60">
        <v>-545.21</v>
      </c>
      <c r="H495" s="60">
        <v>-630.23</v>
      </c>
      <c r="I495" s="60">
        <v>-646.70000000000005</v>
      </c>
      <c r="J495" s="60">
        <v>-625.35</v>
      </c>
      <c r="K495" s="60">
        <v>-665.68</v>
      </c>
      <c r="L495" s="60">
        <v>-737.82</v>
      </c>
      <c r="M495" s="60">
        <v>-804.66</v>
      </c>
      <c r="N495" s="60">
        <v>-843.84</v>
      </c>
      <c r="O495" s="60">
        <v>-849.97</v>
      </c>
      <c r="P495" s="60">
        <v>-831.05</v>
      </c>
      <c r="Q495" s="60">
        <v>-436.09000000000003</v>
      </c>
      <c r="R495" s="60">
        <v>-535.57999999999993</v>
      </c>
      <c r="S495" s="60">
        <v>-889.09</v>
      </c>
      <c r="T495" s="60">
        <v>-942</v>
      </c>
      <c r="U495" s="60">
        <v>-1064</v>
      </c>
      <c r="V495" s="60">
        <v>-1105</v>
      </c>
      <c r="W495" s="60">
        <v>-1082</v>
      </c>
      <c r="X495" s="60">
        <v>-1128</v>
      </c>
      <c r="Y495" s="60">
        <v>-1177</v>
      </c>
      <c r="Z495" s="60">
        <v>-1273</v>
      </c>
      <c r="AA495" s="60">
        <v>-1178</v>
      </c>
      <c r="AB495" s="60">
        <v>-1342</v>
      </c>
      <c r="AC495" s="60">
        <v>-1376</v>
      </c>
      <c r="AD495" s="60">
        <v>-1407</v>
      </c>
      <c r="AE495" s="60">
        <v>-1332</v>
      </c>
      <c r="AF495" s="60">
        <v>-1137</v>
      </c>
      <c r="AG495" s="60">
        <v>-1173</v>
      </c>
      <c r="AH495" s="60">
        <v>-1414</v>
      </c>
      <c r="AI495" s="60">
        <v>-1427</v>
      </c>
      <c r="AJ495" s="60">
        <v>-1496</v>
      </c>
      <c r="AK495" s="60">
        <v>-1295</v>
      </c>
      <c r="AL495" s="60">
        <v>-1424</v>
      </c>
      <c r="AM495" s="60">
        <v>-1269</v>
      </c>
      <c r="AN495" s="60">
        <v>-887</v>
      </c>
      <c r="AO495" s="60">
        <v>-986</v>
      </c>
      <c r="AP495" s="60">
        <v>-1442</v>
      </c>
      <c r="AQ495" s="60">
        <v>-1323</v>
      </c>
      <c r="AR495" s="60">
        <v>-1328</v>
      </c>
      <c r="AS495" s="60">
        <v>-1357</v>
      </c>
      <c r="AT495" s="60">
        <v>-1581</v>
      </c>
      <c r="AU495" s="60">
        <v>-1527</v>
      </c>
      <c r="AV495" s="219">
        <v>-1510</v>
      </c>
      <c r="AW495" s="60">
        <v>-1420.980384611363</v>
      </c>
      <c r="AX495" s="60">
        <v>-1446.6201671857459</v>
      </c>
      <c r="AY495" s="60">
        <v>-1433.7972512910851</v>
      </c>
      <c r="AZ495" s="60">
        <v>-1469.4571860533749</v>
      </c>
      <c r="BA495" s="60">
        <v>-1426.8288968009749</v>
      </c>
      <c r="BB495" s="60">
        <v>-1500.2116098034492</v>
      </c>
      <c r="BC495" s="60">
        <v>-1447.4019346114669</v>
      </c>
      <c r="BD495" s="60">
        <v>-1558.0913578857917</v>
      </c>
      <c r="BE495" s="60">
        <v>-1514.3904513437694</v>
      </c>
      <c r="BF495" s="60">
        <v>-1635.9189317862392</v>
      </c>
      <c r="BG495" s="60">
        <v>-1600.012441677474</v>
      </c>
      <c r="BH495" s="60">
        <v>-1517.9993476043985</v>
      </c>
      <c r="BI495" s="60">
        <v>-1256.0084185481633</v>
      </c>
      <c r="BJ495" s="60">
        <v>-1363.5641353708652</v>
      </c>
      <c r="BK495" s="60">
        <v>-1536.6279072421398</v>
      </c>
      <c r="BL495" s="60">
        <v>-1849.3821477459148</v>
      </c>
      <c r="BM495" s="60">
        <v>-1807.1101377807081</v>
      </c>
      <c r="BN495" s="60">
        <v>-1925.4347409037105</v>
      </c>
      <c r="BO495" s="60">
        <v>-1859.351729397998</v>
      </c>
      <c r="BP495" s="60"/>
      <c r="BQ495" s="60">
        <v>61.599999999999994</v>
      </c>
      <c r="BR495" s="60">
        <v>-279.89999999999998</v>
      </c>
      <c r="BS495" s="60">
        <v>-475</v>
      </c>
      <c r="BT495" s="60">
        <v>-532</v>
      </c>
      <c r="BU495" s="60">
        <v>-478</v>
      </c>
      <c r="BV495" s="60">
        <v>-474</v>
      </c>
      <c r="BW495" s="60">
        <v>-585</v>
      </c>
      <c r="BX495" s="60">
        <v>-814</v>
      </c>
      <c r="BY495" s="60">
        <v>-967</v>
      </c>
      <c r="BZ495" s="60">
        <v>-1032</v>
      </c>
      <c r="CA495" s="60">
        <v>-1002.45</v>
      </c>
      <c r="CB495" s="60">
        <v>-1045.21</v>
      </c>
      <c r="CC495" s="60">
        <v>-1276.93</v>
      </c>
      <c r="CD495" s="60">
        <v>-1291.03</v>
      </c>
      <c r="CE495" s="60">
        <v>-1542.48</v>
      </c>
      <c r="CF495" s="60">
        <v>-1693.81</v>
      </c>
      <c r="CG495" s="60">
        <v>-1267.1399999999999</v>
      </c>
      <c r="CH495" s="60">
        <v>-1424.67</v>
      </c>
      <c r="CI495" s="60">
        <v>-2006</v>
      </c>
      <c r="CJ495" s="60">
        <v>-2187</v>
      </c>
      <c r="CK495" s="60">
        <v>-2305</v>
      </c>
      <c r="CL495" s="60">
        <v>-2451</v>
      </c>
      <c r="CM495" s="60">
        <v>-2718</v>
      </c>
      <c r="CN495" s="60">
        <v>-2739</v>
      </c>
      <c r="CO495" s="60">
        <v>-2310</v>
      </c>
      <c r="CP495" s="60">
        <v>-2841</v>
      </c>
      <c r="CQ495" s="60">
        <v>-2791</v>
      </c>
      <c r="CR495" s="60">
        <v>-2693</v>
      </c>
      <c r="CS495" s="60">
        <v>-1873</v>
      </c>
      <c r="CT495" s="60">
        <v>-2765</v>
      </c>
      <c r="CU495" s="60">
        <v>-2685</v>
      </c>
      <c r="CV495" s="219">
        <v>-3108</v>
      </c>
      <c r="CW495" s="60">
        <v>-2930.9803846113628</v>
      </c>
      <c r="CX495" s="60">
        <v>-2880.4174184768308</v>
      </c>
      <c r="CY495" s="60">
        <v>-2896.2860828543498</v>
      </c>
      <c r="CZ495" s="60">
        <v>-2947.6135444149159</v>
      </c>
      <c r="DA495" s="60">
        <v>-3072.4818092295609</v>
      </c>
      <c r="DB495" s="60">
        <v>-3235.9313734637135</v>
      </c>
      <c r="DC495" s="60">
        <v>-2774.007766152562</v>
      </c>
      <c r="DD495" s="60">
        <v>-2900.192042613005</v>
      </c>
      <c r="DE495" s="60">
        <v>-3656.4922855266232</v>
      </c>
      <c r="DF495" s="60">
        <v>-3784.7864703017085</v>
      </c>
    </row>
    <row r="496" spans="1:110" ht="12" outlineLevel="1">
      <c r="C496" s="41"/>
      <c r="D496" s="41"/>
      <c r="E496" s="41"/>
      <c r="F496" s="41"/>
      <c r="G496" s="41"/>
      <c r="H496" s="41"/>
      <c r="I496" s="41"/>
      <c r="J496" s="41"/>
      <c r="K496" s="41"/>
      <c r="L496" s="41"/>
      <c r="M496" s="41"/>
      <c r="N496" s="41"/>
      <c r="O496" s="41"/>
      <c r="P496" s="41"/>
      <c r="Q496" s="41"/>
      <c r="R496" s="41"/>
      <c r="S496" s="41"/>
      <c r="T496" s="41"/>
      <c r="U496" s="41"/>
      <c r="V496" s="41"/>
      <c r="W496" s="41"/>
      <c r="X496" s="41"/>
      <c r="Y496" s="41"/>
      <c r="Z496" s="41"/>
      <c r="AA496" s="41"/>
      <c r="AB496" s="41"/>
      <c r="AC496" s="41"/>
      <c r="AD496" s="41"/>
      <c r="AE496" s="41"/>
      <c r="AF496" s="41"/>
      <c r="AG496" s="41"/>
      <c r="AH496" s="41"/>
      <c r="AI496" s="41"/>
      <c r="AJ496" s="41"/>
      <c r="AK496" s="41"/>
      <c r="AL496" s="41"/>
      <c r="AM496" s="41"/>
      <c r="AN496" s="41"/>
      <c r="AO496" s="41"/>
      <c r="AP496" s="41"/>
      <c r="AQ496" s="41"/>
      <c r="AR496" s="41"/>
      <c r="AS496" s="41"/>
      <c r="AT496" s="41"/>
      <c r="AU496" s="41"/>
      <c r="AV496" s="211"/>
      <c r="AW496" s="41"/>
      <c r="AX496" s="41"/>
      <c r="AY496" s="41"/>
      <c r="AZ496" s="41"/>
      <c r="BA496" s="41"/>
      <c r="BB496" s="41"/>
      <c r="BC496" s="41"/>
      <c r="BD496" s="41"/>
      <c r="BE496" s="41"/>
      <c r="BF496" s="41"/>
      <c r="BG496" s="41"/>
      <c r="BH496" s="41"/>
      <c r="BI496" s="41"/>
      <c r="BJ496" s="41"/>
      <c r="BK496" s="41"/>
      <c r="BL496" s="41"/>
      <c r="BM496" s="41"/>
      <c r="BN496" s="41"/>
      <c r="BO496" s="41"/>
      <c r="BP496" s="41"/>
      <c r="BQ496" s="41"/>
      <c r="BR496" s="41"/>
      <c r="BS496" s="41"/>
      <c r="BT496" s="41"/>
      <c r="BU496" s="41"/>
      <c r="BV496" s="41"/>
      <c r="BW496" s="41"/>
      <c r="BX496" s="41"/>
      <c r="BY496" s="41"/>
      <c r="BZ496" s="41"/>
      <c r="CA496" s="41"/>
      <c r="CB496" s="41"/>
      <c r="CC496" s="41"/>
      <c r="CD496" s="41"/>
      <c r="CE496" s="41"/>
      <c r="CF496" s="41"/>
      <c r="CG496" s="41"/>
      <c r="CH496" s="41"/>
      <c r="CI496" s="41"/>
      <c r="CJ496" s="41"/>
      <c r="CK496" s="41"/>
      <c r="CL496" s="41"/>
      <c r="CM496" s="41"/>
      <c r="CN496" s="41"/>
      <c r="CO496" s="41"/>
      <c r="CP496" s="41"/>
      <c r="CQ496" s="41"/>
      <c r="CR496" s="41"/>
      <c r="CS496" s="41"/>
      <c r="CT496" s="41"/>
      <c r="CU496" s="41"/>
      <c r="CV496" s="211"/>
      <c r="CW496" s="41"/>
      <c r="CX496" s="41"/>
      <c r="CY496" s="41"/>
      <c r="CZ496" s="15"/>
      <c r="DA496" s="15"/>
      <c r="DB496" s="15"/>
      <c r="DC496" s="15"/>
      <c r="DD496" s="15"/>
      <c r="DE496" s="15"/>
      <c r="DF496" s="15"/>
    </row>
    <row r="497" spans="1:110" ht="12" outlineLevel="1">
      <c r="A497" s="1" t="s">
        <v>691</v>
      </c>
      <c r="B497" s="15" t="s">
        <v>77</v>
      </c>
      <c r="C497" s="40">
        <v>-468</v>
      </c>
      <c r="D497" s="40">
        <v>-441</v>
      </c>
      <c r="E497" s="40">
        <v>-453</v>
      </c>
      <c r="F497" s="40">
        <v>-444</v>
      </c>
      <c r="G497" s="40">
        <v>-482</v>
      </c>
      <c r="H497" s="40">
        <v>-550</v>
      </c>
      <c r="I497" s="40">
        <v>-597</v>
      </c>
      <c r="J497" s="40">
        <v>-611</v>
      </c>
      <c r="K497" s="40">
        <v>-636</v>
      </c>
      <c r="L497" s="40">
        <v>-716</v>
      </c>
      <c r="M497" s="40">
        <v>-770</v>
      </c>
      <c r="N497" s="40">
        <v>-817</v>
      </c>
      <c r="O497" s="40">
        <v>-799</v>
      </c>
      <c r="P497" s="40">
        <v>-783</v>
      </c>
      <c r="Q497" s="40">
        <v>-388</v>
      </c>
      <c r="R497" s="40">
        <v>-487</v>
      </c>
      <c r="S497" s="40">
        <v>-862</v>
      </c>
      <c r="T497" s="40">
        <v>-934</v>
      </c>
      <c r="U497" s="40">
        <v>-1055</v>
      </c>
      <c r="V497" s="40">
        <v>-1094</v>
      </c>
      <c r="W497" s="40">
        <v>-1073</v>
      </c>
      <c r="X497" s="40">
        <v>-1117</v>
      </c>
      <c r="Y497" s="40">
        <v>-1171</v>
      </c>
      <c r="Z497" s="141">
        <v>-1265</v>
      </c>
      <c r="AA497" s="141">
        <v>-1170</v>
      </c>
      <c r="AB497" s="141">
        <v>-1333</v>
      </c>
      <c r="AC497" s="141">
        <v>-1367</v>
      </c>
      <c r="AD497" s="141">
        <v>-1398</v>
      </c>
      <c r="AE497" s="141">
        <v>-1326</v>
      </c>
      <c r="AF497" s="141">
        <v>-1133</v>
      </c>
      <c r="AG497" s="141">
        <v>-1166</v>
      </c>
      <c r="AH497" s="141">
        <v>-1406</v>
      </c>
      <c r="AI497" s="141">
        <v>-1420</v>
      </c>
      <c r="AJ497" s="141">
        <v>-1489</v>
      </c>
      <c r="AK497" s="141">
        <v>-1286</v>
      </c>
      <c r="AL497" s="141">
        <v>-1415</v>
      </c>
      <c r="AM497" s="141">
        <v>-1263</v>
      </c>
      <c r="AN497" s="141">
        <v>-886</v>
      </c>
      <c r="AO497" s="141">
        <v>-986</v>
      </c>
      <c r="AP497" s="141">
        <v>-1442</v>
      </c>
      <c r="AQ497" s="141">
        <v>-1322</v>
      </c>
      <c r="AR497" s="141">
        <v>-1328</v>
      </c>
      <c r="AS497" s="141">
        <v>-1356</v>
      </c>
      <c r="AT497" s="141">
        <v>-1567</v>
      </c>
      <c r="AU497" s="141">
        <v>-1513</v>
      </c>
      <c r="AV497" s="226">
        <v>-1496</v>
      </c>
      <c r="AW497" s="41">
        <v>-1406.980384611363</v>
      </c>
      <c r="AX497" s="41">
        <v>-1432.6201671857459</v>
      </c>
      <c r="AY497" s="41">
        <v>-1419.7972512910851</v>
      </c>
      <c r="AZ497" s="41">
        <v>-1455.4571860533749</v>
      </c>
      <c r="BA497" s="41">
        <v>-1412.8288968009749</v>
      </c>
      <c r="BB497" s="41">
        <v>-1486.2116098034492</v>
      </c>
      <c r="BC497" s="41">
        <v>-1433.4019346114669</v>
      </c>
      <c r="BD497" s="41">
        <v>-1544.0913578857917</v>
      </c>
      <c r="BE497" s="41">
        <v>-1500.3904513437694</v>
      </c>
      <c r="BF497" s="41">
        <v>-1621.9189317862392</v>
      </c>
      <c r="BG497" s="41">
        <v>-1586.012441677474</v>
      </c>
      <c r="BH497" s="41">
        <v>-1503.9993476043985</v>
      </c>
      <c r="BI497" s="41">
        <v>-1242.0084185481633</v>
      </c>
      <c r="BJ497" s="41">
        <v>-1349.5641353708652</v>
      </c>
      <c r="BK497" s="41">
        <v>-1522.6279072421398</v>
      </c>
      <c r="BL497" s="41">
        <v>-1835.3821477459148</v>
      </c>
      <c r="BM497" s="41">
        <v>-1793.1101377807081</v>
      </c>
      <c r="BN497" s="41">
        <v>-1911.4347409037105</v>
      </c>
      <c r="BO497" s="41">
        <v>-1845.351729397998</v>
      </c>
      <c r="BP497" s="41"/>
      <c r="BQ497" s="40">
        <v>132.9</v>
      </c>
      <c r="BR497" s="40">
        <v>-233.9</v>
      </c>
      <c r="BS497" s="40">
        <v>-395</v>
      </c>
      <c r="BT497" s="40">
        <v>-505</v>
      </c>
      <c r="BU497" s="40">
        <v>-469</v>
      </c>
      <c r="BV497" s="40">
        <v>-466</v>
      </c>
      <c r="BW497" s="40">
        <v>-576</v>
      </c>
      <c r="BX497" s="40">
        <v>-736</v>
      </c>
      <c r="BY497" s="40">
        <v>-863</v>
      </c>
      <c r="BZ497" s="40">
        <v>-911</v>
      </c>
      <c r="CA497" s="41">
        <v>-894</v>
      </c>
      <c r="CB497" s="41">
        <v>-926</v>
      </c>
      <c r="CC497" s="41">
        <v>-1147</v>
      </c>
      <c r="CD497" s="41">
        <v>-1247</v>
      </c>
      <c r="CE497" s="41">
        <v>-1486</v>
      </c>
      <c r="CF497" s="41">
        <v>-1616</v>
      </c>
      <c r="CG497" s="41">
        <v>-1171</v>
      </c>
      <c r="CH497" s="41">
        <v>-1349</v>
      </c>
      <c r="CI497" s="41">
        <v>-1989</v>
      </c>
      <c r="CJ497" s="41">
        <v>-2167</v>
      </c>
      <c r="CK497" s="41">
        <v>-2288</v>
      </c>
      <c r="CL497" s="41">
        <v>-2435</v>
      </c>
      <c r="CM497" s="41">
        <v>-2700</v>
      </c>
      <c r="CN497" s="41">
        <v>-2724</v>
      </c>
      <c r="CO497" s="41">
        <v>-2299</v>
      </c>
      <c r="CP497" s="41">
        <v>-2826</v>
      </c>
      <c r="CQ497" s="41">
        <v>-2775</v>
      </c>
      <c r="CR497" s="41">
        <v>-2678</v>
      </c>
      <c r="CS497" s="41">
        <v>-1872</v>
      </c>
      <c r="CT497" s="41">
        <v>-2764</v>
      </c>
      <c r="CU497" s="41">
        <v>-2684</v>
      </c>
      <c r="CV497" s="211">
        <v>-3080</v>
      </c>
      <c r="CW497" s="41">
        <v>-2902.9803846113628</v>
      </c>
      <c r="CX497" s="41">
        <v>-2852.4174184768308</v>
      </c>
      <c r="CY497" s="41">
        <v>-2868.2860828543498</v>
      </c>
      <c r="CZ497" s="41">
        <v>-2919.6135444149159</v>
      </c>
      <c r="DA497" s="41">
        <v>-3044.4818092295609</v>
      </c>
      <c r="DB497" s="41">
        <v>-3207.9313734637135</v>
      </c>
      <c r="DC497" s="41">
        <v>-2746.007766152562</v>
      </c>
      <c r="DD497" s="41">
        <v>-2872.192042613005</v>
      </c>
      <c r="DE497" s="41">
        <v>-3628.4922855266232</v>
      </c>
      <c r="DF497" s="41">
        <v>-3756.7864703017085</v>
      </c>
    </row>
    <row r="498" spans="1:110" ht="12" outlineLevel="1">
      <c r="A498" s="1" t="s">
        <v>692</v>
      </c>
      <c r="B498" s="15" t="s">
        <v>160</v>
      </c>
      <c r="C498" s="41">
        <v>-1</v>
      </c>
      <c r="D498" s="41">
        <v>12</v>
      </c>
      <c r="E498" s="41">
        <v>-3.4500000000000455</v>
      </c>
      <c r="F498" s="41">
        <v>-2</v>
      </c>
      <c r="G498" s="41">
        <v>-15.210000000000036</v>
      </c>
      <c r="H498" s="41">
        <v>-16.230000000000018</v>
      </c>
      <c r="I498" s="41">
        <v>-15.700000000000045</v>
      </c>
      <c r="J498" s="41">
        <v>-8.3500000000000227</v>
      </c>
      <c r="K498" s="41">
        <v>-17.67999999999995</v>
      </c>
      <c r="L498" s="41">
        <v>-9.82000000000005</v>
      </c>
      <c r="M498" s="41">
        <v>-19.659999999999968</v>
      </c>
      <c r="N498" s="41">
        <v>-9.8400000000000318</v>
      </c>
      <c r="O498" s="41">
        <v>-30.970000000000027</v>
      </c>
      <c r="P498" s="41">
        <v>-25.049999999999955</v>
      </c>
      <c r="Q498" s="41">
        <v>-25.090000000000032</v>
      </c>
      <c r="R498" s="41">
        <v>-24.579999999999927</v>
      </c>
      <c r="S498" s="41">
        <v>-18.090000000000032</v>
      </c>
      <c r="T498" s="41">
        <v>-2</v>
      </c>
      <c r="U498" s="41">
        <v>-4</v>
      </c>
      <c r="V498" s="41">
        <v>-5</v>
      </c>
      <c r="W498" s="41">
        <v>-3</v>
      </c>
      <c r="X498" s="41">
        <v>-4</v>
      </c>
      <c r="Y498" s="41">
        <v>-2</v>
      </c>
      <c r="Z498" s="41">
        <v>-5</v>
      </c>
      <c r="AA498" s="41">
        <v>-5</v>
      </c>
      <c r="AB498" s="41">
        <v>-6</v>
      </c>
      <c r="AC498" s="41">
        <v>-6</v>
      </c>
      <c r="AD498" s="41">
        <v>-8</v>
      </c>
      <c r="AE498" s="41">
        <v>-6</v>
      </c>
      <c r="AF498" s="41">
        <v>-4</v>
      </c>
      <c r="AG498" s="41">
        <v>-7</v>
      </c>
      <c r="AH498" s="41">
        <v>-8</v>
      </c>
      <c r="AI498" s="41">
        <v>-7</v>
      </c>
      <c r="AJ498" s="41">
        <v>-7</v>
      </c>
      <c r="AK498" s="41">
        <v>-9</v>
      </c>
      <c r="AL498" s="41">
        <v>-9</v>
      </c>
      <c r="AM498" s="41">
        <v>-6</v>
      </c>
      <c r="AN498" s="41">
        <v>-1</v>
      </c>
      <c r="AO498" s="41">
        <v>0</v>
      </c>
      <c r="AP498" s="41">
        <v>0</v>
      </c>
      <c r="AQ498" s="41">
        <v>-1</v>
      </c>
      <c r="AR498" s="41">
        <v>0</v>
      </c>
      <c r="AS498" s="41">
        <v>-1</v>
      </c>
      <c r="AT498" s="41">
        <v>-14</v>
      </c>
      <c r="AU498" s="41">
        <v>-14</v>
      </c>
      <c r="AV498" s="211">
        <v>-14</v>
      </c>
      <c r="AW498" s="41">
        <v>-14</v>
      </c>
      <c r="AX498" s="41">
        <v>-14</v>
      </c>
      <c r="AY498" s="41">
        <v>-14</v>
      </c>
      <c r="AZ498" s="41">
        <v>-14</v>
      </c>
      <c r="BA498" s="41">
        <v>-14</v>
      </c>
      <c r="BB498" s="41">
        <v>-14</v>
      </c>
      <c r="BC498" s="41">
        <v>-14</v>
      </c>
      <c r="BD498" s="41">
        <v>-14</v>
      </c>
      <c r="BE498" s="41">
        <v>-14</v>
      </c>
      <c r="BF498" s="41">
        <v>-14</v>
      </c>
      <c r="BG498" s="41">
        <v>-14</v>
      </c>
      <c r="BH498" s="41">
        <v>-14</v>
      </c>
      <c r="BI498" s="41">
        <v>-14</v>
      </c>
      <c r="BJ498" s="41">
        <v>-14</v>
      </c>
      <c r="BK498" s="41">
        <v>-14</v>
      </c>
      <c r="BL498" s="41">
        <v>-14</v>
      </c>
      <c r="BM498" s="41">
        <v>-14</v>
      </c>
      <c r="BN498" s="41">
        <v>-14</v>
      </c>
      <c r="BO498" s="41">
        <v>-14</v>
      </c>
      <c r="BP498" s="41"/>
      <c r="BQ498" s="41">
        <v>8.0999999999999943</v>
      </c>
      <c r="BR498" s="41">
        <v>33.400000000000034</v>
      </c>
      <c r="BS498" s="41">
        <v>0</v>
      </c>
      <c r="BT498" s="41">
        <v>53</v>
      </c>
      <c r="BU498" s="41">
        <v>-9</v>
      </c>
      <c r="BV498" s="41">
        <v>-8</v>
      </c>
      <c r="BW498" s="41">
        <v>-9</v>
      </c>
      <c r="BX498" s="41">
        <v>-6</v>
      </c>
      <c r="BY498" s="41">
        <v>-2</v>
      </c>
      <c r="BZ498" s="41">
        <v>-2</v>
      </c>
      <c r="CA498" s="41">
        <v>8.5499999999999545</v>
      </c>
      <c r="CB498" s="41">
        <v>-17.210000000000036</v>
      </c>
      <c r="CC498" s="41">
        <v>-31.930000000000064</v>
      </c>
      <c r="CD498" s="41">
        <v>-26.029999999999973</v>
      </c>
      <c r="CE498" s="41">
        <v>-29.480000000000018</v>
      </c>
      <c r="CF498" s="41">
        <v>-40.810000000000059</v>
      </c>
      <c r="CG498" s="41">
        <v>-50.139999999999986</v>
      </c>
      <c r="CH498" s="41">
        <v>-42.669999999999959</v>
      </c>
      <c r="CI498" s="41">
        <v>-6</v>
      </c>
      <c r="CJ498" s="41">
        <v>-8</v>
      </c>
      <c r="CK498" s="41">
        <v>-6</v>
      </c>
      <c r="CL498" s="41">
        <v>-10</v>
      </c>
      <c r="CM498" s="41">
        <v>-12</v>
      </c>
      <c r="CN498" s="41">
        <v>-14</v>
      </c>
      <c r="CO498" s="41">
        <v>-11</v>
      </c>
      <c r="CP498" s="41">
        <v>-15</v>
      </c>
      <c r="CQ498" s="41">
        <v>-16</v>
      </c>
      <c r="CR498" s="41">
        <v>-15</v>
      </c>
      <c r="CS498" s="41">
        <v>-1</v>
      </c>
      <c r="CT498" s="41">
        <v>-1</v>
      </c>
      <c r="CU498" s="41">
        <v>-1</v>
      </c>
      <c r="CV498" s="211">
        <v>-28</v>
      </c>
      <c r="CW498" s="41">
        <v>-28</v>
      </c>
      <c r="CX498" s="41">
        <v>-28</v>
      </c>
      <c r="CY498" s="41">
        <v>-28</v>
      </c>
      <c r="CZ498" s="41">
        <v>-28</v>
      </c>
      <c r="DA498" s="41">
        <v>-28</v>
      </c>
      <c r="DB498" s="41">
        <v>-28</v>
      </c>
      <c r="DC498" s="41">
        <v>-28</v>
      </c>
      <c r="DD498" s="41">
        <v>-28</v>
      </c>
      <c r="DE498" s="41">
        <v>-28</v>
      </c>
      <c r="DF498" s="41">
        <v>-28</v>
      </c>
    </row>
    <row r="499" spans="1:110" ht="12" outlineLevel="1">
      <c r="A499" s="1" t="s">
        <v>693</v>
      </c>
      <c r="B499" s="15" t="s">
        <v>258</v>
      </c>
      <c r="C499" s="40">
        <v>-60</v>
      </c>
      <c r="D499" s="40">
        <v>-60</v>
      </c>
      <c r="E499" s="40">
        <v>-57</v>
      </c>
      <c r="F499" s="40">
        <v>-54</v>
      </c>
      <c r="G499" s="40">
        <v>-48</v>
      </c>
      <c r="H499" s="40">
        <v>-64</v>
      </c>
      <c r="I499" s="40">
        <v>-34</v>
      </c>
      <c r="J499" s="40">
        <v>-6</v>
      </c>
      <c r="K499" s="40">
        <v>-12</v>
      </c>
      <c r="L499" s="40">
        <v>-12</v>
      </c>
      <c r="M499" s="40">
        <v>-15</v>
      </c>
      <c r="N499" s="40">
        <v>-17</v>
      </c>
      <c r="O499" s="40">
        <v>-20</v>
      </c>
      <c r="P499" s="40">
        <v>-23</v>
      </c>
      <c r="Q499" s="40">
        <v>-23</v>
      </c>
      <c r="R499" s="40">
        <v>-24</v>
      </c>
      <c r="S499" s="40">
        <v>-9</v>
      </c>
      <c r="T499" s="40">
        <v>-6</v>
      </c>
      <c r="U499" s="40">
        <v>-5</v>
      </c>
      <c r="V499" s="40">
        <v>-6</v>
      </c>
      <c r="W499" s="40">
        <v>-6</v>
      </c>
      <c r="X499" s="40">
        <v>-7</v>
      </c>
      <c r="Y499" s="40">
        <v>-4</v>
      </c>
      <c r="Z499" s="141">
        <v>-3</v>
      </c>
      <c r="AA499" s="141">
        <v>-3</v>
      </c>
      <c r="AB499" s="141">
        <v>-3</v>
      </c>
      <c r="AC499" s="141">
        <v>-3</v>
      </c>
      <c r="AD499" s="141">
        <v>-1</v>
      </c>
      <c r="AE499" s="141">
        <v>0</v>
      </c>
      <c r="AF499" s="141">
        <v>0</v>
      </c>
      <c r="AG499" s="141">
        <v>0</v>
      </c>
      <c r="AH499" s="141">
        <v>0</v>
      </c>
      <c r="AI499" s="141">
        <v>0</v>
      </c>
      <c r="AJ499" s="141">
        <v>0</v>
      </c>
      <c r="AK499" s="141">
        <v>0</v>
      </c>
      <c r="AL499" s="141">
        <v>0</v>
      </c>
      <c r="AM499" s="141">
        <v>0</v>
      </c>
      <c r="AN499" s="141">
        <v>0</v>
      </c>
      <c r="AO499" s="141">
        <v>0</v>
      </c>
      <c r="AP499" s="141">
        <v>0</v>
      </c>
      <c r="AQ499" s="141">
        <v>0</v>
      </c>
      <c r="AR499" s="141">
        <v>0</v>
      </c>
      <c r="AS499" s="141">
        <v>0</v>
      </c>
      <c r="AT499" s="141">
        <v>0</v>
      </c>
      <c r="AU499" s="141">
        <v>0</v>
      </c>
      <c r="AV499" s="226">
        <v>0</v>
      </c>
      <c r="AW499" s="41">
        <v>0</v>
      </c>
      <c r="AX499" s="41">
        <v>0</v>
      </c>
      <c r="AY499" s="41">
        <v>0</v>
      </c>
      <c r="AZ499" s="41">
        <v>0</v>
      </c>
      <c r="BA499" s="41">
        <v>0</v>
      </c>
      <c r="BB499" s="41">
        <v>0</v>
      </c>
      <c r="BC499" s="41">
        <v>0</v>
      </c>
      <c r="BD499" s="41">
        <v>0</v>
      </c>
      <c r="BE499" s="41">
        <v>0</v>
      </c>
      <c r="BF499" s="41">
        <v>0</v>
      </c>
      <c r="BG499" s="41">
        <v>0</v>
      </c>
      <c r="BH499" s="41">
        <v>0</v>
      </c>
      <c r="BI499" s="41">
        <v>0</v>
      </c>
      <c r="BJ499" s="41">
        <v>0</v>
      </c>
      <c r="BK499" s="41">
        <v>0</v>
      </c>
      <c r="BL499" s="41">
        <v>0</v>
      </c>
      <c r="BM499" s="41">
        <v>0</v>
      </c>
      <c r="BN499" s="41">
        <v>0</v>
      </c>
      <c r="BO499" s="41">
        <v>0</v>
      </c>
      <c r="BP499" s="41"/>
      <c r="BQ499" s="40">
        <v>-79.400000000000006</v>
      </c>
      <c r="BR499" s="40">
        <v>-79.400000000000006</v>
      </c>
      <c r="BS499" s="40">
        <v>-80</v>
      </c>
      <c r="BT499" s="40">
        <v>-80</v>
      </c>
      <c r="BU499" s="40">
        <v>0</v>
      </c>
      <c r="BV499" s="40">
        <v>0</v>
      </c>
      <c r="BW499" s="40">
        <v>0</v>
      </c>
      <c r="BX499" s="40">
        <v>-72</v>
      </c>
      <c r="BY499" s="40">
        <v>-102</v>
      </c>
      <c r="BZ499" s="40">
        <v>-119</v>
      </c>
      <c r="CA499" s="41">
        <v>-117</v>
      </c>
      <c r="CB499" s="41">
        <v>-102</v>
      </c>
      <c r="CC499" s="41">
        <v>-98</v>
      </c>
      <c r="CD499" s="41">
        <v>-18</v>
      </c>
      <c r="CE499" s="41">
        <v>-27</v>
      </c>
      <c r="CF499" s="41">
        <v>-37</v>
      </c>
      <c r="CG499" s="41">
        <v>-46</v>
      </c>
      <c r="CH499" s="41">
        <v>-33</v>
      </c>
      <c r="CI499" s="41">
        <v>-11</v>
      </c>
      <c r="CJ499" s="41">
        <v>-12</v>
      </c>
      <c r="CK499" s="41">
        <v>-11</v>
      </c>
      <c r="CL499" s="41">
        <v>-6</v>
      </c>
      <c r="CM499" s="41">
        <v>-6</v>
      </c>
      <c r="CN499" s="41">
        <v>-1</v>
      </c>
      <c r="CO499" s="41">
        <v>0</v>
      </c>
      <c r="CP499" s="41">
        <v>0</v>
      </c>
      <c r="CQ499" s="41">
        <v>0</v>
      </c>
      <c r="CR499" s="41">
        <v>0</v>
      </c>
      <c r="CS499" s="41">
        <v>0</v>
      </c>
      <c r="CT499" s="41">
        <v>0</v>
      </c>
      <c r="CU499" s="41">
        <v>0</v>
      </c>
      <c r="CV499" s="211">
        <v>0</v>
      </c>
      <c r="CW499" s="41">
        <v>0</v>
      </c>
      <c r="CX499" s="41">
        <v>0</v>
      </c>
      <c r="CY499" s="41">
        <v>0</v>
      </c>
      <c r="CZ499" s="41">
        <v>0</v>
      </c>
      <c r="DA499" s="41">
        <v>0</v>
      </c>
      <c r="DB499" s="41">
        <v>0</v>
      </c>
      <c r="DC499" s="41">
        <v>0</v>
      </c>
      <c r="DD499" s="41">
        <v>0</v>
      </c>
      <c r="DE499" s="41">
        <v>0</v>
      </c>
      <c r="DF499" s="41">
        <v>0</v>
      </c>
    </row>
    <row r="500" spans="1:110" s="17" customFormat="1" ht="12" outlineLevel="1">
      <c r="A500" s="1" t="s">
        <v>330</v>
      </c>
      <c r="B500" s="17" t="s">
        <v>168</v>
      </c>
      <c r="C500" s="62">
        <v>-529</v>
      </c>
      <c r="D500" s="62">
        <v>-489</v>
      </c>
      <c r="E500" s="62">
        <v>-513.45000000000005</v>
      </c>
      <c r="F500" s="62">
        <v>-500</v>
      </c>
      <c r="G500" s="62">
        <v>-545.21</v>
      </c>
      <c r="H500" s="62">
        <v>-630.23</v>
      </c>
      <c r="I500" s="62">
        <v>-646.70000000000005</v>
      </c>
      <c r="J500" s="62">
        <v>-625.35</v>
      </c>
      <c r="K500" s="62">
        <v>-665.68</v>
      </c>
      <c r="L500" s="62">
        <v>-737.82</v>
      </c>
      <c r="M500" s="62">
        <v>-804.66</v>
      </c>
      <c r="N500" s="62">
        <v>-843.84</v>
      </c>
      <c r="O500" s="62">
        <v>-849.97</v>
      </c>
      <c r="P500" s="62">
        <v>-831.05</v>
      </c>
      <c r="Q500" s="62">
        <v>-436.09000000000003</v>
      </c>
      <c r="R500" s="62">
        <v>-535.57999999999993</v>
      </c>
      <c r="S500" s="62">
        <v>-889.09</v>
      </c>
      <c r="T500" s="62">
        <v>-942</v>
      </c>
      <c r="U500" s="62">
        <v>-1064</v>
      </c>
      <c r="V500" s="62">
        <v>-1105</v>
      </c>
      <c r="W500" s="62">
        <v>-1082</v>
      </c>
      <c r="X500" s="62">
        <v>-1128</v>
      </c>
      <c r="Y500" s="62">
        <v>-1177</v>
      </c>
      <c r="Z500" s="62">
        <v>-1273</v>
      </c>
      <c r="AA500" s="62">
        <v>-1178</v>
      </c>
      <c r="AB500" s="62">
        <v>-1342</v>
      </c>
      <c r="AC500" s="62">
        <v>-1376</v>
      </c>
      <c r="AD500" s="62">
        <v>-1407</v>
      </c>
      <c r="AE500" s="62">
        <v>-1332</v>
      </c>
      <c r="AF500" s="62">
        <v>-1137</v>
      </c>
      <c r="AG500" s="62">
        <v>-1173</v>
      </c>
      <c r="AH500" s="62">
        <v>-1414</v>
      </c>
      <c r="AI500" s="62">
        <v>-1427</v>
      </c>
      <c r="AJ500" s="62">
        <v>-1496</v>
      </c>
      <c r="AK500" s="62">
        <v>-1295</v>
      </c>
      <c r="AL500" s="62">
        <v>-1424</v>
      </c>
      <c r="AM500" s="62">
        <v>-1269</v>
      </c>
      <c r="AN500" s="62">
        <v>-887</v>
      </c>
      <c r="AO500" s="62">
        <v>-986</v>
      </c>
      <c r="AP500" s="62">
        <v>-1442</v>
      </c>
      <c r="AQ500" s="62">
        <v>-1323</v>
      </c>
      <c r="AR500" s="62">
        <v>-1328</v>
      </c>
      <c r="AS500" s="62">
        <v>-1357</v>
      </c>
      <c r="AT500" s="62">
        <v>-1581</v>
      </c>
      <c r="AU500" s="62">
        <v>-1527</v>
      </c>
      <c r="AV500" s="220">
        <v>-1510</v>
      </c>
      <c r="AW500" s="62">
        <v>-1420.980384611363</v>
      </c>
      <c r="AX500" s="62">
        <v>-1446.6201671857459</v>
      </c>
      <c r="AY500" s="62">
        <v>-1433.7972512910851</v>
      </c>
      <c r="AZ500" s="62">
        <v>-1469.4571860533749</v>
      </c>
      <c r="BA500" s="62">
        <v>-1426.8288968009749</v>
      </c>
      <c r="BB500" s="62">
        <v>-1500.2116098034492</v>
      </c>
      <c r="BC500" s="62">
        <v>-1447.4019346114669</v>
      </c>
      <c r="BD500" s="62">
        <v>-1558.0913578857917</v>
      </c>
      <c r="BE500" s="62">
        <v>-1514.3904513437694</v>
      </c>
      <c r="BF500" s="62">
        <v>-1635.9189317862392</v>
      </c>
      <c r="BG500" s="62">
        <v>-1600.012441677474</v>
      </c>
      <c r="BH500" s="62">
        <v>-1517.9993476043985</v>
      </c>
      <c r="BI500" s="62">
        <v>-1256.0084185481633</v>
      </c>
      <c r="BJ500" s="62">
        <v>-1363.5641353708652</v>
      </c>
      <c r="BK500" s="62">
        <v>-1536.6279072421398</v>
      </c>
      <c r="BL500" s="62">
        <v>-1849.3821477459148</v>
      </c>
      <c r="BM500" s="62">
        <v>-1807.1101377807081</v>
      </c>
      <c r="BN500" s="62">
        <v>-1925.4347409037105</v>
      </c>
      <c r="BO500" s="62">
        <v>-1859.351729397998</v>
      </c>
      <c r="BP500" s="62"/>
      <c r="BQ500" s="62">
        <v>61.599999999999994</v>
      </c>
      <c r="BR500" s="62">
        <v>-279.89999999999998</v>
      </c>
      <c r="BS500" s="62">
        <v>-475</v>
      </c>
      <c r="BT500" s="62">
        <v>-532</v>
      </c>
      <c r="BU500" s="62">
        <v>-478</v>
      </c>
      <c r="BV500" s="62">
        <v>-474</v>
      </c>
      <c r="BW500" s="62">
        <v>-585</v>
      </c>
      <c r="BX500" s="62">
        <v>-814</v>
      </c>
      <c r="BY500" s="62">
        <v>-967</v>
      </c>
      <c r="BZ500" s="62">
        <v>-1032</v>
      </c>
      <c r="CA500" s="62">
        <v>-1002.45</v>
      </c>
      <c r="CB500" s="62">
        <v>-1045.21</v>
      </c>
      <c r="CC500" s="62">
        <v>-1276.93</v>
      </c>
      <c r="CD500" s="62">
        <v>-1291.03</v>
      </c>
      <c r="CE500" s="62">
        <v>-1542.48</v>
      </c>
      <c r="CF500" s="62">
        <v>-1693.81</v>
      </c>
      <c r="CG500" s="62">
        <v>-1267.1399999999999</v>
      </c>
      <c r="CH500" s="62">
        <v>-1424.67</v>
      </c>
      <c r="CI500" s="62">
        <v>-2006</v>
      </c>
      <c r="CJ500" s="62">
        <v>-2187</v>
      </c>
      <c r="CK500" s="62">
        <v>-2305</v>
      </c>
      <c r="CL500" s="62">
        <v>-2451</v>
      </c>
      <c r="CM500" s="62">
        <v>-2718</v>
      </c>
      <c r="CN500" s="62">
        <v>-2739</v>
      </c>
      <c r="CO500" s="62">
        <v>-2310</v>
      </c>
      <c r="CP500" s="62">
        <v>-2841</v>
      </c>
      <c r="CQ500" s="62">
        <v>-2791</v>
      </c>
      <c r="CR500" s="62">
        <v>-2693</v>
      </c>
      <c r="CS500" s="62">
        <v>-1873</v>
      </c>
      <c r="CT500" s="62">
        <v>-2765</v>
      </c>
      <c r="CU500" s="62">
        <v>-2685</v>
      </c>
      <c r="CV500" s="220">
        <v>-3108</v>
      </c>
      <c r="CW500" s="62">
        <v>-2930.9803846113628</v>
      </c>
      <c r="CX500" s="62">
        <v>-2880.4174184768308</v>
      </c>
      <c r="CY500" s="62">
        <v>-2896.2860828543498</v>
      </c>
      <c r="CZ500" s="62">
        <v>-2947.6135444149159</v>
      </c>
      <c r="DA500" s="62">
        <v>-3072.4818092295609</v>
      </c>
      <c r="DB500" s="62">
        <v>-3235.9313734637135</v>
      </c>
      <c r="DC500" s="62">
        <v>-2774.007766152562</v>
      </c>
      <c r="DD500" s="62">
        <v>-2900.192042613005</v>
      </c>
      <c r="DE500" s="62">
        <v>-3656.4922855266232</v>
      </c>
      <c r="DF500" s="62">
        <v>-3784.7864703017085</v>
      </c>
    </row>
    <row r="501" spans="1:110" ht="12" hidden="1" outlineLevel="2">
      <c r="A501" s="1" t="s">
        <v>433</v>
      </c>
      <c r="B501" s="15" t="s">
        <v>857</v>
      </c>
      <c r="C501" s="41">
        <v>0</v>
      </c>
      <c r="D501" s="41">
        <v>0</v>
      </c>
      <c r="E501" s="41">
        <v>0</v>
      </c>
      <c r="F501" s="41">
        <v>0</v>
      </c>
      <c r="G501" s="41">
        <v>0</v>
      </c>
      <c r="H501" s="41">
        <v>0</v>
      </c>
      <c r="I501" s="41">
        <v>0</v>
      </c>
      <c r="J501" s="41">
        <v>0</v>
      </c>
      <c r="K501" s="41">
        <v>0</v>
      </c>
      <c r="L501" s="41">
        <v>0</v>
      </c>
      <c r="M501" s="41">
        <v>0</v>
      </c>
      <c r="N501" s="41">
        <v>0</v>
      </c>
      <c r="O501" s="41">
        <v>0</v>
      </c>
      <c r="P501" s="41">
        <v>0</v>
      </c>
      <c r="Q501" s="41">
        <v>0</v>
      </c>
      <c r="R501" s="41">
        <v>0</v>
      </c>
      <c r="S501" s="41">
        <v>0</v>
      </c>
      <c r="T501" s="41">
        <v>0</v>
      </c>
      <c r="U501" s="41">
        <v>0</v>
      </c>
      <c r="V501" s="41">
        <v>0</v>
      </c>
      <c r="W501" s="41">
        <v>0</v>
      </c>
      <c r="X501" s="41">
        <v>0</v>
      </c>
      <c r="Y501" s="41">
        <v>0</v>
      </c>
      <c r="Z501" s="41">
        <v>0</v>
      </c>
      <c r="AA501" s="41">
        <v>0</v>
      </c>
      <c r="AB501" s="41">
        <v>0</v>
      </c>
      <c r="AC501" s="41">
        <v>0</v>
      </c>
      <c r="AD501" s="41">
        <v>0</v>
      </c>
      <c r="AE501" s="41">
        <v>0</v>
      </c>
      <c r="AF501" s="41">
        <v>0</v>
      </c>
      <c r="AG501" s="41">
        <v>0</v>
      </c>
      <c r="AH501" s="41">
        <v>0</v>
      </c>
      <c r="AI501" s="41">
        <v>0</v>
      </c>
      <c r="AJ501" s="41">
        <v>0</v>
      </c>
      <c r="AK501" s="41">
        <v>0</v>
      </c>
      <c r="AL501" s="41">
        <v>0</v>
      </c>
      <c r="AM501" s="41">
        <v>0</v>
      </c>
      <c r="AN501" s="41">
        <v>0</v>
      </c>
      <c r="AO501" s="41">
        <v>0</v>
      </c>
      <c r="AP501" s="41">
        <v>0</v>
      </c>
      <c r="AQ501" s="41">
        <v>0</v>
      </c>
      <c r="AR501" s="41">
        <v>0</v>
      </c>
      <c r="AS501" s="41">
        <v>0</v>
      </c>
      <c r="AT501" s="41">
        <v>0</v>
      </c>
      <c r="AU501" s="41">
        <v>0</v>
      </c>
      <c r="AV501" s="211">
        <v>0</v>
      </c>
      <c r="AW501" s="41">
        <v>0</v>
      </c>
      <c r="AX501" s="41">
        <v>0</v>
      </c>
      <c r="AY501" s="41">
        <v>0</v>
      </c>
      <c r="AZ501" s="41">
        <v>0</v>
      </c>
      <c r="BA501" s="41">
        <v>0</v>
      </c>
      <c r="BB501" s="41">
        <v>0</v>
      </c>
      <c r="BC501" s="41">
        <v>0</v>
      </c>
      <c r="BD501" s="41">
        <v>0</v>
      </c>
      <c r="BE501" s="41">
        <v>0</v>
      </c>
      <c r="BF501" s="41">
        <v>0</v>
      </c>
      <c r="BG501" s="41">
        <v>0</v>
      </c>
      <c r="BH501" s="41">
        <v>0</v>
      </c>
      <c r="BI501" s="41">
        <v>0</v>
      </c>
      <c r="BJ501" s="41">
        <v>0</v>
      </c>
      <c r="BK501" s="41">
        <v>0</v>
      </c>
      <c r="BL501" s="41">
        <v>0</v>
      </c>
      <c r="BM501" s="41">
        <v>0</v>
      </c>
      <c r="BN501" s="41">
        <v>0</v>
      </c>
      <c r="BO501" s="41">
        <v>0</v>
      </c>
      <c r="BP501" s="41"/>
      <c r="BQ501" s="41">
        <v>0</v>
      </c>
      <c r="BR501" s="41">
        <v>0</v>
      </c>
      <c r="BS501" s="41">
        <v>0</v>
      </c>
      <c r="BT501" s="41">
        <v>0</v>
      </c>
      <c r="BU501" s="41">
        <v>0</v>
      </c>
      <c r="BV501" s="41">
        <v>0</v>
      </c>
      <c r="BW501" s="41">
        <v>0</v>
      </c>
      <c r="BX501" s="41">
        <v>0</v>
      </c>
      <c r="BY501" s="41">
        <v>0</v>
      </c>
      <c r="BZ501" s="41">
        <v>0</v>
      </c>
      <c r="CA501" s="41">
        <v>0</v>
      </c>
      <c r="CB501" s="41">
        <v>0</v>
      </c>
      <c r="CC501" s="41">
        <v>0</v>
      </c>
      <c r="CD501" s="41">
        <v>0</v>
      </c>
      <c r="CE501" s="41">
        <v>0</v>
      </c>
      <c r="CF501" s="41">
        <v>0</v>
      </c>
      <c r="CG501" s="41">
        <v>0</v>
      </c>
      <c r="CH501" s="41">
        <v>0</v>
      </c>
      <c r="CI501" s="41">
        <v>0</v>
      </c>
      <c r="CJ501" s="41">
        <v>0</v>
      </c>
      <c r="CK501" s="41">
        <v>0</v>
      </c>
      <c r="CL501" s="41">
        <v>0</v>
      </c>
      <c r="CM501" s="41">
        <v>0</v>
      </c>
      <c r="CN501" s="41">
        <v>0</v>
      </c>
      <c r="CO501" s="41">
        <v>0</v>
      </c>
      <c r="CP501" s="41">
        <v>0</v>
      </c>
      <c r="CQ501" s="41">
        <v>0</v>
      </c>
      <c r="CR501" s="41">
        <v>0</v>
      </c>
      <c r="CS501" s="41">
        <v>0</v>
      </c>
      <c r="CT501" s="41">
        <v>0</v>
      </c>
      <c r="CU501" s="41">
        <v>0</v>
      </c>
      <c r="CV501" s="211">
        <v>0</v>
      </c>
      <c r="CW501" s="41">
        <v>0</v>
      </c>
      <c r="CX501" s="41">
        <v>0</v>
      </c>
      <c r="CY501" s="41">
        <v>0</v>
      </c>
      <c r="CZ501" s="41">
        <v>0</v>
      </c>
      <c r="DA501" s="41">
        <v>0</v>
      </c>
      <c r="DB501" s="41">
        <v>0</v>
      </c>
      <c r="DC501" s="41">
        <v>0</v>
      </c>
      <c r="DD501" s="41">
        <v>0</v>
      </c>
      <c r="DE501" s="41">
        <v>0</v>
      </c>
      <c r="DF501" s="41">
        <v>0</v>
      </c>
    </row>
    <row r="502" spans="1:110" ht="12" hidden="1" outlineLevel="2">
      <c r="A502" s="1" t="s">
        <v>56</v>
      </c>
      <c r="B502" s="15" t="s">
        <v>447</v>
      </c>
      <c r="C502" s="41">
        <v>0</v>
      </c>
      <c r="D502" s="41">
        <v>0</v>
      </c>
      <c r="E502" s="41">
        <v>2.4500000000000002</v>
      </c>
      <c r="F502" s="41">
        <v>0</v>
      </c>
      <c r="G502" s="41">
        <v>14.209999999999999</v>
      </c>
      <c r="H502" s="41">
        <v>13.23</v>
      </c>
      <c r="I502" s="41">
        <v>14.7</v>
      </c>
      <c r="J502" s="41">
        <v>7.35</v>
      </c>
      <c r="K502" s="41">
        <v>15.68</v>
      </c>
      <c r="L502" s="41">
        <v>8.82</v>
      </c>
      <c r="M502" s="41">
        <v>16.66</v>
      </c>
      <c r="N502" s="41">
        <v>7.84</v>
      </c>
      <c r="O502" s="41">
        <v>25.97</v>
      </c>
      <c r="P502" s="41">
        <v>22.05</v>
      </c>
      <c r="Q502" s="41">
        <v>20.09</v>
      </c>
      <c r="R502" s="41">
        <v>20.58</v>
      </c>
      <c r="S502" s="41">
        <v>20.09</v>
      </c>
      <c r="T502" s="41">
        <v>0</v>
      </c>
      <c r="U502" s="41">
        <v>0</v>
      </c>
      <c r="V502" s="41">
        <v>0</v>
      </c>
      <c r="W502" s="41">
        <v>0</v>
      </c>
      <c r="X502" s="41">
        <v>0</v>
      </c>
      <c r="Y502" s="41">
        <v>0</v>
      </c>
      <c r="Z502" s="41">
        <v>0</v>
      </c>
      <c r="AA502" s="41">
        <v>0</v>
      </c>
      <c r="AB502" s="41">
        <v>0</v>
      </c>
      <c r="AC502" s="41">
        <v>0</v>
      </c>
      <c r="AD502" s="41">
        <v>0</v>
      </c>
      <c r="AE502" s="41">
        <v>0</v>
      </c>
      <c r="AF502" s="41">
        <v>0</v>
      </c>
      <c r="AG502" s="41">
        <v>0</v>
      </c>
      <c r="AH502" s="41">
        <v>0</v>
      </c>
      <c r="AI502" s="41">
        <v>0</v>
      </c>
      <c r="AJ502" s="41">
        <v>0</v>
      </c>
      <c r="AK502" s="41">
        <v>0</v>
      </c>
      <c r="AL502" s="41">
        <v>0</v>
      </c>
      <c r="AM502" s="41">
        <v>0</v>
      </c>
      <c r="AN502" s="41">
        <v>0</v>
      </c>
      <c r="AO502" s="41">
        <v>0</v>
      </c>
      <c r="AP502" s="41">
        <v>0</v>
      </c>
      <c r="AQ502" s="41">
        <v>0</v>
      </c>
      <c r="AR502" s="41">
        <v>0</v>
      </c>
      <c r="AS502" s="41">
        <v>0</v>
      </c>
      <c r="AT502" s="41">
        <v>0</v>
      </c>
      <c r="AU502" s="41">
        <v>0</v>
      </c>
      <c r="AV502" s="211">
        <v>0</v>
      </c>
      <c r="AW502" s="41">
        <v>0</v>
      </c>
      <c r="AX502" s="41">
        <v>0</v>
      </c>
      <c r="AY502" s="41">
        <v>0</v>
      </c>
      <c r="AZ502" s="41">
        <v>0</v>
      </c>
      <c r="BA502" s="41">
        <v>0</v>
      </c>
      <c r="BB502" s="41">
        <v>0</v>
      </c>
      <c r="BC502" s="41">
        <v>0</v>
      </c>
      <c r="BD502" s="41">
        <v>0</v>
      </c>
      <c r="BE502" s="41">
        <v>0</v>
      </c>
      <c r="BF502" s="41">
        <v>0</v>
      </c>
      <c r="BG502" s="41">
        <v>0</v>
      </c>
      <c r="BH502" s="41">
        <v>0</v>
      </c>
      <c r="BI502" s="41">
        <v>0</v>
      </c>
      <c r="BJ502" s="41">
        <v>0</v>
      </c>
      <c r="BK502" s="41">
        <v>0</v>
      </c>
      <c r="BL502" s="41">
        <v>0</v>
      </c>
      <c r="BM502" s="41">
        <v>0</v>
      </c>
      <c r="BN502" s="41">
        <v>0</v>
      </c>
      <c r="BO502" s="41">
        <v>0</v>
      </c>
      <c r="BP502" s="41"/>
      <c r="BQ502" s="41">
        <v>0</v>
      </c>
      <c r="BR502" s="41">
        <v>0</v>
      </c>
      <c r="BS502" s="41">
        <v>0</v>
      </c>
      <c r="BT502" s="41">
        <v>0</v>
      </c>
      <c r="BU502" s="41">
        <v>0</v>
      </c>
      <c r="BV502" s="41">
        <v>0</v>
      </c>
      <c r="BW502" s="41">
        <v>0</v>
      </c>
      <c r="BX502" s="41">
        <v>0</v>
      </c>
      <c r="BY502" s="41">
        <v>0</v>
      </c>
      <c r="BZ502" s="41">
        <v>0</v>
      </c>
      <c r="CA502" s="41">
        <v>2.4500000000000002</v>
      </c>
      <c r="CB502" s="41">
        <v>14.209999999999999</v>
      </c>
      <c r="CC502" s="41">
        <v>27.93</v>
      </c>
      <c r="CD502" s="41">
        <v>23.03</v>
      </c>
      <c r="CE502" s="41">
        <v>25.48</v>
      </c>
      <c r="CF502" s="41">
        <v>33.81</v>
      </c>
      <c r="CG502" s="41">
        <v>42.14</v>
      </c>
      <c r="CH502" s="41">
        <v>40.67</v>
      </c>
      <c r="CI502" s="41">
        <v>0</v>
      </c>
      <c r="CJ502" s="41">
        <v>0</v>
      </c>
      <c r="CK502" s="41">
        <v>0</v>
      </c>
      <c r="CL502" s="41">
        <v>0</v>
      </c>
      <c r="CM502" s="41">
        <v>0</v>
      </c>
      <c r="CN502" s="41">
        <v>0</v>
      </c>
      <c r="CO502" s="41">
        <v>0</v>
      </c>
      <c r="CP502" s="41">
        <v>0</v>
      </c>
      <c r="CQ502" s="41">
        <v>0</v>
      </c>
      <c r="CR502" s="41">
        <v>0</v>
      </c>
      <c r="CS502" s="41">
        <v>0</v>
      </c>
      <c r="CT502" s="41">
        <v>0</v>
      </c>
      <c r="CU502" s="41">
        <v>0</v>
      </c>
      <c r="CV502" s="211">
        <v>0</v>
      </c>
      <c r="CW502" s="41">
        <v>0</v>
      </c>
      <c r="CX502" s="41">
        <v>0</v>
      </c>
      <c r="CY502" s="41">
        <v>0</v>
      </c>
      <c r="CZ502" s="41">
        <v>0</v>
      </c>
      <c r="DA502" s="41">
        <v>0</v>
      </c>
      <c r="DB502" s="41">
        <v>0</v>
      </c>
      <c r="DC502" s="41">
        <v>0</v>
      </c>
      <c r="DD502" s="41">
        <v>0</v>
      </c>
      <c r="DE502" s="41">
        <v>0</v>
      </c>
      <c r="DF502" s="41">
        <v>0</v>
      </c>
    </row>
    <row r="503" spans="1:110" ht="12" hidden="1" outlineLevel="2">
      <c r="A503" s="1" t="s">
        <v>57</v>
      </c>
      <c r="B503" s="15" t="s">
        <v>370</v>
      </c>
      <c r="C503" s="41">
        <v>0</v>
      </c>
      <c r="D503" s="41">
        <v>0</v>
      </c>
      <c r="E503" s="41">
        <v>0</v>
      </c>
      <c r="F503" s="41">
        <v>0</v>
      </c>
      <c r="G503" s="41">
        <v>0</v>
      </c>
      <c r="H503" s="41">
        <v>0</v>
      </c>
      <c r="I503" s="41">
        <v>0</v>
      </c>
      <c r="J503" s="41">
        <v>0</v>
      </c>
      <c r="K503" s="41">
        <v>0</v>
      </c>
      <c r="L503" s="41">
        <v>0</v>
      </c>
      <c r="M503" s="41">
        <v>0</v>
      </c>
      <c r="N503" s="41">
        <v>0</v>
      </c>
      <c r="O503" s="41">
        <v>0</v>
      </c>
      <c r="P503" s="41">
        <v>0</v>
      </c>
      <c r="Q503" s="41">
        <v>0</v>
      </c>
      <c r="R503" s="41">
        <v>0</v>
      </c>
      <c r="S503" s="41">
        <v>0</v>
      </c>
      <c r="T503" s="41">
        <v>0</v>
      </c>
      <c r="U503" s="41">
        <v>0</v>
      </c>
      <c r="V503" s="41">
        <v>0</v>
      </c>
      <c r="W503" s="41">
        <v>0</v>
      </c>
      <c r="X503" s="41">
        <v>0</v>
      </c>
      <c r="Y503" s="41">
        <v>0</v>
      </c>
      <c r="Z503" s="41">
        <v>0</v>
      </c>
      <c r="AA503" s="41">
        <v>0</v>
      </c>
      <c r="AB503" s="41">
        <v>0</v>
      </c>
      <c r="AC503" s="41">
        <v>0</v>
      </c>
      <c r="AD503" s="41">
        <v>0</v>
      </c>
      <c r="AE503" s="41">
        <v>0</v>
      </c>
      <c r="AF503" s="41">
        <v>0</v>
      </c>
      <c r="AG503" s="41">
        <v>0</v>
      </c>
      <c r="AH503" s="41">
        <v>0</v>
      </c>
      <c r="AI503" s="41">
        <v>0</v>
      </c>
      <c r="AJ503" s="41">
        <v>0</v>
      </c>
      <c r="AK503" s="41">
        <v>0</v>
      </c>
      <c r="AL503" s="41">
        <v>0</v>
      </c>
      <c r="AM503" s="41">
        <v>0</v>
      </c>
      <c r="AN503" s="41">
        <v>0</v>
      </c>
      <c r="AO503" s="41">
        <v>0</v>
      </c>
      <c r="AP503" s="41">
        <v>0</v>
      </c>
      <c r="AQ503" s="41">
        <v>0</v>
      </c>
      <c r="AR503" s="41">
        <v>0</v>
      </c>
      <c r="AS503" s="41">
        <v>0</v>
      </c>
      <c r="AT503" s="41">
        <v>0</v>
      </c>
      <c r="AU503" s="41">
        <v>0</v>
      </c>
      <c r="AV503" s="211">
        <v>0</v>
      </c>
      <c r="AW503" s="41">
        <v>0</v>
      </c>
      <c r="AX503" s="41">
        <v>0</v>
      </c>
      <c r="AY503" s="41">
        <v>0</v>
      </c>
      <c r="AZ503" s="41">
        <v>0</v>
      </c>
      <c r="BA503" s="41">
        <v>0</v>
      </c>
      <c r="BB503" s="41">
        <v>0</v>
      </c>
      <c r="BC503" s="41">
        <v>0</v>
      </c>
      <c r="BD503" s="41">
        <v>0</v>
      </c>
      <c r="BE503" s="41">
        <v>0</v>
      </c>
      <c r="BF503" s="41">
        <v>0</v>
      </c>
      <c r="BG503" s="41">
        <v>0</v>
      </c>
      <c r="BH503" s="41">
        <v>0</v>
      </c>
      <c r="BI503" s="41">
        <v>0</v>
      </c>
      <c r="BJ503" s="41">
        <v>0</v>
      </c>
      <c r="BK503" s="41">
        <v>0</v>
      </c>
      <c r="BL503" s="41">
        <v>0</v>
      </c>
      <c r="BM503" s="41">
        <v>0</v>
      </c>
      <c r="BN503" s="41">
        <v>0</v>
      </c>
      <c r="BO503" s="41">
        <v>0</v>
      </c>
      <c r="BP503" s="41"/>
      <c r="BQ503" s="41">
        <v>0</v>
      </c>
      <c r="BR503" s="41">
        <v>0</v>
      </c>
      <c r="BS503" s="41">
        <v>0</v>
      </c>
      <c r="BT503" s="41">
        <v>0</v>
      </c>
      <c r="BU503" s="41">
        <v>0</v>
      </c>
      <c r="BV503" s="41">
        <v>0</v>
      </c>
      <c r="BW503" s="41">
        <v>0</v>
      </c>
      <c r="BX503" s="41">
        <v>0</v>
      </c>
      <c r="BY503" s="41">
        <v>0</v>
      </c>
      <c r="BZ503" s="41">
        <v>0</v>
      </c>
      <c r="CA503" s="41">
        <v>0</v>
      </c>
      <c r="CB503" s="41">
        <v>0</v>
      </c>
      <c r="CC503" s="41">
        <v>0</v>
      </c>
      <c r="CD503" s="41">
        <v>0</v>
      </c>
      <c r="CE503" s="41">
        <v>0</v>
      </c>
      <c r="CF503" s="41">
        <v>0</v>
      </c>
      <c r="CG503" s="41">
        <v>0</v>
      </c>
      <c r="CH503" s="41">
        <v>0</v>
      </c>
      <c r="CI503" s="41">
        <v>0</v>
      </c>
      <c r="CJ503" s="41">
        <v>0</v>
      </c>
      <c r="CK503" s="41">
        <v>0</v>
      </c>
      <c r="CL503" s="41">
        <v>0</v>
      </c>
      <c r="CM503" s="41">
        <v>0</v>
      </c>
      <c r="CN503" s="41">
        <v>0</v>
      </c>
      <c r="CO503" s="41">
        <v>0</v>
      </c>
      <c r="CP503" s="41">
        <v>0</v>
      </c>
      <c r="CQ503" s="41">
        <v>0</v>
      </c>
      <c r="CR503" s="41">
        <v>0</v>
      </c>
      <c r="CS503" s="41">
        <v>0</v>
      </c>
      <c r="CT503" s="41">
        <v>0</v>
      </c>
      <c r="CU503" s="41">
        <v>0</v>
      </c>
      <c r="CV503" s="211">
        <v>0</v>
      </c>
      <c r="CW503" s="41">
        <v>0</v>
      </c>
      <c r="CX503" s="41">
        <v>0</v>
      </c>
      <c r="CY503" s="41">
        <v>0</v>
      </c>
      <c r="CZ503" s="41">
        <v>0</v>
      </c>
      <c r="DA503" s="41">
        <v>0</v>
      </c>
      <c r="DB503" s="41">
        <v>0</v>
      </c>
      <c r="DC503" s="41">
        <v>0</v>
      </c>
      <c r="DD503" s="41">
        <v>0</v>
      </c>
      <c r="DE503" s="41">
        <v>0</v>
      </c>
      <c r="DF503" s="41">
        <v>0</v>
      </c>
    </row>
    <row r="504" spans="1:110" ht="12" hidden="1" outlineLevel="2">
      <c r="A504" s="1" t="s">
        <v>694</v>
      </c>
      <c r="B504" s="15" t="s">
        <v>371</v>
      </c>
      <c r="C504" s="41">
        <v>0</v>
      </c>
      <c r="D504" s="41">
        <v>0</v>
      </c>
      <c r="E504" s="41">
        <v>0</v>
      </c>
      <c r="F504" s="41">
        <v>0</v>
      </c>
      <c r="G504" s="41">
        <v>0</v>
      </c>
      <c r="H504" s="41">
        <v>0</v>
      </c>
      <c r="I504" s="41">
        <v>0</v>
      </c>
      <c r="J504" s="41">
        <v>0</v>
      </c>
      <c r="K504" s="41">
        <v>0</v>
      </c>
      <c r="L504" s="41">
        <v>0</v>
      </c>
      <c r="M504" s="41">
        <v>0</v>
      </c>
      <c r="N504" s="41">
        <v>0</v>
      </c>
      <c r="O504" s="41">
        <v>0</v>
      </c>
      <c r="P504" s="41">
        <v>0</v>
      </c>
      <c r="Q504" s="41">
        <v>0</v>
      </c>
      <c r="R504" s="41">
        <v>0</v>
      </c>
      <c r="S504" s="41">
        <v>0</v>
      </c>
      <c r="T504" s="41">
        <v>0</v>
      </c>
      <c r="U504" s="41">
        <v>0</v>
      </c>
      <c r="V504" s="41">
        <v>0</v>
      </c>
      <c r="W504" s="41">
        <v>0</v>
      </c>
      <c r="X504" s="41">
        <v>0</v>
      </c>
      <c r="Y504" s="41">
        <v>0</v>
      </c>
      <c r="Z504" s="41">
        <v>0</v>
      </c>
      <c r="AA504" s="41">
        <v>0</v>
      </c>
      <c r="AB504" s="41">
        <v>0</v>
      </c>
      <c r="AC504" s="41">
        <v>0</v>
      </c>
      <c r="AD504" s="41">
        <v>0</v>
      </c>
      <c r="AE504" s="41">
        <v>0</v>
      </c>
      <c r="AF504" s="41">
        <v>0</v>
      </c>
      <c r="AG504" s="41">
        <v>0</v>
      </c>
      <c r="AH504" s="41">
        <v>0</v>
      </c>
      <c r="AI504" s="41">
        <v>0</v>
      </c>
      <c r="AJ504" s="41">
        <v>0</v>
      </c>
      <c r="AK504" s="41">
        <v>0</v>
      </c>
      <c r="AL504" s="41">
        <v>0</v>
      </c>
      <c r="AM504" s="41">
        <v>0</v>
      </c>
      <c r="AN504" s="41">
        <v>0</v>
      </c>
      <c r="AO504" s="41">
        <v>0</v>
      </c>
      <c r="AP504" s="41">
        <v>0</v>
      </c>
      <c r="AQ504" s="41">
        <v>0</v>
      </c>
      <c r="AR504" s="41">
        <v>0</v>
      </c>
      <c r="AS504" s="41">
        <v>0</v>
      </c>
      <c r="AT504" s="41">
        <v>0</v>
      </c>
      <c r="AU504" s="41">
        <v>0</v>
      </c>
      <c r="AV504" s="211">
        <v>0</v>
      </c>
      <c r="AW504" s="41">
        <v>0</v>
      </c>
      <c r="AX504" s="41">
        <v>0</v>
      </c>
      <c r="AY504" s="41">
        <v>0</v>
      </c>
      <c r="AZ504" s="41">
        <v>0</v>
      </c>
      <c r="BA504" s="41">
        <v>0</v>
      </c>
      <c r="BB504" s="41">
        <v>0</v>
      </c>
      <c r="BC504" s="41">
        <v>0</v>
      </c>
      <c r="BD504" s="41">
        <v>0</v>
      </c>
      <c r="BE504" s="41">
        <v>0</v>
      </c>
      <c r="BF504" s="41">
        <v>0</v>
      </c>
      <c r="BG504" s="41">
        <v>0</v>
      </c>
      <c r="BH504" s="41">
        <v>0</v>
      </c>
      <c r="BI504" s="41">
        <v>0</v>
      </c>
      <c r="BJ504" s="41">
        <v>0</v>
      </c>
      <c r="BK504" s="41">
        <v>0</v>
      </c>
      <c r="BL504" s="41">
        <v>0</v>
      </c>
      <c r="BM504" s="41">
        <v>0</v>
      </c>
      <c r="BN504" s="41">
        <v>0</v>
      </c>
      <c r="BO504" s="41">
        <v>0</v>
      </c>
      <c r="BP504" s="41"/>
      <c r="BQ504" s="41">
        <v>0</v>
      </c>
      <c r="BR504" s="41">
        <v>0</v>
      </c>
      <c r="BS504" s="41">
        <v>0</v>
      </c>
      <c r="BT504" s="41">
        <v>0</v>
      </c>
      <c r="BU504" s="41">
        <v>0</v>
      </c>
      <c r="BV504" s="41">
        <v>0</v>
      </c>
      <c r="BW504" s="41">
        <v>0</v>
      </c>
      <c r="BX504" s="41">
        <v>0</v>
      </c>
      <c r="BY504" s="41">
        <v>0</v>
      </c>
      <c r="BZ504" s="41">
        <v>0</v>
      </c>
      <c r="CA504" s="41">
        <v>0</v>
      </c>
      <c r="CB504" s="41">
        <v>0</v>
      </c>
      <c r="CC504" s="41">
        <v>0</v>
      </c>
      <c r="CD504" s="41">
        <v>0</v>
      </c>
      <c r="CE504" s="41">
        <v>0</v>
      </c>
      <c r="CF504" s="41">
        <v>0</v>
      </c>
      <c r="CG504" s="41">
        <v>0</v>
      </c>
      <c r="CH504" s="41">
        <v>0</v>
      </c>
      <c r="CI504" s="41">
        <v>0</v>
      </c>
      <c r="CJ504" s="41">
        <v>0</v>
      </c>
      <c r="CK504" s="41">
        <v>0</v>
      </c>
      <c r="CL504" s="41">
        <v>0</v>
      </c>
      <c r="CM504" s="41">
        <v>0</v>
      </c>
      <c r="CN504" s="41">
        <v>0</v>
      </c>
      <c r="CO504" s="41">
        <v>0</v>
      </c>
      <c r="CP504" s="41">
        <v>0</v>
      </c>
      <c r="CQ504" s="41">
        <v>0</v>
      </c>
      <c r="CR504" s="41">
        <v>0</v>
      </c>
      <c r="CS504" s="41">
        <v>0</v>
      </c>
      <c r="CT504" s="41">
        <v>0</v>
      </c>
      <c r="CU504" s="41">
        <v>0</v>
      </c>
      <c r="CV504" s="211">
        <v>0</v>
      </c>
      <c r="CW504" s="41">
        <v>0</v>
      </c>
      <c r="CX504" s="41">
        <v>0</v>
      </c>
      <c r="CY504" s="41">
        <v>0</v>
      </c>
      <c r="CZ504" s="41">
        <v>0</v>
      </c>
      <c r="DA504" s="41">
        <v>0</v>
      </c>
      <c r="DB504" s="41">
        <v>0</v>
      </c>
      <c r="DC504" s="41">
        <v>0</v>
      </c>
      <c r="DD504" s="41">
        <v>0</v>
      </c>
      <c r="DE504" s="41">
        <v>0</v>
      </c>
      <c r="DF504" s="41">
        <v>0</v>
      </c>
    </row>
    <row r="505" spans="1:110" ht="12" hidden="1" outlineLevel="2">
      <c r="A505" s="1" t="s">
        <v>58</v>
      </c>
      <c r="B505" s="15" t="s">
        <v>425</v>
      </c>
      <c r="C505" s="40">
        <v>0</v>
      </c>
      <c r="D505" s="40">
        <v>0</v>
      </c>
      <c r="E505" s="40">
        <v>0</v>
      </c>
      <c r="F505" s="40">
        <v>0</v>
      </c>
      <c r="G505" s="40">
        <v>0</v>
      </c>
      <c r="H505" s="40">
        <v>0</v>
      </c>
      <c r="I505" s="40">
        <v>0</v>
      </c>
      <c r="J505" s="40">
        <v>0</v>
      </c>
      <c r="K505" s="40">
        <v>0</v>
      </c>
      <c r="L505" s="40">
        <v>0</v>
      </c>
      <c r="M505" s="40">
        <v>0</v>
      </c>
      <c r="N505" s="40">
        <v>0</v>
      </c>
      <c r="O505" s="40">
        <v>0</v>
      </c>
      <c r="P505" s="40">
        <v>24</v>
      </c>
      <c r="Q505" s="40">
        <v>-218</v>
      </c>
      <c r="R505" s="40">
        <v>-262</v>
      </c>
      <c r="S505" s="40">
        <v>142</v>
      </c>
      <c r="T505" s="40">
        <v>14</v>
      </c>
      <c r="U505" s="40">
        <v>15</v>
      </c>
      <c r="V505" s="40">
        <v>0</v>
      </c>
      <c r="W505" s="40">
        <v>0</v>
      </c>
      <c r="X505" s="40">
        <v>0</v>
      </c>
      <c r="Y505" s="40">
        <v>53</v>
      </c>
      <c r="Z505" s="141">
        <v>0</v>
      </c>
      <c r="AA505" s="141">
        <v>0</v>
      </c>
      <c r="AB505" s="141">
        <v>0</v>
      </c>
      <c r="AC505" s="141">
        <v>0</v>
      </c>
      <c r="AD505" s="141">
        <v>0</v>
      </c>
      <c r="AE505" s="141">
        <v>0</v>
      </c>
      <c r="AF505" s="141">
        <v>0</v>
      </c>
      <c r="AG505" s="141">
        <v>0</v>
      </c>
      <c r="AH505" s="141">
        <v>0</v>
      </c>
      <c r="AI505" s="141">
        <v>0</v>
      </c>
      <c r="AJ505" s="141">
        <v>0</v>
      </c>
      <c r="AK505" s="141">
        <v>0</v>
      </c>
      <c r="AL505" s="141">
        <v>0</v>
      </c>
      <c r="AM505" s="141">
        <v>0</v>
      </c>
      <c r="AN505" s="141">
        <v>0</v>
      </c>
      <c r="AO505" s="141">
        <v>0</v>
      </c>
      <c r="AP505" s="141">
        <v>0</v>
      </c>
      <c r="AQ505" s="141">
        <v>0</v>
      </c>
      <c r="AR505" s="141">
        <v>0</v>
      </c>
      <c r="AS505" s="141">
        <v>0</v>
      </c>
      <c r="AT505" s="141">
        <v>0</v>
      </c>
      <c r="AU505" s="141">
        <v>0</v>
      </c>
      <c r="AV505" s="226">
        <v>0</v>
      </c>
      <c r="AW505" s="210">
        <v>0</v>
      </c>
      <c r="AX505" s="210">
        <v>0</v>
      </c>
      <c r="AY505" s="210">
        <v>0</v>
      </c>
      <c r="AZ505" s="210">
        <v>0</v>
      </c>
      <c r="BA505" s="210">
        <v>0</v>
      </c>
      <c r="BB505" s="210">
        <v>0</v>
      </c>
      <c r="BC505" s="210">
        <v>0</v>
      </c>
      <c r="BD505" s="210">
        <v>0</v>
      </c>
      <c r="BE505" s="210">
        <v>0</v>
      </c>
      <c r="BF505" s="210">
        <v>0</v>
      </c>
      <c r="BG505" s="210">
        <v>0</v>
      </c>
      <c r="BH505" s="210">
        <v>0</v>
      </c>
      <c r="BI505" s="210">
        <v>0</v>
      </c>
      <c r="BJ505" s="210">
        <v>0</v>
      </c>
      <c r="BK505" s="210">
        <v>0</v>
      </c>
      <c r="BL505" s="210">
        <v>0</v>
      </c>
      <c r="BM505" s="210">
        <v>0</v>
      </c>
      <c r="BN505" s="210">
        <v>0</v>
      </c>
      <c r="BO505" s="210">
        <v>0</v>
      </c>
      <c r="BP505" s="41"/>
      <c r="BQ505" s="40">
        <v>0</v>
      </c>
      <c r="BR505" s="40">
        <v>0</v>
      </c>
      <c r="BS505" s="40">
        <v>0</v>
      </c>
      <c r="BT505" s="40">
        <v>0</v>
      </c>
      <c r="BU505" s="40">
        <v>0</v>
      </c>
      <c r="BV505" s="40">
        <v>0</v>
      </c>
      <c r="BW505" s="40">
        <v>0</v>
      </c>
      <c r="BX505" s="40">
        <v>0</v>
      </c>
      <c r="BY505" s="40">
        <v>0</v>
      </c>
      <c r="BZ505" s="40">
        <v>0</v>
      </c>
      <c r="CA505" s="41">
        <v>0</v>
      </c>
      <c r="CB505" s="41">
        <v>0</v>
      </c>
      <c r="CC505" s="41">
        <v>0</v>
      </c>
      <c r="CD505" s="41">
        <v>0</v>
      </c>
      <c r="CE505" s="41">
        <v>0</v>
      </c>
      <c r="CF505" s="41">
        <v>0</v>
      </c>
      <c r="CG505" s="41">
        <v>-194</v>
      </c>
      <c r="CH505" s="41">
        <v>-120</v>
      </c>
      <c r="CI505" s="41">
        <v>29</v>
      </c>
      <c r="CJ505" s="41">
        <v>0</v>
      </c>
      <c r="CK505" s="41">
        <v>53</v>
      </c>
      <c r="CL505" s="41">
        <v>0</v>
      </c>
      <c r="CM505" s="41">
        <v>0</v>
      </c>
      <c r="CN505" s="41">
        <v>0</v>
      </c>
      <c r="CO505" s="41">
        <v>0</v>
      </c>
      <c r="CP505" s="41">
        <v>0</v>
      </c>
      <c r="CQ505" s="41">
        <v>0</v>
      </c>
      <c r="CR505" s="41">
        <v>0</v>
      </c>
      <c r="CS505" s="41">
        <v>0</v>
      </c>
      <c r="CT505" s="41">
        <v>0</v>
      </c>
      <c r="CU505" s="41">
        <v>0</v>
      </c>
      <c r="CV505" s="211">
        <v>0</v>
      </c>
      <c r="CW505" s="41">
        <v>0</v>
      </c>
      <c r="CX505" s="41">
        <v>0</v>
      </c>
      <c r="CY505" s="41">
        <v>0</v>
      </c>
      <c r="CZ505" s="41">
        <v>0</v>
      </c>
      <c r="DA505" s="41">
        <v>0</v>
      </c>
      <c r="DB505" s="41">
        <v>0</v>
      </c>
      <c r="DC505" s="41">
        <v>0</v>
      </c>
      <c r="DD505" s="41">
        <v>0</v>
      </c>
      <c r="DE505" s="41">
        <v>0</v>
      </c>
      <c r="DF505" s="41">
        <v>0</v>
      </c>
    </row>
    <row r="506" spans="1:110" s="17" customFormat="1" ht="12" hidden="1" outlineLevel="2">
      <c r="A506" s="1" t="s">
        <v>59</v>
      </c>
      <c r="B506" s="17" t="s">
        <v>265</v>
      </c>
      <c r="C506" s="61">
        <v>-529</v>
      </c>
      <c r="D506" s="61">
        <v>-489</v>
      </c>
      <c r="E506" s="61">
        <v>-511</v>
      </c>
      <c r="F506" s="61">
        <v>-500</v>
      </c>
      <c r="G506" s="61">
        <v>-531</v>
      </c>
      <c r="H506" s="61">
        <v>-617</v>
      </c>
      <c r="I506" s="61">
        <v>-632</v>
      </c>
      <c r="J506" s="61">
        <v>-618</v>
      </c>
      <c r="K506" s="61">
        <v>-650</v>
      </c>
      <c r="L506" s="61">
        <v>-729</v>
      </c>
      <c r="M506" s="61">
        <v>-788</v>
      </c>
      <c r="N506" s="61">
        <v>-836</v>
      </c>
      <c r="O506" s="61">
        <v>-824</v>
      </c>
      <c r="P506" s="61">
        <v>-785</v>
      </c>
      <c r="Q506" s="61">
        <v>-634</v>
      </c>
      <c r="R506" s="61">
        <v>-777</v>
      </c>
      <c r="S506" s="61">
        <v>-727</v>
      </c>
      <c r="T506" s="61">
        <v>-928</v>
      </c>
      <c r="U506" s="61">
        <v>-1049</v>
      </c>
      <c r="V506" s="61">
        <v>-1105</v>
      </c>
      <c r="W506" s="61">
        <v>-1082</v>
      </c>
      <c r="X506" s="61">
        <v>-1128</v>
      </c>
      <c r="Y506" s="61">
        <v>-1124</v>
      </c>
      <c r="Z506" s="194">
        <v>-1273</v>
      </c>
      <c r="AA506" s="194">
        <v>-1178</v>
      </c>
      <c r="AB506" s="194">
        <v>-1342</v>
      </c>
      <c r="AC506" s="194">
        <v>-1376</v>
      </c>
      <c r="AD506" s="194">
        <v>-1407</v>
      </c>
      <c r="AE506" s="194">
        <v>-1332</v>
      </c>
      <c r="AF506" s="194">
        <v>-1137</v>
      </c>
      <c r="AG506" s="194">
        <v>-1173</v>
      </c>
      <c r="AH506" s="194">
        <v>-1414</v>
      </c>
      <c r="AI506" s="194">
        <v>-1427</v>
      </c>
      <c r="AJ506" s="194">
        <v>-1496</v>
      </c>
      <c r="AK506" s="194">
        <v>-1295</v>
      </c>
      <c r="AL506" s="194">
        <v>-1424</v>
      </c>
      <c r="AM506" s="194">
        <v>-1269</v>
      </c>
      <c r="AN506" s="194">
        <v>-887</v>
      </c>
      <c r="AO506" s="194">
        <v>-986</v>
      </c>
      <c r="AP506" s="194">
        <v>-1442</v>
      </c>
      <c r="AQ506" s="194">
        <v>-1323</v>
      </c>
      <c r="AR506" s="194">
        <v>-1328</v>
      </c>
      <c r="AS506" s="194">
        <v>-1357</v>
      </c>
      <c r="AT506" s="194">
        <v>-1581</v>
      </c>
      <c r="AU506" s="194">
        <v>-1527</v>
      </c>
      <c r="AV506" s="227">
        <v>-1510</v>
      </c>
      <c r="AW506" s="62">
        <v>-1420.980384611363</v>
      </c>
      <c r="AX506" s="62">
        <v>-1446.6201671857459</v>
      </c>
      <c r="AY506" s="62">
        <v>-1433.7972512910851</v>
      </c>
      <c r="AZ506" s="62">
        <v>-1469.4571860533749</v>
      </c>
      <c r="BA506" s="62">
        <v>-1426.8288968009749</v>
      </c>
      <c r="BB506" s="62">
        <v>-1500.2116098034492</v>
      </c>
      <c r="BC506" s="62">
        <v>-1447.4019346114669</v>
      </c>
      <c r="BD506" s="62">
        <v>-1558.0913578857917</v>
      </c>
      <c r="BE506" s="62">
        <v>-1514.3904513437694</v>
      </c>
      <c r="BF506" s="62">
        <v>-1635.9189317862392</v>
      </c>
      <c r="BG506" s="62">
        <v>-1600.012441677474</v>
      </c>
      <c r="BH506" s="62">
        <v>-1517.9993476043985</v>
      </c>
      <c r="BI506" s="62">
        <v>-1256.0084185481633</v>
      </c>
      <c r="BJ506" s="62">
        <v>-1363.5641353708652</v>
      </c>
      <c r="BK506" s="62">
        <v>-1536.6279072421398</v>
      </c>
      <c r="BL506" s="62">
        <v>-1849.3821477459148</v>
      </c>
      <c r="BM506" s="62">
        <v>-1807.1101377807081</v>
      </c>
      <c r="BN506" s="62">
        <v>-1925.4347409037105</v>
      </c>
      <c r="BO506" s="62">
        <v>-1859.351729397998</v>
      </c>
      <c r="BP506" s="62"/>
      <c r="BQ506" s="61">
        <v>61.599999999999994</v>
      </c>
      <c r="BR506" s="61">
        <v>-279.89999999999998</v>
      </c>
      <c r="BS506" s="61">
        <v>-475</v>
      </c>
      <c r="BT506" s="61">
        <v>-532</v>
      </c>
      <c r="BU506" s="61">
        <v>-478</v>
      </c>
      <c r="BV506" s="61">
        <v>-474</v>
      </c>
      <c r="BW506" s="61">
        <v>-585</v>
      </c>
      <c r="BX506" s="61">
        <v>-814</v>
      </c>
      <c r="BY506" s="61">
        <v>-967</v>
      </c>
      <c r="BZ506" s="61">
        <v>-1032</v>
      </c>
      <c r="CA506" s="62">
        <v>-1000</v>
      </c>
      <c r="CB506" s="62">
        <v>-1031</v>
      </c>
      <c r="CC506" s="62">
        <v>-1249</v>
      </c>
      <c r="CD506" s="62">
        <v>-1268</v>
      </c>
      <c r="CE506" s="62">
        <v>-1517</v>
      </c>
      <c r="CF506" s="62">
        <v>-1660</v>
      </c>
      <c r="CG506" s="62">
        <v>-1419</v>
      </c>
      <c r="CH506" s="62">
        <v>-1504</v>
      </c>
      <c r="CI506" s="62">
        <v>-1977</v>
      </c>
      <c r="CJ506" s="62">
        <v>-2187</v>
      </c>
      <c r="CK506" s="62">
        <v>-2252</v>
      </c>
      <c r="CL506" s="62">
        <v>-2451</v>
      </c>
      <c r="CM506" s="62">
        <v>-2718</v>
      </c>
      <c r="CN506" s="62">
        <v>-2739</v>
      </c>
      <c r="CO506" s="62">
        <v>-2310</v>
      </c>
      <c r="CP506" s="62">
        <v>-2841</v>
      </c>
      <c r="CQ506" s="62">
        <v>-2791</v>
      </c>
      <c r="CR506" s="62">
        <v>-2693</v>
      </c>
      <c r="CS506" s="62">
        <v>-1873</v>
      </c>
      <c r="CT506" s="62">
        <v>-2765</v>
      </c>
      <c r="CU506" s="62">
        <v>-2685</v>
      </c>
      <c r="CV506" s="220">
        <v>-3108</v>
      </c>
      <c r="CW506" s="62">
        <v>-2930.9803846113628</v>
      </c>
      <c r="CX506" s="62">
        <v>-2880.4174184768308</v>
      </c>
      <c r="CY506" s="62">
        <v>-2896.2860828543498</v>
      </c>
      <c r="CZ506" s="62">
        <v>-2947.6135444149159</v>
      </c>
      <c r="DA506" s="62">
        <v>-3072.4818092295609</v>
      </c>
      <c r="DB506" s="62">
        <v>-3235.9313734637135</v>
      </c>
      <c r="DC506" s="62">
        <v>-2774.007766152562</v>
      </c>
      <c r="DD506" s="62">
        <v>-2900.192042613005</v>
      </c>
      <c r="DE506" s="62">
        <v>-3656.4922855266232</v>
      </c>
      <c r="DF506" s="62">
        <v>-3784.7864703017085</v>
      </c>
    </row>
    <row r="507" spans="1:110" ht="12" hidden="1" outlineLevel="2">
      <c r="A507" s="1" t="s">
        <v>328</v>
      </c>
      <c r="B507" s="15" t="s">
        <v>529</v>
      </c>
      <c r="C507" s="41">
        <v>60</v>
      </c>
      <c r="D507" s="41">
        <v>46</v>
      </c>
      <c r="E507" s="41">
        <v>53</v>
      </c>
      <c r="F507" s="41">
        <v>54</v>
      </c>
      <c r="G507" s="41">
        <v>48</v>
      </c>
      <c r="H507" s="41">
        <v>36</v>
      </c>
      <c r="I507" s="41">
        <v>34</v>
      </c>
      <c r="J507" s="41">
        <v>27</v>
      </c>
      <c r="K507" s="41">
        <v>18</v>
      </c>
      <c r="L507" s="41">
        <v>-14</v>
      </c>
      <c r="M507" s="41">
        <v>5</v>
      </c>
      <c r="N507" s="41">
        <v>-49</v>
      </c>
      <c r="O507" s="41">
        <v>24</v>
      </c>
      <c r="P507" s="41">
        <v>-8</v>
      </c>
      <c r="Q507" s="41">
        <v>231</v>
      </c>
      <c r="R507" s="41">
        <v>90</v>
      </c>
      <c r="S507" s="41">
        <v>-23</v>
      </c>
      <c r="T507" s="41">
        <v>100</v>
      </c>
      <c r="U507" s="41">
        <v>-223</v>
      </c>
      <c r="V507" s="41">
        <v>-135</v>
      </c>
      <c r="W507" s="41">
        <v>5</v>
      </c>
      <c r="X507" s="41">
        <v>-99</v>
      </c>
      <c r="Y507" s="41">
        <v>18</v>
      </c>
      <c r="Z507" s="41">
        <v>-94</v>
      </c>
      <c r="AA507" s="41">
        <v>-203</v>
      </c>
      <c r="AB507" s="41">
        <v>13</v>
      </c>
      <c r="AC507" s="41">
        <v>-244.5</v>
      </c>
      <c r="AD507" s="41">
        <v>-230</v>
      </c>
      <c r="AE507" s="41">
        <v>-71</v>
      </c>
      <c r="AF507" s="41">
        <v>-7</v>
      </c>
      <c r="AG507" s="41">
        <v>-152</v>
      </c>
      <c r="AH507" s="41">
        <v>-221</v>
      </c>
      <c r="AI507" s="41">
        <v>-159</v>
      </c>
      <c r="AJ507" s="41">
        <v>-65</v>
      </c>
      <c r="AK507" s="41">
        <v>-176</v>
      </c>
      <c r="AL507" s="41">
        <v>139</v>
      </c>
      <c r="AM507" s="41">
        <v>-134</v>
      </c>
      <c r="AN507" s="41">
        <v>52</v>
      </c>
      <c r="AO507" s="41">
        <v>133</v>
      </c>
      <c r="AP507" s="41">
        <v>20</v>
      </c>
      <c r="AQ507" s="41">
        <v>-18</v>
      </c>
      <c r="AR507" s="41">
        <v>-177</v>
      </c>
      <c r="AS507" s="41">
        <v>-98</v>
      </c>
      <c r="AT507" s="41">
        <v>115</v>
      </c>
      <c r="AU507" s="41">
        <v>12</v>
      </c>
      <c r="AV507" s="211">
        <v>57</v>
      </c>
      <c r="AW507" s="210">
        <v>0</v>
      </c>
      <c r="AX507" s="210">
        <v>0</v>
      </c>
      <c r="AY507" s="210">
        <v>0</v>
      </c>
      <c r="AZ507" s="210">
        <v>0</v>
      </c>
      <c r="BA507" s="210">
        <v>0</v>
      </c>
      <c r="BB507" s="210">
        <v>0</v>
      </c>
      <c r="BC507" s="210">
        <v>0</v>
      </c>
      <c r="BD507" s="210">
        <v>0</v>
      </c>
      <c r="BE507" s="210">
        <v>0</v>
      </c>
      <c r="BF507" s="210">
        <v>0</v>
      </c>
      <c r="BG507" s="210">
        <v>0</v>
      </c>
      <c r="BH507" s="210">
        <v>0</v>
      </c>
      <c r="BI507" s="210">
        <v>0</v>
      </c>
      <c r="BJ507" s="210">
        <v>0</v>
      </c>
      <c r="BK507" s="210">
        <v>0</v>
      </c>
      <c r="BL507" s="210">
        <v>0</v>
      </c>
      <c r="BM507" s="210">
        <v>0</v>
      </c>
      <c r="BN507" s="210">
        <v>0</v>
      </c>
      <c r="BO507" s="210">
        <v>0</v>
      </c>
      <c r="BP507" s="41"/>
      <c r="BQ507" s="41">
        <v>66.800000000000011</v>
      </c>
      <c r="BR507" s="41">
        <v>38.699999999999989</v>
      </c>
      <c r="BS507" s="41">
        <v>78</v>
      </c>
      <c r="BT507" s="41">
        <v>99</v>
      </c>
      <c r="BU507" s="41">
        <v>0</v>
      </c>
      <c r="BV507" s="41">
        <v>35</v>
      </c>
      <c r="BW507" s="41">
        <v>33</v>
      </c>
      <c r="BX507" s="41">
        <v>72</v>
      </c>
      <c r="BY507" s="41">
        <v>-75</v>
      </c>
      <c r="BZ507" s="41">
        <v>119</v>
      </c>
      <c r="CA507" s="41">
        <v>6</v>
      </c>
      <c r="CB507" s="41">
        <v>102</v>
      </c>
      <c r="CC507" s="41">
        <v>70</v>
      </c>
      <c r="CD507" s="41">
        <v>45</v>
      </c>
      <c r="CE507" s="41">
        <v>-9</v>
      </c>
      <c r="CF507" s="41">
        <v>-25</v>
      </c>
      <c r="CG507" s="41">
        <v>223</v>
      </c>
      <c r="CH507" s="41">
        <v>67</v>
      </c>
      <c r="CI507" s="41">
        <v>-123</v>
      </c>
      <c r="CJ507" s="41">
        <v>-130</v>
      </c>
      <c r="CK507" s="41">
        <v>-81</v>
      </c>
      <c r="CL507" s="41">
        <v>-297</v>
      </c>
      <c r="CM507" s="41">
        <v>-231.5</v>
      </c>
      <c r="CN507" s="41">
        <v>-301</v>
      </c>
      <c r="CO507" s="41">
        <v>-159</v>
      </c>
      <c r="CP507" s="41">
        <v>-380</v>
      </c>
      <c r="CQ507" s="41">
        <v>-241</v>
      </c>
      <c r="CR507" s="41">
        <v>5</v>
      </c>
      <c r="CS507" s="41">
        <v>185</v>
      </c>
      <c r="CT507" s="41">
        <v>2</v>
      </c>
      <c r="CU507" s="41">
        <v>-275</v>
      </c>
      <c r="CV507" s="211">
        <v>127</v>
      </c>
      <c r="CW507" s="41">
        <v>57</v>
      </c>
      <c r="CX507" s="41">
        <v>0</v>
      </c>
      <c r="CY507" s="41">
        <v>0</v>
      </c>
      <c r="CZ507" s="41">
        <v>0</v>
      </c>
      <c r="DA507" s="41">
        <v>0</v>
      </c>
      <c r="DB507" s="41">
        <v>0</v>
      </c>
      <c r="DC507" s="41">
        <v>0</v>
      </c>
      <c r="DD507" s="41">
        <v>0</v>
      </c>
      <c r="DE507" s="41">
        <v>0</v>
      </c>
      <c r="DF507" s="41">
        <v>0</v>
      </c>
    </row>
    <row r="508" spans="1:110" ht="12" hidden="1" outlineLevel="2">
      <c r="A508" s="1" t="s">
        <v>695</v>
      </c>
      <c r="B508" s="15" t="s">
        <v>266</v>
      </c>
      <c r="C508" s="40">
        <v>0</v>
      </c>
      <c r="D508" s="40">
        <v>0</v>
      </c>
      <c r="E508" s="40">
        <v>0</v>
      </c>
      <c r="F508" s="40">
        <v>0</v>
      </c>
      <c r="G508" s="40">
        <v>0</v>
      </c>
      <c r="H508" s="40">
        <v>0</v>
      </c>
      <c r="I508" s="40">
        <v>0</v>
      </c>
      <c r="J508" s="40">
        <v>0</v>
      </c>
      <c r="K508" s="40">
        <v>0</v>
      </c>
      <c r="L508" s="40">
        <v>0</v>
      </c>
      <c r="M508" s="40">
        <v>0</v>
      </c>
      <c r="N508" s="40">
        <v>0</v>
      </c>
      <c r="O508" s="40">
        <v>0</v>
      </c>
      <c r="P508" s="40">
        <v>0</v>
      </c>
      <c r="Q508" s="40">
        <v>0</v>
      </c>
      <c r="R508" s="40">
        <v>0</v>
      </c>
      <c r="S508" s="40">
        <v>0</v>
      </c>
      <c r="T508" s="40">
        <v>0</v>
      </c>
      <c r="U508" s="40">
        <v>0</v>
      </c>
      <c r="V508" s="40">
        <v>0</v>
      </c>
      <c r="W508" s="40">
        <v>0</v>
      </c>
      <c r="X508" s="40">
        <v>0</v>
      </c>
      <c r="Y508" s="40">
        <v>0</v>
      </c>
      <c r="Z508" s="141">
        <v>0</v>
      </c>
      <c r="AA508" s="141">
        <v>0</v>
      </c>
      <c r="AB508" s="141">
        <v>0</v>
      </c>
      <c r="AC508" s="141">
        <v>-87.5</v>
      </c>
      <c r="AD508" s="141">
        <v>0</v>
      </c>
      <c r="AE508" s="141">
        <v>0</v>
      </c>
      <c r="AF508" s="141">
        <v>0</v>
      </c>
      <c r="AG508" s="141">
        <v>0</v>
      </c>
      <c r="AH508" s="141">
        <v>0</v>
      </c>
      <c r="AI508" s="141">
        <v>0</v>
      </c>
      <c r="AJ508" s="141">
        <v>0</v>
      </c>
      <c r="AK508" s="141">
        <v>0</v>
      </c>
      <c r="AL508" s="141">
        <v>0</v>
      </c>
      <c r="AM508" s="141">
        <v>0</v>
      </c>
      <c r="AN508" s="141">
        <v>0</v>
      </c>
      <c r="AO508" s="141">
        <v>0</v>
      </c>
      <c r="AP508" s="141">
        <v>0</v>
      </c>
      <c r="AQ508" s="141">
        <v>0</v>
      </c>
      <c r="AR508" s="141">
        <v>0</v>
      </c>
      <c r="AS508" s="141">
        <v>0</v>
      </c>
      <c r="AT508" s="141">
        <v>0</v>
      </c>
      <c r="AU508" s="141">
        <v>0</v>
      </c>
      <c r="AV508" s="226">
        <v>0</v>
      </c>
      <c r="AW508" s="210">
        <v>0</v>
      </c>
      <c r="AX508" s="210">
        <v>0</v>
      </c>
      <c r="AY508" s="210">
        <v>0</v>
      </c>
      <c r="AZ508" s="210">
        <v>0</v>
      </c>
      <c r="BA508" s="210">
        <v>0</v>
      </c>
      <c r="BB508" s="210">
        <v>0</v>
      </c>
      <c r="BC508" s="210">
        <v>0</v>
      </c>
      <c r="BD508" s="210">
        <v>0</v>
      </c>
      <c r="BE508" s="210">
        <v>0</v>
      </c>
      <c r="BF508" s="210">
        <v>0</v>
      </c>
      <c r="BG508" s="210">
        <v>0</v>
      </c>
      <c r="BH508" s="210">
        <v>0</v>
      </c>
      <c r="BI508" s="210">
        <v>0</v>
      </c>
      <c r="BJ508" s="210">
        <v>0</v>
      </c>
      <c r="BK508" s="210">
        <v>0</v>
      </c>
      <c r="BL508" s="210">
        <v>0</v>
      </c>
      <c r="BM508" s="210">
        <v>0</v>
      </c>
      <c r="BN508" s="210">
        <v>0</v>
      </c>
      <c r="BO508" s="210">
        <v>0</v>
      </c>
      <c r="BP508" s="41"/>
      <c r="BQ508" s="40">
        <v>0</v>
      </c>
      <c r="BR508" s="40">
        <v>0</v>
      </c>
      <c r="BS508" s="40">
        <v>0</v>
      </c>
      <c r="BT508" s="40">
        <v>0</v>
      </c>
      <c r="BU508" s="40">
        <v>0</v>
      </c>
      <c r="BV508" s="40">
        <v>0</v>
      </c>
      <c r="BW508" s="40">
        <v>0</v>
      </c>
      <c r="BX508" s="40">
        <v>0</v>
      </c>
      <c r="BY508" s="40">
        <v>0</v>
      </c>
      <c r="BZ508" s="40">
        <v>0</v>
      </c>
      <c r="CA508" s="40">
        <v>93</v>
      </c>
      <c r="CB508" s="41">
        <v>0</v>
      </c>
      <c r="CC508" s="41">
        <v>0</v>
      </c>
      <c r="CD508" s="41">
        <v>0</v>
      </c>
      <c r="CE508" s="41">
        <v>0</v>
      </c>
      <c r="CF508" s="41">
        <v>0</v>
      </c>
      <c r="CG508" s="41">
        <v>0</v>
      </c>
      <c r="CH508" s="41">
        <v>0</v>
      </c>
      <c r="CI508" s="41">
        <v>0</v>
      </c>
      <c r="CJ508" s="41">
        <v>0</v>
      </c>
      <c r="CK508" s="41">
        <v>0</v>
      </c>
      <c r="CL508" s="41">
        <v>0</v>
      </c>
      <c r="CM508" s="41">
        <v>-87.5</v>
      </c>
      <c r="CN508" s="41">
        <v>0</v>
      </c>
      <c r="CO508" s="41">
        <v>0</v>
      </c>
      <c r="CP508" s="41">
        <v>0</v>
      </c>
      <c r="CQ508" s="41">
        <v>0</v>
      </c>
      <c r="CR508" s="41">
        <v>0</v>
      </c>
      <c r="CS508" s="41">
        <v>0</v>
      </c>
      <c r="CT508" s="41">
        <v>0</v>
      </c>
      <c r="CU508" s="41">
        <v>0</v>
      </c>
      <c r="CV508" s="211">
        <v>0</v>
      </c>
      <c r="CW508" s="41">
        <v>0</v>
      </c>
      <c r="CX508" s="41">
        <v>0</v>
      </c>
      <c r="CY508" s="41">
        <v>0</v>
      </c>
      <c r="CZ508" s="41">
        <v>0</v>
      </c>
      <c r="DA508" s="41">
        <v>0</v>
      </c>
      <c r="DB508" s="41">
        <v>0</v>
      </c>
      <c r="DC508" s="41">
        <v>0</v>
      </c>
      <c r="DD508" s="41">
        <v>0</v>
      </c>
      <c r="DE508" s="41">
        <v>0</v>
      </c>
      <c r="DF508" s="41">
        <v>0</v>
      </c>
    </row>
    <row r="509" spans="1:110" s="17" customFormat="1" ht="12" hidden="1" outlineLevel="2">
      <c r="A509" s="1" t="s">
        <v>329</v>
      </c>
      <c r="B509" s="17" t="s">
        <v>157</v>
      </c>
      <c r="C509" s="61">
        <v>-469</v>
      </c>
      <c r="D509" s="61">
        <v>-443</v>
      </c>
      <c r="E509" s="61">
        <v>-458</v>
      </c>
      <c r="F509" s="61">
        <v>-446</v>
      </c>
      <c r="G509" s="61">
        <v>-483</v>
      </c>
      <c r="H509" s="61">
        <v>-581</v>
      </c>
      <c r="I509" s="61">
        <v>-598</v>
      </c>
      <c r="J509" s="61">
        <v>-591</v>
      </c>
      <c r="K509" s="61">
        <v>-632</v>
      </c>
      <c r="L509" s="61">
        <v>-743</v>
      </c>
      <c r="M509" s="61">
        <v>-783</v>
      </c>
      <c r="N509" s="61">
        <v>-885</v>
      </c>
      <c r="O509" s="61">
        <v>-800</v>
      </c>
      <c r="P509" s="61">
        <v>-793</v>
      </c>
      <c r="Q509" s="61">
        <v>-403</v>
      </c>
      <c r="R509" s="61">
        <v>-687</v>
      </c>
      <c r="S509" s="61">
        <v>-750</v>
      </c>
      <c r="T509" s="61">
        <v>-828</v>
      </c>
      <c r="U509" s="61">
        <v>-1272</v>
      </c>
      <c r="V509" s="61">
        <v>-1240</v>
      </c>
      <c r="W509" s="61">
        <v>-1077</v>
      </c>
      <c r="X509" s="61">
        <v>-1227</v>
      </c>
      <c r="Y509" s="61">
        <v>-1106</v>
      </c>
      <c r="Z509" s="194">
        <v>-1367</v>
      </c>
      <c r="AA509" s="194">
        <v>-1381</v>
      </c>
      <c r="AB509" s="194">
        <v>-1329</v>
      </c>
      <c r="AC509" s="194">
        <v>-1708</v>
      </c>
      <c r="AD509" s="194">
        <v>-1637</v>
      </c>
      <c r="AE509" s="194">
        <v>-1403</v>
      </c>
      <c r="AF509" s="194">
        <v>-1144</v>
      </c>
      <c r="AG509" s="194">
        <v>-1325</v>
      </c>
      <c r="AH509" s="194">
        <v>-1635</v>
      </c>
      <c r="AI509" s="194">
        <v>-1586</v>
      </c>
      <c r="AJ509" s="194">
        <v>-1561</v>
      </c>
      <c r="AK509" s="194">
        <v>-1471</v>
      </c>
      <c r="AL509" s="194">
        <v>-1285</v>
      </c>
      <c r="AM509" s="194">
        <v>-1403</v>
      </c>
      <c r="AN509" s="194">
        <v>-835</v>
      </c>
      <c r="AO509" s="194">
        <v>-853</v>
      </c>
      <c r="AP509" s="194">
        <v>-1422</v>
      </c>
      <c r="AQ509" s="194">
        <v>-1341</v>
      </c>
      <c r="AR509" s="194">
        <v>-1505</v>
      </c>
      <c r="AS509" s="194">
        <v>-1455</v>
      </c>
      <c r="AT509" s="194">
        <v>-1466</v>
      </c>
      <c r="AU509" s="194">
        <v>-1515</v>
      </c>
      <c r="AV509" s="227">
        <v>-1453</v>
      </c>
      <c r="AW509" s="62">
        <v>-1420.980384611363</v>
      </c>
      <c r="AX509" s="62">
        <v>-1446.6201671857459</v>
      </c>
      <c r="AY509" s="62">
        <v>-1433.7972512910851</v>
      </c>
      <c r="AZ509" s="62">
        <v>-1469.4571860533749</v>
      </c>
      <c r="BA509" s="62">
        <v>-1426.8288968009749</v>
      </c>
      <c r="BB509" s="62">
        <v>-1500.2116098034492</v>
      </c>
      <c r="BC509" s="62">
        <v>-1447.4019346114669</v>
      </c>
      <c r="BD509" s="62">
        <v>-1558.0913578857917</v>
      </c>
      <c r="BE509" s="62">
        <v>-1514.3904513437694</v>
      </c>
      <c r="BF509" s="62">
        <v>-1635.9189317862392</v>
      </c>
      <c r="BG509" s="62">
        <v>-1600.012441677474</v>
      </c>
      <c r="BH509" s="62">
        <v>-1517.9993476043985</v>
      </c>
      <c r="BI509" s="62">
        <v>-1256.0084185481633</v>
      </c>
      <c r="BJ509" s="62">
        <v>-1363.5641353708652</v>
      </c>
      <c r="BK509" s="62">
        <v>-1536.6279072421398</v>
      </c>
      <c r="BL509" s="62">
        <v>-1849.3821477459148</v>
      </c>
      <c r="BM509" s="62">
        <v>-1807.1101377807081</v>
      </c>
      <c r="BN509" s="62">
        <v>-1925.4347409037105</v>
      </c>
      <c r="BO509" s="62">
        <v>-1859.351729397998</v>
      </c>
      <c r="BP509" s="62"/>
      <c r="BQ509" s="61">
        <v>128.4</v>
      </c>
      <c r="BR509" s="61">
        <v>-241.2</v>
      </c>
      <c r="BS509" s="61">
        <v>-397</v>
      </c>
      <c r="BT509" s="61">
        <v>-433</v>
      </c>
      <c r="BU509" s="61">
        <v>-478</v>
      </c>
      <c r="BV509" s="61">
        <v>-439</v>
      </c>
      <c r="BW509" s="61">
        <v>-552</v>
      </c>
      <c r="BX509" s="61">
        <v>-742</v>
      </c>
      <c r="BY509" s="61">
        <v>-1042</v>
      </c>
      <c r="BZ509" s="61">
        <v>-913</v>
      </c>
      <c r="CA509" s="62">
        <v>-901</v>
      </c>
      <c r="CB509" s="62">
        <v>-929</v>
      </c>
      <c r="CC509" s="62">
        <v>-1179</v>
      </c>
      <c r="CD509" s="62">
        <v>-1223</v>
      </c>
      <c r="CE509" s="62">
        <v>-1526</v>
      </c>
      <c r="CF509" s="62">
        <v>-1685</v>
      </c>
      <c r="CG509" s="62">
        <v>-1196</v>
      </c>
      <c r="CH509" s="62">
        <v>-1437</v>
      </c>
      <c r="CI509" s="62">
        <v>-2100</v>
      </c>
      <c r="CJ509" s="62">
        <v>-2317</v>
      </c>
      <c r="CK509" s="62">
        <v>-2333</v>
      </c>
      <c r="CL509" s="62">
        <v>-2748</v>
      </c>
      <c r="CM509" s="62">
        <v>-3037</v>
      </c>
      <c r="CN509" s="62">
        <v>-3040</v>
      </c>
      <c r="CO509" s="62">
        <v>-2469</v>
      </c>
      <c r="CP509" s="62">
        <v>-3221</v>
      </c>
      <c r="CQ509" s="62">
        <v>-3032</v>
      </c>
      <c r="CR509" s="62">
        <v>-2688</v>
      </c>
      <c r="CS509" s="62">
        <v>-1688</v>
      </c>
      <c r="CT509" s="62">
        <v>-2763</v>
      </c>
      <c r="CU509" s="62">
        <v>-2960</v>
      </c>
      <c r="CV509" s="220">
        <v>-2981</v>
      </c>
      <c r="CW509" s="62">
        <v>-2873.9803846113628</v>
      </c>
      <c r="CX509" s="62">
        <v>-2880.4174184768308</v>
      </c>
      <c r="CY509" s="62">
        <v>-2896.2860828543498</v>
      </c>
      <c r="CZ509" s="62">
        <v>-2947.6135444149159</v>
      </c>
      <c r="DA509" s="62">
        <v>-3072.4818092295609</v>
      </c>
      <c r="DB509" s="62">
        <v>-3235.9313734637135</v>
      </c>
      <c r="DC509" s="62">
        <v>-2774.007766152562</v>
      </c>
      <c r="DD509" s="62">
        <v>-2900.192042613005</v>
      </c>
      <c r="DE509" s="62">
        <v>-3656.4922855266232</v>
      </c>
      <c r="DF509" s="62">
        <v>-3784.7864703017085</v>
      </c>
    </row>
    <row r="510" spans="1:110" s="63" customFormat="1" ht="12" hidden="1" outlineLevel="2">
      <c r="A510" s="1"/>
      <c r="B510" s="63" t="s">
        <v>355</v>
      </c>
      <c r="C510" s="65" t="s">
        <v>773</v>
      </c>
      <c r="D510" s="65" t="s">
        <v>773</v>
      </c>
      <c r="E510" s="65" t="s">
        <v>773</v>
      </c>
      <c r="F510" s="65" t="s">
        <v>773</v>
      </c>
      <c r="G510" s="65" t="s">
        <v>773</v>
      </c>
      <c r="H510" s="65" t="s">
        <v>773</v>
      </c>
      <c r="I510" s="65" t="s">
        <v>773</v>
      </c>
      <c r="J510" s="65" t="s">
        <v>773</v>
      </c>
      <c r="K510" s="65" t="s">
        <v>773</v>
      </c>
      <c r="L510" s="65" t="s">
        <v>773</v>
      </c>
      <c r="M510" s="65" t="s">
        <v>773</v>
      </c>
      <c r="N510" s="65" t="s">
        <v>773</v>
      </c>
      <c r="O510" s="65" t="s">
        <v>773</v>
      </c>
      <c r="P510" s="65" t="s">
        <v>773</v>
      </c>
      <c r="Q510" s="65" t="s">
        <v>773</v>
      </c>
      <c r="R510" s="65" t="s">
        <v>773</v>
      </c>
      <c r="S510" s="65" t="s">
        <v>773</v>
      </c>
      <c r="T510" s="65" t="s">
        <v>773</v>
      </c>
      <c r="U510" s="65" t="s">
        <v>773</v>
      </c>
      <c r="V510" s="65" t="s">
        <v>773</v>
      </c>
      <c r="W510" s="65" t="s">
        <v>773</v>
      </c>
      <c r="X510" s="65" t="s">
        <v>773</v>
      </c>
      <c r="Y510" s="65" t="s">
        <v>773</v>
      </c>
      <c r="Z510" s="65" t="s">
        <v>773</v>
      </c>
      <c r="AA510" s="65" t="s">
        <v>773</v>
      </c>
      <c r="AB510" s="65" t="s">
        <v>773</v>
      </c>
      <c r="AC510" s="65" t="s">
        <v>773</v>
      </c>
      <c r="AD510" s="65" t="s">
        <v>773</v>
      </c>
      <c r="AE510" s="65" t="s">
        <v>773</v>
      </c>
      <c r="AF510" s="65" t="s">
        <v>773</v>
      </c>
      <c r="AG510" s="65" t="s">
        <v>773</v>
      </c>
      <c r="AH510" s="65" t="s">
        <v>773</v>
      </c>
      <c r="AI510" s="65" t="s">
        <v>773</v>
      </c>
      <c r="AJ510" s="65" t="s">
        <v>773</v>
      </c>
      <c r="AK510" s="65" t="s">
        <v>773</v>
      </c>
      <c r="AL510" s="65" t="s">
        <v>773</v>
      </c>
      <c r="AM510" s="65" t="s">
        <v>773</v>
      </c>
      <c r="AN510" s="65" t="s">
        <v>773</v>
      </c>
      <c r="AO510" s="65" t="s">
        <v>773</v>
      </c>
      <c r="AP510" s="65" t="s">
        <v>773</v>
      </c>
      <c r="AQ510" s="65" t="s">
        <v>773</v>
      </c>
      <c r="AR510" s="65" t="s">
        <v>773</v>
      </c>
      <c r="AS510" s="65" t="s">
        <v>773</v>
      </c>
      <c r="AT510" s="65" t="s">
        <v>773</v>
      </c>
      <c r="AU510" s="65" t="s">
        <v>773</v>
      </c>
      <c r="AV510" s="221" t="s">
        <v>773</v>
      </c>
      <c r="AW510" s="65" t="s">
        <v>773</v>
      </c>
      <c r="AX510" s="65" t="s">
        <v>773</v>
      </c>
      <c r="AY510" s="65" t="s">
        <v>773</v>
      </c>
      <c r="AZ510" s="65" t="s">
        <v>773</v>
      </c>
      <c r="BA510" s="65" t="s">
        <v>773</v>
      </c>
      <c r="BB510" s="65" t="s">
        <v>773</v>
      </c>
      <c r="BC510" s="65" t="s">
        <v>773</v>
      </c>
      <c r="BD510" s="65" t="s">
        <v>773</v>
      </c>
      <c r="BE510" s="65" t="s">
        <v>773</v>
      </c>
      <c r="BF510" s="65" t="s">
        <v>773</v>
      </c>
      <c r="BG510" s="65" t="s">
        <v>773</v>
      </c>
      <c r="BH510" s="65" t="s">
        <v>773</v>
      </c>
      <c r="BI510" s="65" t="s">
        <v>773</v>
      </c>
      <c r="BJ510" s="65" t="s">
        <v>773</v>
      </c>
      <c r="BK510" s="65" t="s">
        <v>773</v>
      </c>
      <c r="BL510" s="65" t="s">
        <v>773</v>
      </c>
      <c r="BM510" s="65" t="s">
        <v>773</v>
      </c>
      <c r="BN510" s="65" t="s">
        <v>773</v>
      </c>
      <c r="BO510" s="65" t="s">
        <v>773</v>
      </c>
      <c r="BP510" s="65"/>
      <c r="BQ510" s="65" t="s">
        <v>773</v>
      </c>
      <c r="BR510" s="65" t="s">
        <v>773</v>
      </c>
      <c r="BS510" s="65" t="s">
        <v>773</v>
      </c>
      <c r="BT510" s="65" t="s">
        <v>773</v>
      </c>
      <c r="BU510" s="65" t="s">
        <v>773</v>
      </c>
      <c r="BV510" s="65" t="s">
        <v>773</v>
      </c>
      <c r="BW510" s="65" t="s">
        <v>773</v>
      </c>
      <c r="BX510" s="65" t="s">
        <v>773</v>
      </c>
      <c r="BY510" s="65" t="s">
        <v>773</v>
      </c>
      <c r="BZ510" s="65" t="s">
        <v>773</v>
      </c>
      <c r="CA510" s="65" t="s">
        <v>773</v>
      </c>
      <c r="CB510" s="65" t="s">
        <v>773</v>
      </c>
      <c r="CC510" s="65" t="s">
        <v>773</v>
      </c>
      <c r="CD510" s="65" t="s">
        <v>773</v>
      </c>
      <c r="CE510" s="65" t="s">
        <v>773</v>
      </c>
      <c r="CF510" s="65" t="s">
        <v>773</v>
      </c>
      <c r="CG510" s="65" t="s">
        <v>773</v>
      </c>
      <c r="CH510" s="65" t="s">
        <v>773</v>
      </c>
      <c r="CI510" s="65" t="s">
        <v>773</v>
      </c>
      <c r="CJ510" s="65" t="s">
        <v>773</v>
      </c>
      <c r="CK510" s="65" t="s">
        <v>773</v>
      </c>
      <c r="CL510" s="65" t="s">
        <v>773</v>
      </c>
      <c r="CM510" s="65" t="s">
        <v>773</v>
      </c>
      <c r="CN510" s="65" t="s">
        <v>773</v>
      </c>
      <c r="CO510" s="65" t="s">
        <v>773</v>
      </c>
      <c r="CP510" s="65" t="s">
        <v>773</v>
      </c>
      <c r="CQ510" s="65" t="s">
        <v>773</v>
      </c>
      <c r="CR510" s="65" t="s">
        <v>773</v>
      </c>
      <c r="CS510" s="65" t="s">
        <v>773</v>
      </c>
      <c r="CT510" s="65" t="s">
        <v>773</v>
      </c>
      <c r="CU510" s="65" t="s">
        <v>773</v>
      </c>
      <c r="CV510" s="221" t="s">
        <v>773</v>
      </c>
      <c r="CW510" s="65" t="s">
        <v>773</v>
      </c>
      <c r="CX510" s="65" t="s">
        <v>773</v>
      </c>
      <c r="CY510" s="65" t="s">
        <v>773</v>
      </c>
      <c r="CZ510" s="65" t="s">
        <v>773</v>
      </c>
      <c r="DA510" s="65" t="s">
        <v>773</v>
      </c>
      <c r="DB510" s="65" t="s">
        <v>773</v>
      </c>
      <c r="DC510" s="65" t="s">
        <v>773</v>
      </c>
      <c r="DD510" s="65" t="s">
        <v>773</v>
      </c>
      <c r="DE510" s="65" t="s">
        <v>773</v>
      </c>
      <c r="DF510" s="65" t="s">
        <v>773</v>
      </c>
    </row>
    <row r="511" spans="1:110" ht="12" outlineLevel="1" collapsed="1">
      <c r="A511" s="74"/>
      <c r="C511" s="41"/>
      <c r="D511" s="41"/>
      <c r="E511" s="41"/>
      <c r="F511" s="41"/>
      <c r="G511" s="41"/>
      <c r="H511" s="41"/>
      <c r="I511" s="41"/>
      <c r="J511" s="41"/>
      <c r="K511" s="41"/>
      <c r="L511" s="41"/>
      <c r="M511" s="41"/>
      <c r="N511" s="41"/>
      <c r="O511" s="41"/>
      <c r="P511" s="41"/>
      <c r="Q511" s="41"/>
      <c r="R511" s="41"/>
      <c r="S511" s="41"/>
      <c r="T511" s="41"/>
      <c r="U511" s="41"/>
      <c r="V511" s="41"/>
      <c r="W511" s="41"/>
      <c r="X511" s="41"/>
      <c r="Y511" s="41"/>
      <c r="Z511" s="41"/>
      <c r="AA511" s="41"/>
      <c r="AB511" s="41"/>
      <c r="AC511" s="41"/>
      <c r="AD511" s="41"/>
      <c r="AE511" s="41"/>
      <c r="AF511" s="41"/>
      <c r="AG511" s="41"/>
      <c r="AH511" s="41"/>
      <c r="AI511" s="41"/>
      <c r="AJ511" s="41"/>
      <c r="AK511" s="32"/>
      <c r="AL511" s="43"/>
      <c r="AM511" s="43"/>
      <c r="AN511" s="194"/>
      <c r="AO511" s="194"/>
      <c r="AP511" s="194"/>
      <c r="AQ511" s="194"/>
      <c r="AR511" s="194"/>
      <c r="AS511" s="194"/>
      <c r="AT511" s="194"/>
      <c r="AU511" s="194"/>
      <c r="AV511" s="227"/>
      <c r="AW511" s="42"/>
      <c r="AX511" s="42"/>
      <c r="AY511" s="42"/>
      <c r="AZ511" s="42"/>
      <c r="BA511" s="42"/>
      <c r="BB511" s="42"/>
      <c r="BC511" s="42"/>
      <c r="BD511" s="42"/>
      <c r="BE511" s="42"/>
      <c r="BF511" s="42"/>
      <c r="BG511" s="42"/>
      <c r="BH511" s="42"/>
      <c r="BI511" s="42"/>
      <c r="BJ511" s="42"/>
      <c r="BK511" s="42"/>
      <c r="BL511" s="42"/>
      <c r="BM511" s="42"/>
      <c r="BN511" s="42"/>
      <c r="BO511" s="42"/>
      <c r="BP511" s="41"/>
      <c r="BQ511" s="41"/>
      <c r="BR511" s="41"/>
      <c r="BS511" s="41"/>
      <c r="BT511" s="41"/>
      <c r="BU511" s="41"/>
      <c r="BV511" s="41"/>
      <c r="BW511" s="41"/>
      <c r="BX511" s="41"/>
      <c r="BY511" s="41"/>
      <c r="BZ511" s="41"/>
      <c r="CA511" s="41"/>
      <c r="CB511" s="41"/>
      <c r="CC511" s="41"/>
      <c r="CD511" s="41"/>
      <c r="CE511" s="41"/>
      <c r="CF511" s="41"/>
      <c r="CG511" s="41"/>
      <c r="CH511" s="41"/>
      <c r="CI511" s="41"/>
      <c r="CJ511" s="41"/>
      <c r="CK511" s="41"/>
      <c r="CL511" s="41"/>
      <c r="CM511" s="41"/>
      <c r="CN511" s="41"/>
      <c r="CO511" s="41"/>
      <c r="CP511" s="41"/>
      <c r="CQ511" s="41"/>
      <c r="CR511" s="41"/>
      <c r="CS511" s="41"/>
      <c r="CT511" s="41"/>
      <c r="CU511" s="41"/>
      <c r="CV511" s="211"/>
      <c r="CW511" s="41"/>
      <c r="CX511" s="41"/>
      <c r="CY511" s="41"/>
      <c r="CZ511" s="15"/>
      <c r="DA511" s="15"/>
      <c r="DB511" s="15"/>
      <c r="DC511" s="15"/>
      <c r="DD511" s="15"/>
      <c r="DE511" s="15"/>
      <c r="DF511" s="15"/>
    </row>
    <row r="512" spans="1:110" ht="12">
      <c r="C512" s="41"/>
      <c r="D512" s="41"/>
      <c r="E512" s="41"/>
      <c r="F512" s="41"/>
      <c r="G512" s="41"/>
      <c r="H512" s="41"/>
      <c r="I512" s="41"/>
      <c r="J512" s="41"/>
      <c r="K512" s="41"/>
      <c r="L512" s="41"/>
      <c r="M512" s="41"/>
      <c r="N512" s="41"/>
      <c r="O512" s="41"/>
      <c r="P512" s="41"/>
      <c r="Q512" s="41"/>
      <c r="R512" s="41"/>
      <c r="S512" s="41"/>
      <c r="T512" s="41"/>
      <c r="U512" s="41"/>
      <c r="V512" s="41"/>
      <c r="W512" s="41"/>
      <c r="X512" s="41"/>
      <c r="Y512" s="41"/>
      <c r="Z512" s="41"/>
      <c r="AA512" s="41"/>
      <c r="AB512" s="41"/>
      <c r="AC512" s="41"/>
      <c r="AD512" s="41"/>
      <c r="AE512" s="41"/>
      <c r="AF512" s="41"/>
      <c r="AG512" s="41"/>
      <c r="AH512" s="41"/>
      <c r="AI512" s="41"/>
      <c r="AJ512" s="41"/>
      <c r="AK512" s="32"/>
      <c r="AL512" s="41"/>
      <c r="AM512" s="37"/>
      <c r="AN512" s="41"/>
      <c r="AO512" s="41"/>
      <c r="AP512" s="41"/>
      <c r="AQ512" s="41"/>
      <c r="AR512" s="41"/>
      <c r="AS512" s="41"/>
      <c r="AT512" s="41"/>
      <c r="AU512" s="41"/>
      <c r="AV512" s="211"/>
      <c r="AW512" s="35"/>
      <c r="AX512" s="41"/>
      <c r="AY512" s="41"/>
      <c r="AZ512" s="41"/>
      <c r="BA512" s="41"/>
      <c r="BB512" s="41"/>
      <c r="BC512" s="41"/>
      <c r="BD512" s="41"/>
      <c r="BE512" s="41"/>
      <c r="BF512" s="41"/>
      <c r="BG512" s="41"/>
      <c r="BH512" s="41"/>
      <c r="BI512" s="41"/>
      <c r="BJ512" s="41"/>
      <c r="BK512" s="41"/>
      <c r="BL512" s="41"/>
      <c r="BM512" s="41"/>
      <c r="BN512" s="41"/>
      <c r="BO512" s="41"/>
      <c r="BP512" s="41"/>
      <c r="BQ512" s="41"/>
      <c r="BR512" s="41"/>
      <c r="BS512" s="41"/>
      <c r="BT512" s="41"/>
      <c r="BU512" s="41"/>
      <c r="BV512" s="41"/>
      <c r="BW512" s="41"/>
      <c r="BX512" s="41"/>
      <c r="BY512" s="41"/>
      <c r="BZ512" s="41"/>
      <c r="CA512" s="41"/>
      <c r="CB512" s="41"/>
      <c r="CC512" s="41"/>
      <c r="CD512" s="41"/>
      <c r="CE512" s="41"/>
      <c r="CF512" s="41"/>
      <c r="CG512" s="41"/>
      <c r="CH512" s="41"/>
      <c r="CI512" s="41"/>
      <c r="CJ512" s="41"/>
      <c r="CK512" s="41"/>
      <c r="CL512" s="41"/>
      <c r="CM512" s="41"/>
      <c r="CN512" s="41"/>
      <c r="CO512" s="41"/>
      <c r="CP512" s="41"/>
      <c r="CQ512" s="41"/>
      <c r="CR512" s="41"/>
      <c r="CS512" s="41"/>
      <c r="CT512" s="41"/>
      <c r="CU512" s="41"/>
      <c r="CV512" s="211"/>
      <c r="CW512" s="41"/>
      <c r="CX512" s="41"/>
      <c r="CY512" s="41"/>
      <c r="CZ512" s="15"/>
      <c r="DA512" s="15"/>
      <c r="DB512" s="15"/>
      <c r="DC512" s="15"/>
      <c r="DD512" s="15"/>
      <c r="DE512" s="15"/>
      <c r="DF512" s="15"/>
    </row>
    <row r="513" spans="1:110" s="26" customFormat="1" ht="12" collapsed="1">
      <c r="A513" s="1" t="s">
        <v>983</v>
      </c>
      <c r="B513" s="2" t="s">
        <v>356</v>
      </c>
      <c r="C513" s="60">
        <v>915</v>
      </c>
      <c r="D513" s="60">
        <v>1006</v>
      </c>
      <c r="E513" s="60">
        <v>1044.9999999999998</v>
      </c>
      <c r="F513" s="60">
        <v>1087.0000000000002</v>
      </c>
      <c r="G513" s="60">
        <v>1159</v>
      </c>
      <c r="H513" s="60">
        <v>1248</v>
      </c>
      <c r="I513" s="60">
        <v>1385.0000000000007</v>
      </c>
      <c r="J513" s="60">
        <v>1562.0000000000005</v>
      </c>
      <c r="K513" s="60">
        <v>1570.9999999999995</v>
      </c>
      <c r="L513" s="60">
        <v>1718.9999999999995</v>
      </c>
      <c r="M513" s="60">
        <v>1841</v>
      </c>
      <c r="N513" s="60">
        <v>1918.9999999999995</v>
      </c>
      <c r="O513" s="60">
        <v>1967.9999999999998</v>
      </c>
      <c r="P513" s="60">
        <v>1899.0000000000007</v>
      </c>
      <c r="Q513" s="60">
        <v>1332.0000000000005</v>
      </c>
      <c r="R513" s="60">
        <v>930</v>
      </c>
      <c r="S513" s="60">
        <v>2420</v>
      </c>
      <c r="T513" s="60">
        <v>2370</v>
      </c>
      <c r="U513" s="60">
        <v>2752</v>
      </c>
      <c r="V513" s="60">
        <v>2717</v>
      </c>
      <c r="W513" s="60">
        <v>2738</v>
      </c>
      <c r="X513" s="60">
        <v>2889</v>
      </c>
      <c r="Y513" s="60">
        <v>3150</v>
      </c>
      <c r="Z513" s="60">
        <v>3176</v>
      </c>
      <c r="AA513" s="60">
        <v>3310</v>
      </c>
      <c r="AB513" s="60">
        <v>3512</v>
      </c>
      <c r="AC513" s="60">
        <v>3599</v>
      </c>
      <c r="AD513" s="60">
        <v>3675</v>
      </c>
      <c r="AE513" s="60">
        <v>3540</v>
      </c>
      <c r="AF513" s="60">
        <v>2782</v>
      </c>
      <c r="AG513" s="60">
        <v>3107</v>
      </c>
      <c r="AH513" s="60">
        <v>3355</v>
      </c>
      <c r="AI513" s="60">
        <v>3454</v>
      </c>
      <c r="AJ513" s="60">
        <v>3493</v>
      </c>
      <c r="AK513" s="60">
        <v>2994</v>
      </c>
      <c r="AL513" s="60">
        <v>3564</v>
      </c>
      <c r="AM513" s="60">
        <v>2906</v>
      </c>
      <c r="AN513" s="60">
        <v>1413</v>
      </c>
      <c r="AO513" s="60">
        <v>2345</v>
      </c>
      <c r="AP513" s="60">
        <v>2990</v>
      </c>
      <c r="AQ513" s="60">
        <v>3208</v>
      </c>
      <c r="AR513" s="60">
        <v>3113</v>
      </c>
      <c r="AS513" s="60">
        <v>3402</v>
      </c>
      <c r="AT513" s="60">
        <v>3829</v>
      </c>
      <c r="AU513" s="60">
        <v>3584</v>
      </c>
      <c r="AV513" s="219">
        <v>3552</v>
      </c>
      <c r="AW513" s="60">
        <v>3339.8048472754817</v>
      </c>
      <c r="AX513" s="60">
        <v>3400.9221364868781</v>
      </c>
      <c r="AY513" s="60">
        <v>3370.3562821550863</v>
      </c>
      <c r="AZ513" s="60">
        <v>3455.3585063277633</v>
      </c>
      <c r="BA513" s="60">
        <v>3353.7458863584734</v>
      </c>
      <c r="BB513" s="60">
        <v>3528.6675137427128</v>
      </c>
      <c r="BC513" s="60">
        <v>3402.7856275564777</v>
      </c>
      <c r="BD513" s="60">
        <v>3666.6348811635917</v>
      </c>
      <c r="BE513" s="60">
        <v>3562.4654742592793</v>
      </c>
      <c r="BF513" s="60">
        <v>3852.1516783086417</v>
      </c>
      <c r="BG513" s="60">
        <v>3766.5617426616791</v>
      </c>
      <c r="BH513" s="60">
        <v>3571.0679636078112</v>
      </c>
      <c r="BI513" s="60">
        <v>2946.5628479563834</v>
      </c>
      <c r="BJ513" s="60">
        <v>3202.9423173345622</v>
      </c>
      <c r="BK513" s="60">
        <v>3615.4726719421592</v>
      </c>
      <c r="BL513" s="60">
        <v>4360.9817773141249</v>
      </c>
      <c r="BM513" s="60">
        <v>4260.2184166617681</v>
      </c>
      <c r="BN513" s="60">
        <v>4542.2675708974803</v>
      </c>
      <c r="BO513" s="60">
        <v>4384.7461678029813</v>
      </c>
      <c r="BP513" s="60"/>
      <c r="BQ513" s="60">
        <v>-657.9</v>
      </c>
      <c r="BR513" s="60">
        <v>380.1</v>
      </c>
      <c r="BS513" s="60">
        <v>723</v>
      </c>
      <c r="BT513" s="60">
        <v>953</v>
      </c>
      <c r="BU513" s="60">
        <v>1116</v>
      </c>
      <c r="BV513" s="60">
        <v>1171</v>
      </c>
      <c r="BW513" s="60">
        <v>1175</v>
      </c>
      <c r="BX513" s="60">
        <v>1408</v>
      </c>
      <c r="BY513" s="60">
        <v>1613</v>
      </c>
      <c r="BZ513" s="60">
        <v>1768</v>
      </c>
      <c r="CA513" s="60">
        <v>2051</v>
      </c>
      <c r="CB513" s="60">
        <v>2246</v>
      </c>
      <c r="CC513" s="60">
        <v>2633</v>
      </c>
      <c r="CD513" s="60">
        <v>3132.9999999999991</v>
      </c>
      <c r="CE513" s="60">
        <v>3559.9999999999995</v>
      </c>
      <c r="CF513" s="60">
        <v>3886.9999999999995</v>
      </c>
      <c r="CG513" s="60">
        <v>3230.9999999999995</v>
      </c>
      <c r="CH513" s="60">
        <v>3350</v>
      </c>
      <c r="CI513" s="60">
        <v>5122</v>
      </c>
      <c r="CJ513" s="60">
        <v>5455</v>
      </c>
      <c r="CK513" s="60">
        <v>6039</v>
      </c>
      <c r="CL513" s="60">
        <v>6486</v>
      </c>
      <c r="CM513" s="60">
        <v>7111</v>
      </c>
      <c r="CN513" s="60">
        <v>7215</v>
      </c>
      <c r="CO513" s="60">
        <v>5889</v>
      </c>
      <c r="CP513" s="60">
        <v>6809</v>
      </c>
      <c r="CQ513" s="60">
        <v>6487</v>
      </c>
      <c r="CR513" s="60">
        <v>6470</v>
      </c>
      <c r="CS513" s="60">
        <v>3758</v>
      </c>
      <c r="CT513" s="60">
        <v>6198</v>
      </c>
      <c r="CU513" s="60">
        <v>6515</v>
      </c>
      <c r="CV513" s="219">
        <v>7413</v>
      </c>
      <c r="CW513" s="60">
        <v>6891.8048472754817</v>
      </c>
      <c r="CX513" s="60">
        <v>6771.2784186419667</v>
      </c>
      <c r="CY513" s="60">
        <v>6809.1043926862394</v>
      </c>
      <c r="CZ513" s="60">
        <v>6931.4531412991919</v>
      </c>
      <c r="DA513" s="60">
        <v>7229.1003554228701</v>
      </c>
      <c r="DB513" s="60">
        <v>7618.7134209703245</v>
      </c>
      <c r="DC513" s="60">
        <v>6517.6308115641941</v>
      </c>
      <c r="DD513" s="60">
        <v>6818.41498927672</v>
      </c>
      <c r="DE513" s="60">
        <v>8621.200193975892</v>
      </c>
      <c r="DF513" s="60">
        <v>8927.0137387004615</v>
      </c>
    </row>
    <row r="514" spans="1:110" ht="12" outlineLevel="1">
      <c r="C514" s="41"/>
      <c r="D514" s="41"/>
      <c r="E514" s="41"/>
      <c r="F514" s="41"/>
      <c r="G514" s="41"/>
      <c r="H514" s="41"/>
      <c r="I514" s="41"/>
      <c r="J514" s="41"/>
      <c r="K514" s="41"/>
      <c r="L514" s="41"/>
      <c r="M514" s="41"/>
      <c r="N514" s="41"/>
      <c r="O514" s="41"/>
      <c r="P514" s="41"/>
      <c r="Q514" s="41"/>
      <c r="R514" s="41"/>
      <c r="S514" s="41"/>
      <c r="T514" s="41"/>
      <c r="U514" s="41"/>
      <c r="V514" s="41"/>
      <c r="W514" s="41"/>
      <c r="X514" s="41"/>
      <c r="Y514" s="41"/>
      <c r="Z514" s="41"/>
      <c r="AA514" s="41"/>
      <c r="AB514" s="41"/>
      <c r="AC514" s="41"/>
      <c r="AD514" s="43"/>
      <c r="AE514" s="43"/>
      <c r="AF514" s="43"/>
      <c r="AG514" s="43"/>
      <c r="AH514" s="43"/>
      <c r="AI514" s="43"/>
      <c r="AJ514" s="43"/>
      <c r="AK514" s="41"/>
      <c r="AL514" s="41"/>
      <c r="AM514" s="41"/>
      <c r="AN514" s="41"/>
      <c r="AO514" s="41"/>
      <c r="AP514" s="41"/>
      <c r="AQ514" s="41"/>
      <c r="AR514" s="41"/>
      <c r="AS514" s="41"/>
      <c r="AT514" s="41"/>
      <c r="AU514" s="41"/>
      <c r="AV514" s="211"/>
      <c r="AW514" s="41"/>
      <c r="AX514" s="41"/>
      <c r="AY514" s="41"/>
      <c r="AZ514" s="41"/>
      <c r="BA514" s="41"/>
      <c r="BB514" s="41"/>
      <c r="BC514" s="41"/>
      <c r="BD514" s="41"/>
      <c r="BE514" s="41"/>
      <c r="BF514" s="41"/>
      <c r="BG514" s="41"/>
      <c r="BH514" s="41"/>
      <c r="BI514" s="41"/>
      <c r="BJ514" s="41"/>
      <c r="BK514" s="41"/>
      <c r="BL514" s="41"/>
      <c r="BM514" s="41"/>
      <c r="BN514" s="41"/>
      <c r="BO514" s="41"/>
      <c r="BP514" s="41"/>
      <c r="BQ514" s="41"/>
      <c r="BR514" s="41"/>
      <c r="BS514" s="41"/>
      <c r="BT514" s="41"/>
      <c r="BU514" s="41"/>
      <c r="BV514" s="41"/>
      <c r="BW514" s="41"/>
      <c r="BX514" s="41"/>
      <c r="BY514" s="41"/>
      <c r="BZ514" s="41"/>
      <c r="CA514" s="41"/>
      <c r="CB514" s="41"/>
      <c r="CC514" s="41"/>
      <c r="CD514" s="41"/>
      <c r="CE514" s="41"/>
      <c r="CF514" s="41"/>
      <c r="CG514" s="41"/>
      <c r="CH514" s="41"/>
      <c r="CI514" s="41"/>
      <c r="CJ514" s="41"/>
      <c r="CK514" s="41"/>
      <c r="CL514" s="32"/>
      <c r="CM514" s="41"/>
      <c r="CN514" s="41"/>
      <c r="CO514" s="41"/>
      <c r="CP514" s="41"/>
      <c r="CQ514" s="41"/>
      <c r="CR514" s="32"/>
      <c r="CS514" s="32"/>
      <c r="CT514" s="32"/>
      <c r="CU514" s="32"/>
      <c r="CV514" s="31"/>
      <c r="CW514" s="41"/>
      <c r="CX514" s="41"/>
      <c r="CY514" s="41"/>
      <c r="CZ514" s="15"/>
      <c r="DA514" s="15"/>
      <c r="DB514" s="15"/>
      <c r="DC514" s="15"/>
      <c r="DD514" s="15"/>
      <c r="DE514" s="15"/>
      <c r="DF514" s="15"/>
    </row>
    <row r="515" spans="1:110" s="17" customFormat="1" ht="12" outlineLevel="1">
      <c r="A515" s="1" t="s">
        <v>334</v>
      </c>
      <c r="B515" s="17" t="s">
        <v>357</v>
      </c>
      <c r="C515" s="62">
        <v>915</v>
      </c>
      <c r="D515" s="62">
        <v>1006</v>
      </c>
      <c r="E515" s="62">
        <v>1044.9999999999998</v>
      </c>
      <c r="F515" s="62">
        <v>1087.0000000000002</v>
      </c>
      <c r="G515" s="62">
        <v>1159</v>
      </c>
      <c r="H515" s="62">
        <v>1248</v>
      </c>
      <c r="I515" s="62">
        <v>1385.0000000000007</v>
      </c>
      <c r="J515" s="62">
        <v>1562.0000000000005</v>
      </c>
      <c r="K515" s="62">
        <v>1570.9999999999995</v>
      </c>
      <c r="L515" s="62">
        <v>1718.9999999999995</v>
      </c>
      <c r="M515" s="62">
        <v>1841</v>
      </c>
      <c r="N515" s="62">
        <v>1918.9999999999995</v>
      </c>
      <c r="O515" s="62">
        <v>1967.9999999999998</v>
      </c>
      <c r="P515" s="62">
        <v>1899.0000000000007</v>
      </c>
      <c r="Q515" s="62">
        <v>1332.0000000000005</v>
      </c>
      <c r="R515" s="62">
        <v>930</v>
      </c>
      <c r="S515" s="62">
        <v>2420</v>
      </c>
      <c r="T515" s="62">
        <v>2370</v>
      </c>
      <c r="U515" s="62">
        <v>2752</v>
      </c>
      <c r="V515" s="62">
        <v>2717</v>
      </c>
      <c r="W515" s="62">
        <v>2738</v>
      </c>
      <c r="X515" s="62">
        <v>2889</v>
      </c>
      <c r="Y515" s="62">
        <v>3150</v>
      </c>
      <c r="Z515" s="62">
        <v>3176</v>
      </c>
      <c r="AA515" s="62">
        <v>3310</v>
      </c>
      <c r="AB515" s="62">
        <v>3512</v>
      </c>
      <c r="AC515" s="62">
        <v>3599</v>
      </c>
      <c r="AD515" s="62">
        <v>3675</v>
      </c>
      <c r="AE515" s="62">
        <v>3540</v>
      </c>
      <c r="AF515" s="62">
        <v>2782</v>
      </c>
      <c r="AG515" s="62">
        <v>3107</v>
      </c>
      <c r="AH515" s="62">
        <v>3355</v>
      </c>
      <c r="AI515" s="62">
        <v>3454</v>
      </c>
      <c r="AJ515" s="62">
        <v>3493</v>
      </c>
      <c r="AK515" s="62">
        <v>2994</v>
      </c>
      <c r="AL515" s="62">
        <v>3564</v>
      </c>
      <c r="AM515" s="62">
        <v>2906</v>
      </c>
      <c r="AN515" s="62">
        <v>1413</v>
      </c>
      <c r="AO515" s="62">
        <v>2345</v>
      </c>
      <c r="AP515" s="62">
        <v>2990</v>
      </c>
      <c r="AQ515" s="62">
        <v>3208</v>
      </c>
      <c r="AR515" s="62">
        <v>3113</v>
      </c>
      <c r="AS515" s="62">
        <v>3402</v>
      </c>
      <c r="AT515" s="62">
        <v>3829</v>
      </c>
      <c r="AU515" s="62">
        <v>3584</v>
      </c>
      <c r="AV515" s="220">
        <v>3552</v>
      </c>
      <c r="AW515" s="62">
        <v>3339.8048472754817</v>
      </c>
      <c r="AX515" s="62">
        <v>3400.9221364868781</v>
      </c>
      <c r="AY515" s="62">
        <v>3370.3562821550863</v>
      </c>
      <c r="AZ515" s="62">
        <v>3455.3585063277633</v>
      </c>
      <c r="BA515" s="62">
        <v>3353.7458863584734</v>
      </c>
      <c r="BB515" s="62">
        <v>3528.6675137427128</v>
      </c>
      <c r="BC515" s="62">
        <v>3402.7856275564777</v>
      </c>
      <c r="BD515" s="62">
        <v>3666.6348811635917</v>
      </c>
      <c r="BE515" s="62">
        <v>3562.4654742592793</v>
      </c>
      <c r="BF515" s="62">
        <v>3852.1516783086417</v>
      </c>
      <c r="BG515" s="62">
        <v>3766.5617426616791</v>
      </c>
      <c r="BH515" s="62">
        <v>3571.0679636078112</v>
      </c>
      <c r="BI515" s="62">
        <v>2946.5628479563834</v>
      </c>
      <c r="BJ515" s="62">
        <v>3202.9423173345622</v>
      </c>
      <c r="BK515" s="62">
        <v>3615.4726719421592</v>
      </c>
      <c r="BL515" s="62">
        <v>4360.9817773141249</v>
      </c>
      <c r="BM515" s="62">
        <v>4260.2184166617681</v>
      </c>
      <c r="BN515" s="62">
        <v>4542.2675708974803</v>
      </c>
      <c r="BO515" s="62">
        <v>4384.7461678029813</v>
      </c>
      <c r="BP515" s="62"/>
      <c r="BQ515" s="62">
        <v>-657.9</v>
      </c>
      <c r="BR515" s="62">
        <v>380.1</v>
      </c>
      <c r="BS515" s="62">
        <v>723</v>
      </c>
      <c r="BT515" s="62">
        <v>953</v>
      </c>
      <c r="BU515" s="62">
        <v>1116</v>
      </c>
      <c r="BV515" s="62">
        <v>1171</v>
      </c>
      <c r="BW515" s="62">
        <v>1175</v>
      </c>
      <c r="BX515" s="62">
        <v>1408</v>
      </c>
      <c r="BY515" s="62">
        <v>1613</v>
      </c>
      <c r="BZ515" s="62">
        <v>1768</v>
      </c>
      <c r="CA515" s="62">
        <v>2051</v>
      </c>
      <c r="CB515" s="62">
        <v>2246</v>
      </c>
      <c r="CC515" s="62">
        <v>2633</v>
      </c>
      <c r="CD515" s="62">
        <v>3132.9999999999991</v>
      </c>
      <c r="CE515" s="62">
        <v>3559.9999999999995</v>
      </c>
      <c r="CF515" s="62">
        <v>3886.9999999999995</v>
      </c>
      <c r="CG515" s="62">
        <v>3230.9999999999995</v>
      </c>
      <c r="CH515" s="62">
        <v>3350</v>
      </c>
      <c r="CI515" s="62">
        <v>5122</v>
      </c>
      <c r="CJ515" s="62">
        <v>5455</v>
      </c>
      <c r="CK515" s="62">
        <v>6039</v>
      </c>
      <c r="CL515" s="62">
        <v>6486</v>
      </c>
      <c r="CM515" s="62">
        <v>7111</v>
      </c>
      <c r="CN515" s="62">
        <v>7215</v>
      </c>
      <c r="CO515" s="62">
        <v>5889</v>
      </c>
      <c r="CP515" s="62">
        <v>6809</v>
      </c>
      <c r="CQ515" s="62">
        <v>6487</v>
      </c>
      <c r="CR515" s="62">
        <v>6470</v>
      </c>
      <c r="CS515" s="62">
        <v>3758</v>
      </c>
      <c r="CT515" s="62">
        <v>6198</v>
      </c>
      <c r="CU515" s="62">
        <v>6515</v>
      </c>
      <c r="CV515" s="220">
        <v>7413</v>
      </c>
      <c r="CW515" s="62">
        <v>6891.8048472754817</v>
      </c>
      <c r="CX515" s="62">
        <v>6771.2784186419667</v>
      </c>
      <c r="CY515" s="62">
        <v>6809.1043926862394</v>
      </c>
      <c r="CZ515" s="62">
        <v>6931.4531412991919</v>
      </c>
      <c r="DA515" s="62">
        <v>7229.1003554228701</v>
      </c>
      <c r="DB515" s="62">
        <v>7618.7134209703245</v>
      </c>
      <c r="DC515" s="62">
        <v>6517.6308115641941</v>
      </c>
      <c r="DD515" s="62">
        <v>6818.41498927672</v>
      </c>
      <c r="DE515" s="62">
        <v>8621.200193975892</v>
      </c>
      <c r="DF515" s="62">
        <v>8927.0137387004615</v>
      </c>
    </row>
    <row r="516" spans="1:110" ht="12" hidden="1" outlineLevel="2">
      <c r="A516" s="1" t="s">
        <v>398</v>
      </c>
      <c r="B516" s="15" t="s">
        <v>857</v>
      </c>
      <c r="C516" s="41">
        <v>0</v>
      </c>
      <c r="D516" s="41">
        <v>0</v>
      </c>
      <c r="E516" s="41">
        <v>0</v>
      </c>
      <c r="F516" s="41">
        <v>0</v>
      </c>
      <c r="G516" s="41">
        <v>0</v>
      </c>
      <c r="H516" s="41">
        <v>0</v>
      </c>
      <c r="I516" s="41">
        <v>0</v>
      </c>
      <c r="J516" s="41">
        <v>0</v>
      </c>
      <c r="K516" s="41">
        <v>0</v>
      </c>
      <c r="L516" s="41">
        <v>0</v>
      </c>
      <c r="M516" s="41">
        <v>0</v>
      </c>
      <c r="N516" s="41">
        <v>0</v>
      </c>
      <c r="O516" s="41">
        <v>0</v>
      </c>
      <c r="P516" s="41">
        <v>1</v>
      </c>
      <c r="Q516" s="41">
        <v>4</v>
      </c>
      <c r="R516" s="41">
        <v>0</v>
      </c>
      <c r="S516" s="41">
        <v>0</v>
      </c>
      <c r="T516" s="41">
        <v>-1</v>
      </c>
      <c r="U516" s="41">
        <v>-9</v>
      </c>
      <c r="V516" s="41">
        <v>0</v>
      </c>
      <c r="W516" s="41">
        <v>0</v>
      </c>
      <c r="X516" s="41">
        <v>0</v>
      </c>
      <c r="Y516" s="41">
        <v>0</v>
      </c>
      <c r="Z516" s="41">
        <v>0</v>
      </c>
      <c r="AA516" s="41">
        <v>0</v>
      </c>
      <c r="AB516" s="41">
        <v>0</v>
      </c>
      <c r="AC516" s="41">
        <v>0</v>
      </c>
      <c r="AD516" s="41">
        <v>0</v>
      </c>
      <c r="AE516" s="41">
        <v>0</v>
      </c>
      <c r="AF516" s="41">
        <v>0</v>
      </c>
      <c r="AG516" s="41">
        <v>0</v>
      </c>
      <c r="AH516" s="41">
        <v>0</v>
      </c>
      <c r="AI516" s="41">
        <v>0</v>
      </c>
      <c r="AJ516" s="41">
        <v>0</v>
      </c>
      <c r="AK516" s="41">
        <v>0</v>
      </c>
      <c r="AL516" s="41">
        <v>0</v>
      </c>
      <c r="AM516" s="41">
        <v>0</v>
      </c>
      <c r="AN516" s="41">
        <v>0</v>
      </c>
      <c r="AO516" s="41">
        <v>0</v>
      </c>
      <c r="AP516" s="41">
        <v>0</v>
      </c>
      <c r="AQ516" s="41">
        <v>0</v>
      </c>
      <c r="AR516" s="41">
        <v>0</v>
      </c>
      <c r="AS516" s="41">
        <v>0</v>
      </c>
      <c r="AT516" s="41">
        <v>0</v>
      </c>
      <c r="AU516" s="41">
        <v>0</v>
      </c>
      <c r="AV516" s="211">
        <v>0</v>
      </c>
      <c r="AW516" s="41">
        <v>0</v>
      </c>
      <c r="AX516" s="41">
        <v>0</v>
      </c>
      <c r="AY516" s="41">
        <v>0</v>
      </c>
      <c r="AZ516" s="41">
        <v>0</v>
      </c>
      <c r="BA516" s="41">
        <v>0</v>
      </c>
      <c r="BB516" s="41">
        <v>0</v>
      </c>
      <c r="BC516" s="41">
        <v>0</v>
      </c>
      <c r="BD516" s="41">
        <v>0</v>
      </c>
      <c r="BE516" s="41">
        <v>0</v>
      </c>
      <c r="BF516" s="41">
        <v>0</v>
      </c>
      <c r="BG516" s="41">
        <v>0</v>
      </c>
      <c r="BH516" s="41">
        <v>0</v>
      </c>
      <c r="BI516" s="41">
        <v>0</v>
      </c>
      <c r="BJ516" s="41">
        <v>0</v>
      </c>
      <c r="BK516" s="41">
        <v>0</v>
      </c>
      <c r="BL516" s="41">
        <v>0</v>
      </c>
      <c r="BM516" s="41">
        <v>0</v>
      </c>
      <c r="BN516" s="41">
        <v>0</v>
      </c>
      <c r="BO516" s="41">
        <v>0</v>
      </c>
      <c r="BP516" s="41"/>
      <c r="BQ516" s="41">
        <v>0</v>
      </c>
      <c r="BR516" s="41">
        <v>0</v>
      </c>
      <c r="BS516" s="41">
        <v>0</v>
      </c>
      <c r="BT516" s="41">
        <v>0</v>
      </c>
      <c r="BU516" s="41">
        <v>0</v>
      </c>
      <c r="BV516" s="41">
        <v>0</v>
      </c>
      <c r="BW516" s="41">
        <v>0</v>
      </c>
      <c r="BX516" s="41">
        <v>0</v>
      </c>
      <c r="BY516" s="41">
        <v>0</v>
      </c>
      <c r="BZ516" s="41">
        <v>0</v>
      </c>
      <c r="CA516" s="41">
        <v>0</v>
      </c>
      <c r="CB516" s="41">
        <v>0</v>
      </c>
      <c r="CC516" s="41">
        <v>0</v>
      </c>
      <c r="CD516" s="41">
        <v>0</v>
      </c>
      <c r="CE516" s="41">
        <v>0</v>
      </c>
      <c r="CF516" s="41">
        <v>0</v>
      </c>
      <c r="CG516" s="41">
        <v>5</v>
      </c>
      <c r="CH516" s="41">
        <v>0</v>
      </c>
      <c r="CI516" s="41">
        <v>-10</v>
      </c>
      <c r="CJ516" s="41">
        <v>0</v>
      </c>
      <c r="CK516" s="41">
        <v>0</v>
      </c>
      <c r="CL516" s="41">
        <v>0</v>
      </c>
      <c r="CM516" s="41">
        <v>0</v>
      </c>
      <c r="CN516" s="41">
        <v>0</v>
      </c>
      <c r="CO516" s="41">
        <v>0</v>
      </c>
      <c r="CP516" s="41">
        <v>0</v>
      </c>
      <c r="CQ516" s="41">
        <v>0</v>
      </c>
      <c r="CR516" s="41">
        <v>0</v>
      </c>
      <c r="CS516" s="41">
        <v>0</v>
      </c>
      <c r="CT516" s="41">
        <v>0</v>
      </c>
      <c r="CU516" s="41">
        <v>0</v>
      </c>
      <c r="CV516" s="211">
        <v>0</v>
      </c>
      <c r="CW516" s="41">
        <v>0</v>
      </c>
      <c r="CX516" s="41">
        <v>0</v>
      </c>
      <c r="CY516" s="41">
        <v>0</v>
      </c>
      <c r="CZ516" s="41">
        <v>0</v>
      </c>
      <c r="DA516" s="41">
        <v>0</v>
      </c>
      <c r="DB516" s="41">
        <v>0</v>
      </c>
      <c r="DC516" s="41">
        <v>0</v>
      </c>
      <c r="DD516" s="41">
        <v>0</v>
      </c>
      <c r="DE516" s="41">
        <v>0</v>
      </c>
      <c r="DF516" s="41">
        <v>0</v>
      </c>
    </row>
    <row r="517" spans="1:110" ht="12" hidden="1" outlineLevel="2">
      <c r="A517" s="1" t="s">
        <v>399</v>
      </c>
      <c r="B517" s="15" t="s">
        <v>447</v>
      </c>
      <c r="C517" s="41">
        <v>0</v>
      </c>
      <c r="D517" s="41">
        <v>0</v>
      </c>
      <c r="E517" s="41">
        <v>0</v>
      </c>
      <c r="F517" s="41">
        <v>0</v>
      </c>
      <c r="G517" s="41">
        <v>0</v>
      </c>
      <c r="H517" s="41">
        <v>0</v>
      </c>
      <c r="I517" s="41">
        <v>0</v>
      </c>
      <c r="J517" s="41">
        <v>0</v>
      </c>
      <c r="K517" s="41">
        <v>0</v>
      </c>
      <c r="L517" s="41">
        <v>0</v>
      </c>
      <c r="M517" s="41">
        <v>0</v>
      </c>
      <c r="N517" s="41">
        <v>0</v>
      </c>
      <c r="O517" s="41">
        <v>0</v>
      </c>
      <c r="P517" s="41">
        <v>-77</v>
      </c>
      <c r="Q517" s="41">
        <v>519</v>
      </c>
      <c r="R517" s="41">
        <v>1155</v>
      </c>
      <c r="S517" s="41">
        <v>-728</v>
      </c>
      <c r="T517" s="41">
        <v>-82</v>
      </c>
      <c r="U517" s="41">
        <v>-26</v>
      </c>
      <c r="V517" s="41">
        <v>0</v>
      </c>
      <c r="W517" s="41">
        <v>0</v>
      </c>
      <c r="X517" s="41">
        <v>0</v>
      </c>
      <c r="Y517" s="41">
        <v>0</v>
      </c>
      <c r="Z517" s="41">
        <v>0</v>
      </c>
      <c r="AA517" s="41">
        <v>0</v>
      </c>
      <c r="AB517" s="41">
        <v>0</v>
      </c>
      <c r="AC517" s="41">
        <v>0</v>
      </c>
      <c r="AD517" s="41">
        <v>0</v>
      </c>
      <c r="AE517" s="41">
        <v>0</v>
      </c>
      <c r="AF517" s="41">
        <v>0</v>
      </c>
      <c r="AG517" s="41">
        <v>0</v>
      </c>
      <c r="AH517" s="41">
        <v>0</v>
      </c>
      <c r="AI517" s="41">
        <v>0</v>
      </c>
      <c r="AJ517" s="41">
        <v>0</v>
      </c>
      <c r="AK517" s="41">
        <v>0</v>
      </c>
      <c r="AL517" s="41">
        <v>0</v>
      </c>
      <c r="AM517" s="41">
        <v>0</v>
      </c>
      <c r="AN517" s="41">
        <v>0</v>
      </c>
      <c r="AO517" s="41">
        <v>0</v>
      </c>
      <c r="AP517" s="41">
        <v>0</v>
      </c>
      <c r="AQ517" s="41">
        <v>0</v>
      </c>
      <c r="AR517" s="41">
        <v>0</v>
      </c>
      <c r="AS517" s="41">
        <v>0</v>
      </c>
      <c r="AT517" s="41">
        <v>0</v>
      </c>
      <c r="AU517" s="41">
        <v>0</v>
      </c>
      <c r="AV517" s="211">
        <v>0</v>
      </c>
      <c r="AW517" s="41">
        <v>0</v>
      </c>
      <c r="AX517" s="41">
        <v>0</v>
      </c>
      <c r="AY517" s="41">
        <v>0</v>
      </c>
      <c r="AZ517" s="41">
        <v>0</v>
      </c>
      <c r="BA517" s="41">
        <v>0</v>
      </c>
      <c r="BB517" s="41">
        <v>0</v>
      </c>
      <c r="BC517" s="41">
        <v>0</v>
      </c>
      <c r="BD517" s="41">
        <v>0</v>
      </c>
      <c r="BE517" s="41">
        <v>0</v>
      </c>
      <c r="BF517" s="41">
        <v>0</v>
      </c>
      <c r="BG517" s="41">
        <v>0</v>
      </c>
      <c r="BH517" s="41">
        <v>0</v>
      </c>
      <c r="BI517" s="41">
        <v>0</v>
      </c>
      <c r="BJ517" s="41">
        <v>0</v>
      </c>
      <c r="BK517" s="41">
        <v>0</v>
      </c>
      <c r="BL517" s="41">
        <v>0</v>
      </c>
      <c r="BM517" s="41">
        <v>0</v>
      </c>
      <c r="BN517" s="41">
        <v>0</v>
      </c>
      <c r="BO517" s="41">
        <v>0</v>
      </c>
      <c r="BP517" s="41"/>
      <c r="BQ517" s="41">
        <v>0</v>
      </c>
      <c r="BR517" s="41">
        <v>0</v>
      </c>
      <c r="BS517" s="41">
        <v>0</v>
      </c>
      <c r="BT517" s="41">
        <v>0</v>
      </c>
      <c r="BU517" s="41">
        <v>0</v>
      </c>
      <c r="BV517" s="41">
        <v>0</v>
      </c>
      <c r="BW517" s="41">
        <v>0</v>
      </c>
      <c r="BX517" s="41">
        <v>0</v>
      </c>
      <c r="BY517" s="41">
        <v>0</v>
      </c>
      <c r="BZ517" s="41">
        <v>0</v>
      </c>
      <c r="CA517" s="41">
        <v>0</v>
      </c>
      <c r="CB517" s="41">
        <v>0</v>
      </c>
      <c r="CC517" s="41">
        <v>0</v>
      </c>
      <c r="CD517" s="41">
        <v>0</v>
      </c>
      <c r="CE517" s="41">
        <v>0</v>
      </c>
      <c r="CF517" s="41">
        <v>0</v>
      </c>
      <c r="CG517" s="41">
        <v>442</v>
      </c>
      <c r="CH517" s="41">
        <v>427</v>
      </c>
      <c r="CI517" s="41">
        <v>-108</v>
      </c>
      <c r="CJ517" s="41">
        <v>0</v>
      </c>
      <c r="CK517" s="41">
        <v>0</v>
      </c>
      <c r="CL517" s="41">
        <v>0</v>
      </c>
      <c r="CM517" s="41">
        <v>0</v>
      </c>
      <c r="CN517" s="41">
        <v>0</v>
      </c>
      <c r="CO517" s="41">
        <v>0</v>
      </c>
      <c r="CP517" s="41">
        <v>0</v>
      </c>
      <c r="CQ517" s="41">
        <v>0</v>
      </c>
      <c r="CR517" s="41">
        <v>0</v>
      </c>
      <c r="CS517" s="41">
        <v>0</v>
      </c>
      <c r="CT517" s="41">
        <v>0</v>
      </c>
      <c r="CU517" s="41">
        <v>0</v>
      </c>
      <c r="CV517" s="211">
        <v>0</v>
      </c>
      <c r="CW517" s="41">
        <v>0</v>
      </c>
      <c r="CX517" s="41">
        <v>0</v>
      </c>
      <c r="CY517" s="41">
        <v>0</v>
      </c>
      <c r="CZ517" s="41">
        <v>0</v>
      </c>
      <c r="DA517" s="41">
        <v>0</v>
      </c>
      <c r="DB517" s="41">
        <v>0</v>
      </c>
      <c r="DC517" s="41">
        <v>0</v>
      </c>
      <c r="DD517" s="41">
        <v>0</v>
      </c>
      <c r="DE517" s="41">
        <v>0</v>
      </c>
      <c r="DF517" s="41">
        <v>0</v>
      </c>
    </row>
    <row r="518" spans="1:110" ht="12" hidden="1" outlineLevel="2">
      <c r="A518" s="1" t="s">
        <v>331</v>
      </c>
      <c r="B518" s="15" t="s">
        <v>370</v>
      </c>
      <c r="C518" s="41">
        <v>0</v>
      </c>
      <c r="D518" s="41">
        <v>0</v>
      </c>
      <c r="E518" s="41">
        <v>0</v>
      </c>
      <c r="F518" s="41">
        <v>0</v>
      </c>
      <c r="G518" s="41">
        <v>0</v>
      </c>
      <c r="H518" s="41">
        <v>0</v>
      </c>
      <c r="I518" s="41">
        <v>0</v>
      </c>
      <c r="J518" s="41">
        <v>0</v>
      </c>
      <c r="K518" s="41">
        <v>0</v>
      </c>
      <c r="L518" s="41">
        <v>0</v>
      </c>
      <c r="M518" s="41">
        <v>0</v>
      </c>
      <c r="N518" s="41">
        <v>0</v>
      </c>
      <c r="O518" s="41">
        <v>0</v>
      </c>
      <c r="P518" s="41">
        <v>12</v>
      </c>
      <c r="Q518" s="41">
        <v>26</v>
      </c>
      <c r="R518" s="41">
        <v>122</v>
      </c>
      <c r="S518" s="41">
        <v>11</v>
      </c>
      <c r="T518" s="41">
        <v>7</v>
      </c>
      <c r="U518" s="41">
        <v>7</v>
      </c>
      <c r="V518" s="41">
        <v>0</v>
      </c>
      <c r="W518" s="41">
        <v>0</v>
      </c>
      <c r="X518" s="41">
        <v>0</v>
      </c>
      <c r="Y518" s="41">
        <v>-273</v>
      </c>
      <c r="Z518" s="41">
        <v>0</v>
      </c>
      <c r="AA518" s="41">
        <v>0</v>
      </c>
      <c r="AB518" s="41">
        <v>0</v>
      </c>
      <c r="AC518" s="41">
        <v>0</v>
      </c>
      <c r="AD518" s="41">
        <v>0</v>
      </c>
      <c r="AE518" s="41">
        <v>0</v>
      </c>
      <c r="AF518" s="41">
        <v>0</v>
      </c>
      <c r="AG518" s="41">
        <v>0</v>
      </c>
      <c r="AH518" s="41">
        <v>0</v>
      </c>
      <c r="AI518" s="41">
        <v>0</v>
      </c>
      <c r="AJ518" s="41">
        <v>0</v>
      </c>
      <c r="AK518" s="41">
        <v>0</v>
      </c>
      <c r="AL518" s="41">
        <v>0</v>
      </c>
      <c r="AM518" s="41">
        <v>0</v>
      </c>
      <c r="AN518" s="41">
        <v>0</v>
      </c>
      <c r="AO518" s="41">
        <v>0</v>
      </c>
      <c r="AP518" s="41">
        <v>0</v>
      </c>
      <c r="AQ518" s="41">
        <v>0</v>
      </c>
      <c r="AR518" s="41">
        <v>0</v>
      </c>
      <c r="AS518" s="41">
        <v>0</v>
      </c>
      <c r="AT518" s="41">
        <v>0</v>
      </c>
      <c r="AU518" s="41">
        <v>0</v>
      </c>
      <c r="AV518" s="211">
        <v>0</v>
      </c>
      <c r="AW518" s="41">
        <v>0</v>
      </c>
      <c r="AX518" s="41">
        <v>0</v>
      </c>
      <c r="AY518" s="41">
        <v>0</v>
      </c>
      <c r="AZ518" s="41">
        <v>0</v>
      </c>
      <c r="BA518" s="41">
        <v>0</v>
      </c>
      <c r="BB518" s="41">
        <v>0</v>
      </c>
      <c r="BC518" s="41">
        <v>0</v>
      </c>
      <c r="BD518" s="41">
        <v>0</v>
      </c>
      <c r="BE518" s="41">
        <v>0</v>
      </c>
      <c r="BF518" s="41">
        <v>0</v>
      </c>
      <c r="BG518" s="41">
        <v>0</v>
      </c>
      <c r="BH518" s="41">
        <v>0</v>
      </c>
      <c r="BI518" s="41">
        <v>0</v>
      </c>
      <c r="BJ518" s="41">
        <v>0</v>
      </c>
      <c r="BK518" s="41">
        <v>0</v>
      </c>
      <c r="BL518" s="41">
        <v>0</v>
      </c>
      <c r="BM518" s="41">
        <v>0</v>
      </c>
      <c r="BN518" s="41">
        <v>0</v>
      </c>
      <c r="BO518" s="41">
        <v>0</v>
      </c>
      <c r="BP518" s="41"/>
      <c r="BQ518" s="41">
        <v>0</v>
      </c>
      <c r="BR518" s="41">
        <v>0</v>
      </c>
      <c r="BS518" s="41">
        <v>0</v>
      </c>
      <c r="BT518" s="41">
        <v>0</v>
      </c>
      <c r="BU518" s="41">
        <v>0</v>
      </c>
      <c r="BV518" s="41">
        <v>0</v>
      </c>
      <c r="BW518" s="41">
        <v>0</v>
      </c>
      <c r="BX518" s="41">
        <v>0</v>
      </c>
      <c r="BY518" s="41">
        <v>0</v>
      </c>
      <c r="BZ518" s="41">
        <v>0</v>
      </c>
      <c r="CA518" s="41">
        <v>0</v>
      </c>
      <c r="CB518" s="41">
        <v>0</v>
      </c>
      <c r="CC518" s="41">
        <v>0</v>
      </c>
      <c r="CD518" s="41">
        <v>0</v>
      </c>
      <c r="CE518" s="41">
        <v>0</v>
      </c>
      <c r="CF518" s="41">
        <v>0</v>
      </c>
      <c r="CG518" s="41">
        <v>38</v>
      </c>
      <c r="CH518" s="41">
        <v>133</v>
      </c>
      <c r="CI518" s="41">
        <v>14</v>
      </c>
      <c r="CJ518" s="41">
        <v>0</v>
      </c>
      <c r="CK518" s="41">
        <v>-273</v>
      </c>
      <c r="CL518" s="41">
        <v>0</v>
      </c>
      <c r="CM518" s="41">
        <v>0</v>
      </c>
      <c r="CN518" s="41">
        <v>0</v>
      </c>
      <c r="CO518" s="41">
        <v>0</v>
      </c>
      <c r="CP518" s="41">
        <v>0</v>
      </c>
      <c r="CQ518" s="41">
        <v>0</v>
      </c>
      <c r="CR518" s="41">
        <v>0</v>
      </c>
      <c r="CS518" s="41">
        <v>0</v>
      </c>
      <c r="CT518" s="41">
        <v>0</v>
      </c>
      <c r="CU518" s="41">
        <v>0</v>
      </c>
      <c r="CV518" s="211">
        <v>0</v>
      </c>
      <c r="CW518" s="41">
        <v>0</v>
      </c>
      <c r="CX518" s="41">
        <v>0</v>
      </c>
      <c r="CY518" s="41">
        <v>0</v>
      </c>
      <c r="CZ518" s="41">
        <v>0</v>
      </c>
      <c r="DA518" s="41">
        <v>0</v>
      </c>
      <c r="DB518" s="41">
        <v>0</v>
      </c>
      <c r="DC518" s="41">
        <v>0</v>
      </c>
      <c r="DD518" s="41">
        <v>0</v>
      </c>
      <c r="DE518" s="41">
        <v>0</v>
      </c>
      <c r="DF518" s="41">
        <v>0</v>
      </c>
    </row>
    <row r="519" spans="1:110" ht="12" hidden="1" outlineLevel="2">
      <c r="A519" s="1" t="s">
        <v>332</v>
      </c>
      <c r="B519" s="15" t="s">
        <v>371</v>
      </c>
      <c r="C519" s="41">
        <v>0</v>
      </c>
      <c r="D519" s="41">
        <v>0</v>
      </c>
      <c r="E519" s="41">
        <v>0</v>
      </c>
      <c r="F519" s="41">
        <v>0</v>
      </c>
      <c r="G519" s="41">
        <v>0</v>
      </c>
      <c r="H519" s="41">
        <v>0</v>
      </c>
      <c r="I519" s="41">
        <v>0</v>
      </c>
      <c r="J519" s="41">
        <v>0</v>
      </c>
      <c r="K519" s="41">
        <v>0</v>
      </c>
      <c r="L519" s="41">
        <v>0</v>
      </c>
      <c r="M519" s="41">
        <v>0</v>
      </c>
      <c r="N519" s="41">
        <v>0</v>
      </c>
      <c r="O519" s="41">
        <v>0</v>
      </c>
      <c r="P519" s="41">
        <v>-45</v>
      </c>
      <c r="Q519" s="41">
        <v>-97</v>
      </c>
      <c r="R519" s="41">
        <v>-62</v>
      </c>
      <c r="S519" s="41">
        <v>11</v>
      </c>
      <c r="T519" s="41">
        <v>-16</v>
      </c>
      <c r="U519" s="41">
        <v>-17</v>
      </c>
      <c r="V519" s="41">
        <v>0</v>
      </c>
      <c r="W519" s="41">
        <v>0</v>
      </c>
      <c r="X519" s="41">
        <v>0</v>
      </c>
      <c r="Y519" s="41">
        <v>0</v>
      </c>
      <c r="Z519" s="41">
        <v>0</v>
      </c>
      <c r="AA519" s="41">
        <v>0</v>
      </c>
      <c r="AB519" s="41">
        <v>0</v>
      </c>
      <c r="AC519" s="41">
        <v>0</v>
      </c>
      <c r="AD519" s="41">
        <v>0</v>
      </c>
      <c r="AE519" s="41">
        <v>0</v>
      </c>
      <c r="AF519" s="41">
        <v>0</v>
      </c>
      <c r="AG519" s="41">
        <v>0</v>
      </c>
      <c r="AH519" s="41">
        <v>0</v>
      </c>
      <c r="AI519" s="41">
        <v>0</v>
      </c>
      <c r="AJ519" s="41">
        <v>0</v>
      </c>
      <c r="AK519" s="41">
        <v>0</v>
      </c>
      <c r="AL519" s="41">
        <v>0</v>
      </c>
      <c r="AM519" s="41">
        <v>0</v>
      </c>
      <c r="AN519" s="41">
        <v>0</v>
      </c>
      <c r="AO519" s="41">
        <v>0</v>
      </c>
      <c r="AP519" s="41">
        <v>0</v>
      </c>
      <c r="AQ519" s="41">
        <v>0</v>
      </c>
      <c r="AR519" s="41">
        <v>0</v>
      </c>
      <c r="AS519" s="41">
        <v>0</v>
      </c>
      <c r="AT519" s="41">
        <v>0</v>
      </c>
      <c r="AU519" s="41">
        <v>0</v>
      </c>
      <c r="AV519" s="211">
        <v>0</v>
      </c>
      <c r="AW519" s="41">
        <v>0</v>
      </c>
      <c r="AX519" s="41">
        <v>0</v>
      </c>
      <c r="AY519" s="41">
        <v>0</v>
      </c>
      <c r="AZ519" s="41">
        <v>0</v>
      </c>
      <c r="BA519" s="41">
        <v>0</v>
      </c>
      <c r="BB519" s="41">
        <v>0</v>
      </c>
      <c r="BC519" s="41">
        <v>0</v>
      </c>
      <c r="BD519" s="41">
        <v>0</v>
      </c>
      <c r="BE519" s="41">
        <v>0</v>
      </c>
      <c r="BF519" s="41">
        <v>0</v>
      </c>
      <c r="BG519" s="41">
        <v>0</v>
      </c>
      <c r="BH519" s="41">
        <v>0</v>
      </c>
      <c r="BI519" s="41">
        <v>0</v>
      </c>
      <c r="BJ519" s="41">
        <v>0</v>
      </c>
      <c r="BK519" s="41">
        <v>0</v>
      </c>
      <c r="BL519" s="41">
        <v>0</v>
      </c>
      <c r="BM519" s="41">
        <v>0</v>
      </c>
      <c r="BN519" s="41">
        <v>0</v>
      </c>
      <c r="BO519" s="41">
        <v>0</v>
      </c>
      <c r="BP519" s="41"/>
      <c r="BQ519" s="41">
        <v>0</v>
      </c>
      <c r="BR519" s="41">
        <v>0</v>
      </c>
      <c r="BS519" s="41">
        <v>0</v>
      </c>
      <c r="BT519" s="41">
        <v>0</v>
      </c>
      <c r="BU519" s="41">
        <v>0</v>
      </c>
      <c r="BV519" s="41">
        <v>0</v>
      </c>
      <c r="BW519" s="41">
        <v>0</v>
      </c>
      <c r="BX519" s="41">
        <v>0</v>
      </c>
      <c r="BY519" s="41">
        <v>0</v>
      </c>
      <c r="BZ519" s="41">
        <v>0</v>
      </c>
      <c r="CA519" s="41">
        <v>0</v>
      </c>
      <c r="CB519" s="41">
        <v>0</v>
      </c>
      <c r="CC519" s="41">
        <v>0</v>
      </c>
      <c r="CD519" s="41">
        <v>0</v>
      </c>
      <c r="CE519" s="41">
        <v>0</v>
      </c>
      <c r="CF519" s="41">
        <v>0</v>
      </c>
      <c r="CG519" s="41">
        <v>-142</v>
      </c>
      <c r="CH519" s="41">
        <v>-51</v>
      </c>
      <c r="CI519" s="41">
        <v>-33</v>
      </c>
      <c r="CJ519" s="41">
        <v>0</v>
      </c>
      <c r="CK519" s="41">
        <v>0</v>
      </c>
      <c r="CL519" s="41">
        <v>0</v>
      </c>
      <c r="CM519" s="41">
        <v>0</v>
      </c>
      <c r="CN519" s="41">
        <v>0</v>
      </c>
      <c r="CO519" s="41">
        <v>0</v>
      </c>
      <c r="CP519" s="41">
        <v>0</v>
      </c>
      <c r="CQ519" s="41">
        <v>0</v>
      </c>
      <c r="CR519" s="41">
        <v>0</v>
      </c>
      <c r="CS519" s="41">
        <v>0</v>
      </c>
      <c r="CT519" s="41">
        <v>0</v>
      </c>
      <c r="CU519" s="41">
        <v>0</v>
      </c>
      <c r="CV519" s="211">
        <v>0</v>
      </c>
      <c r="CW519" s="41">
        <v>0</v>
      </c>
      <c r="CX519" s="41">
        <v>0</v>
      </c>
      <c r="CY519" s="41">
        <v>0</v>
      </c>
      <c r="CZ519" s="41">
        <v>0</v>
      </c>
      <c r="DA519" s="41">
        <v>0</v>
      </c>
      <c r="DB519" s="41">
        <v>0</v>
      </c>
      <c r="DC519" s="41">
        <v>0</v>
      </c>
      <c r="DD519" s="41">
        <v>0</v>
      </c>
      <c r="DE519" s="41">
        <v>0</v>
      </c>
      <c r="DF519" s="41">
        <v>0</v>
      </c>
    </row>
    <row r="520" spans="1:110" ht="12" hidden="1" outlineLevel="2">
      <c r="A520" s="1" t="s">
        <v>960</v>
      </c>
      <c r="B520" s="15" t="s">
        <v>361</v>
      </c>
      <c r="C520" s="41">
        <v>0</v>
      </c>
      <c r="D520" s="41">
        <v>0</v>
      </c>
      <c r="E520" s="41">
        <v>0</v>
      </c>
      <c r="F520" s="41">
        <v>0</v>
      </c>
      <c r="G520" s="41">
        <v>0</v>
      </c>
      <c r="H520" s="41">
        <v>0</v>
      </c>
      <c r="I520" s="41">
        <v>0</v>
      </c>
      <c r="J520" s="41">
        <v>0</v>
      </c>
      <c r="K520" s="41">
        <v>0</v>
      </c>
      <c r="L520" s="41">
        <v>0</v>
      </c>
      <c r="M520" s="41">
        <v>0</v>
      </c>
      <c r="N520" s="41">
        <v>0</v>
      </c>
      <c r="O520" s="41">
        <v>0</v>
      </c>
      <c r="P520" s="41">
        <v>24</v>
      </c>
      <c r="Q520" s="41">
        <v>-218</v>
      </c>
      <c r="R520" s="41">
        <v>-262</v>
      </c>
      <c r="S520" s="41">
        <v>142</v>
      </c>
      <c r="T520" s="41">
        <v>14</v>
      </c>
      <c r="U520" s="41">
        <v>15</v>
      </c>
      <c r="V520" s="41">
        <v>0</v>
      </c>
      <c r="W520" s="41">
        <v>0</v>
      </c>
      <c r="X520" s="41">
        <v>0</v>
      </c>
      <c r="Y520" s="41">
        <v>53</v>
      </c>
      <c r="Z520" s="41">
        <v>0</v>
      </c>
      <c r="AA520" s="41">
        <v>0</v>
      </c>
      <c r="AB520" s="41">
        <v>0</v>
      </c>
      <c r="AC520" s="41">
        <v>0</v>
      </c>
      <c r="AD520" s="41">
        <v>0</v>
      </c>
      <c r="AE520" s="41">
        <v>0</v>
      </c>
      <c r="AF520" s="41">
        <v>0</v>
      </c>
      <c r="AG520" s="41">
        <v>0</v>
      </c>
      <c r="AH520" s="41">
        <v>0</v>
      </c>
      <c r="AI520" s="41">
        <v>0</v>
      </c>
      <c r="AJ520" s="41">
        <v>0</v>
      </c>
      <c r="AK520" s="41">
        <v>0</v>
      </c>
      <c r="AL520" s="41">
        <v>0</v>
      </c>
      <c r="AM520" s="41">
        <v>0</v>
      </c>
      <c r="AN520" s="41">
        <v>0</v>
      </c>
      <c r="AO520" s="41">
        <v>0</v>
      </c>
      <c r="AP520" s="41">
        <v>0</v>
      </c>
      <c r="AQ520" s="41">
        <v>0</v>
      </c>
      <c r="AR520" s="41">
        <v>0</v>
      </c>
      <c r="AS520" s="41">
        <v>0</v>
      </c>
      <c r="AT520" s="41">
        <v>0</v>
      </c>
      <c r="AU520" s="41">
        <v>0</v>
      </c>
      <c r="AV520" s="211">
        <v>0</v>
      </c>
      <c r="AW520" s="41">
        <v>0</v>
      </c>
      <c r="AX520" s="41">
        <v>0</v>
      </c>
      <c r="AY520" s="41">
        <v>0</v>
      </c>
      <c r="AZ520" s="41">
        <v>0</v>
      </c>
      <c r="BA520" s="41">
        <v>0</v>
      </c>
      <c r="BB520" s="41">
        <v>0</v>
      </c>
      <c r="BC520" s="41">
        <v>0</v>
      </c>
      <c r="BD520" s="41">
        <v>0</v>
      </c>
      <c r="BE520" s="41">
        <v>0</v>
      </c>
      <c r="BF520" s="41">
        <v>0</v>
      </c>
      <c r="BG520" s="41">
        <v>0</v>
      </c>
      <c r="BH520" s="41">
        <v>0</v>
      </c>
      <c r="BI520" s="41">
        <v>0</v>
      </c>
      <c r="BJ520" s="41">
        <v>0</v>
      </c>
      <c r="BK520" s="41">
        <v>0</v>
      </c>
      <c r="BL520" s="41">
        <v>0</v>
      </c>
      <c r="BM520" s="41">
        <v>0</v>
      </c>
      <c r="BN520" s="41">
        <v>0</v>
      </c>
      <c r="BO520" s="41">
        <v>0</v>
      </c>
      <c r="BP520" s="41"/>
      <c r="BQ520" s="41">
        <v>0</v>
      </c>
      <c r="BR520" s="41">
        <v>0</v>
      </c>
      <c r="BS520" s="41">
        <v>0</v>
      </c>
      <c r="BT520" s="41">
        <v>0</v>
      </c>
      <c r="BU520" s="41">
        <v>0</v>
      </c>
      <c r="BV520" s="41">
        <v>0</v>
      </c>
      <c r="BW520" s="41">
        <v>0</v>
      </c>
      <c r="BX520" s="41">
        <v>0</v>
      </c>
      <c r="BY520" s="41">
        <v>0</v>
      </c>
      <c r="BZ520" s="41">
        <v>0</v>
      </c>
      <c r="CA520" s="41">
        <v>0</v>
      </c>
      <c r="CB520" s="41">
        <v>0</v>
      </c>
      <c r="CC520" s="41">
        <v>0</v>
      </c>
      <c r="CD520" s="41">
        <v>0</v>
      </c>
      <c r="CE520" s="41">
        <v>0</v>
      </c>
      <c r="CF520" s="41">
        <v>0</v>
      </c>
      <c r="CG520" s="41">
        <v>-194</v>
      </c>
      <c r="CH520" s="41">
        <v>-120</v>
      </c>
      <c r="CI520" s="41">
        <v>29</v>
      </c>
      <c r="CJ520" s="41">
        <v>0</v>
      </c>
      <c r="CK520" s="41">
        <v>53</v>
      </c>
      <c r="CL520" s="41">
        <v>0</v>
      </c>
      <c r="CM520" s="41">
        <v>0</v>
      </c>
      <c r="CN520" s="41">
        <v>0</v>
      </c>
      <c r="CO520" s="41">
        <v>0</v>
      </c>
      <c r="CP520" s="41">
        <v>0</v>
      </c>
      <c r="CQ520" s="41">
        <v>0</v>
      </c>
      <c r="CR520" s="41">
        <v>0</v>
      </c>
      <c r="CS520" s="41">
        <v>0</v>
      </c>
      <c r="CT520" s="41">
        <v>0</v>
      </c>
      <c r="CU520" s="41">
        <v>0</v>
      </c>
      <c r="CV520" s="211">
        <v>0</v>
      </c>
      <c r="CW520" s="41">
        <v>0</v>
      </c>
      <c r="CX520" s="41">
        <v>0</v>
      </c>
      <c r="CY520" s="41">
        <v>0</v>
      </c>
      <c r="CZ520" s="41">
        <v>0</v>
      </c>
      <c r="DA520" s="41">
        <v>0</v>
      </c>
      <c r="DB520" s="41">
        <v>0</v>
      </c>
      <c r="DC520" s="41">
        <v>0</v>
      </c>
      <c r="DD520" s="41">
        <v>0</v>
      </c>
      <c r="DE520" s="41">
        <v>0</v>
      </c>
      <c r="DF520" s="41">
        <v>0</v>
      </c>
    </row>
    <row r="521" spans="1:110" s="17" customFormat="1" ht="12" hidden="1" outlineLevel="2">
      <c r="A521" s="1" t="s">
        <v>333</v>
      </c>
      <c r="B521" s="17" t="s">
        <v>279</v>
      </c>
      <c r="C521" s="62">
        <v>915</v>
      </c>
      <c r="D521" s="62">
        <v>1006</v>
      </c>
      <c r="E521" s="62">
        <v>1044.9999999999998</v>
      </c>
      <c r="F521" s="62">
        <v>1087.0000000000002</v>
      </c>
      <c r="G521" s="62">
        <v>1159</v>
      </c>
      <c r="H521" s="62">
        <v>1248</v>
      </c>
      <c r="I521" s="62">
        <v>1385.0000000000007</v>
      </c>
      <c r="J521" s="62">
        <v>1562.0000000000005</v>
      </c>
      <c r="K521" s="62">
        <v>1570.9999999999995</v>
      </c>
      <c r="L521" s="62">
        <v>1718.9999999999995</v>
      </c>
      <c r="M521" s="62">
        <v>1841</v>
      </c>
      <c r="N521" s="62">
        <v>1918.9999999999995</v>
      </c>
      <c r="O521" s="62">
        <v>1967.9999999999998</v>
      </c>
      <c r="P521" s="62">
        <v>1814.0000000000007</v>
      </c>
      <c r="Q521" s="62">
        <v>1566.0000000000005</v>
      </c>
      <c r="R521" s="62">
        <v>1883</v>
      </c>
      <c r="S521" s="62">
        <v>1856</v>
      </c>
      <c r="T521" s="62">
        <v>2292</v>
      </c>
      <c r="U521" s="62">
        <v>2722</v>
      </c>
      <c r="V521" s="62">
        <v>2717</v>
      </c>
      <c r="W521" s="62">
        <v>2738</v>
      </c>
      <c r="X521" s="62">
        <v>2889</v>
      </c>
      <c r="Y521" s="62">
        <v>2930</v>
      </c>
      <c r="Z521" s="62">
        <v>3176</v>
      </c>
      <c r="AA521" s="62">
        <v>3310</v>
      </c>
      <c r="AB521" s="62">
        <v>3512</v>
      </c>
      <c r="AC521" s="62">
        <v>3599</v>
      </c>
      <c r="AD521" s="62">
        <v>3675</v>
      </c>
      <c r="AE521" s="62">
        <v>3540</v>
      </c>
      <c r="AF521" s="62">
        <v>2782</v>
      </c>
      <c r="AG521" s="62">
        <v>3107</v>
      </c>
      <c r="AH521" s="62">
        <v>3355</v>
      </c>
      <c r="AI521" s="62">
        <v>3454</v>
      </c>
      <c r="AJ521" s="62">
        <v>3493</v>
      </c>
      <c r="AK521" s="62">
        <v>2994</v>
      </c>
      <c r="AL521" s="62">
        <v>3564</v>
      </c>
      <c r="AM521" s="62">
        <v>2906</v>
      </c>
      <c r="AN521" s="62">
        <v>1413</v>
      </c>
      <c r="AO521" s="62">
        <v>2345</v>
      </c>
      <c r="AP521" s="62">
        <v>2990</v>
      </c>
      <c r="AQ521" s="62">
        <v>3208</v>
      </c>
      <c r="AR521" s="62">
        <v>3113</v>
      </c>
      <c r="AS521" s="62">
        <v>3402</v>
      </c>
      <c r="AT521" s="62">
        <v>3829</v>
      </c>
      <c r="AU521" s="62">
        <v>3584</v>
      </c>
      <c r="AV521" s="220">
        <v>3552</v>
      </c>
      <c r="AW521" s="62">
        <v>3339.8048472754817</v>
      </c>
      <c r="AX521" s="62">
        <v>3400.9221364868781</v>
      </c>
      <c r="AY521" s="62">
        <v>3370.3562821550863</v>
      </c>
      <c r="AZ521" s="62">
        <v>3455.3585063277633</v>
      </c>
      <c r="BA521" s="62">
        <v>3353.7458863584734</v>
      </c>
      <c r="BB521" s="62">
        <v>3528.6675137427128</v>
      </c>
      <c r="BC521" s="62">
        <v>3402.7856275564777</v>
      </c>
      <c r="BD521" s="62">
        <v>3666.6348811635917</v>
      </c>
      <c r="BE521" s="62">
        <v>3562.4654742592793</v>
      </c>
      <c r="BF521" s="62">
        <v>3852.1516783086417</v>
      </c>
      <c r="BG521" s="62">
        <v>3766.5617426616791</v>
      </c>
      <c r="BH521" s="62">
        <v>3571.0679636078112</v>
      </c>
      <c r="BI521" s="62">
        <v>2946.5628479563834</v>
      </c>
      <c r="BJ521" s="62">
        <v>3202.9423173345622</v>
      </c>
      <c r="BK521" s="62">
        <v>3615.4726719421592</v>
      </c>
      <c r="BL521" s="62">
        <v>4360.9817773141249</v>
      </c>
      <c r="BM521" s="62">
        <v>4260.2184166617681</v>
      </c>
      <c r="BN521" s="62">
        <v>4542.2675708974803</v>
      </c>
      <c r="BO521" s="62">
        <v>4384.7461678029813</v>
      </c>
      <c r="BP521" s="62"/>
      <c r="BQ521" s="62">
        <v>-657.9</v>
      </c>
      <c r="BR521" s="62">
        <v>380.1</v>
      </c>
      <c r="BS521" s="62">
        <v>723</v>
      </c>
      <c r="BT521" s="62">
        <v>953</v>
      </c>
      <c r="BU521" s="62">
        <v>1116</v>
      </c>
      <c r="BV521" s="62">
        <v>1171</v>
      </c>
      <c r="BW521" s="62">
        <v>1175</v>
      </c>
      <c r="BX521" s="62">
        <v>1408</v>
      </c>
      <c r="BY521" s="62">
        <v>1613</v>
      </c>
      <c r="BZ521" s="62">
        <v>1768</v>
      </c>
      <c r="CA521" s="62">
        <v>2051</v>
      </c>
      <c r="CB521" s="62">
        <v>2246</v>
      </c>
      <c r="CC521" s="62">
        <v>2633.0000000000009</v>
      </c>
      <c r="CD521" s="62">
        <v>3133</v>
      </c>
      <c r="CE521" s="62">
        <v>3559.9999999999995</v>
      </c>
      <c r="CF521" s="62">
        <v>3886.9999999999991</v>
      </c>
      <c r="CG521" s="62">
        <v>3380.0000000000009</v>
      </c>
      <c r="CH521" s="62">
        <v>3739</v>
      </c>
      <c r="CI521" s="62">
        <v>5014</v>
      </c>
      <c r="CJ521" s="62">
        <v>5455</v>
      </c>
      <c r="CK521" s="62">
        <v>5819</v>
      </c>
      <c r="CL521" s="62">
        <v>6486</v>
      </c>
      <c r="CM521" s="62">
        <v>7111</v>
      </c>
      <c r="CN521" s="62">
        <v>7215</v>
      </c>
      <c r="CO521" s="62">
        <v>5889</v>
      </c>
      <c r="CP521" s="62">
        <v>6809</v>
      </c>
      <c r="CQ521" s="62">
        <v>6487</v>
      </c>
      <c r="CR521" s="62">
        <v>6470</v>
      </c>
      <c r="CS521" s="62">
        <v>3758</v>
      </c>
      <c r="CT521" s="62">
        <v>6198</v>
      </c>
      <c r="CU521" s="62">
        <v>6515</v>
      </c>
      <c r="CV521" s="220">
        <v>7413</v>
      </c>
      <c r="CW521" s="62">
        <v>6891.8048472754817</v>
      </c>
      <c r="CX521" s="62">
        <v>6771.2784186419649</v>
      </c>
      <c r="CY521" s="62">
        <v>6809.1043926862367</v>
      </c>
      <c r="CZ521" s="62">
        <v>6931.453141299191</v>
      </c>
      <c r="DA521" s="62">
        <v>7229.100355422871</v>
      </c>
      <c r="DB521" s="62">
        <v>7618.7134209703208</v>
      </c>
      <c r="DC521" s="62">
        <v>6517.630811564195</v>
      </c>
      <c r="DD521" s="62">
        <v>6818.4149892767218</v>
      </c>
      <c r="DE521" s="62">
        <v>8621.200193975892</v>
      </c>
      <c r="DF521" s="62">
        <v>8927.0137387004615</v>
      </c>
    </row>
    <row r="522" spans="1:110" ht="12" outlineLevel="1" collapsed="1">
      <c r="A522" s="1" t="s">
        <v>961</v>
      </c>
      <c r="B522" s="15" t="s">
        <v>258</v>
      </c>
      <c r="C522" s="41">
        <v>60</v>
      </c>
      <c r="D522" s="41">
        <v>60</v>
      </c>
      <c r="E522" s="41">
        <v>57</v>
      </c>
      <c r="F522" s="41">
        <v>54</v>
      </c>
      <c r="G522" s="41">
        <v>48</v>
      </c>
      <c r="H522" s="41">
        <v>64</v>
      </c>
      <c r="I522" s="41">
        <v>34</v>
      </c>
      <c r="J522" s="41">
        <v>6</v>
      </c>
      <c r="K522" s="41">
        <v>12</v>
      </c>
      <c r="L522" s="41">
        <v>12</v>
      </c>
      <c r="M522" s="41">
        <v>15</v>
      </c>
      <c r="N522" s="41">
        <v>17</v>
      </c>
      <c r="O522" s="41">
        <v>20</v>
      </c>
      <c r="P522" s="41">
        <v>23</v>
      </c>
      <c r="Q522" s="41">
        <v>23</v>
      </c>
      <c r="R522" s="41">
        <v>24</v>
      </c>
      <c r="S522" s="41">
        <v>9</v>
      </c>
      <c r="T522" s="41">
        <v>6</v>
      </c>
      <c r="U522" s="41">
        <v>5</v>
      </c>
      <c r="V522" s="41">
        <v>6</v>
      </c>
      <c r="W522" s="41">
        <v>6</v>
      </c>
      <c r="X522" s="41">
        <v>7</v>
      </c>
      <c r="Y522" s="41">
        <v>4</v>
      </c>
      <c r="Z522" s="41">
        <v>3</v>
      </c>
      <c r="AA522" s="41">
        <v>3</v>
      </c>
      <c r="AB522" s="41">
        <v>3</v>
      </c>
      <c r="AC522" s="41">
        <v>3</v>
      </c>
      <c r="AD522" s="41">
        <v>1</v>
      </c>
      <c r="AE522" s="41">
        <v>0</v>
      </c>
      <c r="AF522" s="41">
        <v>0</v>
      </c>
      <c r="AG522" s="41">
        <v>0</v>
      </c>
      <c r="AH522" s="41">
        <v>0</v>
      </c>
      <c r="AI522" s="41">
        <v>0</v>
      </c>
      <c r="AJ522" s="41">
        <v>0</v>
      </c>
      <c r="AK522" s="41">
        <v>0</v>
      </c>
      <c r="AL522" s="41">
        <v>0</v>
      </c>
      <c r="AM522" s="41">
        <v>0</v>
      </c>
      <c r="AN522" s="41">
        <v>0</v>
      </c>
      <c r="AO522" s="41">
        <v>0</v>
      </c>
      <c r="AP522" s="41">
        <v>0</v>
      </c>
      <c r="AQ522" s="41">
        <v>0</v>
      </c>
      <c r="AR522" s="41">
        <v>0</v>
      </c>
      <c r="AS522" s="41">
        <v>0</v>
      </c>
      <c r="AT522" s="41">
        <v>0</v>
      </c>
      <c r="AU522" s="41">
        <v>0</v>
      </c>
      <c r="AV522" s="211">
        <v>0</v>
      </c>
      <c r="AW522" s="41">
        <v>0</v>
      </c>
      <c r="AX522" s="41">
        <v>0</v>
      </c>
      <c r="AY522" s="41">
        <v>0</v>
      </c>
      <c r="AZ522" s="41">
        <v>0</v>
      </c>
      <c r="BA522" s="41">
        <v>0</v>
      </c>
      <c r="BB522" s="41">
        <v>0</v>
      </c>
      <c r="BC522" s="41">
        <v>0</v>
      </c>
      <c r="BD522" s="41">
        <v>0</v>
      </c>
      <c r="BE522" s="41">
        <v>0</v>
      </c>
      <c r="BF522" s="41">
        <v>0</v>
      </c>
      <c r="BG522" s="41">
        <v>0</v>
      </c>
      <c r="BH522" s="41">
        <v>0</v>
      </c>
      <c r="BI522" s="41">
        <v>0</v>
      </c>
      <c r="BJ522" s="41">
        <v>0</v>
      </c>
      <c r="BK522" s="41">
        <v>0</v>
      </c>
      <c r="BL522" s="41">
        <v>0</v>
      </c>
      <c r="BM522" s="41">
        <v>0</v>
      </c>
      <c r="BN522" s="41">
        <v>0</v>
      </c>
      <c r="BO522" s="41">
        <v>0</v>
      </c>
      <c r="BP522" s="41"/>
      <c r="BQ522" s="41">
        <v>79.400000000000006</v>
      </c>
      <c r="BR522" s="41">
        <v>79.400000000000006</v>
      </c>
      <c r="BS522" s="41">
        <v>80</v>
      </c>
      <c r="BT522" s="41">
        <v>80</v>
      </c>
      <c r="BU522" s="41">
        <v>0</v>
      </c>
      <c r="BV522" s="41">
        <v>0</v>
      </c>
      <c r="BW522" s="41">
        <v>0</v>
      </c>
      <c r="BX522" s="41">
        <v>72</v>
      </c>
      <c r="BY522" s="41">
        <v>102</v>
      </c>
      <c r="BZ522" s="41">
        <v>119</v>
      </c>
      <c r="CA522" s="41">
        <v>117</v>
      </c>
      <c r="CB522" s="41">
        <v>102</v>
      </c>
      <c r="CC522" s="41">
        <v>98</v>
      </c>
      <c r="CD522" s="41">
        <v>18</v>
      </c>
      <c r="CE522" s="41">
        <v>27</v>
      </c>
      <c r="CF522" s="41">
        <v>37</v>
      </c>
      <c r="CG522" s="41">
        <v>46</v>
      </c>
      <c r="CH522" s="41">
        <v>33</v>
      </c>
      <c r="CI522" s="41">
        <v>11</v>
      </c>
      <c r="CJ522" s="41">
        <v>12</v>
      </c>
      <c r="CK522" s="41">
        <v>11</v>
      </c>
      <c r="CL522" s="41">
        <v>6</v>
      </c>
      <c r="CM522" s="41">
        <v>6</v>
      </c>
      <c r="CN522" s="41">
        <v>1</v>
      </c>
      <c r="CO522" s="41">
        <v>0</v>
      </c>
      <c r="CP522" s="41">
        <v>0</v>
      </c>
      <c r="CQ522" s="41">
        <v>0</v>
      </c>
      <c r="CR522" s="41">
        <v>0</v>
      </c>
      <c r="CS522" s="41">
        <v>0</v>
      </c>
      <c r="CT522" s="41">
        <v>0</v>
      </c>
      <c r="CU522" s="41">
        <v>0</v>
      </c>
      <c r="CV522" s="211">
        <v>0</v>
      </c>
      <c r="CW522" s="41">
        <v>0</v>
      </c>
      <c r="CX522" s="41">
        <v>0</v>
      </c>
      <c r="CY522" s="41">
        <v>0</v>
      </c>
      <c r="CZ522" s="41">
        <v>0</v>
      </c>
      <c r="DA522" s="41">
        <v>0</v>
      </c>
      <c r="DB522" s="41">
        <v>0</v>
      </c>
      <c r="DC522" s="41">
        <v>0</v>
      </c>
      <c r="DD522" s="41">
        <v>0</v>
      </c>
      <c r="DE522" s="41">
        <v>0</v>
      </c>
      <c r="DF522" s="41">
        <v>0</v>
      </c>
    </row>
    <row r="523" spans="1:110" ht="12" outlineLevel="1">
      <c r="A523" s="1" t="s">
        <v>834</v>
      </c>
      <c r="B523" s="15" t="s">
        <v>280</v>
      </c>
      <c r="C523" s="40">
        <v>0</v>
      </c>
      <c r="D523" s="40">
        <v>0</v>
      </c>
      <c r="E523" s="40">
        <v>0</v>
      </c>
      <c r="F523" s="40">
        <v>0</v>
      </c>
      <c r="G523" s="40">
        <v>0</v>
      </c>
      <c r="H523" s="40">
        <v>0</v>
      </c>
      <c r="I523" s="40">
        <v>0</v>
      </c>
      <c r="J523" s="40">
        <v>2</v>
      </c>
      <c r="K523" s="40">
        <v>-9</v>
      </c>
      <c r="L523" s="40">
        <v>67</v>
      </c>
      <c r="M523" s="40">
        <v>0</v>
      </c>
      <c r="N523" s="40">
        <v>141</v>
      </c>
      <c r="O523" s="40">
        <v>30</v>
      </c>
      <c r="P523" s="40">
        <v>-16</v>
      </c>
      <c r="Q523" s="40">
        <v>-159</v>
      </c>
      <c r="R523" s="40">
        <v>-17</v>
      </c>
      <c r="S523" s="40">
        <v>-196</v>
      </c>
      <c r="T523" s="40">
        <v>-336</v>
      </c>
      <c r="U523" s="40">
        <v>-138</v>
      </c>
      <c r="V523" s="40">
        <v>22</v>
      </c>
      <c r="W523" s="40">
        <v>32</v>
      </c>
      <c r="X523" s="40">
        <v>-18</v>
      </c>
      <c r="Y523" s="40">
        <v>-195</v>
      </c>
      <c r="Z523" s="141">
        <v>-34</v>
      </c>
      <c r="AA523" s="141">
        <v>-46</v>
      </c>
      <c r="AB523" s="141">
        <v>-11</v>
      </c>
      <c r="AC523" s="141">
        <v>91</v>
      </c>
      <c r="AD523" s="141">
        <v>-172</v>
      </c>
      <c r="AE523" s="141">
        <v>181</v>
      </c>
      <c r="AF523" s="141">
        <v>41</v>
      </c>
      <c r="AG523" s="141">
        <v>-129</v>
      </c>
      <c r="AH523" s="141">
        <v>-154</v>
      </c>
      <c r="AI523" s="141">
        <v>52</v>
      </c>
      <c r="AJ523" s="141">
        <v>-503</v>
      </c>
      <c r="AK523" s="141">
        <v>83</v>
      </c>
      <c r="AL523" s="141">
        <v>-391</v>
      </c>
      <c r="AM523" s="141">
        <v>-126</v>
      </c>
      <c r="AN523" s="141">
        <v>132</v>
      </c>
      <c r="AO523" s="141">
        <v>-313</v>
      </c>
      <c r="AP523" s="141">
        <v>-47</v>
      </c>
      <c r="AQ523" s="141">
        <v>11</v>
      </c>
      <c r="AR523" s="141">
        <v>417</v>
      </c>
      <c r="AS523" s="141">
        <v>187</v>
      </c>
      <c r="AT523" s="141">
        <v>-274</v>
      </c>
      <c r="AU523" s="141">
        <v>-33</v>
      </c>
      <c r="AV523" s="226">
        <v>-145</v>
      </c>
      <c r="AW523" s="210">
        <v>0</v>
      </c>
      <c r="AX523" s="210">
        <v>0</v>
      </c>
      <c r="AY523" s="210">
        <v>0</v>
      </c>
      <c r="AZ523" s="210">
        <v>0</v>
      </c>
      <c r="BA523" s="210">
        <v>0</v>
      </c>
      <c r="BB523" s="210">
        <v>0</v>
      </c>
      <c r="BC523" s="210">
        <v>0</v>
      </c>
      <c r="BD523" s="210">
        <v>0</v>
      </c>
      <c r="BE523" s="210">
        <v>0</v>
      </c>
      <c r="BF523" s="210">
        <v>0</v>
      </c>
      <c r="BG523" s="210">
        <v>0</v>
      </c>
      <c r="BH523" s="210">
        <v>0</v>
      </c>
      <c r="BI523" s="210">
        <v>0</v>
      </c>
      <c r="BJ523" s="210">
        <v>0</v>
      </c>
      <c r="BK523" s="210">
        <v>0</v>
      </c>
      <c r="BL523" s="210">
        <v>0</v>
      </c>
      <c r="BM523" s="210">
        <v>0</v>
      </c>
      <c r="BN523" s="210">
        <v>0</v>
      </c>
      <c r="BO523" s="210">
        <v>0</v>
      </c>
      <c r="BP523" s="41">
        <v>0</v>
      </c>
      <c r="BQ523" s="40">
        <v>-0.9</v>
      </c>
      <c r="BR523" s="40">
        <v>-213.2</v>
      </c>
      <c r="BS523" s="40">
        <v>19</v>
      </c>
      <c r="BT523" s="40">
        <v>19</v>
      </c>
      <c r="BU523" s="40">
        <v>0</v>
      </c>
      <c r="BV523" s="40">
        <v>-147</v>
      </c>
      <c r="BW523" s="40">
        <v>-69</v>
      </c>
      <c r="BX523" s="40">
        <v>0</v>
      </c>
      <c r="BY523" s="40">
        <v>44</v>
      </c>
      <c r="BZ523" s="40">
        <v>0</v>
      </c>
      <c r="CA523" s="41">
        <v>0</v>
      </c>
      <c r="CB523" s="41">
        <v>0</v>
      </c>
      <c r="CC523" s="41">
        <v>0</v>
      </c>
      <c r="CD523" s="41">
        <v>-7</v>
      </c>
      <c r="CE523" s="41">
        <v>67</v>
      </c>
      <c r="CF523" s="41">
        <v>171</v>
      </c>
      <c r="CG523" s="41">
        <v>-175</v>
      </c>
      <c r="CH523" s="41">
        <v>-213</v>
      </c>
      <c r="CI523" s="41">
        <v>-474</v>
      </c>
      <c r="CJ523" s="41">
        <v>54</v>
      </c>
      <c r="CK523" s="41">
        <v>-213</v>
      </c>
      <c r="CL523" s="41">
        <v>-80</v>
      </c>
      <c r="CM523" s="41">
        <v>80</v>
      </c>
      <c r="CN523" s="41">
        <v>9</v>
      </c>
      <c r="CO523" s="41">
        <v>-88</v>
      </c>
      <c r="CP523" s="41">
        <v>-102</v>
      </c>
      <c r="CQ523" s="41">
        <v>-420</v>
      </c>
      <c r="CR523" s="41">
        <v>-517</v>
      </c>
      <c r="CS523" s="41">
        <v>-181</v>
      </c>
      <c r="CT523" s="41">
        <v>-36</v>
      </c>
      <c r="CU523" s="41">
        <v>604</v>
      </c>
      <c r="CV523" s="211">
        <v>-307</v>
      </c>
      <c r="CW523" s="41">
        <v>-145</v>
      </c>
      <c r="CX523" s="41">
        <v>0</v>
      </c>
      <c r="CY523" s="41">
        <v>0</v>
      </c>
      <c r="CZ523" s="41">
        <v>0</v>
      </c>
      <c r="DA523" s="41">
        <v>0</v>
      </c>
      <c r="DB523" s="41">
        <v>0</v>
      </c>
      <c r="DC523" s="41">
        <v>0</v>
      </c>
      <c r="DD523" s="41">
        <v>0</v>
      </c>
      <c r="DE523" s="41">
        <v>0</v>
      </c>
      <c r="DF523" s="41">
        <v>0</v>
      </c>
    </row>
    <row r="524" spans="1:110" ht="12" outlineLevel="1">
      <c r="A524" s="1" t="s">
        <v>835</v>
      </c>
      <c r="B524" s="15" t="s">
        <v>1070</v>
      </c>
      <c r="C524" s="40">
        <v>0</v>
      </c>
      <c r="D524" s="40">
        <v>-16</v>
      </c>
      <c r="E524" s="40">
        <v>170</v>
      </c>
      <c r="F524" s="40">
        <v>0</v>
      </c>
      <c r="G524" s="40">
        <v>0</v>
      </c>
      <c r="H524" s="40">
        <v>84</v>
      </c>
      <c r="I524" s="40">
        <v>0</v>
      </c>
      <c r="J524" s="40">
        <v>-15</v>
      </c>
      <c r="K524" s="40">
        <v>46</v>
      </c>
      <c r="L524" s="40">
        <v>13</v>
      </c>
      <c r="M524" s="40">
        <v>21</v>
      </c>
      <c r="N524" s="40">
        <v>25</v>
      </c>
      <c r="O524" s="40">
        <v>60</v>
      </c>
      <c r="P524" s="40">
        <v>57</v>
      </c>
      <c r="Q524" s="40">
        <v>160</v>
      </c>
      <c r="R524" s="40">
        <v>480</v>
      </c>
      <c r="S524" s="40">
        <v>-707</v>
      </c>
      <c r="T524" s="40">
        <v>-115</v>
      </c>
      <c r="U524" s="40">
        <v>-43</v>
      </c>
      <c r="V524" s="40">
        <v>-81</v>
      </c>
      <c r="W524" s="40">
        <v>-85</v>
      </c>
      <c r="X524" s="40">
        <v>41</v>
      </c>
      <c r="Y524" s="40">
        <v>-217</v>
      </c>
      <c r="Z524" s="141">
        <v>-208</v>
      </c>
      <c r="AA524" s="141">
        <v>62</v>
      </c>
      <c r="AB524" s="141">
        <v>-112</v>
      </c>
      <c r="AC524" s="141">
        <v>186</v>
      </c>
      <c r="AD524" s="141">
        <v>2</v>
      </c>
      <c r="AE524" s="141">
        <v>266</v>
      </c>
      <c r="AF524" s="141">
        <v>-85</v>
      </c>
      <c r="AG524" s="141">
        <v>-7</v>
      </c>
      <c r="AH524" s="141">
        <v>-290</v>
      </c>
      <c r="AI524" s="141">
        <v>-11</v>
      </c>
      <c r="AJ524" s="141">
        <v>333</v>
      </c>
      <c r="AK524" s="141">
        <v>0</v>
      </c>
      <c r="AL524" s="141">
        <v>0</v>
      </c>
      <c r="AM524" s="141">
        <v>0</v>
      </c>
      <c r="AN524" s="141">
        <v>0</v>
      </c>
      <c r="AO524" s="141">
        <v>0</v>
      </c>
      <c r="AP524" s="141">
        <v>0</v>
      </c>
      <c r="AQ524" s="141">
        <v>0</v>
      </c>
      <c r="AR524" s="141">
        <v>0</v>
      </c>
      <c r="AS524" s="141">
        <v>0</v>
      </c>
      <c r="AT524" s="141">
        <v>0</v>
      </c>
      <c r="AU524" s="141">
        <v>0</v>
      </c>
      <c r="AV524" s="226">
        <v>0</v>
      </c>
      <c r="AW524" s="210">
        <v>0</v>
      </c>
      <c r="AX524" s="210">
        <v>0</v>
      </c>
      <c r="AY524" s="210">
        <v>0</v>
      </c>
      <c r="AZ524" s="210">
        <v>0</v>
      </c>
      <c r="BA524" s="210">
        <v>0</v>
      </c>
      <c r="BB524" s="210">
        <v>0</v>
      </c>
      <c r="BC524" s="210">
        <v>0</v>
      </c>
      <c r="BD524" s="210">
        <v>0</v>
      </c>
      <c r="BE524" s="210">
        <v>0</v>
      </c>
      <c r="BF524" s="210">
        <v>0</v>
      </c>
      <c r="BG524" s="210">
        <v>0</v>
      </c>
      <c r="BH524" s="210">
        <v>0</v>
      </c>
      <c r="BI524" s="210">
        <v>0</v>
      </c>
      <c r="BJ524" s="210">
        <v>0</v>
      </c>
      <c r="BK524" s="210">
        <v>0</v>
      </c>
      <c r="BL524" s="210">
        <v>0</v>
      </c>
      <c r="BM524" s="210">
        <v>0</v>
      </c>
      <c r="BN524" s="210">
        <v>0</v>
      </c>
      <c r="BO524" s="210">
        <v>0</v>
      </c>
      <c r="BP524" s="41"/>
      <c r="BQ524" s="40">
        <v>0</v>
      </c>
      <c r="BR524" s="40">
        <v>0</v>
      </c>
      <c r="BS524" s="40">
        <v>0</v>
      </c>
      <c r="BT524" s="40">
        <v>0</v>
      </c>
      <c r="BU524" s="40">
        <v>0</v>
      </c>
      <c r="BV524" s="40">
        <v>0</v>
      </c>
      <c r="BW524" s="40">
        <v>0</v>
      </c>
      <c r="BX524" s="40">
        <v>0</v>
      </c>
      <c r="BY524" s="40">
        <v>-12</v>
      </c>
      <c r="BZ524" s="40">
        <v>-17</v>
      </c>
      <c r="CA524" s="41">
        <v>154</v>
      </c>
      <c r="CB524" s="41">
        <v>0</v>
      </c>
      <c r="CC524" s="41">
        <v>84</v>
      </c>
      <c r="CD524" s="41">
        <v>31</v>
      </c>
      <c r="CE524" s="41">
        <v>34</v>
      </c>
      <c r="CF524" s="41">
        <v>85</v>
      </c>
      <c r="CG524" s="41">
        <v>217</v>
      </c>
      <c r="CH524" s="41">
        <v>-227</v>
      </c>
      <c r="CI524" s="41">
        <v>-158</v>
      </c>
      <c r="CJ524" s="41">
        <v>-166</v>
      </c>
      <c r="CK524" s="41">
        <v>-176</v>
      </c>
      <c r="CL524" s="41">
        <v>-146</v>
      </c>
      <c r="CM524" s="41">
        <v>74</v>
      </c>
      <c r="CN524" s="41">
        <v>268</v>
      </c>
      <c r="CO524" s="41">
        <v>-92</v>
      </c>
      <c r="CP524" s="41">
        <v>-301</v>
      </c>
      <c r="CQ524" s="41">
        <v>333</v>
      </c>
      <c r="CR524" s="41">
        <v>0</v>
      </c>
      <c r="CS524" s="41">
        <v>0</v>
      </c>
      <c r="CT524" s="41">
        <v>0</v>
      </c>
      <c r="CU524" s="41">
        <v>0</v>
      </c>
      <c r="CV524" s="211">
        <v>0</v>
      </c>
      <c r="CW524" s="41">
        <v>0</v>
      </c>
      <c r="CX524" s="41">
        <v>0</v>
      </c>
      <c r="CY524" s="41">
        <v>0</v>
      </c>
      <c r="CZ524" s="41">
        <v>0</v>
      </c>
      <c r="DA524" s="41">
        <v>0</v>
      </c>
      <c r="DB524" s="41">
        <v>0</v>
      </c>
      <c r="DC524" s="41">
        <v>0</v>
      </c>
      <c r="DD524" s="41">
        <v>0</v>
      </c>
      <c r="DE524" s="41">
        <v>0</v>
      </c>
      <c r="DF524" s="41">
        <v>0</v>
      </c>
    </row>
    <row r="525" spans="1:110" s="17" customFormat="1" ht="12" outlineLevel="1">
      <c r="A525" s="1" t="s">
        <v>836</v>
      </c>
      <c r="B525" s="17" t="s">
        <v>427</v>
      </c>
      <c r="C525" s="62">
        <v>975</v>
      </c>
      <c r="D525" s="62">
        <v>1050</v>
      </c>
      <c r="E525" s="62">
        <v>1271.9999999999998</v>
      </c>
      <c r="F525" s="62">
        <v>1141.0000000000002</v>
      </c>
      <c r="G525" s="62">
        <v>1207</v>
      </c>
      <c r="H525" s="62">
        <v>1396</v>
      </c>
      <c r="I525" s="62">
        <v>1419.0000000000007</v>
      </c>
      <c r="J525" s="62">
        <v>1555.0000000000005</v>
      </c>
      <c r="K525" s="62">
        <v>1619.9999999999995</v>
      </c>
      <c r="L525" s="62">
        <v>1810.9999999999995</v>
      </c>
      <c r="M525" s="62">
        <v>1877</v>
      </c>
      <c r="N525" s="62">
        <v>2101.9999999999995</v>
      </c>
      <c r="O525" s="62">
        <v>2078</v>
      </c>
      <c r="P525" s="62">
        <v>1963.0000000000007</v>
      </c>
      <c r="Q525" s="62">
        <v>1356.0000000000005</v>
      </c>
      <c r="R525" s="62">
        <v>1417</v>
      </c>
      <c r="S525" s="62">
        <v>1526</v>
      </c>
      <c r="T525" s="62">
        <v>1925</v>
      </c>
      <c r="U525" s="62">
        <v>2576</v>
      </c>
      <c r="V525" s="62">
        <v>2664</v>
      </c>
      <c r="W525" s="62">
        <v>2691</v>
      </c>
      <c r="X525" s="62">
        <v>2919</v>
      </c>
      <c r="Y525" s="62">
        <v>2742</v>
      </c>
      <c r="Z525" s="62">
        <v>2937</v>
      </c>
      <c r="AA525" s="62">
        <v>3329</v>
      </c>
      <c r="AB525" s="62">
        <v>3392</v>
      </c>
      <c r="AC525" s="62">
        <v>3879</v>
      </c>
      <c r="AD525" s="62">
        <v>3506</v>
      </c>
      <c r="AE525" s="62">
        <v>3987</v>
      </c>
      <c r="AF525" s="62">
        <v>2738</v>
      </c>
      <c r="AG525" s="62">
        <v>2971</v>
      </c>
      <c r="AH525" s="62">
        <v>2911</v>
      </c>
      <c r="AI525" s="62">
        <v>3495</v>
      </c>
      <c r="AJ525" s="62">
        <v>3323</v>
      </c>
      <c r="AK525" s="62">
        <v>3077</v>
      </c>
      <c r="AL525" s="62">
        <v>3173</v>
      </c>
      <c r="AM525" s="62">
        <v>2780</v>
      </c>
      <c r="AN525" s="62">
        <v>1545</v>
      </c>
      <c r="AO525" s="62">
        <v>2032</v>
      </c>
      <c r="AP525" s="62">
        <v>2943</v>
      </c>
      <c r="AQ525" s="62">
        <v>3219</v>
      </c>
      <c r="AR525" s="62">
        <v>3530</v>
      </c>
      <c r="AS525" s="62">
        <v>3589</v>
      </c>
      <c r="AT525" s="62">
        <v>3555</v>
      </c>
      <c r="AU525" s="62">
        <v>3551</v>
      </c>
      <c r="AV525" s="220">
        <v>3407</v>
      </c>
      <c r="AW525" s="62">
        <v>3339.8048472754817</v>
      </c>
      <c r="AX525" s="62">
        <v>3400.9221364868781</v>
      </c>
      <c r="AY525" s="62">
        <v>3370.3562821550863</v>
      </c>
      <c r="AZ525" s="62">
        <v>3455.3585063277633</v>
      </c>
      <c r="BA525" s="62">
        <v>3353.7458863584734</v>
      </c>
      <c r="BB525" s="62">
        <v>3528.6675137427128</v>
      </c>
      <c r="BC525" s="62">
        <v>3402.7856275564777</v>
      </c>
      <c r="BD525" s="62">
        <v>3666.6348811635917</v>
      </c>
      <c r="BE525" s="62">
        <v>3562.4654742592793</v>
      </c>
      <c r="BF525" s="62">
        <v>3852.1516783086417</v>
      </c>
      <c r="BG525" s="62">
        <v>3766.5617426616791</v>
      </c>
      <c r="BH525" s="62">
        <v>3571.0679636078112</v>
      </c>
      <c r="BI525" s="62">
        <v>2946.5628479563834</v>
      </c>
      <c r="BJ525" s="62">
        <v>3202.9423173345622</v>
      </c>
      <c r="BK525" s="62">
        <v>3615.4726719421592</v>
      </c>
      <c r="BL525" s="62">
        <v>4360.9817773141249</v>
      </c>
      <c r="BM525" s="62">
        <v>4260.2184166617681</v>
      </c>
      <c r="BN525" s="62">
        <v>4542.2675708974803</v>
      </c>
      <c r="BO525" s="62">
        <v>4384.7461678029813</v>
      </c>
      <c r="BP525" s="62"/>
      <c r="BQ525" s="62">
        <v>-579.4</v>
      </c>
      <c r="BR525" s="62">
        <v>246.30000000000004</v>
      </c>
      <c r="BS525" s="62">
        <v>822</v>
      </c>
      <c r="BT525" s="62">
        <v>1052</v>
      </c>
      <c r="BU525" s="62">
        <v>1116</v>
      </c>
      <c r="BV525" s="62">
        <v>1024</v>
      </c>
      <c r="BW525" s="62">
        <v>1106</v>
      </c>
      <c r="BX525" s="62">
        <v>1480</v>
      </c>
      <c r="BY525" s="62">
        <v>1747</v>
      </c>
      <c r="BZ525" s="62">
        <v>1870</v>
      </c>
      <c r="CA525" s="62">
        <v>2322</v>
      </c>
      <c r="CB525" s="62">
        <v>2348</v>
      </c>
      <c r="CC525" s="62">
        <v>2815.0000000000009</v>
      </c>
      <c r="CD525" s="62">
        <v>3175</v>
      </c>
      <c r="CE525" s="62">
        <v>3687.9999999999995</v>
      </c>
      <c r="CF525" s="62">
        <v>4180</v>
      </c>
      <c r="CG525" s="62">
        <v>3319.0000000000009</v>
      </c>
      <c r="CH525" s="62">
        <v>2943</v>
      </c>
      <c r="CI525" s="62">
        <v>4501</v>
      </c>
      <c r="CJ525" s="62">
        <v>5355</v>
      </c>
      <c r="CK525" s="62">
        <v>5661</v>
      </c>
      <c r="CL525" s="62">
        <v>6266</v>
      </c>
      <c r="CM525" s="62">
        <v>7271</v>
      </c>
      <c r="CN525" s="62">
        <v>7493</v>
      </c>
      <c r="CO525" s="62">
        <v>5709</v>
      </c>
      <c r="CP525" s="62">
        <v>6406</v>
      </c>
      <c r="CQ525" s="62">
        <v>6400</v>
      </c>
      <c r="CR525" s="62">
        <v>5953</v>
      </c>
      <c r="CS525" s="62">
        <v>3577</v>
      </c>
      <c r="CT525" s="62">
        <v>6162</v>
      </c>
      <c r="CU525" s="62">
        <v>7119</v>
      </c>
      <c r="CV525" s="220">
        <v>7106</v>
      </c>
      <c r="CW525" s="62">
        <v>6746.8048472754817</v>
      </c>
      <c r="CX525" s="62">
        <v>6771.2784186419649</v>
      </c>
      <c r="CY525" s="62">
        <v>6809.1043926862367</v>
      </c>
      <c r="CZ525" s="62">
        <v>6931.453141299191</v>
      </c>
      <c r="DA525" s="62">
        <v>7229.100355422871</v>
      </c>
      <c r="DB525" s="62">
        <v>7618.7134209703208</v>
      </c>
      <c r="DC525" s="62">
        <v>6517.630811564195</v>
      </c>
      <c r="DD525" s="62">
        <v>6818.4149892767218</v>
      </c>
      <c r="DE525" s="62">
        <v>8621.200193975892</v>
      </c>
      <c r="DF525" s="62">
        <v>8927.0137387004615</v>
      </c>
    </row>
    <row r="526" spans="1:110" ht="12" outlineLevel="1">
      <c r="A526" s="1" t="s">
        <v>837</v>
      </c>
      <c r="B526" s="15" t="s">
        <v>428</v>
      </c>
      <c r="C526" s="40">
        <v>-4</v>
      </c>
      <c r="D526" s="40">
        <v>45</v>
      </c>
      <c r="E526" s="40">
        <v>-143</v>
      </c>
      <c r="F526" s="40">
        <v>-49</v>
      </c>
      <c r="G526" s="40">
        <v>-307</v>
      </c>
      <c r="H526" s="40">
        <v>-254</v>
      </c>
      <c r="I526" s="40">
        <v>487</v>
      </c>
      <c r="J526" s="40">
        <v>-284</v>
      </c>
      <c r="K526" s="40">
        <v>-159</v>
      </c>
      <c r="L526" s="40">
        <v>-305</v>
      </c>
      <c r="M526" s="40">
        <v>102</v>
      </c>
      <c r="N526" s="40">
        <v>-89</v>
      </c>
      <c r="O526" s="40">
        <v>-474</v>
      </c>
      <c r="P526" s="40">
        <v>74</v>
      </c>
      <c r="Q526" s="40">
        <v>319</v>
      </c>
      <c r="R526" s="40">
        <v>443</v>
      </c>
      <c r="S526" s="40">
        <v>-1352</v>
      </c>
      <c r="T526" s="40">
        <v>-656</v>
      </c>
      <c r="U526" s="40">
        <v>-361</v>
      </c>
      <c r="V526" s="40">
        <v>-557</v>
      </c>
      <c r="W526" s="40">
        <v>881</v>
      </c>
      <c r="X526" s="40">
        <v>-412</v>
      </c>
      <c r="Y526" s="40">
        <v>-1</v>
      </c>
      <c r="Z526" s="141">
        <v>5</v>
      </c>
      <c r="AA526" s="141">
        <v>1701</v>
      </c>
      <c r="AB526" s="141">
        <v>570</v>
      </c>
      <c r="AC526" s="141">
        <v>-83</v>
      </c>
      <c r="AD526" s="141">
        <v>2181</v>
      </c>
      <c r="AE526" s="141">
        <v>-445</v>
      </c>
      <c r="AF526" s="141">
        <v>-1015</v>
      </c>
      <c r="AG526" s="141">
        <v>559</v>
      </c>
      <c r="AH526" s="141">
        <v>-689</v>
      </c>
      <c r="AI526" s="141">
        <v>-59</v>
      </c>
      <c r="AJ526" s="141">
        <v>460</v>
      </c>
      <c r="AK526" s="141">
        <v>-238</v>
      </c>
      <c r="AL526" s="141">
        <v>834</v>
      </c>
      <c r="AM526" s="141">
        <v>-137</v>
      </c>
      <c r="AN526" s="141">
        <v>1281</v>
      </c>
      <c r="AO526" s="141">
        <v>-1831</v>
      </c>
      <c r="AP526" s="141">
        <v>-658</v>
      </c>
      <c r="AQ526" s="141">
        <v>1114</v>
      </c>
      <c r="AR526" s="141">
        <v>-775</v>
      </c>
      <c r="AS526" s="141">
        <v>16</v>
      </c>
      <c r="AT526" s="141">
        <v>792</v>
      </c>
      <c r="AU526" s="141">
        <v>-74</v>
      </c>
      <c r="AV526" s="226">
        <v>-378</v>
      </c>
      <c r="AW526" s="41">
        <v>95.69776359022633</v>
      </c>
      <c r="AX526" s="41">
        <v>-163.03389404020035</v>
      </c>
      <c r="AY526" s="41">
        <v>-750.1814132732884</v>
      </c>
      <c r="AZ526" s="41">
        <v>-623.33643029393215</v>
      </c>
      <c r="BA526" s="41">
        <v>-548.24681347242279</v>
      </c>
      <c r="BB526" s="41">
        <v>-375.03257088699195</v>
      </c>
      <c r="BC526" s="41">
        <v>-218.71620504370327</v>
      </c>
      <c r="BD526" s="41">
        <v>-218.54554088181183</v>
      </c>
      <c r="BE526" s="41">
        <v>-219.21186692210625</v>
      </c>
      <c r="BF526" s="41">
        <v>-219.46122443506187</v>
      </c>
      <c r="BG526" s="41">
        <v>-220.59871015667875</v>
      </c>
      <c r="BH526" s="41">
        <v>-221.01934399592668</v>
      </c>
      <c r="BI526" s="41">
        <v>-220.8598552260716</v>
      </c>
      <c r="BJ526" s="41">
        <v>-113.79547788302742</v>
      </c>
      <c r="BK526" s="41">
        <v>0</v>
      </c>
      <c r="BL526" s="41">
        <v>0</v>
      </c>
      <c r="BM526" s="41">
        <v>0</v>
      </c>
      <c r="BN526" s="41">
        <v>0</v>
      </c>
      <c r="BO526" s="41">
        <v>0</v>
      </c>
      <c r="BP526" s="41"/>
      <c r="BQ526" s="40">
        <v>734.8</v>
      </c>
      <c r="BR526" s="398">
        <v>112.3</v>
      </c>
      <c r="BS526" s="40">
        <v>-229</v>
      </c>
      <c r="BT526" s="40">
        <v>-1</v>
      </c>
      <c r="BU526" s="40">
        <v>-95</v>
      </c>
      <c r="BV526" s="40">
        <v>104</v>
      </c>
      <c r="BW526" s="40">
        <v>142</v>
      </c>
      <c r="BX526" s="40">
        <v>-215</v>
      </c>
      <c r="BY526" s="40">
        <v>170</v>
      </c>
      <c r="BZ526" s="40">
        <v>197</v>
      </c>
      <c r="CA526" s="41">
        <v>-98</v>
      </c>
      <c r="CB526" s="41">
        <v>-356</v>
      </c>
      <c r="CC526" s="41">
        <v>233</v>
      </c>
      <c r="CD526" s="41">
        <v>-443</v>
      </c>
      <c r="CE526" s="41">
        <v>-203</v>
      </c>
      <c r="CF526" s="41">
        <v>-563</v>
      </c>
      <c r="CG526" s="41">
        <v>393</v>
      </c>
      <c r="CH526" s="41">
        <v>-909</v>
      </c>
      <c r="CI526" s="41">
        <v>-1017</v>
      </c>
      <c r="CJ526" s="41">
        <v>324</v>
      </c>
      <c r="CK526" s="41">
        <v>-413</v>
      </c>
      <c r="CL526" s="41">
        <v>1706</v>
      </c>
      <c r="CM526" s="41">
        <v>487</v>
      </c>
      <c r="CN526" s="41">
        <v>1736</v>
      </c>
      <c r="CO526" s="41">
        <v>-456</v>
      </c>
      <c r="CP526" s="41">
        <v>-748</v>
      </c>
      <c r="CQ526" s="41">
        <v>222</v>
      </c>
      <c r="CR526" s="41">
        <v>697</v>
      </c>
      <c r="CS526" s="41">
        <v>-550</v>
      </c>
      <c r="CT526" s="41">
        <v>456</v>
      </c>
      <c r="CU526" s="41">
        <v>-759</v>
      </c>
      <c r="CV526" s="211">
        <v>718</v>
      </c>
      <c r="CW526" s="41">
        <v>-282.30223640977368</v>
      </c>
      <c r="CX526" s="41">
        <v>-913.21530731348878</v>
      </c>
      <c r="CY526" s="41">
        <v>-1171.5832437663548</v>
      </c>
      <c r="CZ526" s="41">
        <v>-593.74877593069527</v>
      </c>
      <c r="DA526" s="41">
        <v>-437.75740780391811</v>
      </c>
      <c r="DB526" s="41">
        <v>-440.05993459174061</v>
      </c>
      <c r="DC526" s="41">
        <v>-441.87919922199831</v>
      </c>
      <c r="DD526" s="41">
        <v>-113.79547788302742</v>
      </c>
      <c r="DE526" s="41">
        <v>0</v>
      </c>
      <c r="DF526" s="41">
        <v>0</v>
      </c>
    </row>
    <row r="527" spans="1:110" ht="12" outlineLevel="1">
      <c r="A527" s="1" t="s">
        <v>838</v>
      </c>
      <c r="B527" s="15" t="s">
        <v>429</v>
      </c>
      <c r="C527" s="40">
        <v>-66</v>
      </c>
      <c r="D527" s="40">
        <v>-188</v>
      </c>
      <c r="E527" s="40">
        <v>188</v>
      </c>
      <c r="F527" s="40">
        <v>0</v>
      </c>
      <c r="G527" s="40">
        <v>0</v>
      </c>
      <c r="H527" s="40">
        <v>181</v>
      </c>
      <c r="I527" s="40">
        <v>113</v>
      </c>
      <c r="J527" s="40">
        <v>-301</v>
      </c>
      <c r="K527" s="40">
        <v>-29</v>
      </c>
      <c r="L527" s="40">
        <v>-211</v>
      </c>
      <c r="M527" s="40">
        <v>-49</v>
      </c>
      <c r="N527" s="40">
        <v>115</v>
      </c>
      <c r="O527" s="40">
        <v>131</v>
      </c>
      <c r="P527" s="40">
        <v>-202</v>
      </c>
      <c r="Q527" s="40">
        <v>-121</v>
      </c>
      <c r="R527" s="40">
        <v>-104</v>
      </c>
      <c r="S527" s="40">
        <v>-133</v>
      </c>
      <c r="T527" s="40">
        <v>121</v>
      </c>
      <c r="U527" s="40">
        <v>65</v>
      </c>
      <c r="V527" s="40">
        <v>20</v>
      </c>
      <c r="W527" s="40">
        <v>162</v>
      </c>
      <c r="X527" s="40">
        <v>91</v>
      </c>
      <c r="Y527" s="40">
        <v>-99</v>
      </c>
      <c r="Z527" s="141">
        <v>-116</v>
      </c>
      <c r="AA527" s="141">
        <v>-21</v>
      </c>
      <c r="AB527" s="141">
        <v>38</v>
      </c>
      <c r="AC527" s="141">
        <v>180</v>
      </c>
      <c r="AD527" s="141">
        <v>391</v>
      </c>
      <c r="AE527" s="141">
        <v>3070</v>
      </c>
      <c r="AF527" s="141">
        <v>-154</v>
      </c>
      <c r="AG527" s="141">
        <v>75</v>
      </c>
      <c r="AH527" s="141">
        <v>-220</v>
      </c>
      <c r="AI527" s="141">
        <v>-11</v>
      </c>
      <c r="AJ527" s="141">
        <v>95</v>
      </c>
      <c r="AK527" s="141">
        <v>143</v>
      </c>
      <c r="AL527" s="141">
        <v>-40</v>
      </c>
      <c r="AM527" s="141">
        <v>509</v>
      </c>
      <c r="AN527" s="141">
        <v>33</v>
      </c>
      <c r="AO527" s="141">
        <v>326</v>
      </c>
      <c r="AP527" s="141">
        <v>-117</v>
      </c>
      <c r="AQ527" s="141">
        <v>-648</v>
      </c>
      <c r="AR527" s="141">
        <v>-1786</v>
      </c>
      <c r="AS527" s="141">
        <v>2319</v>
      </c>
      <c r="AT527" s="141">
        <v>727</v>
      </c>
      <c r="AU527" s="141">
        <v>-662</v>
      </c>
      <c r="AV527" s="226">
        <v>-153</v>
      </c>
      <c r="AW527" s="210">
        <v>0</v>
      </c>
      <c r="AX527" s="210">
        <v>0</v>
      </c>
      <c r="AY527" s="210">
        <v>0</v>
      </c>
      <c r="AZ527" s="210">
        <v>0</v>
      </c>
      <c r="BA527" s="210">
        <v>0</v>
      </c>
      <c r="BB527" s="210">
        <v>0</v>
      </c>
      <c r="BC527" s="210">
        <v>0</v>
      </c>
      <c r="BD527" s="210">
        <v>0</v>
      </c>
      <c r="BE527" s="210">
        <v>0</v>
      </c>
      <c r="BF527" s="210">
        <v>0</v>
      </c>
      <c r="BG527" s="210">
        <v>0</v>
      </c>
      <c r="BH527" s="210">
        <v>0</v>
      </c>
      <c r="BI527" s="210">
        <v>0</v>
      </c>
      <c r="BJ527" s="210">
        <v>0</v>
      </c>
      <c r="BK527" s="210">
        <v>0</v>
      </c>
      <c r="BL527" s="210">
        <v>0</v>
      </c>
      <c r="BM527" s="210">
        <v>0</v>
      </c>
      <c r="BN527" s="210">
        <v>0</v>
      </c>
      <c r="BO527" s="210">
        <v>0</v>
      </c>
      <c r="BP527" s="41"/>
      <c r="BQ527" s="40">
        <v>564.19999999999936</v>
      </c>
      <c r="BR527" s="40">
        <v>341.90000000000055</v>
      </c>
      <c r="BS527" s="40">
        <v>121.99999999999909</v>
      </c>
      <c r="BT527" s="40">
        <v>211</v>
      </c>
      <c r="BU527" s="40">
        <v>0</v>
      </c>
      <c r="BV527" s="40">
        <v>0</v>
      </c>
      <c r="BW527" s="40">
        <v>0</v>
      </c>
      <c r="BX527" s="40">
        <v>0</v>
      </c>
      <c r="BY527" s="40">
        <v>0</v>
      </c>
      <c r="BZ527" s="40">
        <v>0</v>
      </c>
      <c r="CA527" s="41">
        <v>0</v>
      </c>
      <c r="CB527" s="41">
        <v>0</v>
      </c>
      <c r="CC527" s="41">
        <v>294</v>
      </c>
      <c r="CD527" s="41">
        <v>-330</v>
      </c>
      <c r="CE527" s="41">
        <v>-260</v>
      </c>
      <c r="CF527" s="41">
        <v>246</v>
      </c>
      <c r="CG527" s="41">
        <v>-323</v>
      </c>
      <c r="CH527" s="41">
        <v>-237</v>
      </c>
      <c r="CI527" s="41">
        <v>186</v>
      </c>
      <c r="CJ527" s="41">
        <v>182</v>
      </c>
      <c r="CK527" s="41">
        <v>-8</v>
      </c>
      <c r="CL527" s="41">
        <v>-137</v>
      </c>
      <c r="CM527" s="41">
        <v>218</v>
      </c>
      <c r="CN527" s="41">
        <v>3461</v>
      </c>
      <c r="CO527" s="41">
        <v>-79</v>
      </c>
      <c r="CP527" s="41">
        <v>-231</v>
      </c>
      <c r="CQ527" s="41">
        <v>238</v>
      </c>
      <c r="CR527" s="41">
        <v>469</v>
      </c>
      <c r="CS527" s="41">
        <v>359</v>
      </c>
      <c r="CT527" s="41">
        <v>-765</v>
      </c>
      <c r="CU527" s="41">
        <v>533</v>
      </c>
      <c r="CV527" s="211">
        <v>65</v>
      </c>
      <c r="CW527" s="41">
        <v>-153</v>
      </c>
      <c r="CX527" s="41">
        <v>0</v>
      </c>
      <c r="CY527" s="41">
        <v>0</v>
      </c>
      <c r="CZ527" s="41">
        <v>0</v>
      </c>
      <c r="DA527" s="41">
        <v>0</v>
      </c>
      <c r="DB527" s="41">
        <v>0</v>
      </c>
      <c r="DC527" s="41">
        <v>0</v>
      </c>
      <c r="DD527" s="41">
        <v>0</v>
      </c>
      <c r="DE527" s="41">
        <v>0</v>
      </c>
      <c r="DF527" s="41">
        <v>0</v>
      </c>
    </row>
    <row r="528" spans="1:110" ht="12" outlineLevel="1">
      <c r="A528" s="1" t="s">
        <v>839</v>
      </c>
      <c r="B528" s="15" t="s">
        <v>430</v>
      </c>
      <c r="C528" s="40">
        <v>0</v>
      </c>
      <c r="D528" s="40">
        <v>0</v>
      </c>
      <c r="E528" s="40">
        <v>0</v>
      </c>
      <c r="F528" s="40">
        <v>0</v>
      </c>
      <c r="G528" s="40">
        <v>0</v>
      </c>
      <c r="H528" s="40">
        <v>0</v>
      </c>
      <c r="I528" s="40">
        <v>0</v>
      </c>
      <c r="J528" s="40">
        <v>0</v>
      </c>
      <c r="K528" s="40">
        <v>0</v>
      </c>
      <c r="L528" s="40">
        <v>0</v>
      </c>
      <c r="M528" s="40">
        <v>0</v>
      </c>
      <c r="N528" s="40">
        <v>0</v>
      </c>
      <c r="O528" s="40">
        <v>0</v>
      </c>
      <c r="P528" s="40">
        <v>0</v>
      </c>
      <c r="Q528" s="40">
        <v>0</v>
      </c>
      <c r="R528" s="40">
        <v>0</v>
      </c>
      <c r="S528" s="40">
        <v>0</v>
      </c>
      <c r="T528" s="40">
        <v>0</v>
      </c>
      <c r="U528" s="40">
        <v>0</v>
      </c>
      <c r="V528" s="40">
        <v>0</v>
      </c>
      <c r="W528" s="40">
        <v>0</v>
      </c>
      <c r="X528" s="40">
        <v>0</v>
      </c>
      <c r="Y528" s="40">
        <v>0</v>
      </c>
      <c r="Z528" s="141">
        <v>0</v>
      </c>
      <c r="AA528" s="141">
        <v>0</v>
      </c>
      <c r="AB528" s="141">
        <v>0</v>
      </c>
      <c r="AC528" s="141">
        <v>0</v>
      </c>
      <c r="AD528" s="141">
        <v>0</v>
      </c>
      <c r="AE528" s="141">
        <v>0</v>
      </c>
      <c r="AF528" s="141">
        <v>0</v>
      </c>
      <c r="AG528" s="141">
        <v>0</v>
      </c>
      <c r="AH528" s="141">
        <v>0</v>
      </c>
      <c r="AI528" s="141">
        <v>0</v>
      </c>
      <c r="AJ528" s="141">
        <v>0</v>
      </c>
      <c r="AK528" s="141">
        <v>0</v>
      </c>
      <c r="AL528" s="141">
        <v>0</v>
      </c>
      <c r="AM528" s="141">
        <v>0</v>
      </c>
      <c r="AN528" s="141">
        <v>0</v>
      </c>
      <c r="AO528" s="141">
        <v>0</v>
      </c>
      <c r="AP528" s="141">
        <v>0</v>
      </c>
      <c r="AQ528" s="141">
        <v>0</v>
      </c>
      <c r="AR528" s="141">
        <v>0</v>
      </c>
      <c r="AS528" s="141">
        <v>0</v>
      </c>
      <c r="AT528" s="141">
        <v>0</v>
      </c>
      <c r="AU528" s="141">
        <v>0</v>
      </c>
      <c r="AV528" s="226">
        <v>0</v>
      </c>
      <c r="AW528" s="210">
        <v>-2250</v>
      </c>
      <c r="AX528" s="210">
        <v>0</v>
      </c>
      <c r="AY528" s="210">
        <v>0</v>
      </c>
      <c r="AZ528" s="210">
        <v>0</v>
      </c>
      <c r="BA528" s="210">
        <v>0</v>
      </c>
      <c r="BB528" s="210">
        <v>0</v>
      </c>
      <c r="BC528" s="210">
        <v>0</v>
      </c>
      <c r="BD528" s="210">
        <v>0</v>
      </c>
      <c r="BE528" s="210">
        <v>0</v>
      </c>
      <c r="BF528" s="210">
        <v>0</v>
      </c>
      <c r="BG528" s="210">
        <v>0</v>
      </c>
      <c r="BH528" s="210">
        <v>0</v>
      </c>
      <c r="BI528" s="210">
        <v>0</v>
      </c>
      <c r="BJ528" s="210">
        <v>0</v>
      </c>
      <c r="BK528" s="210">
        <v>0</v>
      </c>
      <c r="BL528" s="210">
        <v>0</v>
      </c>
      <c r="BM528" s="210">
        <v>0</v>
      </c>
      <c r="BN528" s="210">
        <v>0</v>
      </c>
      <c r="BO528" s="210">
        <v>0</v>
      </c>
      <c r="BP528" s="41"/>
      <c r="BQ528" s="40">
        <v>7.9</v>
      </c>
      <c r="BR528" s="40">
        <v>0</v>
      </c>
      <c r="BS528" s="40">
        <v>0</v>
      </c>
      <c r="BT528" s="40">
        <v>0</v>
      </c>
      <c r="BU528" s="40">
        <v>0</v>
      </c>
      <c r="BV528" s="40">
        <v>0</v>
      </c>
      <c r="BW528" s="40">
        <v>0</v>
      </c>
      <c r="BX528" s="40">
        <v>0</v>
      </c>
      <c r="BY528" s="40">
        <v>31</v>
      </c>
      <c r="BZ528" s="40">
        <v>0</v>
      </c>
      <c r="CA528" s="41">
        <v>0</v>
      </c>
      <c r="CB528" s="41">
        <v>0</v>
      </c>
      <c r="CC528" s="41">
        <v>0</v>
      </c>
      <c r="CD528" s="41">
        <v>0</v>
      </c>
      <c r="CE528" s="41">
        <v>0</v>
      </c>
      <c r="CF528" s="41">
        <v>0</v>
      </c>
      <c r="CG528" s="41">
        <v>0</v>
      </c>
      <c r="CH528" s="41">
        <v>0</v>
      </c>
      <c r="CI528" s="41">
        <v>0</v>
      </c>
      <c r="CJ528" s="41">
        <v>0</v>
      </c>
      <c r="CK528" s="41">
        <v>0</v>
      </c>
      <c r="CL528" s="41">
        <v>0</v>
      </c>
      <c r="CM528" s="41">
        <v>0</v>
      </c>
      <c r="CN528" s="41">
        <v>0</v>
      </c>
      <c r="CO528" s="41">
        <v>0</v>
      </c>
      <c r="CP528" s="41">
        <v>0</v>
      </c>
      <c r="CQ528" s="41">
        <v>0</v>
      </c>
      <c r="CR528" s="41">
        <v>0</v>
      </c>
      <c r="CS528" s="41">
        <v>0</v>
      </c>
      <c r="CT528" s="41">
        <v>0</v>
      </c>
      <c r="CU528" s="41">
        <v>0</v>
      </c>
      <c r="CV528" s="211">
        <v>0</v>
      </c>
      <c r="CW528" s="41">
        <v>-2250</v>
      </c>
      <c r="CX528" s="41">
        <v>0</v>
      </c>
      <c r="CY528" s="41">
        <v>0</v>
      </c>
      <c r="CZ528" s="41">
        <v>0</v>
      </c>
      <c r="DA528" s="41">
        <v>0</v>
      </c>
      <c r="DB528" s="41">
        <v>0</v>
      </c>
      <c r="DC528" s="41">
        <v>0</v>
      </c>
      <c r="DD528" s="41">
        <v>0</v>
      </c>
      <c r="DE528" s="41">
        <v>0</v>
      </c>
      <c r="DF528" s="41">
        <v>0</v>
      </c>
    </row>
    <row r="529" spans="1:110" s="17" customFormat="1" ht="12" outlineLevel="1">
      <c r="A529" s="1" t="s">
        <v>840</v>
      </c>
      <c r="B529" s="17" t="s">
        <v>242</v>
      </c>
      <c r="C529" s="62">
        <v>905</v>
      </c>
      <c r="D529" s="62">
        <v>907</v>
      </c>
      <c r="E529" s="62">
        <v>1316.9999999999998</v>
      </c>
      <c r="F529" s="62">
        <v>1092.0000000000002</v>
      </c>
      <c r="G529" s="62">
        <v>900</v>
      </c>
      <c r="H529" s="62">
        <v>1323</v>
      </c>
      <c r="I529" s="62">
        <v>2019.0000000000007</v>
      </c>
      <c r="J529" s="62">
        <v>970.00000000000045</v>
      </c>
      <c r="K529" s="62">
        <v>1431.9999999999995</v>
      </c>
      <c r="L529" s="62">
        <v>1294.9999999999995</v>
      </c>
      <c r="M529" s="62">
        <v>1930</v>
      </c>
      <c r="N529" s="62">
        <v>2127.9999999999995</v>
      </c>
      <c r="O529" s="62">
        <v>1735</v>
      </c>
      <c r="P529" s="62">
        <v>1835.0000000000007</v>
      </c>
      <c r="Q529" s="62">
        <v>1554.0000000000005</v>
      </c>
      <c r="R529" s="62">
        <v>1756</v>
      </c>
      <c r="S529" s="62">
        <v>41</v>
      </c>
      <c r="T529" s="62">
        <v>1390</v>
      </c>
      <c r="U529" s="62">
        <v>2280</v>
      </c>
      <c r="V529" s="62">
        <v>2127</v>
      </c>
      <c r="W529" s="62">
        <v>3734</v>
      </c>
      <c r="X529" s="62">
        <v>2598</v>
      </c>
      <c r="Y529" s="62">
        <v>2642</v>
      </c>
      <c r="Z529" s="62">
        <v>2826</v>
      </c>
      <c r="AA529" s="62">
        <v>5009</v>
      </c>
      <c r="AB529" s="62">
        <v>4000</v>
      </c>
      <c r="AC529" s="62">
        <v>3976</v>
      </c>
      <c r="AD529" s="62">
        <v>6078</v>
      </c>
      <c r="AE529" s="62">
        <v>6612</v>
      </c>
      <c r="AF529" s="62">
        <v>1569</v>
      </c>
      <c r="AG529" s="62">
        <v>3605</v>
      </c>
      <c r="AH529" s="62">
        <v>2002</v>
      </c>
      <c r="AI529" s="62">
        <v>3425</v>
      </c>
      <c r="AJ529" s="62">
        <v>3878</v>
      </c>
      <c r="AK529" s="62">
        <v>2982</v>
      </c>
      <c r="AL529" s="62">
        <v>3967</v>
      </c>
      <c r="AM529" s="62">
        <v>3152</v>
      </c>
      <c r="AN529" s="62">
        <v>2859</v>
      </c>
      <c r="AO529" s="62">
        <v>527</v>
      </c>
      <c r="AP529" s="62">
        <v>2168</v>
      </c>
      <c r="AQ529" s="62">
        <v>3685</v>
      </c>
      <c r="AR529" s="62">
        <v>969</v>
      </c>
      <c r="AS529" s="62">
        <v>5924</v>
      </c>
      <c r="AT529" s="62">
        <v>5074</v>
      </c>
      <c r="AU529" s="62">
        <v>2815</v>
      </c>
      <c r="AV529" s="220">
        <v>2876</v>
      </c>
      <c r="AW529" s="62">
        <v>1185.502610865708</v>
      </c>
      <c r="AX529" s="62">
        <v>3237.8882424466779</v>
      </c>
      <c r="AY529" s="62">
        <v>2620.1748688817979</v>
      </c>
      <c r="AZ529" s="62">
        <v>2832.0220760338311</v>
      </c>
      <c r="BA529" s="62">
        <v>2805.4990728860507</v>
      </c>
      <c r="BB529" s="62">
        <v>3153.634942855721</v>
      </c>
      <c r="BC529" s="62">
        <v>3184.0694225127745</v>
      </c>
      <c r="BD529" s="62">
        <v>3448.0893402817796</v>
      </c>
      <c r="BE529" s="62">
        <v>3343.253607337173</v>
      </c>
      <c r="BF529" s="62">
        <v>3632.6904538735798</v>
      </c>
      <c r="BG529" s="62">
        <v>3545.9630325050002</v>
      </c>
      <c r="BH529" s="62">
        <v>3350.0486196118845</v>
      </c>
      <c r="BI529" s="62">
        <v>2725.702992730312</v>
      </c>
      <c r="BJ529" s="62">
        <v>3089.1468394515346</v>
      </c>
      <c r="BK529" s="62">
        <v>3615.4726719421592</v>
      </c>
      <c r="BL529" s="62">
        <v>4360.9817773141249</v>
      </c>
      <c r="BM529" s="62">
        <v>4260.2184166617681</v>
      </c>
      <c r="BN529" s="62">
        <v>4542.2675708974803</v>
      </c>
      <c r="BO529" s="62">
        <v>4384.7461678029813</v>
      </c>
      <c r="BP529" s="62"/>
      <c r="BQ529" s="62">
        <v>727.49999999999932</v>
      </c>
      <c r="BR529" s="62">
        <v>700.50000000000057</v>
      </c>
      <c r="BS529" s="62">
        <v>714.99999999999909</v>
      </c>
      <c r="BT529" s="62">
        <v>1262</v>
      </c>
      <c r="BU529" s="62">
        <v>1021</v>
      </c>
      <c r="BV529" s="62">
        <v>1128</v>
      </c>
      <c r="BW529" s="62">
        <v>1248</v>
      </c>
      <c r="BX529" s="62">
        <v>1265</v>
      </c>
      <c r="BY529" s="62">
        <v>1948</v>
      </c>
      <c r="BZ529" s="62">
        <v>2067</v>
      </c>
      <c r="CA529" s="62">
        <v>2224</v>
      </c>
      <c r="CB529" s="62">
        <v>1992.0000000000002</v>
      </c>
      <c r="CC529" s="62">
        <v>3342.0000000000009</v>
      </c>
      <c r="CD529" s="62">
        <v>2402</v>
      </c>
      <c r="CE529" s="62">
        <v>3224.9999999999995</v>
      </c>
      <c r="CF529" s="62">
        <v>3862.9999999999995</v>
      </c>
      <c r="CG529" s="62">
        <v>3389.0000000000009</v>
      </c>
      <c r="CH529" s="62">
        <v>1797</v>
      </c>
      <c r="CI529" s="62">
        <v>3670</v>
      </c>
      <c r="CJ529" s="62">
        <v>5861</v>
      </c>
      <c r="CK529" s="62">
        <v>5240</v>
      </c>
      <c r="CL529" s="62">
        <v>7835</v>
      </c>
      <c r="CM529" s="62">
        <v>7976</v>
      </c>
      <c r="CN529" s="62">
        <v>12690</v>
      </c>
      <c r="CO529" s="62">
        <v>5174</v>
      </c>
      <c r="CP529" s="62">
        <v>5427</v>
      </c>
      <c r="CQ529" s="62">
        <v>6860</v>
      </c>
      <c r="CR529" s="62">
        <v>7119</v>
      </c>
      <c r="CS529" s="62">
        <v>3386</v>
      </c>
      <c r="CT529" s="62">
        <v>5853</v>
      </c>
      <c r="CU529" s="62">
        <v>6893</v>
      </c>
      <c r="CV529" s="220">
        <v>7889</v>
      </c>
      <c r="CW529" s="62">
        <v>4061.502610865708</v>
      </c>
      <c r="CX529" s="62">
        <v>5858.0631113284762</v>
      </c>
      <c r="CY529" s="62">
        <v>5637.5211489198819</v>
      </c>
      <c r="CZ529" s="62">
        <v>6337.7043653684959</v>
      </c>
      <c r="DA529" s="62">
        <v>6791.3429476189522</v>
      </c>
      <c r="DB529" s="62">
        <v>7178.6534863785801</v>
      </c>
      <c r="DC529" s="62">
        <v>6075.7516123421965</v>
      </c>
      <c r="DD529" s="62">
        <v>6704.6195113936938</v>
      </c>
      <c r="DE529" s="62">
        <v>8621.200193975892</v>
      </c>
      <c r="DF529" s="62">
        <v>8927.0137387004615</v>
      </c>
    </row>
    <row r="530" spans="1:110" ht="12">
      <c r="C530" s="41"/>
      <c r="D530" s="41"/>
      <c r="E530" s="41"/>
      <c r="F530" s="41"/>
      <c r="G530" s="41"/>
      <c r="H530" s="41"/>
      <c r="I530" s="41"/>
      <c r="J530" s="41"/>
      <c r="K530" s="41"/>
      <c r="L530" s="41"/>
      <c r="M530" s="41"/>
      <c r="N530" s="41"/>
      <c r="O530" s="41"/>
      <c r="P530" s="41"/>
      <c r="Q530" s="41"/>
      <c r="R530" s="41"/>
      <c r="S530" s="41"/>
      <c r="T530" s="41"/>
      <c r="U530" s="41"/>
      <c r="V530" s="41"/>
      <c r="W530" s="41"/>
      <c r="X530" s="41"/>
      <c r="Y530" s="41"/>
      <c r="Z530" s="41"/>
      <c r="AA530" s="41"/>
      <c r="AB530" s="41"/>
      <c r="AC530" s="41"/>
      <c r="AD530" s="41"/>
      <c r="AE530" s="41"/>
      <c r="AF530" s="41"/>
      <c r="AG530" s="41"/>
      <c r="AH530" s="37"/>
      <c r="AI530" s="37"/>
      <c r="AJ530" s="41"/>
      <c r="AK530" s="41"/>
      <c r="AL530" s="37"/>
      <c r="AM530" s="37"/>
      <c r="AN530" s="41"/>
      <c r="AO530" s="41"/>
      <c r="AP530" s="41"/>
      <c r="AQ530" s="41"/>
      <c r="AR530" s="41"/>
      <c r="AS530" s="41"/>
      <c r="AT530" s="41"/>
      <c r="AU530" s="41"/>
      <c r="AV530" s="211"/>
      <c r="AW530" s="35"/>
      <c r="AX530" s="41"/>
      <c r="AY530" s="41"/>
      <c r="AZ530" s="41"/>
      <c r="BA530" s="41"/>
      <c r="BB530" s="41"/>
      <c r="BC530" s="41"/>
      <c r="BD530" s="41"/>
      <c r="BE530" s="41"/>
      <c r="BF530" s="41"/>
      <c r="BG530" s="41"/>
      <c r="BH530" s="41"/>
      <c r="BI530" s="41"/>
      <c r="BJ530" s="41"/>
      <c r="BK530" s="41"/>
      <c r="BL530" s="41"/>
      <c r="BM530" s="41"/>
      <c r="BN530" s="41"/>
      <c r="BO530" s="41"/>
      <c r="BP530" s="41"/>
      <c r="BQ530" s="41"/>
      <c r="BR530" s="41"/>
      <c r="BS530" s="41"/>
      <c r="BT530" s="41"/>
      <c r="BU530" s="41"/>
      <c r="BV530" s="41"/>
      <c r="BW530" s="41"/>
      <c r="BX530" s="41"/>
      <c r="BY530" s="41"/>
      <c r="BZ530" s="13"/>
      <c r="CA530" s="41"/>
      <c r="CB530" s="41"/>
      <c r="CC530" s="41"/>
      <c r="CD530" s="41"/>
      <c r="CE530" s="41"/>
      <c r="CF530" s="41"/>
      <c r="CG530" s="41"/>
      <c r="CH530" s="41"/>
      <c r="CI530" s="41"/>
      <c r="CJ530" s="41"/>
      <c r="CK530" s="41"/>
      <c r="CL530" s="41"/>
      <c r="CM530" s="41"/>
      <c r="CN530" s="41"/>
      <c r="CO530" s="41"/>
      <c r="CP530" s="41"/>
      <c r="CQ530" s="41"/>
      <c r="CR530" s="41"/>
      <c r="CS530" s="41"/>
      <c r="CT530" s="41"/>
      <c r="CU530" s="41"/>
      <c r="CV530" s="211"/>
      <c r="CW530" s="41"/>
      <c r="CX530" s="41"/>
      <c r="CY530" s="41"/>
      <c r="CZ530" s="15"/>
      <c r="DA530" s="15"/>
      <c r="DB530" s="15"/>
      <c r="DC530" s="15"/>
      <c r="DD530" s="15"/>
      <c r="DE530" s="15"/>
      <c r="DF530" s="15"/>
    </row>
    <row r="531" spans="1:110" s="26" customFormat="1" ht="12" collapsed="1">
      <c r="A531" s="1" t="s">
        <v>841</v>
      </c>
      <c r="B531" s="2" t="s">
        <v>243</v>
      </c>
      <c r="C531" s="60">
        <v>9012</v>
      </c>
      <c r="D531" s="60">
        <v>9379</v>
      </c>
      <c r="E531" s="60">
        <v>10073</v>
      </c>
      <c r="F531" s="60">
        <v>11243</v>
      </c>
      <c r="G531" s="60">
        <v>11558</v>
      </c>
      <c r="H531" s="60">
        <v>15744</v>
      </c>
      <c r="I531" s="60">
        <v>17036</v>
      </c>
      <c r="J531" s="60">
        <v>17051</v>
      </c>
      <c r="K531" s="60">
        <v>17653</v>
      </c>
      <c r="L531" s="60">
        <v>17891</v>
      </c>
      <c r="M531" s="60">
        <v>19001</v>
      </c>
      <c r="N531" s="60">
        <v>20007</v>
      </c>
      <c r="O531" s="60">
        <v>21139</v>
      </c>
      <c r="P531" s="60">
        <v>23042</v>
      </c>
      <c r="Q531" s="60">
        <v>25619</v>
      </c>
      <c r="R531" s="60">
        <v>27424</v>
      </c>
      <c r="S531" s="60">
        <v>31493</v>
      </c>
      <c r="T531" s="60">
        <v>31646</v>
      </c>
      <c r="U531" s="60">
        <v>33220</v>
      </c>
      <c r="V531" s="60">
        <v>34189</v>
      </c>
      <c r="W531" s="60">
        <v>37035</v>
      </c>
      <c r="X531" s="60">
        <v>38523</v>
      </c>
      <c r="Y531" s="60">
        <v>40300</v>
      </c>
      <c r="Z531" s="60">
        <v>41579</v>
      </c>
      <c r="AA531" s="60">
        <v>44670</v>
      </c>
      <c r="AB531" s="60">
        <v>46100</v>
      </c>
      <c r="AC531" s="60">
        <v>48336</v>
      </c>
      <c r="AD531" s="60">
        <v>51956</v>
      </c>
      <c r="AE531" s="60">
        <v>57247</v>
      </c>
      <c r="AF531" s="60">
        <v>56363</v>
      </c>
      <c r="AG531" s="60">
        <v>57818</v>
      </c>
      <c r="AH531" s="60">
        <v>57791</v>
      </c>
      <c r="AI531" s="60">
        <v>58959</v>
      </c>
      <c r="AJ531" s="60">
        <v>59374</v>
      </c>
      <c r="AK531" s="60">
        <v>59265</v>
      </c>
      <c r="AL531" s="60">
        <v>59821</v>
      </c>
      <c r="AM531" s="60">
        <v>60783</v>
      </c>
      <c r="AN531" s="60">
        <v>61364</v>
      </c>
      <c r="AO531" s="60">
        <v>61287</v>
      </c>
      <c r="AP531" s="60">
        <v>62566</v>
      </c>
      <c r="AQ531" s="60">
        <v>63665</v>
      </c>
      <c r="AR531" s="60">
        <v>61747</v>
      </c>
      <c r="AS531" s="60">
        <v>65907</v>
      </c>
      <c r="AT531" s="60">
        <v>69055</v>
      </c>
      <c r="AU531" s="60">
        <v>69495</v>
      </c>
      <c r="AV531" s="219">
        <v>69538</v>
      </c>
      <c r="AW531" s="60">
        <v>67227.268748125702</v>
      </c>
      <c r="AX531" s="60">
        <v>66996.437121254814</v>
      </c>
      <c r="AY531" s="60">
        <v>67174.042610079734</v>
      </c>
      <c r="AZ531" s="60">
        <v>67563.495306056677</v>
      </c>
      <c r="BA531" s="60">
        <v>67926.42499888585</v>
      </c>
      <c r="BB531" s="60">
        <v>68637.490561684681</v>
      </c>
      <c r="BC531" s="60">
        <v>69378.990604140577</v>
      </c>
      <c r="BD531" s="60">
        <v>70384.510564365468</v>
      </c>
      <c r="BE531" s="60">
        <v>71255.766244898085</v>
      </c>
      <c r="BF531" s="60">
        <v>72416.458771967111</v>
      </c>
      <c r="BG531" s="60">
        <v>73343.281143929184</v>
      </c>
      <c r="BH531" s="60">
        <v>74074.189102998149</v>
      </c>
      <c r="BI531" s="60">
        <v>76799.892095728457</v>
      </c>
      <c r="BJ531" s="60">
        <v>79889.038935179997</v>
      </c>
      <c r="BK531" s="60">
        <v>81328.627445810562</v>
      </c>
      <c r="BL531" s="60">
        <v>83332.401381703792</v>
      </c>
      <c r="BM531" s="60">
        <v>84570.55846321056</v>
      </c>
      <c r="BN531" s="60">
        <v>86090.764698953048</v>
      </c>
      <c r="BO531" s="60">
        <v>87362.787691546386</v>
      </c>
      <c r="BP531" s="60"/>
      <c r="BQ531" s="60">
        <v>3942.2999999999993</v>
      </c>
      <c r="BR531" s="60">
        <v>4489.0000000000009</v>
      </c>
      <c r="BS531" s="60">
        <v>4856</v>
      </c>
      <c r="BT531" s="60">
        <v>5700</v>
      </c>
      <c r="BU531" s="60">
        <v>6290</v>
      </c>
      <c r="BV531" s="60">
        <v>6943</v>
      </c>
      <c r="BW531" s="60">
        <v>7690</v>
      </c>
      <c r="BX531" s="60">
        <v>8258</v>
      </c>
      <c r="BY531" s="60">
        <v>8421</v>
      </c>
      <c r="BZ531" s="60">
        <v>9012</v>
      </c>
      <c r="CA531" s="60">
        <v>10073</v>
      </c>
      <c r="CB531" s="60">
        <v>11558</v>
      </c>
      <c r="CC531" s="60">
        <v>17036</v>
      </c>
      <c r="CD531" s="60">
        <v>17653</v>
      </c>
      <c r="CE531" s="60">
        <v>19001</v>
      </c>
      <c r="CF531" s="60">
        <v>21139</v>
      </c>
      <c r="CG531" s="60">
        <v>25619</v>
      </c>
      <c r="CH531" s="60">
        <v>31493</v>
      </c>
      <c r="CI531" s="60">
        <v>33220</v>
      </c>
      <c r="CJ531" s="60">
        <v>37035</v>
      </c>
      <c r="CK531" s="60">
        <v>40300</v>
      </c>
      <c r="CL531" s="60">
        <v>44670</v>
      </c>
      <c r="CM531" s="60">
        <v>48336</v>
      </c>
      <c r="CN531" s="60">
        <v>57247</v>
      </c>
      <c r="CO531" s="60">
        <v>57818</v>
      </c>
      <c r="CP531" s="60">
        <v>58959</v>
      </c>
      <c r="CQ531" s="60">
        <v>59265</v>
      </c>
      <c r="CR531" s="60">
        <v>60783</v>
      </c>
      <c r="CS531" s="60">
        <v>61287</v>
      </c>
      <c r="CT531" s="60">
        <v>63665</v>
      </c>
      <c r="CU531" s="60">
        <v>65907</v>
      </c>
      <c r="CV531" s="219">
        <v>69495</v>
      </c>
      <c r="CW531" s="60">
        <v>67227.268748125702</v>
      </c>
      <c r="CX531" s="60">
        <v>67174.042610079749</v>
      </c>
      <c r="CY531" s="60">
        <v>67926.424998885879</v>
      </c>
      <c r="CZ531" s="60">
        <v>69378.990604140621</v>
      </c>
      <c r="DA531" s="60">
        <v>71255.766244898143</v>
      </c>
      <c r="DB531" s="60">
        <v>73343.281143929256</v>
      </c>
      <c r="DC531" s="60">
        <v>76799.892095728545</v>
      </c>
      <c r="DD531" s="60">
        <v>81328.627445810649</v>
      </c>
      <c r="DE531" s="60">
        <v>84570.558463210647</v>
      </c>
      <c r="DF531" s="60">
        <v>87362.787691546473</v>
      </c>
    </row>
    <row r="532" spans="1:110" ht="12" outlineLevel="1">
      <c r="C532" s="41"/>
      <c r="D532" s="41"/>
      <c r="E532" s="41"/>
      <c r="F532" s="41"/>
      <c r="G532" s="41"/>
      <c r="H532" s="41"/>
      <c r="I532" s="41"/>
      <c r="J532" s="41"/>
      <c r="K532" s="41"/>
      <c r="L532" s="41"/>
      <c r="M532" s="41"/>
      <c r="N532" s="41"/>
      <c r="O532" s="41"/>
      <c r="P532" s="41"/>
      <c r="Q532" s="41"/>
      <c r="R532" s="41"/>
      <c r="S532" s="41"/>
      <c r="T532" s="41"/>
      <c r="U532" s="41"/>
      <c r="V532" s="41"/>
      <c r="W532" s="41"/>
      <c r="X532" s="41"/>
      <c r="Y532" s="41"/>
      <c r="Z532" s="41"/>
      <c r="AA532" s="41"/>
      <c r="AB532" s="41"/>
      <c r="AC532" s="41"/>
      <c r="AD532" s="41"/>
      <c r="AE532" s="41"/>
      <c r="AF532" s="41"/>
      <c r="AG532" s="41"/>
      <c r="AH532" s="41"/>
      <c r="AI532" s="41"/>
      <c r="AJ532" s="41"/>
      <c r="AK532" s="41"/>
      <c r="AL532" s="41"/>
      <c r="AM532" s="41"/>
      <c r="AN532" s="41"/>
      <c r="AO532" s="41"/>
      <c r="AP532" s="41"/>
      <c r="AQ532" s="41"/>
      <c r="AR532" s="41"/>
      <c r="AS532" s="41"/>
      <c r="AT532" s="41"/>
      <c r="AU532" s="41"/>
      <c r="AV532" s="211"/>
      <c r="AW532" s="41"/>
      <c r="AX532" s="41"/>
      <c r="AY532" s="41"/>
      <c r="AZ532" s="41"/>
      <c r="BA532" s="41"/>
      <c r="BB532" s="41"/>
      <c r="BC532" s="41"/>
      <c r="BD532" s="41"/>
      <c r="BE532" s="41"/>
      <c r="BF532" s="41"/>
      <c r="BG532" s="41"/>
      <c r="BH532" s="41"/>
      <c r="BI532" s="41"/>
      <c r="BJ532" s="41"/>
      <c r="BK532" s="41"/>
      <c r="BL532" s="41"/>
      <c r="BM532" s="41"/>
      <c r="BN532" s="41"/>
      <c r="BO532" s="41"/>
      <c r="BP532" s="41"/>
      <c r="BQ532" s="41"/>
      <c r="BR532" s="41"/>
      <c r="BS532" s="41"/>
      <c r="BT532" s="41"/>
      <c r="BU532" s="41"/>
      <c r="BV532" s="41"/>
      <c r="BW532" s="41"/>
      <c r="BX532" s="41"/>
      <c r="BY532" s="41"/>
      <c r="BZ532" s="41"/>
      <c r="CA532" s="41"/>
      <c r="CB532" s="41"/>
      <c r="CC532" s="41"/>
      <c r="CD532" s="41"/>
      <c r="CE532" s="41"/>
      <c r="CF532" s="41"/>
      <c r="CG532" s="41"/>
      <c r="CH532" s="41"/>
      <c r="CI532" s="41"/>
      <c r="CJ532" s="41"/>
      <c r="CK532" s="41"/>
      <c r="CL532" s="41"/>
      <c r="CM532" s="41"/>
      <c r="CN532" s="41"/>
      <c r="CO532" s="41"/>
      <c r="CP532" s="41"/>
      <c r="CQ532" s="41"/>
      <c r="CR532" s="41"/>
      <c r="CS532" s="41"/>
      <c r="CT532" s="41"/>
      <c r="CU532" s="41"/>
      <c r="CV532" s="211"/>
      <c r="CW532" s="41"/>
      <c r="CX532" s="41"/>
      <c r="CY532" s="41"/>
      <c r="CZ532" s="15"/>
      <c r="DA532" s="15"/>
      <c r="DB532" s="15"/>
      <c r="DC532" s="15"/>
      <c r="DD532" s="15"/>
      <c r="DE532" s="15"/>
      <c r="DF532" s="15"/>
    </row>
    <row r="533" spans="1:110" s="17" customFormat="1" ht="12" outlineLevel="1">
      <c r="A533" s="1" t="s">
        <v>842</v>
      </c>
      <c r="B533" s="17" t="s">
        <v>244</v>
      </c>
      <c r="C533" s="390">
        <v>8662</v>
      </c>
      <c r="D533" s="62">
        <v>9012</v>
      </c>
      <c r="E533" s="62">
        <v>9379</v>
      </c>
      <c r="F533" s="62">
        <v>10073</v>
      </c>
      <c r="G533" s="62">
        <v>11243</v>
      </c>
      <c r="H533" s="62">
        <v>11558</v>
      </c>
      <c r="I533" s="62">
        <v>15744</v>
      </c>
      <c r="J533" s="62">
        <v>17036</v>
      </c>
      <c r="K533" s="62">
        <v>17051</v>
      </c>
      <c r="L533" s="62">
        <v>17653</v>
      </c>
      <c r="M533" s="62">
        <v>17891</v>
      </c>
      <c r="N533" s="62">
        <v>19001</v>
      </c>
      <c r="O533" s="62">
        <v>20007</v>
      </c>
      <c r="P533" s="62">
        <v>21139</v>
      </c>
      <c r="Q533" s="62">
        <v>23042</v>
      </c>
      <c r="R533" s="62">
        <v>25619</v>
      </c>
      <c r="S533" s="62">
        <v>27424</v>
      </c>
      <c r="T533" s="62">
        <v>31493</v>
      </c>
      <c r="U533" s="62">
        <v>31646</v>
      </c>
      <c r="V533" s="62">
        <v>33220</v>
      </c>
      <c r="W533" s="62">
        <v>34189</v>
      </c>
      <c r="X533" s="62">
        <v>37035</v>
      </c>
      <c r="Y533" s="62">
        <v>38523</v>
      </c>
      <c r="Z533" s="62">
        <v>40300</v>
      </c>
      <c r="AA533" s="62">
        <v>41579</v>
      </c>
      <c r="AB533" s="62">
        <v>44670</v>
      </c>
      <c r="AC533" s="62">
        <v>46100</v>
      </c>
      <c r="AD533" s="62">
        <v>48336</v>
      </c>
      <c r="AE533" s="62">
        <v>51956</v>
      </c>
      <c r="AF533" s="62">
        <v>57247</v>
      </c>
      <c r="AG533" s="62">
        <v>56363</v>
      </c>
      <c r="AH533" s="62">
        <v>57818</v>
      </c>
      <c r="AI533" s="62">
        <v>57791</v>
      </c>
      <c r="AJ533" s="62">
        <v>58959</v>
      </c>
      <c r="AK533" s="62">
        <v>59374</v>
      </c>
      <c r="AL533" s="62">
        <v>59265</v>
      </c>
      <c r="AM533" s="62">
        <v>59821</v>
      </c>
      <c r="AN533" s="62">
        <v>60783</v>
      </c>
      <c r="AO533" s="62">
        <v>61364</v>
      </c>
      <c r="AP533" s="62">
        <v>61287</v>
      </c>
      <c r="AQ533" s="62">
        <v>62566</v>
      </c>
      <c r="AR533" s="62">
        <v>63665</v>
      </c>
      <c r="AS533" s="62">
        <v>61747</v>
      </c>
      <c r="AT533" s="62">
        <v>65907</v>
      </c>
      <c r="AU533" s="62">
        <v>69055</v>
      </c>
      <c r="AV533" s="220">
        <v>69495</v>
      </c>
      <c r="AW533" s="62">
        <v>69538</v>
      </c>
      <c r="AX533" s="62">
        <v>67227.268748125702</v>
      </c>
      <c r="AY533" s="62">
        <v>66996.437121254814</v>
      </c>
      <c r="AZ533" s="62">
        <v>67174.042610079734</v>
      </c>
      <c r="BA533" s="62">
        <v>67563.495306056677</v>
      </c>
      <c r="BB533" s="62">
        <v>67926.42499888585</v>
      </c>
      <c r="BC533" s="62">
        <v>68637.490561684681</v>
      </c>
      <c r="BD533" s="62">
        <v>69378.990604140577</v>
      </c>
      <c r="BE533" s="62">
        <v>70384.510564365468</v>
      </c>
      <c r="BF533" s="62">
        <v>71255.766244898085</v>
      </c>
      <c r="BG533" s="62">
        <v>72416.458771967111</v>
      </c>
      <c r="BH533" s="62">
        <v>73343.281143929184</v>
      </c>
      <c r="BI533" s="62">
        <v>74074.189102998149</v>
      </c>
      <c r="BJ533" s="62">
        <v>76799.892095728457</v>
      </c>
      <c r="BK533" s="62">
        <v>79889.038935179997</v>
      </c>
      <c r="BL533" s="62">
        <v>81328.627445810562</v>
      </c>
      <c r="BM533" s="62">
        <v>83332.401381703792</v>
      </c>
      <c r="BN533" s="62">
        <v>84570.55846321056</v>
      </c>
      <c r="BO533" s="62">
        <v>86090.764698953048</v>
      </c>
      <c r="BP533" s="62"/>
      <c r="BQ533" s="142">
        <v>3358.1</v>
      </c>
      <c r="BR533" s="62">
        <v>3942.2999999999993</v>
      </c>
      <c r="BS533" s="62">
        <v>4489.0000000000009</v>
      </c>
      <c r="BT533" s="62">
        <v>4856</v>
      </c>
      <c r="BU533" s="62">
        <v>5700</v>
      </c>
      <c r="BV533" s="62">
        <v>6290</v>
      </c>
      <c r="BW533" s="62">
        <v>6943</v>
      </c>
      <c r="BX533" s="62">
        <v>7690</v>
      </c>
      <c r="BY533" s="62">
        <v>8258</v>
      </c>
      <c r="BZ533" s="62">
        <v>8421</v>
      </c>
      <c r="CA533" s="62">
        <v>9012</v>
      </c>
      <c r="CB533" s="62">
        <v>10073</v>
      </c>
      <c r="CC533" s="62">
        <v>11558</v>
      </c>
      <c r="CD533" s="62">
        <v>17036</v>
      </c>
      <c r="CE533" s="62">
        <v>17653</v>
      </c>
      <c r="CF533" s="62">
        <v>19001</v>
      </c>
      <c r="CG533" s="62">
        <v>21139</v>
      </c>
      <c r="CH533" s="62">
        <v>25619</v>
      </c>
      <c r="CI533" s="62">
        <v>31493</v>
      </c>
      <c r="CJ533" s="62">
        <v>33220</v>
      </c>
      <c r="CK533" s="62">
        <v>37035</v>
      </c>
      <c r="CL533" s="62">
        <v>40300</v>
      </c>
      <c r="CM533" s="62">
        <v>44670</v>
      </c>
      <c r="CN533" s="62">
        <v>48336</v>
      </c>
      <c r="CO533" s="62">
        <v>57247</v>
      </c>
      <c r="CP533" s="62">
        <v>57818</v>
      </c>
      <c r="CQ533" s="62">
        <v>58959</v>
      </c>
      <c r="CR533" s="62">
        <v>59265</v>
      </c>
      <c r="CS533" s="62">
        <v>60783</v>
      </c>
      <c r="CT533" s="62">
        <v>61287</v>
      </c>
      <c r="CU533" s="62">
        <v>63665</v>
      </c>
      <c r="CV533" s="220">
        <v>65907</v>
      </c>
      <c r="CW533" s="62">
        <v>69495</v>
      </c>
      <c r="CX533" s="62">
        <v>67227.268748125702</v>
      </c>
      <c r="CY533" s="62">
        <v>67174.042610079749</v>
      </c>
      <c r="CZ533" s="62">
        <v>67926.424998885879</v>
      </c>
      <c r="DA533" s="62">
        <v>69378.990604140621</v>
      </c>
      <c r="DB533" s="62">
        <v>71255.766244898143</v>
      </c>
      <c r="DC533" s="62">
        <v>73343.281143929256</v>
      </c>
      <c r="DD533" s="62">
        <v>76799.892095728545</v>
      </c>
      <c r="DE533" s="62">
        <v>81328.627445810649</v>
      </c>
      <c r="DF533" s="62">
        <v>84570.558463210647</v>
      </c>
    </row>
    <row r="534" spans="1:110" ht="12" outlineLevel="1">
      <c r="A534" s="1" t="s">
        <v>978</v>
      </c>
      <c r="B534" s="15" t="s">
        <v>242</v>
      </c>
      <c r="C534" s="41">
        <v>905</v>
      </c>
      <c r="D534" s="41">
        <v>907</v>
      </c>
      <c r="E534" s="41">
        <v>1316.9999999999998</v>
      </c>
      <c r="F534" s="41">
        <v>1092.0000000000002</v>
      </c>
      <c r="G534" s="41">
        <v>900</v>
      </c>
      <c r="H534" s="41">
        <v>1323</v>
      </c>
      <c r="I534" s="41">
        <v>2019.0000000000007</v>
      </c>
      <c r="J534" s="41">
        <v>970.00000000000045</v>
      </c>
      <c r="K534" s="41">
        <v>1431.9999999999995</v>
      </c>
      <c r="L534" s="41">
        <v>1294.9999999999995</v>
      </c>
      <c r="M534" s="41">
        <v>1930</v>
      </c>
      <c r="N534" s="41">
        <v>2127.9999999999995</v>
      </c>
      <c r="O534" s="41">
        <v>1735</v>
      </c>
      <c r="P534" s="41">
        <v>1835.0000000000007</v>
      </c>
      <c r="Q534" s="41">
        <v>1554.0000000000005</v>
      </c>
      <c r="R534" s="41">
        <v>1756</v>
      </c>
      <c r="S534" s="41">
        <v>41</v>
      </c>
      <c r="T534" s="41">
        <v>1390</v>
      </c>
      <c r="U534" s="41">
        <v>2280</v>
      </c>
      <c r="V534" s="41">
        <v>2127</v>
      </c>
      <c r="W534" s="41">
        <v>3734</v>
      </c>
      <c r="X534" s="41">
        <v>2598</v>
      </c>
      <c r="Y534" s="41">
        <v>2642</v>
      </c>
      <c r="Z534" s="41">
        <v>2826</v>
      </c>
      <c r="AA534" s="41">
        <v>5009</v>
      </c>
      <c r="AB534" s="41">
        <v>4000</v>
      </c>
      <c r="AC534" s="41">
        <v>3976</v>
      </c>
      <c r="AD534" s="41">
        <v>6078</v>
      </c>
      <c r="AE534" s="41">
        <v>6612</v>
      </c>
      <c r="AF534" s="41">
        <v>1569</v>
      </c>
      <c r="AG534" s="41">
        <v>3605</v>
      </c>
      <c r="AH534" s="41">
        <v>2002</v>
      </c>
      <c r="AI534" s="41">
        <v>3425</v>
      </c>
      <c r="AJ534" s="41">
        <v>3878</v>
      </c>
      <c r="AK534" s="41">
        <v>2982</v>
      </c>
      <c r="AL534" s="41">
        <v>3967</v>
      </c>
      <c r="AM534" s="41">
        <v>3152</v>
      </c>
      <c r="AN534" s="41">
        <v>2859</v>
      </c>
      <c r="AO534" s="41">
        <v>527</v>
      </c>
      <c r="AP534" s="41">
        <v>2168</v>
      </c>
      <c r="AQ534" s="41">
        <v>3685</v>
      </c>
      <c r="AR534" s="41">
        <v>969</v>
      </c>
      <c r="AS534" s="41">
        <v>5924</v>
      </c>
      <c r="AT534" s="41">
        <v>5074</v>
      </c>
      <c r="AU534" s="41">
        <v>2815</v>
      </c>
      <c r="AV534" s="211">
        <v>2876</v>
      </c>
      <c r="AW534" s="41">
        <v>1185.502610865708</v>
      </c>
      <c r="AX534" s="41">
        <v>3237.8882424466779</v>
      </c>
      <c r="AY534" s="41">
        <v>2620.1748688817979</v>
      </c>
      <c r="AZ534" s="41">
        <v>2832.0220760338311</v>
      </c>
      <c r="BA534" s="41">
        <v>2805.4990728860507</v>
      </c>
      <c r="BB534" s="41">
        <v>3153.634942855721</v>
      </c>
      <c r="BC534" s="41">
        <v>3184.0694225127745</v>
      </c>
      <c r="BD534" s="41">
        <v>3448.0893402817796</v>
      </c>
      <c r="BE534" s="41">
        <v>3343.253607337173</v>
      </c>
      <c r="BF534" s="41">
        <v>3632.6904538735798</v>
      </c>
      <c r="BG534" s="41">
        <v>3545.9630325050002</v>
      </c>
      <c r="BH534" s="41">
        <v>3350.0486196118845</v>
      </c>
      <c r="BI534" s="41">
        <v>2725.702992730312</v>
      </c>
      <c r="BJ534" s="41">
        <v>3089.1468394515346</v>
      </c>
      <c r="BK534" s="41">
        <v>3615.4726719421592</v>
      </c>
      <c r="BL534" s="41">
        <v>4360.9817773141249</v>
      </c>
      <c r="BM534" s="41">
        <v>4260.2184166617681</v>
      </c>
      <c r="BN534" s="41">
        <v>4542.2675708974803</v>
      </c>
      <c r="BO534" s="41">
        <v>4384.7461678029813</v>
      </c>
      <c r="BP534" s="41"/>
      <c r="BQ534" s="41">
        <v>727.49999999999932</v>
      </c>
      <c r="BR534" s="41">
        <v>700.50000000000057</v>
      </c>
      <c r="BS534" s="41">
        <v>714.99999999999909</v>
      </c>
      <c r="BT534" s="41">
        <v>1262</v>
      </c>
      <c r="BU534" s="41">
        <v>1021</v>
      </c>
      <c r="BV534" s="41">
        <v>1128</v>
      </c>
      <c r="BW534" s="41">
        <v>1248</v>
      </c>
      <c r="BX534" s="41">
        <v>1265</v>
      </c>
      <c r="BY534" s="41">
        <v>1948</v>
      </c>
      <c r="BZ534" s="41">
        <v>2067</v>
      </c>
      <c r="CA534" s="41">
        <v>2224</v>
      </c>
      <c r="CB534" s="41">
        <v>1992.0000000000002</v>
      </c>
      <c r="CC534" s="41">
        <v>3342.0000000000009</v>
      </c>
      <c r="CD534" s="41">
        <v>2402</v>
      </c>
      <c r="CE534" s="41">
        <v>3224.9999999999995</v>
      </c>
      <c r="CF534" s="41">
        <v>3862.9999999999995</v>
      </c>
      <c r="CG534" s="41">
        <v>3389.0000000000009</v>
      </c>
      <c r="CH534" s="41">
        <v>1797</v>
      </c>
      <c r="CI534" s="41">
        <v>3670</v>
      </c>
      <c r="CJ534" s="41">
        <v>5861</v>
      </c>
      <c r="CK534" s="41">
        <v>5240</v>
      </c>
      <c r="CL534" s="41">
        <v>7835</v>
      </c>
      <c r="CM534" s="41">
        <v>7976</v>
      </c>
      <c r="CN534" s="41">
        <v>12690</v>
      </c>
      <c r="CO534" s="41">
        <v>5174</v>
      </c>
      <c r="CP534" s="41">
        <v>5427</v>
      </c>
      <c r="CQ534" s="41">
        <v>6860</v>
      </c>
      <c r="CR534" s="41">
        <v>7119</v>
      </c>
      <c r="CS534" s="41">
        <v>3386</v>
      </c>
      <c r="CT534" s="41">
        <v>5853</v>
      </c>
      <c r="CU534" s="41">
        <v>6893</v>
      </c>
      <c r="CV534" s="211">
        <v>7889</v>
      </c>
      <c r="CW534" s="41">
        <v>4061.502610865708</v>
      </c>
      <c r="CX534" s="41">
        <v>5858.0631113284762</v>
      </c>
      <c r="CY534" s="41">
        <v>5637.5211489198819</v>
      </c>
      <c r="CZ534" s="41">
        <v>6337.7043653684959</v>
      </c>
      <c r="DA534" s="41">
        <v>6791.3429476189522</v>
      </c>
      <c r="DB534" s="41">
        <v>7178.6534863785801</v>
      </c>
      <c r="DC534" s="41">
        <v>6075.7516123421965</v>
      </c>
      <c r="DD534" s="41">
        <v>6704.6195113936938</v>
      </c>
      <c r="DE534" s="41">
        <v>8621.200193975892</v>
      </c>
      <c r="DF534" s="41">
        <v>8927.0137387004615</v>
      </c>
    </row>
    <row r="535" spans="1:110" ht="12" outlineLevel="1">
      <c r="A535" s="1" t="s">
        <v>1004</v>
      </c>
      <c r="B535" s="15" t="s">
        <v>245</v>
      </c>
      <c r="C535" s="40">
        <v>-583</v>
      </c>
      <c r="D535" s="40">
        <v>-571</v>
      </c>
      <c r="E535" s="40">
        <v>-681</v>
      </c>
      <c r="F535" s="40">
        <v>13</v>
      </c>
      <c r="G535" s="40">
        <v>-654</v>
      </c>
      <c r="H535" s="40">
        <v>-762</v>
      </c>
      <c r="I535" s="40">
        <v>-836</v>
      </c>
      <c r="J535" s="40">
        <v>-964</v>
      </c>
      <c r="K535" s="40">
        <v>-913</v>
      </c>
      <c r="L535" s="40">
        <v>-1060</v>
      </c>
      <c r="M535" s="40">
        <v>-1008</v>
      </c>
      <c r="N535" s="40">
        <v>-1248</v>
      </c>
      <c r="O535" s="40">
        <v>-1115</v>
      </c>
      <c r="P535" s="40">
        <v>-1344</v>
      </c>
      <c r="Q535" s="40">
        <v>-1162</v>
      </c>
      <c r="R535" s="40">
        <v>-1476</v>
      </c>
      <c r="S535" s="40">
        <v>-976</v>
      </c>
      <c r="T535" s="40">
        <v>-1374</v>
      </c>
      <c r="U535" s="40">
        <v>-1293</v>
      </c>
      <c r="V535" s="40">
        <v>-1860</v>
      </c>
      <c r="W535" s="40">
        <v>-1631</v>
      </c>
      <c r="X535" s="40">
        <v>-1955</v>
      </c>
      <c r="Y535" s="40">
        <v>-1736</v>
      </c>
      <c r="Z535" s="141">
        <v>-2115</v>
      </c>
      <c r="AA535" s="141">
        <v>-1967</v>
      </c>
      <c r="AB535" s="141">
        <v>-2455</v>
      </c>
      <c r="AC535" s="141">
        <v>-2239</v>
      </c>
      <c r="AD535" s="141">
        <v>-2578</v>
      </c>
      <c r="AE535" s="141">
        <v>-2328</v>
      </c>
      <c r="AF535" s="141">
        <v>-2711</v>
      </c>
      <c r="AG535" s="141">
        <v>-2290</v>
      </c>
      <c r="AH535" s="141">
        <v>-2300</v>
      </c>
      <c r="AI535" s="141">
        <v>-2309</v>
      </c>
      <c r="AJ535" s="141">
        <v>-2308</v>
      </c>
      <c r="AK535" s="141">
        <v>-2277</v>
      </c>
      <c r="AL535" s="141">
        <v>-2254</v>
      </c>
      <c r="AM535" s="141">
        <v>-2227</v>
      </c>
      <c r="AN535" s="141">
        <v>-2228</v>
      </c>
      <c r="AO535" s="141">
        <v>-694</v>
      </c>
      <c r="AP535" s="141">
        <v>-973</v>
      </c>
      <c r="AQ535" s="141">
        <v>-1955</v>
      </c>
      <c r="AR535" s="141">
        <v>-1994</v>
      </c>
      <c r="AS535" s="141">
        <v>-1973</v>
      </c>
      <c r="AT535" s="141">
        <v>-2185</v>
      </c>
      <c r="AU535" s="141">
        <v>-2401</v>
      </c>
      <c r="AV535" s="226">
        <v>-2784</v>
      </c>
      <c r="AW535" s="41">
        <v>-2496.2338627399999</v>
      </c>
      <c r="AX535" s="41">
        <v>-2468.7198693175578</v>
      </c>
      <c r="AY535" s="41">
        <v>-2442.5693800568788</v>
      </c>
      <c r="AZ535" s="41">
        <v>-2442.5693800568788</v>
      </c>
      <c r="BA535" s="41">
        <v>-2442.5693800568788</v>
      </c>
      <c r="BB535" s="41">
        <v>-2442.5693800568788</v>
      </c>
      <c r="BC535" s="41">
        <v>-2442.5693800568788</v>
      </c>
      <c r="BD535" s="41">
        <v>-2442.5693800568788</v>
      </c>
      <c r="BE535" s="41">
        <v>-2471.9979268045522</v>
      </c>
      <c r="BF535" s="41">
        <v>-2471.9979268045522</v>
      </c>
      <c r="BG535" s="41">
        <v>-2619.1406605429183</v>
      </c>
      <c r="BH535" s="41">
        <v>-2619.1406605429183</v>
      </c>
      <c r="BI535" s="41">
        <v>-2354.2837398138595</v>
      </c>
      <c r="BJ535" s="41">
        <v>-2149.3891837208093</v>
      </c>
      <c r="BK535" s="41">
        <v>-2175.8841613115969</v>
      </c>
      <c r="BL535" s="41">
        <v>-2357.2078414208968</v>
      </c>
      <c r="BM535" s="41">
        <v>-3022.061335154996</v>
      </c>
      <c r="BN535" s="41">
        <v>-3022.061335154996</v>
      </c>
      <c r="BO535" s="41">
        <v>-3112.7231752096459</v>
      </c>
      <c r="BP535" s="41"/>
      <c r="BQ535" s="40">
        <v>-202.8</v>
      </c>
      <c r="BR535" s="40">
        <v>-224.5</v>
      </c>
      <c r="BS535" s="40">
        <v>-313</v>
      </c>
      <c r="BT535" s="40">
        <v>-424</v>
      </c>
      <c r="BU535" s="40">
        <v>-584</v>
      </c>
      <c r="BV535" s="40">
        <v>-695</v>
      </c>
      <c r="BW535" s="40">
        <v>-747</v>
      </c>
      <c r="BX535" s="40">
        <v>-814</v>
      </c>
      <c r="BY535" s="40">
        <v>-941</v>
      </c>
      <c r="BZ535" s="40">
        <v>-1062</v>
      </c>
      <c r="CA535" s="41">
        <v>-1252</v>
      </c>
      <c r="CB535" s="41">
        <v>-641</v>
      </c>
      <c r="CC535" s="41">
        <v>-1598</v>
      </c>
      <c r="CD535" s="41">
        <v>-1877</v>
      </c>
      <c r="CE535" s="41">
        <v>-2068</v>
      </c>
      <c r="CF535" s="41">
        <v>-2363</v>
      </c>
      <c r="CG535" s="41">
        <v>-2506</v>
      </c>
      <c r="CH535" s="41">
        <v>-2452</v>
      </c>
      <c r="CI535" s="41">
        <v>-2667</v>
      </c>
      <c r="CJ535" s="41">
        <v>-3491</v>
      </c>
      <c r="CK535" s="41">
        <v>-3691</v>
      </c>
      <c r="CL535" s="41">
        <v>-4082</v>
      </c>
      <c r="CM535" s="41">
        <v>-4694</v>
      </c>
      <c r="CN535" s="41">
        <v>-4906</v>
      </c>
      <c r="CO535" s="41">
        <v>-5001</v>
      </c>
      <c r="CP535" s="41">
        <v>-4609</v>
      </c>
      <c r="CQ535" s="41">
        <v>-4585</v>
      </c>
      <c r="CR535" s="41">
        <v>-4481</v>
      </c>
      <c r="CS535" s="41">
        <v>-2922</v>
      </c>
      <c r="CT535" s="41">
        <v>-2928</v>
      </c>
      <c r="CU535" s="41">
        <v>-3967</v>
      </c>
      <c r="CV535" s="211">
        <v>-4586</v>
      </c>
      <c r="CW535" s="41">
        <v>-5280.2338627400004</v>
      </c>
      <c r="CX535" s="41">
        <v>-4911.2892493744366</v>
      </c>
      <c r="CY535" s="41">
        <v>-4885.1387601137576</v>
      </c>
      <c r="CZ535" s="41">
        <v>-4885.1387601137576</v>
      </c>
      <c r="DA535" s="41">
        <v>-4914.5673068614306</v>
      </c>
      <c r="DB535" s="41">
        <v>-5091.1385873474701</v>
      </c>
      <c r="DC535" s="41">
        <v>-4973.4244003567783</v>
      </c>
      <c r="DD535" s="41">
        <v>-4325.2733450324067</v>
      </c>
      <c r="DE535" s="41">
        <v>-5379.2691765758927</v>
      </c>
      <c r="DF535" s="41">
        <v>-6134.7845103646414</v>
      </c>
    </row>
    <row r="536" spans="1:110" ht="12" outlineLevel="1">
      <c r="A536" s="1" t="s">
        <v>1005</v>
      </c>
      <c r="B536" s="15" t="s">
        <v>258</v>
      </c>
      <c r="C536" s="41">
        <v>-60</v>
      </c>
      <c r="D536" s="41">
        <v>-60</v>
      </c>
      <c r="E536" s="41">
        <v>-57</v>
      </c>
      <c r="F536" s="41">
        <v>-54</v>
      </c>
      <c r="G536" s="41">
        <v>-48</v>
      </c>
      <c r="H536" s="41">
        <v>-64</v>
      </c>
      <c r="I536" s="41">
        <v>-34</v>
      </c>
      <c r="J536" s="41">
        <v>-6</v>
      </c>
      <c r="K536" s="41">
        <v>-12</v>
      </c>
      <c r="L536" s="41">
        <v>-12</v>
      </c>
      <c r="M536" s="41">
        <v>-15</v>
      </c>
      <c r="N536" s="41">
        <v>-17</v>
      </c>
      <c r="O536" s="41">
        <v>-20</v>
      </c>
      <c r="P536" s="41">
        <v>-23</v>
      </c>
      <c r="Q536" s="41">
        <v>-23</v>
      </c>
      <c r="R536" s="41">
        <v>-24</v>
      </c>
      <c r="S536" s="41">
        <v>-9</v>
      </c>
      <c r="T536" s="41">
        <v>-6</v>
      </c>
      <c r="U536" s="41">
        <v>-5</v>
      </c>
      <c r="V536" s="41">
        <v>-6</v>
      </c>
      <c r="W536" s="41">
        <v>-6</v>
      </c>
      <c r="X536" s="41">
        <v>-7</v>
      </c>
      <c r="Y536" s="41">
        <v>-4</v>
      </c>
      <c r="Z536" s="41">
        <v>-3</v>
      </c>
      <c r="AA536" s="41">
        <v>-3</v>
      </c>
      <c r="AB536" s="41">
        <v>-3</v>
      </c>
      <c r="AC536" s="41">
        <v>-3</v>
      </c>
      <c r="AD536" s="41">
        <v>-1</v>
      </c>
      <c r="AE536" s="41">
        <v>0</v>
      </c>
      <c r="AF536" s="41">
        <v>0</v>
      </c>
      <c r="AG536" s="41">
        <v>0</v>
      </c>
      <c r="AH536" s="41">
        <v>0</v>
      </c>
      <c r="AI536" s="41">
        <v>0</v>
      </c>
      <c r="AJ536" s="41">
        <v>0</v>
      </c>
      <c r="AK536" s="41">
        <v>0</v>
      </c>
      <c r="AL536" s="41">
        <v>0</v>
      </c>
      <c r="AM536" s="41">
        <v>0</v>
      </c>
      <c r="AN536" s="41">
        <v>0</v>
      </c>
      <c r="AO536" s="41">
        <v>0</v>
      </c>
      <c r="AP536" s="41">
        <v>0</v>
      </c>
      <c r="AQ536" s="41">
        <v>0</v>
      </c>
      <c r="AR536" s="41">
        <v>0</v>
      </c>
      <c r="AS536" s="41">
        <v>0</v>
      </c>
      <c r="AT536" s="41">
        <v>0</v>
      </c>
      <c r="AU536" s="41">
        <v>0</v>
      </c>
      <c r="AV536" s="211">
        <v>0</v>
      </c>
      <c r="AW536" s="41">
        <v>0</v>
      </c>
      <c r="AX536" s="41">
        <v>0</v>
      </c>
      <c r="AY536" s="41">
        <v>0</v>
      </c>
      <c r="AZ536" s="41">
        <v>0</v>
      </c>
      <c r="BA536" s="41">
        <v>0</v>
      </c>
      <c r="BB536" s="41">
        <v>0</v>
      </c>
      <c r="BC536" s="41">
        <v>0</v>
      </c>
      <c r="BD536" s="41">
        <v>0</v>
      </c>
      <c r="BE536" s="41">
        <v>0</v>
      </c>
      <c r="BF536" s="41">
        <v>0</v>
      </c>
      <c r="BG536" s="41">
        <v>0</v>
      </c>
      <c r="BH536" s="41">
        <v>0</v>
      </c>
      <c r="BI536" s="41">
        <v>0</v>
      </c>
      <c r="BJ536" s="41">
        <v>0</v>
      </c>
      <c r="BK536" s="41">
        <v>0</v>
      </c>
      <c r="BL536" s="41">
        <v>0</v>
      </c>
      <c r="BM536" s="41">
        <v>0</v>
      </c>
      <c r="BN536" s="41">
        <v>0</v>
      </c>
      <c r="BO536" s="41">
        <v>0</v>
      </c>
      <c r="BP536" s="41"/>
      <c r="BQ536" s="41">
        <v>-79.400000000000006</v>
      </c>
      <c r="BR536" s="41">
        <v>-79.400000000000006</v>
      </c>
      <c r="BS536" s="41">
        <v>-80</v>
      </c>
      <c r="BT536" s="41">
        <v>-80</v>
      </c>
      <c r="BU536" s="41">
        <v>0</v>
      </c>
      <c r="BV536" s="41">
        <v>0</v>
      </c>
      <c r="BW536" s="41">
        <v>0</v>
      </c>
      <c r="BX536" s="41">
        <v>-72</v>
      </c>
      <c r="BY536" s="41">
        <v>-102</v>
      </c>
      <c r="BZ536" s="41">
        <v>-119</v>
      </c>
      <c r="CA536" s="41">
        <v>-117</v>
      </c>
      <c r="CB536" s="41">
        <v>-102</v>
      </c>
      <c r="CC536" s="41">
        <v>-98</v>
      </c>
      <c r="CD536" s="41">
        <v>-18</v>
      </c>
      <c r="CE536" s="41">
        <v>-27</v>
      </c>
      <c r="CF536" s="41">
        <v>-37</v>
      </c>
      <c r="CG536" s="41">
        <v>-46</v>
      </c>
      <c r="CH536" s="41">
        <v>-33</v>
      </c>
      <c r="CI536" s="41">
        <v>-11</v>
      </c>
      <c r="CJ536" s="41">
        <v>-12</v>
      </c>
      <c r="CK536" s="41">
        <v>-11</v>
      </c>
      <c r="CL536" s="41">
        <v>-6</v>
      </c>
      <c r="CM536" s="41">
        <v>-6</v>
      </c>
      <c r="CN536" s="41">
        <v>-1</v>
      </c>
      <c r="CO536" s="41">
        <v>0</v>
      </c>
      <c r="CP536" s="41">
        <v>0</v>
      </c>
      <c r="CQ536" s="41">
        <v>0</v>
      </c>
      <c r="CR536" s="41">
        <v>0</v>
      </c>
      <c r="CS536" s="41">
        <v>0</v>
      </c>
      <c r="CT536" s="41">
        <v>0</v>
      </c>
      <c r="CU536" s="41">
        <v>0</v>
      </c>
      <c r="CV536" s="211">
        <v>0</v>
      </c>
      <c r="CW536" s="41">
        <v>0</v>
      </c>
      <c r="CX536" s="41">
        <v>0</v>
      </c>
      <c r="CY536" s="41">
        <v>0</v>
      </c>
      <c r="CZ536" s="41">
        <v>0</v>
      </c>
      <c r="DA536" s="41">
        <v>0</v>
      </c>
      <c r="DB536" s="41">
        <v>0</v>
      </c>
      <c r="DC536" s="41">
        <v>0</v>
      </c>
      <c r="DD536" s="41">
        <v>0</v>
      </c>
      <c r="DE536" s="41">
        <v>0</v>
      </c>
      <c r="DF536" s="41">
        <v>0</v>
      </c>
    </row>
    <row r="537" spans="1:110" ht="12" outlineLevel="1">
      <c r="A537" s="1" t="s">
        <v>1006</v>
      </c>
      <c r="B537" s="15" t="s">
        <v>412</v>
      </c>
      <c r="C537" s="40">
        <v>88</v>
      </c>
      <c r="D537" s="40">
        <v>91</v>
      </c>
      <c r="E537" s="40">
        <v>115</v>
      </c>
      <c r="F537" s="40">
        <v>119</v>
      </c>
      <c r="G537" s="40">
        <v>117</v>
      </c>
      <c r="H537" s="40">
        <v>3689</v>
      </c>
      <c r="I537" s="40">
        <v>143</v>
      </c>
      <c r="J537" s="40">
        <v>15</v>
      </c>
      <c r="K537" s="40">
        <v>95</v>
      </c>
      <c r="L537" s="40">
        <v>15</v>
      </c>
      <c r="M537" s="40">
        <v>203</v>
      </c>
      <c r="N537" s="40">
        <v>143</v>
      </c>
      <c r="O537" s="40">
        <v>532</v>
      </c>
      <c r="P537" s="40">
        <v>1435</v>
      </c>
      <c r="Q537" s="40">
        <v>2208</v>
      </c>
      <c r="R537" s="40">
        <v>1549</v>
      </c>
      <c r="S537" s="40">
        <v>5013</v>
      </c>
      <c r="T537" s="40">
        <v>143</v>
      </c>
      <c r="U537" s="40">
        <v>592</v>
      </c>
      <c r="V537" s="40">
        <v>708</v>
      </c>
      <c r="W537" s="40">
        <v>749</v>
      </c>
      <c r="X537" s="40">
        <v>852</v>
      </c>
      <c r="Y537" s="40">
        <v>875</v>
      </c>
      <c r="Z537" s="141">
        <v>571</v>
      </c>
      <c r="AA537" s="141">
        <v>52</v>
      </c>
      <c r="AB537" s="141">
        <v>-112</v>
      </c>
      <c r="AC537" s="141">
        <v>502</v>
      </c>
      <c r="AD537" s="141">
        <v>121</v>
      </c>
      <c r="AE537" s="141">
        <v>1007</v>
      </c>
      <c r="AF537" s="141">
        <v>258</v>
      </c>
      <c r="AG537" s="141">
        <v>140</v>
      </c>
      <c r="AH537" s="141">
        <v>271</v>
      </c>
      <c r="AI537" s="141">
        <v>52</v>
      </c>
      <c r="AJ537" s="141">
        <v>-1155</v>
      </c>
      <c r="AK537" s="141">
        <v>-814</v>
      </c>
      <c r="AL537" s="141">
        <v>-1157</v>
      </c>
      <c r="AM537" s="141">
        <v>37</v>
      </c>
      <c r="AN537" s="141">
        <v>-50</v>
      </c>
      <c r="AO537" s="141">
        <v>90</v>
      </c>
      <c r="AP537" s="141">
        <v>84</v>
      </c>
      <c r="AQ537" s="141">
        <v>-631</v>
      </c>
      <c r="AR537" s="141">
        <v>-893</v>
      </c>
      <c r="AS537" s="141">
        <v>209</v>
      </c>
      <c r="AT537" s="141">
        <v>259</v>
      </c>
      <c r="AU537" s="141">
        <v>26</v>
      </c>
      <c r="AV537" s="226">
        <v>-49</v>
      </c>
      <c r="AW537" s="41">
        <v>-1000</v>
      </c>
      <c r="AX537" s="41">
        <v>-1000</v>
      </c>
      <c r="AY537" s="41">
        <v>0</v>
      </c>
      <c r="AZ537" s="41">
        <v>0</v>
      </c>
      <c r="BA537" s="41">
        <v>0</v>
      </c>
      <c r="BB537" s="41">
        <v>0</v>
      </c>
      <c r="BC537" s="41">
        <v>0</v>
      </c>
      <c r="BD537" s="41">
        <v>0</v>
      </c>
      <c r="BE537" s="41">
        <v>0</v>
      </c>
      <c r="BF537" s="41">
        <v>0</v>
      </c>
      <c r="BG537" s="41">
        <v>0</v>
      </c>
      <c r="BH537" s="41">
        <v>0</v>
      </c>
      <c r="BI537" s="41">
        <v>2354.2837398138595</v>
      </c>
      <c r="BJ537" s="41">
        <v>2149.3891837208093</v>
      </c>
      <c r="BK537" s="41">
        <v>0</v>
      </c>
      <c r="BL537" s="41">
        <v>0</v>
      </c>
      <c r="BM537" s="41">
        <v>0</v>
      </c>
      <c r="BN537" s="41">
        <v>0</v>
      </c>
      <c r="BO537" s="41">
        <v>0</v>
      </c>
      <c r="BP537" s="41"/>
      <c r="BQ537" s="40">
        <v>138.89999999999998</v>
      </c>
      <c r="BR537" s="40">
        <v>150.1</v>
      </c>
      <c r="BS537" s="40">
        <v>45</v>
      </c>
      <c r="BT537" s="40">
        <v>86</v>
      </c>
      <c r="BU537" s="40">
        <v>153</v>
      </c>
      <c r="BV537" s="40">
        <v>220</v>
      </c>
      <c r="BW537" s="40">
        <v>246</v>
      </c>
      <c r="BX537" s="40">
        <v>189</v>
      </c>
      <c r="BY537" s="40">
        <v>-742</v>
      </c>
      <c r="BZ537" s="40">
        <v>-295</v>
      </c>
      <c r="CA537" s="41">
        <v>206</v>
      </c>
      <c r="CB537" s="41">
        <v>236</v>
      </c>
      <c r="CC537" s="41">
        <v>3832</v>
      </c>
      <c r="CD537" s="41">
        <v>110</v>
      </c>
      <c r="CE537" s="41">
        <v>218</v>
      </c>
      <c r="CF537" s="41">
        <v>675</v>
      </c>
      <c r="CG537" s="41">
        <v>3643</v>
      </c>
      <c r="CH537" s="41">
        <v>6562</v>
      </c>
      <c r="CI537" s="41">
        <v>735</v>
      </c>
      <c r="CJ537" s="41">
        <v>1457</v>
      </c>
      <c r="CK537" s="41">
        <v>1727</v>
      </c>
      <c r="CL537" s="41">
        <v>623</v>
      </c>
      <c r="CM537" s="41">
        <v>390</v>
      </c>
      <c r="CN537" s="41">
        <v>1128</v>
      </c>
      <c r="CO537" s="41">
        <v>398</v>
      </c>
      <c r="CP537" s="41">
        <v>323</v>
      </c>
      <c r="CQ537" s="41">
        <v>-1969</v>
      </c>
      <c r="CR537" s="41">
        <v>-1120</v>
      </c>
      <c r="CS537" s="41">
        <v>40</v>
      </c>
      <c r="CT537" s="41">
        <v>-547</v>
      </c>
      <c r="CU537" s="41">
        <v>-684</v>
      </c>
      <c r="CV537" s="211">
        <v>285</v>
      </c>
      <c r="CW537" s="41">
        <v>-1049</v>
      </c>
      <c r="CX537" s="41">
        <v>-1000</v>
      </c>
      <c r="CY537" s="41">
        <v>0</v>
      </c>
      <c r="CZ537" s="41">
        <v>0</v>
      </c>
      <c r="DA537" s="41">
        <v>0</v>
      </c>
      <c r="DB537" s="41">
        <v>0</v>
      </c>
      <c r="DC537" s="41">
        <v>2354.2837398138595</v>
      </c>
      <c r="DD537" s="41">
        <v>2149.3891837208093</v>
      </c>
      <c r="DE537" s="41">
        <v>0</v>
      </c>
      <c r="DF537" s="41">
        <v>0</v>
      </c>
    </row>
    <row r="538" spans="1:110" s="17" customFormat="1" ht="12" outlineLevel="1">
      <c r="A538" s="1" t="s">
        <v>1007</v>
      </c>
      <c r="B538" s="17" t="s">
        <v>152</v>
      </c>
      <c r="C538" s="62">
        <v>9012</v>
      </c>
      <c r="D538" s="62">
        <v>9379</v>
      </c>
      <c r="E538" s="62">
        <v>10073</v>
      </c>
      <c r="F538" s="62">
        <v>11243</v>
      </c>
      <c r="G538" s="62">
        <v>11558</v>
      </c>
      <c r="H538" s="62">
        <v>15744</v>
      </c>
      <c r="I538" s="62">
        <v>17036</v>
      </c>
      <c r="J538" s="62">
        <v>17051</v>
      </c>
      <c r="K538" s="62">
        <v>17653</v>
      </c>
      <c r="L538" s="62">
        <v>17891</v>
      </c>
      <c r="M538" s="62">
        <v>19001</v>
      </c>
      <c r="N538" s="62">
        <v>20007</v>
      </c>
      <c r="O538" s="62">
        <v>21139</v>
      </c>
      <c r="P538" s="62">
        <v>23042</v>
      </c>
      <c r="Q538" s="62">
        <v>25619</v>
      </c>
      <c r="R538" s="62">
        <v>27424</v>
      </c>
      <c r="S538" s="62">
        <v>31493</v>
      </c>
      <c r="T538" s="62">
        <v>31646</v>
      </c>
      <c r="U538" s="62">
        <v>33220</v>
      </c>
      <c r="V538" s="62">
        <v>34189</v>
      </c>
      <c r="W538" s="62">
        <v>37035</v>
      </c>
      <c r="X538" s="62">
        <v>38523</v>
      </c>
      <c r="Y538" s="62">
        <v>40300</v>
      </c>
      <c r="Z538" s="62">
        <v>41579</v>
      </c>
      <c r="AA538" s="62">
        <v>44670</v>
      </c>
      <c r="AB538" s="62">
        <v>46100</v>
      </c>
      <c r="AC538" s="62">
        <v>48336</v>
      </c>
      <c r="AD538" s="62">
        <v>51956</v>
      </c>
      <c r="AE538" s="62">
        <v>57247</v>
      </c>
      <c r="AF538" s="62">
        <v>56363</v>
      </c>
      <c r="AG538" s="62">
        <v>57818</v>
      </c>
      <c r="AH538" s="62">
        <v>57791</v>
      </c>
      <c r="AI538" s="62">
        <v>58959</v>
      </c>
      <c r="AJ538" s="62">
        <v>59374</v>
      </c>
      <c r="AK538" s="62">
        <v>59265</v>
      </c>
      <c r="AL538" s="62">
        <v>59821</v>
      </c>
      <c r="AM538" s="62">
        <v>60783</v>
      </c>
      <c r="AN538" s="62">
        <v>61364</v>
      </c>
      <c r="AO538" s="62">
        <v>61287</v>
      </c>
      <c r="AP538" s="62">
        <v>62566</v>
      </c>
      <c r="AQ538" s="62">
        <v>63665</v>
      </c>
      <c r="AR538" s="62">
        <v>61747</v>
      </c>
      <c r="AS538" s="62">
        <v>65907</v>
      </c>
      <c r="AT538" s="62">
        <v>69055</v>
      </c>
      <c r="AU538" s="62">
        <v>69495</v>
      </c>
      <c r="AV538" s="220">
        <v>69538</v>
      </c>
      <c r="AW538" s="62">
        <v>67227.268748125702</v>
      </c>
      <c r="AX538" s="62">
        <v>66996.437121254814</v>
      </c>
      <c r="AY538" s="62">
        <v>67174.042610079734</v>
      </c>
      <c r="AZ538" s="62">
        <v>67563.495306056677</v>
      </c>
      <c r="BA538" s="62">
        <v>67926.42499888585</v>
      </c>
      <c r="BB538" s="62">
        <v>68637.490561684681</v>
      </c>
      <c r="BC538" s="62">
        <v>69378.990604140577</v>
      </c>
      <c r="BD538" s="62">
        <v>70384.510564365468</v>
      </c>
      <c r="BE538" s="62">
        <v>71255.766244898085</v>
      </c>
      <c r="BF538" s="62">
        <v>72416.458771967111</v>
      </c>
      <c r="BG538" s="62">
        <v>73343.281143929184</v>
      </c>
      <c r="BH538" s="62">
        <v>74074.189102998149</v>
      </c>
      <c r="BI538" s="62">
        <v>76799.892095728457</v>
      </c>
      <c r="BJ538" s="62">
        <v>79889.038935179997</v>
      </c>
      <c r="BK538" s="62">
        <v>81328.627445810562</v>
      </c>
      <c r="BL538" s="62">
        <v>83332.401381703792</v>
      </c>
      <c r="BM538" s="62">
        <v>84570.55846321056</v>
      </c>
      <c r="BN538" s="62">
        <v>86090.764698953048</v>
      </c>
      <c r="BO538" s="62">
        <v>87362.787691546386</v>
      </c>
      <c r="BP538" s="62"/>
      <c r="BQ538" s="62">
        <v>3942.2999999999993</v>
      </c>
      <c r="BR538" s="62">
        <v>4489.0000000000009</v>
      </c>
      <c r="BS538" s="62">
        <v>4856</v>
      </c>
      <c r="BT538" s="62">
        <v>5700</v>
      </c>
      <c r="BU538" s="62">
        <v>6290</v>
      </c>
      <c r="BV538" s="62">
        <v>6943</v>
      </c>
      <c r="BW538" s="62">
        <v>7690</v>
      </c>
      <c r="BX538" s="62">
        <v>8258</v>
      </c>
      <c r="BY538" s="62">
        <v>8421</v>
      </c>
      <c r="BZ538" s="62">
        <v>9012</v>
      </c>
      <c r="CA538" s="62">
        <v>10073</v>
      </c>
      <c r="CB538" s="62">
        <v>11558</v>
      </c>
      <c r="CC538" s="62">
        <v>17036</v>
      </c>
      <c r="CD538" s="142">
        <v>17653</v>
      </c>
      <c r="CE538" s="62">
        <v>19001</v>
      </c>
      <c r="CF538" s="62">
        <v>21139</v>
      </c>
      <c r="CG538" s="62">
        <v>25619</v>
      </c>
      <c r="CH538" s="62">
        <v>31493</v>
      </c>
      <c r="CI538" s="62">
        <v>33220</v>
      </c>
      <c r="CJ538" s="62">
        <v>37035</v>
      </c>
      <c r="CK538" s="62">
        <v>40300</v>
      </c>
      <c r="CL538" s="62">
        <v>44670</v>
      </c>
      <c r="CM538" s="62">
        <v>48336</v>
      </c>
      <c r="CN538" s="62">
        <v>57247</v>
      </c>
      <c r="CO538" s="62">
        <v>57818</v>
      </c>
      <c r="CP538" s="62">
        <v>58959</v>
      </c>
      <c r="CQ538" s="62">
        <v>59265</v>
      </c>
      <c r="CR538" s="62">
        <v>60783</v>
      </c>
      <c r="CS538" s="62">
        <v>61287</v>
      </c>
      <c r="CT538" s="62">
        <v>63665</v>
      </c>
      <c r="CU538" s="62">
        <v>65907</v>
      </c>
      <c r="CV538" s="220">
        <v>69495</v>
      </c>
      <c r="CW538" s="62">
        <v>67227.268748125702</v>
      </c>
      <c r="CX538" s="62">
        <v>67174.042610079749</v>
      </c>
      <c r="CY538" s="62">
        <v>67926.424998885879</v>
      </c>
      <c r="CZ538" s="62">
        <v>69378.990604140621</v>
      </c>
      <c r="DA538" s="62">
        <v>71255.766244898143</v>
      </c>
      <c r="DB538" s="62">
        <v>73343.281143929256</v>
      </c>
      <c r="DC538" s="62">
        <v>76799.892095728545</v>
      </c>
      <c r="DD538" s="62">
        <v>81328.627445810649</v>
      </c>
      <c r="DE538" s="62">
        <v>84570.558463210647</v>
      </c>
      <c r="DF538" s="62">
        <v>87362.787691546473</v>
      </c>
    </row>
    <row r="539" spans="1:110" ht="12" outlineLevel="1">
      <c r="A539" s="1" t="s">
        <v>1008</v>
      </c>
      <c r="B539" s="15" t="s">
        <v>153</v>
      </c>
      <c r="C539" s="40">
        <v>1526</v>
      </c>
      <c r="D539" s="40">
        <v>1410</v>
      </c>
      <c r="E539" s="40">
        <v>1375</v>
      </c>
      <c r="F539" s="40">
        <v>1225</v>
      </c>
      <c r="G539" s="40">
        <v>2212</v>
      </c>
      <c r="H539" s="40">
        <v>987</v>
      </c>
      <c r="I539" s="40">
        <v>871</v>
      </c>
      <c r="J539" s="40">
        <v>1858</v>
      </c>
      <c r="K539" s="40">
        <v>1858</v>
      </c>
      <c r="L539" s="40">
        <v>871</v>
      </c>
      <c r="M539" s="40">
        <v>871</v>
      </c>
      <c r="N539" s="40">
        <v>871</v>
      </c>
      <c r="O539" s="40">
        <v>871</v>
      </c>
      <c r="P539" s="40">
        <v>871</v>
      </c>
      <c r="Q539" s="40">
        <v>871</v>
      </c>
      <c r="R539" s="40">
        <v>871</v>
      </c>
      <c r="S539" s="40">
        <v>871</v>
      </c>
      <c r="T539" s="40">
        <v>871</v>
      </c>
      <c r="U539" s="40">
        <v>871</v>
      </c>
      <c r="V539" s="40">
        <v>871</v>
      </c>
      <c r="W539" s="40">
        <v>871</v>
      </c>
      <c r="X539" s="40">
        <v>871</v>
      </c>
      <c r="Y539" s="40">
        <v>871</v>
      </c>
      <c r="Z539" s="141">
        <v>871</v>
      </c>
      <c r="AA539" s="141">
        <v>871</v>
      </c>
      <c r="AB539" s="141">
        <v>871</v>
      </c>
      <c r="AC539" s="141">
        <v>871</v>
      </c>
      <c r="AD539" s="141">
        <v>0</v>
      </c>
      <c r="AE539" s="141">
        <v>0</v>
      </c>
      <c r="AF539" s="141">
        <v>0</v>
      </c>
      <c r="AG539" s="141">
        <v>0</v>
      </c>
      <c r="AH539" s="141">
        <v>0</v>
      </c>
      <c r="AI539" s="141">
        <v>0</v>
      </c>
      <c r="AJ539" s="141">
        <v>0</v>
      </c>
      <c r="AK539" s="141">
        <v>0</v>
      </c>
      <c r="AL539" s="141">
        <v>0</v>
      </c>
      <c r="AM539" s="141">
        <v>0</v>
      </c>
      <c r="AN539" s="141">
        <v>0</v>
      </c>
      <c r="AO539" s="141">
        <v>0</v>
      </c>
      <c r="AP539" s="141">
        <v>0</v>
      </c>
      <c r="AQ539" s="141">
        <v>0</v>
      </c>
      <c r="AR539" s="141">
        <v>0</v>
      </c>
      <c r="AS539" s="141">
        <v>0</v>
      </c>
      <c r="AT539" s="141">
        <v>0</v>
      </c>
      <c r="AU539" s="141">
        <v>0</v>
      </c>
      <c r="AV539" s="226">
        <v>0</v>
      </c>
      <c r="AW539" s="210">
        <v>0</v>
      </c>
      <c r="AX539" s="210">
        <v>0</v>
      </c>
      <c r="AY539" s="210">
        <v>0</v>
      </c>
      <c r="AZ539" s="210">
        <v>0</v>
      </c>
      <c r="BA539" s="210">
        <v>0</v>
      </c>
      <c r="BB539" s="210">
        <v>0</v>
      </c>
      <c r="BC539" s="210">
        <v>0</v>
      </c>
      <c r="BD539" s="210">
        <v>0</v>
      </c>
      <c r="BE539" s="210">
        <v>0</v>
      </c>
      <c r="BF539" s="210">
        <v>0</v>
      </c>
      <c r="BG539" s="210">
        <v>0</v>
      </c>
      <c r="BH539" s="210">
        <v>0</v>
      </c>
      <c r="BI539" s="210">
        <v>0</v>
      </c>
      <c r="BJ539" s="210">
        <v>0</v>
      </c>
      <c r="BK539" s="210">
        <v>0</v>
      </c>
      <c r="BL539" s="210">
        <v>0</v>
      </c>
      <c r="BM539" s="210">
        <v>0</v>
      </c>
      <c r="BN539" s="210">
        <v>0</v>
      </c>
      <c r="BO539" s="210">
        <v>0</v>
      </c>
      <c r="BP539" s="41"/>
      <c r="BQ539" s="40">
        <v>599.70000000000073</v>
      </c>
      <c r="BR539" s="40">
        <v>600</v>
      </c>
      <c r="BS539" s="40">
        <v>600</v>
      </c>
      <c r="BT539" s="40">
        <v>0</v>
      </c>
      <c r="BU539" s="40">
        <v>0</v>
      </c>
      <c r="BV539" s="40">
        <v>0</v>
      </c>
      <c r="BW539" s="40">
        <v>645</v>
      </c>
      <c r="BX539" s="40">
        <v>1145</v>
      </c>
      <c r="BY539" s="40">
        <v>1374</v>
      </c>
      <c r="BZ539" s="40">
        <v>1526</v>
      </c>
      <c r="CA539" s="41">
        <v>1375</v>
      </c>
      <c r="CB539" s="41">
        <v>2212</v>
      </c>
      <c r="CC539" s="41">
        <v>871</v>
      </c>
      <c r="CD539" s="41">
        <v>1858</v>
      </c>
      <c r="CE539" s="41">
        <v>871</v>
      </c>
      <c r="CF539" s="41">
        <v>871</v>
      </c>
      <c r="CG539" s="41">
        <v>871</v>
      </c>
      <c r="CH539" s="41">
        <v>871</v>
      </c>
      <c r="CI539" s="41">
        <v>871</v>
      </c>
      <c r="CJ539" s="41">
        <v>871</v>
      </c>
      <c r="CK539" s="41">
        <v>871</v>
      </c>
      <c r="CL539" s="41">
        <v>871</v>
      </c>
      <c r="CM539" s="41">
        <v>871</v>
      </c>
      <c r="CN539" s="41">
        <v>0</v>
      </c>
      <c r="CO539" s="41">
        <v>0</v>
      </c>
      <c r="CP539" s="41">
        <v>0</v>
      </c>
      <c r="CQ539" s="41">
        <v>0</v>
      </c>
      <c r="CR539" s="41">
        <v>0</v>
      </c>
      <c r="CS539" s="41">
        <v>0</v>
      </c>
      <c r="CT539" s="41">
        <v>0</v>
      </c>
      <c r="CU539" s="41">
        <v>0</v>
      </c>
      <c r="CV539" s="211">
        <v>0</v>
      </c>
      <c r="CW539" s="41">
        <v>0</v>
      </c>
      <c r="CX539" s="41">
        <v>0</v>
      </c>
      <c r="CY539" s="41">
        <v>0</v>
      </c>
      <c r="CZ539" s="41">
        <v>0</v>
      </c>
      <c r="DA539" s="41">
        <v>0</v>
      </c>
      <c r="DB539" s="41">
        <v>0</v>
      </c>
      <c r="DC539" s="41">
        <v>0</v>
      </c>
      <c r="DD539" s="41">
        <v>0</v>
      </c>
      <c r="DE539" s="41">
        <v>0</v>
      </c>
      <c r="DF539" s="41">
        <v>0</v>
      </c>
    </row>
    <row r="540" spans="1:110" ht="12" outlineLevel="1">
      <c r="A540" s="1" t="s">
        <v>1009</v>
      </c>
      <c r="B540" s="15" t="s">
        <v>160</v>
      </c>
      <c r="C540" s="40">
        <v>13</v>
      </c>
      <c r="D540" s="40">
        <v>14</v>
      </c>
      <c r="E540" s="40">
        <v>17</v>
      </c>
      <c r="F540" s="40">
        <v>17</v>
      </c>
      <c r="G540" s="40">
        <v>17</v>
      </c>
      <c r="H540" s="40">
        <v>17</v>
      </c>
      <c r="I540" s="40">
        <v>18</v>
      </c>
      <c r="J540" s="40">
        <v>18</v>
      </c>
      <c r="K540" s="40">
        <v>27</v>
      </c>
      <c r="L540" s="40">
        <v>34</v>
      </c>
      <c r="M540" s="40">
        <v>34</v>
      </c>
      <c r="N540" s="40">
        <v>32</v>
      </c>
      <c r="O540" s="40">
        <v>38</v>
      </c>
      <c r="P540" s="40">
        <v>51</v>
      </c>
      <c r="Q540" s="40">
        <v>62</v>
      </c>
      <c r="R540" s="40">
        <v>72</v>
      </c>
      <c r="S540" s="40">
        <v>65</v>
      </c>
      <c r="T540" s="40">
        <v>66</v>
      </c>
      <c r="U540" s="40">
        <v>64</v>
      </c>
      <c r="V540" s="40">
        <v>69</v>
      </c>
      <c r="W540" s="40">
        <v>48</v>
      </c>
      <c r="X540" s="40">
        <v>49</v>
      </c>
      <c r="Y540" s="40">
        <v>49</v>
      </c>
      <c r="Z540" s="141">
        <v>53</v>
      </c>
      <c r="AA540" s="141">
        <v>62</v>
      </c>
      <c r="AB540" s="141">
        <v>67</v>
      </c>
      <c r="AC540" s="141">
        <v>77</v>
      </c>
      <c r="AD540" s="141">
        <v>95</v>
      </c>
      <c r="AE540" s="141">
        <v>106</v>
      </c>
      <c r="AF540" s="141">
        <v>101</v>
      </c>
      <c r="AG540" s="141">
        <v>109</v>
      </c>
      <c r="AH540" s="141">
        <v>117</v>
      </c>
      <c r="AI540" s="141">
        <v>116</v>
      </c>
      <c r="AJ540" s="141">
        <v>126</v>
      </c>
      <c r="AK540" s="141">
        <v>140</v>
      </c>
      <c r="AL540" s="141">
        <v>150</v>
      </c>
      <c r="AM540" s="141">
        <v>11</v>
      </c>
      <c r="AN540" s="141">
        <v>11</v>
      </c>
      <c r="AO540" s="141">
        <v>10</v>
      </c>
      <c r="AP540" s="141">
        <v>10</v>
      </c>
      <c r="AQ540" s="141">
        <v>11</v>
      </c>
      <c r="AR540" s="141">
        <v>9</v>
      </c>
      <c r="AS540" s="141">
        <v>494</v>
      </c>
      <c r="AT540" s="141">
        <v>525</v>
      </c>
      <c r="AU540" s="141">
        <v>522</v>
      </c>
      <c r="AV540" s="226">
        <v>768</v>
      </c>
      <c r="AW540" s="210">
        <v>768</v>
      </c>
      <c r="AX540" s="210">
        <v>768</v>
      </c>
      <c r="AY540" s="210">
        <v>768</v>
      </c>
      <c r="AZ540" s="210">
        <v>768</v>
      </c>
      <c r="BA540" s="210">
        <v>768</v>
      </c>
      <c r="BB540" s="210">
        <v>768</v>
      </c>
      <c r="BC540" s="210">
        <v>768</v>
      </c>
      <c r="BD540" s="210">
        <v>768</v>
      </c>
      <c r="BE540" s="210">
        <v>768</v>
      </c>
      <c r="BF540" s="210">
        <v>768</v>
      </c>
      <c r="BG540" s="210">
        <v>768</v>
      </c>
      <c r="BH540" s="210">
        <v>768</v>
      </c>
      <c r="BI540" s="210">
        <v>768</v>
      </c>
      <c r="BJ540" s="210">
        <v>768</v>
      </c>
      <c r="BK540" s="210">
        <v>768</v>
      </c>
      <c r="BL540" s="210">
        <v>768</v>
      </c>
      <c r="BM540" s="210">
        <v>768</v>
      </c>
      <c r="BN540" s="210">
        <v>768</v>
      </c>
      <c r="BO540" s="210">
        <v>768</v>
      </c>
      <c r="BP540" s="41"/>
      <c r="BQ540" s="40">
        <v>49</v>
      </c>
      <c r="BR540" s="40">
        <v>44</v>
      </c>
      <c r="BS540" s="40">
        <v>48</v>
      </c>
      <c r="BT540" s="40">
        <v>47</v>
      </c>
      <c r="BU540" s="40">
        <v>46</v>
      </c>
      <c r="BV540" s="40">
        <v>50</v>
      </c>
      <c r="BW540" s="40">
        <v>56</v>
      </c>
      <c r="BX540" s="40">
        <v>26</v>
      </c>
      <c r="BY540" s="40">
        <v>12</v>
      </c>
      <c r="BZ540" s="40">
        <v>13</v>
      </c>
      <c r="CA540" s="41">
        <v>17</v>
      </c>
      <c r="CB540" s="41">
        <v>17</v>
      </c>
      <c r="CC540" s="41">
        <v>18</v>
      </c>
      <c r="CD540" s="41">
        <v>27</v>
      </c>
      <c r="CE540" s="41">
        <v>34</v>
      </c>
      <c r="CF540" s="41">
        <v>38</v>
      </c>
      <c r="CG540" s="41">
        <v>62</v>
      </c>
      <c r="CH540" s="41">
        <v>65</v>
      </c>
      <c r="CI540" s="41">
        <v>64</v>
      </c>
      <c r="CJ540" s="41">
        <v>48</v>
      </c>
      <c r="CK540" s="41">
        <v>49</v>
      </c>
      <c r="CL540" s="41">
        <v>62</v>
      </c>
      <c r="CM540" s="41">
        <v>77</v>
      </c>
      <c r="CN540" s="41">
        <v>106</v>
      </c>
      <c r="CO540" s="41">
        <v>109</v>
      </c>
      <c r="CP540" s="41">
        <v>116</v>
      </c>
      <c r="CQ540" s="41">
        <v>140</v>
      </c>
      <c r="CR540" s="41">
        <v>11</v>
      </c>
      <c r="CS540" s="41">
        <v>10</v>
      </c>
      <c r="CT540" s="41">
        <v>11</v>
      </c>
      <c r="CU540" s="41">
        <v>494</v>
      </c>
      <c r="CV540" s="211">
        <v>522</v>
      </c>
      <c r="CW540" s="41">
        <v>768</v>
      </c>
      <c r="CX540" s="41">
        <v>768</v>
      </c>
      <c r="CY540" s="41">
        <v>768</v>
      </c>
      <c r="CZ540" s="41">
        <v>768</v>
      </c>
      <c r="DA540" s="41">
        <v>768</v>
      </c>
      <c r="DB540" s="41">
        <v>768</v>
      </c>
      <c r="DC540" s="41">
        <v>768</v>
      </c>
      <c r="DD540" s="41">
        <v>768</v>
      </c>
      <c r="DE540" s="41">
        <v>768</v>
      </c>
      <c r="DF540" s="41">
        <v>768</v>
      </c>
    </row>
    <row r="541" spans="1:110" s="17" customFormat="1" ht="12" outlineLevel="1">
      <c r="A541" s="1" t="s">
        <v>982</v>
      </c>
      <c r="B541" s="17" t="s">
        <v>154</v>
      </c>
      <c r="C541" s="62">
        <v>10551</v>
      </c>
      <c r="D541" s="62">
        <v>10803</v>
      </c>
      <c r="E541" s="62">
        <v>11465</v>
      </c>
      <c r="F541" s="62">
        <v>12485</v>
      </c>
      <c r="G541" s="62">
        <v>13787</v>
      </c>
      <c r="H541" s="62">
        <v>16748</v>
      </c>
      <c r="I541" s="62">
        <v>17925</v>
      </c>
      <c r="J541" s="62">
        <v>18927</v>
      </c>
      <c r="K541" s="62">
        <v>19538</v>
      </c>
      <c r="L541" s="62">
        <v>18796</v>
      </c>
      <c r="M541" s="62">
        <v>19906</v>
      </c>
      <c r="N541" s="62">
        <v>20910</v>
      </c>
      <c r="O541" s="62">
        <v>22048</v>
      </c>
      <c r="P541" s="62">
        <v>23964</v>
      </c>
      <c r="Q541" s="62">
        <v>26552</v>
      </c>
      <c r="R541" s="62">
        <v>28367</v>
      </c>
      <c r="S541" s="62">
        <v>32429</v>
      </c>
      <c r="T541" s="62">
        <v>32583</v>
      </c>
      <c r="U541" s="62">
        <v>34155</v>
      </c>
      <c r="V541" s="62">
        <v>35129</v>
      </c>
      <c r="W541" s="62">
        <v>37954</v>
      </c>
      <c r="X541" s="62">
        <v>39443</v>
      </c>
      <c r="Y541" s="62">
        <v>41220</v>
      </c>
      <c r="Z541" s="62">
        <v>42503</v>
      </c>
      <c r="AA541" s="62">
        <v>45603</v>
      </c>
      <c r="AB541" s="62">
        <v>47038</v>
      </c>
      <c r="AC541" s="62">
        <v>49284</v>
      </c>
      <c r="AD541" s="62">
        <v>52051</v>
      </c>
      <c r="AE541" s="62">
        <v>57353</v>
      </c>
      <c r="AF541" s="62">
        <v>56464</v>
      </c>
      <c r="AG541" s="62">
        <v>57927</v>
      </c>
      <c r="AH541" s="62">
        <v>57908</v>
      </c>
      <c r="AI541" s="62">
        <v>59075</v>
      </c>
      <c r="AJ541" s="62">
        <v>59500</v>
      </c>
      <c r="AK541" s="62">
        <v>59405</v>
      </c>
      <c r="AL541" s="62">
        <v>59971</v>
      </c>
      <c r="AM541" s="62">
        <v>60794</v>
      </c>
      <c r="AN541" s="62">
        <v>61375</v>
      </c>
      <c r="AO541" s="62">
        <v>61297</v>
      </c>
      <c r="AP541" s="62">
        <v>62576</v>
      </c>
      <c r="AQ541" s="62">
        <v>63676</v>
      </c>
      <c r="AR541" s="62">
        <v>61756</v>
      </c>
      <c r="AS541" s="62">
        <v>66401</v>
      </c>
      <c r="AT541" s="62">
        <v>69580</v>
      </c>
      <c r="AU541" s="62">
        <v>70017</v>
      </c>
      <c r="AV541" s="220">
        <v>70306</v>
      </c>
      <c r="AW541" s="62">
        <v>67995.268748125702</v>
      </c>
      <c r="AX541" s="62">
        <v>67764.437121254814</v>
      </c>
      <c r="AY541" s="62">
        <v>67942.042610079734</v>
      </c>
      <c r="AZ541" s="62">
        <v>68331.495306056677</v>
      </c>
      <c r="BA541" s="62">
        <v>68694.42499888585</v>
      </c>
      <c r="BB541" s="62">
        <v>69405.490561684681</v>
      </c>
      <c r="BC541" s="62">
        <v>70146.990604140577</v>
      </c>
      <c r="BD541" s="62">
        <v>71152.510564365468</v>
      </c>
      <c r="BE541" s="62">
        <v>72023.766244898085</v>
      </c>
      <c r="BF541" s="62">
        <v>73184.458771967111</v>
      </c>
      <c r="BG541" s="62">
        <v>74111.281143929184</v>
      </c>
      <c r="BH541" s="62">
        <v>74842.189102998149</v>
      </c>
      <c r="BI541" s="62">
        <v>77567.892095728457</v>
      </c>
      <c r="BJ541" s="62">
        <v>80657.038935179997</v>
      </c>
      <c r="BK541" s="62">
        <v>82096.627445810562</v>
      </c>
      <c r="BL541" s="62">
        <v>84100.401381703792</v>
      </c>
      <c r="BM541" s="62">
        <v>85338.55846321056</v>
      </c>
      <c r="BN541" s="62">
        <v>86858.764698953048</v>
      </c>
      <c r="BO541" s="62">
        <v>88130.787691546386</v>
      </c>
      <c r="BP541" s="62"/>
      <c r="BQ541" s="62">
        <v>4591</v>
      </c>
      <c r="BR541" s="62">
        <v>5133.0000000000009</v>
      </c>
      <c r="BS541" s="62">
        <v>5504</v>
      </c>
      <c r="BT541" s="62">
        <v>5747</v>
      </c>
      <c r="BU541" s="62">
        <v>6336</v>
      </c>
      <c r="BV541" s="62">
        <v>6993</v>
      </c>
      <c r="BW541" s="62">
        <v>8391</v>
      </c>
      <c r="BX541" s="62">
        <v>9429</v>
      </c>
      <c r="BY541" s="62">
        <v>9807</v>
      </c>
      <c r="BZ541" s="62">
        <v>10551</v>
      </c>
      <c r="CA541" s="62">
        <v>11465</v>
      </c>
      <c r="CB541" s="62">
        <v>13787</v>
      </c>
      <c r="CC541" s="62">
        <v>17925</v>
      </c>
      <c r="CD541" s="62">
        <v>19538</v>
      </c>
      <c r="CE541" s="62">
        <v>19906</v>
      </c>
      <c r="CF541" s="62">
        <v>22048</v>
      </c>
      <c r="CG541" s="62">
        <v>26552</v>
      </c>
      <c r="CH541" s="62">
        <v>32429</v>
      </c>
      <c r="CI541" s="62">
        <v>34155</v>
      </c>
      <c r="CJ541" s="62">
        <v>37954</v>
      </c>
      <c r="CK541" s="62">
        <v>41220</v>
      </c>
      <c r="CL541" s="62">
        <v>45603</v>
      </c>
      <c r="CM541" s="62">
        <v>49284</v>
      </c>
      <c r="CN541" s="62">
        <v>57353</v>
      </c>
      <c r="CO541" s="62">
        <v>57927</v>
      </c>
      <c r="CP541" s="62">
        <v>59075</v>
      </c>
      <c r="CQ541" s="62">
        <v>59405</v>
      </c>
      <c r="CR541" s="62">
        <v>60794</v>
      </c>
      <c r="CS541" s="62">
        <v>61297</v>
      </c>
      <c r="CT541" s="62">
        <v>63676</v>
      </c>
      <c r="CU541" s="62">
        <v>66401</v>
      </c>
      <c r="CV541" s="220">
        <v>70017</v>
      </c>
      <c r="CW541" s="62">
        <v>67995.268748125702</v>
      </c>
      <c r="CX541" s="62">
        <v>67942.042610079749</v>
      </c>
      <c r="CY541" s="62">
        <v>68694.424998885879</v>
      </c>
      <c r="CZ541" s="62">
        <v>70146.990604140621</v>
      </c>
      <c r="DA541" s="62">
        <v>72023.766244898143</v>
      </c>
      <c r="DB541" s="62">
        <v>74111.281143929256</v>
      </c>
      <c r="DC541" s="62">
        <v>77567.892095728545</v>
      </c>
      <c r="DD541" s="62">
        <v>82096.627445810649</v>
      </c>
      <c r="DE541" s="62">
        <v>85338.558463210647</v>
      </c>
      <c r="DF541" s="62">
        <v>88130.787691546473</v>
      </c>
    </row>
    <row r="542" spans="1:110" ht="12" outlineLevel="1">
      <c r="C542" s="41"/>
      <c r="D542" s="41"/>
      <c r="E542" s="41"/>
      <c r="F542" s="41"/>
      <c r="G542" s="41"/>
      <c r="H542" s="41"/>
      <c r="I542" s="41"/>
      <c r="J542" s="41"/>
      <c r="K542" s="41"/>
      <c r="L542" s="41"/>
      <c r="M542" s="41"/>
      <c r="N542" s="41"/>
      <c r="O542" s="41"/>
      <c r="P542" s="41"/>
      <c r="Q542" s="41"/>
      <c r="R542" s="41"/>
      <c r="S542" s="41"/>
      <c r="T542" s="41"/>
      <c r="U542" s="41"/>
      <c r="V542" s="41"/>
      <c r="W542" s="41"/>
      <c r="X542" s="41"/>
      <c r="Y542" s="41"/>
      <c r="Z542" s="41"/>
      <c r="AA542" s="41"/>
      <c r="AB542" s="41"/>
      <c r="AC542" s="41"/>
      <c r="AD542" s="41"/>
      <c r="AE542" s="41"/>
      <c r="AF542" s="41"/>
      <c r="AG542" s="41"/>
      <c r="AH542" s="41"/>
      <c r="AI542" s="41"/>
      <c r="AJ542" s="41"/>
      <c r="AK542" s="41"/>
      <c r="AL542" s="41"/>
      <c r="AM542" s="41"/>
      <c r="AN542" s="41"/>
      <c r="AO542" s="41"/>
      <c r="AP542" s="41"/>
      <c r="AQ542" s="41"/>
      <c r="AR542" s="41"/>
      <c r="AS542" s="41"/>
      <c r="AT542" s="41"/>
      <c r="AU542" s="41"/>
      <c r="AV542" s="211"/>
      <c r="AW542" s="41"/>
      <c r="AX542" s="41"/>
      <c r="AY542" s="41"/>
      <c r="AZ542" s="41"/>
      <c r="BA542" s="41"/>
      <c r="BB542" s="41"/>
      <c r="BC542" s="41"/>
      <c r="BD542" s="41"/>
      <c r="BE542" s="41"/>
      <c r="BF542" s="41"/>
      <c r="BG542" s="41"/>
      <c r="BH542" s="41"/>
      <c r="BI542" s="41"/>
      <c r="BJ542" s="41"/>
      <c r="BK542" s="41"/>
      <c r="BL542" s="41"/>
      <c r="BM542" s="41"/>
      <c r="BN542" s="41"/>
      <c r="BO542" s="41"/>
      <c r="BP542" s="41"/>
      <c r="BQ542" s="41"/>
      <c r="BR542" s="41"/>
      <c r="BS542" s="41"/>
      <c r="BT542" s="41"/>
      <c r="BU542" s="41"/>
      <c r="BV542" s="41"/>
      <c r="BW542" s="41"/>
      <c r="BX542" s="41"/>
      <c r="BY542" s="41"/>
      <c r="BZ542" s="532"/>
      <c r="CA542" s="41"/>
      <c r="CB542" s="41"/>
      <c r="CC542" s="41"/>
      <c r="CD542" s="41"/>
      <c r="CE542" s="41"/>
      <c r="CF542" s="41"/>
      <c r="CG542" s="41"/>
      <c r="CH542" s="41"/>
      <c r="CI542" s="41"/>
      <c r="CJ542" s="41"/>
      <c r="CK542" s="41"/>
      <c r="CL542" s="41"/>
      <c r="CM542" s="41"/>
      <c r="CN542" s="41"/>
      <c r="CO542" s="41"/>
      <c r="CP542" s="41"/>
      <c r="CQ542" s="41"/>
      <c r="CR542" s="41"/>
      <c r="CS542" s="41"/>
      <c r="CT542" s="41"/>
      <c r="CU542" s="41"/>
      <c r="CV542" s="41"/>
      <c r="CW542" s="41"/>
      <c r="CX542" s="41"/>
      <c r="CY542" s="41"/>
      <c r="CZ542" s="15"/>
      <c r="DA542" s="15"/>
      <c r="DB542" s="15"/>
      <c r="DC542" s="15"/>
      <c r="DD542" s="15"/>
      <c r="DE542" s="15"/>
      <c r="DF542" s="15"/>
    </row>
    <row r="543" spans="1:110" s="17" customFormat="1" ht="12" outlineLevel="1">
      <c r="A543" s="1" t="s">
        <v>1010</v>
      </c>
      <c r="B543" s="17" t="s">
        <v>155</v>
      </c>
      <c r="C543" s="61">
        <v>1500.1723640894036</v>
      </c>
      <c r="D543" s="61">
        <v>1507.6313948589134</v>
      </c>
      <c r="E543" s="61">
        <v>1515.8968073332353</v>
      </c>
      <c r="F543" s="61">
        <v>1525.4725900778765</v>
      </c>
      <c r="G543" s="61">
        <v>1533.8388002652996</v>
      </c>
      <c r="H543" s="61">
        <v>1822.6242483010546</v>
      </c>
      <c r="I543" s="61">
        <v>1832.9056150374061</v>
      </c>
      <c r="J543" s="61">
        <v>1837.23991670077</v>
      </c>
      <c r="K543" s="61">
        <v>1840.9694320855249</v>
      </c>
      <c r="L543" s="61">
        <v>1843.2877794868591</v>
      </c>
      <c r="M543" s="61">
        <v>1851.2507988218763</v>
      </c>
      <c r="N543" s="61">
        <v>1859.4154135830968</v>
      </c>
      <c r="O543" s="61">
        <v>1879.5749562033936</v>
      </c>
      <c r="P543" s="61">
        <v>1936.7272595319359</v>
      </c>
      <c r="Q543" s="61">
        <v>2056.9789312620078</v>
      </c>
      <c r="R543" s="61">
        <v>2175.3154464431509</v>
      </c>
      <c r="S543" s="61">
        <v>2524.4787246266956</v>
      </c>
      <c r="T543" s="61">
        <v>2553.7100614261262</v>
      </c>
      <c r="U543" s="61">
        <v>2580.1190622587151</v>
      </c>
      <c r="V543" s="61">
        <v>2617.1118229669605</v>
      </c>
      <c r="W543" s="61">
        <v>2649.9718774380449</v>
      </c>
      <c r="X543" s="61">
        <v>2700.8747225542947</v>
      </c>
      <c r="Y543" s="61">
        <v>2739.0770558197578</v>
      </c>
      <c r="Z543" s="194">
        <v>2765.5868543654478</v>
      </c>
      <c r="AA543" s="194">
        <v>2765.5868543654478</v>
      </c>
      <c r="AB543" s="194">
        <v>2765.990045217854</v>
      </c>
      <c r="AC543" s="194">
        <v>2778.5897593555396</v>
      </c>
      <c r="AD543" s="194">
        <v>2788.0647443870794</v>
      </c>
      <c r="AE543" s="194">
        <v>2925.8552181968093</v>
      </c>
      <c r="AF543" s="194">
        <v>2940.8740774489306</v>
      </c>
      <c r="AG543" s="194">
        <v>2950.8530510459777</v>
      </c>
      <c r="AH543" s="194">
        <v>2959.4581608852459</v>
      </c>
      <c r="AI543" s="194">
        <v>2960.8474739085123</v>
      </c>
      <c r="AJ543" s="194">
        <v>2921.8827581479832</v>
      </c>
      <c r="AK543" s="194">
        <v>2896.5413462139368</v>
      </c>
      <c r="AL543" s="194">
        <v>2855.7761917817611</v>
      </c>
      <c r="AM543" s="194">
        <v>2857.1967783034938</v>
      </c>
      <c r="AN543" s="194">
        <v>2858.801980876658</v>
      </c>
      <c r="AO543" s="194">
        <v>2863.0282304155085</v>
      </c>
      <c r="AP543" s="194">
        <v>2868.2410597468365</v>
      </c>
      <c r="AQ543" s="194">
        <v>2846.0875891807764</v>
      </c>
      <c r="AR543" s="194">
        <v>2816.3931090651417</v>
      </c>
      <c r="AS543" s="194">
        <v>2989.9237509999998</v>
      </c>
      <c r="AT543" s="194">
        <v>3003.3667820000001</v>
      </c>
      <c r="AU543" s="194">
        <v>3005.2868859999999</v>
      </c>
      <c r="AV543" s="227">
        <v>3007.5106780000001</v>
      </c>
      <c r="AW543" s="62">
        <v>2974.3612883344072</v>
      </c>
      <c r="AX543" s="62">
        <v>2942.854674767324</v>
      </c>
      <c r="AY543" s="62">
        <v>2942.854674767324</v>
      </c>
      <c r="AZ543" s="62">
        <v>2942.854674767324</v>
      </c>
      <c r="BA543" s="62">
        <v>2942.854674767324</v>
      </c>
      <c r="BB543" s="62">
        <v>2942.854674767324</v>
      </c>
      <c r="BC543" s="62">
        <v>2942.854674767324</v>
      </c>
      <c r="BD543" s="62">
        <v>2942.854674767324</v>
      </c>
      <c r="BE543" s="62">
        <v>2942.854674767324</v>
      </c>
      <c r="BF543" s="62">
        <v>2942.854674767324</v>
      </c>
      <c r="BG543" s="62">
        <v>2942.854674767324</v>
      </c>
      <c r="BH543" s="62">
        <v>2942.854674767324</v>
      </c>
      <c r="BI543" s="62">
        <v>2985.2627551677906</v>
      </c>
      <c r="BJ543" s="62">
        <v>3022.061335154996</v>
      </c>
      <c r="BK543" s="62">
        <v>3022.061335154996</v>
      </c>
      <c r="BL543" s="62">
        <v>3022.061335154996</v>
      </c>
      <c r="BM543" s="62">
        <v>3022.061335154996</v>
      </c>
      <c r="BN543" s="62">
        <v>3022.061335154996</v>
      </c>
      <c r="BO543" s="62">
        <v>3022.061335154996</v>
      </c>
      <c r="BP543" s="62"/>
      <c r="BQ543" s="61">
        <v>1062.911884655161</v>
      </c>
      <c r="BR543" s="61">
        <v>1318.6356827936288</v>
      </c>
      <c r="BS543" s="61">
        <v>1364.3783774793717</v>
      </c>
      <c r="BT543" s="61">
        <v>1457.5831903685769</v>
      </c>
      <c r="BU543" s="61">
        <v>1489.8805557179519</v>
      </c>
      <c r="BV543" s="61">
        <v>1520.5847618049243</v>
      </c>
      <c r="BW543" s="61">
        <v>1551.7209969700209</v>
      </c>
      <c r="BX543" s="61">
        <v>1577.9160969915913</v>
      </c>
      <c r="BY543" s="61">
        <v>1518.2151547345695</v>
      </c>
      <c r="BZ543" s="61">
        <v>1500.1723640894036</v>
      </c>
      <c r="CA543" s="62">
        <v>1515.8968073332353</v>
      </c>
      <c r="CB543" s="62">
        <v>1533.8388002652996</v>
      </c>
      <c r="CC543" s="62">
        <v>1832.9056150374061</v>
      </c>
      <c r="CD543" s="62">
        <v>1840.9694320855249</v>
      </c>
      <c r="CE543" s="62">
        <v>1851.2507988218763</v>
      </c>
      <c r="CF543" s="62">
        <v>1879.5749562033936</v>
      </c>
      <c r="CG543" s="62">
        <v>2056.9789312620078</v>
      </c>
      <c r="CH543" s="62">
        <v>2524.4787246266956</v>
      </c>
      <c r="CI543" s="62">
        <v>2580.1190622587151</v>
      </c>
      <c r="CJ543" s="62">
        <v>2649.9718774380449</v>
      </c>
      <c r="CK543" s="62">
        <v>2739.0770558197578</v>
      </c>
      <c r="CL543" s="62">
        <v>2765.5868543654478</v>
      </c>
      <c r="CM543" s="62">
        <v>2778.5897593555396</v>
      </c>
      <c r="CN543" s="62">
        <v>2925.8552181968093</v>
      </c>
      <c r="CO543" s="62">
        <v>2950.8530510459777</v>
      </c>
      <c r="CP543" s="62">
        <v>2960.8474739085123</v>
      </c>
      <c r="CQ543" s="62">
        <v>2896.5413462139368</v>
      </c>
      <c r="CR543" s="62">
        <v>2857.1967783034938</v>
      </c>
      <c r="CS543" s="62">
        <v>2863.0282304155085</v>
      </c>
      <c r="CT543" s="62">
        <v>2846.0875891807764</v>
      </c>
      <c r="CU543" s="62">
        <v>2989.9237509999998</v>
      </c>
      <c r="CV543" s="220">
        <v>3005.2868859999999</v>
      </c>
      <c r="CW543" s="62">
        <v>2974.3612883344072</v>
      </c>
      <c r="CX543" s="62">
        <v>2942.854674767324</v>
      </c>
      <c r="CY543" s="62">
        <v>2942.854674767324</v>
      </c>
      <c r="CZ543" s="62">
        <v>2942.854674767324</v>
      </c>
      <c r="DA543" s="62">
        <v>2942.854674767324</v>
      </c>
      <c r="DB543" s="62">
        <v>2942.854674767324</v>
      </c>
      <c r="DC543" s="62">
        <v>2985.2627551677906</v>
      </c>
      <c r="DD543" s="62">
        <v>3022.061335154996</v>
      </c>
      <c r="DE543" s="62">
        <v>3022.061335154996</v>
      </c>
      <c r="DF543" s="62">
        <v>3022.061335154996</v>
      </c>
    </row>
    <row r="544" spans="1:110" ht="12" outlineLevel="1">
      <c r="A544" s="1" t="s">
        <v>1011</v>
      </c>
      <c r="B544" s="15" t="s">
        <v>156</v>
      </c>
      <c r="C544" s="40">
        <v>1497.9548144011708</v>
      </c>
      <c r="D544" s="40">
        <v>1504.1034749003616</v>
      </c>
      <c r="E544" s="40">
        <v>1513.4776622187997</v>
      </c>
      <c r="F544" s="40">
        <v>1586.1528133649704</v>
      </c>
      <c r="G544" s="40">
        <v>1594.7206189785966</v>
      </c>
      <c r="H544" s="40">
        <v>1748.1347383190571</v>
      </c>
      <c r="I544" s="40">
        <v>1828.3697179478393</v>
      </c>
      <c r="J544" s="40">
        <v>1837.23991670077</v>
      </c>
      <c r="K544" s="40">
        <v>1839.2558709627997</v>
      </c>
      <c r="L544" s="40">
        <v>1842.9853863475546</v>
      </c>
      <c r="M544" s="40">
        <v>1846.8156994454109</v>
      </c>
      <c r="N544" s="40">
        <v>1856.2906844769504</v>
      </c>
      <c r="O544" s="40">
        <v>1870.0999711718539</v>
      </c>
      <c r="P544" s="40">
        <v>1910.217460986245</v>
      </c>
      <c r="Q544" s="40">
        <v>1966.2609894706709</v>
      </c>
      <c r="R544" s="40">
        <v>2117.4575591228986</v>
      </c>
      <c r="S544" s="40">
        <v>2360.4808454105796</v>
      </c>
      <c r="T544" s="40">
        <v>2531.0305759782923</v>
      </c>
      <c r="U544" s="40">
        <v>2555.6252179750545</v>
      </c>
      <c r="V544" s="40">
        <v>2587.1749021758192</v>
      </c>
      <c r="W544" s="40">
        <v>2619.5309680813962</v>
      </c>
      <c r="X544" s="40">
        <v>2665.192332116369</v>
      </c>
      <c r="Y544" s="40">
        <v>2703.5962608080345</v>
      </c>
      <c r="Z544" s="141">
        <v>2738.2706741149455</v>
      </c>
      <c r="AA544" s="141">
        <v>2749.2576248430078</v>
      </c>
      <c r="AB544" s="141">
        <v>2749.7616134085151</v>
      </c>
      <c r="AC544" s="141">
        <v>2758.5310144483442</v>
      </c>
      <c r="AD544" s="141">
        <v>2771.9371102908417</v>
      </c>
      <c r="AE544" s="141">
        <v>2814.9777337851756</v>
      </c>
      <c r="AF544" s="141">
        <v>2924.5448479264905</v>
      </c>
      <c r="AG544" s="141">
        <v>2934.8262146628417</v>
      </c>
      <c r="AH544" s="141">
        <v>2947.0227379481212</v>
      </c>
      <c r="AI544" s="141">
        <v>2952.5666121687032</v>
      </c>
      <c r="AJ544" s="141">
        <v>2947.9299173660347</v>
      </c>
      <c r="AK544" s="141">
        <v>2905.1916870110049</v>
      </c>
      <c r="AL544" s="141">
        <v>2879.6898655963296</v>
      </c>
      <c r="AM544" s="141">
        <v>2851.8696967803198</v>
      </c>
      <c r="AN544" s="141">
        <v>2853.1800670506386</v>
      </c>
      <c r="AO544" s="141">
        <v>2853.7848533292477</v>
      </c>
      <c r="AP544" s="141">
        <v>2861.3446818118587</v>
      </c>
      <c r="AQ544" s="141">
        <v>2861.0422886725546</v>
      </c>
      <c r="AR544" s="141">
        <v>2855.4984144519731</v>
      </c>
      <c r="AS544" s="141">
        <v>2862.5</v>
      </c>
      <c r="AT544" s="141">
        <v>2994.1</v>
      </c>
      <c r="AU544" s="141">
        <v>3000.2</v>
      </c>
      <c r="AV544" s="226">
        <v>3001.3</v>
      </c>
      <c r="AW544" s="41">
        <v>2985.8634257122744</v>
      </c>
      <c r="AX544" s="41">
        <v>2953.5902516303686</v>
      </c>
      <c r="AY544" s="41">
        <v>2937.8636620865855</v>
      </c>
      <c r="AZ544" s="41">
        <v>2937.8636620865855</v>
      </c>
      <c r="BA544" s="41">
        <v>2937.8636620865855</v>
      </c>
      <c r="BB544" s="41">
        <v>2937.8636620865855</v>
      </c>
      <c r="BC544" s="41">
        <v>2937.8636620865855</v>
      </c>
      <c r="BD544" s="41">
        <v>2937.8636620865855</v>
      </c>
      <c r="BE544" s="41">
        <v>2937.8636620865855</v>
      </c>
      <c r="BF544" s="41">
        <v>2937.8636620865855</v>
      </c>
      <c r="BG544" s="41">
        <v>2937.8636620865855</v>
      </c>
      <c r="BH544" s="41">
        <v>2937.8636620865855</v>
      </c>
      <c r="BI544" s="41">
        <v>2959.0317407307048</v>
      </c>
      <c r="BJ544" s="41">
        <v>2998.5679046030459</v>
      </c>
      <c r="BK544" s="41">
        <v>3016.9359898312678</v>
      </c>
      <c r="BL544" s="41">
        <v>3016.9359898312678</v>
      </c>
      <c r="BM544" s="41">
        <v>3016.9359898312678</v>
      </c>
      <c r="BN544" s="41">
        <v>3016.9359898312678</v>
      </c>
      <c r="BO544" s="41">
        <v>3016.9359898312678</v>
      </c>
      <c r="BP544" s="41"/>
      <c r="BQ544" s="40">
        <v>1147.9827073035665</v>
      </c>
      <c r="BR544" s="40">
        <v>1296.0756274589212</v>
      </c>
      <c r="BS544" s="40">
        <v>1394.3841191365186</v>
      </c>
      <c r="BT544" s="40">
        <v>1460.2382049077296</v>
      </c>
      <c r="BU544" s="40">
        <v>1535.8601215828044</v>
      </c>
      <c r="BV544" s="40">
        <v>1567.9994361697113</v>
      </c>
      <c r="BW544" s="40">
        <v>1599.508568117659</v>
      </c>
      <c r="BX544" s="40">
        <v>1631.647882704566</v>
      </c>
      <c r="BY544" s="40">
        <v>1617.7838646474688</v>
      </c>
      <c r="BZ544" s="40">
        <v>1567.1591926510991</v>
      </c>
      <c r="CA544" s="41">
        <v>1508.7777272070898</v>
      </c>
      <c r="CB544" s="41">
        <v>1590.424979451765</v>
      </c>
      <c r="CC544" s="41">
        <v>1788.2522281334482</v>
      </c>
      <c r="CD544" s="41">
        <v>1838.2451322506042</v>
      </c>
      <c r="CE544" s="141">
        <v>1844.9005428964826</v>
      </c>
      <c r="CF544" s="141">
        <v>1863.2457266809531</v>
      </c>
      <c r="CG544" s="141">
        <v>1936.4248663926312</v>
      </c>
      <c r="CH544" s="141">
        <v>2239.3219942625942</v>
      </c>
      <c r="CI544" s="141">
        <v>2529.3170148555673</v>
      </c>
      <c r="CJ544" s="141">
        <v>2586.3685204710077</v>
      </c>
      <c r="CK544" s="141">
        <v>2684.3438976056509</v>
      </c>
      <c r="CL544" s="141">
        <v>2743.8145483355274</v>
      </c>
      <c r="CM544" s="141">
        <v>2753.9951173587774</v>
      </c>
      <c r="CN544" s="141">
        <v>2793.5078208945597</v>
      </c>
      <c r="CO544" s="141">
        <v>2929.3831381553614</v>
      </c>
      <c r="CP544" s="141">
        <v>2949.7442762018618</v>
      </c>
      <c r="CQ544" s="141">
        <v>2926.4600044754188</v>
      </c>
      <c r="CR544" s="141">
        <v>2865.7797811883243</v>
      </c>
      <c r="CS544" s="141">
        <v>2853.4824601899431</v>
      </c>
      <c r="CT544" s="141">
        <v>2861.2438840987575</v>
      </c>
      <c r="CU544" s="141">
        <v>2847.5</v>
      </c>
      <c r="CV544" s="226">
        <v>2997.2</v>
      </c>
      <c r="CW544" s="41">
        <v>2993.5817128561375</v>
      </c>
      <c r="CX544" s="41">
        <v>2945.7485001318246</v>
      </c>
      <c r="CY544" s="41">
        <v>2937.8636620865859</v>
      </c>
      <c r="CZ544" s="41">
        <v>2937.8636620865859</v>
      </c>
      <c r="DA544" s="41">
        <v>2937.8636620865855</v>
      </c>
      <c r="DB544" s="41">
        <v>2937.8636620865859</v>
      </c>
      <c r="DC544" s="41">
        <v>2948.41870404064</v>
      </c>
      <c r="DD544" s="41">
        <v>3007.7267854565707</v>
      </c>
      <c r="DE544" s="41">
        <v>3016.9359898312678</v>
      </c>
      <c r="DF544" s="41">
        <v>3016.9359898312682</v>
      </c>
    </row>
    <row r="545" spans="1:110" ht="12" outlineLevel="1">
      <c r="A545" s="1" t="s">
        <v>1018</v>
      </c>
      <c r="B545" s="15" t="s">
        <v>440</v>
      </c>
      <c r="C545" s="40">
        <v>1503.5994863348542</v>
      </c>
      <c r="D545" s="40">
        <v>1511.6633033829728</v>
      </c>
      <c r="E545" s="40">
        <v>1521.239086127614</v>
      </c>
      <c r="F545" s="40">
        <v>1592.2006761510595</v>
      </c>
      <c r="G545" s="40">
        <v>1600.6676840515843</v>
      </c>
      <c r="H545" s="40">
        <v>1807.4037936227303</v>
      </c>
      <c r="I545" s="40">
        <v>1910.5198541255497</v>
      </c>
      <c r="J545" s="40">
        <v>1964.7490237741486</v>
      </c>
      <c r="K545" s="40">
        <v>1952.2501073495644</v>
      </c>
      <c r="L545" s="40">
        <v>1952.4517027757674</v>
      </c>
      <c r="M545" s="40">
        <v>1953.6612753329853</v>
      </c>
      <c r="N545" s="40">
        <v>1951.8469164971586</v>
      </c>
      <c r="O545" s="40">
        <v>1980.4734670179803</v>
      </c>
      <c r="P545" s="40">
        <v>2066.8571071459533</v>
      </c>
      <c r="Q545" s="40">
        <v>2159.6918009124206</v>
      </c>
      <c r="R545" s="40">
        <v>2333.8702491517874</v>
      </c>
      <c r="S545" s="40">
        <v>2486.8811776398416</v>
      </c>
      <c r="T545" s="40">
        <v>2671.7305759782921</v>
      </c>
      <c r="U545" s="40">
        <v>2756.5252179750546</v>
      </c>
      <c r="V545" s="40">
        <v>2785.3749021758194</v>
      </c>
      <c r="W545" s="40">
        <v>2862.8309680813963</v>
      </c>
      <c r="X545" s="40">
        <v>2927.1655884671291</v>
      </c>
      <c r="Y545" s="40">
        <v>2934.1206306711315</v>
      </c>
      <c r="Z545" s="141">
        <v>2927.5687793195348</v>
      </c>
      <c r="AA545" s="141">
        <v>2938.6565277606983</v>
      </c>
      <c r="AB545" s="141">
        <v>2942.0836500061487</v>
      </c>
      <c r="AC545" s="141">
        <v>2968.6942462649404</v>
      </c>
      <c r="AD545" s="141">
        <v>2950.1474670542675</v>
      </c>
      <c r="AE545" s="141">
        <v>3101.948822985104</v>
      </c>
      <c r="AF545" s="141">
        <v>3255.2621446124631</v>
      </c>
      <c r="AG545" s="141">
        <v>3218.0677884780148</v>
      </c>
      <c r="AH545" s="141">
        <v>3206.1736583320398</v>
      </c>
      <c r="AI545" s="141">
        <v>3209.0967920119829</v>
      </c>
      <c r="AJ545" s="141">
        <v>3229.861120910889</v>
      </c>
      <c r="AK545" s="141">
        <v>3157.2867674778195</v>
      </c>
      <c r="AL545" s="141">
        <v>3150.7349161262232</v>
      </c>
      <c r="AM545" s="141">
        <v>3100.0336664361757</v>
      </c>
      <c r="AN545" s="141">
        <v>3264.4347365046979</v>
      </c>
      <c r="AO545" s="141">
        <v>3226.2324032392353</v>
      </c>
      <c r="AP545" s="141">
        <v>3109.0046629022081</v>
      </c>
      <c r="AQ545" s="141">
        <v>3130.2729803666216</v>
      </c>
      <c r="AR545" s="141">
        <v>3128.5594192438962</v>
      </c>
      <c r="AS545" s="141">
        <v>3145.5</v>
      </c>
      <c r="AT545" s="141">
        <v>3278.3</v>
      </c>
      <c r="AU545" s="141">
        <v>3281.6</v>
      </c>
      <c r="AV545" s="226">
        <v>3249.4</v>
      </c>
      <c r="AW545" s="210">
        <v>3233.9634257122743</v>
      </c>
      <c r="AX545" s="210">
        <v>3201.6902516303685</v>
      </c>
      <c r="AY545" s="210">
        <v>3185.9636620865854</v>
      </c>
      <c r="AZ545" s="210">
        <v>3185.9636620865854</v>
      </c>
      <c r="BA545" s="210">
        <v>3185.9636620865854</v>
      </c>
      <c r="BB545" s="210">
        <v>3185.9636620865854</v>
      </c>
      <c r="BC545" s="210">
        <v>3185.9636620865854</v>
      </c>
      <c r="BD545" s="210">
        <v>3185.9636620865854</v>
      </c>
      <c r="BE545" s="210">
        <v>3185.9636620865854</v>
      </c>
      <c r="BF545" s="210">
        <v>3185.9636620865854</v>
      </c>
      <c r="BG545" s="210">
        <v>3185.9636620865854</v>
      </c>
      <c r="BH545" s="210">
        <v>3185.9636620865854</v>
      </c>
      <c r="BI545" s="210">
        <v>3207.1317407307047</v>
      </c>
      <c r="BJ545" s="210">
        <v>3246.6679046030458</v>
      </c>
      <c r="BK545" s="210">
        <v>3265.0359898312677</v>
      </c>
      <c r="BL545" s="210">
        <v>3265.0359898312677</v>
      </c>
      <c r="BM545" s="210">
        <v>3265.0359898312677</v>
      </c>
      <c r="BN545" s="210">
        <v>3265.0359898312677</v>
      </c>
      <c r="BO545" s="210">
        <v>3265.0359898312677</v>
      </c>
      <c r="BP545" s="41"/>
      <c r="BQ545" s="40">
        <v>1447.3194608090712</v>
      </c>
      <c r="BR545" s="40">
        <v>1521.8910730858809</v>
      </c>
      <c r="BS545" s="40">
        <v>1394.3841191365186</v>
      </c>
      <c r="BT545" s="40">
        <v>1460.2382049077296</v>
      </c>
      <c r="BU545" s="40">
        <v>1543.8424350096179</v>
      </c>
      <c r="BV545" s="40">
        <v>1575.5616278372186</v>
      </c>
      <c r="BW545" s="40">
        <v>1606.4405771462075</v>
      </c>
      <c r="BX545" s="40">
        <v>1639.525165691553</v>
      </c>
      <c r="BY545" s="40">
        <v>1630.4925478664745</v>
      </c>
      <c r="BZ545" s="40">
        <v>1571.570471123812</v>
      </c>
      <c r="CA545" s="41">
        <v>1516.4380772446843</v>
      </c>
      <c r="CB545" s="41">
        <v>1596.4225814603622</v>
      </c>
      <c r="CC545" s="41">
        <v>1858.96182387414</v>
      </c>
      <c r="CD545" s="41">
        <v>1958.5166873651779</v>
      </c>
      <c r="CE545" s="141">
        <v>1952.6532982019705</v>
      </c>
      <c r="CF545" s="141">
        <v>1966.462584896874</v>
      </c>
      <c r="CG545" s="141">
        <v>2133.4843955060346</v>
      </c>
      <c r="CH545" s="141">
        <v>2365.621528778755</v>
      </c>
      <c r="CI545" s="141">
        <v>2718.5143223470545</v>
      </c>
      <c r="CJ545" s="141">
        <v>2832.0125472993268</v>
      </c>
      <c r="CK545" s="141">
        <v>2926.4600044754188</v>
      </c>
      <c r="CL545" s="141">
        <v>2927.8711724588393</v>
      </c>
      <c r="CM545" s="141">
        <v>2957.8080932499806</v>
      </c>
      <c r="CN545" s="141">
        <v>3056.3882566632328</v>
      </c>
      <c r="CO545" s="141">
        <v>3212.4231165443321</v>
      </c>
      <c r="CP545" s="141">
        <v>3217.1606090601013</v>
      </c>
      <c r="CQ545" s="141">
        <v>3188.9372493916858</v>
      </c>
      <c r="CR545" s="141">
        <v>3114.4477394096884</v>
      </c>
      <c r="CS545" s="141">
        <v>3226.635594091641</v>
      </c>
      <c r="CT545" s="141">
        <v>3123.519533588822</v>
      </c>
      <c r="CU545" s="141">
        <v>3138.1</v>
      </c>
      <c r="CV545" s="226">
        <v>3270.5</v>
      </c>
      <c r="CW545" s="41">
        <v>3241.681712856137</v>
      </c>
      <c r="CX545" s="41">
        <v>3193.8485001318245</v>
      </c>
      <c r="CY545" s="41">
        <v>3185.9636620865858</v>
      </c>
      <c r="CZ545" s="41">
        <v>3185.9636620865858</v>
      </c>
      <c r="DA545" s="41">
        <v>3185.9636620865854</v>
      </c>
      <c r="DB545" s="41">
        <v>3185.9636620865858</v>
      </c>
      <c r="DC545" s="41">
        <v>3196.5187040406395</v>
      </c>
      <c r="DD545" s="41">
        <v>3255.8267854565706</v>
      </c>
      <c r="DE545" s="41">
        <v>3265.0359898312677</v>
      </c>
      <c r="DF545" s="41">
        <v>3265.0359898312681</v>
      </c>
    </row>
    <row r="546" spans="1:110" ht="12" outlineLevel="1">
      <c r="A546" s="1" t="s">
        <v>1019</v>
      </c>
      <c r="B546" s="15" t="s">
        <v>441</v>
      </c>
      <c r="C546" s="40">
        <v>0</v>
      </c>
      <c r="D546" s="40">
        <v>0</v>
      </c>
      <c r="E546" s="40">
        <v>0</v>
      </c>
      <c r="F546" s="40">
        <v>0</v>
      </c>
      <c r="G546" s="40">
        <v>0</v>
      </c>
      <c r="H546" s="40">
        <v>26</v>
      </c>
      <c r="I546" s="40">
        <v>37</v>
      </c>
      <c r="J546" s="40">
        <v>55</v>
      </c>
      <c r="K546" s="40">
        <v>37</v>
      </c>
      <c r="L546" s="40">
        <v>51</v>
      </c>
      <c r="M546" s="40">
        <v>47</v>
      </c>
      <c r="N546" s="40">
        <v>46</v>
      </c>
      <c r="O546" s="40">
        <v>69</v>
      </c>
      <c r="P546" s="40">
        <v>81</v>
      </c>
      <c r="Q546" s="40">
        <v>79</v>
      </c>
      <c r="R546" s="40">
        <v>74</v>
      </c>
      <c r="S546" s="40">
        <v>57</v>
      </c>
      <c r="T546" s="40">
        <v>72</v>
      </c>
      <c r="U546" s="40">
        <v>122</v>
      </c>
      <c r="V546" s="40">
        <v>122</v>
      </c>
      <c r="W546" s="40">
        <v>120</v>
      </c>
      <c r="X546" s="40">
        <v>153</v>
      </c>
      <c r="Y546" s="40">
        <v>133</v>
      </c>
      <c r="Z546" s="141">
        <v>110</v>
      </c>
      <c r="AA546" s="141">
        <v>114</v>
      </c>
      <c r="AB546" s="141">
        <v>116</v>
      </c>
      <c r="AC546" s="141">
        <v>127</v>
      </c>
      <c r="AD546" s="141">
        <v>127</v>
      </c>
      <c r="AE546" s="141">
        <v>147</v>
      </c>
      <c r="AF546" s="141">
        <v>147</v>
      </c>
      <c r="AG546" s="141">
        <v>150</v>
      </c>
      <c r="AH546" s="141">
        <v>148</v>
      </c>
      <c r="AI546" s="141">
        <v>140</v>
      </c>
      <c r="AJ546" s="141">
        <v>141</v>
      </c>
      <c r="AK546" s="141">
        <v>138</v>
      </c>
      <c r="AL546" s="141">
        <v>137</v>
      </c>
      <c r="AM546" s="141">
        <v>131</v>
      </c>
      <c r="AN546" s="141">
        <v>124</v>
      </c>
      <c r="AO546" s="141">
        <v>90</v>
      </c>
      <c r="AP546" s="141">
        <v>92</v>
      </c>
      <c r="AQ546" s="141">
        <v>95</v>
      </c>
      <c r="AR546" s="141">
        <v>92</v>
      </c>
      <c r="AS546" s="141">
        <v>107</v>
      </c>
      <c r="AT546" s="141">
        <v>150</v>
      </c>
      <c r="AU546" s="141">
        <v>182</v>
      </c>
      <c r="AV546" s="226">
        <v>217</v>
      </c>
      <c r="AW546" s="210">
        <v>217</v>
      </c>
      <c r="AX546" s="210">
        <v>217</v>
      </c>
      <c r="AY546" s="210">
        <v>217</v>
      </c>
      <c r="AZ546" s="210">
        <v>217</v>
      </c>
      <c r="BA546" s="210">
        <v>217</v>
      </c>
      <c r="BB546" s="210">
        <v>217</v>
      </c>
      <c r="BC546" s="210">
        <v>217</v>
      </c>
      <c r="BD546" s="210">
        <v>217</v>
      </c>
      <c r="BE546" s="210">
        <v>217</v>
      </c>
      <c r="BF546" s="210">
        <v>217</v>
      </c>
      <c r="BG546" s="210">
        <v>217</v>
      </c>
      <c r="BH546" s="210">
        <v>217</v>
      </c>
      <c r="BI546" s="210">
        <v>217</v>
      </c>
      <c r="BJ546" s="210">
        <v>217</v>
      </c>
      <c r="BK546" s="210">
        <v>217</v>
      </c>
      <c r="BL546" s="210">
        <v>217</v>
      </c>
      <c r="BM546" s="210">
        <v>217</v>
      </c>
      <c r="BN546" s="210">
        <v>217</v>
      </c>
      <c r="BO546" s="210">
        <v>217</v>
      </c>
      <c r="BP546" s="41"/>
      <c r="BQ546" s="40">
        <v>9.1999999999999993</v>
      </c>
      <c r="BR546" s="40">
        <v>7</v>
      </c>
      <c r="BS546" s="40">
        <v>0</v>
      </c>
      <c r="BT546" s="40">
        <v>1</v>
      </c>
      <c r="BU546" s="40">
        <v>2</v>
      </c>
      <c r="BV546" s="40">
        <v>2</v>
      </c>
      <c r="BW546" s="40">
        <v>2</v>
      </c>
      <c r="BX546" s="40">
        <v>2</v>
      </c>
      <c r="BY546" s="40">
        <v>5</v>
      </c>
      <c r="BZ546" s="40">
        <v>10</v>
      </c>
      <c r="CA546" s="41">
        <v>0</v>
      </c>
      <c r="CB546" s="41">
        <v>0</v>
      </c>
      <c r="CC546" s="41">
        <v>63</v>
      </c>
      <c r="CD546" s="41">
        <v>92</v>
      </c>
      <c r="CE546" s="41">
        <v>98</v>
      </c>
      <c r="CF546" s="41">
        <v>115</v>
      </c>
      <c r="CG546" s="41">
        <v>160</v>
      </c>
      <c r="CH546" s="41">
        <v>131</v>
      </c>
      <c r="CI546" s="41">
        <v>194</v>
      </c>
      <c r="CJ546" s="41">
        <v>242</v>
      </c>
      <c r="CK546" s="41">
        <v>286</v>
      </c>
      <c r="CL546" s="41">
        <v>224</v>
      </c>
      <c r="CM546" s="41">
        <v>243</v>
      </c>
      <c r="CN546" s="41">
        <v>274</v>
      </c>
      <c r="CO546" s="41">
        <v>297</v>
      </c>
      <c r="CP546" s="41">
        <v>288</v>
      </c>
      <c r="CQ546" s="41">
        <v>279</v>
      </c>
      <c r="CR546" s="41">
        <v>268</v>
      </c>
      <c r="CS546" s="41">
        <v>214</v>
      </c>
      <c r="CT546" s="41">
        <v>187</v>
      </c>
      <c r="CU546" s="41">
        <v>199</v>
      </c>
      <c r="CV546" s="211">
        <v>332</v>
      </c>
      <c r="CW546" s="41">
        <v>434</v>
      </c>
      <c r="CX546" s="41">
        <v>434</v>
      </c>
      <c r="CY546" s="41">
        <v>434</v>
      </c>
      <c r="CZ546" s="41">
        <v>434</v>
      </c>
      <c r="DA546" s="41">
        <v>434</v>
      </c>
      <c r="DB546" s="41">
        <v>434</v>
      </c>
      <c r="DC546" s="41">
        <v>434</v>
      </c>
      <c r="DD546" s="41">
        <v>434</v>
      </c>
      <c r="DE546" s="41">
        <v>434</v>
      </c>
      <c r="DF546" s="41">
        <v>434</v>
      </c>
    </row>
    <row r="547" spans="1:110" ht="12">
      <c r="C547" s="41"/>
      <c r="D547" s="41"/>
      <c r="E547" s="41"/>
      <c r="F547" s="41"/>
      <c r="G547" s="41"/>
      <c r="H547" s="41"/>
      <c r="I547" s="41"/>
      <c r="J547" s="41"/>
      <c r="K547" s="41"/>
      <c r="L547" s="41"/>
      <c r="M547" s="41"/>
      <c r="N547" s="41"/>
      <c r="O547" s="41"/>
      <c r="P547" s="41"/>
      <c r="Q547" s="41"/>
      <c r="R547" s="41"/>
      <c r="S547" s="41"/>
      <c r="T547" s="41"/>
      <c r="U547" s="41"/>
      <c r="V547" s="41"/>
      <c r="W547" s="41"/>
      <c r="X547" s="41"/>
      <c r="Y547" s="41"/>
      <c r="Z547" s="41"/>
      <c r="AA547" s="41"/>
      <c r="AB547" s="41"/>
      <c r="AC547" s="41"/>
      <c r="AD547" s="41"/>
      <c r="AE547" s="41"/>
      <c r="AF547" s="41"/>
      <c r="AG547" s="41"/>
      <c r="AH547" s="41"/>
      <c r="AI547" s="41"/>
      <c r="AJ547" s="41"/>
      <c r="AK547" s="41"/>
      <c r="AL547" s="41"/>
      <c r="AM547" s="41"/>
      <c r="AN547" s="41"/>
      <c r="AO547" s="41"/>
      <c r="AP547" s="41"/>
      <c r="AQ547" s="41"/>
      <c r="AR547" s="41"/>
      <c r="AS547" s="41"/>
      <c r="AT547" s="41"/>
      <c r="AU547" s="41"/>
      <c r="AV547" s="211"/>
      <c r="AW547" s="41"/>
      <c r="AX547" s="41"/>
      <c r="AY547" s="41"/>
      <c r="AZ547" s="41"/>
      <c r="BA547" s="41"/>
      <c r="BB547" s="41"/>
      <c r="BC547" s="41"/>
      <c r="BD547" s="41"/>
      <c r="BE547" s="41"/>
      <c r="BF547" s="41"/>
      <c r="BG547" s="41"/>
      <c r="BH547" s="41"/>
      <c r="BI547" s="41"/>
      <c r="BJ547" s="41"/>
      <c r="BK547" s="41"/>
      <c r="BL547" s="41"/>
      <c r="BM547" s="41"/>
      <c r="BN547" s="41"/>
      <c r="BO547" s="41"/>
      <c r="BP547" s="41"/>
      <c r="BQ547" s="41"/>
      <c r="BR547" s="41"/>
      <c r="BS547" s="41"/>
      <c r="BT547" s="41"/>
      <c r="BU547" s="41"/>
      <c r="BV547" s="41"/>
      <c r="BW547" s="41"/>
      <c r="BX547" s="41"/>
      <c r="BY547" s="41"/>
      <c r="BZ547" s="41"/>
      <c r="CA547" s="41"/>
      <c r="CB547" s="41"/>
      <c r="CC547" s="41"/>
      <c r="CD547" s="41"/>
      <c r="CE547" s="41"/>
      <c r="CF547" s="41"/>
      <c r="CG547" s="41"/>
      <c r="CH547" s="41"/>
      <c r="CI547" s="41"/>
      <c r="CJ547" s="41"/>
      <c r="CK547" s="41"/>
      <c r="CL547" s="41"/>
      <c r="CM547" s="41"/>
      <c r="CN547" s="41"/>
      <c r="CO547" s="41"/>
      <c r="CP547" s="41"/>
      <c r="CQ547" s="41"/>
      <c r="CR547" s="41"/>
      <c r="CS547" s="41"/>
      <c r="CT547" s="41"/>
      <c r="CU547" s="41"/>
      <c r="CV547" s="211"/>
      <c r="CW547" s="41"/>
      <c r="CX547" s="41"/>
      <c r="CY547" s="41"/>
      <c r="CZ547" s="15"/>
      <c r="DA547" s="15"/>
      <c r="DB547" s="15"/>
      <c r="DC547" s="15"/>
      <c r="DD547" s="15"/>
      <c r="DE547" s="15"/>
      <c r="DF547" s="15"/>
    </row>
    <row r="548" spans="1:110" s="26" customFormat="1" ht="12" collapsed="1">
      <c r="A548" s="1" t="s">
        <v>1020</v>
      </c>
      <c r="B548" s="2" t="s">
        <v>444</v>
      </c>
      <c r="C548" s="60">
        <v>9247</v>
      </c>
      <c r="D548" s="60">
        <v>9128</v>
      </c>
      <c r="E548" s="60">
        <v>9776</v>
      </c>
      <c r="F548" s="60">
        <v>10227</v>
      </c>
      <c r="G548" s="60">
        <v>9599</v>
      </c>
      <c r="H548" s="60">
        <v>10575</v>
      </c>
      <c r="I548" s="60">
        <v>11031</v>
      </c>
      <c r="J548" s="60">
        <v>11417</v>
      </c>
      <c r="K548" s="60">
        <v>11856</v>
      </c>
      <c r="L548" s="60">
        <v>12404</v>
      </c>
      <c r="M548" s="60">
        <v>13015</v>
      </c>
      <c r="N548" s="60">
        <v>13563</v>
      </c>
      <c r="O548" s="60">
        <v>14276</v>
      </c>
      <c r="P548" s="60">
        <v>14255</v>
      </c>
      <c r="Q548" s="60">
        <v>16287</v>
      </c>
      <c r="R548" s="60">
        <v>17848</v>
      </c>
      <c r="S548" s="60">
        <v>22596</v>
      </c>
      <c r="T548" s="60">
        <v>21147</v>
      </c>
      <c r="U548" s="60">
        <v>21258</v>
      </c>
      <c r="V548" s="60">
        <v>22422</v>
      </c>
      <c r="W548" s="60">
        <v>23864</v>
      </c>
      <c r="X548" s="60">
        <v>25415</v>
      </c>
      <c r="Y548" s="60">
        <v>26524</v>
      </c>
      <c r="Z548" s="60">
        <v>26375</v>
      </c>
      <c r="AA548" s="60">
        <v>28779</v>
      </c>
      <c r="AB548" s="60">
        <v>30020</v>
      </c>
      <c r="AC548" s="60">
        <v>31776</v>
      </c>
      <c r="AD548" s="60">
        <v>33736</v>
      </c>
      <c r="AE548" s="60">
        <v>38526</v>
      </c>
      <c r="AF548" s="60">
        <v>38102</v>
      </c>
      <c r="AG548" s="60">
        <v>39267</v>
      </c>
      <c r="AH548" s="60">
        <v>40217</v>
      </c>
      <c r="AI548" s="60">
        <v>41336</v>
      </c>
      <c r="AJ548" s="60">
        <v>43707</v>
      </c>
      <c r="AK548" s="60">
        <v>44713</v>
      </c>
      <c r="AL548" s="60">
        <v>45528</v>
      </c>
      <c r="AM548" s="60">
        <v>47355</v>
      </c>
      <c r="AN548" s="60">
        <v>48038</v>
      </c>
      <c r="AO548" s="60">
        <v>48308</v>
      </c>
      <c r="AP548" s="60">
        <v>50786</v>
      </c>
      <c r="AQ548" s="60">
        <v>51359</v>
      </c>
      <c r="AR548" s="60">
        <v>50511</v>
      </c>
      <c r="AS548" s="60">
        <v>55872</v>
      </c>
      <c r="AT548" s="60">
        <v>57381</v>
      </c>
      <c r="AU548" s="60">
        <v>57794</v>
      </c>
      <c r="AV548" s="219">
        <v>58412</v>
      </c>
      <c r="AW548" s="60">
        <v>54991.905950325978</v>
      </c>
      <c r="AX548" s="60">
        <v>55747.859580489268</v>
      </c>
      <c r="AY548" s="60">
        <v>55900.284933744755</v>
      </c>
      <c r="AZ548" s="60">
        <v>56267.876809381356</v>
      </c>
      <c r="BA548" s="60">
        <v>56610.733575507911</v>
      </c>
      <c r="BB548" s="60">
        <v>57300.489222513104</v>
      </c>
      <c r="BC548" s="60">
        <v>58021.234514475087</v>
      </c>
      <c r="BD548" s="60">
        <v>59005.11607994631</v>
      </c>
      <c r="BE548" s="60">
        <v>59854.451591695732</v>
      </c>
      <c r="BF548" s="60">
        <v>60992.161516580891</v>
      </c>
      <c r="BG548" s="60">
        <v>61896.598012297123</v>
      </c>
      <c r="BH548" s="60">
        <v>62601.988893895745</v>
      </c>
      <c r="BI548" s="60">
        <v>65304.449137236137</v>
      </c>
      <c r="BJ548" s="60">
        <v>68366.393856476381</v>
      </c>
      <c r="BK548" s="60">
        <v>69777.414647049882</v>
      </c>
      <c r="BL548" s="60">
        <v>71749.870330321952</v>
      </c>
      <c r="BM548" s="60">
        <v>72954.078263447009</v>
      </c>
      <c r="BN548" s="60">
        <v>74445.296632113372</v>
      </c>
      <c r="BO548" s="60">
        <v>75688.600598423713</v>
      </c>
      <c r="BP548" s="60"/>
      <c r="BQ548" s="60">
        <v>3870.8999999999992</v>
      </c>
      <c r="BR548" s="60">
        <v>4212.8</v>
      </c>
      <c r="BS548" s="60">
        <v>4953</v>
      </c>
      <c r="BT548" s="60">
        <v>5503</v>
      </c>
      <c r="BU548" s="60">
        <v>6273</v>
      </c>
      <c r="BV548" s="60">
        <v>6972</v>
      </c>
      <c r="BW548" s="60">
        <v>8309</v>
      </c>
      <c r="BX548" s="60">
        <v>9329</v>
      </c>
      <c r="BY548" s="60">
        <v>9640</v>
      </c>
      <c r="BZ548" s="60">
        <v>10387</v>
      </c>
      <c r="CA548" s="60">
        <v>9776</v>
      </c>
      <c r="CB548" s="60">
        <v>9599</v>
      </c>
      <c r="CC548" s="60">
        <v>11031</v>
      </c>
      <c r="CD548" s="60">
        <v>11856</v>
      </c>
      <c r="CE548" s="60">
        <v>12299</v>
      </c>
      <c r="CF548" s="60">
        <v>13560</v>
      </c>
      <c r="CG548" s="60">
        <v>16287</v>
      </c>
      <c r="CH548" s="60">
        <v>22596</v>
      </c>
      <c r="CI548" s="60">
        <v>21258</v>
      </c>
      <c r="CJ548" s="60">
        <v>23864</v>
      </c>
      <c r="CK548" s="60">
        <v>26524</v>
      </c>
      <c r="CL548" s="60">
        <v>28779</v>
      </c>
      <c r="CM548" s="60">
        <v>31776</v>
      </c>
      <c r="CN548" s="60">
        <v>38526</v>
      </c>
      <c r="CO548" s="60">
        <v>39267</v>
      </c>
      <c r="CP548" s="60">
        <v>41336</v>
      </c>
      <c r="CQ548" s="60">
        <v>44713</v>
      </c>
      <c r="CR548" s="60">
        <v>47355</v>
      </c>
      <c r="CS548" s="60">
        <v>48308</v>
      </c>
      <c r="CT548" s="60">
        <v>51359</v>
      </c>
      <c r="CU548" s="60">
        <v>55872</v>
      </c>
      <c r="CV548" s="219">
        <v>57794</v>
      </c>
      <c r="CW548" s="60">
        <v>54991.905950325978</v>
      </c>
      <c r="CX548" s="60">
        <v>55900.28493374477</v>
      </c>
      <c r="CY548" s="60">
        <v>56610.73357550794</v>
      </c>
      <c r="CZ548" s="60">
        <v>58021.234514475131</v>
      </c>
      <c r="DA548" s="60">
        <v>59854.45159169579</v>
      </c>
      <c r="DB548" s="60">
        <v>61896.598012297196</v>
      </c>
      <c r="DC548" s="60">
        <v>65304.449137236224</v>
      </c>
      <c r="DD548" s="60">
        <v>69777.414647049969</v>
      </c>
      <c r="DE548" s="60">
        <v>72954.078263447096</v>
      </c>
      <c r="DF548" s="60">
        <v>75688.6005984238</v>
      </c>
    </row>
    <row r="549" spans="1:110" ht="12" outlineLevel="1">
      <c r="C549" s="41"/>
      <c r="D549" s="41"/>
      <c r="E549" s="41"/>
      <c r="F549" s="41"/>
      <c r="G549" s="41"/>
      <c r="H549" s="41"/>
      <c r="I549" s="41"/>
      <c r="J549" s="41"/>
      <c r="K549" s="41"/>
      <c r="L549" s="41"/>
      <c r="M549" s="41"/>
      <c r="N549" s="41"/>
      <c r="O549" s="41"/>
      <c r="P549" s="41"/>
      <c r="Q549" s="41"/>
      <c r="R549" s="41"/>
      <c r="S549" s="41"/>
      <c r="T549" s="41"/>
      <c r="U549" s="41"/>
      <c r="V549" s="41"/>
      <c r="W549" s="41"/>
      <c r="X549" s="41"/>
      <c r="Y549" s="41"/>
      <c r="Z549" s="41"/>
      <c r="AA549" s="41"/>
      <c r="AB549" s="41"/>
      <c r="AC549" s="41"/>
      <c r="AD549" s="41"/>
      <c r="AE549" s="41"/>
      <c r="AF549" s="41"/>
      <c r="AG549" s="41"/>
      <c r="AH549" s="41"/>
      <c r="AI549" s="41"/>
      <c r="AJ549" s="41"/>
      <c r="AK549" s="41"/>
      <c r="AL549" s="41"/>
      <c r="AM549" s="41"/>
      <c r="AN549" s="41"/>
      <c r="AO549" s="41"/>
      <c r="AP549" s="41"/>
      <c r="AQ549" s="41"/>
      <c r="AR549" s="41"/>
      <c r="AS549" s="41"/>
      <c r="AT549" s="41"/>
      <c r="AU549" s="41"/>
      <c r="AV549" s="211"/>
      <c r="AW549" s="41"/>
      <c r="AX549" s="41"/>
      <c r="AY549" s="41"/>
      <c r="AZ549" s="41"/>
      <c r="BA549" s="41"/>
      <c r="BB549" s="41"/>
      <c r="BC549" s="41"/>
      <c r="BD549" s="41"/>
      <c r="BE549" s="41"/>
      <c r="BF549" s="41"/>
      <c r="BG549" s="41"/>
      <c r="BH549" s="41"/>
      <c r="BI549" s="41"/>
      <c r="BJ549" s="41"/>
      <c r="BK549" s="41"/>
      <c r="BL549" s="41"/>
      <c r="BM549" s="41"/>
      <c r="BN549" s="41"/>
      <c r="BO549" s="41"/>
      <c r="BP549" s="41"/>
      <c r="BQ549" s="41"/>
      <c r="BR549" s="41"/>
      <c r="BS549" s="41"/>
      <c r="BT549" s="41"/>
      <c r="BU549" s="41"/>
      <c r="BV549" s="41"/>
      <c r="BW549" s="41"/>
      <c r="BX549" s="41"/>
      <c r="BY549" s="41"/>
      <c r="BZ549" s="41"/>
      <c r="CA549" s="41"/>
      <c r="CB549" s="41"/>
      <c r="CC549" s="41"/>
      <c r="CD549" s="41"/>
      <c r="CE549" s="41"/>
      <c r="CF549" s="41"/>
      <c r="CG549" s="41"/>
      <c r="CH549" s="41"/>
      <c r="CI549" s="41"/>
      <c r="CJ549" s="41"/>
      <c r="CK549" s="41"/>
      <c r="CL549" s="41"/>
      <c r="CM549" s="41"/>
      <c r="CN549" s="41"/>
      <c r="CO549" s="41"/>
      <c r="CP549" s="41"/>
      <c r="CQ549" s="41"/>
      <c r="CR549" s="41"/>
      <c r="CS549" s="41"/>
      <c r="CT549" s="41"/>
      <c r="CU549" s="41"/>
      <c r="CV549" s="211"/>
      <c r="CW549" s="41"/>
      <c r="CX549" s="41"/>
      <c r="CY549" s="41"/>
      <c r="CZ549" s="15"/>
      <c r="DA549" s="15"/>
      <c r="DB549" s="15"/>
      <c r="DC549" s="15"/>
      <c r="DD549" s="15"/>
      <c r="DE549" s="15"/>
      <c r="DF549" s="15"/>
    </row>
    <row r="550" spans="1:110" s="17" customFormat="1" ht="12" outlineLevel="1">
      <c r="A550" s="1" t="s">
        <v>1021</v>
      </c>
      <c r="B550" s="17" t="s">
        <v>154</v>
      </c>
      <c r="C550" s="62">
        <v>10551</v>
      </c>
      <c r="D550" s="62">
        <v>10803</v>
      </c>
      <c r="E550" s="62">
        <v>11465</v>
      </c>
      <c r="F550" s="62">
        <v>12485</v>
      </c>
      <c r="G550" s="62">
        <v>13787</v>
      </c>
      <c r="H550" s="62">
        <v>16748</v>
      </c>
      <c r="I550" s="62">
        <v>17925</v>
      </c>
      <c r="J550" s="62">
        <v>18927</v>
      </c>
      <c r="K550" s="62">
        <v>19538</v>
      </c>
      <c r="L550" s="62">
        <v>18796</v>
      </c>
      <c r="M550" s="62">
        <v>19906</v>
      </c>
      <c r="N550" s="62">
        <v>20910</v>
      </c>
      <c r="O550" s="62">
        <v>22048</v>
      </c>
      <c r="P550" s="62">
        <v>23964</v>
      </c>
      <c r="Q550" s="62">
        <v>26552</v>
      </c>
      <c r="R550" s="62">
        <v>28367</v>
      </c>
      <c r="S550" s="62">
        <v>32429</v>
      </c>
      <c r="T550" s="62">
        <v>32583</v>
      </c>
      <c r="U550" s="62">
        <v>34155</v>
      </c>
      <c r="V550" s="62">
        <v>35129</v>
      </c>
      <c r="W550" s="62">
        <v>37954</v>
      </c>
      <c r="X550" s="62">
        <v>39443</v>
      </c>
      <c r="Y550" s="62">
        <v>41220</v>
      </c>
      <c r="Z550" s="62">
        <v>42503</v>
      </c>
      <c r="AA550" s="62">
        <v>45603</v>
      </c>
      <c r="AB550" s="62">
        <v>47038</v>
      </c>
      <c r="AC550" s="62">
        <v>49284</v>
      </c>
      <c r="AD550" s="62">
        <v>52051</v>
      </c>
      <c r="AE550" s="62">
        <v>57353</v>
      </c>
      <c r="AF550" s="62">
        <v>56464</v>
      </c>
      <c r="AG550" s="62">
        <v>57927</v>
      </c>
      <c r="AH550" s="62">
        <v>57908</v>
      </c>
      <c r="AI550" s="62">
        <v>59075</v>
      </c>
      <c r="AJ550" s="62">
        <v>59500</v>
      </c>
      <c r="AK550" s="62">
        <v>59405</v>
      </c>
      <c r="AL550" s="62">
        <v>59971</v>
      </c>
      <c r="AM550" s="62">
        <v>60794</v>
      </c>
      <c r="AN550" s="62">
        <v>61375</v>
      </c>
      <c r="AO550" s="62">
        <v>61297</v>
      </c>
      <c r="AP550" s="62">
        <v>62576</v>
      </c>
      <c r="AQ550" s="62">
        <v>63676</v>
      </c>
      <c r="AR550" s="62">
        <v>61756</v>
      </c>
      <c r="AS550" s="62">
        <v>66401</v>
      </c>
      <c r="AT550" s="62">
        <v>69580</v>
      </c>
      <c r="AU550" s="62">
        <v>70017</v>
      </c>
      <c r="AV550" s="220">
        <v>70306</v>
      </c>
      <c r="AW550" s="62">
        <v>67995.268748125702</v>
      </c>
      <c r="AX550" s="62">
        <v>67764.437121254814</v>
      </c>
      <c r="AY550" s="62">
        <v>67942.042610079734</v>
      </c>
      <c r="AZ550" s="62">
        <v>68331.495306056677</v>
      </c>
      <c r="BA550" s="62">
        <v>68694.42499888585</v>
      </c>
      <c r="BB550" s="62">
        <v>69405.490561684681</v>
      </c>
      <c r="BC550" s="62">
        <v>70146.990604140577</v>
      </c>
      <c r="BD550" s="62">
        <v>71152.510564365468</v>
      </c>
      <c r="BE550" s="62">
        <v>72023.766244898085</v>
      </c>
      <c r="BF550" s="62">
        <v>73184.458771967111</v>
      </c>
      <c r="BG550" s="62">
        <v>74111.281143929184</v>
      </c>
      <c r="BH550" s="62">
        <v>74842.189102998149</v>
      </c>
      <c r="BI550" s="62">
        <v>77567.892095728457</v>
      </c>
      <c r="BJ550" s="62">
        <v>80657.038935179997</v>
      </c>
      <c r="BK550" s="62">
        <v>82096.627445810562</v>
      </c>
      <c r="BL550" s="62">
        <v>84100.401381703792</v>
      </c>
      <c r="BM550" s="62">
        <v>85338.55846321056</v>
      </c>
      <c r="BN550" s="62">
        <v>86858.764698953048</v>
      </c>
      <c r="BO550" s="62">
        <v>88130.787691546386</v>
      </c>
      <c r="BP550" s="62"/>
      <c r="BQ550" s="62">
        <v>4591</v>
      </c>
      <c r="BR550" s="62">
        <v>5133.0000000000009</v>
      </c>
      <c r="BS550" s="62">
        <v>5504</v>
      </c>
      <c r="BT550" s="62">
        <v>5747</v>
      </c>
      <c r="BU550" s="62">
        <v>6336</v>
      </c>
      <c r="BV550" s="62">
        <v>6993</v>
      </c>
      <c r="BW550" s="62">
        <v>8391</v>
      </c>
      <c r="BX550" s="62">
        <v>9429</v>
      </c>
      <c r="BY550" s="62">
        <v>9807</v>
      </c>
      <c r="BZ550" s="62">
        <v>10551</v>
      </c>
      <c r="CA550" s="62">
        <v>11465</v>
      </c>
      <c r="CB550" s="62">
        <v>13787</v>
      </c>
      <c r="CC550" s="62">
        <v>17925</v>
      </c>
      <c r="CD550" s="62">
        <v>19538</v>
      </c>
      <c r="CE550" s="62">
        <v>19906</v>
      </c>
      <c r="CF550" s="62">
        <v>22048</v>
      </c>
      <c r="CG550" s="62">
        <v>26552</v>
      </c>
      <c r="CH550" s="62">
        <v>32429</v>
      </c>
      <c r="CI550" s="62">
        <v>34155</v>
      </c>
      <c r="CJ550" s="62">
        <v>37954</v>
      </c>
      <c r="CK550" s="62">
        <v>41220</v>
      </c>
      <c r="CL550" s="62">
        <v>45603</v>
      </c>
      <c r="CM550" s="62">
        <v>49284</v>
      </c>
      <c r="CN550" s="62">
        <v>57353</v>
      </c>
      <c r="CO550" s="62">
        <v>57927</v>
      </c>
      <c r="CP550" s="62">
        <v>59075</v>
      </c>
      <c r="CQ550" s="62">
        <v>59405</v>
      </c>
      <c r="CR550" s="62">
        <v>60794</v>
      </c>
      <c r="CS550" s="62">
        <v>61297</v>
      </c>
      <c r="CT550" s="62">
        <v>63676</v>
      </c>
      <c r="CU550" s="62">
        <v>66401</v>
      </c>
      <c r="CV550" s="220">
        <v>70017</v>
      </c>
      <c r="CW550" s="62">
        <v>67995.268748125702</v>
      </c>
      <c r="CX550" s="62">
        <v>67942.042610079749</v>
      </c>
      <c r="CY550" s="62">
        <v>68694.424998885879</v>
      </c>
      <c r="CZ550" s="62">
        <v>70146.990604140621</v>
      </c>
      <c r="DA550" s="62">
        <v>72023.766244898143</v>
      </c>
      <c r="DB550" s="62">
        <v>74111.281143929256</v>
      </c>
      <c r="DC550" s="62">
        <v>77567.892095728545</v>
      </c>
      <c r="DD550" s="62">
        <v>82096.627445810649</v>
      </c>
      <c r="DE550" s="62">
        <v>85338.558463210647</v>
      </c>
      <c r="DF550" s="62">
        <v>88130.787691546473</v>
      </c>
    </row>
    <row r="551" spans="1:110" ht="12" outlineLevel="1">
      <c r="C551" s="41"/>
      <c r="D551" s="41"/>
      <c r="E551" s="41"/>
      <c r="F551" s="41"/>
      <c r="G551" s="41"/>
      <c r="H551" s="41"/>
      <c r="I551" s="41"/>
      <c r="J551" s="41"/>
      <c r="K551" s="41"/>
      <c r="L551" s="41"/>
      <c r="M551" s="41"/>
      <c r="N551" s="41"/>
      <c r="O551" s="41"/>
      <c r="P551" s="41"/>
      <c r="Q551" s="41"/>
      <c r="R551" s="41"/>
      <c r="S551" s="41"/>
      <c r="T551" s="41"/>
      <c r="U551" s="41"/>
      <c r="V551" s="41"/>
      <c r="W551" s="41"/>
      <c r="X551" s="41"/>
      <c r="Y551" s="41"/>
      <c r="Z551" s="41"/>
      <c r="AA551" s="41"/>
      <c r="AB551" s="41"/>
      <c r="AC551" s="41"/>
      <c r="AD551" s="41"/>
      <c r="AE551" s="41"/>
      <c r="AF551" s="41"/>
      <c r="AG551" s="41"/>
      <c r="AH551" s="41"/>
      <c r="AI551" s="41"/>
      <c r="AJ551" s="41"/>
      <c r="AK551" s="41"/>
      <c r="AL551" s="41"/>
      <c r="AM551" s="41"/>
      <c r="AN551" s="41"/>
      <c r="AO551" s="41"/>
      <c r="AP551" s="41"/>
      <c r="AQ551" s="41"/>
      <c r="AR551" s="41"/>
      <c r="AS551" s="41"/>
      <c r="AT551" s="41"/>
      <c r="AU551" s="41"/>
      <c r="AV551" s="211"/>
      <c r="AW551" s="41"/>
      <c r="AX551" s="41"/>
      <c r="AY551" s="41"/>
      <c r="AZ551" s="41"/>
      <c r="BA551" s="41"/>
      <c r="BB551" s="41"/>
      <c r="BC551" s="41"/>
      <c r="BD551" s="41"/>
      <c r="BE551" s="41"/>
      <c r="BF551" s="41"/>
      <c r="BG551" s="41"/>
      <c r="BH551" s="41"/>
      <c r="BI551" s="41"/>
      <c r="BJ551" s="41"/>
      <c r="BK551" s="41"/>
      <c r="BL551" s="41"/>
      <c r="BM551" s="41"/>
      <c r="BN551" s="41"/>
      <c r="BO551" s="41"/>
      <c r="BP551" s="41"/>
      <c r="BQ551" s="41"/>
      <c r="BR551" s="41"/>
      <c r="BS551" s="41"/>
      <c r="BT551" s="41"/>
      <c r="BU551" s="41"/>
      <c r="BV551" s="41"/>
      <c r="BW551" s="41"/>
      <c r="BX551" s="41"/>
      <c r="BY551" s="41"/>
      <c r="BZ551" s="41"/>
      <c r="CA551" s="41"/>
      <c r="CB551" s="41"/>
      <c r="CC551" s="41"/>
      <c r="CD551" s="41"/>
      <c r="CE551" s="41"/>
      <c r="CF551" s="41"/>
      <c r="CG551" s="41"/>
      <c r="CH551" s="41"/>
      <c r="CI551" s="41"/>
      <c r="CJ551" s="41"/>
      <c r="CK551" s="41"/>
      <c r="CL551" s="41"/>
      <c r="CM551" s="41"/>
      <c r="CN551" s="41"/>
      <c r="CO551" s="41"/>
      <c r="CP551" s="41"/>
      <c r="CQ551" s="41"/>
      <c r="CR551" s="41"/>
      <c r="CS551" s="41"/>
      <c r="CT551" s="41"/>
      <c r="CU551" s="41"/>
      <c r="CV551" s="211"/>
      <c r="CW551" s="41"/>
      <c r="CX551" s="41"/>
      <c r="CY551" s="41"/>
      <c r="CZ551" s="15"/>
      <c r="DA551" s="15"/>
      <c r="DB551" s="15"/>
      <c r="DC551" s="15"/>
      <c r="DD551" s="15"/>
      <c r="DE551" s="15"/>
      <c r="DF551" s="15"/>
    </row>
    <row r="552" spans="1:110" s="17" customFormat="1" ht="12" outlineLevel="1">
      <c r="A552" s="1"/>
      <c r="B552" s="79" t="s">
        <v>774</v>
      </c>
      <c r="C552" s="62"/>
      <c r="D552" s="62"/>
      <c r="E552" s="62"/>
      <c r="F552" s="62"/>
      <c r="G552" s="62"/>
      <c r="H552" s="62"/>
      <c r="I552" s="62"/>
      <c r="J552" s="62"/>
      <c r="K552" s="62"/>
      <c r="L552" s="62"/>
      <c r="M552" s="62"/>
      <c r="N552" s="62"/>
      <c r="O552" s="62"/>
      <c r="P552" s="62"/>
      <c r="Q552" s="62"/>
      <c r="R552" s="62"/>
      <c r="S552" s="62"/>
      <c r="T552" s="62"/>
      <c r="U552" s="62"/>
      <c r="V552" s="62"/>
      <c r="W552" s="62"/>
      <c r="X552" s="62"/>
      <c r="Y552" s="62"/>
      <c r="Z552" s="62"/>
      <c r="AA552" s="62"/>
      <c r="AB552" s="62"/>
      <c r="AC552" s="62"/>
      <c r="AD552" s="62"/>
      <c r="AE552" s="62"/>
      <c r="AF552" s="62"/>
      <c r="AG552" s="62"/>
      <c r="AH552" s="62"/>
      <c r="AI552" s="62"/>
      <c r="AJ552" s="62"/>
      <c r="AK552" s="62"/>
      <c r="AL552" s="62"/>
      <c r="AM552" s="62"/>
      <c r="AN552" s="62"/>
      <c r="AO552" s="62"/>
      <c r="AP552" s="62"/>
      <c r="AQ552" s="62"/>
      <c r="AR552" s="62"/>
      <c r="AS552" s="62"/>
      <c r="AT552" s="62"/>
      <c r="AU552" s="62"/>
      <c r="AV552" s="220"/>
      <c r="AW552" s="62"/>
      <c r="AX552" s="62"/>
      <c r="AY552" s="62"/>
      <c r="AZ552" s="62"/>
      <c r="BA552" s="62"/>
      <c r="BB552" s="62"/>
      <c r="BC552" s="62"/>
      <c r="BD552" s="62"/>
      <c r="BE552" s="62"/>
      <c r="BF552" s="62"/>
      <c r="BG552" s="62"/>
      <c r="BH552" s="62"/>
      <c r="BI552" s="62"/>
      <c r="BJ552" s="62"/>
      <c r="BK552" s="62"/>
      <c r="BL552" s="62"/>
      <c r="BM552" s="62"/>
      <c r="BN552" s="62"/>
      <c r="BO552" s="62"/>
      <c r="BP552" s="62"/>
      <c r="BQ552" s="62"/>
      <c r="BR552" s="62"/>
      <c r="BS552" s="62"/>
      <c r="BT552" s="62"/>
      <c r="BU552" s="62"/>
      <c r="BV552" s="62"/>
      <c r="BW552" s="62"/>
      <c r="BX552" s="62"/>
      <c r="BY552" s="62"/>
      <c r="BZ552" s="62"/>
      <c r="CA552" s="62"/>
      <c r="CB552" s="62"/>
      <c r="CC552" s="62"/>
      <c r="CD552" s="62"/>
      <c r="CE552" s="62"/>
      <c r="CF552" s="62"/>
      <c r="CG552" s="62"/>
      <c r="CH552" s="62"/>
      <c r="CI552" s="62"/>
      <c r="CJ552" s="62"/>
      <c r="CK552" s="62"/>
      <c r="CL552" s="62"/>
      <c r="CM552" s="62"/>
      <c r="CN552" s="62"/>
      <c r="CO552" s="62"/>
      <c r="CP552" s="62"/>
      <c r="CQ552" s="62"/>
      <c r="CR552" s="62"/>
      <c r="CS552" s="62"/>
      <c r="CT552" s="62"/>
      <c r="CU552" s="62"/>
      <c r="CV552" s="220"/>
      <c r="CW552" s="62"/>
      <c r="CX552" s="62"/>
      <c r="CY552" s="62"/>
    </row>
    <row r="553" spans="1:110" ht="12" outlineLevel="1">
      <c r="A553" s="1" t="s">
        <v>1022</v>
      </c>
      <c r="B553" s="15" t="s">
        <v>445</v>
      </c>
      <c r="C553" s="40">
        <v>0</v>
      </c>
      <c r="D553" s="40">
        <v>0</v>
      </c>
      <c r="E553" s="40">
        <v>0</v>
      </c>
      <c r="F553" s="40">
        <v>-666</v>
      </c>
      <c r="G553" s="40">
        <v>-777</v>
      </c>
      <c r="H553" s="40">
        <v>-850</v>
      </c>
      <c r="I553" s="40">
        <v>-983</v>
      </c>
      <c r="J553" s="40">
        <v>-930</v>
      </c>
      <c r="K553" s="40">
        <v>-1077</v>
      </c>
      <c r="L553" s="40">
        <v>-1024</v>
      </c>
      <c r="M553" s="40">
        <v>-1267</v>
      </c>
      <c r="N553" s="40">
        <v>-1144</v>
      </c>
      <c r="O553" s="40">
        <v>-1381</v>
      </c>
      <c r="P553" s="40">
        <v>-1192</v>
      </c>
      <c r="Q553" s="40">
        <v>-1511</v>
      </c>
      <c r="R553" s="40">
        <v>-993</v>
      </c>
      <c r="S553" s="40">
        <v>-1403</v>
      </c>
      <c r="T553" s="40">
        <v>-1318</v>
      </c>
      <c r="U553" s="40">
        <v>-1895</v>
      </c>
      <c r="V553" s="40">
        <v>-1662</v>
      </c>
      <c r="W553" s="40">
        <v>-1999</v>
      </c>
      <c r="X553" s="40">
        <v>-1769</v>
      </c>
      <c r="Y553" s="40">
        <v>-2149</v>
      </c>
      <c r="Z553" s="141">
        <v>0</v>
      </c>
      <c r="AA553" s="141">
        <v>0</v>
      </c>
      <c r="AB553" s="41">
        <v>0</v>
      </c>
      <c r="AC553" s="41">
        <v>0</v>
      </c>
      <c r="AD553" s="41">
        <v>0</v>
      </c>
      <c r="AE553" s="41">
        <v>0</v>
      </c>
      <c r="AF553" s="41">
        <v>0</v>
      </c>
      <c r="AG553" s="41">
        <v>0</v>
      </c>
      <c r="AH553" s="41">
        <v>0</v>
      </c>
      <c r="AI553" s="41">
        <v>0</v>
      </c>
      <c r="AJ553" s="41">
        <v>0</v>
      </c>
      <c r="AK553" s="41">
        <v>0</v>
      </c>
      <c r="AL553" s="41">
        <v>0</v>
      </c>
      <c r="AM553" s="41">
        <v>0</v>
      </c>
      <c r="AN553" s="41">
        <v>0</v>
      </c>
      <c r="AO553" s="41">
        <v>0</v>
      </c>
      <c r="AP553" s="41">
        <v>0</v>
      </c>
      <c r="AQ553" s="41">
        <v>0</v>
      </c>
      <c r="AR553" s="41">
        <v>0</v>
      </c>
      <c r="AS553" s="41">
        <v>0</v>
      </c>
      <c r="AT553" s="41">
        <v>0</v>
      </c>
      <c r="AU553" s="41">
        <v>0</v>
      </c>
      <c r="AV553" s="211">
        <v>0</v>
      </c>
      <c r="AW553" s="41">
        <v>0</v>
      </c>
      <c r="AX553" s="41">
        <v>0</v>
      </c>
      <c r="AY553" s="41">
        <v>0</v>
      </c>
      <c r="AZ553" s="41">
        <v>0</v>
      </c>
      <c r="BA553" s="41">
        <v>0</v>
      </c>
      <c r="BB553" s="41">
        <v>0</v>
      </c>
      <c r="BC553" s="41">
        <v>0</v>
      </c>
      <c r="BD553" s="41">
        <v>0</v>
      </c>
      <c r="BE553" s="41">
        <v>0</v>
      </c>
      <c r="BF553" s="41">
        <v>0</v>
      </c>
      <c r="BG553" s="41">
        <v>0</v>
      </c>
      <c r="BH553" s="41">
        <v>0</v>
      </c>
      <c r="BI553" s="41">
        <v>0</v>
      </c>
      <c r="BJ553" s="41">
        <v>0</v>
      </c>
      <c r="BK553" s="41">
        <v>0</v>
      </c>
      <c r="BL553" s="41">
        <v>0</v>
      </c>
      <c r="BM553" s="41">
        <v>0</v>
      </c>
      <c r="BN553" s="41">
        <v>0</v>
      </c>
      <c r="BO553" s="41">
        <v>0</v>
      </c>
      <c r="BP553" s="41"/>
      <c r="BQ553" s="40">
        <v>0</v>
      </c>
      <c r="BR553" s="40">
        <v>0</v>
      </c>
      <c r="BS553" s="40">
        <v>0</v>
      </c>
      <c r="BT553" s="40">
        <v>0</v>
      </c>
      <c r="BU553" s="40">
        <v>0</v>
      </c>
      <c r="BV553" s="40">
        <v>0</v>
      </c>
      <c r="BW553" s="40">
        <v>0</v>
      </c>
      <c r="BX553" s="40">
        <v>0</v>
      </c>
      <c r="BY553" s="40">
        <v>0</v>
      </c>
      <c r="BZ553" s="40">
        <v>0</v>
      </c>
      <c r="CA553" s="41">
        <v>0</v>
      </c>
      <c r="CB553" s="41">
        <v>-777</v>
      </c>
      <c r="CC553" s="41">
        <v>-983</v>
      </c>
      <c r="CD553" s="41">
        <v>-1077</v>
      </c>
      <c r="CE553" s="41">
        <v>-1267</v>
      </c>
      <c r="CF553" s="41">
        <v>-1381</v>
      </c>
      <c r="CG553" s="41">
        <v>-1511</v>
      </c>
      <c r="CH553" s="41">
        <v>-1403</v>
      </c>
      <c r="CI553" s="41">
        <v>-1895</v>
      </c>
      <c r="CJ553" s="41">
        <v>-1999</v>
      </c>
      <c r="CK553" s="41">
        <v>-2149</v>
      </c>
      <c r="CL553" s="41">
        <v>0</v>
      </c>
      <c r="CM553" s="41">
        <v>0</v>
      </c>
      <c r="CN553" s="41">
        <v>0</v>
      </c>
      <c r="CO553" s="41">
        <v>0</v>
      </c>
      <c r="CP553" s="41">
        <v>0</v>
      </c>
      <c r="CQ553" s="41">
        <v>0</v>
      </c>
      <c r="CR553" s="41">
        <v>0</v>
      </c>
      <c r="CS553" s="41">
        <v>0</v>
      </c>
      <c r="CT553" s="41">
        <v>0</v>
      </c>
      <c r="CU553" s="41">
        <v>0</v>
      </c>
      <c r="CV553" s="211">
        <v>0</v>
      </c>
      <c r="CW553" s="41">
        <v>0</v>
      </c>
      <c r="CX553" s="41">
        <v>0</v>
      </c>
      <c r="CY553" s="41">
        <v>0</v>
      </c>
      <c r="CZ553" s="41">
        <v>0</v>
      </c>
      <c r="DA553" s="41">
        <v>0</v>
      </c>
      <c r="DB553" s="41">
        <v>0</v>
      </c>
      <c r="DC553" s="41">
        <v>0</v>
      </c>
      <c r="DD553" s="41">
        <v>0</v>
      </c>
      <c r="DE553" s="41">
        <v>0</v>
      </c>
      <c r="DF553" s="41">
        <v>0</v>
      </c>
    </row>
    <row r="554" spans="1:110" ht="12" outlineLevel="1">
      <c r="A554" s="1" t="s">
        <v>1023</v>
      </c>
      <c r="B554" s="15" t="s">
        <v>446</v>
      </c>
      <c r="C554" s="40">
        <v>0</v>
      </c>
      <c r="D554" s="40">
        <v>0</v>
      </c>
      <c r="E554" s="40">
        <v>0</v>
      </c>
      <c r="F554" s="40">
        <v>0</v>
      </c>
      <c r="G554" s="40">
        <v>0</v>
      </c>
      <c r="H554" s="40">
        <v>0</v>
      </c>
      <c r="I554" s="40">
        <v>0</v>
      </c>
      <c r="J554" s="40">
        <v>0</v>
      </c>
      <c r="K554" s="40">
        <v>0</v>
      </c>
      <c r="L554" s="40">
        <v>0</v>
      </c>
      <c r="M554" s="40">
        <v>0</v>
      </c>
      <c r="N554" s="40">
        <v>109</v>
      </c>
      <c r="O554" s="40">
        <v>276</v>
      </c>
      <c r="P554" s="40">
        <v>477</v>
      </c>
      <c r="Q554" s="40">
        <v>453</v>
      </c>
      <c r="R554" s="40">
        <v>298</v>
      </c>
      <c r="S554" s="40">
        <v>421</v>
      </c>
      <c r="T554" s="40">
        <v>395</v>
      </c>
      <c r="U554" s="40">
        <v>569</v>
      </c>
      <c r="V554" s="40">
        <v>499</v>
      </c>
      <c r="W554" s="40">
        <v>600</v>
      </c>
      <c r="X554" s="40">
        <v>531</v>
      </c>
      <c r="Y554" s="40">
        <v>430</v>
      </c>
      <c r="Z554" s="141">
        <v>0</v>
      </c>
      <c r="AA554" s="141">
        <v>0</v>
      </c>
      <c r="AB554" s="41">
        <v>0</v>
      </c>
      <c r="AC554" s="41">
        <v>0</v>
      </c>
      <c r="AD554" s="41">
        <v>0</v>
      </c>
      <c r="AE554" s="41">
        <v>0</v>
      </c>
      <c r="AF554" s="41">
        <v>0</v>
      </c>
      <c r="AG554" s="41">
        <v>0</v>
      </c>
      <c r="AH554" s="41">
        <v>0</v>
      </c>
      <c r="AI554" s="41">
        <v>0</v>
      </c>
      <c r="AJ554" s="41">
        <v>0</v>
      </c>
      <c r="AK554" s="41">
        <v>0</v>
      </c>
      <c r="AL554" s="41">
        <v>0</v>
      </c>
      <c r="AM554" s="41">
        <v>0</v>
      </c>
      <c r="AN554" s="41">
        <v>0</v>
      </c>
      <c r="AO554" s="41">
        <v>0</v>
      </c>
      <c r="AP554" s="41">
        <v>0</v>
      </c>
      <c r="AQ554" s="41">
        <v>0</v>
      </c>
      <c r="AR554" s="41">
        <v>0</v>
      </c>
      <c r="AS554" s="41">
        <v>0</v>
      </c>
      <c r="AT554" s="41">
        <v>0</v>
      </c>
      <c r="AU554" s="41">
        <v>0</v>
      </c>
      <c r="AV554" s="211">
        <v>0</v>
      </c>
      <c r="AW554" s="41">
        <v>0</v>
      </c>
      <c r="AX554" s="41">
        <v>0</v>
      </c>
      <c r="AY554" s="41">
        <v>0</v>
      </c>
      <c r="AZ554" s="41">
        <v>0</v>
      </c>
      <c r="BA554" s="41">
        <v>0</v>
      </c>
      <c r="BB554" s="41">
        <v>0</v>
      </c>
      <c r="BC554" s="41">
        <v>0</v>
      </c>
      <c r="BD554" s="41">
        <v>0</v>
      </c>
      <c r="BE554" s="41">
        <v>0</v>
      </c>
      <c r="BF554" s="41">
        <v>0</v>
      </c>
      <c r="BG554" s="41">
        <v>0</v>
      </c>
      <c r="BH554" s="41">
        <v>0</v>
      </c>
      <c r="BI554" s="41">
        <v>0</v>
      </c>
      <c r="BJ554" s="41">
        <v>0</v>
      </c>
      <c r="BK554" s="41">
        <v>0</v>
      </c>
      <c r="BL554" s="41">
        <v>0</v>
      </c>
      <c r="BM554" s="41">
        <v>0</v>
      </c>
      <c r="BN554" s="41">
        <v>0</v>
      </c>
      <c r="BO554" s="41">
        <v>0</v>
      </c>
      <c r="BP554" s="41"/>
      <c r="BQ554" s="40">
        <v>0</v>
      </c>
      <c r="BR554" s="40">
        <v>0</v>
      </c>
      <c r="BS554" s="40">
        <v>0</v>
      </c>
      <c r="BT554" s="40">
        <v>0</v>
      </c>
      <c r="BU554" s="40">
        <v>0</v>
      </c>
      <c r="BV554" s="40">
        <v>0</v>
      </c>
      <c r="BW554" s="40">
        <v>0</v>
      </c>
      <c r="BX554" s="40">
        <v>0</v>
      </c>
      <c r="BY554" s="40">
        <v>0</v>
      </c>
      <c r="BZ554" s="40">
        <v>0</v>
      </c>
      <c r="CA554" s="41">
        <v>0</v>
      </c>
      <c r="CB554" s="41">
        <v>0</v>
      </c>
      <c r="CC554" s="41">
        <v>0</v>
      </c>
      <c r="CD554" s="41">
        <v>0</v>
      </c>
      <c r="CE554" s="41">
        <v>0</v>
      </c>
      <c r="CF554" s="41">
        <v>276</v>
      </c>
      <c r="CG554" s="41">
        <v>453</v>
      </c>
      <c r="CH554" s="41">
        <v>421</v>
      </c>
      <c r="CI554" s="41">
        <v>569</v>
      </c>
      <c r="CJ554" s="41">
        <v>600</v>
      </c>
      <c r="CK554" s="41">
        <v>430</v>
      </c>
      <c r="CL554" s="41">
        <v>0</v>
      </c>
      <c r="CM554" s="41">
        <v>0</v>
      </c>
      <c r="CN554" s="41">
        <v>0</v>
      </c>
      <c r="CO554" s="41">
        <v>0</v>
      </c>
      <c r="CP554" s="41">
        <v>0</v>
      </c>
      <c r="CQ554" s="41">
        <v>0</v>
      </c>
      <c r="CR554" s="41">
        <v>0</v>
      </c>
      <c r="CS554" s="41">
        <v>0</v>
      </c>
      <c r="CT554" s="41">
        <v>0</v>
      </c>
      <c r="CU554" s="41">
        <v>0</v>
      </c>
      <c r="CV554" s="211">
        <v>0</v>
      </c>
      <c r="CW554" s="41">
        <v>0</v>
      </c>
      <c r="CX554" s="41">
        <v>0</v>
      </c>
      <c r="CY554" s="41">
        <v>0</v>
      </c>
      <c r="CZ554" s="41">
        <v>0</v>
      </c>
      <c r="DA554" s="41">
        <v>0</v>
      </c>
      <c r="DB554" s="41">
        <v>0</v>
      </c>
      <c r="DC554" s="41">
        <v>0</v>
      </c>
      <c r="DD554" s="41">
        <v>0</v>
      </c>
      <c r="DE554" s="41">
        <v>0</v>
      </c>
      <c r="DF554" s="41">
        <v>0</v>
      </c>
    </row>
    <row r="555" spans="1:110" ht="12" outlineLevel="1">
      <c r="A555" s="1" t="s">
        <v>1024</v>
      </c>
      <c r="B555" s="15" t="s">
        <v>269</v>
      </c>
      <c r="C555" s="40">
        <v>-1526</v>
      </c>
      <c r="D555" s="40">
        <v>-1410</v>
      </c>
      <c r="E555" s="40">
        <v>-1375</v>
      </c>
      <c r="F555" s="40">
        <v>-1225</v>
      </c>
      <c r="G555" s="40">
        <v>-2212</v>
      </c>
      <c r="H555" s="40">
        <v>-987</v>
      </c>
      <c r="I555" s="40">
        <v>-871</v>
      </c>
      <c r="J555" s="40">
        <v>-1858</v>
      </c>
      <c r="K555" s="40">
        <v>-1858</v>
      </c>
      <c r="L555" s="40">
        <v>-871</v>
      </c>
      <c r="M555" s="40">
        <v>-871</v>
      </c>
      <c r="N555" s="40">
        <v>-871</v>
      </c>
      <c r="O555" s="40">
        <v>-871</v>
      </c>
      <c r="P555" s="40">
        <v>-871</v>
      </c>
      <c r="Q555" s="40">
        <v>-871</v>
      </c>
      <c r="R555" s="40">
        <v>-871</v>
      </c>
      <c r="S555" s="40">
        <v>-871</v>
      </c>
      <c r="T555" s="40">
        <v>-871</v>
      </c>
      <c r="U555" s="40">
        <v>-871</v>
      </c>
      <c r="V555" s="40">
        <v>-871</v>
      </c>
      <c r="W555" s="40">
        <v>-871</v>
      </c>
      <c r="X555" s="40">
        <v>-871</v>
      </c>
      <c r="Y555" s="40">
        <v>-871</v>
      </c>
      <c r="Z555" s="141">
        <v>-871</v>
      </c>
      <c r="AA555" s="141">
        <v>-871</v>
      </c>
      <c r="AB555" s="141">
        <v>-871</v>
      </c>
      <c r="AC555" s="141">
        <v>-871</v>
      </c>
      <c r="AD555" s="141">
        <v>0</v>
      </c>
      <c r="AE555" s="141">
        <v>0</v>
      </c>
      <c r="AF555" s="141">
        <v>0</v>
      </c>
      <c r="AG555" s="141">
        <v>0</v>
      </c>
      <c r="AH555" s="141">
        <v>0</v>
      </c>
      <c r="AI555" s="141">
        <v>0</v>
      </c>
      <c r="AJ555" s="141">
        <v>0</v>
      </c>
      <c r="AK555" s="141">
        <v>0</v>
      </c>
      <c r="AL555" s="141">
        <v>0</v>
      </c>
      <c r="AM555" s="141">
        <v>0</v>
      </c>
      <c r="AN555" s="141">
        <v>0</v>
      </c>
      <c r="AO555" s="141">
        <v>0</v>
      </c>
      <c r="AP555" s="141">
        <v>0</v>
      </c>
      <c r="AQ555" s="141">
        <v>0</v>
      </c>
      <c r="AR555" s="141">
        <v>0</v>
      </c>
      <c r="AS555" s="141">
        <v>0</v>
      </c>
      <c r="AT555" s="141">
        <v>0</v>
      </c>
      <c r="AU555" s="141">
        <v>0</v>
      </c>
      <c r="AV555" s="226">
        <v>0</v>
      </c>
      <c r="AW555" s="210">
        <v>0</v>
      </c>
      <c r="AX555" s="210">
        <v>0</v>
      </c>
      <c r="AY555" s="210">
        <v>0</v>
      </c>
      <c r="AZ555" s="210">
        <v>0</v>
      </c>
      <c r="BA555" s="210">
        <v>0</v>
      </c>
      <c r="BB555" s="210">
        <v>0</v>
      </c>
      <c r="BC555" s="210">
        <v>0</v>
      </c>
      <c r="BD555" s="210">
        <v>0</v>
      </c>
      <c r="BE555" s="210">
        <v>0</v>
      </c>
      <c r="BF555" s="210">
        <v>0</v>
      </c>
      <c r="BG555" s="210">
        <v>0</v>
      </c>
      <c r="BH555" s="210">
        <v>0</v>
      </c>
      <c r="BI555" s="210">
        <v>0</v>
      </c>
      <c r="BJ555" s="210">
        <v>0</v>
      </c>
      <c r="BK555" s="210">
        <v>0</v>
      </c>
      <c r="BL555" s="210">
        <v>0</v>
      </c>
      <c r="BM555" s="210">
        <v>0</v>
      </c>
      <c r="BN555" s="210">
        <v>0</v>
      </c>
      <c r="BO555" s="210">
        <v>0</v>
      </c>
      <c r="BP555" s="41"/>
      <c r="BQ555" s="40">
        <v>-600</v>
      </c>
      <c r="BR555" s="40">
        <v>-267</v>
      </c>
      <c r="BS555" s="40">
        <v>-389</v>
      </c>
      <c r="BT555" s="40">
        <v>0</v>
      </c>
      <c r="BU555" s="40">
        <v>0</v>
      </c>
      <c r="BV555" s="40">
        <v>0</v>
      </c>
      <c r="BW555" s="40">
        <v>-645</v>
      </c>
      <c r="BX555" s="40">
        <v>-1145</v>
      </c>
      <c r="BY555" s="40">
        <v>-1374</v>
      </c>
      <c r="BZ555" s="40">
        <v>-1526</v>
      </c>
      <c r="CA555" s="41">
        <v>-1375</v>
      </c>
      <c r="CB555" s="41">
        <v>-2212</v>
      </c>
      <c r="CC555" s="41">
        <v>-871</v>
      </c>
      <c r="CD555" s="41">
        <v>-1858</v>
      </c>
      <c r="CE555" s="41">
        <v>-871</v>
      </c>
      <c r="CF555" s="41">
        <v>-871</v>
      </c>
      <c r="CG555" s="41">
        <v>-871</v>
      </c>
      <c r="CH555" s="41">
        <v>-871</v>
      </c>
      <c r="CI555" s="41">
        <v>-871</v>
      </c>
      <c r="CJ555" s="41">
        <v>-871</v>
      </c>
      <c r="CK555" s="41">
        <v>-871</v>
      </c>
      <c r="CL555" s="41">
        <v>-871</v>
      </c>
      <c r="CM555" s="41">
        <v>-871</v>
      </c>
      <c r="CN555" s="41">
        <v>0</v>
      </c>
      <c r="CO555" s="41">
        <v>0</v>
      </c>
      <c r="CP555" s="41">
        <v>0</v>
      </c>
      <c r="CQ555" s="41">
        <v>0</v>
      </c>
      <c r="CR555" s="41">
        <v>0</v>
      </c>
      <c r="CS555" s="41">
        <v>0</v>
      </c>
      <c r="CT555" s="41">
        <v>0</v>
      </c>
      <c r="CU555" s="41">
        <v>0</v>
      </c>
      <c r="CV555" s="211">
        <v>0</v>
      </c>
      <c r="CW555" s="41">
        <v>0</v>
      </c>
      <c r="CX555" s="41">
        <v>0</v>
      </c>
      <c r="CY555" s="41">
        <v>0</v>
      </c>
      <c r="CZ555" s="41">
        <v>0</v>
      </c>
      <c r="DA555" s="41">
        <v>0</v>
      </c>
      <c r="DB555" s="41">
        <v>0</v>
      </c>
      <c r="DC555" s="41">
        <v>0</v>
      </c>
      <c r="DD555" s="41">
        <v>0</v>
      </c>
      <c r="DE555" s="41">
        <v>0</v>
      </c>
      <c r="DF555" s="41">
        <v>0</v>
      </c>
    </row>
    <row r="556" spans="1:110" ht="12" outlineLevel="1">
      <c r="A556" s="1" t="s">
        <v>1025</v>
      </c>
      <c r="B556" s="15" t="s">
        <v>270</v>
      </c>
      <c r="C556" s="40">
        <v>0</v>
      </c>
      <c r="D556" s="40">
        <v>0</v>
      </c>
      <c r="E556" s="40">
        <v>-48</v>
      </c>
      <c r="F556" s="40">
        <v>-99</v>
      </c>
      <c r="G556" s="40">
        <v>-168</v>
      </c>
      <c r="H556" s="40">
        <v>-169</v>
      </c>
      <c r="I556" s="40">
        <v>-218</v>
      </c>
      <c r="J556" s="40">
        <v>-266</v>
      </c>
      <c r="K556" s="40">
        <v>-213</v>
      </c>
      <c r="L556" s="40">
        <v>-161</v>
      </c>
      <c r="M556" s="40">
        <v>-289</v>
      </c>
      <c r="N556" s="40">
        <v>-386</v>
      </c>
      <c r="O556" s="40">
        <v>-398</v>
      </c>
      <c r="P556" s="40">
        <v>-533</v>
      </c>
      <c r="Q556" s="40">
        <v>-841</v>
      </c>
      <c r="R556" s="40">
        <v>-1336</v>
      </c>
      <c r="S556" s="40">
        <v>-1010</v>
      </c>
      <c r="T556" s="40">
        <v>-955</v>
      </c>
      <c r="U556" s="40">
        <v>-1312</v>
      </c>
      <c r="V556" s="40">
        <v>-1274</v>
      </c>
      <c r="W556" s="40">
        <v>-1686</v>
      </c>
      <c r="X556" s="40">
        <v>-1444</v>
      </c>
      <c r="Y556" s="40">
        <v>-1660</v>
      </c>
      <c r="Z556" s="141">
        <v>-573</v>
      </c>
      <c r="AA556" s="141">
        <v>-583</v>
      </c>
      <c r="AB556" s="141">
        <v>-727</v>
      </c>
      <c r="AC556" s="141">
        <v>-794</v>
      </c>
      <c r="AD556" s="141">
        <v>-951</v>
      </c>
      <c r="AE556" s="141">
        <v>-791</v>
      </c>
      <c r="AF556" s="141">
        <v>-931</v>
      </c>
      <c r="AG556" s="141">
        <v>-875</v>
      </c>
      <c r="AH556" s="141">
        <v>-811</v>
      </c>
      <c r="AI556" s="141">
        <v>-711</v>
      </c>
      <c r="AJ556" s="141">
        <v>-608</v>
      </c>
      <c r="AK556" s="141">
        <v>-509</v>
      </c>
      <c r="AL556" s="141">
        <v>-213</v>
      </c>
      <c r="AM556" s="141">
        <v>0</v>
      </c>
      <c r="AN556" s="141">
        <v>0</v>
      </c>
      <c r="AO556" s="141">
        <v>0</v>
      </c>
      <c r="AP556" s="141">
        <v>0</v>
      </c>
      <c r="AQ556" s="141">
        <v>0</v>
      </c>
      <c r="AR556" s="141">
        <v>0</v>
      </c>
      <c r="AS556" s="141">
        <v>0</v>
      </c>
      <c r="AT556" s="141">
        <v>0</v>
      </c>
      <c r="AU556" s="141">
        <v>0</v>
      </c>
      <c r="AV556" s="226">
        <v>0</v>
      </c>
      <c r="AW556" s="210">
        <v>0</v>
      </c>
      <c r="AX556" s="210">
        <v>0</v>
      </c>
      <c r="AY556" s="210">
        <v>0</v>
      </c>
      <c r="AZ556" s="210">
        <v>0</v>
      </c>
      <c r="BA556" s="210">
        <v>0</v>
      </c>
      <c r="BB556" s="210">
        <v>0</v>
      </c>
      <c r="BC556" s="210">
        <v>0</v>
      </c>
      <c r="BD556" s="210">
        <v>0</v>
      </c>
      <c r="BE556" s="210">
        <v>0</v>
      </c>
      <c r="BF556" s="210">
        <v>0</v>
      </c>
      <c r="BG556" s="210">
        <v>0</v>
      </c>
      <c r="BH556" s="210">
        <v>0</v>
      </c>
      <c r="BI556" s="210">
        <v>0</v>
      </c>
      <c r="BJ556" s="210">
        <v>0</v>
      </c>
      <c r="BK556" s="210">
        <v>0</v>
      </c>
      <c r="BL556" s="210">
        <v>0</v>
      </c>
      <c r="BM556" s="210">
        <v>0</v>
      </c>
      <c r="BN556" s="210">
        <v>0</v>
      </c>
      <c r="BO556" s="210">
        <v>0</v>
      </c>
      <c r="BP556" s="41"/>
      <c r="BQ556" s="40">
        <v>0</v>
      </c>
      <c r="BR556" s="40">
        <v>0</v>
      </c>
      <c r="BS556" s="40">
        <v>0</v>
      </c>
      <c r="BT556" s="40">
        <v>0</v>
      </c>
      <c r="BU556" s="40">
        <v>0</v>
      </c>
      <c r="BV556" s="40">
        <v>0</v>
      </c>
      <c r="BW556" s="40">
        <v>0</v>
      </c>
      <c r="BX556" s="40">
        <v>0</v>
      </c>
      <c r="BY556" s="40">
        <v>0</v>
      </c>
      <c r="BZ556" s="40">
        <v>0</v>
      </c>
      <c r="CA556" s="41">
        <v>-48</v>
      </c>
      <c r="CB556" s="41">
        <v>-168</v>
      </c>
      <c r="CC556" s="41">
        <v>-218</v>
      </c>
      <c r="CD556" s="41">
        <v>-213</v>
      </c>
      <c r="CE556" s="41">
        <v>-289</v>
      </c>
      <c r="CF556" s="41">
        <v>-398</v>
      </c>
      <c r="CG556" s="41">
        <v>-841</v>
      </c>
      <c r="CH556" s="41">
        <v>-1010</v>
      </c>
      <c r="CI556" s="41">
        <v>-1312</v>
      </c>
      <c r="CJ556" s="41">
        <v>-1686</v>
      </c>
      <c r="CK556" s="41">
        <v>-1660</v>
      </c>
      <c r="CL556" s="41">
        <v>-583</v>
      </c>
      <c r="CM556" s="41">
        <v>-794</v>
      </c>
      <c r="CN556" s="41">
        <v>-791</v>
      </c>
      <c r="CO556" s="41">
        <v>-875</v>
      </c>
      <c r="CP556" s="41">
        <v>-711</v>
      </c>
      <c r="CQ556" s="41">
        <v>-509</v>
      </c>
      <c r="CR556" s="41">
        <v>0</v>
      </c>
      <c r="CS556" s="41">
        <v>0</v>
      </c>
      <c r="CT556" s="41">
        <v>0</v>
      </c>
      <c r="CU556" s="41">
        <v>0</v>
      </c>
      <c r="CV556" s="211">
        <v>0</v>
      </c>
      <c r="CW556" s="41">
        <v>0</v>
      </c>
      <c r="CX556" s="41">
        <v>0</v>
      </c>
      <c r="CY556" s="41">
        <v>0</v>
      </c>
      <c r="CZ556" s="41">
        <v>0</v>
      </c>
      <c r="DA556" s="41">
        <v>0</v>
      </c>
      <c r="DB556" s="41">
        <v>0</v>
      </c>
      <c r="DC556" s="41">
        <v>0</v>
      </c>
      <c r="DD556" s="41">
        <v>0</v>
      </c>
      <c r="DE556" s="41">
        <v>0</v>
      </c>
      <c r="DF556" s="41">
        <v>0</v>
      </c>
    </row>
    <row r="557" spans="1:110" ht="12" outlineLevel="1">
      <c r="A557" s="1" t="s">
        <v>1026</v>
      </c>
      <c r="B557" s="15" t="s">
        <v>2455</v>
      </c>
      <c r="C557" s="141">
        <v>0</v>
      </c>
      <c r="D557" s="141">
        <v>0</v>
      </c>
      <c r="E557" s="141">
        <v>0</v>
      </c>
      <c r="F557" s="141">
        <v>0</v>
      </c>
      <c r="G557" s="141">
        <v>0</v>
      </c>
      <c r="H557" s="141">
        <v>0</v>
      </c>
      <c r="I557" s="141">
        <v>0</v>
      </c>
      <c r="J557" s="141">
        <v>0</v>
      </c>
      <c r="K557" s="141">
        <v>0</v>
      </c>
      <c r="L557" s="141">
        <v>0</v>
      </c>
      <c r="M557" s="141">
        <v>0</v>
      </c>
      <c r="N557" s="141">
        <v>0</v>
      </c>
      <c r="O557" s="141">
        <v>0</v>
      </c>
      <c r="P557" s="141">
        <v>0</v>
      </c>
      <c r="Q557" s="141">
        <v>0</v>
      </c>
      <c r="R557" s="141">
        <v>0</v>
      </c>
      <c r="S557" s="141">
        <v>0</v>
      </c>
      <c r="T557" s="141">
        <v>0</v>
      </c>
      <c r="U557" s="141">
        <v>0</v>
      </c>
      <c r="V557" s="141">
        <v>0</v>
      </c>
      <c r="W557" s="141">
        <v>0</v>
      </c>
      <c r="X557" s="141">
        <v>0</v>
      </c>
      <c r="Y557" s="141">
        <v>0</v>
      </c>
      <c r="Z557" s="141">
        <v>0</v>
      </c>
      <c r="AA557" s="141">
        <v>0</v>
      </c>
      <c r="AB557" s="141">
        <v>0</v>
      </c>
      <c r="AC557" s="141">
        <v>0</v>
      </c>
      <c r="AD557" s="141">
        <v>0</v>
      </c>
      <c r="AE557" s="141">
        <v>0</v>
      </c>
      <c r="AF557" s="141">
        <v>0</v>
      </c>
      <c r="AG557" s="141">
        <v>0</v>
      </c>
      <c r="AH557" s="141">
        <v>0</v>
      </c>
      <c r="AI557" s="141">
        <v>0</v>
      </c>
      <c r="AJ557" s="141">
        <v>0</v>
      </c>
      <c r="AK557" s="141">
        <v>0</v>
      </c>
      <c r="AL557" s="141">
        <v>0</v>
      </c>
      <c r="AM557" s="141">
        <v>0</v>
      </c>
      <c r="AN557" s="141">
        <v>0</v>
      </c>
      <c r="AO557" s="141">
        <v>0</v>
      </c>
      <c r="AP557" s="141">
        <v>0</v>
      </c>
      <c r="AQ557" s="141">
        <v>0</v>
      </c>
      <c r="AR557" s="141">
        <v>0</v>
      </c>
      <c r="AS557" s="141">
        <v>0</v>
      </c>
      <c r="AT557" s="141">
        <v>-984</v>
      </c>
      <c r="AU557" s="141">
        <v>-932</v>
      </c>
      <c r="AV557" s="226">
        <v>-104</v>
      </c>
      <c r="AW557" s="210">
        <v>-117.27429790833628</v>
      </c>
      <c r="AX557" s="210">
        <v>-119.29992004602957</v>
      </c>
      <c r="AY557" s="210">
        <v>-121.16812381967586</v>
      </c>
      <c r="AZ557" s="210">
        <v>-122.65699807819621</v>
      </c>
      <c r="BA557" s="210">
        <v>-124.24928900519878</v>
      </c>
      <c r="BB557" s="210">
        <v>-126.19219028110834</v>
      </c>
      <c r="BC557" s="210">
        <v>-128.46929681033717</v>
      </c>
      <c r="BD557" s="210">
        <v>-130.79532567454095</v>
      </c>
      <c r="BE557" s="210">
        <v>-133.17135615812921</v>
      </c>
      <c r="BF557" s="210">
        <v>-135.59849571388494</v>
      </c>
      <c r="BG557" s="210">
        <v>-138.07788069439187</v>
      </c>
      <c r="BH557" s="210">
        <v>-140.61067710809183</v>
      </c>
      <c r="BI557" s="210">
        <v>-143.19808140062776</v>
      </c>
      <c r="BJ557" s="210">
        <v>-146.057060394361</v>
      </c>
      <c r="BK557" s="210">
        <v>-149.19983432439346</v>
      </c>
      <c r="BL557" s="210">
        <v>-152.41608778315683</v>
      </c>
      <c r="BM557" s="210">
        <v>-155.707738733453</v>
      </c>
      <c r="BN557" s="210">
        <v>-157.26481612078754</v>
      </c>
      <c r="BO557" s="210">
        <v>-158.83746428199544</v>
      </c>
      <c r="BP557" s="210"/>
      <c r="BQ557" s="40">
        <v>0</v>
      </c>
      <c r="BR557" s="40">
        <v>0</v>
      </c>
      <c r="BS557" s="40">
        <v>0</v>
      </c>
      <c r="BT557" s="40">
        <v>0</v>
      </c>
      <c r="BU557" s="40">
        <v>0</v>
      </c>
      <c r="BV557" s="40">
        <v>0</v>
      </c>
      <c r="BW557" s="40">
        <v>0</v>
      </c>
      <c r="BX557" s="40">
        <v>0</v>
      </c>
      <c r="BY557" s="40">
        <v>0</v>
      </c>
      <c r="BZ557" s="40">
        <v>0</v>
      </c>
      <c r="CA557" s="41">
        <v>0</v>
      </c>
      <c r="CB557" s="41">
        <v>0</v>
      </c>
      <c r="CC557" s="41">
        <v>0</v>
      </c>
      <c r="CD557" s="41">
        <v>0</v>
      </c>
      <c r="CE557" s="41">
        <v>0</v>
      </c>
      <c r="CF557" s="41">
        <v>0</v>
      </c>
      <c r="CG557" s="41">
        <v>0</v>
      </c>
      <c r="CH557" s="41">
        <v>0</v>
      </c>
      <c r="CI557" s="41">
        <v>0</v>
      </c>
      <c r="CJ557" s="41">
        <v>0</v>
      </c>
      <c r="CK557" s="41">
        <v>0</v>
      </c>
      <c r="CL557" s="41">
        <v>0</v>
      </c>
      <c r="CM557" s="41">
        <v>0</v>
      </c>
      <c r="CN557" s="41">
        <v>0</v>
      </c>
      <c r="CO557" s="41">
        <v>0</v>
      </c>
      <c r="CP557" s="41">
        <v>0</v>
      </c>
      <c r="CQ557" s="41">
        <v>0</v>
      </c>
      <c r="CR557" s="41">
        <v>0</v>
      </c>
      <c r="CS557" s="41">
        <v>0</v>
      </c>
      <c r="CT557" s="41">
        <v>0</v>
      </c>
      <c r="CU557" s="41">
        <v>0</v>
      </c>
      <c r="CV557" s="211">
        <v>-932</v>
      </c>
      <c r="CW557" s="41">
        <v>-117.27429790833628</v>
      </c>
      <c r="CX557" s="41">
        <v>-121.16812381967586</v>
      </c>
      <c r="CY557" s="41">
        <v>-124.24928900519878</v>
      </c>
      <c r="CZ557" s="41">
        <v>-128.46929681033717</v>
      </c>
      <c r="DA557" s="41">
        <v>-133.17135615812921</v>
      </c>
      <c r="DB557" s="41">
        <v>-138.07788069439187</v>
      </c>
      <c r="DC557" s="41">
        <v>-143.19808140062776</v>
      </c>
      <c r="DD557" s="41">
        <v>-149.19983432439346</v>
      </c>
      <c r="DE557" s="41">
        <v>-155.707738733453</v>
      </c>
      <c r="DF557" s="41">
        <v>-158.83746428199544</v>
      </c>
    </row>
    <row r="558" spans="1:110" ht="12" hidden="1" outlineLevel="2">
      <c r="A558" s="1" t="s">
        <v>64</v>
      </c>
      <c r="B558" s="15" t="s">
        <v>804</v>
      </c>
      <c r="C558" s="41"/>
      <c r="D558" s="41"/>
      <c r="E558" s="41"/>
      <c r="F558" s="41"/>
      <c r="G558" s="41"/>
      <c r="H558" s="41"/>
      <c r="I558" s="41"/>
      <c r="J558" s="41"/>
      <c r="K558" s="41"/>
      <c r="L558" s="41"/>
      <c r="M558" s="41"/>
      <c r="N558" s="41"/>
      <c r="O558" s="41"/>
      <c r="P558" s="41"/>
      <c r="Q558" s="41"/>
      <c r="R558" s="41"/>
      <c r="S558" s="41"/>
      <c r="T558" s="41"/>
      <c r="U558" s="41"/>
      <c r="V558" s="41"/>
      <c r="W558" s="41"/>
      <c r="X558" s="41"/>
      <c r="Y558" s="41"/>
      <c r="Z558" s="41"/>
      <c r="AA558" s="41"/>
      <c r="AB558" s="41"/>
      <c r="AC558" s="41"/>
      <c r="AD558" s="41"/>
      <c r="AE558" s="41"/>
      <c r="AF558" s="41"/>
      <c r="AG558" s="41"/>
      <c r="AH558" s="41"/>
      <c r="AI558" s="41"/>
      <c r="AJ558" s="41"/>
      <c r="AK558" s="41"/>
      <c r="AL558" s="41"/>
      <c r="AM558" s="41"/>
      <c r="AN558" s="41"/>
      <c r="AO558" s="41"/>
      <c r="AP558" s="41"/>
      <c r="AQ558" s="41"/>
      <c r="AR558" s="41"/>
      <c r="AS558" s="41"/>
      <c r="AT558" s="41"/>
      <c r="AU558" s="41"/>
      <c r="AV558" s="211"/>
      <c r="AW558" s="41"/>
      <c r="AX558" s="41"/>
      <c r="AY558" s="41"/>
      <c r="AZ558" s="41"/>
      <c r="BA558" s="41"/>
      <c r="BB558" s="41"/>
      <c r="BC558" s="41"/>
      <c r="BD558" s="41"/>
      <c r="BE558" s="41"/>
      <c r="BF558" s="41"/>
      <c r="BG558" s="41"/>
      <c r="BH558" s="41"/>
      <c r="BI558" s="41"/>
      <c r="BJ558" s="41"/>
      <c r="BK558" s="41"/>
      <c r="BL558" s="41"/>
      <c r="BM558" s="41"/>
      <c r="BN558" s="41"/>
      <c r="BO558" s="41"/>
      <c r="BP558" s="41"/>
      <c r="BQ558" s="40"/>
      <c r="BR558" s="40"/>
      <c r="BS558" s="40"/>
      <c r="BT558" s="40"/>
      <c r="BU558" s="40"/>
      <c r="BV558" s="40"/>
      <c r="BW558" s="40"/>
      <c r="BX558" s="40"/>
      <c r="BY558" s="40"/>
      <c r="BZ558" s="40"/>
      <c r="CA558" s="41"/>
      <c r="CB558" s="41"/>
      <c r="CC558" s="41"/>
      <c r="CD558" s="41"/>
      <c r="CE558" s="41"/>
      <c r="CF558" s="41"/>
      <c r="CG558" s="41"/>
      <c r="CH558" s="41"/>
      <c r="CI558" s="41"/>
      <c r="CJ558" s="41"/>
      <c r="CK558" s="41"/>
      <c r="CL558" s="41"/>
      <c r="CM558" s="41"/>
      <c r="CN558" s="41"/>
      <c r="CO558" s="41"/>
      <c r="CP558" s="41"/>
      <c r="CQ558" s="41"/>
      <c r="CR558" s="41"/>
      <c r="CS558" s="41"/>
      <c r="CT558" s="41"/>
      <c r="CU558" s="41"/>
      <c r="CV558" s="211"/>
      <c r="CW558" s="41"/>
      <c r="CX558" s="41"/>
      <c r="CY558" s="41"/>
      <c r="CZ558" s="41"/>
      <c r="DA558" s="41"/>
      <c r="DB558" s="41"/>
      <c r="DC558" s="41"/>
      <c r="DD558" s="41"/>
      <c r="DE558" s="41"/>
      <c r="DF558" s="41"/>
    </row>
    <row r="559" spans="1:110" ht="12" hidden="1" outlineLevel="2">
      <c r="A559" s="1" t="s">
        <v>65</v>
      </c>
      <c r="B559" s="15" t="s">
        <v>804</v>
      </c>
      <c r="C559" s="41"/>
      <c r="D559" s="41"/>
      <c r="E559" s="41"/>
      <c r="F559" s="41"/>
      <c r="G559" s="41"/>
      <c r="H559" s="41"/>
      <c r="I559" s="41"/>
      <c r="J559" s="41"/>
      <c r="K559" s="41"/>
      <c r="L559" s="41"/>
      <c r="M559" s="41"/>
      <c r="N559" s="41"/>
      <c r="O559" s="41"/>
      <c r="P559" s="41"/>
      <c r="Q559" s="41"/>
      <c r="R559" s="41"/>
      <c r="S559" s="41"/>
      <c r="T559" s="41"/>
      <c r="U559" s="41"/>
      <c r="V559" s="41"/>
      <c r="W559" s="41"/>
      <c r="X559" s="41"/>
      <c r="Y559" s="41"/>
      <c r="Z559" s="41"/>
      <c r="AA559" s="41"/>
      <c r="AB559" s="41"/>
      <c r="AC559" s="41"/>
      <c r="AD559" s="41"/>
      <c r="AE559" s="41"/>
      <c r="AF559" s="41"/>
      <c r="AG559" s="41"/>
      <c r="AH559" s="41"/>
      <c r="AI559" s="41"/>
      <c r="AJ559" s="41"/>
      <c r="AK559" s="41"/>
      <c r="AL559" s="41"/>
      <c r="AM559" s="41"/>
      <c r="AN559" s="41"/>
      <c r="AO559" s="41"/>
      <c r="AP559" s="41"/>
      <c r="AQ559" s="41"/>
      <c r="AR559" s="41"/>
      <c r="AS559" s="41"/>
      <c r="AT559" s="41"/>
      <c r="AU559" s="41"/>
      <c r="AV559" s="211"/>
      <c r="AW559" s="41"/>
      <c r="AX559" s="41"/>
      <c r="AY559" s="41"/>
      <c r="AZ559" s="41"/>
      <c r="BA559" s="41"/>
      <c r="BB559" s="41"/>
      <c r="BC559" s="41"/>
      <c r="BD559" s="41"/>
      <c r="BE559" s="41"/>
      <c r="BF559" s="41"/>
      <c r="BG559" s="41"/>
      <c r="BH559" s="41"/>
      <c r="BI559" s="41"/>
      <c r="BJ559" s="41"/>
      <c r="BK559" s="41"/>
      <c r="BL559" s="41"/>
      <c r="BM559" s="41"/>
      <c r="BN559" s="41"/>
      <c r="BO559" s="41"/>
      <c r="BP559" s="41"/>
      <c r="BQ559" s="40"/>
      <c r="BR559" s="40"/>
      <c r="BS559" s="40"/>
      <c r="BT559" s="40"/>
      <c r="BU559" s="40"/>
      <c r="BV559" s="40"/>
      <c r="BW559" s="40"/>
      <c r="BX559" s="40"/>
      <c r="BY559" s="40"/>
      <c r="BZ559" s="40"/>
      <c r="CA559" s="41"/>
      <c r="CB559" s="41"/>
      <c r="CC559" s="41"/>
      <c r="CD559" s="41"/>
      <c r="CE559" s="41"/>
      <c r="CF559" s="41"/>
      <c r="CG559" s="41"/>
      <c r="CH559" s="41"/>
      <c r="CI559" s="41"/>
      <c r="CJ559" s="41"/>
      <c r="CK559" s="41"/>
      <c r="CL559" s="41"/>
      <c r="CM559" s="41"/>
      <c r="CN559" s="41"/>
      <c r="CO559" s="41"/>
      <c r="CP559" s="41"/>
      <c r="CQ559" s="41"/>
      <c r="CR559" s="41"/>
      <c r="CS559" s="41"/>
      <c r="CT559" s="41"/>
      <c r="CU559" s="41"/>
      <c r="CV559" s="211"/>
      <c r="CW559" s="41"/>
      <c r="CX559" s="41"/>
      <c r="CY559" s="41"/>
      <c r="CZ559" s="41"/>
      <c r="DA559" s="41"/>
      <c r="DB559" s="41"/>
      <c r="DC559" s="41"/>
      <c r="DD559" s="41"/>
      <c r="DE559" s="41"/>
      <c r="DF559" s="41"/>
    </row>
    <row r="560" spans="1:110" ht="12" hidden="1" outlineLevel="2">
      <c r="A560" s="1" t="s">
        <v>66</v>
      </c>
      <c r="B560" s="15" t="s">
        <v>804</v>
      </c>
      <c r="C560" s="41"/>
      <c r="D560" s="41"/>
      <c r="E560" s="41"/>
      <c r="F560" s="41"/>
      <c r="G560" s="41"/>
      <c r="H560" s="41"/>
      <c r="I560" s="41"/>
      <c r="J560" s="41"/>
      <c r="K560" s="41"/>
      <c r="L560" s="41"/>
      <c r="M560" s="41"/>
      <c r="N560" s="41"/>
      <c r="O560" s="41"/>
      <c r="P560" s="41"/>
      <c r="Q560" s="41"/>
      <c r="R560" s="41"/>
      <c r="S560" s="41"/>
      <c r="T560" s="41"/>
      <c r="U560" s="41"/>
      <c r="V560" s="41"/>
      <c r="W560" s="41"/>
      <c r="X560" s="41"/>
      <c r="Y560" s="41"/>
      <c r="Z560" s="41"/>
      <c r="AA560" s="41"/>
      <c r="AB560" s="41"/>
      <c r="AC560" s="41"/>
      <c r="AD560" s="41"/>
      <c r="AE560" s="41"/>
      <c r="AF560" s="41"/>
      <c r="AG560" s="41"/>
      <c r="AH560" s="41"/>
      <c r="AI560" s="41"/>
      <c r="AJ560" s="41"/>
      <c r="AK560" s="41"/>
      <c r="AL560" s="41"/>
      <c r="AM560" s="41"/>
      <c r="AN560" s="41"/>
      <c r="AO560" s="41"/>
      <c r="AP560" s="41"/>
      <c r="AQ560" s="41"/>
      <c r="AR560" s="41"/>
      <c r="AS560" s="41"/>
      <c r="AT560" s="41"/>
      <c r="AU560" s="41"/>
      <c r="AV560" s="211"/>
      <c r="AW560" s="41"/>
      <c r="AX560" s="41"/>
      <c r="AY560" s="41"/>
      <c r="AZ560" s="41"/>
      <c r="BA560" s="41"/>
      <c r="BB560" s="41"/>
      <c r="BC560" s="41"/>
      <c r="BD560" s="41"/>
      <c r="BE560" s="41"/>
      <c r="BF560" s="41"/>
      <c r="BG560" s="41"/>
      <c r="BH560" s="41"/>
      <c r="BI560" s="41"/>
      <c r="BJ560" s="41"/>
      <c r="BK560" s="41"/>
      <c r="BL560" s="41"/>
      <c r="BM560" s="41"/>
      <c r="BN560" s="41"/>
      <c r="BO560" s="41"/>
      <c r="BP560" s="41"/>
      <c r="BQ560" s="40"/>
      <c r="BR560" s="40"/>
      <c r="BS560" s="40"/>
      <c r="BT560" s="40"/>
      <c r="BU560" s="40"/>
      <c r="BV560" s="40"/>
      <c r="BW560" s="40"/>
      <c r="BX560" s="40"/>
      <c r="BY560" s="40"/>
      <c r="BZ560" s="40"/>
      <c r="CA560" s="41"/>
      <c r="CB560" s="41"/>
      <c r="CC560" s="41"/>
      <c r="CD560" s="41"/>
      <c r="CE560" s="41"/>
      <c r="CF560" s="41"/>
      <c r="CG560" s="41"/>
      <c r="CH560" s="41"/>
      <c r="CI560" s="41"/>
      <c r="CJ560" s="41"/>
      <c r="CK560" s="41"/>
      <c r="CL560" s="41"/>
      <c r="CM560" s="41"/>
      <c r="CN560" s="41"/>
      <c r="CO560" s="41"/>
      <c r="CP560" s="41"/>
      <c r="CQ560" s="41"/>
      <c r="CR560" s="41"/>
      <c r="CS560" s="41"/>
      <c r="CT560" s="41"/>
      <c r="CU560" s="41"/>
      <c r="CV560" s="211"/>
      <c r="CW560" s="41"/>
      <c r="CX560" s="41"/>
      <c r="CY560" s="41"/>
      <c r="CZ560" s="41"/>
      <c r="DA560" s="41"/>
      <c r="DB560" s="41"/>
      <c r="DC560" s="41"/>
      <c r="DD560" s="41"/>
      <c r="DE560" s="41"/>
      <c r="DF560" s="41"/>
    </row>
    <row r="561" spans="1:110" ht="12" outlineLevel="1" collapsed="1">
      <c r="A561" s="1" t="s">
        <v>1027</v>
      </c>
      <c r="B561" s="15" t="s">
        <v>271</v>
      </c>
      <c r="C561" s="41">
        <v>0</v>
      </c>
      <c r="D561" s="41">
        <v>0</v>
      </c>
      <c r="E561" s="41">
        <v>0</v>
      </c>
      <c r="F561" s="41">
        <v>0</v>
      </c>
      <c r="G561" s="41">
        <v>0</v>
      </c>
      <c r="H561" s="41">
        <v>0</v>
      </c>
      <c r="I561" s="41">
        <v>0</v>
      </c>
      <c r="J561" s="41">
        <v>0</v>
      </c>
      <c r="K561" s="41">
        <v>-81</v>
      </c>
      <c r="L561" s="41">
        <v>168</v>
      </c>
      <c r="M561" s="41">
        <v>94</v>
      </c>
      <c r="N561" s="41">
        <v>172</v>
      </c>
      <c r="O561" s="41">
        <v>56</v>
      </c>
      <c r="P561" s="41">
        <v>292</v>
      </c>
      <c r="Q561" s="41">
        <v>361</v>
      </c>
      <c r="R561" s="41">
        <v>434</v>
      </c>
      <c r="S561" s="41">
        <v>522</v>
      </c>
      <c r="T561" s="41">
        <v>746</v>
      </c>
      <c r="U561" s="41">
        <v>669</v>
      </c>
      <c r="V561" s="41">
        <v>671</v>
      </c>
      <c r="W561" s="41">
        <v>477</v>
      </c>
      <c r="X561" s="41">
        <v>383</v>
      </c>
      <c r="Y561" s="41">
        <v>393</v>
      </c>
      <c r="Z561" s="41">
        <v>486</v>
      </c>
      <c r="AA561" s="41">
        <v>522</v>
      </c>
      <c r="AB561" s="41">
        <v>527</v>
      </c>
      <c r="AC561" s="41">
        <v>454</v>
      </c>
      <c r="AD561" s="41">
        <v>432</v>
      </c>
      <c r="AE561" s="41">
        <v>404</v>
      </c>
      <c r="AF561" s="41">
        <v>347</v>
      </c>
      <c r="AG561" s="41">
        <v>394</v>
      </c>
      <c r="AH561" s="41">
        <v>302</v>
      </c>
      <c r="AI561" s="41">
        <v>230</v>
      </c>
      <c r="AJ561" s="41">
        <v>214</v>
      </c>
      <c r="AK561" s="41">
        <v>187</v>
      </c>
      <c r="AL561" s="41">
        <v>170</v>
      </c>
      <c r="AM561" s="41">
        <v>120</v>
      </c>
      <c r="AN561" s="41">
        <v>-66</v>
      </c>
      <c r="AO561" s="41">
        <v>-205</v>
      </c>
      <c r="AP561" s="41">
        <v>110</v>
      </c>
      <c r="AQ561" s="41">
        <v>3</v>
      </c>
      <c r="AR561" s="41">
        <v>180</v>
      </c>
      <c r="AS561" s="41">
        <v>-175</v>
      </c>
      <c r="AT561" s="41">
        <v>-328</v>
      </c>
      <c r="AU561" s="41">
        <v>-396</v>
      </c>
      <c r="AV561" s="211">
        <v>-648</v>
      </c>
      <c r="AW561" s="210">
        <v>-648</v>
      </c>
      <c r="AX561" s="210">
        <v>-648</v>
      </c>
      <c r="AY561" s="210">
        <v>-648</v>
      </c>
      <c r="AZ561" s="210">
        <v>-648</v>
      </c>
      <c r="BA561" s="210">
        <v>-648</v>
      </c>
      <c r="BB561" s="210">
        <v>-648</v>
      </c>
      <c r="BC561" s="210">
        <v>-648</v>
      </c>
      <c r="BD561" s="210">
        <v>-648</v>
      </c>
      <c r="BE561" s="210">
        <v>-648</v>
      </c>
      <c r="BF561" s="210">
        <v>-648</v>
      </c>
      <c r="BG561" s="210">
        <v>-648</v>
      </c>
      <c r="BH561" s="210">
        <v>-648</v>
      </c>
      <c r="BI561" s="210">
        <v>-648</v>
      </c>
      <c r="BJ561" s="210">
        <v>-648</v>
      </c>
      <c r="BK561" s="210">
        <v>-648</v>
      </c>
      <c r="BL561" s="210">
        <v>-648</v>
      </c>
      <c r="BM561" s="210">
        <v>-648</v>
      </c>
      <c r="BN561" s="210">
        <v>-648</v>
      </c>
      <c r="BO561" s="210">
        <v>-648</v>
      </c>
      <c r="BP561" s="41"/>
      <c r="BQ561" s="40">
        <v>0</v>
      </c>
      <c r="BR561" s="40">
        <v>0</v>
      </c>
      <c r="BS561" s="40">
        <v>0</v>
      </c>
      <c r="BT561" s="40">
        <v>0</v>
      </c>
      <c r="BU561" s="40">
        <v>0</v>
      </c>
      <c r="BV561" s="40">
        <v>0</v>
      </c>
      <c r="BW561" s="40">
        <v>0</v>
      </c>
      <c r="BX561" s="40">
        <v>0</v>
      </c>
      <c r="BY561" s="40">
        <v>-31</v>
      </c>
      <c r="BZ561" s="40">
        <v>-31</v>
      </c>
      <c r="CA561" s="41">
        <v>0</v>
      </c>
      <c r="CB561" s="41">
        <v>0</v>
      </c>
      <c r="CC561" s="41">
        <v>0</v>
      </c>
      <c r="CD561" s="41">
        <v>-81</v>
      </c>
      <c r="CE561" s="41">
        <v>94</v>
      </c>
      <c r="CF561" s="41">
        <v>56</v>
      </c>
      <c r="CG561" s="41">
        <v>361</v>
      </c>
      <c r="CH561" s="41">
        <v>522</v>
      </c>
      <c r="CI561" s="41">
        <v>669</v>
      </c>
      <c r="CJ561" s="41">
        <v>477</v>
      </c>
      <c r="CK561" s="41">
        <v>393</v>
      </c>
      <c r="CL561" s="41">
        <v>522</v>
      </c>
      <c r="CM561" s="41">
        <v>454</v>
      </c>
      <c r="CN561" s="41">
        <v>404</v>
      </c>
      <c r="CO561" s="41">
        <v>394</v>
      </c>
      <c r="CP561" s="41">
        <v>230</v>
      </c>
      <c r="CQ561" s="41">
        <v>187</v>
      </c>
      <c r="CR561" s="41">
        <v>120</v>
      </c>
      <c r="CS561" s="41">
        <v>-205</v>
      </c>
      <c r="CT561" s="41">
        <v>3</v>
      </c>
      <c r="CU561" s="41">
        <v>-175</v>
      </c>
      <c r="CV561" s="211">
        <v>-396</v>
      </c>
      <c r="CW561" s="41">
        <v>-648</v>
      </c>
      <c r="CX561" s="41">
        <v>-648</v>
      </c>
      <c r="CY561" s="41">
        <v>-648</v>
      </c>
      <c r="CZ561" s="41">
        <v>-648</v>
      </c>
      <c r="DA561" s="41">
        <v>-648</v>
      </c>
      <c r="DB561" s="41">
        <v>-648</v>
      </c>
      <c r="DC561" s="41">
        <v>-648</v>
      </c>
      <c r="DD561" s="41">
        <v>-648</v>
      </c>
      <c r="DE561" s="41">
        <v>-648</v>
      </c>
      <c r="DF561" s="41">
        <v>-648</v>
      </c>
    </row>
    <row r="562" spans="1:110" s="17" customFormat="1" ht="12" outlineLevel="1">
      <c r="A562" s="1" t="s">
        <v>1028</v>
      </c>
      <c r="B562" s="17" t="s">
        <v>168</v>
      </c>
      <c r="C562" s="61">
        <v>-1526</v>
      </c>
      <c r="D562" s="61">
        <v>-1410</v>
      </c>
      <c r="E562" s="61">
        <v>-1423</v>
      </c>
      <c r="F562" s="61">
        <v>-1990</v>
      </c>
      <c r="G562" s="61">
        <v>-3157</v>
      </c>
      <c r="H562" s="61">
        <v>-2006</v>
      </c>
      <c r="I562" s="61">
        <v>-2072</v>
      </c>
      <c r="J562" s="61">
        <v>-3054</v>
      </c>
      <c r="K562" s="61">
        <v>-3229</v>
      </c>
      <c r="L562" s="61">
        <v>-1888</v>
      </c>
      <c r="M562" s="61">
        <v>-2333</v>
      </c>
      <c r="N562" s="61">
        <v>-2120</v>
      </c>
      <c r="O562" s="61">
        <v>-2318</v>
      </c>
      <c r="P562" s="61">
        <v>-1827</v>
      </c>
      <c r="Q562" s="61">
        <v>-2409</v>
      </c>
      <c r="R562" s="61">
        <v>-2468</v>
      </c>
      <c r="S562" s="61">
        <v>-2341</v>
      </c>
      <c r="T562" s="61">
        <v>-2003</v>
      </c>
      <c r="U562" s="61">
        <v>-2840</v>
      </c>
      <c r="V562" s="61">
        <v>-2637</v>
      </c>
      <c r="W562" s="61">
        <v>-3479</v>
      </c>
      <c r="X562" s="61">
        <v>-3170</v>
      </c>
      <c r="Y562" s="61">
        <v>-3857</v>
      </c>
      <c r="Z562" s="194">
        <v>-958</v>
      </c>
      <c r="AA562" s="194">
        <v>-932</v>
      </c>
      <c r="AB562" s="194">
        <v>-1071</v>
      </c>
      <c r="AC562" s="194">
        <v>-1211</v>
      </c>
      <c r="AD562" s="194">
        <v>-519</v>
      </c>
      <c r="AE562" s="194">
        <v>-387</v>
      </c>
      <c r="AF562" s="194">
        <v>-584</v>
      </c>
      <c r="AG562" s="194">
        <v>-481</v>
      </c>
      <c r="AH562" s="194">
        <v>-509</v>
      </c>
      <c r="AI562" s="194">
        <v>-481</v>
      </c>
      <c r="AJ562" s="194">
        <v>-394</v>
      </c>
      <c r="AK562" s="194">
        <v>-322</v>
      </c>
      <c r="AL562" s="194">
        <v>-43</v>
      </c>
      <c r="AM562" s="194">
        <v>120</v>
      </c>
      <c r="AN562" s="194">
        <v>-66</v>
      </c>
      <c r="AO562" s="194">
        <v>-205</v>
      </c>
      <c r="AP562" s="194">
        <v>110</v>
      </c>
      <c r="AQ562" s="194">
        <v>3</v>
      </c>
      <c r="AR562" s="194">
        <v>180</v>
      </c>
      <c r="AS562" s="194">
        <v>-175</v>
      </c>
      <c r="AT562" s="194">
        <v>-1312</v>
      </c>
      <c r="AU562" s="194">
        <v>-1328</v>
      </c>
      <c r="AV562" s="227">
        <v>-752</v>
      </c>
      <c r="AW562" s="62">
        <v>-765.27429790833628</v>
      </c>
      <c r="AX562" s="62">
        <v>-767.29992004602957</v>
      </c>
      <c r="AY562" s="62">
        <v>-769.16812381967588</v>
      </c>
      <c r="AZ562" s="62">
        <v>-770.65699807819624</v>
      </c>
      <c r="BA562" s="62">
        <v>-772.24928900519876</v>
      </c>
      <c r="BB562" s="62">
        <v>-774.19219028110831</v>
      </c>
      <c r="BC562" s="62">
        <v>-776.46929681033714</v>
      </c>
      <c r="BD562" s="62">
        <v>-778.79532567454089</v>
      </c>
      <c r="BE562" s="62">
        <v>-781.17135615812924</v>
      </c>
      <c r="BF562" s="62">
        <v>-783.59849571388497</v>
      </c>
      <c r="BG562" s="62">
        <v>-786.07788069439187</v>
      </c>
      <c r="BH562" s="62">
        <v>-788.61067710809186</v>
      </c>
      <c r="BI562" s="62">
        <v>-791.19808140062776</v>
      </c>
      <c r="BJ562" s="62">
        <v>-794.05706039436097</v>
      </c>
      <c r="BK562" s="62">
        <v>-797.19983432439346</v>
      </c>
      <c r="BL562" s="62">
        <v>-800.41608778315685</v>
      </c>
      <c r="BM562" s="62">
        <v>-803.70773873345297</v>
      </c>
      <c r="BN562" s="62">
        <v>-805.2648161207876</v>
      </c>
      <c r="BO562" s="62">
        <v>-806.83746428199538</v>
      </c>
      <c r="BP562" s="62"/>
      <c r="BQ562" s="62">
        <v>-600</v>
      </c>
      <c r="BR562" s="62">
        <v>-267</v>
      </c>
      <c r="BS562" s="62">
        <v>-389</v>
      </c>
      <c r="BT562" s="62">
        <v>0</v>
      </c>
      <c r="BU562" s="62">
        <v>0</v>
      </c>
      <c r="BV562" s="62">
        <v>0</v>
      </c>
      <c r="BW562" s="62">
        <v>-645</v>
      </c>
      <c r="BX562" s="62">
        <v>-1145</v>
      </c>
      <c r="BY562" s="62">
        <v>-1405</v>
      </c>
      <c r="BZ562" s="62">
        <v>-1557</v>
      </c>
      <c r="CA562" s="62">
        <v>-1423</v>
      </c>
      <c r="CB562" s="62">
        <v>-3157</v>
      </c>
      <c r="CC562" s="62">
        <v>-2072</v>
      </c>
      <c r="CD562" s="62">
        <v>-3229</v>
      </c>
      <c r="CE562" s="62">
        <v>-2333</v>
      </c>
      <c r="CF562" s="62">
        <v>-2318</v>
      </c>
      <c r="CG562" s="62">
        <v>-2409</v>
      </c>
      <c r="CH562" s="62">
        <v>-2341</v>
      </c>
      <c r="CI562" s="62">
        <v>-2840</v>
      </c>
      <c r="CJ562" s="62">
        <v>-3479</v>
      </c>
      <c r="CK562" s="62">
        <v>-3857</v>
      </c>
      <c r="CL562" s="62">
        <v>-932</v>
      </c>
      <c r="CM562" s="62">
        <v>-1211</v>
      </c>
      <c r="CN562" s="62">
        <v>-387</v>
      </c>
      <c r="CO562" s="62">
        <v>-481</v>
      </c>
      <c r="CP562" s="62">
        <v>-481</v>
      </c>
      <c r="CQ562" s="62">
        <v>-322</v>
      </c>
      <c r="CR562" s="62">
        <v>120</v>
      </c>
      <c r="CS562" s="62">
        <v>-205</v>
      </c>
      <c r="CT562" s="62">
        <v>3</v>
      </c>
      <c r="CU562" s="62">
        <v>-175</v>
      </c>
      <c r="CV562" s="220">
        <v>-1328</v>
      </c>
      <c r="CW562" s="62">
        <v>-765.27429790833628</v>
      </c>
      <c r="CX562" s="62">
        <v>-769.16812381967588</v>
      </c>
      <c r="CY562" s="62">
        <v>-772.24928900519876</v>
      </c>
      <c r="CZ562" s="62">
        <v>-776.46929681033714</v>
      </c>
      <c r="DA562" s="62">
        <v>-781.17135615812924</v>
      </c>
      <c r="DB562" s="62">
        <v>-786.07788069439187</v>
      </c>
      <c r="DC562" s="62">
        <v>-791.19808140062776</v>
      </c>
      <c r="DD562" s="62">
        <v>-797.19983432439346</v>
      </c>
      <c r="DE562" s="62">
        <v>-803.70773873345297</v>
      </c>
      <c r="DF562" s="62">
        <v>-806.83746428199538</v>
      </c>
    </row>
    <row r="563" spans="1:110" ht="12" outlineLevel="1">
      <c r="C563" s="41"/>
      <c r="D563" s="41"/>
      <c r="E563" s="41"/>
      <c r="F563" s="41"/>
      <c r="G563" s="41"/>
      <c r="H563" s="41"/>
      <c r="I563" s="41"/>
      <c r="J563" s="41"/>
      <c r="K563" s="41"/>
      <c r="L563" s="41"/>
      <c r="M563" s="41"/>
      <c r="N563" s="41"/>
      <c r="O563" s="41"/>
      <c r="P563" s="41"/>
      <c r="Q563" s="41"/>
      <c r="R563" s="41"/>
      <c r="S563" s="41"/>
      <c r="T563" s="41"/>
      <c r="U563" s="41"/>
      <c r="V563" s="41"/>
      <c r="W563" s="41"/>
      <c r="X563" s="41"/>
      <c r="Y563" s="41"/>
      <c r="Z563" s="41"/>
      <c r="AA563" s="41"/>
      <c r="AB563" s="41"/>
      <c r="AC563" s="41"/>
      <c r="AD563" s="41"/>
      <c r="AE563" s="41"/>
      <c r="AF563" s="41"/>
      <c r="AG563" s="41"/>
      <c r="AH563" s="41"/>
      <c r="AI563" s="41"/>
      <c r="AJ563" s="41"/>
      <c r="AK563" s="41"/>
      <c r="AL563" s="41"/>
      <c r="AM563" s="41"/>
      <c r="AN563" s="41"/>
      <c r="AO563" s="41"/>
      <c r="AP563" s="41"/>
      <c r="AQ563" s="41"/>
      <c r="AR563" s="41"/>
      <c r="AS563" s="41"/>
      <c r="AT563" s="41"/>
      <c r="AU563" s="41"/>
      <c r="AV563" s="211"/>
      <c r="AW563" s="41"/>
      <c r="AX563" s="41"/>
      <c r="AY563" s="41"/>
      <c r="AZ563" s="41"/>
      <c r="BA563" s="41"/>
      <c r="BB563" s="41"/>
      <c r="BC563" s="41"/>
      <c r="BD563" s="41"/>
      <c r="BE563" s="41"/>
      <c r="BF563" s="41"/>
      <c r="BG563" s="41"/>
      <c r="BH563" s="41"/>
      <c r="BI563" s="41"/>
      <c r="BJ563" s="41"/>
      <c r="BK563" s="41"/>
      <c r="BL563" s="41"/>
      <c r="BM563" s="41"/>
      <c r="BN563" s="41"/>
      <c r="BO563" s="41"/>
      <c r="BP563" s="41"/>
      <c r="BQ563" s="41"/>
      <c r="BR563" s="41"/>
      <c r="BS563" s="41"/>
      <c r="BT563" s="41"/>
      <c r="BU563" s="41"/>
      <c r="BV563" s="41"/>
      <c r="BW563" s="41"/>
      <c r="BX563" s="41"/>
      <c r="BY563" s="41"/>
      <c r="BZ563" s="41"/>
      <c r="CA563" s="41"/>
      <c r="CB563" s="41"/>
      <c r="CC563" s="41"/>
      <c r="CD563" s="41"/>
      <c r="CE563" s="41"/>
      <c r="CF563" s="41"/>
      <c r="CG563" s="41"/>
      <c r="CH563" s="41"/>
      <c r="CI563" s="41"/>
      <c r="CJ563" s="41"/>
      <c r="CK563" s="41"/>
      <c r="CL563" s="41"/>
      <c r="CM563" s="41"/>
      <c r="CN563" s="41"/>
      <c r="CO563" s="41"/>
      <c r="CP563" s="41"/>
      <c r="CQ563" s="41"/>
      <c r="CR563" s="41"/>
      <c r="CS563" s="41"/>
      <c r="CT563" s="41"/>
      <c r="CU563" s="41"/>
      <c r="CV563" s="211"/>
      <c r="CW563" s="41"/>
      <c r="CX563" s="41"/>
      <c r="CY563" s="41"/>
      <c r="CZ563" s="15"/>
      <c r="DA563" s="15"/>
      <c r="DB563" s="15"/>
      <c r="DC563" s="15"/>
      <c r="DD563" s="15"/>
      <c r="DE563" s="15"/>
      <c r="DF563" s="15"/>
    </row>
    <row r="564" spans="1:110" s="17" customFormat="1" ht="12" outlineLevel="1">
      <c r="A564" s="1" t="s">
        <v>1029</v>
      </c>
      <c r="B564" s="79" t="s">
        <v>909</v>
      </c>
      <c r="C564" s="62">
        <v>9025</v>
      </c>
      <c r="D564" s="62">
        <v>9393</v>
      </c>
      <c r="E564" s="62">
        <v>10042</v>
      </c>
      <c r="F564" s="62">
        <v>10495</v>
      </c>
      <c r="G564" s="62">
        <v>10630</v>
      </c>
      <c r="H564" s="62">
        <v>14742</v>
      </c>
      <c r="I564" s="62">
        <v>15853</v>
      </c>
      <c r="J564" s="62">
        <v>15873</v>
      </c>
      <c r="K564" s="62">
        <v>16309</v>
      </c>
      <c r="L564" s="62">
        <v>16908</v>
      </c>
      <c r="M564" s="62">
        <v>17573</v>
      </c>
      <c r="N564" s="62">
        <v>18790</v>
      </c>
      <c r="O564" s="62">
        <v>19730</v>
      </c>
      <c r="P564" s="62">
        <v>22137</v>
      </c>
      <c r="Q564" s="62">
        <v>24143</v>
      </c>
      <c r="R564" s="62">
        <v>25899</v>
      </c>
      <c r="S564" s="62">
        <v>30088</v>
      </c>
      <c r="T564" s="62">
        <v>30580</v>
      </c>
      <c r="U564" s="62">
        <v>31315</v>
      </c>
      <c r="V564" s="62">
        <v>32492</v>
      </c>
      <c r="W564" s="62">
        <v>34475</v>
      </c>
      <c r="X564" s="62">
        <v>36273</v>
      </c>
      <c r="Y564" s="62">
        <v>37363</v>
      </c>
      <c r="Z564" s="62">
        <v>41545</v>
      </c>
      <c r="AA564" s="62">
        <v>44671</v>
      </c>
      <c r="AB564" s="62">
        <v>45967</v>
      </c>
      <c r="AC564" s="62">
        <v>48073</v>
      </c>
      <c r="AD564" s="62">
        <v>51532</v>
      </c>
      <c r="AE564" s="62">
        <v>56966</v>
      </c>
      <c r="AF564" s="62">
        <v>55880</v>
      </c>
      <c r="AG564" s="62">
        <v>57446</v>
      </c>
      <c r="AH564" s="62">
        <v>57399</v>
      </c>
      <c r="AI564" s="62">
        <v>58594</v>
      </c>
      <c r="AJ564" s="62">
        <v>59106</v>
      </c>
      <c r="AK564" s="62">
        <v>59083</v>
      </c>
      <c r="AL564" s="62">
        <v>59928</v>
      </c>
      <c r="AM564" s="62">
        <v>60914</v>
      </c>
      <c r="AN564" s="62">
        <v>61309</v>
      </c>
      <c r="AO564" s="62">
        <v>61092</v>
      </c>
      <c r="AP564" s="62">
        <v>62686</v>
      </c>
      <c r="AQ564" s="62">
        <v>63679</v>
      </c>
      <c r="AR564" s="62">
        <v>61936</v>
      </c>
      <c r="AS564" s="62">
        <v>66226</v>
      </c>
      <c r="AT564" s="62">
        <v>68268</v>
      </c>
      <c r="AU564" s="62">
        <v>68689</v>
      </c>
      <c r="AV564" s="220">
        <v>69554</v>
      </c>
      <c r="AW564" s="62">
        <v>67229.99445021736</v>
      </c>
      <c r="AX564" s="62">
        <v>66997.137201208781</v>
      </c>
      <c r="AY564" s="62">
        <v>67172.874486260058</v>
      </c>
      <c r="AZ564" s="62">
        <v>67560.838307978483</v>
      </c>
      <c r="BA564" s="62">
        <v>67922.175709880656</v>
      </c>
      <c r="BB564" s="62">
        <v>68631.298371403565</v>
      </c>
      <c r="BC564" s="62">
        <v>69370.521307330244</v>
      </c>
      <c r="BD564" s="62">
        <v>70373.715238690929</v>
      </c>
      <c r="BE564" s="62">
        <v>71242.594888739957</v>
      </c>
      <c r="BF564" s="62">
        <v>72400.860276253225</v>
      </c>
      <c r="BG564" s="62">
        <v>73325.203263234798</v>
      </c>
      <c r="BH564" s="62">
        <v>74053.578425890053</v>
      </c>
      <c r="BI564" s="62">
        <v>76776.694014327833</v>
      </c>
      <c r="BJ564" s="62">
        <v>79862.981874785633</v>
      </c>
      <c r="BK564" s="62">
        <v>81299.427611486171</v>
      </c>
      <c r="BL564" s="62">
        <v>83299.985293920632</v>
      </c>
      <c r="BM564" s="62">
        <v>84534.850724477103</v>
      </c>
      <c r="BN564" s="62">
        <v>86053.499882832257</v>
      </c>
      <c r="BO564" s="62">
        <v>87323.950227264388</v>
      </c>
      <c r="BP564" s="62"/>
      <c r="BQ564" s="62">
        <v>3991</v>
      </c>
      <c r="BR564" s="62">
        <v>4866.0000000000009</v>
      </c>
      <c r="BS564" s="62">
        <v>5115</v>
      </c>
      <c r="BT564" s="62">
        <v>5747</v>
      </c>
      <c r="BU564" s="62">
        <v>6336</v>
      </c>
      <c r="BV564" s="62">
        <v>6993</v>
      </c>
      <c r="BW564" s="62">
        <v>7746</v>
      </c>
      <c r="BX564" s="62">
        <v>8284</v>
      </c>
      <c r="BY564" s="62">
        <v>8402</v>
      </c>
      <c r="BZ564" s="62">
        <v>8994</v>
      </c>
      <c r="CA564" s="62">
        <v>10042</v>
      </c>
      <c r="CB564" s="62">
        <v>10630</v>
      </c>
      <c r="CC564" s="62">
        <v>15853</v>
      </c>
      <c r="CD564" s="62">
        <v>16309</v>
      </c>
      <c r="CE564" s="62">
        <v>17573</v>
      </c>
      <c r="CF564" s="62">
        <v>19730</v>
      </c>
      <c r="CG564" s="62">
        <v>24143</v>
      </c>
      <c r="CH564" s="62">
        <v>30088</v>
      </c>
      <c r="CI564" s="62">
        <v>31315</v>
      </c>
      <c r="CJ564" s="62">
        <v>34475</v>
      </c>
      <c r="CK564" s="62">
        <v>37363</v>
      </c>
      <c r="CL564" s="62">
        <v>44671</v>
      </c>
      <c r="CM564" s="62">
        <v>48073</v>
      </c>
      <c r="CN564" s="62">
        <v>56966</v>
      </c>
      <c r="CO564" s="62">
        <v>57446</v>
      </c>
      <c r="CP564" s="62">
        <v>58594</v>
      </c>
      <c r="CQ564" s="62">
        <v>59083</v>
      </c>
      <c r="CR564" s="62">
        <v>60914</v>
      </c>
      <c r="CS564" s="62">
        <v>61092</v>
      </c>
      <c r="CT564" s="62">
        <v>63679</v>
      </c>
      <c r="CU564" s="62">
        <v>66226</v>
      </c>
      <c r="CV564" s="220">
        <v>68689</v>
      </c>
      <c r="CW564" s="62">
        <v>67229.99445021736</v>
      </c>
      <c r="CX564" s="62">
        <v>67172.874486260072</v>
      </c>
      <c r="CY564" s="62">
        <v>67922.175709880685</v>
      </c>
      <c r="CZ564" s="62">
        <v>69370.521307330288</v>
      </c>
      <c r="DA564" s="62">
        <v>71242.594888740015</v>
      </c>
      <c r="DB564" s="62">
        <v>73325.203263234871</v>
      </c>
      <c r="DC564" s="62">
        <v>76776.694014327921</v>
      </c>
      <c r="DD564" s="62">
        <v>81299.427611486259</v>
      </c>
      <c r="DE564" s="62">
        <v>84534.85072447719</v>
      </c>
      <c r="DF564" s="62">
        <v>87323.950227264475</v>
      </c>
    </row>
    <row r="565" spans="1:110" ht="12" outlineLevel="1">
      <c r="A565" s="1" t="s">
        <v>1030</v>
      </c>
      <c r="B565" s="80" t="s">
        <v>910</v>
      </c>
      <c r="C565" s="40">
        <v>0</v>
      </c>
      <c r="D565" s="40">
        <v>0</v>
      </c>
      <c r="E565" s="40">
        <v>0</v>
      </c>
      <c r="F565" s="40">
        <v>0</v>
      </c>
      <c r="G565" s="40">
        <v>0</v>
      </c>
      <c r="H565" s="40">
        <v>0</v>
      </c>
      <c r="I565" s="40">
        <v>0</v>
      </c>
      <c r="J565" s="40">
        <v>0</v>
      </c>
      <c r="K565" s="40">
        <v>0</v>
      </c>
      <c r="L565" s="40">
        <v>0</v>
      </c>
      <c r="M565" s="40">
        <v>0</v>
      </c>
      <c r="N565" s="40">
        <v>0</v>
      </c>
      <c r="O565" s="40">
        <v>1033</v>
      </c>
      <c r="P565" s="40">
        <v>981</v>
      </c>
      <c r="Q565" s="40">
        <v>2095</v>
      </c>
      <c r="R565" s="40">
        <v>2019</v>
      </c>
      <c r="S565" s="40">
        <v>1901</v>
      </c>
      <c r="T565" s="40">
        <v>3791</v>
      </c>
      <c r="U565" s="40">
        <v>3787</v>
      </c>
      <c r="V565" s="40">
        <v>3751</v>
      </c>
      <c r="W565" s="40">
        <v>5111</v>
      </c>
      <c r="X565" s="40">
        <v>5081</v>
      </c>
      <c r="Y565" s="40">
        <v>4390</v>
      </c>
      <c r="Z565" s="141">
        <v>5365</v>
      </c>
      <c r="AA565" s="141">
        <v>6401</v>
      </c>
      <c r="AB565" s="141">
        <v>7279</v>
      </c>
      <c r="AC565" s="141">
        <v>6825</v>
      </c>
      <c r="AD565" s="141">
        <v>7352</v>
      </c>
      <c r="AE565" s="141">
        <v>6958</v>
      </c>
      <c r="AF565" s="141">
        <v>6960</v>
      </c>
      <c r="AG565" s="141">
        <v>9018</v>
      </c>
      <c r="AH565" s="141">
        <v>7874</v>
      </c>
      <c r="AI565" s="141">
        <v>7988</v>
      </c>
      <c r="AJ565" s="141">
        <v>7418</v>
      </c>
      <c r="AK565" s="141">
        <v>7527</v>
      </c>
      <c r="AL565" s="141">
        <v>7547</v>
      </c>
      <c r="AM565" s="141">
        <v>7866</v>
      </c>
      <c r="AN565" s="141">
        <v>7964</v>
      </c>
      <c r="AO565" s="141">
        <v>7779</v>
      </c>
      <c r="AP565" s="141">
        <v>7645</v>
      </c>
      <c r="AQ565" s="141">
        <v>8114</v>
      </c>
      <c r="AR565" s="141">
        <v>7490</v>
      </c>
      <c r="AS565" s="141">
        <v>7686</v>
      </c>
      <c r="AT565" s="141">
        <v>8184</v>
      </c>
      <c r="AU565" s="141">
        <v>8232</v>
      </c>
      <c r="AV565" s="226">
        <v>8297</v>
      </c>
      <c r="AW565" s="210">
        <v>8297</v>
      </c>
      <c r="AX565" s="210">
        <v>8297</v>
      </c>
      <c r="AY565" s="210">
        <v>8297</v>
      </c>
      <c r="AZ565" s="210">
        <v>8297</v>
      </c>
      <c r="BA565" s="210">
        <v>8297</v>
      </c>
      <c r="BB565" s="210">
        <v>8297</v>
      </c>
      <c r="BC565" s="210">
        <v>8297</v>
      </c>
      <c r="BD565" s="210">
        <v>8297</v>
      </c>
      <c r="BE565" s="210">
        <v>8297</v>
      </c>
      <c r="BF565" s="210">
        <v>8297</v>
      </c>
      <c r="BG565" s="210">
        <v>8297</v>
      </c>
      <c r="BH565" s="210">
        <v>8297</v>
      </c>
      <c r="BI565" s="210">
        <v>8297</v>
      </c>
      <c r="BJ565" s="210">
        <v>8297</v>
      </c>
      <c r="BK565" s="210">
        <v>8297</v>
      </c>
      <c r="BL565" s="210">
        <v>8297</v>
      </c>
      <c r="BM565" s="210">
        <v>8297</v>
      </c>
      <c r="BN565" s="210">
        <v>8297</v>
      </c>
      <c r="BO565" s="210">
        <v>8297</v>
      </c>
      <c r="BP565" s="41"/>
      <c r="BQ565" s="40">
        <v>0</v>
      </c>
      <c r="BR565" s="40">
        <v>0</v>
      </c>
      <c r="BS565" s="40">
        <v>0</v>
      </c>
      <c r="BT565" s="40">
        <v>0</v>
      </c>
      <c r="BU565" s="40">
        <v>0</v>
      </c>
      <c r="BV565" s="40">
        <v>0</v>
      </c>
      <c r="BW565" s="40">
        <v>0</v>
      </c>
      <c r="BX565" s="40">
        <v>0</v>
      </c>
      <c r="BY565" s="40">
        <v>0</v>
      </c>
      <c r="BZ565" s="40">
        <v>0</v>
      </c>
      <c r="CA565" s="41">
        <v>0</v>
      </c>
      <c r="CB565" s="41">
        <v>0</v>
      </c>
      <c r="CC565" s="41">
        <v>0</v>
      </c>
      <c r="CD565" s="41">
        <v>0</v>
      </c>
      <c r="CE565" s="41">
        <v>0</v>
      </c>
      <c r="CF565" s="41">
        <v>1033</v>
      </c>
      <c r="CG565" s="41">
        <v>2095</v>
      </c>
      <c r="CH565" s="41">
        <v>1901</v>
      </c>
      <c r="CI565" s="41">
        <v>3787</v>
      </c>
      <c r="CJ565" s="41">
        <v>5111</v>
      </c>
      <c r="CK565" s="41">
        <v>4390</v>
      </c>
      <c r="CL565" s="41">
        <v>6401</v>
      </c>
      <c r="CM565" s="41">
        <v>6825</v>
      </c>
      <c r="CN565" s="41">
        <v>6958</v>
      </c>
      <c r="CO565" s="41">
        <v>9018</v>
      </c>
      <c r="CP565" s="41">
        <v>7988</v>
      </c>
      <c r="CQ565" s="41">
        <v>7527</v>
      </c>
      <c r="CR565" s="41">
        <v>7866</v>
      </c>
      <c r="CS565" s="41">
        <v>7779</v>
      </c>
      <c r="CT565" s="41">
        <v>8114</v>
      </c>
      <c r="CU565" s="41">
        <v>7686</v>
      </c>
      <c r="CV565" s="211">
        <v>8232</v>
      </c>
      <c r="CW565" s="41">
        <v>8297</v>
      </c>
      <c r="CX565" s="41">
        <v>8297</v>
      </c>
      <c r="CY565" s="41">
        <v>8297</v>
      </c>
      <c r="CZ565" s="41">
        <v>8297</v>
      </c>
      <c r="DA565" s="41">
        <v>8297</v>
      </c>
      <c r="DB565" s="41">
        <v>8297</v>
      </c>
      <c r="DC565" s="41">
        <v>8297</v>
      </c>
      <c r="DD565" s="41">
        <v>8297</v>
      </c>
      <c r="DE565" s="41">
        <v>8297</v>
      </c>
      <c r="DF565" s="41">
        <v>8297</v>
      </c>
    </row>
    <row r="566" spans="1:110" ht="12" outlineLevel="1">
      <c r="A566" s="1" t="s">
        <v>1031</v>
      </c>
      <c r="B566" s="80" t="s">
        <v>911</v>
      </c>
      <c r="C566" s="40">
        <v>1140</v>
      </c>
      <c r="D566" s="40">
        <v>1461</v>
      </c>
      <c r="E566" s="40">
        <v>1425</v>
      </c>
      <c r="F566" s="40">
        <v>1284</v>
      </c>
      <c r="G566" s="40">
        <v>2141</v>
      </c>
      <c r="H566" s="40">
        <v>2450</v>
      </c>
      <c r="I566" s="40">
        <v>2535</v>
      </c>
      <c r="J566" s="40">
        <v>3263</v>
      </c>
      <c r="K566" s="40">
        <v>3301</v>
      </c>
      <c r="L566" s="40">
        <v>3385</v>
      </c>
      <c r="M566" s="40">
        <v>3342</v>
      </c>
      <c r="N566" s="40">
        <v>3188</v>
      </c>
      <c r="O566" s="40">
        <v>3119</v>
      </c>
      <c r="P566" s="40">
        <v>3072</v>
      </c>
      <c r="Q566" s="40">
        <v>2847</v>
      </c>
      <c r="R566" s="40">
        <v>3076</v>
      </c>
      <c r="S566" s="40">
        <v>2122</v>
      </c>
      <c r="T566" s="40">
        <v>1690</v>
      </c>
      <c r="U566" s="40">
        <v>1646</v>
      </c>
      <c r="V566" s="40">
        <v>1597</v>
      </c>
      <c r="W566" s="40">
        <v>1641</v>
      </c>
      <c r="X566" s="40">
        <v>1592</v>
      </c>
      <c r="Y566" s="40">
        <v>1587</v>
      </c>
      <c r="Z566" s="141">
        <v>0</v>
      </c>
      <c r="AA566" s="141">
        <v>0</v>
      </c>
      <c r="AB566" s="141">
        <v>0</v>
      </c>
      <c r="AC566" s="141">
        <v>0</v>
      </c>
      <c r="AD566" s="141">
        <v>0</v>
      </c>
      <c r="AE566" s="141">
        <v>0</v>
      </c>
      <c r="AF566" s="141">
        <v>0</v>
      </c>
      <c r="AG566" s="141">
        <v>0</v>
      </c>
      <c r="AH566" s="141">
        <v>0</v>
      </c>
      <c r="AI566" s="141">
        <v>0</v>
      </c>
      <c r="AJ566" s="141">
        <v>0</v>
      </c>
      <c r="AK566" s="141">
        <v>0</v>
      </c>
      <c r="AL566" s="141">
        <v>0</v>
      </c>
      <c r="AM566" s="141">
        <v>0</v>
      </c>
      <c r="AN566" s="141">
        <v>0</v>
      </c>
      <c r="AO566" s="141">
        <v>0</v>
      </c>
      <c r="AP566" s="141">
        <v>0</v>
      </c>
      <c r="AQ566" s="141">
        <v>0</v>
      </c>
      <c r="AR566" s="141">
        <v>0</v>
      </c>
      <c r="AS566" s="141">
        <v>0</v>
      </c>
      <c r="AT566" s="141">
        <v>0</v>
      </c>
      <c r="AU566" s="141">
        <v>0</v>
      </c>
      <c r="AV566" s="226">
        <v>0</v>
      </c>
      <c r="AW566" s="210">
        <v>0</v>
      </c>
      <c r="AX566" s="210">
        <v>0</v>
      </c>
      <c r="AY566" s="210">
        <v>0</v>
      </c>
      <c r="AZ566" s="210">
        <v>0</v>
      </c>
      <c r="BA566" s="210">
        <v>0</v>
      </c>
      <c r="BB566" s="210">
        <v>0</v>
      </c>
      <c r="BC566" s="210">
        <v>0</v>
      </c>
      <c r="BD566" s="210">
        <v>0</v>
      </c>
      <c r="BE566" s="210">
        <v>0</v>
      </c>
      <c r="BF566" s="210">
        <v>0</v>
      </c>
      <c r="BG566" s="210">
        <v>0</v>
      </c>
      <c r="BH566" s="210">
        <v>0</v>
      </c>
      <c r="BI566" s="210">
        <v>0</v>
      </c>
      <c r="BJ566" s="210">
        <v>0</v>
      </c>
      <c r="BK566" s="210">
        <v>0</v>
      </c>
      <c r="BL566" s="210">
        <v>0</v>
      </c>
      <c r="BM566" s="210">
        <v>0</v>
      </c>
      <c r="BN566" s="210">
        <v>0</v>
      </c>
      <c r="BO566" s="210">
        <v>0</v>
      </c>
      <c r="BP566" s="41"/>
      <c r="BQ566" s="40">
        <v>0</v>
      </c>
      <c r="BR566" s="40">
        <v>0</v>
      </c>
      <c r="BS566" s="40">
        <v>0</v>
      </c>
      <c r="BT566" s="40">
        <v>0</v>
      </c>
      <c r="BU566" s="40">
        <v>0</v>
      </c>
      <c r="BV566" s="40">
        <v>0</v>
      </c>
      <c r="BW566" s="40">
        <v>0</v>
      </c>
      <c r="BX566" s="40">
        <v>0</v>
      </c>
      <c r="BY566" s="40">
        <v>0</v>
      </c>
      <c r="BZ566" s="40">
        <v>0</v>
      </c>
      <c r="CA566" s="41">
        <v>1425</v>
      </c>
      <c r="CB566" s="41">
        <v>2141</v>
      </c>
      <c r="CC566" s="41">
        <v>2535</v>
      </c>
      <c r="CD566" s="41">
        <v>3301</v>
      </c>
      <c r="CE566" s="41">
        <v>3342</v>
      </c>
      <c r="CF566" s="41">
        <v>3119</v>
      </c>
      <c r="CG566" s="41">
        <v>2847</v>
      </c>
      <c r="CH566" s="41">
        <v>2122</v>
      </c>
      <c r="CI566" s="41">
        <v>1646</v>
      </c>
      <c r="CJ566" s="41">
        <v>1641</v>
      </c>
      <c r="CK566" s="41">
        <v>1587</v>
      </c>
      <c r="CL566" s="41">
        <v>0</v>
      </c>
      <c r="CM566" s="41">
        <v>0</v>
      </c>
      <c r="CN566" s="41">
        <v>0</v>
      </c>
      <c r="CO566" s="41">
        <v>0</v>
      </c>
      <c r="CP566" s="41">
        <v>0</v>
      </c>
      <c r="CQ566" s="41">
        <v>0</v>
      </c>
      <c r="CR566" s="41">
        <v>0</v>
      </c>
      <c r="CS566" s="41">
        <v>0</v>
      </c>
      <c r="CT566" s="41">
        <v>0</v>
      </c>
      <c r="CU566" s="41">
        <v>0</v>
      </c>
      <c r="CV566" s="211">
        <v>0</v>
      </c>
      <c r="CW566" s="41">
        <v>0</v>
      </c>
      <c r="CX566" s="41">
        <v>0</v>
      </c>
      <c r="CY566" s="41">
        <v>0</v>
      </c>
      <c r="CZ566" s="41">
        <v>0</v>
      </c>
      <c r="DA566" s="41">
        <v>0</v>
      </c>
      <c r="DB566" s="41">
        <v>0</v>
      </c>
      <c r="DC566" s="41">
        <v>0</v>
      </c>
      <c r="DD566" s="41">
        <v>0</v>
      </c>
      <c r="DE566" s="41">
        <v>0</v>
      </c>
      <c r="DF566" s="41">
        <v>0</v>
      </c>
    </row>
    <row r="567" spans="1:110" ht="12" outlineLevel="1">
      <c r="A567" s="1" t="s">
        <v>1032</v>
      </c>
      <c r="B567" s="80" t="s">
        <v>527</v>
      </c>
      <c r="C567" s="40">
        <v>0</v>
      </c>
      <c r="D567" s="40">
        <v>0</v>
      </c>
      <c r="E567" s="40">
        <v>0</v>
      </c>
      <c r="F567" s="40">
        <v>0</v>
      </c>
      <c r="G567" s="40">
        <v>0</v>
      </c>
      <c r="H567" s="40">
        <v>0</v>
      </c>
      <c r="I567" s="40">
        <v>0</v>
      </c>
      <c r="J567" s="40">
        <v>0</v>
      </c>
      <c r="K567" s="40">
        <v>0</v>
      </c>
      <c r="L567" s="40">
        <v>0</v>
      </c>
      <c r="M567" s="40">
        <v>0</v>
      </c>
      <c r="N567" s="40">
        <v>0</v>
      </c>
      <c r="O567" s="40">
        <v>0</v>
      </c>
      <c r="P567" s="40">
        <v>0</v>
      </c>
      <c r="Q567" s="40">
        <v>0</v>
      </c>
      <c r="R567" s="40">
        <v>0</v>
      </c>
      <c r="S567" s="40">
        <v>0</v>
      </c>
      <c r="T567" s="40">
        <v>0</v>
      </c>
      <c r="U567" s="40">
        <v>0</v>
      </c>
      <c r="V567" s="40">
        <v>0</v>
      </c>
      <c r="W567" s="40">
        <v>0</v>
      </c>
      <c r="X567" s="40">
        <v>0</v>
      </c>
      <c r="Y567" s="40">
        <v>0</v>
      </c>
      <c r="Z567" s="141">
        <v>0</v>
      </c>
      <c r="AA567" s="141">
        <v>0</v>
      </c>
      <c r="AB567" s="141">
        <v>0</v>
      </c>
      <c r="AC567" s="141">
        <v>0</v>
      </c>
      <c r="AD567" s="141">
        <v>0</v>
      </c>
      <c r="AE567" s="141">
        <v>0</v>
      </c>
      <c r="AF567" s="141">
        <v>0</v>
      </c>
      <c r="AG567" s="141">
        <v>0</v>
      </c>
      <c r="AH567" s="141">
        <v>0</v>
      </c>
      <c r="AI567" s="141">
        <v>0</v>
      </c>
      <c r="AJ567" s="141">
        <v>0</v>
      </c>
      <c r="AK567" s="141">
        <v>0</v>
      </c>
      <c r="AL567" s="141">
        <v>0</v>
      </c>
      <c r="AM567" s="141">
        <v>0</v>
      </c>
      <c r="AN567" s="141">
        <v>0</v>
      </c>
      <c r="AO567" s="141">
        <v>0</v>
      </c>
      <c r="AP567" s="141">
        <v>0</v>
      </c>
      <c r="AQ567" s="141">
        <v>0</v>
      </c>
      <c r="AR567" s="141">
        <v>0</v>
      </c>
      <c r="AS567" s="141">
        <v>0</v>
      </c>
      <c r="AT567" s="141">
        <v>0</v>
      </c>
      <c r="AU567" s="141">
        <v>0</v>
      </c>
      <c r="AV567" s="226">
        <v>0</v>
      </c>
      <c r="AW567" s="41">
        <v>0</v>
      </c>
      <c r="AX567" s="41">
        <v>0</v>
      </c>
      <c r="AY567" s="41">
        <v>0</v>
      </c>
      <c r="AZ567" s="41">
        <v>0</v>
      </c>
      <c r="BA567" s="41">
        <v>0</v>
      </c>
      <c r="BB567" s="41">
        <v>0</v>
      </c>
      <c r="BC567" s="41">
        <v>0</v>
      </c>
      <c r="BD567" s="41">
        <v>0</v>
      </c>
      <c r="BE567" s="41">
        <v>0</v>
      </c>
      <c r="BF567" s="41">
        <v>0</v>
      </c>
      <c r="BG567" s="41">
        <v>0</v>
      </c>
      <c r="BH567" s="41">
        <v>0</v>
      </c>
      <c r="BI567" s="41">
        <v>0</v>
      </c>
      <c r="BJ567" s="41">
        <v>0</v>
      </c>
      <c r="BK567" s="41">
        <v>0</v>
      </c>
      <c r="BL567" s="41">
        <v>0</v>
      </c>
      <c r="BM567" s="41">
        <v>0</v>
      </c>
      <c r="BN567" s="41">
        <v>0</v>
      </c>
      <c r="BO567" s="41">
        <v>0</v>
      </c>
      <c r="BP567" s="41"/>
      <c r="BQ567" s="40">
        <v>0</v>
      </c>
      <c r="BR567" s="40">
        <v>0</v>
      </c>
      <c r="BS567" s="40">
        <v>0</v>
      </c>
      <c r="BT567" s="40">
        <v>0</v>
      </c>
      <c r="BU567" s="40">
        <v>0</v>
      </c>
      <c r="BV567" s="40">
        <v>0</v>
      </c>
      <c r="BW567" s="40">
        <v>0</v>
      </c>
      <c r="BX567" s="40">
        <v>0</v>
      </c>
      <c r="BY567" s="40">
        <v>0</v>
      </c>
      <c r="BZ567" s="40">
        <v>0</v>
      </c>
      <c r="CA567" s="41">
        <v>0</v>
      </c>
      <c r="CB567" s="41">
        <v>0</v>
      </c>
      <c r="CC567" s="41">
        <v>0</v>
      </c>
      <c r="CD567" s="41">
        <v>0</v>
      </c>
      <c r="CE567" s="41">
        <v>0</v>
      </c>
      <c r="CF567" s="41">
        <v>0</v>
      </c>
      <c r="CG567" s="41">
        <v>0</v>
      </c>
      <c r="CH567" s="41">
        <v>0</v>
      </c>
      <c r="CI567" s="41">
        <v>0</v>
      </c>
      <c r="CJ567" s="41">
        <v>0</v>
      </c>
      <c r="CK567" s="41">
        <v>0</v>
      </c>
      <c r="CL567" s="41">
        <v>0</v>
      </c>
      <c r="CM567" s="41">
        <v>0</v>
      </c>
      <c r="CN567" s="41">
        <v>0</v>
      </c>
      <c r="CO567" s="41">
        <v>0</v>
      </c>
      <c r="CP567" s="41">
        <v>0</v>
      </c>
      <c r="CQ567" s="41">
        <v>0</v>
      </c>
      <c r="CR567" s="41">
        <v>0</v>
      </c>
      <c r="CS567" s="41">
        <v>0</v>
      </c>
      <c r="CT567" s="41">
        <v>0</v>
      </c>
      <c r="CU567" s="41">
        <v>0</v>
      </c>
      <c r="CV567" s="211">
        <v>0</v>
      </c>
      <c r="CW567" s="41">
        <v>0</v>
      </c>
      <c r="CX567" s="41">
        <v>0</v>
      </c>
      <c r="CY567" s="41">
        <v>0</v>
      </c>
      <c r="CZ567" s="41">
        <v>0</v>
      </c>
      <c r="DA567" s="41">
        <v>0</v>
      </c>
      <c r="DB567" s="41">
        <v>0</v>
      </c>
      <c r="DC567" s="41">
        <v>0</v>
      </c>
      <c r="DD567" s="41">
        <v>0</v>
      </c>
      <c r="DE567" s="41">
        <v>0</v>
      </c>
      <c r="DF567" s="41">
        <v>0</v>
      </c>
    </row>
    <row r="568" spans="1:110" s="17" customFormat="1" ht="12" outlineLevel="1">
      <c r="A568" s="1" t="s">
        <v>1033</v>
      </c>
      <c r="B568" s="79" t="s">
        <v>636</v>
      </c>
      <c r="C568" s="62">
        <v>10165</v>
      </c>
      <c r="D568" s="62">
        <v>10854</v>
      </c>
      <c r="E568" s="62">
        <v>11467</v>
      </c>
      <c r="F568" s="62">
        <v>11779</v>
      </c>
      <c r="G568" s="62">
        <v>12771</v>
      </c>
      <c r="H568" s="62">
        <v>17192</v>
      </c>
      <c r="I568" s="62">
        <v>18388</v>
      </c>
      <c r="J568" s="62">
        <v>19136</v>
      </c>
      <c r="K568" s="62">
        <v>19610</v>
      </c>
      <c r="L568" s="62">
        <v>20293</v>
      </c>
      <c r="M568" s="62">
        <v>20915</v>
      </c>
      <c r="N568" s="62">
        <v>21978</v>
      </c>
      <c r="O568" s="62">
        <v>23882</v>
      </c>
      <c r="P568" s="62">
        <v>26190</v>
      </c>
      <c r="Q568" s="62">
        <v>29085</v>
      </c>
      <c r="R568" s="62">
        <v>30994</v>
      </c>
      <c r="S568" s="62">
        <v>34111</v>
      </c>
      <c r="T568" s="62">
        <v>36061</v>
      </c>
      <c r="U568" s="62">
        <v>36748</v>
      </c>
      <c r="V568" s="62">
        <v>37840</v>
      </c>
      <c r="W568" s="62">
        <v>41227</v>
      </c>
      <c r="X568" s="62">
        <v>42946</v>
      </c>
      <c r="Y568" s="62">
        <v>43340</v>
      </c>
      <c r="Z568" s="62">
        <v>46910</v>
      </c>
      <c r="AA568" s="62">
        <v>51072</v>
      </c>
      <c r="AB568" s="62">
        <v>53246</v>
      </c>
      <c r="AC568" s="62">
        <v>54898</v>
      </c>
      <c r="AD568" s="62">
        <v>58884</v>
      </c>
      <c r="AE568" s="62">
        <v>63924</v>
      </c>
      <c r="AF568" s="62">
        <v>62840</v>
      </c>
      <c r="AG568" s="62">
        <v>66464</v>
      </c>
      <c r="AH568" s="62">
        <v>65273</v>
      </c>
      <c r="AI568" s="62">
        <v>66582</v>
      </c>
      <c r="AJ568" s="62">
        <v>66524</v>
      </c>
      <c r="AK568" s="62">
        <v>66610</v>
      </c>
      <c r="AL568" s="62">
        <v>67475</v>
      </c>
      <c r="AM568" s="62">
        <v>68780</v>
      </c>
      <c r="AN568" s="62">
        <v>69273</v>
      </c>
      <c r="AO568" s="62">
        <v>68871</v>
      </c>
      <c r="AP568" s="62">
        <v>70331</v>
      </c>
      <c r="AQ568" s="62">
        <v>71793</v>
      </c>
      <c r="AR568" s="62">
        <v>69426</v>
      </c>
      <c r="AS568" s="62">
        <v>73912</v>
      </c>
      <c r="AT568" s="62">
        <v>76452</v>
      </c>
      <c r="AU568" s="62">
        <v>76921</v>
      </c>
      <c r="AV568" s="220">
        <v>77851</v>
      </c>
      <c r="AW568" s="62">
        <v>75526.99445021736</v>
      </c>
      <c r="AX568" s="62">
        <v>75294.137201208781</v>
      </c>
      <c r="AY568" s="62">
        <v>75469.874486260058</v>
      </c>
      <c r="AZ568" s="62">
        <v>75857.838307978483</v>
      </c>
      <c r="BA568" s="62">
        <v>76219.175709880656</v>
      </c>
      <c r="BB568" s="62">
        <v>76928.298371403565</v>
      </c>
      <c r="BC568" s="62">
        <v>77667.521307330244</v>
      </c>
      <c r="BD568" s="62">
        <v>78670.715238690929</v>
      </c>
      <c r="BE568" s="62">
        <v>79539.594888739957</v>
      </c>
      <c r="BF568" s="62">
        <v>80697.860276253225</v>
      </c>
      <c r="BG568" s="62">
        <v>81622.203263234798</v>
      </c>
      <c r="BH568" s="62">
        <v>82350.578425890053</v>
      </c>
      <c r="BI568" s="62">
        <v>85073.694014327833</v>
      </c>
      <c r="BJ568" s="62">
        <v>88159.981874785633</v>
      </c>
      <c r="BK568" s="62">
        <v>89596.427611486171</v>
      </c>
      <c r="BL568" s="62">
        <v>91596.985293920632</v>
      </c>
      <c r="BM568" s="62">
        <v>92831.850724477103</v>
      </c>
      <c r="BN568" s="62">
        <v>94350.499882832257</v>
      </c>
      <c r="BO568" s="62">
        <v>95620.950227264388</v>
      </c>
      <c r="BP568" s="62"/>
      <c r="BQ568" s="62">
        <v>3991</v>
      </c>
      <c r="BR568" s="62">
        <v>4866.0000000000009</v>
      </c>
      <c r="BS568" s="62">
        <v>5115</v>
      </c>
      <c r="BT568" s="62">
        <v>5747</v>
      </c>
      <c r="BU568" s="62">
        <v>6336</v>
      </c>
      <c r="BV568" s="62">
        <v>6993</v>
      </c>
      <c r="BW568" s="62">
        <v>7746</v>
      </c>
      <c r="BX568" s="62">
        <v>8284</v>
      </c>
      <c r="BY568" s="62">
        <v>8402</v>
      </c>
      <c r="BZ568" s="62">
        <v>8994</v>
      </c>
      <c r="CA568" s="62">
        <v>11467</v>
      </c>
      <c r="CB568" s="62">
        <v>12771</v>
      </c>
      <c r="CC568" s="62">
        <v>18388</v>
      </c>
      <c r="CD568" s="62">
        <v>19610</v>
      </c>
      <c r="CE568" s="62">
        <v>20915</v>
      </c>
      <c r="CF568" s="62">
        <v>23882</v>
      </c>
      <c r="CG568" s="62">
        <v>29085</v>
      </c>
      <c r="CH568" s="62">
        <v>34111</v>
      </c>
      <c r="CI568" s="62">
        <v>36748</v>
      </c>
      <c r="CJ568" s="62">
        <v>41227</v>
      </c>
      <c r="CK568" s="62">
        <v>43340</v>
      </c>
      <c r="CL568" s="62">
        <v>51072</v>
      </c>
      <c r="CM568" s="62">
        <v>54898</v>
      </c>
      <c r="CN568" s="62">
        <v>63924</v>
      </c>
      <c r="CO568" s="62">
        <v>66464</v>
      </c>
      <c r="CP568" s="62">
        <v>66582</v>
      </c>
      <c r="CQ568" s="62">
        <v>66610</v>
      </c>
      <c r="CR568" s="62">
        <v>68780</v>
      </c>
      <c r="CS568" s="62">
        <v>68871</v>
      </c>
      <c r="CT568" s="62">
        <v>71793</v>
      </c>
      <c r="CU568" s="62">
        <v>73912</v>
      </c>
      <c r="CV568" s="220">
        <v>76921</v>
      </c>
      <c r="CW568" s="62">
        <v>75526.99445021736</v>
      </c>
      <c r="CX568" s="62">
        <v>75469.874486260072</v>
      </c>
      <c r="CY568" s="62">
        <v>76219.175709880685</v>
      </c>
      <c r="CZ568" s="62">
        <v>77667.521307330288</v>
      </c>
      <c r="DA568" s="62">
        <v>79539.594888740015</v>
      </c>
      <c r="DB568" s="62">
        <v>81622.203263234871</v>
      </c>
      <c r="DC568" s="62">
        <v>85073.694014327921</v>
      </c>
      <c r="DD568" s="62">
        <v>89596.427611486259</v>
      </c>
      <c r="DE568" s="62">
        <v>92831.85072447719</v>
      </c>
      <c r="DF568" s="62">
        <v>95620.950227264475</v>
      </c>
    </row>
    <row r="569" spans="1:110" ht="12" outlineLevel="1">
      <c r="C569" s="41"/>
      <c r="D569" s="41"/>
      <c r="E569" s="41"/>
      <c r="F569" s="41"/>
      <c r="G569" s="41"/>
      <c r="H569" s="41"/>
      <c r="I569" s="41"/>
      <c r="J569" s="41"/>
      <c r="K569" s="41"/>
      <c r="L569" s="41"/>
      <c r="M569" s="41"/>
      <c r="N569" s="41"/>
      <c r="O569" s="41"/>
      <c r="P569" s="41"/>
      <c r="Q569" s="41"/>
      <c r="R569" s="41"/>
      <c r="S569" s="41"/>
      <c r="T569" s="41"/>
      <c r="U569" s="41"/>
      <c r="V569" s="41"/>
      <c r="W569" s="41"/>
      <c r="X569" s="41"/>
      <c r="Y569" s="41"/>
      <c r="Z569" s="41"/>
      <c r="AA569" s="41"/>
      <c r="AB569" s="41"/>
      <c r="AC569" s="41"/>
      <c r="AD569" s="41"/>
      <c r="AE569" s="41"/>
      <c r="AF569" s="41"/>
      <c r="AG569" s="41"/>
      <c r="AH569" s="41"/>
      <c r="AI569" s="41"/>
      <c r="AJ569" s="41"/>
      <c r="AK569" s="41"/>
      <c r="AL569" s="41"/>
      <c r="AM569" s="41"/>
      <c r="AN569" s="41"/>
      <c r="AO569" s="41"/>
      <c r="AP569" s="41"/>
      <c r="AQ569" s="41"/>
      <c r="AR569" s="41"/>
      <c r="AS569" s="41"/>
      <c r="AT569" s="41"/>
      <c r="AU569" s="41"/>
      <c r="AV569" s="211"/>
      <c r="AW569" s="41"/>
      <c r="AX569" s="41"/>
      <c r="AY569" s="41"/>
      <c r="AZ569" s="41"/>
      <c r="BA569" s="41"/>
      <c r="BB569" s="41"/>
      <c r="BC569" s="41"/>
      <c r="BD569" s="41"/>
      <c r="BE569" s="41"/>
      <c r="BF569" s="41"/>
      <c r="BG569" s="41"/>
      <c r="BH569" s="41"/>
      <c r="BI569" s="41"/>
      <c r="BJ569" s="41"/>
      <c r="BK569" s="41"/>
      <c r="BL569" s="41"/>
      <c r="BM569" s="41"/>
      <c r="BN569" s="41"/>
      <c r="BO569" s="41"/>
      <c r="BP569" s="41"/>
      <c r="BQ569" s="41"/>
      <c r="BR569" s="41"/>
      <c r="BS569" s="41"/>
      <c r="BT569" s="41"/>
      <c r="BU569" s="41"/>
      <c r="BV569" s="41"/>
      <c r="BW569" s="41"/>
      <c r="BX569" s="41"/>
      <c r="BY569" s="41"/>
      <c r="BZ569" s="41"/>
      <c r="CA569" s="41"/>
      <c r="CB569" s="41"/>
      <c r="CC569" s="41"/>
      <c r="CD569" s="41"/>
      <c r="CE569" s="41"/>
      <c r="CF569" s="41"/>
      <c r="CG569" s="41"/>
      <c r="CH569" s="41"/>
      <c r="CI569" s="41"/>
      <c r="CJ569" s="41"/>
      <c r="CK569" s="41"/>
      <c r="CL569" s="41"/>
      <c r="CM569" s="41"/>
      <c r="CN569" s="41"/>
      <c r="CO569" s="41"/>
      <c r="CP569" s="41"/>
      <c r="CQ569" s="41"/>
      <c r="CR569" s="41"/>
      <c r="CS569" s="41"/>
      <c r="CT569" s="41"/>
      <c r="CU569" s="41"/>
      <c r="CV569" s="211"/>
      <c r="CW569" s="41"/>
      <c r="CX569" s="41"/>
      <c r="CY569" s="41"/>
      <c r="CZ569" s="15"/>
      <c r="DA569" s="15"/>
      <c r="DB569" s="15"/>
      <c r="DC569" s="15"/>
      <c r="DD569" s="15"/>
      <c r="DE569" s="15"/>
      <c r="DF569" s="15"/>
    </row>
    <row r="570" spans="1:110" s="17" customFormat="1" ht="12" outlineLevel="1">
      <c r="A570" s="1"/>
      <c r="B570" s="79" t="s">
        <v>637</v>
      </c>
      <c r="C570" s="62"/>
      <c r="D570" s="62"/>
      <c r="E570" s="62"/>
      <c r="F570" s="62"/>
      <c r="G570" s="62"/>
      <c r="H570" s="62"/>
      <c r="I570" s="62"/>
      <c r="J570" s="62"/>
      <c r="K570" s="62"/>
      <c r="L570" s="62"/>
      <c r="M570" s="62"/>
      <c r="N570" s="62"/>
      <c r="O570" s="62"/>
      <c r="P570" s="62"/>
      <c r="Q570" s="62"/>
      <c r="R570" s="62"/>
      <c r="S570" s="62"/>
      <c r="T570" s="62"/>
      <c r="U570" s="62"/>
      <c r="V570" s="62"/>
      <c r="W570" s="62"/>
      <c r="X570" s="62"/>
      <c r="Y570" s="62"/>
      <c r="Z570" s="62"/>
      <c r="AA570" s="62"/>
      <c r="AB570" s="62"/>
      <c r="AC570" s="62"/>
      <c r="AD570" s="62"/>
      <c r="AE570" s="62"/>
      <c r="AF570" s="62"/>
      <c r="AG570" s="62"/>
      <c r="AH570" s="62"/>
      <c r="AI570" s="62"/>
      <c r="AJ570" s="37"/>
      <c r="AK570" s="37"/>
      <c r="AL570" s="37"/>
      <c r="AM570" s="37"/>
      <c r="AN570" s="37"/>
      <c r="AO570" s="37"/>
      <c r="AP570" s="37"/>
      <c r="AQ570" s="37"/>
      <c r="AR570" s="37"/>
      <c r="AS570" s="37"/>
      <c r="AT570" s="37"/>
      <c r="AU570" s="37"/>
      <c r="AV570" s="36"/>
      <c r="AW570" s="62"/>
      <c r="AX570" s="62"/>
      <c r="AY570" s="62"/>
      <c r="AZ570" s="62"/>
      <c r="BA570" s="62"/>
      <c r="BB570" s="62"/>
      <c r="BC570" s="62"/>
      <c r="BD570" s="62"/>
      <c r="BE570" s="62"/>
      <c r="BF570" s="62"/>
      <c r="BG570" s="62"/>
      <c r="BH570" s="62"/>
      <c r="BI570" s="62"/>
      <c r="BJ570" s="62"/>
      <c r="BK570" s="62"/>
      <c r="BL570" s="62"/>
      <c r="BM570" s="62"/>
      <c r="BN570" s="62"/>
      <c r="BO570" s="62"/>
      <c r="BP570" s="62"/>
      <c r="BQ570" s="62"/>
      <c r="BR570" s="62"/>
      <c r="BS570" s="62"/>
      <c r="BT570" s="62"/>
      <c r="BU570" s="62"/>
      <c r="BV570" s="62"/>
      <c r="BW570" s="62"/>
      <c r="BX570" s="62"/>
      <c r="BY570" s="62"/>
      <c r="BZ570" s="62"/>
      <c r="CA570" s="62"/>
      <c r="CB570" s="62"/>
      <c r="CC570" s="62"/>
      <c r="CD570" s="62"/>
      <c r="CE570" s="62"/>
      <c r="CF570" s="62"/>
      <c r="CG570" s="62"/>
      <c r="CH570" s="62"/>
      <c r="CI570" s="62"/>
      <c r="CJ570" s="62"/>
      <c r="CK570" s="62"/>
      <c r="CL570" s="62"/>
      <c r="CM570" s="62"/>
      <c r="CN570" s="62"/>
      <c r="CO570" s="62"/>
      <c r="CP570" s="62"/>
      <c r="CQ570" s="62"/>
      <c r="CR570" s="62"/>
      <c r="CS570" s="62"/>
      <c r="CT570" s="62"/>
      <c r="CU570" s="62"/>
      <c r="CV570" s="220"/>
      <c r="CW570" s="62"/>
      <c r="CX570" s="62"/>
      <c r="CY570" s="62"/>
    </row>
    <row r="571" spans="1:110" ht="12" outlineLevel="1">
      <c r="A571" s="1" t="s">
        <v>1034</v>
      </c>
      <c r="B571" s="15" t="s">
        <v>368</v>
      </c>
      <c r="C571" s="40">
        <v>-115</v>
      </c>
      <c r="D571" s="40">
        <v>-165</v>
      </c>
      <c r="E571" s="40">
        <v>-158</v>
      </c>
      <c r="F571" s="40">
        <v>-151</v>
      </c>
      <c r="G571" s="40">
        <v>-1044</v>
      </c>
      <c r="H571" s="40">
        <v>-4096</v>
      </c>
      <c r="I571" s="40">
        <v>-4170</v>
      </c>
      <c r="J571" s="40">
        <v>-4007</v>
      </c>
      <c r="K571" s="40">
        <v>-3902</v>
      </c>
      <c r="L571" s="40">
        <v>-3943</v>
      </c>
      <c r="M571" s="40">
        <v>-3996</v>
      </c>
      <c r="N571" s="40">
        <v>-4831</v>
      </c>
      <c r="O571" s="40">
        <v>-4911</v>
      </c>
      <c r="P571" s="40">
        <v>-4972</v>
      </c>
      <c r="Q571" s="40">
        <v>-4889</v>
      </c>
      <c r="R571" s="40">
        <v>-3093</v>
      </c>
      <c r="S571" s="40">
        <v>-3047</v>
      </c>
      <c r="T571" s="40">
        <v>-4833</v>
      </c>
      <c r="U571" s="40">
        <v>-4995</v>
      </c>
      <c r="V571" s="40">
        <v>-4914</v>
      </c>
      <c r="W571" s="40">
        <v>-5098</v>
      </c>
      <c r="X571" s="40">
        <v>-5088</v>
      </c>
      <c r="Y571" s="40">
        <v>-5126</v>
      </c>
      <c r="Z571" s="141">
        <v>-5792</v>
      </c>
      <c r="AA571" s="141">
        <v>-6066</v>
      </c>
      <c r="AB571" s="141">
        <v>-6233</v>
      </c>
      <c r="AC571" s="141">
        <v>-6091</v>
      </c>
      <c r="AD571" s="141">
        <v>-6486</v>
      </c>
      <c r="AE571" s="141">
        <v>-6202</v>
      </c>
      <c r="AF571" s="141">
        <v>-5858</v>
      </c>
      <c r="AG571" s="141">
        <v>-6016</v>
      </c>
      <c r="AH571" s="141">
        <v>-5631</v>
      </c>
      <c r="AI571" s="141">
        <v>-5653</v>
      </c>
      <c r="AJ571" s="141">
        <v>-5272</v>
      </c>
      <c r="AK571" s="141">
        <v>-5405</v>
      </c>
      <c r="AL571" s="141">
        <v>-5359</v>
      </c>
      <c r="AM571" s="141">
        <v>-4328</v>
      </c>
      <c r="AN571" s="141">
        <v>-3700</v>
      </c>
      <c r="AO571" s="141">
        <v>-3340</v>
      </c>
      <c r="AP571" s="141">
        <v>-3062</v>
      </c>
      <c r="AQ571" s="141">
        <v>-3164</v>
      </c>
      <c r="AR571" s="141">
        <v>-3144</v>
      </c>
      <c r="AS571" s="141">
        <v>-2981</v>
      </c>
      <c r="AT571" s="141">
        <v>-3065</v>
      </c>
      <c r="AU571" s="141">
        <v>-3048</v>
      </c>
      <c r="AV571" s="226">
        <v>-3005</v>
      </c>
      <c r="AW571" s="41">
        <v>-3005</v>
      </c>
      <c r="AX571" s="41">
        <v>-3005</v>
      </c>
      <c r="AY571" s="41">
        <v>-3005</v>
      </c>
      <c r="AZ571" s="41">
        <v>-3005</v>
      </c>
      <c r="BA571" s="41">
        <v>-3005</v>
      </c>
      <c r="BB571" s="41">
        <v>-3005</v>
      </c>
      <c r="BC571" s="41">
        <v>-3005</v>
      </c>
      <c r="BD571" s="41">
        <v>-3005</v>
      </c>
      <c r="BE571" s="41">
        <v>-3005</v>
      </c>
      <c r="BF571" s="41">
        <v>-3005</v>
      </c>
      <c r="BG571" s="41">
        <v>-3005</v>
      </c>
      <c r="BH571" s="41">
        <v>-3005</v>
      </c>
      <c r="BI571" s="41">
        <v>-3005</v>
      </c>
      <c r="BJ571" s="41">
        <v>-3005</v>
      </c>
      <c r="BK571" s="41">
        <v>-3005</v>
      </c>
      <c r="BL571" s="41">
        <v>-3005</v>
      </c>
      <c r="BM571" s="41">
        <v>-3005</v>
      </c>
      <c r="BN571" s="41">
        <v>-3005</v>
      </c>
      <c r="BO571" s="41">
        <v>-3005</v>
      </c>
      <c r="BP571" s="41"/>
      <c r="BQ571" s="40">
        <v>0</v>
      </c>
      <c r="BR571" s="40">
        <v>0</v>
      </c>
      <c r="BS571" s="40">
        <v>-4</v>
      </c>
      <c r="BT571" s="40">
        <v>-8</v>
      </c>
      <c r="BU571" s="40">
        <v>-17</v>
      </c>
      <c r="BV571" s="40">
        <v>-21</v>
      </c>
      <c r="BW571" s="40">
        <v>-18</v>
      </c>
      <c r="BX571" s="40">
        <v>-82</v>
      </c>
      <c r="BY571" s="40">
        <v>-118</v>
      </c>
      <c r="BZ571" s="40">
        <v>-115</v>
      </c>
      <c r="CA571" s="41">
        <v>-158</v>
      </c>
      <c r="CB571" s="41">
        <v>-1044</v>
      </c>
      <c r="CC571" s="41">
        <v>-4170</v>
      </c>
      <c r="CD571" s="41">
        <v>-3902</v>
      </c>
      <c r="CE571" s="41">
        <v>-3996</v>
      </c>
      <c r="CF571" s="41">
        <v>-4911</v>
      </c>
      <c r="CG571" s="41">
        <v>-4889</v>
      </c>
      <c r="CH571" s="41">
        <v>-3047</v>
      </c>
      <c r="CI571" s="41">
        <v>-4995</v>
      </c>
      <c r="CJ571" s="41">
        <v>-5098</v>
      </c>
      <c r="CK571" s="41">
        <v>-5126</v>
      </c>
      <c r="CL571" s="41">
        <v>-6066</v>
      </c>
      <c r="CM571" s="41">
        <v>-6091</v>
      </c>
      <c r="CN571" s="41">
        <v>-6202</v>
      </c>
      <c r="CO571" s="41">
        <v>-6016</v>
      </c>
      <c r="CP571" s="41">
        <v>-5653</v>
      </c>
      <c r="CQ571" s="41">
        <v>-5405</v>
      </c>
      <c r="CR571" s="41">
        <v>-4328</v>
      </c>
      <c r="CS571" s="41">
        <v>-3340</v>
      </c>
      <c r="CT571" s="41">
        <v>-3164</v>
      </c>
      <c r="CU571" s="41">
        <v>-2981</v>
      </c>
      <c r="CV571" s="211">
        <v>-3048</v>
      </c>
      <c r="CW571" s="41">
        <v>-3005</v>
      </c>
      <c r="CX571" s="41">
        <v>-3005</v>
      </c>
      <c r="CY571" s="41">
        <v>-3005</v>
      </c>
      <c r="CZ571" s="41">
        <v>-3005</v>
      </c>
      <c r="DA571" s="41">
        <v>-3005</v>
      </c>
      <c r="DB571" s="41">
        <v>-3005</v>
      </c>
      <c r="DC571" s="41">
        <v>-3005</v>
      </c>
      <c r="DD571" s="41">
        <v>-3005</v>
      </c>
      <c r="DE571" s="41">
        <v>-3005</v>
      </c>
      <c r="DF571" s="41">
        <v>-3005</v>
      </c>
    </row>
    <row r="572" spans="1:110" ht="12" outlineLevel="1">
      <c r="A572" s="1" t="s">
        <v>1035</v>
      </c>
      <c r="B572" s="15" t="s">
        <v>369</v>
      </c>
      <c r="C572" s="40">
        <v>0</v>
      </c>
      <c r="D572" s="40">
        <v>0</v>
      </c>
      <c r="E572" s="40">
        <v>0</v>
      </c>
      <c r="F572" s="40">
        <v>0</v>
      </c>
      <c r="G572" s="40">
        <v>0</v>
      </c>
      <c r="H572" s="40">
        <v>0</v>
      </c>
      <c r="I572" s="40">
        <v>0</v>
      </c>
      <c r="J572" s="40">
        <v>0</v>
      </c>
      <c r="K572" s="40">
        <v>0</v>
      </c>
      <c r="L572" s="40">
        <v>0</v>
      </c>
      <c r="M572" s="40">
        <v>-397</v>
      </c>
      <c r="N572" s="40">
        <v>-425</v>
      </c>
      <c r="O572" s="40">
        <v>-462</v>
      </c>
      <c r="P572" s="40">
        <v>-509</v>
      </c>
      <c r="Q572" s="40">
        <v>-625</v>
      </c>
      <c r="R572" s="40">
        <v>-723</v>
      </c>
      <c r="S572" s="40">
        <v>-849</v>
      </c>
      <c r="T572" s="40">
        <v>-960</v>
      </c>
      <c r="U572" s="40">
        <v>-1127</v>
      </c>
      <c r="V572" s="40">
        <v>-1263</v>
      </c>
      <c r="W572" s="40">
        <v>-1490</v>
      </c>
      <c r="X572" s="40">
        <v>-1660</v>
      </c>
      <c r="Y572" s="40">
        <v>-1702</v>
      </c>
      <c r="Z572" s="141">
        <v>-1800</v>
      </c>
      <c r="AA572" s="141">
        <v>-2102</v>
      </c>
      <c r="AB572" s="141">
        <v>-2252</v>
      </c>
      <c r="AC572" s="141">
        <v>-2401</v>
      </c>
      <c r="AD572" s="141">
        <v>-2631</v>
      </c>
      <c r="AE572" s="141">
        <v>-2832</v>
      </c>
      <c r="AF572" s="141">
        <v>-2190</v>
      </c>
      <c r="AG572" s="141">
        <v>-2139</v>
      </c>
      <c r="AH572" s="141">
        <v>-1887</v>
      </c>
      <c r="AI572" s="141">
        <v>-1826</v>
      </c>
      <c r="AJ572" s="141">
        <v>-1745</v>
      </c>
      <c r="AK572" s="141">
        <v>-1421</v>
      </c>
      <c r="AL572" s="141">
        <v>-1360</v>
      </c>
      <c r="AM572" s="141">
        <v>-1322</v>
      </c>
      <c r="AN572" s="141">
        <v>-1263</v>
      </c>
      <c r="AO572" s="141">
        <v>-1039</v>
      </c>
      <c r="AP572" s="141">
        <v>-961</v>
      </c>
      <c r="AQ572" s="141">
        <v>-960</v>
      </c>
      <c r="AR572" s="141">
        <v>-924</v>
      </c>
      <c r="AS572" s="141">
        <v>-896</v>
      </c>
      <c r="AT572" s="141">
        <v>-868</v>
      </c>
      <c r="AU572" s="141">
        <v>-913</v>
      </c>
      <c r="AV572" s="226">
        <v>-902</v>
      </c>
      <c r="AW572" s="210">
        <v>-949.89407594936711</v>
      </c>
      <c r="AX572" s="210">
        <v>-954.85698813443423</v>
      </c>
      <c r="AY572" s="210">
        <v>-968.74201171418497</v>
      </c>
      <c r="AZ572" s="210">
        <v>-982.14268254051353</v>
      </c>
      <c r="BA572" s="210">
        <v>-993.74300632146139</v>
      </c>
      <c r="BB572" s="210">
        <v>-1006.0955890937462</v>
      </c>
      <c r="BC572" s="210">
        <v>-1017.4220219554087</v>
      </c>
      <c r="BD572" s="210">
        <v>-1029.443684449895</v>
      </c>
      <c r="BE572" s="210">
        <v>-1041.5548597203042</v>
      </c>
      <c r="BF572" s="210">
        <v>-1054.532276832266</v>
      </c>
      <c r="BG572" s="210">
        <v>-1066.7127606060956</v>
      </c>
      <c r="BH572" s="210">
        <v>-1081.8201349236435</v>
      </c>
      <c r="BI572" s="210">
        <v>-1094.4446778066711</v>
      </c>
      <c r="BJ572" s="210">
        <v>-1110.6000649556943</v>
      </c>
      <c r="BK572" s="210">
        <v>-1127.6771874098206</v>
      </c>
      <c r="BL572" s="210">
        <v>-1147.2681129281907</v>
      </c>
      <c r="BM572" s="210">
        <v>-1169.2480424905409</v>
      </c>
      <c r="BN572" s="210">
        <v>-1192.1055283503015</v>
      </c>
      <c r="BO572" s="210">
        <v>-1214.6332815451383</v>
      </c>
      <c r="BP572" s="41"/>
      <c r="BQ572" s="40">
        <v>0</v>
      </c>
      <c r="BR572" s="40">
        <v>0</v>
      </c>
      <c r="BS572" s="40">
        <v>0</v>
      </c>
      <c r="BT572" s="40">
        <v>0</v>
      </c>
      <c r="BU572" s="40">
        <v>0</v>
      </c>
      <c r="BV572" s="40">
        <v>0</v>
      </c>
      <c r="BW572" s="40">
        <v>0</v>
      </c>
      <c r="BX572" s="40">
        <v>0</v>
      </c>
      <c r="BY572" s="40">
        <v>0</v>
      </c>
      <c r="BZ572" s="40">
        <v>0</v>
      </c>
      <c r="CA572" s="41">
        <v>0</v>
      </c>
      <c r="CB572" s="41">
        <v>0</v>
      </c>
      <c r="CC572" s="41">
        <v>0</v>
      </c>
      <c r="CD572" s="41">
        <v>0</v>
      </c>
      <c r="CE572" s="41">
        <v>-397</v>
      </c>
      <c r="CF572" s="41">
        <v>-462</v>
      </c>
      <c r="CG572" s="41">
        <v>-625</v>
      </c>
      <c r="CH572" s="41">
        <v>-849</v>
      </c>
      <c r="CI572" s="41">
        <v>-1127</v>
      </c>
      <c r="CJ572" s="41">
        <v>-1490</v>
      </c>
      <c r="CK572" s="41">
        <v>-1702</v>
      </c>
      <c r="CL572" s="41">
        <v>-2102</v>
      </c>
      <c r="CM572" s="41">
        <v>-2401</v>
      </c>
      <c r="CN572" s="41">
        <v>-2832</v>
      </c>
      <c r="CO572" s="41">
        <v>-2139</v>
      </c>
      <c r="CP572" s="41">
        <v>-1826</v>
      </c>
      <c r="CQ572" s="41">
        <v>-1421</v>
      </c>
      <c r="CR572" s="41">
        <v>-1322</v>
      </c>
      <c r="CS572" s="41">
        <v>-1039</v>
      </c>
      <c r="CT572" s="41">
        <v>-960</v>
      </c>
      <c r="CU572" s="41">
        <v>-896</v>
      </c>
      <c r="CV572" s="211">
        <v>-913</v>
      </c>
      <c r="CW572" s="41">
        <v>-949.89407594936711</v>
      </c>
      <c r="CX572" s="41">
        <v>-968.74201171418497</v>
      </c>
      <c r="CY572" s="41">
        <v>-993.74300632146139</v>
      </c>
      <c r="CZ572" s="41">
        <v>-1017.4220219554087</v>
      </c>
      <c r="DA572" s="41">
        <v>-1041.5548597203042</v>
      </c>
      <c r="DB572" s="41">
        <v>-1066.7127606060956</v>
      </c>
      <c r="DC572" s="41">
        <v>-1094.4446778066711</v>
      </c>
      <c r="DD572" s="41">
        <v>-1127.6771874098206</v>
      </c>
      <c r="DE572" s="41">
        <v>-1169.2480424905409</v>
      </c>
      <c r="DF572" s="41">
        <v>-1214.6332815451383</v>
      </c>
    </row>
    <row r="573" spans="1:110" ht="12" outlineLevel="1">
      <c r="A573" s="1" t="s">
        <v>1036</v>
      </c>
      <c r="B573" s="15" t="s">
        <v>302</v>
      </c>
      <c r="C573" s="40">
        <v>0</v>
      </c>
      <c r="D573" s="40">
        <v>0</v>
      </c>
      <c r="E573" s="40">
        <v>0</v>
      </c>
      <c r="F573" s="40">
        <v>0</v>
      </c>
      <c r="G573" s="40">
        <v>0</v>
      </c>
      <c r="H573" s="40">
        <v>0</v>
      </c>
      <c r="I573" s="40">
        <v>-465</v>
      </c>
      <c r="J573" s="40">
        <v>-492</v>
      </c>
      <c r="K573" s="40">
        <v>-524</v>
      </c>
      <c r="L573" s="40">
        <v>-534</v>
      </c>
      <c r="M573" s="40">
        <v>-569</v>
      </c>
      <c r="N573" s="40">
        <v>-575</v>
      </c>
      <c r="O573" s="40">
        <v>-602</v>
      </c>
      <c r="P573" s="40">
        <v>-619</v>
      </c>
      <c r="Q573" s="40">
        <v>-642</v>
      </c>
      <c r="R573" s="40">
        <v>-643</v>
      </c>
      <c r="S573" s="40">
        <v>-602</v>
      </c>
      <c r="T573" s="40">
        <v>-617</v>
      </c>
      <c r="U573" s="40">
        <v>-655</v>
      </c>
      <c r="V573" s="40">
        <v>-666</v>
      </c>
      <c r="W573" s="40">
        <v>-688</v>
      </c>
      <c r="X573" s="40">
        <v>-761</v>
      </c>
      <c r="Y573" s="40">
        <v>-850</v>
      </c>
      <c r="Z573" s="141">
        <v>-884</v>
      </c>
      <c r="AA573" s="141">
        <v>-979</v>
      </c>
      <c r="AB573" s="141">
        <v>-1058</v>
      </c>
      <c r="AC573" s="141">
        <v>-1099</v>
      </c>
      <c r="AD573" s="141">
        <v>-1197</v>
      </c>
      <c r="AE573" s="141">
        <v>-1320</v>
      </c>
      <c r="AF573" s="141">
        <v>-1078</v>
      </c>
      <c r="AG573" s="141">
        <v>-1148</v>
      </c>
      <c r="AH573" s="141">
        <v>-1129</v>
      </c>
      <c r="AI573" s="141">
        <v>-1149</v>
      </c>
      <c r="AJ573" s="141">
        <v>-1133</v>
      </c>
      <c r="AK573" s="141">
        <v>-1077</v>
      </c>
      <c r="AL573" s="141">
        <v>-1019</v>
      </c>
      <c r="AM573" s="141">
        <v>-1178</v>
      </c>
      <c r="AN573" s="141">
        <v>-1225</v>
      </c>
      <c r="AO573" s="141">
        <v>-1316</v>
      </c>
      <c r="AP573" s="141">
        <v>-1431</v>
      </c>
      <c r="AQ573" s="141">
        <v>-1495</v>
      </c>
      <c r="AR573" s="141">
        <v>-1548</v>
      </c>
      <c r="AS573" s="141">
        <v>-1625</v>
      </c>
      <c r="AT573" s="141">
        <v>-1874</v>
      </c>
      <c r="AU573" s="141">
        <v>-2099</v>
      </c>
      <c r="AV573" s="226">
        <v>-2240</v>
      </c>
      <c r="AW573" s="210">
        <v>-2240</v>
      </c>
      <c r="AX573" s="210">
        <v>-2240</v>
      </c>
      <c r="AY573" s="210">
        <v>-2240</v>
      </c>
      <c r="AZ573" s="210">
        <v>-2240</v>
      </c>
      <c r="BA573" s="210">
        <v>-2240</v>
      </c>
      <c r="BB573" s="210">
        <v>-2240</v>
      </c>
      <c r="BC573" s="210">
        <v>-2240</v>
      </c>
      <c r="BD573" s="210">
        <v>-2240</v>
      </c>
      <c r="BE573" s="210">
        <v>-2240</v>
      </c>
      <c r="BF573" s="210">
        <v>-2240</v>
      </c>
      <c r="BG573" s="210">
        <v>-2240</v>
      </c>
      <c r="BH573" s="210">
        <v>-2240</v>
      </c>
      <c r="BI573" s="210">
        <v>-2240</v>
      </c>
      <c r="BJ573" s="210">
        <v>-2240</v>
      </c>
      <c r="BK573" s="210">
        <v>-2240</v>
      </c>
      <c r="BL573" s="210">
        <v>-2240</v>
      </c>
      <c r="BM573" s="210">
        <v>-2240</v>
      </c>
      <c r="BN573" s="210">
        <v>-2240</v>
      </c>
      <c r="BO573" s="210">
        <v>-2240</v>
      </c>
      <c r="BP573" s="41"/>
      <c r="BQ573" s="40">
        <v>0</v>
      </c>
      <c r="BR573" s="40">
        <v>0</v>
      </c>
      <c r="BS573" s="40">
        <v>0</v>
      </c>
      <c r="BT573" s="40">
        <v>0</v>
      </c>
      <c r="BU573" s="40">
        <v>0</v>
      </c>
      <c r="BV573" s="40">
        <v>0</v>
      </c>
      <c r="BW573" s="40">
        <v>0</v>
      </c>
      <c r="BX573" s="40">
        <v>0</v>
      </c>
      <c r="BY573" s="40">
        <v>0</v>
      </c>
      <c r="BZ573" s="40">
        <v>0</v>
      </c>
      <c r="CA573" s="41">
        <v>0</v>
      </c>
      <c r="CB573" s="41">
        <v>0</v>
      </c>
      <c r="CC573" s="41">
        <v>-465</v>
      </c>
      <c r="CD573" s="41">
        <v>-524</v>
      </c>
      <c r="CE573" s="41">
        <v>-569</v>
      </c>
      <c r="CF573" s="41">
        <v>-602</v>
      </c>
      <c r="CG573" s="41">
        <v>-642</v>
      </c>
      <c r="CH573" s="41">
        <v>-602</v>
      </c>
      <c r="CI573" s="41">
        <v>-655</v>
      </c>
      <c r="CJ573" s="41">
        <v>-688</v>
      </c>
      <c r="CK573" s="41">
        <v>-850</v>
      </c>
      <c r="CL573" s="41">
        <v>-979</v>
      </c>
      <c r="CM573" s="41">
        <v>-1099</v>
      </c>
      <c r="CN573" s="41">
        <v>-1320</v>
      </c>
      <c r="CO573" s="41">
        <v>-1148</v>
      </c>
      <c r="CP573" s="41">
        <v>-1149</v>
      </c>
      <c r="CQ573" s="41">
        <v>-1077</v>
      </c>
      <c r="CR573" s="41">
        <v>-1178</v>
      </c>
      <c r="CS573" s="41">
        <v>-1316</v>
      </c>
      <c r="CT573" s="41">
        <v>-1495</v>
      </c>
      <c r="CU573" s="41">
        <v>-1625</v>
      </c>
      <c r="CV573" s="211">
        <v>-2099</v>
      </c>
      <c r="CW573" s="41">
        <v>-2240</v>
      </c>
      <c r="CX573" s="41">
        <v>-2240</v>
      </c>
      <c r="CY573" s="41">
        <v>-2240</v>
      </c>
      <c r="CZ573" s="41">
        <v>-2240</v>
      </c>
      <c r="DA573" s="41">
        <v>-2240</v>
      </c>
      <c r="DB573" s="41">
        <v>-2240</v>
      </c>
      <c r="DC573" s="41">
        <v>-2240</v>
      </c>
      <c r="DD573" s="41">
        <v>-2240</v>
      </c>
      <c r="DE573" s="41">
        <v>-2240</v>
      </c>
      <c r="DF573" s="41">
        <v>-2240</v>
      </c>
    </row>
    <row r="574" spans="1:110" ht="12" outlineLevel="1">
      <c r="A574" s="1" t="s">
        <v>1037</v>
      </c>
      <c r="B574" s="15" t="s">
        <v>303</v>
      </c>
      <c r="C574" s="40">
        <v>0</v>
      </c>
      <c r="D574" s="40">
        <v>0</v>
      </c>
      <c r="E574" s="40">
        <v>0</v>
      </c>
      <c r="F574" s="40">
        <v>0</v>
      </c>
      <c r="G574" s="40">
        <v>0</v>
      </c>
      <c r="H574" s="40">
        <v>0</v>
      </c>
      <c r="I574" s="40">
        <v>0</v>
      </c>
      <c r="J574" s="40">
        <v>0</v>
      </c>
      <c r="K574" s="40">
        <v>0</v>
      </c>
      <c r="L574" s="40">
        <v>0</v>
      </c>
      <c r="M574" s="40">
        <v>-290</v>
      </c>
      <c r="N574" s="40">
        <v>-85</v>
      </c>
      <c r="O574" s="40">
        <v>-57</v>
      </c>
      <c r="P574" s="40">
        <v>-103</v>
      </c>
      <c r="Q574" s="40">
        <v>-92</v>
      </c>
      <c r="R574" s="40">
        <v>-524</v>
      </c>
      <c r="S574" s="40">
        <v>-325</v>
      </c>
      <c r="T574" s="40">
        <v>-215</v>
      </c>
      <c r="U574" s="40">
        <v>-235</v>
      </c>
      <c r="V574" s="40">
        <v>-154</v>
      </c>
      <c r="W574" s="40">
        <v>-136</v>
      </c>
      <c r="X574" s="40">
        <v>-92</v>
      </c>
      <c r="Y574" s="40">
        <v>-301</v>
      </c>
      <c r="Z574" s="141">
        <v>-990</v>
      </c>
      <c r="AA574" s="141">
        <v>-1102</v>
      </c>
      <c r="AB574" s="141">
        <v>-934</v>
      </c>
      <c r="AC574" s="141">
        <v>-809</v>
      </c>
      <c r="AD574" s="141">
        <v>-610</v>
      </c>
      <c r="AE574" s="141">
        <v>-694</v>
      </c>
      <c r="AF574" s="141">
        <v>-793</v>
      </c>
      <c r="AG574" s="141">
        <v>-899</v>
      </c>
      <c r="AH574" s="141">
        <v>-902</v>
      </c>
      <c r="AI574" s="141">
        <v>-946</v>
      </c>
      <c r="AJ574" s="141">
        <v>-869</v>
      </c>
      <c r="AK574" s="141">
        <v>-1118</v>
      </c>
      <c r="AL574" s="141">
        <v>-1162</v>
      </c>
      <c r="AM574" s="141">
        <v>-1376</v>
      </c>
      <c r="AN574" s="141">
        <v>-1815</v>
      </c>
      <c r="AO574" s="141">
        <v>-2128</v>
      </c>
      <c r="AP574" s="141">
        <v>-2109</v>
      </c>
      <c r="AQ574" s="141">
        <v>-2357</v>
      </c>
      <c r="AR574" s="141">
        <v>-2908</v>
      </c>
      <c r="AS574" s="544">
        <v>-2511</v>
      </c>
      <c r="AT574" s="544">
        <v>-2461</v>
      </c>
      <c r="AU574" s="544">
        <v>-2579</v>
      </c>
      <c r="AV574" s="525">
        <v>-2716</v>
      </c>
      <c r="AW574" s="210">
        <v>-2716</v>
      </c>
      <c r="AX574" s="210">
        <v>-2716</v>
      </c>
      <c r="AY574" s="210">
        <v>-2716</v>
      </c>
      <c r="AZ574" s="210">
        <v>-2716</v>
      </c>
      <c r="BA574" s="210">
        <v>-2716</v>
      </c>
      <c r="BB574" s="210">
        <v>-2716</v>
      </c>
      <c r="BC574" s="210">
        <v>-2716</v>
      </c>
      <c r="BD574" s="210">
        <v>-2716</v>
      </c>
      <c r="BE574" s="210">
        <v>-2716</v>
      </c>
      <c r="BF574" s="210">
        <v>-2716</v>
      </c>
      <c r="BG574" s="210">
        <v>-2716</v>
      </c>
      <c r="BH574" s="210">
        <v>-2716</v>
      </c>
      <c r="BI574" s="210">
        <v>-2716</v>
      </c>
      <c r="BJ574" s="210">
        <v>-2716</v>
      </c>
      <c r="BK574" s="210">
        <v>-2716</v>
      </c>
      <c r="BL574" s="210">
        <v>-2716</v>
      </c>
      <c r="BM574" s="210">
        <v>-2716</v>
      </c>
      <c r="BN574" s="210">
        <v>-2716</v>
      </c>
      <c r="BO574" s="210">
        <v>-2716</v>
      </c>
      <c r="BP574" s="41"/>
      <c r="BQ574" s="40">
        <v>-712.6</v>
      </c>
      <c r="BR574" s="40">
        <v>-587.1</v>
      </c>
      <c r="BS574" s="40">
        <v>-336</v>
      </c>
      <c r="BT574" s="40">
        <v>-236</v>
      </c>
      <c r="BU574" s="40">
        <v>-46</v>
      </c>
      <c r="BV574" s="40">
        <v>0</v>
      </c>
      <c r="BW574" s="40">
        <v>-46</v>
      </c>
      <c r="BX574" s="40">
        <v>0</v>
      </c>
      <c r="BY574" s="40">
        <v>0</v>
      </c>
      <c r="BZ574" s="40">
        <v>0</v>
      </c>
      <c r="CA574" s="41">
        <v>0</v>
      </c>
      <c r="CB574" s="41">
        <v>0</v>
      </c>
      <c r="CC574" s="41">
        <v>0</v>
      </c>
      <c r="CD574" s="41">
        <v>0</v>
      </c>
      <c r="CE574" s="41">
        <v>-290</v>
      </c>
      <c r="CF574" s="41">
        <v>-57</v>
      </c>
      <c r="CG574" s="41">
        <v>-92</v>
      </c>
      <c r="CH574" s="41">
        <v>-325</v>
      </c>
      <c r="CI574" s="41">
        <v>-235</v>
      </c>
      <c r="CJ574" s="41">
        <v>-136</v>
      </c>
      <c r="CK574" s="41">
        <v>-301</v>
      </c>
      <c r="CL574" s="41">
        <v>-1102</v>
      </c>
      <c r="CM574" s="41">
        <v>-809</v>
      </c>
      <c r="CN574" s="41">
        <v>-694</v>
      </c>
      <c r="CO574" s="41">
        <v>-899</v>
      </c>
      <c r="CP574" s="41">
        <v>-946</v>
      </c>
      <c r="CQ574" s="41">
        <v>-1118</v>
      </c>
      <c r="CR574" s="41">
        <v>-1376</v>
      </c>
      <c r="CS574" s="41">
        <v>-2128</v>
      </c>
      <c r="CT574" s="41">
        <v>-2357</v>
      </c>
      <c r="CU574" s="41">
        <v>-2511</v>
      </c>
      <c r="CV574" s="211">
        <v>-2579</v>
      </c>
      <c r="CW574" s="41">
        <v>-2716</v>
      </c>
      <c r="CX574" s="41">
        <v>-2716</v>
      </c>
      <c r="CY574" s="41">
        <v>-2716</v>
      </c>
      <c r="CZ574" s="41">
        <v>-2716</v>
      </c>
      <c r="DA574" s="41">
        <v>-2716</v>
      </c>
      <c r="DB574" s="41">
        <v>-2716</v>
      </c>
      <c r="DC574" s="41">
        <v>-2716</v>
      </c>
      <c r="DD574" s="41">
        <v>-2716</v>
      </c>
      <c r="DE574" s="41">
        <v>-2716</v>
      </c>
      <c r="DF574" s="41">
        <v>-2716</v>
      </c>
    </row>
    <row r="575" spans="1:110" ht="12" outlineLevel="1">
      <c r="A575" s="1" t="s">
        <v>1038</v>
      </c>
      <c r="B575" s="15" t="s">
        <v>2390</v>
      </c>
      <c r="C575" s="40">
        <v>-18</v>
      </c>
      <c r="D575" s="40">
        <v>-18</v>
      </c>
      <c r="E575" s="40">
        <v>-27</v>
      </c>
      <c r="F575" s="40">
        <v>-27</v>
      </c>
      <c r="G575" s="40">
        <v>-27</v>
      </c>
      <c r="H575" s="40">
        <v>-27</v>
      </c>
      <c r="I575" s="40">
        <v>-27</v>
      </c>
      <c r="J575" s="40">
        <v>-27</v>
      </c>
      <c r="K575" s="40">
        <v>-27</v>
      </c>
      <c r="L575" s="40">
        <v>-27</v>
      </c>
      <c r="M575" s="40">
        <v>-31</v>
      </c>
      <c r="N575" s="40">
        <v>-31</v>
      </c>
      <c r="O575" s="40">
        <v>-101</v>
      </c>
      <c r="P575" s="40">
        <v>-53</v>
      </c>
      <c r="Q575" s="40">
        <v>-65</v>
      </c>
      <c r="R575" s="40">
        <v>-141</v>
      </c>
      <c r="S575" s="40">
        <v>-161</v>
      </c>
      <c r="T575" s="40">
        <v>-189</v>
      </c>
      <c r="U575" s="40">
        <v>-198</v>
      </c>
      <c r="V575" s="40">
        <v>-200</v>
      </c>
      <c r="W575" s="40">
        <v>-200</v>
      </c>
      <c r="X575" s="40">
        <v>-300</v>
      </c>
      <c r="Y575" s="40">
        <v>-300</v>
      </c>
      <c r="Z575" s="141">
        <v>-684</v>
      </c>
      <c r="AA575" s="141">
        <v>-453</v>
      </c>
      <c r="AB575" s="141">
        <v>-428</v>
      </c>
      <c r="AC575" s="141">
        <v>-402</v>
      </c>
      <c r="AD575" s="141">
        <v>-401</v>
      </c>
      <c r="AE575" s="141">
        <v>-297</v>
      </c>
      <c r="AF575" s="141">
        <v>-297</v>
      </c>
      <c r="AG575" s="141">
        <v>-297</v>
      </c>
      <c r="AH575" s="141">
        <v>-274</v>
      </c>
      <c r="AI575" s="141">
        <v>-274</v>
      </c>
      <c r="AJ575" s="141">
        <v>-274</v>
      </c>
      <c r="AK575" s="141">
        <v>-270</v>
      </c>
      <c r="AL575" s="141">
        <v>-270</v>
      </c>
      <c r="AM575" s="141">
        <v>-336</v>
      </c>
      <c r="AN575" s="141">
        <v>-336</v>
      </c>
      <c r="AO575" s="141">
        <v>-336</v>
      </c>
      <c r="AP575" s="141">
        <v>-336</v>
      </c>
      <c r="AQ575" s="141">
        <v>-356</v>
      </c>
      <c r="AR575" s="141">
        <v>-347</v>
      </c>
      <c r="AS575" s="141">
        <v>-348</v>
      </c>
      <c r="AT575" s="141">
        <v>-284</v>
      </c>
      <c r="AU575" s="141">
        <v>-225</v>
      </c>
      <c r="AV575" s="226">
        <v>-225</v>
      </c>
      <c r="AW575" s="210">
        <v>-225</v>
      </c>
      <c r="AX575" s="210">
        <v>-225</v>
      </c>
      <c r="AY575" s="210">
        <v>-225</v>
      </c>
      <c r="AZ575" s="210">
        <v>-225</v>
      </c>
      <c r="BA575" s="210">
        <v>-225</v>
      </c>
      <c r="BB575" s="210">
        <v>-225</v>
      </c>
      <c r="BC575" s="210">
        <v>-225</v>
      </c>
      <c r="BD575" s="210">
        <v>-225</v>
      </c>
      <c r="BE575" s="210">
        <v>-225</v>
      </c>
      <c r="BF575" s="210">
        <v>-225</v>
      </c>
      <c r="BG575" s="210">
        <v>-225</v>
      </c>
      <c r="BH575" s="210">
        <v>-225</v>
      </c>
      <c r="BI575" s="210">
        <v>-225</v>
      </c>
      <c r="BJ575" s="210">
        <v>-225</v>
      </c>
      <c r="BK575" s="210">
        <v>-225</v>
      </c>
      <c r="BL575" s="210">
        <v>-225</v>
      </c>
      <c r="BM575" s="210">
        <v>-225</v>
      </c>
      <c r="BN575" s="210">
        <v>-225</v>
      </c>
      <c r="BO575" s="210">
        <v>-225</v>
      </c>
      <c r="BP575" s="41"/>
      <c r="BQ575" s="40">
        <v>0</v>
      </c>
      <c r="BR575" s="40">
        <v>0</v>
      </c>
      <c r="BS575" s="40">
        <v>0</v>
      </c>
      <c r="BT575" s="40">
        <v>0</v>
      </c>
      <c r="BU575" s="40">
        <v>0</v>
      </c>
      <c r="BV575" s="40">
        <v>0</v>
      </c>
      <c r="BW575" s="40">
        <v>-18</v>
      </c>
      <c r="BX575" s="40">
        <v>-18</v>
      </c>
      <c r="BY575" s="40">
        <v>-18</v>
      </c>
      <c r="BZ575" s="40">
        <v>-18</v>
      </c>
      <c r="CA575" s="41">
        <v>-27</v>
      </c>
      <c r="CB575" s="41">
        <v>-27</v>
      </c>
      <c r="CC575" s="41">
        <v>-27</v>
      </c>
      <c r="CD575" s="41">
        <v>-27</v>
      </c>
      <c r="CE575" s="41">
        <v>-31</v>
      </c>
      <c r="CF575" s="41">
        <v>-101</v>
      </c>
      <c r="CG575" s="41">
        <v>-65</v>
      </c>
      <c r="CH575" s="41">
        <v>-161</v>
      </c>
      <c r="CI575" s="41">
        <v>-198</v>
      </c>
      <c r="CJ575" s="41">
        <v>-200</v>
      </c>
      <c r="CK575" s="41">
        <v>-300</v>
      </c>
      <c r="CL575" s="41">
        <v>-453</v>
      </c>
      <c r="CM575" s="41">
        <v>-402</v>
      </c>
      <c r="CN575" s="41">
        <v>-297</v>
      </c>
      <c r="CO575" s="41">
        <v>-297</v>
      </c>
      <c r="CP575" s="41">
        <v>-274</v>
      </c>
      <c r="CQ575" s="41">
        <v>-270</v>
      </c>
      <c r="CR575" s="41">
        <v>-336</v>
      </c>
      <c r="CS575" s="41">
        <v>-336</v>
      </c>
      <c r="CT575" s="41">
        <v>-356</v>
      </c>
      <c r="CU575" s="41">
        <v>-348</v>
      </c>
      <c r="CV575" s="211">
        <v>-225</v>
      </c>
      <c r="CW575" s="41">
        <v>-225</v>
      </c>
      <c r="CX575" s="41">
        <v>-225</v>
      </c>
      <c r="CY575" s="41">
        <v>-225</v>
      </c>
      <c r="CZ575" s="41">
        <v>-225</v>
      </c>
      <c r="DA575" s="41">
        <v>-225</v>
      </c>
      <c r="DB575" s="41">
        <v>-225</v>
      </c>
      <c r="DC575" s="41">
        <v>-225</v>
      </c>
      <c r="DD575" s="41">
        <v>-225</v>
      </c>
      <c r="DE575" s="41">
        <v>-225</v>
      </c>
      <c r="DF575" s="41">
        <v>-225</v>
      </c>
    </row>
    <row r="576" spans="1:110" ht="12" outlineLevel="1">
      <c r="A576" s="1" t="s">
        <v>1039</v>
      </c>
      <c r="B576" s="15" t="s">
        <v>2391</v>
      </c>
      <c r="C576" s="40"/>
      <c r="D576" s="40"/>
      <c r="E576" s="40"/>
      <c r="F576" s="40"/>
      <c r="G576" s="40"/>
      <c r="H576" s="40"/>
      <c r="I576" s="40"/>
      <c r="J576" s="40"/>
      <c r="K576" s="40"/>
      <c r="L576" s="40"/>
      <c r="M576" s="40"/>
      <c r="N576" s="40"/>
      <c r="O576" s="40"/>
      <c r="P576" s="40">
        <v>-324</v>
      </c>
      <c r="Q576" s="40">
        <v>-332</v>
      </c>
      <c r="R576" s="40">
        <v>-797</v>
      </c>
      <c r="S576" s="40">
        <v>-806</v>
      </c>
      <c r="T576" s="40">
        <v>-703</v>
      </c>
      <c r="U576" s="40">
        <v>-902</v>
      </c>
      <c r="V576" s="40">
        <v>-930</v>
      </c>
      <c r="W576" s="40">
        <v>-935</v>
      </c>
      <c r="X576" s="40">
        <v>-949</v>
      </c>
      <c r="Y576" s="40">
        <v>-748</v>
      </c>
      <c r="Z576" s="141">
        <v>-1042</v>
      </c>
      <c r="AA576" s="141">
        <v>-1059</v>
      </c>
      <c r="AB576" s="141">
        <v>-984</v>
      </c>
      <c r="AC576" s="141">
        <v>-979</v>
      </c>
      <c r="AD576" s="141">
        <v>-990</v>
      </c>
      <c r="AE576" s="141">
        <v>-1349</v>
      </c>
      <c r="AF576" s="141">
        <v>-1749</v>
      </c>
      <c r="AG576" s="141">
        <v>-1752</v>
      </c>
      <c r="AH576" s="141">
        <v>-1749</v>
      </c>
      <c r="AI576" s="141">
        <v>-1750</v>
      </c>
      <c r="AJ576" s="141">
        <v>-1751</v>
      </c>
      <c r="AK576" s="141">
        <v>-750</v>
      </c>
      <c r="AL576" s="141">
        <v>-735</v>
      </c>
      <c r="AM576" s="141">
        <v>-103</v>
      </c>
      <c r="AN576" s="141">
        <v>-48</v>
      </c>
      <c r="AO576" s="141">
        <v>-45</v>
      </c>
      <c r="AP576" s="141">
        <v>-45</v>
      </c>
      <c r="AQ576" s="141">
        <v>-47</v>
      </c>
      <c r="AR576" s="141">
        <v>-45</v>
      </c>
      <c r="AS576" s="141">
        <v>-43</v>
      </c>
      <c r="AT576" s="141">
        <v>-45</v>
      </c>
      <c r="AU576" s="141">
        <v>-46</v>
      </c>
      <c r="AV576" s="226">
        <v>-45</v>
      </c>
      <c r="AW576" s="210">
        <v>-45.044999999999995</v>
      </c>
      <c r="AX576" s="210">
        <v>-45.090044999999989</v>
      </c>
      <c r="AY576" s="210">
        <v>-45.135135044999984</v>
      </c>
      <c r="AZ576" s="210">
        <v>-45.180270180044978</v>
      </c>
      <c r="BA576" s="210">
        <v>-45.225450450225019</v>
      </c>
      <c r="BB576" s="210">
        <v>-45.270675900675236</v>
      </c>
      <c r="BC576" s="210">
        <v>-45.315946576575904</v>
      </c>
      <c r="BD576" s="210">
        <v>-45.361262523152476</v>
      </c>
      <c r="BE576" s="210">
        <v>-45.40662378567562</v>
      </c>
      <c r="BF576" s="210">
        <v>-45.452030409461294</v>
      </c>
      <c r="BG576" s="210">
        <v>-45.497482439870751</v>
      </c>
      <c r="BH576" s="210">
        <v>-45.542979922310614</v>
      </c>
      <c r="BI576" s="210">
        <v>-45.588522902232917</v>
      </c>
      <c r="BJ576" s="210">
        <v>-45.634111425135146</v>
      </c>
      <c r="BK576" s="210">
        <v>-45.679745536560276</v>
      </c>
      <c r="BL576" s="210">
        <v>-45.725425282096829</v>
      </c>
      <c r="BM576" s="210">
        <v>-45.771150707378922</v>
      </c>
      <c r="BN576" s="210">
        <v>-45.816921858086296</v>
      </c>
      <c r="BO576" s="210">
        <v>-45.86273877994438</v>
      </c>
      <c r="BP576" s="41"/>
      <c r="BQ576" s="40">
        <v>0</v>
      </c>
      <c r="BR576" s="40">
        <v>0</v>
      </c>
      <c r="BS576" s="40">
        <v>0</v>
      </c>
      <c r="BT576" s="40">
        <v>0</v>
      </c>
      <c r="BU576" s="40">
        <v>0</v>
      </c>
      <c r="BV576" s="40">
        <v>0</v>
      </c>
      <c r="BW576" s="40">
        <v>0</v>
      </c>
      <c r="BX576" s="40">
        <v>0</v>
      </c>
      <c r="BY576" s="40">
        <v>0</v>
      </c>
      <c r="BZ576" s="40">
        <v>0</v>
      </c>
      <c r="CA576" s="41">
        <v>0</v>
      </c>
      <c r="CB576" s="41">
        <v>0</v>
      </c>
      <c r="CC576" s="41">
        <v>0</v>
      </c>
      <c r="CD576" s="41">
        <v>0</v>
      </c>
      <c r="CE576" s="41">
        <v>0</v>
      </c>
      <c r="CF576" s="41">
        <v>0</v>
      </c>
      <c r="CG576" s="41">
        <v>-332</v>
      </c>
      <c r="CH576" s="41">
        <v>-806</v>
      </c>
      <c r="CI576" s="41">
        <v>-902</v>
      </c>
      <c r="CJ576" s="41">
        <v>-935</v>
      </c>
      <c r="CK576" s="41">
        <v>-748</v>
      </c>
      <c r="CL576" s="41">
        <v>-1059</v>
      </c>
      <c r="CM576" s="41">
        <v>-979</v>
      </c>
      <c r="CN576" s="41">
        <v>-1349</v>
      </c>
      <c r="CO576" s="41">
        <v>-1752</v>
      </c>
      <c r="CP576" s="41">
        <v>-1750</v>
      </c>
      <c r="CQ576" s="41">
        <v>-750</v>
      </c>
      <c r="CR576" s="41">
        <v>-103</v>
      </c>
      <c r="CS576" s="41">
        <v>-45</v>
      </c>
      <c r="CT576" s="41">
        <v>-47</v>
      </c>
      <c r="CU576" s="41">
        <v>-43</v>
      </c>
      <c r="CV576" s="211">
        <v>-46</v>
      </c>
      <c r="CW576" s="41">
        <v>-45.044999999999995</v>
      </c>
      <c r="CX576" s="41">
        <v>-45.135135044999984</v>
      </c>
      <c r="CY576" s="41">
        <v>-45.225450450225019</v>
      </c>
      <c r="CZ576" s="41">
        <v>-45.315946576575904</v>
      </c>
      <c r="DA576" s="41">
        <v>-45.40662378567562</v>
      </c>
      <c r="DB576" s="41">
        <v>-45.497482439870751</v>
      </c>
      <c r="DC576" s="41">
        <v>-45.588522902232917</v>
      </c>
      <c r="DD576" s="41">
        <v>-45.679745536560276</v>
      </c>
      <c r="DE576" s="41">
        <v>-45.771150707378922</v>
      </c>
      <c r="DF576" s="41">
        <v>-45.86273877994438</v>
      </c>
    </row>
    <row r="577" spans="1:110" ht="12" outlineLevel="1">
      <c r="A577" s="1" t="s">
        <v>1040</v>
      </c>
      <c r="B577" s="15" t="s">
        <v>2392</v>
      </c>
      <c r="C577" s="40"/>
      <c r="D577" s="40"/>
      <c r="E577" s="40"/>
      <c r="F577" s="40"/>
      <c r="G577" s="40"/>
      <c r="H577" s="40"/>
      <c r="I577" s="40"/>
      <c r="J577" s="40"/>
      <c r="K577" s="40"/>
      <c r="L577" s="40"/>
      <c r="M577" s="40"/>
      <c r="N577" s="40"/>
      <c r="O577" s="40"/>
      <c r="P577" s="40">
        <v>-568</v>
      </c>
      <c r="Q577" s="40">
        <v>-610</v>
      </c>
      <c r="R577" s="40">
        <v>-925</v>
      </c>
      <c r="S577" s="40">
        <v>-976</v>
      </c>
      <c r="T577" s="40">
        <v>-981</v>
      </c>
      <c r="U577" s="40">
        <v>-988</v>
      </c>
      <c r="V577" s="40">
        <v>-1162</v>
      </c>
      <c r="W577" s="40">
        <v>-1151</v>
      </c>
      <c r="X577" s="40">
        <v>-1118</v>
      </c>
      <c r="Y577" s="40">
        <v>-1070</v>
      </c>
      <c r="Z577" s="141">
        <v>-2956</v>
      </c>
      <c r="AA577" s="141">
        <v>-3361</v>
      </c>
      <c r="AB577" s="141">
        <v>-3565</v>
      </c>
      <c r="AC577" s="141">
        <v>-3811</v>
      </c>
      <c r="AD577" s="141">
        <v>-4499</v>
      </c>
      <c r="AE577" s="141">
        <v>-4734</v>
      </c>
      <c r="AF577" s="141">
        <v>-4708</v>
      </c>
      <c r="AG577" s="141">
        <v>-4674</v>
      </c>
      <c r="AH577" s="141">
        <v>-3826</v>
      </c>
      <c r="AI577" s="141">
        <v>-3919</v>
      </c>
      <c r="AJ577" s="141">
        <v>-2272</v>
      </c>
      <c r="AK577" s="141">
        <v>-2333</v>
      </c>
      <c r="AL577" s="141">
        <v>-2501</v>
      </c>
      <c r="AM577" s="141">
        <v>-2707</v>
      </c>
      <c r="AN577" s="141">
        <v>-2313</v>
      </c>
      <c r="AO577" s="141">
        <v>-2164</v>
      </c>
      <c r="AP577" s="141">
        <v>-1854</v>
      </c>
      <c r="AQ577" s="141">
        <v>-1972</v>
      </c>
      <c r="AR577" s="141">
        <v>-2018</v>
      </c>
      <c r="AS577" s="141">
        <v>-2181</v>
      </c>
      <c r="AT577" s="141">
        <v>-2214</v>
      </c>
      <c r="AU577" s="141">
        <v>-2321</v>
      </c>
      <c r="AV577" s="226">
        <v>-1405</v>
      </c>
      <c r="AW577" s="210">
        <v>-1405</v>
      </c>
      <c r="AX577" s="210">
        <v>-1405</v>
      </c>
      <c r="AY577" s="210">
        <v>-1405</v>
      </c>
      <c r="AZ577" s="210">
        <v>-1405</v>
      </c>
      <c r="BA577" s="210">
        <v>-1405</v>
      </c>
      <c r="BB577" s="210">
        <v>-1405</v>
      </c>
      <c r="BC577" s="210">
        <v>-1405</v>
      </c>
      <c r="BD577" s="210">
        <v>-1405</v>
      </c>
      <c r="BE577" s="210">
        <v>-1405</v>
      </c>
      <c r="BF577" s="210">
        <v>-1405</v>
      </c>
      <c r="BG577" s="210">
        <v>-1405</v>
      </c>
      <c r="BH577" s="210">
        <v>-1405</v>
      </c>
      <c r="BI577" s="210">
        <v>-1405</v>
      </c>
      <c r="BJ577" s="210">
        <v>-1405</v>
      </c>
      <c r="BK577" s="210">
        <v>-1405</v>
      </c>
      <c r="BL577" s="210">
        <v>-1405</v>
      </c>
      <c r="BM577" s="210">
        <v>-1405</v>
      </c>
      <c r="BN577" s="210">
        <v>-1405</v>
      </c>
      <c r="BO577" s="210">
        <v>-1405</v>
      </c>
      <c r="BP577" s="41"/>
      <c r="BQ577" s="40">
        <v>0</v>
      </c>
      <c r="BR577" s="40">
        <v>0</v>
      </c>
      <c r="BS577" s="40">
        <v>0</v>
      </c>
      <c r="BT577" s="40">
        <v>0</v>
      </c>
      <c r="BU577" s="40">
        <v>0</v>
      </c>
      <c r="BV577" s="40">
        <v>0</v>
      </c>
      <c r="BW577" s="40">
        <v>0</v>
      </c>
      <c r="BX577" s="40">
        <v>0</v>
      </c>
      <c r="BY577" s="40">
        <v>0</v>
      </c>
      <c r="BZ577" s="40">
        <v>0</v>
      </c>
      <c r="CA577" s="41">
        <v>0</v>
      </c>
      <c r="CB577" s="41">
        <v>0</v>
      </c>
      <c r="CC577" s="41">
        <v>0</v>
      </c>
      <c r="CD577" s="41">
        <v>0</v>
      </c>
      <c r="CE577" s="41">
        <v>0</v>
      </c>
      <c r="CF577" s="41">
        <v>0</v>
      </c>
      <c r="CG577" s="41">
        <v>-610</v>
      </c>
      <c r="CH577" s="41">
        <v>-976</v>
      </c>
      <c r="CI577" s="41">
        <v>-988</v>
      </c>
      <c r="CJ577" s="41">
        <v>-1151</v>
      </c>
      <c r="CK577" s="41">
        <v>-1070</v>
      </c>
      <c r="CL577" s="41">
        <v>-3361</v>
      </c>
      <c r="CM577" s="41">
        <v>-3811</v>
      </c>
      <c r="CN577" s="41">
        <v>-4734</v>
      </c>
      <c r="CO577" s="41">
        <v>-4674</v>
      </c>
      <c r="CP577" s="41">
        <v>-3919</v>
      </c>
      <c r="CQ577" s="41">
        <v>-2333</v>
      </c>
      <c r="CR577" s="41">
        <v>-2707</v>
      </c>
      <c r="CS577" s="41">
        <v>-2164</v>
      </c>
      <c r="CT577" s="41">
        <v>-1972</v>
      </c>
      <c r="CU577" s="41">
        <v>-2181</v>
      </c>
      <c r="CV577" s="211">
        <v>-2321</v>
      </c>
      <c r="CW577" s="41">
        <v>-1405</v>
      </c>
      <c r="CX577" s="41">
        <v>-1405</v>
      </c>
      <c r="CY577" s="41">
        <v>-1405</v>
      </c>
      <c r="CZ577" s="41">
        <v>-1405</v>
      </c>
      <c r="DA577" s="41">
        <v>-1405</v>
      </c>
      <c r="DB577" s="41">
        <v>-1405</v>
      </c>
      <c r="DC577" s="41">
        <v>-1405</v>
      </c>
      <c r="DD577" s="41">
        <v>-1405</v>
      </c>
      <c r="DE577" s="41">
        <v>-1405</v>
      </c>
      <c r="DF577" s="41">
        <v>-1405</v>
      </c>
    </row>
    <row r="578" spans="1:110" ht="12" outlineLevel="1">
      <c r="A578" s="1" t="s">
        <v>1041</v>
      </c>
      <c r="B578" s="15" t="s">
        <v>476</v>
      </c>
      <c r="C578" s="40"/>
      <c r="D578" s="40"/>
      <c r="E578" s="40"/>
      <c r="F578" s="40"/>
      <c r="G578" s="40"/>
      <c r="H578" s="40"/>
      <c r="I578" s="40"/>
      <c r="J578" s="40"/>
      <c r="K578" s="40"/>
      <c r="L578" s="40"/>
      <c r="M578" s="40"/>
      <c r="N578" s="40"/>
      <c r="O578" s="40"/>
      <c r="P578" s="40">
        <v>-358</v>
      </c>
      <c r="Q578" s="40">
        <v>-167</v>
      </c>
      <c r="R578" s="40">
        <v>-508</v>
      </c>
      <c r="S578" s="40">
        <v>-506</v>
      </c>
      <c r="T578" s="40">
        <v>-518</v>
      </c>
      <c r="U578" s="40">
        <v>-560</v>
      </c>
      <c r="V578" s="40">
        <v>-473</v>
      </c>
      <c r="W578" s="40">
        <v>-475</v>
      </c>
      <c r="X578" s="40">
        <v>-524</v>
      </c>
      <c r="Y578" s="40">
        <v>-542</v>
      </c>
      <c r="Z578" s="141">
        <v>-526</v>
      </c>
      <c r="AA578" s="141">
        <v>-376</v>
      </c>
      <c r="AB578" s="141">
        <v>-145</v>
      </c>
      <c r="AC578" s="141">
        <v>-240</v>
      </c>
      <c r="AD578" s="141">
        <v>-374</v>
      </c>
      <c r="AE578" s="141">
        <v>-479</v>
      </c>
      <c r="AF578" s="141">
        <v>-600</v>
      </c>
      <c r="AG578" s="141">
        <v>-700</v>
      </c>
      <c r="AH578" s="141">
        <v>-696</v>
      </c>
      <c r="AI578" s="141">
        <v>-719</v>
      </c>
      <c r="AJ578" s="141">
        <v>-686</v>
      </c>
      <c r="AK578" s="141">
        <v>-609</v>
      </c>
      <c r="AL578" s="141">
        <v>-42</v>
      </c>
      <c r="AM578" s="141">
        <v>-1</v>
      </c>
      <c r="AN578" s="141">
        <v>0</v>
      </c>
      <c r="AO578" s="141">
        <v>-43</v>
      </c>
      <c r="AP578" s="141">
        <v>-42</v>
      </c>
      <c r="AQ578" s="141">
        <v>-36</v>
      </c>
      <c r="AR578" s="141">
        <v>-32</v>
      </c>
      <c r="AS578" s="141">
        <v>-11</v>
      </c>
      <c r="AT578" s="141">
        <v>-39</v>
      </c>
      <c r="AU578" s="141">
        <v>-272</v>
      </c>
      <c r="AV578" s="226">
        <v>-282</v>
      </c>
      <c r="AW578" s="210">
        <v>-330.14942394201279</v>
      </c>
      <c r="AX578" s="210">
        <v>-336.33058758508059</v>
      </c>
      <c r="AY578" s="210">
        <v>-345.71240575611728</v>
      </c>
      <c r="AZ578" s="210">
        <v>-352.63854587656942</v>
      </c>
      <c r="BA578" s="210">
        <v>-359.47367760105999</v>
      </c>
      <c r="BB578" s="210">
        <v>-366.442883896034</v>
      </c>
      <c r="BC578" s="210">
        <v>-373.54882432317214</v>
      </c>
      <c r="BD578" s="210">
        <v>-380.79421177157826</v>
      </c>
      <c r="BE578" s="210">
        <v>-388.18181353824099</v>
      </c>
      <c r="BF578" s="210">
        <v>-395.71445243060418</v>
      </c>
      <c r="BG578" s="210">
        <v>-403.39500789170614</v>
      </c>
      <c r="BH578" s="210">
        <v>-411.22641714835225</v>
      </c>
      <c r="BI578" s="210">
        <v>-419.2116763827969</v>
      </c>
      <c r="BJ578" s="210">
        <v>-427.35384192842167</v>
      </c>
      <c r="BK578" s="210">
        <v>-435.65603148990493</v>
      </c>
      <c r="BL578" s="210">
        <v>-444.12142538839015</v>
      </c>
      <c r="BM578" s="210">
        <v>-452.75326783216917</v>
      </c>
      <c r="BN578" s="210">
        <v>-457.28080051049079</v>
      </c>
      <c r="BO578" s="210">
        <v>-461.85360851559574</v>
      </c>
      <c r="BP578" s="41"/>
      <c r="BQ578" s="40">
        <v>0</v>
      </c>
      <c r="BR578" s="40">
        <v>0</v>
      </c>
      <c r="BS578" s="40">
        <v>0</v>
      </c>
      <c r="BT578" s="40">
        <v>0</v>
      </c>
      <c r="BU578" s="40">
        <v>0</v>
      </c>
      <c r="BV578" s="40">
        <v>0</v>
      </c>
      <c r="BW578" s="40">
        <v>0</v>
      </c>
      <c r="BX578" s="40">
        <v>0</v>
      </c>
      <c r="BY578" s="40">
        <v>0</v>
      </c>
      <c r="BZ578" s="40">
        <v>0</v>
      </c>
      <c r="CA578" s="41">
        <v>0</v>
      </c>
      <c r="CB578" s="41">
        <v>0</v>
      </c>
      <c r="CC578" s="41">
        <v>0</v>
      </c>
      <c r="CD578" s="41">
        <v>0</v>
      </c>
      <c r="CE578" s="41">
        <v>0</v>
      </c>
      <c r="CF578" s="41">
        <v>0</v>
      </c>
      <c r="CG578" s="41">
        <v>-167</v>
      </c>
      <c r="CH578" s="41">
        <v>-506</v>
      </c>
      <c r="CI578" s="41">
        <v>-560</v>
      </c>
      <c r="CJ578" s="41">
        <v>-475</v>
      </c>
      <c r="CK578" s="41">
        <v>-542</v>
      </c>
      <c r="CL578" s="41">
        <v>-376</v>
      </c>
      <c r="CM578" s="41">
        <v>-240</v>
      </c>
      <c r="CN578" s="41">
        <v>-479</v>
      </c>
      <c r="CO578" s="41">
        <v>-700</v>
      </c>
      <c r="CP578" s="41">
        <v>-719</v>
      </c>
      <c r="CQ578" s="41">
        <v>-609</v>
      </c>
      <c r="CR578" s="41">
        <v>-1</v>
      </c>
      <c r="CS578" s="41">
        <v>-43</v>
      </c>
      <c r="CT578" s="41">
        <v>-36</v>
      </c>
      <c r="CU578" s="41">
        <v>-11</v>
      </c>
      <c r="CV578" s="211">
        <v>-272</v>
      </c>
      <c r="CW578" s="41">
        <v>-330.14942394201279</v>
      </c>
      <c r="CX578" s="41">
        <v>-345.71240575611728</v>
      </c>
      <c r="CY578" s="41">
        <v>-359.47367760105999</v>
      </c>
      <c r="CZ578" s="41">
        <v>-373.54882432317214</v>
      </c>
      <c r="DA578" s="41">
        <v>-388.18181353824099</v>
      </c>
      <c r="DB578" s="41">
        <v>-403.39500789170614</v>
      </c>
      <c r="DC578" s="41">
        <v>-419.2116763827969</v>
      </c>
      <c r="DD578" s="41">
        <v>-435.65603148990493</v>
      </c>
      <c r="DE578" s="41">
        <v>-452.75326783216917</v>
      </c>
      <c r="DF578" s="41">
        <v>-461.85360851559574</v>
      </c>
    </row>
    <row r="579" spans="1:110" ht="12" hidden="1" outlineLevel="2">
      <c r="A579" s="1" t="s">
        <v>1042</v>
      </c>
      <c r="B579" s="15" t="s">
        <v>1114</v>
      </c>
      <c r="C579" s="40"/>
      <c r="D579" s="40"/>
      <c r="E579" s="40"/>
      <c r="F579" s="40"/>
      <c r="G579" s="40"/>
      <c r="H579" s="40"/>
      <c r="I579" s="40"/>
      <c r="J579" s="40"/>
      <c r="K579" s="40"/>
      <c r="L579" s="40">
        <v>0</v>
      </c>
      <c r="M579" s="40">
        <v>716</v>
      </c>
      <c r="N579" s="40">
        <v>716</v>
      </c>
      <c r="O579" s="40">
        <v>716</v>
      </c>
      <c r="P579" s="40"/>
      <c r="Q579" s="40"/>
      <c r="R579" s="40"/>
      <c r="S579" s="40"/>
      <c r="T579" s="40"/>
      <c r="U579" s="40"/>
      <c r="V579" s="40"/>
      <c r="W579" s="40"/>
      <c r="X579" s="40"/>
      <c r="Y579" s="40"/>
      <c r="Z579" s="210"/>
      <c r="AA579" s="210"/>
      <c r="AB579" s="210"/>
      <c r="AC579" s="210"/>
      <c r="AD579" s="210"/>
      <c r="AE579" s="210"/>
      <c r="AF579" s="210"/>
      <c r="AG579" s="210"/>
      <c r="AH579" s="210"/>
      <c r="AI579" s="210"/>
      <c r="AJ579" s="210"/>
      <c r="AK579" s="210"/>
      <c r="AL579" s="210"/>
      <c r="AM579" s="210"/>
      <c r="AN579" s="210"/>
      <c r="AO579" s="210"/>
      <c r="AP579" s="210"/>
      <c r="AQ579" s="210"/>
      <c r="AR579" s="210"/>
      <c r="AS579" s="210"/>
      <c r="AT579" s="210"/>
      <c r="AU579" s="210"/>
      <c r="AV579" s="234"/>
      <c r="AW579" s="210"/>
      <c r="AX579" s="210"/>
      <c r="AY579" s="210"/>
      <c r="AZ579" s="210"/>
      <c r="BA579" s="210"/>
      <c r="BB579" s="210"/>
      <c r="BC579" s="210"/>
      <c r="BD579" s="210"/>
      <c r="BE579" s="210"/>
      <c r="BF579" s="210"/>
      <c r="BG579" s="210"/>
      <c r="BH579" s="210"/>
      <c r="BI579" s="210"/>
      <c r="BJ579" s="210"/>
      <c r="BK579" s="210"/>
      <c r="BL579" s="210"/>
      <c r="BM579" s="210"/>
      <c r="BN579" s="210"/>
      <c r="BO579" s="210"/>
      <c r="BP579" s="41"/>
      <c r="BQ579" s="40"/>
      <c r="BR579" s="40"/>
      <c r="BS579" s="40"/>
      <c r="BT579" s="40"/>
      <c r="BU579" s="40"/>
      <c r="BV579" s="40"/>
      <c r="BW579" s="40"/>
      <c r="BX579" s="40"/>
      <c r="BY579" s="40"/>
      <c r="BZ579" s="40"/>
      <c r="CA579" s="41"/>
      <c r="CB579" s="41"/>
      <c r="CC579" s="41"/>
      <c r="CD579" s="41"/>
      <c r="CE579" s="41"/>
      <c r="CF579" s="41"/>
      <c r="CG579" s="41">
        <v>0</v>
      </c>
      <c r="CH579" s="41"/>
      <c r="CI579" s="41"/>
      <c r="CJ579" s="41"/>
      <c r="CK579" s="41"/>
      <c r="CL579" s="41"/>
      <c r="CM579" s="41"/>
      <c r="CN579" s="41"/>
      <c r="CO579" s="41"/>
      <c r="CP579" s="41"/>
      <c r="CQ579" s="41"/>
      <c r="CR579" s="41"/>
      <c r="CS579" s="41"/>
      <c r="CT579" s="41"/>
      <c r="CU579" s="41"/>
      <c r="CV579" s="211"/>
      <c r="CW579" s="41"/>
      <c r="CX579" s="41"/>
      <c r="CY579" s="41"/>
      <c r="CZ579" s="15"/>
      <c r="DA579" s="15"/>
      <c r="DB579" s="15"/>
      <c r="DC579" s="15"/>
      <c r="DD579" s="15"/>
      <c r="DE579" s="15"/>
      <c r="DF579" s="15"/>
    </row>
    <row r="580" spans="1:110" ht="12" hidden="1" outlineLevel="2">
      <c r="A580" s="1" t="s">
        <v>67</v>
      </c>
      <c r="B580" s="15" t="s">
        <v>804</v>
      </c>
      <c r="C580" s="40"/>
      <c r="D580" s="40"/>
      <c r="E580" s="40"/>
      <c r="F580" s="40"/>
      <c r="G580" s="40"/>
      <c r="H580" s="40"/>
      <c r="I580" s="40"/>
      <c r="J580" s="40"/>
      <c r="K580" s="40"/>
      <c r="L580" s="40"/>
      <c r="M580" s="41"/>
      <c r="N580" s="41"/>
      <c r="O580" s="41"/>
      <c r="P580" s="41"/>
      <c r="Q580" s="41"/>
      <c r="R580" s="41"/>
      <c r="S580" s="41"/>
      <c r="T580" s="41"/>
      <c r="U580" s="41"/>
      <c r="V580" s="41"/>
      <c r="W580" s="41"/>
      <c r="X580" s="41"/>
      <c r="Y580" s="41"/>
      <c r="Z580" s="210"/>
      <c r="AA580" s="210"/>
      <c r="AB580" s="210"/>
      <c r="AC580" s="210"/>
      <c r="AD580" s="210"/>
      <c r="AE580" s="210"/>
      <c r="AF580" s="210"/>
      <c r="AG580" s="210"/>
      <c r="AH580" s="210"/>
      <c r="AI580" s="210"/>
      <c r="AJ580" s="210"/>
      <c r="AK580" s="210"/>
      <c r="AL580" s="210"/>
      <c r="AM580" s="210"/>
      <c r="AN580" s="210"/>
      <c r="AO580" s="210"/>
      <c r="AP580" s="210"/>
      <c r="AQ580" s="210"/>
      <c r="AR580" s="210"/>
      <c r="AS580" s="210"/>
      <c r="AT580" s="210"/>
      <c r="AU580" s="210"/>
      <c r="AV580" s="234"/>
      <c r="AW580" s="210"/>
      <c r="AX580" s="210"/>
      <c r="AY580" s="210"/>
      <c r="AZ580" s="210"/>
      <c r="BA580" s="210"/>
      <c r="BB580" s="210"/>
      <c r="BC580" s="210"/>
      <c r="BD580" s="210"/>
      <c r="BE580" s="210"/>
      <c r="BF580" s="210"/>
      <c r="BG580" s="210"/>
      <c r="BH580" s="210"/>
      <c r="BI580" s="210"/>
      <c r="BJ580" s="210"/>
      <c r="BK580" s="210"/>
      <c r="BL580" s="210"/>
      <c r="BM580" s="210"/>
      <c r="BN580" s="210"/>
      <c r="BO580" s="210"/>
      <c r="BP580" s="41"/>
      <c r="BQ580" s="40">
        <v>-7.9</v>
      </c>
      <c r="BR580" s="40"/>
      <c r="BS580" s="40"/>
      <c r="BT580" s="40"/>
      <c r="BU580" s="40"/>
      <c r="BV580" s="40"/>
      <c r="BW580" s="40"/>
      <c r="BX580" s="40"/>
      <c r="BY580" s="40"/>
      <c r="BZ580" s="40"/>
      <c r="CA580" s="41"/>
      <c r="CB580" s="41"/>
      <c r="CC580" s="41"/>
      <c r="CD580" s="41"/>
      <c r="CE580" s="41"/>
      <c r="CF580" s="41"/>
      <c r="CG580" s="41"/>
      <c r="CH580" s="41"/>
      <c r="CI580" s="41"/>
      <c r="CJ580" s="41"/>
      <c r="CK580" s="41"/>
      <c r="CL580" s="41"/>
      <c r="CM580" s="41"/>
      <c r="CN580" s="41"/>
      <c r="CO580" s="41"/>
      <c r="CP580" s="41"/>
      <c r="CQ580" s="41"/>
      <c r="CR580" s="41"/>
      <c r="CS580" s="41"/>
      <c r="CT580" s="41"/>
      <c r="CU580" s="41"/>
      <c r="CV580" s="211"/>
      <c r="CW580" s="41"/>
      <c r="CX580" s="41"/>
      <c r="CY580" s="41"/>
      <c r="CZ580" s="15"/>
      <c r="DA580" s="15"/>
      <c r="DB580" s="15"/>
      <c r="DC580" s="15"/>
      <c r="DD580" s="15"/>
      <c r="DE580" s="15"/>
      <c r="DF580" s="15"/>
    </row>
    <row r="581" spans="1:110" ht="12" hidden="1" outlineLevel="2">
      <c r="A581" s="1" t="s">
        <v>68</v>
      </c>
      <c r="B581" s="15" t="s">
        <v>804</v>
      </c>
      <c r="C581" s="40"/>
      <c r="D581" s="40"/>
      <c r="E581" s="40"/>
      <c r="F581" s="40"/>
      <c r="G581" s="40"/>
      <c r="H581" s="40"/>
      <c r="I581" s="40"/>
      <c r="J581" s="40"/>
      <c r="K581" s="40"/>
      <c r="L581" s="40"/>
      <c r="M581" s="41"/>
      <c r="N581" s="41"/>
      <c r="O581" s="41"/>
      <c r="P581" s="41"/>
      <c r="Q581" s="41"/>
      <c r="R581" s="41"/>
      <c r="S581" s="41"/>
      <c r="T581" s="41"/>
      <c r="U581" s="41"/>
      <c r="V581" s="41"/>
      <c r="W581" s="41"/>
      <c r="X581" s="41"/>
      <c r="Y581" s="41"/>
      <c r="Z581" s="210"/>
      <c r="AA581" s="210"/>
      <c r="AB581" s="210"/>
      <c r="AC581" s="210"/>
      <c r="AD581" s="210"/>
      <c r="AE581" s="210"/>
      <c r="AF581" s="210"/>
      <c r="AG581" s="210"/>
      <c r="AH581" s="210"/>
      <c r="AI581" s="210"/>
      <c r="AJ581" s="210"/>
      <c r="AK581" s="210"/>
      <c r="AL581" s="210"/>
      <c r="AM581" s="210"/>
      <c r="AN581" s="210"/>
      <c r="AO581" s="210"/>
      <c r="AP581" s="210"/>
      <c r="AQ581" s="210"/>
      <c r="AR581" s="210"/>
      <c r="AS581" s="210"/>
      <c r="AT581" s="210"/>
      <c r="AU581" s="210"/>
      <c r="AV581" s="234"/>
      <c r="AW581" s="210"/>
      <c r="AX581" s="210"/>
      <c r="AY581" s="210"/>
      <c r="AZ581" s="210"/>
      <c r="BA581" s="210"/>
      <c r="BB581" s="210"/>
      <c r="BC581" s="210"/>
      <c r="BD581" s="210"/>
      <c r="BE581" s="210"/>
      <c r="BF581" s="210"/>
      <c r="BG581" s="210"/>
      <c r="BH581" s="210"/>
      <c r="BI581" s="210"/>
      <c r="BJ581" s="210"/>
      <c r="BK581" s="210"/>
      <c r="BL581" s="210"/>
      <c r="BM581" s="210"/>
      <c r="BN581" s="210"/>
      <c r="BO581" s="210"/>
      <c r="BP581" s="41"/>
      <c r="BQ581" s="40"/>
      <c r="BR581" s="40"/>
      <c r="BS581" s="40"/>
      <c r="BT581" s="40"/>
      <c r="BU581" s="40"/>
      <c r="BV581" s="40"/>
      <c r="BW581" s="40"/>
      <c r="BX581" s="40"/>
      <c r="BY581" s="40"/>
      <c r="BZ581" s="40"/>
      <c r="CA581" s="41"/>
      <c r="CB581" s="41"/>
      <c r="CC581" s="41"/>
      <c r="CD581" s="41"/>
      <c r="CE581" s="41"/>
      <c r="CF581" s="41"/>
      <c r="CG581" s="41"/>
      <c r="CH581" s="41"/>
      <c r="CI581" s="41"/>
      <c r="CJ581" s="41"/>
      <c r="CK581" s="41"/>
      <c r="CL581" s="41"/>
      <c r="CM581" s="41"/>
      <c r="CN581" s="41"/>
      <c r="CO581" s="41"/>
      <c r="CP581" s="41"/>
      <c r="CQ581" s="41"/>
      <c r="CR581" s="41"/>
      <c r="CS581" s="41"/>
      <c r="CT581" s="41"/>
      <c r="CU581" s="41"/>
      <c r="CV581" s="211"/>
      <c r="CW581" s="41"/>
      <c r="CX581" s="41"/>
      <c r="CY581" s="41"/>
      <c r="CZ581" s="15"/>
      <c r="DA581" s="15"/>
      <c r="DB581" s="15"/>
      <c r="DC581" s="15"/>
      <c r="DD581" s="15"/>
      <c r="DE581" s="15"/>
      <c r="DF581" s="15"/>
    </row>
    <row r="582" spans="1:110" ht="12" hidden="1" outlineLevel="2">
      <c r="A582" s="1" t="s">
        <v>11</v>
      </c>
      <c r="B582" s="15" t="s">
        <v>804</v>
      </c>
      <c r="C582" s="40"/>
      <c r="D582" s="40"/>
      <c r="E582" s="40"/>
      <c r="F582" s="40"/>
      <c r="G582" s="40"/>
      <c r="H582" s="40"/>
      <c r="I582" s="40"/>
      <c r="J582" s="40"/>
      <c r="K582" s="40"/>
      <c r="L582" s="40"/>
      <c r="M582" s="41"/>
      <c r="N582" s="41"/>
      <c r="O582" s="41"/>
      <c r="P582" s="41"/>
      <c r="Q582" s="41"/>
      <c r="R582" s="41"/>
      <c r="S582" s="41"/>
      <c r="T582" s="41"/>
      <c r="U582" s="41"/>
      <c r="V582" s="41"/>
      <c r="W582" s="41"/>
      <c r="X582" s="41"/>
      <c r="Y582" s="41"/>
      <c r="Z582" s="210"/>
      <c r="AA582" s="210"/>
      <c r="AB582" s="210"/>
      <c r="AC582" s="210"/>
      <c r="AD582" s="210"/>
      <c r="AE582" s="210"/>
      <c r="AF582" s="210"/>
      <c r="AG582" s="210"/>
      <c r="AH582" s="210"/>
      <c r="AI582" s="210"/>
      <c r="AJ582" s="210"/>
      <c r="AK582" s="210"/>
      <c r="AL582" s="210"/>
      <c r="AM582" s="210"/>
      <c r="AN582" s="210"/>
      <c r="AO582" s="210"/>
      <c r="AP582" s="210"/>
      <c r="AQ582" s="210"/>
      <c r="AR582" s="210"/>
      <c r="AS582" s="210"/>
      <c r="AT582" s="210"/>
      <c r="AU582" s="210"/>
      <c r="AV582" s="234"/>
      <c r="AW582" s="210"/>
      <c r="AX582" s="210"/>
      <c r="AY582" s="210"/>
      <c r="AZ582" s="210"/>
      <c r="BA582" s="210"/>
      <c r="BB582" s="210"/>
      <c r="BC582" s="210"/>
      <c r="BD582" s="210"/>
      <c r="BE582" s="210"/>
      <c r="BF582" s="210"/>
      <c r="BG582" s="210"/>
      <c r="BH582" s="210"/>
      <c r="BI582" s="210"/>
      <c r="BJ582" s="210"/>
      <c r="BK582" s="210"/>
      <c r="BL582" s="210"/>
      <c r="BM582" s="210"/>
      <c r="BN582" s="210"/>
      <c r="BO582" s="210"/>
      <c r="BP582" s="41"/>
      <c r="BQ582" s="40"/>
      <c r="BR582" s="40"/>
      <c r="BS582" s="40"/>
      <c r="BT582" s="40"/>
      <c r="BU582" s="40"/>
      <c r="BV582" s="40"/>
      <c r="BW582" s="40"/>
      <c r="BX582" s="40"/>
      <c r="BY582" s="40"/>
      <c r="BZ582" s="40"/>
      <c r="CA582" s="41"/>
      <c r="CB582" s="41"/>
      <c r="CC582" s="41"/>
      <c r="CD582" s="41"/>
      <c r="CE582" s="41"/>
      <c r="CF582" s="41"/>
      <c r="CG582" s="41"/>
      <c r="CH582" s="41"/>
      <c r="CI582" s="41"/>
      <c r="CJ582" s="41"/>
      <c r="CK582" s="41"/>
      <c r="CL582" s="41"/>
      <c r="CM582" s="41"/>
      <c r="CN582" s="41"/>
      <c r="CO582" s="41"/>
      <c r="CP582" s="41"/>
      <c r="CQ582" s="41"/>
      <c r="CR582" s="41"/>
      <c r="CS582" s="41"/>
      <c r="CT582" s="41"/>
      <c r="CU582" s="41"/>
      <c r="CV582" s="211"/>
      <c r="CW582" s="41"/>
      <c r="CX582" s="41"/>
      <c r="CY582" s="41"/>
      <c r="CZ582" s="15"/>
      <c r="DA582" s="15"/>
      <c r="DB582" s="15"/>
      <c r="DC582" s="15"/>
      <c r="DD582" s="15"/>
      <c r="DE582" s="15"/>
      <c r="DF582" s="15"/>
    </row>
    <row r="583" spans="1:110" ht="12" outlineLevel="1" collapsed="1">
      <c r="A583" s="1" t="s">
        <v>1043</v>
      </c>
      <c r="B583" s="15" t="s">
        <v>477</v>
      </c>
      <c r="C583" s="40">
        <v>355</v>
      </c>
      <c r="D583" s="40">
        <v>-82</v>
      </c>
      <c r="E583" s="40">
        <v>-81</v>
      </c>
      <c r="F583" s="40">
        <v>-90</v>
      </c>
      <c r="G583" s="40">
        <v>40</v>
      </c>
      <c r="H583" s="40">
        <v>-44</v>
      </c>
      <c r="I583" s="40">
        <v>-160</v>
      </c>
      <c r="J583" s="40">
        <v>70</v>
      </c>
      <c r="K583" s="40">
        <v>0</v>
      </c>
      <c r="L583" s="40">
        <v>0</v>
      </c>
      <c r="M583" s="40">
        <v>9</v>
      </c>
      <c r="N583" s="40">
        <v>4</v>
      </c>
      <c r="O583" s="40">
        <v>-37</v>
      </c>
      <c r="P583" s="40">
        <v>-325</v>
      </c>
      <c r="Q583" s="40">
        <v>-402</v>
      </c>
      <c r="R583" s="40">
        <v>-464</v>
      </c>
      <c r="S583" s="40">
        <v>-8</v>
      </c>
      <c r="T583" s="40">
        <v>22</v>
      </c>
      <c r="U583" s="40">
        <v>-19</v>
      </c>
      <c r="V583" s="40">
        <v>-18</v>
      </c>
      <c r="W583" s="40">
        <v>-128</v>
      </c>
      <c r="X583" s="40">
        <v>-40</v>
      </c>
      <c r="Y583" s="40">
        <v>-46</v>
      </c>
      <c r="Z583" s="141">
        <v>-496</v>
      </c>
      <c r="AA583" s="141">
        <v>-394</v>
      </c>
      <c r="AB583" s="141">
        <v>-348</v>
      </c>
      <c r="AC583" s="141">
        <v>-465</v>
      </c>
      <c r="AD583" s="141">
        <v>-608</v>
      </c>
      <c r="AE583" s="141">
        <v>-533</v>
      </c>
      <c r="AF583" s="141">
        <v>-505</v>
      </c>
      <c r="AG583" s="141">
        <v>-554</v>
      </c>
      <c r="AH583" s="141">
        <v>-1088</v>
      </c>
      <c r="AI583" s="141">
        <v>-1022</v>
      </c>
      <c r="AJ583" s="141">
        <v>-1397</v>
      </c>
      <c r="AK583" s="141">
        <v>-1387</v>
      </c>
      <c r="AL583" s="141">
        <v>-1952</v>
      </c>
      <c r="AM583" s="141">
        <v>-2208</v>
      </c>
      <c r="AN583" s="141">
        <v>-1317</v>
      </c>
      <c r="AO583" s="141">
        <v>-1224</v>
      </c>
      <c r="AP583" s="141">
        <v>-806</v>
      </c>
      <c r="AQ583" s="141">
        <v>-573</v>
      </c>
      <c r="AR583" s="141">
        <v>973</v>
      </c>
      <c r="AS583" s="141">
        <v>1627</v>
      </c>
      <c r="AT583" s="141">
        <v>936</v>
      </c>
      <c r="AU583" s="141">
        <v>1533</v>
      </c>
      <c r="AV583" s="226">
        <v>846</v>
      </c>
      <c r="AW583" s="210">
        <v>846</v>
      </c>
      <c r="AX583" s="210">
        <v>846</v>
      </c>
      <c r="AY583" s="210">
        <v>846</v>
      </c>
      <c r="AZ583" s="210">
        <v>846</v>
      </c>
      <c r="BA583" s="210">
        <v>846</v>
      </c>
      <c r="BB583" s="210">
        <v>846</v>
      </c>
      <c r="BC583" s="210">
        <v>846</v>
      </c>
      <c r="BD583" s="210">
        <v>846</v>
      </c>
      <c r="BE583" s="210">
        <v>846</v>
      </c>
      <c r="BF583" s="210">
        <v>846</v>
      </c>
      <c r="BG583" s="210">
        <v>846</v>
      </c>
      <c r="BH583" s="210">
        <v>846</v>
      </c>
      <c r="BI583" s="210">
        <v>846</v>
      </c>
      <c r="BJ583" s="210">
        <v>846</v>
      </c>
      <c r="BK583" s="210">
        <v>846</v>
      </c>
      <c r="BL583" s="210">
        <v>846</v>
      </c>
      <c r="BM583" s="210">
        <v>846</v>
      </c>
      <c r="BN583" s="210">
        <v>846</v>
      </c>
      <c r="BO583" s="210">
        <v>846</v>
      </c>
      <c r="BP583" s="41"/>
      <c r="BQ583" s="41">
        <v>600.09999999999991</v>
      </c>
      <c r="BR583" s="41">
        <v>266.8999999999993</v>
      </c>
      <c r="BS583" s="41">
        <v>389</v>
      </c>
      <c r="BT583" s="41">
        <v>0</v>
      </c>
      <c r="BU583" s="41">
        <v>0</v>
      </c>
      <c r="BV583" s="41">
        <v>0</v>
      </c>
      <c r="BW583" s="41">
        <v>645</v>
      </c>
      <c r="BX583" s="41">
        <v>1145</v>
      </c>
      <c r="BY583" s="41">
        <v>1374</v>
      </c>
      <c r="BZ583" s="41">
        <v>1526</v>
      </c>
      <c r="CA583" s="41">
        <v>-81</v>
      </c>
      <c r="CB583" s="41">
        <v>40</v>
      </c>
      <c r="CC583" s="41">
        <v>-160</v>
      </c>
      <c r="CD583" s="41">
        <v>0</v>
      </c>
      <c r="CE583" s="41">
        <v>9</v>
      </c>
      <c r="CF583" s="41">
        <v>-37</v>
      </c>
      <c r="CG583" s="41">
        <v>-402</v>
      </c>
      <c r="CH583" s="41">
        <v>-8</v>
      </c>
      <c r="CI583" s="41">
        <v>-19</v>
      </c>
      <c r="CJ583" s="41">
        <v>-128</v>
      </c>
      <c r="CK583" s="41">
        <v>-46</v>
      </c>
      <c r="CL583" s="41">
        <v>-394</v>
      </c>
      <c r="CM583" s="41">
        <v>-465</v>
      </c>
      <c r="CN583" s="41">
        <v>-533</v>
      </c>
      <c r="CO583" s="41">
        <v>-554</v>
      </c>
      <c r="CP583" s="41">
        <v>-1022</v>
      </c>
      <c r="CQ583" s="41">
        <v>-1387</v>
      </c>
      <c r="CR583" s="41">
        <v>-2208</v>
      </c>
      <c r="CS583" s="41">
        <v>-1224</v>
      </c>
      <c r="CT583" s="41">
        <v>-573</v>
      </c>
      <c r="CU583" s="41">
        <v>1627</v>
      </c>
      <c r="CV583" s="211">
        <v>1533</v>
      </c>
      <c r="CW583" s="41">
        <v>846</v>
      </c>
      <c r="CX583" s="41">
        <v>846</v>
      </c>
      <c r="CY583" s="41">
        <v>846</v>
      </c>
      <c r="CZ583" s="41">
        <v>846</v>
      </c>
      <c r="DA583" s="41">
        <v>846</v>
      </c>
      <c r="DB583" s="41">
        <v>846</v>
      </c>
      <c r="DC583" s="41">
        <v>846</v>
      </c>
      <c r="DD583" s="41">
        <v>846</v>
      </c>
      <c r="DE583" s="41">
        <v>846</v>
      </c>
      <c r="DF583" s="41">
        <v>846</v>
      </c>
    </row>
    <row r="584" spans="1:110" ht="12" outlineLevel="1">
      <c r="A584" s="1" t="s">
        <v>1044</v>
      </c>
      <c r="B584" s="15" t="s">
        <v>575</v>
      </c>
      <c r="C584" s="41">
        <v>0</v>
      </c>
      <c r="D584" s="41">
        <v>0</v>
      </c>
      <c r="E584" s="41">
        <v>0</v>
      </c>
      <c r="F584" s="41">
        <v>0</v>
      </c>
      <c r="G584" s="41">
        <v>0</v>
      </c>
      <c r="H584" s="41">
        <v>0</v>
      </c>
      <c r="I584" s="41">
        <v>0</v>
      </c>
      <c r="J584" s="41">
        <v>0</v>
      </c>
      <c r="K584" s="41">
        <v>0</v>
      </c>
      <c r="L584" s="41">
        <v>0</v>
      </c>
      <c r="M584" s="41">
        <v>0</v>
      </c>
      <c r="N584" s="41">
        <v>0</v>
      </c>
      <c r="O584" s="41">
        <v>0</v>
      </c>
      <c r="P584" s="41">
        <v>-51</v>
      </c>
      <c r="Q584" s="41">
        <v>-32</v>
      </c>
      <c r="R584" s="41">
        <v>-233</v>
      </c>
      <c r="S584" s="41">
        <v>-212</v>
      </c>
      <c r="T584" s="41">
        <v>-439</v>
      </c>
      <c r="U584" s="41">
        <v>-378</v>
      </c>
      <c r="V584" s="41">
        <v>-290</v>
      </c>
      <c r="W584" s="41">
        <v>-310</v>
      </c>
      <c r="X584" s="41">
        <v>-326</v>
      </c>
      <c r="Y584" s="41">
        <v>-154</v>
      </c>
      <c r="Z584" s="141">
        <v>0</v>
      </c>
      <c r="AA584" s="141">
        <v>0</v>
      </c>
      <c r="AB584" s="41">
        <v>0</v>
      </c>
      <c r="AC584" s="41">
        <v>0</v>
      </c>
      <c r="AD584" s="41">
        <v>0</v>
      </c>
      <c r="AE584" s="41">
        <v>0</v>
      </c>
      <c r="AF584" s="41">
        <v>0</v>
      </c>
      <c r="AG584" s="41">
        <v>0</v>
      </c>
      <c r="AH584" s="41">
        <v>0</v>
      </c>
      <c r="AI584" s="41">
        <v>0</v>
      </c>
      <c r="AJ584" s="41">
        <v>0</v>
      </c>
      <c r="AK584" s="41">
        <v>0</v>
      </c>
      <c r="AL584" s="41">
        <v>0</v>
      </c>
      <c r="AM584" s="41">
        <v>0</v>
      </c>
      <c r="AN584" s="41">
        <v>-1254</v>
      </c>
      <c r="AO584" s="41">
        <v>-1149</v>
      </c>
      <c r="AP584" s="41">
        <v>-1254</v>
      </c>
      <c r="AQ584" s="41">
        <v>-1360</v>
      </c>
      <c r="AR584" s="41">
        <v>-1432</v>
      </c>
      <c r="AS584" s="41">
        <v>-1385</v>
      </c>
      <c r="AT584" s="41">
        <v>-973</v>
      </c>
      <c r="AU584" s="41">
        <v>-925</v>
      </c>
      <c r="AV584" s="211">
        <v>-1168</v>
      </c>
      <c r="AW584" s="210">
        <v>-2168</v>
      </c>
      <c r="AX584" s="210">
        <v>-1168</v>
      </c>
      <c r="AY584" s="210">
        <v>-1168</v>
      </c>
      <c r="AZ584" s="210">
        <v>-1168</v>
      </c>
      <c r="BA584" s="210">
        <v>-1168</v>
      </c>
      <c r="BB584" s="210">
        <v>-1168</v>
      </c>
      <c r="BC584" s="210">
        <v>-1168</v>
      </c>
      <c r="BD584" s="210">
        <v>-1168</v>
      </c>
      <c r="BE584" s="210">
        <v>-1168</v>
      </c>
      <c r="BF584" s="210">
        <v>-1168</v>
      </c>
      <c r="BG584" s="210">
        <v>-1168</v>
      </c>
      <c r="BH584" s="210">
        <v>-1168</v>
      </c>
      <c r="BI584" s="210">
        <v>-1168</v>
      </c>
      <c r="BJ584" s="210">
        <v>-1168</v>
      </c>
      <c r="BK584" s="210">
        <v>-1168</v>
      </c>
      <c r="BL584" s="210">
        <v>-1168</v>
      </c>
      <c r="BM584" s="210">
        <v>-1168</v>
      </c>
      <c r="BN584" s="210">
        <v>-1168</v>
      </c>
      <c r="BO584" s="210">
        <v>-1168</v>
      </c>
      <c r="BP584" s="41"/>
      <c r="BQ584" s="40">
        <v>0</v>
      </c>
      <c r="BR584" s="40">
        <v>0</v>
      </c>
      <c r="BS584" s="40">
        <v>0</v>
      </c>
      <c r="BT584" s="40">
        <v>0</v>
      </c>
      <c r="BU584" s="40">
        <v>0</v>
      </c>
      <c r="BV584" s="40">
        <v>0</v>
      </c>
      <c r="BW584" s="40">
        <v>0</v>
      </c>
      <c r="BX584" s="40">
        <v>0</v>
      </c>
      <c r="BY584" s="40">
        <v>0</v>
      </c>
      <c r="BZ584" s="40">
        <v>0</v>
      </c>
      <c r="CA584" s="41">
        <v>0</v>
      </c>
      <c r="CB584" s="41">
        <v>0</v>
      </c>
      <c r="CC584" s="41">
        <v>0</v>
      </c>
      <c r="CD584" s="41">
        <v>0</v>
      </c>
      <c r="CE584" s="41">
        <v>0</v>
      </c>
      <c r="CF584" s="41">
        <v>0</v>
      </c>
      <c r="CG584" s="41">
        <v>-32</v>
      </c>
      <c r="CH584" s="41">
        <v>-212</v>
      </c>
      <c r="CI584" s="41">
        <v>-378</v>
      </c>
      <c r="CJ584" s="41">
        <v>-310</v>
      </c>
      <c r="CK584" s="41">
        <v>-154</v>
      </c>
      <c r="CL584" s="41">
        <v>0</v>
      </c>
      <c r="CM584" s="41">
        <v>0</v>
      </c>
      <c r="CN584" s="41">
        <v>0</v>
      </c>
      <c r="CO584" s="41">
        <v>0</v>
      </c>
      <c r="CP584" s="41">
        <v>0</v>
      </c>
      <c r="CQ584" s="41">
        <v>0</v>
      </c>
      <c r="CR584" s="41">
        <v>0</v>
      </c>
      <c r="CS584" s="41">
        <v>-1149</v>
      </c>
      <c r="CT584" s="41">
        <v>-1360</v>
      </c>
      <c r="CU584" s="41">
        <v>-1385</v>
      </c>
      <c r="CV584" s="211">
        <v>-925</v>
      </c>
      <c r="CW584" s="41">
        <v>-2168</v>
      </c>
      <c r="CX584" s="41">
        <v>-1168</v>
      </c>
      <c r="CY584" s="41">
        <v>-1168</v>
      </c>
      <c r="CZ584" s="41">
        <v>-1168</v>
      </c>
      <c r="DA584" s="41">
        <v>-1168</v>
      </c>
      <c r="DB584" s="41">
        <v>-1168</v>
      </c>
      <c r="DC584" s="41">
        <v>-1168</v>
      </c>
      <c r="DD584" s="41">
        <v>-1168</v>
      </c>
      <c r="DE584" s="41">
        <v>-1168</v>
      </c>
      <c r="DF584" s="41">
        <v>-1168</v>
      </c>
    </row>
    <row r="585" spans="1:110" s="17" customFormat="1" ht="12" outlineLevel="1">
      <c r="A585" s="1" t="s">
        <v>1045</v>
      </c>
      <c r="B585" s="17" t="s">
        <v>168</v>
      </c>
      <c r="C585" s="61">
        <v>222</v>
      </c>
      <c r="D585" s="61">
        <v>-265</v>
      </c>
      <c r="E585" s="61">
        <v>-266</v>
      </c>
      <c r="F585" s="61">
        <v>-268</v>
      </c>
      <c r="G585" s="61">
        <v>-1031</v>
      </c>
      <c r="H585" s="61">
        <v>-4167</v>
      </c>
      <c r="I585" s="61">
        <v>-4822</v>
      </c>
      <c r="J585" s="61">
        <v>-4456</v>
      </c>
      <c r="K585" s="61">
        <v>-4453</v>
      </c>
      <c r="L585" s="61">
        <v>-4504</v>
      </c>
      <c r="M585" s="61">
        <v>-4558</v>
      </c>
      <c r="N585" s="61">
        <v>-5227</v>
      </c>
      <c r="O585" s="61">
        <v>-5454</v>
      </c>
      <c r="P585" s="61">
        <v>-7882</v>
      </c>
      <c r="Q585" s="61">
        <v>-7856</v>
      </c>
      <c r="R585" s="61">
        <v>-8051</v>
      </c>
      <c r="S585" s="61">
        <v>-7492</v>
      </c>
      <c r="T585" s="61">
        <v>-9433</v>
      </c>
      <c r="U585" s="61">
        <v>-10057</v>
      </c>
      <c r="V585" s="61">
        <v>-10070</v>
      </c>
      <c r="W585" s="61">
        <v>-10611</v>
      </c>
      <c r="X585" s="61">
        <v>-10858</v>
      </c>
      <c r="Y585" s="61">
        <v>-10839</v>
      </c>
      <c r="Z585" s="194">
        <v>-15170</v>
      </c>
      <c r="AA585" s="194">
        <v>-15892</v>
      </c>
      <c r="AB585" s="194">
        <v>-15947</v>
      </c>
      <c r="AC585" s="194">
        <v>-16297</v>
      </c>
      <c r="AD585" s="194">
        <v>-17796</v>
      </c>
      <c r="AE585" s="194">
        <v>-18440</v>
      </c>
      <c r="AF585" s="194">
        <v>-17778</v>
      </c>
      <c r="AG585" s="194">
        <v>-18179</v>
      </c>
      <c r="AH585" s="194">
        <v>-17182</v>
      </c>
      <c r="AI585" s="194">
        <v>-17258</v>
      </c>
      <c r="AJ585" s="194">
        <v>-15399</v>
      </c>
      <c r="AK585" s="194">
        <v>-14370</v>
      </c>
      <c r="AL585" s="194">
        <v>-14400</v>
      </c>
      <c r="AM585" s="194">
        <v>-13559</v>
      </c>
      <c r="AN585" s="194">
        <v>-13271</v>
      </c>
      <c r="AO585" s="194">
        <v>-12784</v>
      </c>
      <c r="AP585" s="194">
        <v>-11900</v>
      </c>
      <c r="AQ585" s="194">
        <v>-12320</v>
      </c>
      <c r="AR585" s="194">
        <v>-11425</v>
      </c>
      <c r="AS585" s="194">
        <v>-10354</v>
      </c>
      <c r="AT585" s="194">
        <v>-10887</v>
      </c>
      <c r="AU585" s="194">
        <v>-10895</v>
      </c>
      <c r="AV585" s="227">
        <v>-11142</v>
      </c>
      <c r="AW585" s="62">
        <v>-12238.088499891381</v>
      </c>
      <c r="AX585" s="62">
        <v>-11249.277620719515</v>
      </c>
      <c r="AY585" s="62">
        <v>-11272.589552515303</v>
      </c>
      <c r="AZ585" s="62">
        <v>-11292.961498597128</v>
      </c>
      <c r="BA585" s="62">
        <v>-11311.442134372746</v>
      </c>
      <c r="BB585" s="62">
        <v>-11330.809148890456</v>
      </c>
      <c r="BC585" s="62">
        <v>-11349.286792855157</v>
      </c>
      <c r="BD585" s="62">
        <v>-11368.599158744626</v>
      </c>
      <c r="BE585" s="62">
        <v>-11388.143297044222</v>
      </c>
      <c r="BF585" s="62">
        <v>-11408.698759672332</v>
      </c>
      <c r="BG585" s="62">
        <v>-11428.605250937673</v>
      </c>
      <c r="BH585" s="62">
        <v>-11451.589531994308</v>
      </c>
      <c r="BI585" s="62">
        <v>-11472.2448770917</v>
      </c>
      <c r="BJ585" s="62">
        <v>-11496.588018309252</v>
      </c>
      <c r="BK585" s="62">
        <v>-11522.012964436284</v>
      </c>
      <c r="BL585" s="62">
        <v>-11550.114963598679</v>
      </c>
      <c r="BM585" s="62">
        <v>-11580.772461030088</v>
      </c>
      <c r="BN585" s="62">
        <v>-11608.203250718878</v>
      </c>
      <c r="BO585" s="62">
        <v>-11635.349628840679</v>
      </c>
      <c r="BP585" s="62"/>
      <c r="BQ585" s="61">
        <v>-120.40000000000009</v>
      </c>
      <c r="BR585" s="61">
        <v>-320.20000000000073</v>
      </c>
      <c r="BS585" s="61">
        <v>49</v>
      </c>
      <c r="BT585" s="61">
        <v>-244</v>
      </c>
      <c r="BU585" s="61">
        <v>-63</v>
      </c>
      <c r="BV585" s="61">
        <v>-21</v>
      </c>
      <c r="BW585" s="61">
        <v>563</v>
      </c>
      <c r="BX585" s="61">
        <v>1045</v>
      </c>
      <c r="BY585" s="61">
        <v>1238</v>
      </c>
      <c r="BZ585" s="61">
        <v>1393</v>
      </c>
      <c r="CA585" s="62">
        <v>-266</v>
      </c>
      <c r="CB585" s="62">
        <v>-1031</v>
      </c>
      <c r="CC585" s="62">
        <v>-4822</v>
      </c>
      <c r="CD585" s="62">
        <v>-4453</v>
      </c>
      <c r="CE585" s="62">
        <v>-5274</v>
      </c>
      <c r="CF585" s="62">
        <v>-6170</v>
      </c>
      <c r="CG585" s="62">
        <v>-7856</v>
      </c>
      <c r="CH585" s="62">
        <v>-7492</v>
      </c>
      <c r="CI585" s="62">
        <v>-10057</v>
      </c>
      <c r="CJ585" s="62">
        <v>-10611</v>
      </c>
      <c r="CK585" s="62">
        <v>-10839</v>
      </c>
      <c r="CL585" s="62">
        <v>-15892</v>
      </c>
      <c r="CM585" s="62">
        <v>-16297</v>
      </c>
      <c r="CN585" s="62">
        <v>-18440</v>
      </c>
      <c r="CO585" s="62">
        <v>-18179</v>
      </c>
      <c r="CP585" s="62">
        <v>-17258</v>
      </c>
      <c r="CQ585" s="62">
        <v>-14370</v>
      </c>
      <c r="CR585" s="62">
        <v>-13559</v>
      </c>
      <c r="CS585" s="62">
        <v>-12784</v>
      </c>
      <c r="CT585" s="62">
        <v>-12320</v>
      </c>
      <c r="CU585" s="62">
        <v>-10354</v>
      </c>
      <c r="CV585" s="220">
        <v>-10895</v>
      </c>
      <c r="CW585" s="62">
        <v>-12238.088499891381</v>
      </c>
      <c r="CX585" s="62">
        <v>-11272.589552515303</v>
      </c>
      <c r="CY585" s="62">
        <v>-11311.442134372746</v>
      </c>
      <c r="CZ585" s="62">
        <v>-11349.286792855157</v>
      </c>
      <c r="DA585" s="62">
        <v>-11388.143297044222</v>
      </c>
      <c r="DB585" s="62">
        <v>-11428.605250937673</v>
      </c>
      <c r="DC585" s="62">
        <v>-11472.2448770917</v>
      </c>
      <c r="DD585" s="62">
        <v>-11522.012964436284</v>
      </c>
      <c r="DE585" s="62">
        <v>-11580.772461030088</v>
      </c>
      <c r="DF585" s="62">
        <v>-11635.349628840679</v>
      </c>
    </row>
    <row r="586" spans="1:110" ht="12" outlineLevel="1">
      <c r="C586" s="41"/>
      <c r="D586" s="41"/>
      <c r="E586" s="41"/>
      <c r="F586" s="41"/>
      <c r="G586" s="41"/>
      <c r="H586" s="41"/>
      <c r="I586" s="41"/>
      <c r="J586" s="41"/>
      <c r="K586" s="41"/>
      <c r="L586" s="41"/>
      <c r="M586" s="41"/>
      <c r="N586" s="41"/>
      <c r="O586" s="41"/>
      <c r="P586" s="41"/>
      <c r="Q586" s="41"/>
      <c r="R586" s="41"/>
      <c r="S586" s="41"/>
      <c r="T586" s="41"/>
      <c r="U586" s="41"/>
      <c r="V586" s="41"/>
      <c r="W586" s="41"/>
      <c r="X586" s="41"/>
      <c r="Y586" s="41"/>
      <c r="Z586" s="41"/>
      <c r="AA586" s="41"/>
      <c r="AB586" s="41"/>
      <c r="AC586" s="41"/>
      <c r="AD586" s="41"/>
      <c r="AE586" s="41"/>
      <c r="AF586" s="41"/>
      <c r="AG586" s="41"/>
      <c r="AH586" s="41"/>
      <c r="AI586" s="41"/>
      <c r="AJ586" s="41"/>
      <c r="AK586" s="41"/>
      <c r="AL586" s="41"/>
      <c r="AM586" s="41"/>
      <c r="AN586" s="41"/>
      <c r="AO586" s="41"/>
      <c r="AP586" s="41"/>
      <c r="AQ586" s="41"/>
      <c r="AR586" s="41"/>
      <c r="AS586" s="41"/>
      <c r="AT586" s="41"/>
      <c r="AU586" s="41"/>
      <c r="AV586" s="211"/>
      <c r="AW586" s="41"/>
      <c r="AX586" s="41"/>
      <c r="AY586" s="41"/>
      <c r="AZ586" s="41"/>
      <c r="BA586" s="41"/>
      <c r="BB586" s="41"/>
      <c r="BC586" s="41"/>
      <c r="BD586" s="41"/>
      <c r="BE586" s="41"/>
      <c r="BF586" s="41"/>
      <c r="BG586" s="41"/>
      <c r="BH586" s="41"/>
      <c r="BI586" s="41"/>
      <c r="BJ586" s="41"/>
      <c r="BK586" s="41"/>
      <c r="BL586" s="41"/>
      <c r="BM586" s="41"/>
      <c r="BN586" s="41"/>
      <c r="BO586" s="41"/>
      <c r="BP586" s="41"/>
      <c r="BQ586" s="41"/>
      <c r="BR586" s="41"/>
      <c r="BS586" s="41"/>
      <c r="BT586" s="41"/>
      <c r="BU586" s="41"/>
      <c r="BV586" s="41"/>
      <c r="BW586" s="41"/>
      <c r="BX586" s="41"/>
      <c r="BY586" s="41"/>
      <c r="BZ586" s="41"/>
      <c r="CA586" s="41"/>
      <c r="CB586" s="41"/>
      <c r="CC586" s="41"/>
      <c r="CD586" s="41"/>
      <c r="CE586" s="41"/>
      <c r="CF586" s="41"/>
      <c r="CG586" s="41"/>
      <c r="CH586" s="41"/>
      <c r="CI586" s="41"/>
      <c r="CJ586" s="41"/>
      <c r="CK586" s="41"/>
      <c r="CL586" s="41"/>
      <c r="CM586" s="41"/>
      <c r="CN586" s="41"/>
      <c r="CO586" s="41"/>
      <c r="CP586" s="41"/>
      <c r="CQ586" s="41"/>
      <c r="CR586" s="41"/>
      <c r="CS586" s="41"/>
      <c r="CT586" s="41"/>
      <c r="CU586" s="41"/>
      <c r="CV586" s="211"/>
      <c r="CW586" s="41"/>
      <c r="CX586" s="41"/>
      <c r="CY586" s="41"/>
      <c r="CZ586" s="15"/>
      <c r="DA586" s="15"/>
      <c r="DB586" s="15"/>
      <c r="DC586" s="15"/>
      <c r="DD586" s="15"/>
      <c r="DE586" s="15"/>
      <c r="DF586" s="15"/>
    </row>
    <row r="587" spans="1:110" s="17" customFormat="1" ht="12" outlineLevel="1">
      <c r="A587" s="1" t="s">
        <v>1046</v>
      </c>
      <c r="B587" s="17" t="s">
        <v>638</v>
      </c>
      <c r="C587" s="62">
        <v>10387</v>
      </c>
      <c r="D587" s="62">
        <v>10589</v>
      </c>
      <c r="E587" s="62">
        <v>11201</v>
      </c>
      <c r="F587" s="62">
        <v>11511</v>
      </c>
      <c r="G587" s="62">
        <v>11740</v>
      </c>
      <c r="H587" s="62">
        <v>13025</v>
      </c>
      <c r="I587" s="62">
        <v>13566</v>
      </c>
      <c r="J587" s="62">
        <v>14680</v>
      </c>
      <c r="K587" s="62">
        <v>15157</v>
      </c>
      <c r="L587" s="62">
        <v>15789</v>
      </c>
      <c r="M587" s="62">
        <v>16357</v>
      </c>
      <c r="N587" s="62">
        <v>16751</v>
      </c>
      <c r="O587" s="62">
        <v>18428</v>
      </c>
      <c r="P587" s="62">
        <v>18308</v>
      </c>
      <c r="Q587" s="62">
        <v>21229</v>
      </c>
      <c r="R587" s="62">
        <v>22943</v>
      </c>
      <c r="S587" s="62">
        <v>26619</v>
      </c>
      <c r="T587" s="62">
        <v>26628</v>
      </c>
      <c r="U587" s="62">
        <v>26691</v>
      </c>
      <c r="V587" s="62">
        <v>27770</v>
      </c>
      <c r="W587" s="62">
        <v>30616</v>
      </c>
      <c r="X587" s="62">
        <v>32088</v>
      </c>
      <c r="Y587" s="62">
        <v>32501</v>
      </c>
      <c r="Z587" s="62">
        <v>31740</v>
      </c>
      <c r="AA587" s="62">
        <v>35180</v>
      </c>
      <c r="AB587" s="62">
        <v>37299</v>
      </c>
      <c r="AC587" s="62">
        <v>38601</v>
      </c>
      <c r="AD587" s="62">
        <v>41088</v>
      </c>
      <c r="AE587" s="62">
        <v>45484</v>
      </c>
      <c r="AF587" s="62">
        <v>45062</v>
      </c>
      <c r="AG587" s="62">
        <v>48285</v>
      </c>
      <c r="AH587" s="62">
        <v>48091</v>
      </c>
      <c r="AI587" s="62">
        <v>49324</v>
      </c>
      <c r="AJ587" s="62">
        <v>51125</v>
      </c>
      <c r="AK587" s="62">
        <v>52240</v>
      </c>
      <c r="AL587" s="62">
        <v>53075</v>
      </c>
      <c r="AM587" s="62">
        <v>55221</v>
      </c>
      <c r="AN587" s="62">
        <v>56002</v>
      </c>
      <c r="AO587" s="62">
        <v>56087</v>
      </c>
      <c r="AP587" s="62">
        <v>58431</v>
      </c>
      <c r="AQ587" s="62">
        <v>59473</v>
      </c>
      <c r="AR587" s="62">
        <v>58001</v>
      </c>
      <c r="AS587" s="62">
        <v>63558</v>
      </c>
      <c r="AT587" s="62">
        <v>65565</v>
      </c>
      <c r="AU587" s="62">
        <v>66026</v>
      </c>
      <c r="AV587" s="220">
        <v>66709</v>
      </c>
      <c r="AW587" s="62">
        <v>63288.905950325978</v>
      </c>
      <c r="AX587" s="62">
        <v>64044.859580489268</v>
      </c>
      <c r="AY587" s="62">
        <v>64197.284933744755</v>
      </c>
      <c r="AZ587" s="62">
        <v>64564.876809381356</v>
      </c>
      <c r="BA587" s="62">
        <v>64907.733575507911</v>
      </c>
      <c r="BB587" s="62">
        <v>65597.489222513104</v>
      </c>
      <c r="BC587" s="62">
        <v>66318.234514475087</v>
      </c>
      <c r="BD587" s="62">
        <v>67302.11607994631</v>
      </c>
      <c r="BE587" s="62">
        <v>68151.451591695732</v>
      </c>
      <c r="BF587" s="62">
        <v>69289.161516580891</v>
      </c>
      <c r="BG587" s="62">
        <v>70193.598012297123</v>
      </c>
      <c r="BH587" s="62">
        <v>70898.988893895745</v>
      </c>
      <c r="BI587" s="62">
        <v>73601.449137236137</v>
      </c>
      <c r="BJ587" s="62">
        <v>76663.393856476381</v>
      </c>
      <c r="BK587" s="62">
        <v>78074.414647049882</v>
      </c>
      <c r="BL587" s="62">
        <v>80046.870330321952</v>
      </c>
      <c r="BM587" s="62">
        <v>81251.078263447009</v>
      </c>
      <c r="BN587" s="62">
        <v>82742.296632113372</v>
      </c>
      <c r="BO587" s="62">
        <v>83985.600598423713</v>
      </c>
      <c r="BP587" s="62"/>
      <c r="BQ587" s="62">
        <v>3870.6</v>
      </c>
      <c r="BR587" s="62">
        <v>4545.8</v>
      </c>
      <c r="BS587" s="62">
        <v>5164</v>
      </c>
      <c r="BT587" s="62">
        <v>5503</v>
      </c>
      <c r="BU587" s="62">
        <v>6273</v>
      </c>
      <c r="BV587" s="62">
        <v>6972</v>
      </c>
      <c r="BW587" s="62">
        <v>8309</v>
      </c>
      <c r="BX587" s="62">
        <v>9329</v>
      </c>
      <c r="BY587" s="62">
        <v>9640</v>
      </c>
      <c r="BZ587" s="62">
        <v>10387</v>
      </c>
      <c r="CA587" s="62">
        <v>11201</v>
      </c>
      <c r="CB587" s="62">
        <v>11740</v>
      </c>
      <c r="CC587" s="62">
        <v>13566</v>
      </c>
      <c r="CD587" s="62">
        <v>15157</v>
      </c>
      <c r="CE587" s="62">
        <v>15641</v>
      </c>
      <c r="CF587" s="62">
        <v>17712</v>
      </c>
      <c r="CG587" s="62">
        <v>21229</v>
      </c>
      <c r="CH587" s="62">
        <v>26619</v>
      </c>
      <c r="CI587" s="62">
        <v>26691</v>
      </c>
      <c r="CJ587" s="62">
        <v>30616</v>
      </c>
      <c r="CK587" s="62">
        <v>32501</v>
      </c>
      <c r="CL587" s="62">
        <v>35180</v>
      </c>
      <c r="CM587" s="62">
        <v>38601</v>
      </c>
      <c r="CN587" s="62">
        <v>45484</v>
      </c>
      <c r="CO587" s="62">
        <v>48285</v>
      </c>
      <c r="CP587" s="62">
        <v>49324</v>
      </c>
      <c r="CQ587" s="62">
        <v>52240</v>
      </c>
      <c r="CR587" s="62">
        <v>55221</v>
      </c>
      <c r="CS587" s="62">
        <v>56087</v>
      </c>
      <c r="CT587" s="62">
        <v>59473</v>
      </c>
      <c r="CU587" s="62">
        <v>63558</v>
      </c>
      <c r="CV587" s="220">
        <v>66026</v>
      </c>
      <c r="CW587" s="62">
        <v>63288.905950325978</v>
      </c>
      <c r="CX587" s="62">
        <v>64197.28493374477</v>
      </c>
      <c r="CY587" s="62">
        <v>64907.73357550794</v>
      </c>
      <c r="CZ587" s="62">
        <v>66318.234514475131</v>
      </c>
      <c r="DA587" s="62">
        <v>68151.45159169579</v>
      </c>
      <c r="DB587" s="62">
        <v>70193.598012297196</v>
      </c>
      <c r="DC587" s="62">
        <v>73601.449137236224</v>
      </c>
      <c r="DD587" s="62">
        <v>78074.414647049969</v>
      </c>
      <c r="DE587" s="62">
        <v>81251.078263447096</v>
      </c>
      <c r="DF587" s="62">
        <v>83985.6005984238</v>
      </c>
    </row>
    <row r="588" spans="1:110" ht="12" outlineLevel="1">
      <c r="A588" s="1" t="s">
        <v>1047</v>
      </c>
      <c r="B588" s="15" t="s">
        <v>576</v>
      </c>
      <c r="C588" s="41">
        <v>-1526</v>
      </c>
      <c r="D588" s="41">
        <v>-1410</v>
      </c>
      <c r="E588" s="41">
        <v>-1375</v>
      </c>
      <c r="F588" s="41">
        <v>-1225</v>
      </c>
      <c r="G588" s="41">
        <v>-2212</v>
      </c>
      <c r="H588" s="41">
        <v>-987</v>
      </c>
      <c r="I588" s="41">
        <v>-871</v>
      </c>
      <c r="J588" s="41">
        <v>-1858</v>
      </c>
      <c r="K588" s="41">
        <v>-1858</v>
      </c>
      <c r="L588" s="41">
        <v>-871</v>
      </c>
      <c r="M588" s="41">
        <v>-871</v>
      </c>
      <c r="N588" s="41">
        <v>-871</v>
      </c>
      <c r="O588" s="41">
        <v>-871</v>
      </c>
      <c r="P588" s="41">
        <v>-871</v>
      </c>
      <c r="Q588" s="41">
        <v>-871</v>
      </c>
      <c r="R588" s="41">
        <v>-871</v>
      </c>
      <c r="S588" s="41">
        <v>-871</v>
      </c>
      <c r="T588" s="41">
        <v>-871</v>
      </c>
      <c r="U588" s="41">
        <v>-871</v>
      </c>
      <c r="V588" s="41">
        <v>-871</v>
      </c>
      <c r="W588" s="41">
        <v>-871</v>
      </c>
      <c r="X588" s="41">
        <v>-871</v>
      </c>
      <c r="Y588" s="41">
        <v>-871</v>
      </c>
      <c r="Z588" s="41">
        <v>-871</v>
      </c>
      <c r="AA588" s="41">
        <v>-871</v>
      </c>
      <c r="AB588" s="41">
        <v>-871</v>
      </c>
      <c r="AC588" s="41">
        <v>-871</v>
      </c>
      <c r="AD588" s="41">
        <v>0</v>
      </c>
      <c r="AE588" s="41">
        <v>0</v>
      </c>
      <c r="AF588" s="41">
        <v>0</v>
      </c>
      <c r="AG588" s="41">
        <v>0</v>
      </c>
      <c r="AH588" s="41">
        <v>0</v>
      </c>
      <c r="AI588" s="41">
        <v>0</v>
      </c>
      <c r="AJ588" s="41">
        <v>0</v>
      </c>
      <c r="AK588" s="41">
        <v>0</v>
      </c>
      <c r="AL588" s="41">
        <v>0</v>
      </c>
      <c r="AM588" s="41">
        <v>0</v>
      </c>
      <c r="AN588" s="41">
        <v>0</v>
      </c>
      <c r="AO588" s="41">
        <v>0</v>
      </c>
      <c r="AP588" s="41">
        <v>0</v>
      </c>
      <c r="AQ588" s="41">
        <v>0</v>
      </c>
      <c r="AR588" s="41">
        <v>0</v>
      </c>
      <c r="AS588" s="41">
        <v>0</v>
      </c>
      <c r="AT588" s="41">
        <v>0</v>
      </c>
      <c r="AU588" s="41">
        <v>0</v>
      </c>
      <c r="AV588" s="211">
        <v>0</v>
      </c>
      <c r="AW588" s="41">
        <v>0</v>
      </c>
      <c r="AX588" s="41">
        <v>0</v>
      </c>
      <c r="AY588" s="41">
        <v>0</v>
      </c>
      <c r="AZ588" s="41">
        <v>0</v>
      </c>
      <c r="BA588" s="41">
        <v>0</v>
      </c>
      <c r="BB588" s="41">
        <v>0</v>
      </c>
      <c r="BC588" s="41">
        <v>0</v>
      </c>
      <c r="BD588" s="41">
        <v>0</v>
      </c>
      <c r="BE588" s="41">
        <v>0</v>
      </c>
      <c r="BF588" s="41">
        <v>0</v>
      </c>
      <c r="BG588" s="41">
        <v>0</v>
      </c>
      <c r="BH588" s="41">
        <v>0</v>
      </c>
      <c r="BI588" s="41">
        <v>0</v>
      </c>
      <c r="BJ588" s="41">
        <v>0</v>
      </c>
      <c r="BK588" s="41">
        <v>0</v>
      </c>
      <c r="BL588" s="41">
        <v>0</v>
      </c>
      <c r="BM588" s="41">
        <v>0</v>
      </c>
      <c r="BN588" s="41">
        <v>0</v>
      </c>
      <c r="BO588" s="41">
        <v>0</v>
      </c>
      <c r="BP588" s="41"/>
      <c r="BQ588" s="41">
        <v>-599.70000000000073</v>
      </c>
      <c r="BR588" s="41">
        <v>-600</v>
      </c>
      <c r="BS588" s="41">
        <v>-600</v>
      </c>
      <c r="BT588" s="41">
        <v>0</v>
      </c>
      <c r="BU588" s="41">
        <v>0</v>
      </c>
      <c r="BV588" s="41">
        <v>0</v>
      </c>
      <c r="BW588" s="41">
        <v>-645</v>
      </c>
      <c r="BX588" s="41">
        <v>-1145</v>
      </c>
      <c r="BY588" s="41">
        <v>-1374</v>
      </c>
      <c r="BZ588" s="41">
        <v>-1526</v>
      </c>
      <c r="CA588" s="41">
        <v>-1375</v>
      </c>
      <c r="CB588" s="41">
        <v>-2212</v>
      </c>
      <c r="CC588" s="41">
        <v>-871</v>
      </c>
      <c r="CD588" s="41">
        <v>-1858</v>
      </c>
      <c r="CE588" s="41">
        <v>-871</v>
      </c>
      <c r="CF588" s="41">
        <v>-871</v>
      </c>
      <c r="CG588" s="41">
        <v>-871</v>
      </c>
      <c r="CH588" s="41">
        <v>-871</v>
      </c>
      <c r="CI588" s="41">
        <v>-871</v>
      </c>
      <c r="CJ588" s="41">
        <v>-871</v>
      </c>
      <c r="CK588" s="41">
        <v>-871</v>
      </c>
      <c r="CL588" s="41">
        <v>-871</v>
      </c>
      <c r="CM588" s="41">
        <v>-871</v>
      </c>
      <c r="CN588" s="41">
        <v>0</v>
      </c>
      <c r="CO588" s="41">
        <v>0</v>
      </c>
      <c r="CP588" s="41">
        <v>0</v>
      </c>
      <c r="CQ588" s="41">
        <v>0</v>
      </c>
      <c r="CR588" s="41">
        <v>0</v>
      </c>
      <c r="CS588" s="41">
        <v>0</v>
      </c>
      <c r="CT588" s="41">
        <v>0</v>
      </c>
      <c r="CU588" s="41">
        <v>0</v>
      </c>
      <c r="CV588" s="211">
        <v>0</v>
      </c>
      <c r="CW588" s="41">
        <v>0</v>
      </c>
      <c r="CX588" s="41">
        <v>0</v>
      </c>
      <c r="CY588" s="41">
        <v>0</v>
      </c>
      <c r="CZ588" s="41">
        <v>0</v>
      </c>
      <c r="DA588" s="41">
        <v>0</v>
      </c>
      <c r="DB588" s="41">
        <v>0</v>
      </c>
      <c r="DC588" s="41">
        <v>0</v>
      </c>
      <c r="DD588" s="41">
        <v>0</v>
      </c>
      <c r="DE588" s="41">
        <v>0</v>
      </c>
      <c r="DF588" s="41">
        <v>0</v>
      </c>
    </row>
    <row r="589" spans="1:110" ht="12" outlineLevel="1">
      <c r="A589" s="1" t="s">
        <v>1048</v>
      </c>
      <c r="B589" s="15" t="s">
        <v>577</v>
      </c>
      <c r="C589" s="41">
        <v>386</v>
      </c>
      <c r="D589" s="41">
        <v>-51</v>
      </c>
      <c r="E589" s="41">
        <v>-50</v>
      </c>
      <c r="F589" s="41">
        <v>-59</v>
      </c>
      <c r="G589" s="41">
        <v>71</v>
      </c>
      <c r="H589" s="41">
        <v>-1463</v>
      </c>
      <c r="I589" s="41">
        <v>-1664</v>
      </c>
      <c r="J589" s="41">
        <v>-1405</v>
      </c>
      <c r="K589" s="41">
        <v>-1443</v>
      </c>
      <c r="L589" s="41">
        <v>-2514</v>
      </c>
      <c r="M589" s="41">
        <v>-2471</v>
      </c>
      <c r="N589" s="41">
        <v>-2317</v>
      </c>
      <c r="O589" s="41">
        <v>-3281</v>
      </c>
      <c r="P589" s="41">
        <v>-3182</v>
      </c>
      <c r="Q589" s="41">
        <v>-4071</v>
      </c>
      <c r="R589" s="41">
        <v>-4224</v>
      </c>
      <c r="S589" s="41">
        <v>-3152</v>
      </c>
      <c r="T589" s="41">
        <v>-4610</v>
      </c>
      <c r="U589" s="41">
        <v>-4562</v>
      </c>
      <c r="V589" s="41">
        <v>-4477</v>
      </c>
      <c r="W589" s="41">
        <v>-5881</v>
      </c>
      <c r="X589" s="41">
        <v>-5802</v>
      </c>
      <c r="Y589" s="41">
        <v>-5106</v>
      </c>
      <c r="Z589" s="41">
        <v>-4494</v>
      </c>
      <c r="AA589" s="41">
        <v>-5530</v>
      </c>
      <c r="AB589" s="41">
        <v>-6408</v>
      </c>
      <c r="AC589" s="41">
        <v>-5954</v>
      </c>
      <c r="AD589" s="41">
        <v>-7352</v>
      </c>
      <c r="AE589" s="41">
        <v>-6958</v>
      </c>
      <c r="AF589" s="41">
        <v>-6960</v>
      </c>
      <c r="AG589" s="41">
        <v>-9018</v>
      </c>
      <c r="AH589" s="41">
        <v>-7874</v>
      </c>
      <c r="AI589" s="41">
        <v>-7988</v>
      </c>
      <c r="AJ589" s="41">
        <v>-7418</v>
      </c>
      <c r="AK589" s="41">
        <v>-7527</v>
      </c>
      <c r="AL589" s="41">
        <v>-7547</v>
      </c>
      <c r="AM589" s="41">
        <v>-7866</v>
      </c>
      <c r="AN589" s="41">
        <v>-7964</v>
      </c>
      <c r="AO589" s="41">
        <v>-7779</v>
      </c>
      <c r="AP589" s="41">
        <v>-7645</v>
      </c>
      <c r="AQ589" s="41">
        <v>-8114</v>
      </c>
      <c r="AR589" s="41">
        <v>-7490</v>
      </c>
      <c r="AS589" s="41">
        <v>-7686</v>
      </c>
      <c r="AT589" s="41">
        <v>-8184</v>
      </c>
      <c r="AU589" s="41">
        <v>-8232</v>
      </c>
      <c r="AV589" s="211">
        <v>-8297</v>
      </c>
      <c r="AW589" s="41">
        <v>-8297</v>
      </c>
      <c r="AX589" s="41">
        <v>-8297</v>
      </c>
      <c r="AY589" s="41">
        <v>-8297</v>
      </c>
      <c r="AZ589" s="41">
        <v>-8297</v>
      </c>
      <c r="BA589" s="41">
        <v>-8297</v>
      </c>
      <c r="BB589" s="41">
        <v>-8297</v>
      </c>
      <c r="BC589" s="41">
        <v>-8297</v>
      </c>
      <c r="BD589" s="41">
        <v>-8297</v>
      </c>
      <c r="BE589" s="41">
        <v>-8297</v>
      </c>
      <c r="BF589" s="41">
        <v>-8297</v>
      </c>
      <c r="BG589" s="41">
        <v>-8297</v>
      </c>
      <c r="BH589" s="41">
        <v>-8297</v>
      </c>
      <c r="BI589" s="41">
        <v>-8297</v>
      </c>
      <c r="BJ589" s="41">
        <v>-8297</v>
      </c>
      <c r="BK589" s="41">
        <v>-8297</v>
      </c>
      <c r="BL589" s="41">
        <v>-8297</v>
      </c>
      <c r="BM589" s="41">
        <v>-8297</v>
      </c>
      <c r="BN589" s="41">
        <v>-8297</v>
      </c>
      <c r="BO589" s="41">
        <v>-8297</v>
      </c>
      <c r="BP589" s="41"/>
      <c r="BQ589" s="41">
        <v>600</v>
      </c>
      <c r="BR589" s="41">
        <v>267</v>
      </c>
      <c r="BS589" s="41">
        <v>389</v>
      </c>
      <c r="BT589" s="41">
        <v>0</v>
      </c>
      <c r="BU589" s="41">
        <v>0</v>
      </c>
      <c r="BV589" s="41">
        <v>0</v>
      </c>
      <c r="BW589" s="41">
        <v>645</v>
      </c>
      <c r="BX589" s="41">
        <v>1145</v>
      </c>
      <c r="BY589" s="41">
        <v>1374</v>
      </c>
      <c r="BZ589" s="41">
        <v>1526</v>
      </c>
      <c r="CA589" s="41">
        <v>-50</v>
      </c>
      <c r="CB589" s="41">
        <v>71</v>
      </c>
      <c r="CC589" s="41">
        <v>-1664</v>
      </c>
      <c r="CD589" s="41">
        <v>-1443</v>
      </c>
      <c r="CE589" s="41">
        <v>-2471</v>
      </c>
      <c r="CF589" s="41">
        <v>-3281</v>
      </c>
      <c r="CG589" s="41">
        <v>-4071</v>
      </c>
      <c r="CH589" s="41">
        <v>-3152</v>
      </c>
      <c r="CI589" s="41">
        <v>-4562</v>
      </c>
      <c r="CJ589" s="41">
        <v>-5881</v>
      </c>
      <c r="CK589" s="41">
        <v>-5106</v>
      </c>
      <c r="CL589" s="41">
        <v>-5530</v>
      </c>
      <c r="CM589" s="41">
        <v>-5954</v>
      </c>
      <c r="CN589" s="41">
        <v>-6958</v>
      </c>
      <c r="CO589" s="41">
        <v>-9018</v>
      </c>
      <c r="CP589" s="41">
        <v>-7988</v>
      </c>
      <c r="CQ589" s="41">
        <v>-7527</v>
      </c>
      <c r="CR589" s="41">
        <v>-7866</v>
      </c>
      <c r="CS589" s="41">
        <v>-7779</v>
      </c>
      <c r="CT589" s="41">
        <v>-8114</v>
      </c>
      <c r="CU589" s="41">
        <v>-7686</v>
      </c>
      <c r="CV589" s="211">
        <v>-8232</v>
      </c>
      <c r="CW589" s="41">
        <v>-8297</v>
      </c>
      <c r="CX589" s="41">
        <v>-8297</v>
      </c>
      <c r="CY589" s="41">
        <v>-8297</v>
      </c>
      <c r="CZ589" s="41">
        <v>-8297</v>
      </c>
      <c r="DA589" s="41">
        <v>-8297</v>
      </c>
      <c r="DB589" s="41">
        <v>-8297</v>
      </c>
      <c r="DC589" s="41">
        <v>-8297</v>
      </c>
      <c r="DD589" s="41">
        <v>-8297</v>
      </c>
      <c r="DE589" s="41">
        <v>-8297</v>
      </c>
      <c r="DF589" s="41">
        <v>-8297</v>
      </c>
    </row>
    <row r="590" spans="1:110" s="17" customFormat="1" ht="12" outlineLevel="1">
      <c r="A590" s="1" t="s">
        <v>935</v>
      </c>
      <c r="B590" s="17" t="s">
        <v>578</v>
      </c>
      <c r="C590" s="62">
        <v>9247</v>
      </c>
      <c r="D590" s="62">
        <v>9128</v>
      </c>
      <c r="E590" s="62">
        <v>9776</v>
      </c>
      <c r="F590" s="62">
        <v>10227</v>
      </c>
      <c r="G590" s="62">
        <v>9599</v>
      </c>
      <c r="H590" s="62">
        <v>10575</v>
      </c>
      <c r="I590" s="62">
        <v>11031</v>
      </c>
      <c r="J590" s="62">
        <v>11417</v>
      </c>
      <c r="K590" s="62">
        <v>11856</v>
      </c>
      <c r="L590" s="62">
        <v>12404</v>
      </c>
      <c r="M590" s="62">
        <v>13015</v>
      </c>
      <c r="N590" s="62">
        <v>13563</v>
      </c>
      <c r="O590" s="62">
        <v>14276</v>
      </c>
      <c r="P590" s="62">
        <v>14255</v>
      </c>
      <c r="Q590" s="62">
        <v>16287</v>
      </c>
      <c r="R590" s="62">
        <v>17848</v>
      </c>
      <c r="S590" s="62">
        <v>22596</v>
      </c>
      <c r="T590" s="62">
        <v>21147</v>
      </c>
      <c r="U590" s="62">
        <v>21258</v>
      </c>
      <c r="V590" s="62">
        <v>22422</v>
      </c>
      <c r="W590" s="62">
        <v>23864</v>
      </c>
      <c r="X590" s="62">
        <v>25415</v>
      </c>
      <c r="Y590" s="62">
        <v>26524</v>
      </c>
      <c r="Z590" s="62">
        <v>26375</v>
      </c>
      <c r="AA590" s="62">
        <v>28779</v>
      </c>
      <c r="AB590" s="62">
        <v>30020</v>
      </c>
      <c r="AC590" s="62">
        <v>31776</v>
      </c>
      <c r="AD590" s="62">
        <v>33736</v>
      </c>
      <c r="AE590" s="62">
        <v>38526</v>
      </c>
      <c r="AF590" s="62">
        <v>38102</v>
      </c>
      <c r="AG590" s="62">
        <v>39267</v>
      </c>
      <c r="AH590" s="62">
        <v>40217</v>
      </c>
      <c r="AI590" s="62">
        <v>41336</v>
      </c>
      <c r="AJ590" s="62">
        <v>43707</v>
      </c>
      <c r="AK590" s="62">
        <v>44713</v>
      </c>
      <c r="AL590" s="62">
        <v>45528</v>
      </c>
      <c r="AM590" s="62">
        <v>47355</v>
      </c>
      <c r="AN590" s="62">
        <v>48038</v>
      </c>
      <c r="AO590" s="62">
        <v>48308</v>
      </c>
      <c r="AP590" s="62">
        <v>50786</v>
      </c>
      <c r="AQ590" s="62">
        <v>51359</v>
      </c>
      <c r="AR590" s="62">
        <v>50511</v>
      </c>
      <c r="AS590" s="62">
        <v>55872</v>
      </c>
      <c r="AT590" s="62">
        <v>57381</v>
      </c>
      <c r="AU590" s="62">
        <v>57794</v>
      </c>
      <c r="AV590" s="220">
        <v>58412</v>
      </c>
      <c r="AW590" s="62">
        <v>54991.905950325978</v>
      </c>
      <c r="AX590" s="62">
        <v>55747.859580489268</v>
      </c>
      <c r="AY590" s="62">
        <v>55900.284933744755</v>
      </c>
      <c r="AZ590" s="62">
        <v>56267.876809381356</v>
      </c>
      <c r="BA590" s="62">
        <v>56610.733575507911</v>
      </c>
      <c r="BB590" s="62">
        <v>57300.489222513104</v>
      </c>
      <c r="BC590" s="62">
        <v>58021.234514475087</v>
      </c>
      <c r="BD590" s="62">
        <v>59005.11607994631</v>
      </c>
      <c r="BE590" s="62">
        <v>59854.451591695732</v>
      </c>
      <c r="BF590" s="62">
        <v>60992.161516580891</v>
      </c>
      <c r="BG590" s="62">
        <v>61896.598012297123</v>
      </c>
      <c r="BH590" s="62">
        <v>62601.988893895745</v>
      </c>
      <c r="BI590" s="62">
        <v>65304.449137236137</v>
      </c>
      <c r="BJ590" s="62">
        <v>68366.393856476381</v>
      </c>
      <c r="BK590" s="62">
        <v>69777.414647049882</v>
      </c>
      <c r="BL590" s="62">
        <v>71749.870330321952</v>
      </c>
      <c r="BM590" s="62">
        <v>72954.078263447009</v>
      </c>
      <c r="BN590" s="62">
        <v>74445.296632113372</v>
      </c>
      <c r="BO590" s="62">
        <v>75688.600598423713</v>
      </c>
      <c r="BP590" s="62"/>
      <c r="BQ590" s="62">
        <v>3870.8999999999992</v>
      </c>
      <c r="BR590" s="62">
        <v>4212.8</v>
      </c>
      <c r="BS590" s="62">
        <v>4953</v>
      </c>
      <c r="BT590" s="62">
        <v>5503</v>
      </c>
      <c r="BU590" s="62">
        <v>6273</v>
      </c>
      <c r="BV590" s="62">
        <v>6972</v>
      </c>
      <c r="BW590" s="62">
        <v>8309</v>
      </c>
      <c r="BX590" s="62">
        <v>9329</v>
      </c>
      <c r="BY590" s="62">
        <v>9640</v>
      </c>
      <c r="BZ590" s="62">
        <v>10387</v>
      </c>
      <c r="CA590" s="62">
        <v>9776</v>
      </c>
      <c r="CB590" s="62">
        <v>9599</v>
      </c>
      <c r="CC590" s="62">
        <v>11031</v>
      </c>
      <c r="CD590" s="62">
        <v>11856</v>
      </c>
      <c r="CE590" s="62">
        <v>12299</v>
      </c>
      <c r="CF590" s="62">
        <v>13560</v>
      </c>
      <c r="CG590" s="62">
        <v>16287</v>
      </c>
      <c r="CH590" s="62">
        <v>22596</v>
      </c>
      <c r="CI590" s="62">
        <v>21258</v>
      </c>
      <c r="CJ590" s="62">
        <v>23864</v>
      </c>
      <c r="CK590" s="62">
        <v>26524</v>
      </c>
      <c r="CL590" s="62">
        <v>28779</v>
      </c>
      <c r="CM590" s="62">
        <v>31776</v>
      </c>
      <c r="CN590" s="62">
        <v>38526</v>
      </c>
      <c r="CO590" s="62">
        <v>39267</v>
      </c>
      <c r="CP590" s="62">
        <v>41336</v>
      </c>
      <c r="CQ590" s="62">
        <v>44713</v>
      </c>
      <c r="CR590" s="62">
        <v>47355</v>
      </c>
      <c r="CS590" s="62">
        <v>48308</v>
      </c>
      <c r="CT590" s="62">
        <v>51359</v>
      </c>
      <c r="CU590" s="62">
        <v>55872</v>
      </c>
      <c r="CV590" s="220">
        <v>57794</v>
      </c>
      <c r="CW590" s="62">
        <v>54991.905950325978</v>
      </c>
      <c r="CX590" s="62">
        <v>55900.28493374477</v>
      </c>
      <c r="CY590" s="62">
        <v>56610.73357550794</v>
      </c>
      <c r="CZ590" s="62">
        <v>58021.234514475131</v>
      </c>
      <c r="DA590" s="62">
        <v>59854.45159169579</v>
      </c>
      <c r="DB590" s="62">
        <v>61896.598012297196</v>
      </c>
      <c r="DC590" s="62">
        <v>65304.449137236224</v>
      </c>
      <c r="DD590" s="62">
        <v>69777.414647049969</v>
      </c>
      <c r="DE590" s="62">
        <v>72954.078263447096</v>
      </c>
      <c r="DF590" s="62">
        <v>75688.6005984238</v>
      </c>
    </row>
    <row r="591" spans="1:110" s="17" customFormat="1" ht="12" outlineLevel="1">
      <c r="A591" s="1" t="s">
        <v>2273</v>
      </c>
      <c r="B591" s="15" t="s">
        <v>2274</v>
      </c>
      <c r="C591" s="62"/>
      <c r="D591" s="62"/>
      <c r="E591" s="62"/>
      <c r="F591" s="62"/>
      <c r="G591" s="62"/>
      <c r="H591" s="62"/>
      <c r="I591" s="62"/>
      <c r="J591" s="62"/>
      <c r="K591" s="62"/>
      <c r="L591" s="62"/>
      <c r="M591" s="62"/>
      <c r="N591" s="62"/>
      <c r="O591" s="62"/>
      <c r="P591" s="62"/>
      <c r="Q591" s="62"/>
      <c r="R591" s="62"/>
      <c r="S591" s="62"/>
      <c r="T591" s="62"/>
      <c r="U591" s="62"/>
      <c r="V591" s="62"/>
      <c r="W591" s="62"/>
      <c r="X591" s="62"/>
      <c r="Y591" s="41"/>
      <c r="Z591" s="41">
        <v>3056.8566000000001</v>
      </c>
      <c r="AA591" s="41">
        <v>3318.9445000000001</v>
      </c>
      <c r="AB591" s="41">
        <v>3434.8879999999999</v>
      </c>
      <c r="AC591" s="41">
        <v>3611.4348</v>
      </c>
      <c r="AD591" s="41">
        <v>3837.8356000000003</v>
      </c>
      <c r="AE591" s="41">
        <v>4254.5370000000003</v>
      </c>
      <c r="AF591" s="41">
        <v>4276.2020000000002</v>
      </c>
      <c r="AG591" s="41">
        <v>4498.7148000000007</v>
      </c>
      <c r="AH591" s="41">
        <v>4617.26</v>
      </c>
      <c r="AI591" s="41">
        <v>4798.4921000000004</v>
      </c>
      <c r="AJ591" s="41">
        <v>4905</v>
      </c>
      <c r="AK591" s="41">
        <v>3862</v>
      </c>
      <c r="AL591" s="41">
        <v>3719</v>
      </c>
      <c r="AM591" s="41">
        <v>3146</v>
      </c>
      <c r="AN591" s="41">
        <v>2697</v>
      </c>
      <c r="AO591" s="41">
        <v>2545</v>
      </c>
      <c r="AP591" s="41">
        <v>2235</v>
      </c>
      <c r="AQ591" s="41">
        <v>2375</v>
      </c>
      <c r="AR591" s="41">
        <v>2410</v>
      </c>
      <c r="AS591" s="41">
        <v>2572</v>
      </c>
      <c r="AT591" s="41">
        <v>2543</v>
      </c>
      <c r="AU591" s="41">
        <v>2592</v>
      </c>
      <c r="AV591" s="211">
        <v>1675</v>
      </c>
      <c r="AW591" s="41">
        <v>1675.0450000000001</v>
      </c>
      <c r="AX591" s="41">
        <v>1675.0900449999999</v>
      </c>
      <c r="AY591" s="41">
        <v>1675.135135045</v>
      </c>
      <c r="AZ591" s="41">
        <v>1675.180270180045</v>
      </c>
      <c r="BA591" s="41">
        <v>1675.225450450225</v>
      </c>
      <c r="BB591" s="41">
        <v>1675.2706759006753</v>
      </c>
      <c r="BC591" s="41">
        <v>1675.3159465765759</v>
      </c>
      <c r="BD591" s="41">
        <v>1675.3612625231526</v>
      </c>
      <c r="BE591" s="41">
        <v>1675.4066237856755</v>
      </c>
      <c r="BF591" s="41">
        <v>1675.4520304094613</v>
      </c>
      <c r="BG591" s="41">
        <v>1675.4974824398707</v>
      </c>
      <c r="BH591" s="41">
        <v>1675.5429799223107</v>
      </c>
      <c r="BI591" s="41">
        <v>1675.5885229022329</v>
      </c>
      <c r="BJ591" s="41">
        <v>1675.6341114251352</v>
      </c>
      <c r="BK591" s="41">
        <v>1675.6797455365604</v>
      </c>
      <c r="BL591" s="41">
        <v>1675.7254252820967</v>
      </c>
      <c r="BM591" s="41">
        <v>1675.7711507073789</v>
      </c>
      <c r="BN591" s="41">
        <v>1675.8169218580863</v>
      </c>
      <c r="BO591" s="41">
        <v>1675.8627387799443</v>
      </c>
      <c r="BP591" s="62"/>
      <c r="BQ591" s="41"/>
      <c r="BR591" s="41"/>
      <c r="BS591" s="41"/>
      <c r="BT591" s="41"/>
      <c r="BU591" s="41"/>
      <c r="BV591" s="41"/>
      <c r="BW591" s="41"/>
      <c r="BX591" s="41"/>
      <c r="BY591" s="41">
        <v>0</v>
      </c>
      <c r="BZ591" s="41">
        <v>0</v>
      </c>
      <c r="CA591" s="41">
        <v>0</v>
      </c>
      <c r="CB591" s="41">
        <v>0</v>
      </c>
      <c r="CC591" s="41">
        <v>0</v>
      </c>
      <c r="CD591" s="41">
        <v>0</v>
      </c>
      <c r="CE591" s="41">
        <v>0</v>
      </c>
      <c r="CF591" s="41">
        <v>0</v>
      </c>
      <c r="CG591" s="41">
        <v>0</v>
      </c>
      <c r="CH591" s="41">
        <v>0</v>
      </c>
      <c r="CI591" s="41">
        <v>0</v>
      </c>
      <c r="CJ591" s="41">
        <v>0</v>
      </c>
      <c r="CK591" s="41">
        <v>0</v>
      </c>
      <c r="CL591" s="41">
        <v>3318.9445000000001</v>
      </c>
      <c r="CM591" s="41">
        <v>3611.4348</v>
      </c>
      <c r="CN591" s="41">
        <v>4254.5370000000003</v>
      </c>
      <c r="CO591" s="41">
        <v>4498.7148000000007</v>
      </c>
      <c r="CP591" s="41">
        <v>4798.4921000000004</v>
      </c>
      <c r="CQ591" s="41">
        <v>3862</v>
      </c>
      <c r="CR591" s="41">
        <v>3146</v>
      </c>
      <c r="CS591" s="41">
        <v>2545</v>
      </c>
      <c r="CT591" s="41">
        <v>2375</v>
      </c>
      <c r="CU591" s="41">
        <v>2572</v>
      </c>
      <c r="CV591" s="211">
        <v>2592</v>
      </c>
      <c r="CW591" s="41">
        <v>1675.0450000000001</v>
      </c>
      <c r="CX591" s="41">
        <v>1675.135135045</v>
      </c>
      <c r="CY591" s="41">
        <v>1675.225450450225</v>
      </c>
      <c r="CZ591" s="41">
        <v>1675.3159465765759</v>
      </c>
      <c r="DA591" s="41">
        <v>1675.4066237856755</v>
      </c>
      <c r="DB591" s="41">
        <v>1675.4974824398707</v>
      </c>
      <c r="DC591" s="41">
        <v>1675.5885229022329</v>
      </c>
      <c r="DD591" s="41">
        <v>1675.6797455365604</v>
      </c>
      <c r="DE591" s="41">
        <v>1675.7711507073789</v>
      </c>
      <c r="DF591" s="41">
        <v>1675.8627387799443</v>
      </c>
    </row>
    <row r="592" spans="1:110" s="17" customFormat="1" ht="12" outlineLevel="1">
      <c r="A592" s="1" t="s">
        <v>2275</v>
      </c>
      <c r="B592" s="15" t="s">
        <v>2276</v>
      </c>
      <c r="C592" s="62"/>
      <c r="D592" s="62"/>
      <c r="E592" s="62"/>
      <c r="F592" s="62"/>
      <c r="G592" s="62"/>
      <c r="H592" s="62"/>
      <c r="I592" s="62"/>
      <c r="J592" s="62"/>
      <c r="K592" s="62"/>
      <c r="L592" s="62"/>
      <c r="M592" s="62"/>
      <c r="N592" s="62"/>
      <c r="O592" s="62"/>
      <c r="P592" s="62"/>
      <c r="Q592" s="62"/>
      <c r="R592" s="62"/>
      <c r="S592" s="62"/>
      <c r="T592" s="62"/>
      <c r="U592" s="62"/>
      <c r="V592" s="62"/>
      <c r="W592" s="62"/>
      <c r="X592" s="62"/>
      <c r="Y592" s="62"/>
      <c r="Z592" s="41">
        <v>1136.7093999999997</v>
      </c>
      <c r="AA592" s="41">
        <v>1091.5004999999983</v>
      </c>
      <c r="AB592" s="41">
        <v>893.99199999999837</v>
      </c>
      <c r="AC592" s="41">
        <v>726.91319999999905</v>
      </c>
      <c r="AD592" s="41">
        <v>804.52040000000125</v>
      </c>
      <c r="AE592" s="41">
        <v>-235.16700000000128</v>
      </c>
      <c r="AF592" s="41">
        <v>383.81800000000658</v>
      </c>
      <c r="AG592" s="41">
        <v>1221.4331999999995</v>
      </c>
      <c r="AH592" s="41">
        <v>1338.3399999999965</v>
      </c>
      <c r="AI592" s="41">
        <v>1850.428899999999</v>
      </c>
      <c r="AJ592" s="41">
        <v>1823.2090000000026</v>
      </c>
      <c r="AK592" s="41">
        <v>3172.760000000002</v>
      </c>
      <c r="AL592" s="41">
        <v>3017.9470000000001</v>
      </c>
      <c r="AM592" s="41">
        <v>3525.3760000000038</v>
      </c>
      <c r="AN592" s="41">
        <v>2242.1319999999978</v>
      </c>
      <c r="AO592" s="41">
        <v>2607.6080000000002</v>
      </c>
      <c r="AP592" s="41">
        <v>3479.3240000000005</v>
      </c>
      <c r="AQ592" s="41">
        <v>2618.0319999999992</v>
      </c>
      <c r="AR592" s="41">
        <v>4158.6500000000015</v>
      </c>
      <c r="AS592" s="41">
        <v>4703.4879999999976</v>
      </c>
      <c r="AT592" s="41">
        <v>2683.1679999999978</v>
      </c>
      <c r="AU592" s="41">
        <v>4774.5590000000011</v>
      </c>
      <c r="AV592" s="211">
        <v>4989.7966000000015</v>
      </c>
      <c r="AW592" s="41">
        <v>4989.7966000000015</v>
      </c>
      <c r="AX592" s="41">
        <v>4989.7966000000015</v>
      </c>
      <c r="AY592" s="41">
        <v>4989.7966000000015</v>
      </c>
      <c r="AZ592" s="41">
        <v>4989.7966000000015</v>
      </c>
      <c r="BA592" s="41">
        <v>4989.7966000000015</v>
      </c>
      <c r="BB592" s="41">
        <v>4989.7966000000015</v>
      </c>
      <c r="BC592" s="41">
        <v>4989.7966000000015</v>
      </c>
      <c r="BD592" s="41">
        <v>4989.7966000000015</v>
      </c>
      <c r="BE592" s="41">
        <v>4989.7966000000015</v>
      </c>
      <c r="BF592" s="41">
        <v>4989.7966000000015</v>
      </c>
      <c r="BG592" s="41">
        <v>4989.7966000000015</v>
      </c>
      <c r="BH592" s="41">
        <v>4989.7966000000015</v>
      </c>
      <c r="BI592" s="41">
        <v>4989.7966000000015</v>
      </c>
      <c r="BJ592" s="41">
        <v>4989.7966000000015</v>
      </c>
      <c r="BK592" s="41">
        <v>4989.7966000000015</v>
      </c>
      <c r="BL592" s="41">
        <v>4989.7966000000015</v>
      </c>
      <c r="BM592" s="41">
        <v>4989.7966000000015</v>
      </c>
      <c r="BN592" s="41">
        <v>4989.7966000000015</v>
      </c>
      <c r="BO592" s="41">
        <v>4989.7966000000015</v>
      </c>
      <c r="BP592" s="62"/>
      <c r="BQ592" s="62"/>
      <c r="BR592" s="62"/>
      <c r="BS592" s="62"/>
      <c r="BT592" s="62"/>
      <c r="BU592" s="62"/>
      <c r="BV592" s="62"/>
      <c r="BW592" s="62"/>
      <c r="BX592" s="62"/>
      <c r="BY592" s="41">
        <v>0</v>
      </c>
      <c r="BZ592" s="41">
        <v>0</v>
      </c>
      <c r="CA592" s="41">
        <v>0</v>
      </c>
      <c r="CB592" s="41">
        <v>0</v>
      </c>
      <c r="CC592" s="41">
        <v>0</v>
      </c>
      <c r="CD592" s="41">
        <v>0</v>
      </c>
      <c r="CE592" s="41">
        <v>0</v>
      </c>
      <c r="CF592" s="41">
        <v>0</v>
      </c>
      <c r="CG592" s="41">
        <v>0</v>
      </c>
      <c r="CH592" s="41">
        <v>0</v>
      </c>
      <c r="CI592" s="41">
        <v>0</v>
      </c>
      <c r="CJ592" s="41">
        <v>0</v>
      </c>
      <c r="CK592" s="41">
        <v>0</v>
      </c>
      <c r="CL592" s="41">
        <v>1091.5004999999983</v>
      </c>
      <c r="CM592" s="41">
        <v>726.91319999999905</v>
      </c>
      <c r="CN592" s="41">
        <v>-235.16700000000128</v>
      </c>
      <c r="CO592" s="41">
        <v>1221.4331999999995</v>
      </c>
      <c r="CP592" s="41">
        <v>1850.428899999999</v>
      </c>
      <c r="CQ592" s="41">
        <v>3172.760000000002</v>
      </c>
      <c r="CR592" s="41">
        <v>3525.3760000000038</v>
      </c>
      <c r="CS592" s="41">
        <v>2607.6080000000002</v>
      </c>
      <c r="CT592" s="41">
        <v>2618.0319999999992</v>
      </c>
      <c r="CU592" s="41">
        <v>4703.4879999999976</v>
      </c>
      <c r="CV592" s="211">
        <v>4774.5590000000011</v>
      </c>
      <c r="CW592" s="41">
        <v>4989.7966000000015</v>
      </c>
      <c r="CX592" s="41">
        <v>4989.7966000000015</v>
      </c>
      <c r="CY592" s="41">
        <v>4989.7966000000015</v>
      </c>
      <c r="CZ592" s="41">
        <v>4989.7966000000015</v>
      </c>
      <c r="DA592" s="41">
        <v>4989.7966000000015</v>
      </c>
      <c r="DB592" s="41">
        <v>4989.7966000000015</v>
      </c>
      <c r="DC592" s="41">
        <v>4989.7966000000015</v>
      </c>
      <c r="DD592" s="41">
        <v>4989.7966000000015</v>
      </c>
      <c r="DE592" s="41">
        <v>4989.7966000000015</v>
      </c>
      <c r="DF592" s="41">
        <v>4989.7966000000015</v>
      </c>
    </row>
    <row r="593" spans="1:110" s="17" customFormat="1" ht="12" outlineLevel="1">
      <c r="A593" s="1" t="s">
        <v>2277</v>
      </c>
      <c r="B593" s="17" t="s">
        <v>2278</v>
      </c>
      <c r="C593" s="62"/>
      <c r="D593" s="62"/>
      <c r="E593" s="62" t="s">
        <v>2374</v>
      </c>
      <c r="F593" s="62"/>
      <c r="G593" s="62"/>
      <c r="H593" s="62"/>
      <c r="I593" s="62"/>
      <c r="J593" s="62"/>
      <c r="K593" s="62"/>
      <c r="L593" s="62"/>
      <c r="M593" s="62"/>
      <c r="N593" s="62"/>
      <c r="O593" s="62"/>
      <c r="P593" s="62"/>
      <c r="Q593" s="62"/>
      <c r="R593" s="62"/>
      <c r="S593" s="62"/>
      <c r="T593" s="62"/>
      <c r="U593" s="62"/>
      <c r="V593" s="62"/>
      <c r="W593" s="62"/>
      <c r="X593" s="62"/>
      <c r="Y593" s="62"/>
      <c r="Z593" s="194">
        <v>30568.565999999999</v>
      </c>
      <c r="AA593" s="194">
        <v>33189.445</v>
      </c>
      <c r="AB593" s="194">
        <v>34348.879999999997</v>
      </c>
      <c r="AC593" s="194">
        <v>36114.347999999998</v>
      </c>
      <c r="AD593" s="194">
        <v>38378.356</v>
      </c>
      <c r="AE593" s="194">
        <v>42545.37</v>
      </c>
      <c r="AF593" s="194">
        <v>42762.020000000004</v>
      </c>
      <c r="AG593" s="194">
        <v>44987.148000000001</v>
      </c>
      <c r="AH593" s="194">
        <v>46172.6</v>
      </c>
      <c r="AI593" s="194">
        <v>47984.921000000002</v>
      </c>
      <c r="AJ593" s="194">
        <v>50435.209000000003</v>
      </c>
      <c r="AK593" s="194">
        <v>51747.76</v>
      </c>
      <c r="AL593" s="194">
        <v>52264.947</v>
      </c>
      <c r="AM593" s="194">
        <v>54026.376000000004</v>
      </c>
      <c r="AN593" s="194">
        <v>52977.131999999998</v>
      </c>
      <c r="AO593" s="194">
        <v>53460.608</v>
      </c>
      <c r="AP593" s="194">
        <v>56500.324000000001</v>
      </c>
      <c r="AQ593" s="194">
        <v>56352.031999999999</v>
      </c>
      <c r="AR593" s="194">
        <v>57079.65</v>
      </c>
      <c r="AS593" s="194">
        <v>63147.487999999998</v>
      </c>
      <c r="AT593" s="194">
        <v>62607.167999999998</v>
      </c>
      <c r="AU593" s="194">
        <v>65160.559000000001</v>
      </c>
      <c r="AV593" s="227">
        <v>65076.796600000001</v>
      </c>
      <c r="AW593" s="62">
        <v>61656.747550325977</v>
      </c>
      <c r="AX593" s="62">
        <v>62412.746225489267</v>
      </c>
      <c r="AY593" s="62">
        <v>62565.216668789755</v>
      </c>
      <c r="AZ593" s="62">
        <v>62932.853679561405</v>
      </c>
      <c r="BA593" s="62">
        <v>63275.75562595814</v>
      </c>
      <c r="BB593" s="62">
        <v>63965.556498413782</v>
      </c>
      <c r="BC593" s="62">
        <v>64686.347061051667</v>
      </c>
      <c r="BD593" s="62">
        <v>65670.273942469474</v>
      </c>
      <c r="BE593" s="62">
        <v>66519.654815481408</v>
      </c>
      <c r="BF593" s="62">
        <v>67657.410146990354</v>
      </c>
      <c r="BG593" s="62">
        <v>68561.892094737006</v>
      </c>
      <c r="BH593" s="62">
        <v>69267.328473818052</v>
      </c>
      <c r="BI593" s="62">
        <v>71969.834260138377</v>
      </c>
      <c r="BJ593" s="62">
        <v>75031.824567901524</v>
      </c>
      <c r="BK593" s="62">
        <v>76442.890992586443</v>
      </c>
      <c r="BL593" s="62">
        <v>78415.392355604054</v>
      </c>
      <c r="BM593" s="62">
        <v>79619.646014154394</v>
      </c>
      <c r="BN593" s="62">
        <v>81110.910153971461</v>
      </c>
      <c r="BO593" s="62">
        <v>82354.259937203664</v>
      </c>
      <c r="BP593" s="62"/>
      <c r="BQ593" s="62"/>
      <c r="BR593" s="62"/>
      <c r="BS593" s="62"/>
      <c r="BT593" s="62"/>
      <c r="BU593" s="62"/>
      <c r="BV593" s="62"/>
      <c r="BW593" s="62"/>
      <c r="BX593" s="62"/>
      <c r="BY593" s="62">
        <v>0</v>
      </c>
      <c r="BZ593" s="62">
        <v>0</v>
      </c>
      <c r="CA593" s="62" t="s">
        <v>2374</v>
      </c>
      <c r="CB593" s="62">
        <v>0</v>
      </c>
      <c r="CC593" s="62">
        <v>0</v>
      </c>
      <c r="CD593" s="62">
        <v>0</v>
      </c>
      <c r="CE593" s="62">
        <v>0</v>
      </c>
      <c r="CF593" s="62">
        <v>0</v>
      </c>
      <c r="CG593" s="62">
        <v>0</v>
      </c>
      <c r="CH593" s="62">
        <v>0</v>
      </c>
      <c r="CI593" s="62">
        <v>0</v>
      </c>
      <c r="CJ593" s="62">
        <v>0</v>
      </c>
      <c r="CK593" s="62">
        <v>0</v>
      </c>
      <c r="CL593" s="62">
        <v>33189.445</v>
      </c>
      <c r="CM593" s="62">
        <v>36114.347999999998</v>
      </c>
      <c r="CN593" s="62">
        <v>42545.369999999995</v>
      </c>
      <c r="CO593" s="62">
        <v>44987.148000000001</v>
      </c>
      <c r="CP593" s="62">
        <v>47984.921000000002</v>
      </c>
      <c r="CQ593" s="62">
        <v>51747.76</v>
      </c>
      <c r="CR593" s="62">
        <v>54026.376000000004</v>
      </c>
      <c r="CS593" s="62">
        <v>53460.608</v>
      </c>
      <c r="CT593" s="62">
        <v>56352.031999999999</v>
      </c>
      <c r="CU593" s="62">
        <v>63147.487999999998</v>
      </c>
      <c r="CV593" s="220">
        <v>65160.559000000001</v>
      </c>
      <c r="CW593" s="62">
        <v>61656.747550325977</v>
      </c>
      <c r="CX593" s="62">
        <v>62565.21666878977</v>
      </c>
      <c r="CY593" s="62">
        <v>63275.755625958169</v>
      </c>
      <c r="CZ593" s="62">
        <v>64686.347061051711</v>
      </c>
      <c r="DA593" s="62">
        <v>66519.654815481466</v>
      </c>
      <c r="DB593" s="62">
        <v>68561.892094737064</v>
      </c>
      <c r="DC593" s="62">
        <v>71969.834260138465</v>
      </c>
      <c r="DD593" s="62">
        <v>76442.89099258653</v>
      </c>
      <c r="DE593" s="62">
        <v>79619.646014154481</v>
      </c>
      <c r="DF593" s="62">
        <v>82354.259937203751</v>
      </c>
    </row>
    <row r="594" spans="1:110" ht="12" outlineLevel="1">
      <c r="C594" s="41"/>
      <c r="D594" s="41"/>
      <c r="E594" s="41"/>
      <c r="F594" s="41"/>
      <c r="G594" s="41"/>
      <c r="H594" s="41"/>
      <c r="I594" s="41"/>
      <c r="J594" s="41"/>
      <c r="K594" s="41"/>
      <c r="L594" s="41"/>
      <c r="M594" s="41"/>
      <c r="N594" s="41"/>
      <c r="O594" s="41"/>
      <c r="P594" s="41"/>
      <c r="Q594" s="41"/>
      <c r="R594" s="41"/>
      <c r="S594" s="41"/>
      <c r="T594" s="41"/>
      <c r="U594" s="41"/>
      <c r="V594" s="41"/>
      <c r="W594" s="41"/>
      <c r="X594" s="41"/>
      <c r="Y594" s="41"/>
      <c r="Z594" s="41"/>
      <c r="AA594" s="41"/>
      <c r="AB594" s="41"/>
      <c r="AC594" s="41"/>
      <c r="AD594" s="41"/>
      <c r="AE594" s="41"/>
      <c r="AF594" s="41"/>
      <c r="AG594" s="41"/>
      <c r="AH594" s="41"/>
      <c r="AI594" s="41"/>
      <c r="AJ594" s="41"/>
      <c r="AK594" s="41"/>
      <c r="AL594" s="41"/>
      <c r="AM594" s="41"/>
      <c r="AN594" s="41"/>
      <c r="AO594" s="41"/>
      <c r="AP594" s="41"/>
      <c r="AQ594" s="41"/>
      <c r="AR594" s="41"/>
      <c r="AS594" s="41"/>
      <c r="AT594" s="41"/>
      <c r="AU594" s="41"/>
      <c r="AV594" s="211"/>
      <c r="AW594" s="41"/>
      <c r="AX594" s="41"/>
      <c r="AY594" s="41"/>
      <c r="AZ594" s="41"/>
      <c r="BA594" s="41"/>
      <c r="BB594" s="41"/>
      <c r="BC594" s="41"/>
      <c r="BD594" s="41"/>
      <c r="BE594" s="41"/>
      <c r="BF594" s="41"/>
      <c r="BG594" s="41"/>
      <c r="BH594" s="41"/>
      <c r="BI594" s="41"/>
      <c r="BJ594" s="41"/>
      <c r="BK594" s="41"/>
      <c r="BL594" s="41"/>
      <c r="BM594" s="41"/>
      <c r="BN594" s="41"/>
      <c r="BO594" s="41"/>
      <c r="BP594" s="41"/>
      <c r="BQ594" s="41"/>
      <c r="BR594" s="41"/>
      <c r="BS594" s="41"/>
      <c r="BT594" s="41"/>
      <c r="BU594" s="41"/>
      <c r="BV594" s="41"/>
      <c r="BW594" s="41"/>
      <c r="BX594" s="41"/>
      <c r="BY594" s="41"/>
      <c r="BZ594" s="41"/>
      <c r="CA594" s="41"/>
      <c r="CB594" s="41"/>
      <c r="CC594" s="41"/>
      <c r="CD594" s="41"/>
      <c r="CE594" s="41"/>
      <c r="CF594" s="41"/>
      <c r="CG594" s="41"/>
      <c r="CH594" s="41"/>
      <c r="CI594" s="41"/>
      <c r="CJ594" s="41"/>
      <c r="CK594" s="41"/>
      <c r="CL594" s="41"/>
      <c r="CM594" s="41"/>
      <c r="CN594" s="41"/>
      <c r="CO594" s="41"/>
      <c r="CP594" s="41"/>
      <c r="CQ594" s="41"/>
      <c r="CR594" s="41"/>
      <c r="CS594" s="41"/>
      <c r="CT594" s="41"/>
      <c r="CU594" s="41"/>
      <c r="CV594" s="211"/>
      <c r="CW594" s="41"/>
      <c r="CX594" s="41"/>
      <c r="CY594" s="41"/>
      <c r="CZ594" s="15"/>
      <c r="DA594" s="15"/>
      <c r="DB594" s="15"/>
      <c r="DC594" s="15"/>
      <c r="DD594" s="15"/>
      <c r="DE594" s="15"/>
      <c r="DF594" s="15"/>
    </row>
    <row r="595" spans="1:110" s="17" customFormat="1" ht="12" outlineLevel="1">
      <c r="A595" s="1" t="s">
        <v>936</v>
      </c>
      <c r="B595" s="17" t="s">
        <v>579</v>
      </c>
      <c r="C595" s="62">
        <v>2290.5499999999993</v>
      </c>
      <c r="D595" s="62">
        <v>2357.0999999999995</v>
      </c>
      <c r="E595" s="62">
        <v>2706.5</v>
      </c>
      <c r="F595" s="62">
        <v>2796.8499999999995</v>
      </c>
      <c r="G595" s="62">
        <v>1990.7999999999993</v>
      </c>
      <c r="H595" s="62">
        <v>1267.1499999999996</v>
      </c>
      <c r="I595" s="62">
        <v>1197.7999999999993</v>
      </c>
      <c r="J595" s="62">
        <v>940.79999999999927</v>
      </c>
      <c r="K595" s="62">
        <v>877.34999999999854</v>
      </c>
      <c r="L595" s="62">
        <v>871.34999999999854</v>
      </c>
      <c r="M595" s="62">
        <v>1004.0499999999993</v>
      </c>
      <c r="N595" s="62">
        <v>1038.75</v>
      </c>
      <c r="O595" s="62">
        <v>525.09999999999854</v>
      </c>
      <c r="P595" s="62">
        <v>880.69999999999891</v>
      </c>
      <c r="Q595" s="62">
        <v>2515.2999999999993</v>
      </c>
      <c r="R595" s="62">
        <v>-409.33000000000175</v>
      </c>
      <c r="S595" s="62">
        <v>6211.5149999999994</v>
      </c>
      <c r="T595" s="62">
        <v>4964.5349999999999</v>
      </c>
      <c r="U595" s="62">
        <v>4082.2700000000004</v>
      </c>
      <c r="V595" s="62">
        <v>-2510.242000000002</v>
      </c>
      <c r="W595" s="62">
        <v>-2183.7191999999995</v>
      </c>
      <c r="X595" s="62">
        <v>-1281.7620000000024</v>
      </c>
      <c r="Y595" s="62">
        <v>-690.27370000000519</v>
      </c>
      <c r="Z595" s="62">
        <v>-238.01500000000306</v>
      </c>
      <c r="AA595" s="62">
        <v>789.63749999999709</v>
      </c>
      <c r="AB595" s="62">
        <v>-1544.7499999999964</v>
      </c>
      <c r="AC595" s="62">
        <v>-761.61000000000058</v>
      </c>
      <c r="AD595" s="62">
        <v>-1081.6699999999983</v>
      </c>
      <c r="AE595" s="62">
        <v>2351.6699999999983</v>
      </c>
      <c r="AF595" s="62">
        <v>-731.5</v>
      </c>
      <c r="AG595" s="62">
        <v>-1591.2000000000044</v>
      </c>
      <c r="AH595" s="62">
        <v>513</v>
      </c>
      <c r="AI595" s="62">
        <v>269.13500000000204</v>
      </c>
      <c r="AJ595" s="62">
        <v>2150.4150000000009</v>
      </c>
      <c r="AK595" s="62">
        <v>3676.9000000000015</v>
      </c>
      <c r="AL595" s="62">
        <v>3917.4449999999997</v>
      </c>
      <c r="AM595" s="62">
        <v>3574.0950000000012</v>
      </c>
      <c r="AN595" s="62">
        <v>891.74000000000524</v>
      </c>
      <c r="AO595" s="62">
        <v>3222.6800000000003</v>
      </c>
      <c r="AP595" s="62">
        <v>7928.57</v>
      </c>
      <c r="AQ595" s="62">
        <v>7669.9700000000012</v>
      </c>
      <c r="AR595" s="62">
        <v>4530.4500000000044</v>
      </c>
      <c r="AS595" s="62">
        <v>8126.6100000000006</v>
      </c>
      <c r="AT595" s="62">
        <v>9474.4599999999991</v>
      </c>
      <c r="AU595" s="62">
        <v>10128.029999999999</v>
      </c>
      <c r="AV595" s="220">
        <v>10806.309999999998</v>
      </c>
      <c r="AW595" s="62">
        <v>5458.7215721027605</v>
      </c>
      <c r="AX595" s="62">
        <v>5383.5914998316584</v>
      </c>
      <c r="AY595" s="62">
        <v>4951.1274228335751</v>
      </c>
      <c r="AZ595" s="62">
        <v>4725.1560885495201</v>
      </c>
      <c r="BA595" s="62">
        <v>4370.122140995074</v>
      </c>
      <c r="BB595" s="62">
        <v>4194.4080629263481</v>
      </c>
      <c r="BC595" s="62">
        <v>3888.3300072690254</v>
      </c>
      <c r="BD595" s="62">
        <v>3821.8306750396077</v>
      </c>
      <c r="BE595" s="62">
        <v>3596.6649944372984</v>
      </c>
      <c r="BF595" s="62">
        <v>3635.1751807084656</v>
      </c>
      <c r="BG595" s="62">
        <v>3415.119199496803</v>
      </c>
      <c r="BH595" s="62">
        <v>1349.4830771353591</v>
      </c>
      <c r="BI595" s="62">
        <v>1194.7424685853621</v>
      </c>
      <c r="BJ595" s="62">
        <v>4573.2865995353568</v>
      </c>
      <c r="BK595" s="62">
        <v>6236.5749061420502</v>
      </c>
      <c r="BL595" s="62">
        <v>6741.6490971535604</v>
      </c>
      <c r="BM595" s="62">
        <v>6441.2053130038112</v>
      </c>
      <c r="BN595" s="62">
        <v>7267.2949521657283</v>
      </c>
      <c r="BO595" s="62">
        <v>7838.8189016765828</v>
      </c>
      <c r="BP595" s="62"/>
      <c r="BQ595" s="62">
        <v>-165.13000000000147</v>
      </c>
      <c r="BR595" s="62">
        <v>369.80000000000018</v>
      </c>
      <c r="BS595" s="62">
        <v>1151.6499999999996</v>
      </c>
      <c r="BT595" s="62">
        <v>1349.1999999999998</v>
      </c>
      <c r="BU595" s="62">
        <v>1597.1499999999996</v>
      </c>
      <c r="BV595" s="62">
        <v>1664.6499999999996</v>
      </c>
      <c r="BW595" s="62">
        <v>2504.1999999999998</v>
      </c>
      <c r="BX595" s="62">
        <v>3427.1499999999996</v>
      </c>
      <c r="BY595" s="62">
        <v>3155.5999999999995</v>
      </c>
      <c r="BZ595" s="62">
        <v>3430.5499999999993</v>
      </c>
      <c r="CA595" s="62">
        <v>2706.5</v>
      </c>
      <c r="CB595" s="62">
        <v>1990.7999999999993</v>
      </c>
      <c r="CC595" s="62">
        <v>1197.7999999999993</v>
      </c>
      <c r="CD595" s="62">
        <v>877.34999999999854</v>
      </c>
      <c r="CE595" s="62">
        <v>288.04999999999927</v>
      </c>
      <c r="CF595" s="62">
        <v>-190.90000000000146</v>
      </c>
      <c r="CG595" s="62">
        <v>2515.2999999999993</v>
      </c>
      <c r="CH595" s="62">
        <v>6211.5149999999994</v>
      </c>
      <c r="CI595" s="62">
        <v>4082.2700000000004</v>
      </c>
      <c r="CJ595" s="62">
        <v>-2183.7191999999995</v>
      </c>
      <c r="CK595" s="62">
        <v>-690.27370000000519</v>
      </c>
      <c r="CL595" s="62">
        <v>789.63749999999709</v>
      </c>
      <c r="CM595" s="62">
        <v>-761.61000000000058</v>
      </c>
      <c r="CN595" s="62">
        <v>2351.6699999999983</v>
      </c>
      <c r="CO595" s="62">
        <v>-1591.2000000000044</v>
      </c>
      <c r="CP595" s="62">
        <v>269.13500000000204</v>
      </c>
      <c r="CQ595" s="62">
        <v>3676.9000000000015</v>
      </c>
      <c r="CR595" s="62">
        <v>3574.0950000000012</v>
      </c>
      <c r="CS595" s="62">
        <v>3222.6800000000003</v>
      </c>
      <c r="CT595" s="62">
        <v>7669.9700000000012</v>
      </c>
      <c r="CU595" s="62">
        <v>8126.6100000000006</v>
      </c>
      <c r="CV595" s="220">
        <v>10128.029999999999</v>
      </c>
      <c r="CW595" s="62">
        <v>5458.7215721027605</v>
      </c>
      <c r="CX595" s="62">
        <v>4951.1274228335897</v>
      </c>
      <c r="CY595" s="62">
        <v>4370.1221409951031</v>
      </c>
      <c r="CZ595" s="62">
        <v>3888.330007269069</v>
      </c>
      <c r="DA595" s="62">
        <v>3596.6649944373567</v>
      </c>
      <c r="DB595" s="62">
        <v>3415.1191994968758</v>
      </c>
      <c r="DC595" s="62">
        <v>1194.7424685854494</v>
      </c>
      <c r="DD595" s="62">
        <v>6236.5749061421375</v>
      </c>
      <c r="DE595" s="62">
        <v>6441.2053130038985</v>
      </c>
      <c r="DF595" s="62">
        <v>7838.8189016766701</v>
      </c>
    </row>
    <row r="596" spans="1:110" ht="12" outlineLevel="1">
      <c r="C596" s="41"/>
      <c r="D596" s="41"/>
      <c r="E596" s="41"/>
      <c r="F596" s="41"/>
      <c r="G596" s="41"/>
      <c r="H596" s="41"/>
      <c r="I596" s="41"/>
      <c r="J596" s="41"/>
      <c r="K596" s="41"/>
      <c r="L596" s="41"/>
      <c r="M596" s="41"/>
      <c r="N596" s="41"/>
      <c r="O596" s="41"/>
      <c r="P596" s="41"/>
      <c r="Q596" s="41"/>
      <c r="R596" s="41"/>
      <c r="S596" s="41"/>
      <c r="T596" s="41"/>
      <c r="U596" s="41"/>
      <c r="V596" s="41"/>
      <c r="W596" s="41"/>
      <c r="X596" s="41"/>
      <c r="Y596" s="41"/>
      <c r="Z596" s="41"/>
      <c r="AA596" s="189"/>
      <c r="AB596" s="189"/>
      <c r="AC596" s="41"/>
      <c r="AD596" s="41"/>
      <c r="AE596" s="41"/>
      <c r="AF596" s="41"/>
      <c r="AG596" s="41"/>
      <c r="AH596" s="41"/>
      <c r="AI596" s="41"/>
      <c r="AJ596" s="41"/>
      <c r="AK596" s="41"/>
      <c r="AM596" s="41"/>
      <c r="AN596" s="41"/>
      <c r="AO596" s="41"/>
      <c r="AP596" s="41"/>
      <c r="AQ596" s="41"/>
      <c r="AR596" s="41"/>
      <c r="AS596" s="41"/>
      <c r="AT596" s="41"/>
      <c r="AU596" s="41"/>
      <c r="AV596" s="211"/>
      <c r="AW596" s="41"/>
      <c r="AX596" s="41"/>
      <c r="AY596" s="41"/>
      <c r="AZ596" s="41"/>
      <c r="BA596" s="41"/>
      <c r="BB596" s="41"/>
      <c r="BC596" s="41"/>
      <c r="BD596" s="41"/>
      <c r="BE596" s="41"/>
      <c r="BF596" s="41"/>
      <c r="BG596" s="41"/>
      <c r="BH596" s="41"/>
      <c r="BI596" s="41"/>
      <c r="BJ596" s="41"/>
      <c r="BK596" s="41"/>
      <c r="BL596" s="41"/>
      <c r="BM596" s="41"/>
      <c r="BN596" s="41"/>
      <c r="BO596" s="41"/>
      <c r="BP596" s="41"/>
      <c r="BQ596" s="41"/>
      <c r="BR596" s="41"/>
      <c r="BS596" s="41"/>
      <c r="BT596" s="41"/>
      <c r="BU596" s="41"/>
      <c r="BV596" s="41"/>
      <c r="BW596" s="41"/>
      <c r="BX596" s="41"/>
      <c r="BY596" s="41"/>
      <c r="BZ596" s="41"/>
      <c r="CA596" s="41"/>
      <c r="CB596" s="41"/>
      <c r="CC596" s="41"/>
      <c r="CD596" s="41"/>
      <c r="CE596" s="41"/>
      <c r="CF596" s="41"/>
      <c r="CG596" s="41"/>
      <c r="CH596" s="41"/>
      <c r="CI596" s="41"/>
      <c r="CJ596" s="41"/>
      <c r="CK596" s="41"/>
      <c r="CL596" s="41"/>
      <c r="CM596" s="41"/>
      <c r="CN596" s="41"/>
      <c r="CO596" s="41"/>
      <c r="CP596" s="41"/>
      <c r="CQ596" s="41"/>
      <c r="CR596" s="41"/>
      <c r="CS596" s="41"/>
      <c r="CT596" s="41"/>
      <c r="CU596" s="41"/>
      <c r="CV596" s="211"/>
      <c r="CW596" s="41"/>
      <c r="CX596" s="41"/>
      <c r="CY596" s="41"/>
      <c r="CZ596" s="15"/>
      <c r="DA596" s="15"/>
      <c r="DB596" s="15"/>
      <c r="DC596" s="15"/>
      <c r="DD596" s="15"/>
      <c r="DE596" s="15"/>
      <c r="DF596" s="15"/>
    </row>
    <row r="597" spans="1:110" s="17" customFormat="1" ht="12" outlineLevel="1">
      <c r="A597" s="1"/>
      <c r="B597" s="17" t="s">
        <v>580</v>
      </c>
      <c r="C597" s="62"/>
      <c r="D597" s="62"/>
      <c r="E597" s="62"/>
      <c r="F597" s="62"/>
      <c r="G597" s="62"/>
      <c r="H597" s="62"/>
      <c r="I597" s="62"/>
      <c r="J597" s="62"/>
      <c r="K597" s="62"/>
      <c r="L597" s="62"/>
      <c r="M597" s="62"/>
      <c r="N597" s="62"/>
      <c r="O597" s="62"/>
      <c r="P597" s="62"/>
      <c r="Q597" s="62"/>
      <c r="R597" s="62"/>
      <c r="S597" s="62"/>
      <c r="T597" s="62"/>
      <c r="U597" s="62"/>
      <c r="V597" s="62"/>
      <c r="W597" s="62"/>
      <c r="X597" s="62"/>
      <c r="Y597" s="62"/>
      <c r="Z597" s="62"/>
      <c r="AA597" s="62"/>
      <c r="AB597" s="62"/>
      <c r="AC597" s="62"/>
      <c r="AD597" s="62"/>
      <c r="AE597" s="62"/>
      <c r="AF597" s="62"/>
      <c r="AG597" s="62"/>
      <c r="AH597" s="62"/>
      <c r="AI597" s="62"/>
      <c r="AJ597" s="62"/>
      <c r="AK597" s="62"/>
      <c r="AL597" s="62"/>
      <c r="AM597" s="62"/>
      <c r="AN597" s="62"/>
      <c r="AO597" s="62"/>
      <c r="AP597" s="62"/>
      <c r="AQ597" s="62"/>
      <c r="AR597" s="62"/>
      <c r="AS597" s="62"/>
      <c r="AT597" s="62"/>
      <c r="AU597" s="62"/>
      <c r="AV597" s="220"/>
      <c r="AW597" s="62"/>
      <c r="AX597" s="62"/>
      <c r="AY597" s="62"/>
      <c r="AZ597" s="62"/>
      <c r="BA597" s="62"/>
      <c r="BB597" s="62"/>
      <c r="BC597" s="62"/>
      <c r="BD597" s="62"/>
      <c r="BE597" s="62"/>
      <c r="BF597" s="62"/>
      <c r="BG597" s="62"/>
      <c r="BH597" s="62"/>
      <c r="BI597" s="62"/>
      <c r="BJ597" s="62"/>
      <c r="BK597" s="62"/>
      <c r="BL597" s="62"/>
      <c r="BM597" s="62"/>
      <c r="BN597" s="62"/>
      <c r="BO597" s="62"/>
      <c r="BP597" s="62"/>
      <c r="BQ597" s="62"/>
      <c r="BR597" s="62"/>
      <c r="BS597" s="62"/>
      <c r="BT597" s="62"/>
      <c r="BU597" s="62"/>
      <c r="BV597" s="62"/>
      <c r="BW597" s="62"/>
      <c r="BX597" s="62"/>
      <c r="BY597" s="62"/>
      <c r="BZ597" s="62"/>
      <c r="CA597" s="62"/>
      <c r="CB597" s="62"/>
      <c r="CC597" s="62"/>
      <c r="CD597" s="62"/>
      <c r="CE597" s="62"/>
      <c r="CF597" s="62"/>
      <c r="CG597" s="62"/>
      <c r="CH597" s="62"/>
      <c r="CI597" s="62"/>
      <c r="CJ597" s="62"/>
      <c r="CK597" s="62"/>
      <c r="CL597" s="62"/>
      <c r="CM597" s="62"/>
      <c r="CN597" s="62"/>
      <c r="CO597" s="62"/>
      <c r="CP597" s="62"/>
      <c r="CQ597" s="62"/>
      <c r="CR597" s="62"/>
      <c r="CS597" s="62"/>
      <c r="CT597" s="62"/>
      <c r="CU597" s="62"/>
      <c r="CV597" s="220"/>
      <c r="CW597" s="62"/>
      <c r="CX597" s="62"/>
      <c r="CY597" s="62"/>
    </row>
    <row r="598" spans="1:110" ht="12" outlineLevel="1">
      <c r="A598" s="1" t="s">
        <v>937</v>
      </c>
      <c r="B598" s="15" t="s">
        <v>406</v>
      </c>
      <c r="C598" s="40">
        <v>950</v>
      </c>
      <c r="D598" s="40">
        <v>1045</v>
      </c>
      <c r="E598" s="40">
        <v>1007</v>
      </c>
      <c r="F598" s="40">
        <v>1033</v>
      </c>
      <c r="G598" s="40">
        <v>1029</v>
      </c>
      <c r="H598" s="40">
        <v>1232</v>
      </c>
      <c r="I598" s="40">
        <v>1342</v>
      </c>
      <c r="J598" s="40">
        <v>1390</v>
      </c>
      <c r="K598" s="40">
        <v>1448</v>
      </c>
      <c r="L598" s="40">
        <v>1318</v>
      </c>
      <c r="M598" s="40">
        <v>1344</v>
      </c>
      <c r="N598" s="40">
        <v>1372</v>
      </c>
      <c r="O598" s="40">
        <v>1392</v>
      </c>
      <c r="P598" s="40">
        <v>6</v>
      </c>
      <c r="Q598" s="40">
        <v>54</v>
      </c>
      <c r="R598" s="40">
        <v>64</v>
      </c>
      <c r="S598" s="40">
        <v>97</v>
      </c>
      <c r="T598" s="40">
        <v>85</v>
      </c>
      <c r="U598" s="40">
        <v>280</v>
      </c>
      <c r="V598" s="40">
        <v>264</v>
      </c>
      <c r="W598" s="40">
        <v>266</v>
      </c>
      <c r="X598" s="40">
        <v>230</v>
      </c>
      <c r="Y598" s="40">
        <v>234</v>
      </c>
      <c r="Z598" s="141">
        <v>244</v>
      </c>
      <c r="AA598" s="141">
        <v>245</v>
      </c>
      <c r="AB598" s="141">
        <v>212</v>
      </c>
      <c r="AC598" s="141">
        <v>228</v>
      </c>
      <c r="AD598" s="141">
        <v>249</v>
      </c>
      <c r="AE598" s="141">
        <v>252</v>
      </c>
      <c r="AF598" s="141">
        <v>255</v>
      </c>
      <c r="AG598" s="141">
        <v>267</v>
      </c>
      <c r="AH598" s="141">
        <v>257</v>
      </c>
      <c r="AI598" s="141">
        <v>200</v>
      </c>
      <c r="AJ598" s="141">
        <v>123</v>
      </c>
      <c r="AK598" s="141">
        <v>119</v>
      </c>
      <c r="AL598" s="141">
        <v>307</v>
      </c>
      <c r="AM598" s="141">
        <v>296</v>
      </c>
      <c r="AN598" s="141">
        <v>1253</v>
      </c>
      <c r="AO598" s="141">
        <v>1813</v>
      </c>
      <c r="AP598" s="141">
        <v>1417</v>
      </c>
      <c r="AQ598" s="141">
        <v>1412</v>
      </c>
      <c r="AR598" s="141">
        <v>1082</v>
      </c>
      <c r="AS598" s="141">
        <v>1233</v>
      </c>
      <c r="AT598" s="141">
        <v>1781</v>
      </c>
      <c r="AU598" s="141">
        <v>1776</v>
      </c>
      <c r="AV598" s="226">
        <v>1609</v>
      </c>
      <c r="AW598" s="41">
        <v>1694.2723600350025</v>
      </c>
      <c r="AX598" s="41">
        <v>1722.4940703183104</v>
      </c>
      <c r="AY598" s="41">
        <v>1740.7873387000495</v>
      </c>
      <c r="AZ598" s="41">
        <v>1760.7939978193767</v>
      </c>
      <c r="BA598" s="41">
        <v>1784.8778842022411</v>
      </c>
      <c r="BB598" s="41">
        <v>1814.8572769304515</v>
      </c>
      <c r="BC598" s="41">
        <v>1850.5251401576127</v>
      </c>
      <c r="BD598" s="41">
        <v>1887.0230619186702</v>
      </c>
      <c r="BE598" s="41">
        <v>1924.3711873713746</v>
      </c>
      <c r="BF598" s="41">
        <v>1954.2611192787126</v>
      </c>
      <c r="BG598" s="41">
        <v>1984.7112722205134</v>
      </c>
      <c r="BH598" s="41">
        <v>2246.4828249340076</v>
      </c>
      <c r="BI598" s="41">
        <v>2581.1512703420981</v>
      </c>
      <c r="BJ598" s="41">
        <v>2562.7409475740146</v>
      </c>
      <c r="BK598" s="41">
        <v>2288.6993232007917</v>
      </c>
      <c r="BL598" s="41">
        <v>2342.4071974461895</v>
      </c>
      <c r="BM598" s="41">
        <v>2397.5026351023585</v>
      </c>
      <c r="BN598" s="41">
        <v>2450.8134450308185</v>
      </c>
      <c r="BO598" s="41">
        <v>2509.8889111298727</v>
      </c>
      <c r="BP598" s="41"/>
      <c r="BQ598" s="40">
        <v>932.8</v>
      </c>
      <c r="BR598" s="40">
        <v>564.70000000000005</v>
      </c>
      <c r="BS598" s="40">
        <v>567</v>
      </c>
      <c r="BT598" s="40">
        <v>678</v>
      </c>
      <c r="BU598" s="40">
        <v>896</v>
      </c>
      <c r="BV598" s="40">
        <v>918</v>
      </c>
      <c r="BW598" s="40">
        <v>889</v>
      </c>
      <c r="BX598" s="40">
        <v>851</v>
      </c>
      <c r="BY598" s="40">
        <v>919</v>
      </c>
      <c r="BZ598" s="40">
        <v>950</v>
      </c>
      <c r="CA598" s="41">
        <v>1007</v>
      </c>
      <c r="CB598" s="41">
        <v>1029</v>
      </c>
      <c r="CC598" s="41">
        <v>1342</v>
      </c>
      <c r="CD598" s="41">
        <v>1448</v>
      </c>
      <c r="CE598" s="41">
        <v>1344</v>
      </c>
      <c r="CF598" s="41">
        <v>1392</v>
      </c>
      <c r="CG598" s="41">
        <v>54</v>
      </c>
      <c r="CH598" s="41">
        <v>97</v>
      </c>
      <c r="CI598" s="41">
        <v>280</v>
      </c>
      <c r="CJ598" s="41">
        <v>266</v>
      </c>
      <c r="CK598" s="41">
        <v>234</v>
      </c>
      <c r="CL598" s="41">
        <v>245</v>
      </c>
      <c r="CM598" s="41">
        <v>228</v>
      </c>
      <c r="CN598" s="41">
        <v>252</v>
      </c>
      <c r="CO598" s="41">
        <v>267</v>
      </c>
      <c r="CP598" s="41">
        <v>200</v>
      </c>
      <c r="CQ598" s="41">
        <v>119</v>
      </c>
      <c r="CR598" s="41">
        <v>296</v>
      </c>
      <c r="CS598" s="41">
        <v>1813</v>
      </c>
      <c r="CT598" s="41">
        <v>1412</v>
      </c>
      <c r="CU598" s="41">
        <v>1233</v>
      </c>
      <c r="CV598" s="211">
        <v>1776</v>
      </c>
      <c r="CW598" s="41">
        <v>1694.2723600350025</v>
      </c>
      <c r="CX598" s="41">
        <v>1740.7873387000495</v>
      </c>
      <c r="CY598" s="41">
        <v>1784.8778842022411</v>
      </c>
      <c r="CZ598" s="41">
        <v>1850.5251401576127</v>
      </c>
      <c r="DA598" s="41">
        <v>1924.3711873713746</v>
      </c>
      <c r="DB598" s="41">
        <v>1984.7112722205134</v>
      </c>
      <c r="DC598" s="41">
        <v>2581.1512703420981</v>
      </c>
      <c r="DD598" s="41">
        <v>2288.6993232007917</v>
      </c>
      <c r="DE598" s="41">
        <v>2397.5026351023585</v>
      </c>
      <c r="DF598" s="41">
        <v>2509.8889111298727</v>
      </c>
    </row>
    <row r="599" spans="1:110" ht="12" outlineLevel="1">
      <c r="A599" s="1" t="s">
        <v>938</v>
      </c>
      <c r="B599" s="15" t="s">
        <v>407</v>
      </c>
      <c r="C599" s="41">
        <v>0</v>
      </c>
      <c r="D599" s="41">
        <v>0</v>
      </c>
      <c r="E599" s="41">
        <v>0</v>
      </c>
      <c r="F599" s="41">
        <v>0</v>
      </c>
      <c r="G599" s="41">
        <v>0</v>
      </c>
      <c r="H599" s="41">
        <v>0</v>
      </c>
      <c r="I599" s="41">
        <v>0</v>
      </c>
      <c r="J599" s="41">
        <v>0</v>
      </c>
      <c r="K599" s="41">
        <v>0</v>
      </c>
      <c r="L599" s="41">
        <v>0</v>
      </c>
      <c r="M599" s="41">
        <v>0</v>
      </c>
      <c r="N599" s="41">
        <v>0</v>
      </c>
      <c r="O599" s="41">
        <v>0</v>
      </c>
      <c r="P599" s="41">
        <v>0</v>
      </c>
      <c r="Q599" s="41">
        <v>0</v>
      </c>
      <c r="R599" s="41">
        <v>0</v>
      </c>
      <c r="S599" s="41">
        <v>0</v>
      </c>
      <c r="T599" s="41">
        <v>0</v>
      </c>
      <c r="U599" s="41">
        <v>0</v>
      </c>
      <c r="V599" s="41">
        <v>0</v>
      </c>
      <c r="W599" s="41">
        <v>0</v>
      </c>
      <c r="X599" s="41">
        <v>0</v>
      </c>
      <c r="Y599" s="41">
        <v>0</v>
      </c>
      <c r="Z599" s="41">
        <v>0</v>
      </c>
      <c r="AA599" s="41">
        <v>0</v>
      </c>
      <c r="AB599" s="41">
        <v>0</v>
      </c>
      <c r="AC599" s="41">
        <v>0</v>
      </c>
      <c r="AD599" s="41">
        <v>0</v>
      </c>
      <c r="AE599" s="41">
        <v>0</v>
      </c>
      <c r="AF599" s="41">
        <v>0</v>
      </c>
      <c r="AG599" s="41">
        <v>0</v>
      </c>
      <c r="AH599" s="41">
        <v>0</v>
      </c>
      <c r="AI599" s="41">
        <v>0</v>
      </c>
      <c r="AJ599" s="41">
        <v>0</v>
      </c>
      <c r="AK599" s="41">
        <v>0</v>
      </c>
      <c r="AL599" s="41">
        <v>0</v>
      </c>
      <c r="AM599" s="41">
        <v>0</v>
      </c>
      <c r="AN599" s="41">
        <v>0</v>
      </c>
      <c r="AO599" s="41">
        <v>0</v>
      </c>
      <c r="AP599" s="41">
        <v>0</v>
      </c>
      <c r="AQ599" s="41">
        <v>0</v>
      </c>
      <c r="AR599" s="41">
        <v>0</v>
      </c>
      <c r="AS599" s="41">
        <v>0</v>
      </c>
      <c r="AT599" s="41">
        <v>0</v>
      </c>
      <c r="AU599" s="41">
        <v>0</v>
      </c>
      <c r="AV599" s="211">
        <v>0</v>
      </c>
      <c r="AW599" s="41">
        <v>0</v>
      </c>
      <c r="AX599" s="41">
        <v>0</v>
      </c>
      <c r="AY599" s="41">
        <v>0</v>
      </c>
      <c r="AZ599" s="41">
        <v>0</v>
      </c>
      <c r="BA599" s="41">
        <v>0</v>
      </c>
      <c r="BB599" s="41">
        <v>0</v>
      </c>
      <c r="BC599" s="41">
        <v>0</v>
      </c>
      <c r="BD599" s="41">
        <v>0</v>
      </c>
      <c r="BE599" s="41">
        <v>0</v>
      </c>
      <c r="BF599" s="41">
        <v>0</v>
      </c>
      <c r="BG599" s="41">
        <v>0</v>
      </c>
      <c r="BH599" s="41">
        <v>0</v>
      </c>
      <c r="BI599" s="41">
        <v>0</v>
      </c>
      <c r="BJ599" s="41">
        <v>0</v>
      </c>
      <c r="BK599" s="41">
        <v>0</v>
      </c>
      <c r="BL599" s="41">
        <v>0</v>
      </c>
      <c r="BM599" s="41">
        <v>0</v>
      </c>
      <c r="BN599" s="41">
        <v>0</v>
      </c>
      <c r="BO599" s="41">
        <v>0</v>
      </c>
      <c r="BP599" s="41"/>
      <c r="BQ599" s="40">
        <v>0</v>
      </c>
      <c r="BR599" s="40">
        <v>0</v>
      </c>
      <c r="BS599" s="40">
        <v>0</v>
      </c>
      <c r="BT599" s="40">
        <v>0</v>
      </c>
      <c r="BU599" s="40">
        <v>0</v>
      </c>
      <c r="BV599" s="40">
        <v>0</v>
      </c>
      <c r="BW599" s="40">
        <v>0</v>
      </c>
      <c r="BX599" s="40">
        <v>0</v>
      </c>
      <c r="BY599" s="40">
        <v>0</v>
      </c>
      <c r="BZ599" s="40">
        <v>0</v>
      </c>
      <c r="CA599" s="41">
        <v>0</v>
      </c>
      <c r="CB599" s="41">
        <v>0</v>
      </c>
      <c r="CC599" s="41">
        <v>0</v>
      </c>
      <c r="CD599" s="41">
        <v>0</v>
      </c>
      <c r="CE599" s="41">
        <v>0</v>
      </c>
      <c r="CF599" s="41">
        <v>0</v>
      </c>
      <c r="CG599" s="41">
        <v>0</v>
      </c>
      <c r="CH599" s="41">
        <v>0</v>
      </c>
      <c r="CI599" s="41">
        <v>0</v>
      </c>
      <c r="CJ599" s="41">
        <v>0</v>
      </c>
      <c r="CK599" s="41">
        <v>0</v>
      </c>
      <c r="CL599" s="41">
        <v>0</v>
      </c>
      <c r="CM599" s="41">
        <v>0</v>
      </c>
      <c r="CN599" s="41">
        <v>0</v>
      </c>
      <c r="CO599" s="41">
        <v>0</v>
      </c>
      <c r="CP599" s="41">
        <v>0</v>
      </c>
      <c r="CQ599" s="41">
        <v>0</v>
      </c>
      <c r="CR599" s="41">
        <v>0</v>
      </c>
      <c r="CS599" s="41">
        <v>0</v>
      </c>
      <c r="CT599" s="41">
        <v>0</v>
      </c>
      <c r="CU599" s="41">
        <v>0</v>
      </c>
      <c r="CV599" s="211">
        <v>0</v>
      </c>
      <c r="CW599" s="41">
        <v>0</v>
      </c>
      <c r="CX599" s="41">
        <v>0</v>
      </c>
      <c r="CY599" s="41">
        <v>0</v>
      </c>
      <c r="CZ599" s="41">
        <v>0</v>
      </c>
      <c r="DA599" s="41">
        <v>0</v>
      </c>
      <c r="DB599" s="41">
        <v>0</v>
      </c>
      <c r="DC599" s="41">
        <v>0</v>
      </c>
      <c r="DD599" s="41">
        <v>0</v>
      </c>
      <c r="DE599" s="41">
        <v>0</v>
      </c>
      <c r="DF599" s="41">
        <v>0</v>
      </c>
    </row>
    <row r="600" spans="1:110" ht="12" outlineLevel="1">
      <c r="A600" s="1" t="s">
        <v>939</v>
      </c>
      <c r="B600" s="15" t="s">
        <v>863</v>
      </c>
      <c r="C600" s="40">
        <v>1140</v>
      </c>
      <c r="D600" s="40">
        <v>1053</v>
      </c>
      <c r="E600" s="40">
        <v>1027</v>
      </c>
      <c r="F600" s="40">
        <v>497</v>
      </c>
      <c r="G600" s="40">
        <v>442</v>
      </c>
      <c r="H600" s="40">
        <v>396</v>
      </c>
      <c r="I600" s="40">
        <v>419</v>
      </c>
      <c r="J600" s="40">
        <v>389</v>
      </c>
      <c r="K600" s="40">
        <v>394</v>
      </c>
      <c r="L600" s="40">
        <v>419</v>
      </c>
      <c r="M600" s="40">
        <v>401</v>
      </c>
      <c r="N600" s="40">
        <v>721</v>
      </c>
      <c r="O600" s="40">
        <v>690</v>
      </c>
      <c r="P600" s="40">
        <v>678</v>
      </c>
      <c r="Q600" s="40">
        <v>1072</v>
      </c>
      <c r="R600" s="40">
        <v>1127</v>
      </c>
      <c r="S600" s="40">
        <v>1024</v>
      </c>
      <c r="T600" s="40">
        <v>972</v>
      </c>
      <c r="U600" s="40">
        <v>943</v>
      </c>
      <c r="V600" s="40">
        <v>902</v>
      </c>
      <c r="W600" s="40">
        <v>962</v>
      </c>
      <c r="X600" s="40">
        <v>943</v>
      </c>
      <c r="Y600" s="40">
        <v>951</v>
      </c>
      <c r="Z600" s="141">
        <v>957</v>
      </c>
      <c r="AA600" s="141">
        <v>1065</v>
      </c>
      <c r="AB600" s="141">
        <v>1108</v>
      </c>
      <c r="AC600" s="141">
        <v>1087</v>
      </c>
      <c r="AD600" s="141">
        <v>1211</v>
      </c>
      <c r="AE600" s="141">
        <v>1188</v>
      </c>
      <c r="AF600" s="141">
        <v>1145</v>
      </c>
      <c r="AG600" s="141">
        <v>1190</v>
      </c>
      <c r="AH600" s="141">
        <v>1156</v>
      </c>
      <c r="AI600" s="141">
        <v>1150</v>
      </c>
      <c r="AJ600" s="141">
        <v>390</v>
      </c>
      <c r="AK600" s="141">
        <v>416</v>
      </c>
      <c r="AL600" s="141">
        <v>423</v>
      </c>
      <c r="AM600" s="141">
        <v>444</v>
      </c>
      <c r="AN600" s="141">
        <v>485</v>
      </c>
      <c r="AO600" s="141">
        <v>422</v>
      </c>
      <c r="AP600" s="141">
        <v>395</v>
      </c>
      <c r="AQ600" s="141">
        <v>417</v>
      </c>
      <c r="AR600" s="141">
        <v>0</v>
      </c>
      <c r="AS600" s="141">
        <v>0</v>
      </c>
      <c r="AT600" s="141">
        <v>0</v>
      </c>
      <c r="AU600" s="141">
        <v>0</v>
      </c>
      <c r="AV600" s="226">
        <v>0</v>
      </c>
      <c r="AW600" s="210">
        <v>0</v>
      </c>
      <c r="AX600" s="210">
        <v>0</v>
      </c>
      <c r="AY600" s="210">
        <v>0</v>
      </c>
      <c r="AZ600" s="210">
        <v>0</v>
      </c>
      <c r="BA600" s="210">
        <v>0</v>
      </c>
      <c r="BB600" s="210">
        <v>0</v>
      </c>
      <c r="BC600" s="210">
        <v>0</v>
      </c>
      <c r="BD600" s="210">
        <v>0</v>
      </c>
      <c r="BE600" s="210">
        <v>0</v>
      </c>
      <c r="BF600" s="210">
        <v>0</v>
      </c>
      <c r="BG600" s="210">
        <v>0</v>
      </c>
      <c r="BH600" s="210">
        <v>0</v>
      </c>
      <c r="BI600" s="210">
        <v>0</v>
      </c>
      <c r="BJ600" s="210">
        <v>0</v>
      </c>
      <c r="BK600" s="210">
        <v>0</v>
      </c>
      <c r="BL600" s="210">
        <v>0</v>
      </c>
      <c r="BM600" s="210">
        <v>0</v>
      </c>
      <c r="BN600" s="210">
        <v>0</v>
      </c>
      <c r="BO600" s="210">
        <v>0</v>
      </c>
      <c r="BP600" s="41"/>
      <c r="BQ600" s="40">
        <v>630</v>
      </c>
      <c r="BR600" s="40">
        <v>1098.0999999999999</v>
      </c>
      <c r="BS600" s="40">
        <v>959</v>
      </c>
      <c r="BT600" s="40">
        <v>943</v>
      </c>
      <c r="BU600" s="40">
        <v>709</v>
      </c>
      <c r="BV600" s="40">
        <v>776</v>
      </c>
      <c r="BW600" s="40">
        <v>936</v>
      </c>
      <c r="BX600" s="40">
        <v>855</v>
      </c>
      <c r="BY600" s="40">
        <v>1026</v>
      </c>
      <c r="BZ600" s="40">
        <v>1140</v>
      </c>
      <c r="CA600" s="41">
        <v>1027</v>
      </c>
      <c r="CB600" s="41">
        <v>442</v>
      </c>
      <c r="CC600" s="41">
        <v>419</v>
      </c>
      <c r="CD600" s="41">
        <v>394</v>
      </c>
      <c r="CE600" s="41">
        <v>401</v>
      </c>
      <c r="CF600" s="41">
        <v>690</v>
      </c>
      <c r="CG600" s="41">
        <v>1072</v>
      </c>
      <c r="CH600" s="41">
        <v>1024</v>
      </c>
      <c r="CI600" s="41">
        <v>943</v>
      </c>
      <c r="CJ600" s="41">
        <v>962</v>
      </c>
      <c r="CK600" s="41">
        <v>951</v>
      </c>
      <c r="CL600" s="41">
        <v>1065</v>
      </c>
      <c r="CM600" s="41">
        <v>1087</v>
      </c>
      <c r="CN600" s="41">
        <v>1188</v>
      </c>
      <c r="CO600" s="41">
        <v>1190</v>
      </c>
      <c r="CP600" s="41">
        <v>1150</v>
      </c>
      <c r="CQ600" s="41">
        <v>416</v>
      </c>
      <c r="CR600" s="41">
        <v>444</v>
      </c>
      <c r="CS600" s="41">
        <v>422</v>
      </c>
      <c r="CT600" s="41">
        <v>417</v>
      </c>
      <c r="CU600" s="41">
        <v>0</v>
      </c>
      <c r="CV600" s="211">
        <v>0</v>
      </c>
      <c r="CW600" s="41">
        <v>0</v>
      </c>
      <c r="CX600" s="41">
        <v>0</v>
      </c>
      <c r="CY600" s="41">
        <v>0</v>
      </c>
      <c r="CZ600" s="41">
        <v>0</v>
      </c>
      <c r="DA600" s="41">
        <v>0</v>
      </c>
      <c r="DB600" s="41">
        <v>0</v>
      </c>
      <c r="DC600" s="41">
        <v>0</v>
      </c>
      <c r="DD600" s="41">
        <v>0</v>
      </c>
      <c r="DE600" s="41">
        <v>0</v>
      </c>
      <c r="DF600" s="41">
        <v>0</v>
      </c>
    </row>
    <row r="601" spans="1:110" ht="12" outlineLevel="1">
      <c r="A601" s="1" t="s">
        <v>740</v>
      </c>
      <c r="B601" s="15" t="s">
        <v>719</v>
      </c>
      <c r="C601" s="40">
        <v>2436</v>
      </c>
      <c r="D601" s="40">
        <v>2017</v>
      </c>
      <c r="E601" s="40">
        <v>1872</v>
      </c>
      <c r="F601" s="40">
        <v>3482</v>
      </c>
      <c r="G601" s="40">
        <v>4563</v>
      </c>
      <c r="H601" s="40">
        <v>5198</v>
      </c>
      <c r="I601" s="40">
        <v>6052</v>
      </c>
      <c r="J601" s="40">
        <v>5769</v>
      </c>
      <c r="K601" s="40">
        <v>6701</v>
      </c>
      <c r="L601" s="40">
        <v>7416</v>
      </c>
      <c r="M601" s="40">
        <v>8177</v>
      </c>
      <c r="N601" s="40">
        <v>8398</v>
      </c>
      <c r="O601" s="40">
        <v>8826</v>
      </c>
      <c r="P601" s="40">
        <v>9093</v>
      </c>
      <c r="Q601" s="40">
        <v>9170</v>
      </c>
      <c r="R601" s="40">
        <v>9191</v>
      </c>
      <c r="S601" s="40">
        <v>9082</v>
      </c>
      <c r="T601" s="40">
        <v>7405</v>
      </c>
      <c r="U601" s="40">
        <v>6619</v>
      </c>
      <c r="V601" s="40">
        <v>6176</v>
      </c>
      <c r="W601" s="40">
        <v>5017</v>
      </c>
      <c r="X601" s="40">
        <v>5757</v>
      </c>
      <c r="Y601" s="40">
        <v>5702</v>
      </c>
      <c r="Z601" s="141">
        <v>4979</v>
      </c>
      <c r="AA601" s="141">
        <v>5108</v>
      </c>
      <c r="AB601" s="141">
        <v>5314</v>
      </c>
      <c r="AC601" s="141">
        <v>6117</v>
      </c>
      <c r="AD601" s="141">
        <v>7463</v>
      </c>
      <c r="AE601" s="141">
        <v>7681</v>
      </c>
      <c r="AF601" s="141">
        <v>8325</v>
      </c>
      <c r="AG601" s="141">
        <v>10345</v>
      </c>
      <c r="AH601" s="141">
        <v>10323</v>
      </c>
      <c r="AI601" s="141">
        <v>7319</v>
      </c>
      <c r="AJ601" s="141">
        <v>7527</v>
      </c>
      <c r="AK601" s="141">
        <v>6756</v>
      </c>
      <c r="AL601" s="141">
        <v>6839</v>
      </c>
      <c r="AM601" s="141">
        <v>7809</v>
      </c>
      <c r="AN601" s="141">
        <v>11374</v>
      </c>
      <c r="AO601" s="141">
        <v>11722</v>
      </c>
      <c r="AP601" s="141">
        <v>14652</v>
      </c>
      <c r="AQ601" s="141">
        <v>15296</v>
      </c>
      <c r="AR601" s="141">
        <v>13698</v>
      </c>
      <c r="AS601" s="141">
        <v>18044</v>
      </c>
      <c r="AT601" s="141">
        <v>22287</v>
      </c>
      <c r="AU601" s="141">
        <v>23183</v>
      </c>
      <c r="AV601" s="226">
        <v>26614</v>
      </c>
      <c r="AW601" s="210">
        <v>26614</v>
      </c>
      <c r="AX601" s="210">
        <v>26614</v>
      </c>
      <c r="AY601" s="210">
        <v>26614</v>
      </c>
      <c r="AZ601" s="210">
        <v>26614</v>
      </c>
      <c r="BA601" s="210">
        <v>26614</v>
      </c>
      <c r="BB601" s="210">
        <v>26614</v>
      </c>
      <c r="BC601" s="210">
        <v>26614</v>
      </c>
      <c r="BD601" s="210">
        <v>26614</v>
      </c>
      <c r="BE601" s="210">
        <v>26614</v>
      </c>
      <c r="BF601" s="210">
        <v>26614</v>
      </c>
      <c r="BG601" s="210">
        <v>26614</v>
      </c>
      <c r="BH601" s="210">
        <v>26614</v>
      </c>
      <c r="BI601" s="210">
        <v>26614</v>
      </c>
      <c r="BJ601" s="210">
        <v>26614</v>
      </c>
      <c r="BK601" s="210">
        <v>26614</v>
      </c>
      <c r="BL601" s="210">
        <v>26614</v>
      </c>
      <c r="BM601" s="210">
        <v>26614</v>
      </c>
      <c r="BN601" s="210">
        <v>26614</v>
      </c>
      <c r="BO601" s="210">
        <v>26614</v>
      </c>
      <c r="BP601" s="41"/>
      <c r="BQ601" s="40">
        <v>2174.5</v>
      </c>
      <c r="BR601" s="40">
        <v>2298</v>
      </c>
      <c r="BS601" s="40">
        <v>2122</v>
      </c>
      <c r="BT601" s="40">
        <v>2213</v>
      </c>
      <c r="BU601" s="40">
        <v>2418</v>
      </c>
      <c r="BV601" s="40">
        <v>2336</v>
      </c>
      <c r="BW601" s="40">
        <v>2567</v>
      </c>
      <c r="BX601" s="40">
        <v>2211</v>
      </c>
      <c r="BY601" s="40">
        <v>2432</v>
      </c>
      <c r="BZ601" s="40">
        <v>2436</v>
      </c>
      <c r="CA601" s="41">
        <v>1872</v>
      </c>
      <c r="CB601" s="41">
        <v>4563</v>
      </c>
      <c r="CC601" s="41">
        <v>6052</v>
      </c>
      <c r="CD601" s="41">
        <v>6701</v>
      </c>
      <c r="CE601" s="41">
        <v>8177</v>
      </c>
      <c r="CF601" s="41">
        <v>8826</v>
      </c>
      <c r="CG601" s="41">
        <v>9170</v>
      </c>
      <c r="CH601" s="41">
        <v>9082</v>
      </c>
      <c r="CI601" s="41">
        <v>6619</v>
      </c>
      <c r="CJ601" s="41">
        <v>5017</v>
      </c>
      <c r="CK601" s="41">
        <v>5702</v>
      </c>
      <c r="CL601" s="41">
        <v>5108</v>
      </c>
      <c r="CM601" s="41">
        <v>6117</v>
      </c>
      <c r="CN601" s="41">
        <v>7681</v>
      </c>
      <c r="CO601" s="41">
        <v>10345</v>
      </c>
      <c r="CP601" s="41">
        <v>7319</v>
      </c>
      <c r="CQ601" s="41">
        <v>6756</v>
      </c>
      <c r="CR601" s="41">
        <v>7809</v>
      </c>
      <c r="CS601" s="41">
        <v>11722</v>
      </c>
      <c r="CT601" s="41">
        <v>15296</v>
      </c>
      <c r="CU601" s="41">
        <v>18044</v>
      </c>
      <c r="CV601" s="211">
        <v>23183</v>
      </c>
      <c r="CW601" s="41">
        <v>26614</v>
      </c>
      <c r="CX601" s="41">
        <v>26614</v>
      </c>
      <c r="CY601" s="41">
        <v>26614</v>
      </c>
      <c r="CZ601" s="41">
        <v>26614</v>
      </c>
      <c r="DA601" s="41">
        <v>26614</v>
      </c>
      <c r="DB601" s="41">
        <v>26614</v>
      </c>
      <c r="DC601" s="41">
        <v>26614</v>
      </c>
      <c r="DD601" s="41">
        <v>26614</v>
      </c>
      <c r="DE601" s="41">
        <v>26614</v>
      </c>
      <c r="DF601" s="41">
        <v>26614</v>
      </c>
    </row>
    <row r="602" spans="1:110" ht="12" outlineLevel="1">
      <c r="A602" s="1" t="s">
        <v>741</v>
      </c>
      <c r="B602" s="15" t="s">
        <v>720</v>
      </c>
      <c r="C602" s="41">
        <v>0</v>
      </c>
      <c r="D602" s="41">
        <v>0</v>
      </c>
      <c r="E602" s="41">
        <v>0</v>
      </c>
      <c r="F602" s="41">
        <v>0</v>
      </c>
      <c r="G602" s="41">
        <v>0</v>
      </c>
      <c r="H602" s="41">
        <v>0</v>
      </c>
      <c r="I602" s="41">
        <v>0</v>
      </c>
      <c r="J602" s="41">
        <v>0</v>
      </c>
      <c r="K602" s="41">
        <v>0</v>
      </c>
      <c r="L602" s="41">
        <v>0</v>
      </c>
      <c r="M602" s="41">
        <v>0</v>
      </c>
      <c r="N602" s="41">
        <v>0</v>
      </c>
      <c r="O602" s="41">
        <v>0</v>
      </c>
      <c r="P602" s="41">
        <v>-1354</v>
      </c>
      <c r="Q602" s="41">
        <v>-1206</v>
      </c>
      <c r="R602" s="41">
        <v>-2604</v>
      </c>
      <c r="S602" s="41">
        <v>-2661</v>
      </c>
      <c r="T602" s="41">
        <v>-2830</v>
      </c>
      <c r="U602" s="41">
        <v>-3026</v>
      </c>
      <c r="V602" s="41">
        <v>-3055</v>
      </c>
      <c r="W602" s="41">
        <v>-3071</v>
      </c>
      <c r="X602" s="41">
        <v>-3217</v>
      </c>
      <c r="Y602" s="41">
        <v>-2814</v>
      </c>
      <c r="Z602" s="41">
        <v>0</v>
      </c>
      <c r="AA602" s="41">
        <v>0</v>
      </c>
      <c r="AB602" s="41">
        <v>0</v>
      </c>
      <c r="AC602" s="41">
        <v>0</v>
      </c>
      <c r="AD602" s="41">
        <v>0</v>
      </c>
      <c r="AE602" s="41">
        <v>0</v>
      </c>
      <c r="AF602" s="41">
        <v>0</v>
      </c>
      <c r="AG602" s="41">
        <v>0</v>
      </c>
      <c r="AH602" s="41">
        <v>0</v>
      </c>
      <c r="AI602" s="41">
        <v>0</v>
      </c>
      <c r="AJ602" s="41">
        <v>0</v>
      </c>
      <c r="AK602" s="41">
        <v>0</v>
      </c>
      <c r="AL602" s="41">
        <v>0</v>
      </c>
      <c r="AM602" s="41">
        <v>0</v>
      </c>
      <c r="AN602" s="41">
        <v>0</v>
      </c>
      <c r="AO602" s="41">
        <v>0</v>
      </c>
      <c r="AP602" s="41">
        <v>0</v>
      </c>
      <c r="AQ602" s="41">
        <v>0</v>
      </c>
      <c r="AR602" s="41">
        <v>0</v>
      </c>
      <c r="AS602" s="41">
        <v>0</v>
      </c>
      <c r="AT602" s="41">
        <v>0</v>
      </c>
      <c r="AU602" s="41">
        <v>0</v>
      </c>
      <c r="AV602" s="211">
        <v>0</v>
      </c>
      <c r="AW602" s="239">
        <v>0</v>
      </c>
      <c r="AX602" s="239">
        <v>0</v>
      </c>
      <c r="AY602" s="239">
        <v>0</v>
      </c>
      <c r="AZ602" s="239">
        <v>0</v>
      </c>
      <c r="BA602" s="239">
        <v>0</v>
      </c>
      <c r="BB602" s="239">
        <v>0</v>
      </c>
      <c r="BC602" s="239">
        <v>0</v>
      </c>
      <c r="BD602" s="239">
        <v>0</v>
      </c>
      <c r="BE602" s="239">
        <v>0</v>
      </c>
      <c r="BF602" s="239">
        <v>0</v>
      </c>
      <c r="BG602" s="239">
        <v>0</v>
      </c>
      <c r="BH602" s="239">
        <v>0</v>
      </c>
      <c r="BI602" s="239">
        <v>0</v>
      </c>
      <c r="BJ602" s="239">
        <v>0</v>
      </c>
      <c r="BK602" s="239">
        <v>0</v>
      </c>
      <c r="BL602" s="239">
        <v>0</v>
      </c>
      <c r="BM602" s="239">
        <v>0</v>
      </c>
      <c r="BN602" s="239">
        <v>0</v>
      </c>
      <c r="BO602" s="239">
        <v>0</v>
      </c>
      <c r="BP602" s="41"/>
      <c r="BQ602" s="40">
        <v>-239.2</v>
      </c>
      <c r="BR602" s="40">
        <v>-25.1</v>
      </c>
      <c r="BS602" s="40">
        <v>0</v>
      </c>
      <c r="BT602" s="40">
        <v>0</v>
      </c>
      <c r="BU602" s="40">
        <v>0</v>
      </c>
      <c r="BV602" s="40">
        <v>0</v>
      </c>
      <c r="BW602" s="40">
        <v>0</v>
      </c>
      <c r="BX602" s="40">
        <v>0</v>
      </c>
      <c r="BY602" s="40">
        <v>0</v>
      </c>
      <c r="BZ602" s="40">
        <v>0</v>
      </c>
      <c r="CA602" s="41">
        <v>0</v>
      </c>
      <c r="CB602" s="41">
        <v>0</v>
      </c>
      <c r="CC602" s="41">
        <v>0</v>
      </c>
      <c r="CD602" s="41">
        <v>0</v>
      </c>
      <c r="CE602" s="41">
        <v>0</v>
      </c>
      <c r="CF602" s="41">
        <v>0</v>
      </c>
      <c r="CG602" s="41">
        <v>-1206</v>
      </c>
      <c r="CH602" s="41">
        <v>-2661</v>
      </c>
      <c r="CI602" s="41">
        <v>-3026</v>
      </c>
      <c r="CJ602" s="41">
        <v>-3071</v>
      </c>
      <c r="CK602" s="41">
        <v>-2814</v>
      </c>
      <c r="CL602" s="41">
        <v>0</v>
      </c>
      <c r="CM602" s="41">
        <v>0</v>
      </c>
      <c r="CN602" s="41">
        <v>0</v>
      </c>
      <c r="CO602" s="41">
        <v>0</v>
      </c>
      <c r="CP602" s="41">
        <v>0</v>
      </c>
      <c r="CQ602" s="41">
        <v>0</v>
      </c>
      <c r="CR602" s="41">
        <v>0</v>
      </c>
      <c r="CS602" s="41">
        <v>0</v>
      </c>
      <c r="CT602" s="41">
        <v>0</v>
      </c>
      <c r="CU602" s="41">
        <v>0</v>
      </c>
      <c r="CV602" s="211">
        <v>0</v>
      </c>
      <c r="CW602" s="41">
        <v>0</v>
      </c>
      <c r="CX602" s="41">
        <v>0</v>
      </c>
      <c r="CY602" s="41">
        <v>0</v>
      </c>
      <c r="CZ602" s="41">
        <v>0</v>
      </c>
      <c r="DA602" s="41">
        <v>0</v>
      </c>
      <c r="DB602" s="41">
        <v>0</v>
      </c>
      <c r="DC602" s="41">
        <v>0</v>
      </c>
      <c r="DD602" s="41">
        <v>0</v>
      </c>
      <c r="DE602" s="41">
        <v>0</v>
      </c>
      <c r="DF602" s="41">
        <v>0</v>
      </c>
    </row>
    <row r="603" spans="1:110" ht="12" outlineLevel="1">
      <c r="A603" s="1" t="s">
        <v>742</v>
      </c>
      <c r="B603" s="15" t="s">
        <v>271</v>
      </c>
      <c r="C603" s="41">
        <v>31</v>
      </c>
      <c r="D603" s="41">
        <v>31</v>
      </c>
      <c r="E603" s="41">
        <v>31</v>
      </c>
      <c r="F603" s="41">
        <v>31</v>
      </c>
      <c r="G603" s="41">
        <v>31</v>
      </c>
      <c r="H603" s="41">
        <v>31</v>
      </c>
      <c r="I603" s="41">
        <v>31</v>
      </c>
      <c r="J603" s="41">
        <v>31</v>
      </c>
      <c r="K603" s="41">
        <v>31</v>
      </c>
      <c r="L603" s="41">
        <v>0</v>
      </c>
      <c r="M603" s="41">
        <v>201</v>
      </c>
      <c r="N603" s="41">
        <v>227</v>
      </c>
      <c r="O603" s="41">
        <v>214</v>
      </c>
      <c r="P603" s="41">
        <v>244</v>
      </c>
      <c r="Q603" s="41">
        <v>248</v>
      </c>
      <c r="R603" s="41">
        <v>271</v>
      </c>
      <c r="S603" s="41">
        <v>269</v>
      </c>
      <c r="T603" s="41">
        <v>0</v>
      </c>
      <c r="U603" s="41">
        <v>0</v>
      </c>
      <c r="V603" s="41">
        <v>0</v>
      </c>
      <c r="W603" s="41">
        <v>0</v>
      </c>
      <c r="X603" s="41">
        <v>0</v>
      </c>
      <c r="Y603" s="41">
        <v>0</v>
      </c>
      <c r="Z603" s="141">
        <v>-118</v>
      </c>
      <c r="AA603" s="141">
        <v>-228</v>
      </c>
      <c r="AB603" s="141">
        <v>-299</v>
      </c>
      <c r="AC603" s="141">
        <v>-294</v>
      </c>
      <c r="AD603" s="141">
        <v>-1207</v>
      </c>
      <c r="AE603" s="141">
        <v>-1170</v>
      </c>
      <c r="AF603" s="141">
        <v>-1649</v>
      </c>
      <c r="AG603" s="141">
        <v>-1474</v>
      </c>
      <c r="AH603" s="141">
        <v>-2088</v>
      </c>
      <c r="AI603" s="141">
        <v>0</v>
      </c>
      <c r="AJ603" s="141">
        <v>0</v>
      </c>
      <c r="AK603" s="141">
        <v>0</v>
      </c>
      <c r="AL603" s="141">
        <v>0</v>
      </c>
      <c r="AM603" s="141">
        <v>0</v>
      </c>
      <c r="AN603" s="141">
        <v>0</v>
      </c>
      <c r="AO603" s="141">
        <v>0</v>
      </c>
      <c r="AP603" s="141">
        <v>0</v>
      </c>
      <c r="AQ603" s="141">
        <v>0</v>
      </c>
      <c r="AR603" s="141">
        <v>0</v>
      </c>
      <c r="AS603" s="141">
        <v>0</v>
      </c>
      <c r="AT603" s="141">
        <v>0</v>
      </c>
      <c r="AU603" s="141">
        <v>0</v>
      </c>
      <c r="AV603" s="226">
        <v>0</v>
      </c>
      <c r="AW603" s="210">
        <v>0</v>
      </c>
      <c r="AX603" s="210">
        <v>0</v>
      </c>
      <c r="AY603" s="210">
        <v>0</v>
      </c>
      <c r="AZ603" s="210">
        <v>0</v>
      </c>
      <c r="BA603" s="210">
        <v>0</v>
      </c>
      <c r="BB603" s="210">
        <v>0</v>
      </c>
      <c r="BC603" s="210">
        <v>0</v>
      </c>
      <c r="BD603" s="210">
        <v>0</v>
      </c>
      <c r="BE603" s="210">
        <v>0</v>
      </c>
      <c r="BF603" s="210">
        <v>0</v>
      </c>
      <c r="BG603" s="210">
        <v>0</v>
      </c>
      <c r="BH603" s="210">
        <v>0</v>
      </c>
      <c r="BI603" s="210">
        <v>0</v>
      </c>
      <c r="BJ603" s="210">
        <v>0</v>
      </c>
      <c r="BK603" s="210">
        <v>0</v>
      </c>
      <c r="BL603" s="210">
        <v>0</v>
      </c>
      <c r="BM603" s="210">
        <v>0</v>
      </c>
      <c r="BN603" s="210">
        <v>0</v>
      </c>
      <c r="BO603" s="210">
        <v>0</v>
      </c>
      <c r="BP603" s="41"/>
      <c r="BQ603" s="41">
        <v>7.8999999999996362</v>
      </c>
      <c r="BR603" s="41">
        <v>0</v>
      </c>
      <c r="BS603" s="41">
        <v>0</v>
      </c>
      <c r="BT603" s="41">
        <v>0</v>
      </c>
      <c r="BU603" s="41">
        <v>0</v>
      </c>
      <c r="BV603" s="41">
        <v>0</v>
      </c>
      <c r="BW603" s="41">
        <v>0</v>
      </c>
      <c r="BX603" s="41">
        <v>0</v>
      </c>
      <c r="BY603" s="41">
        <v>31</v>
      </c>
      <c r="BZ603" s="41">
        <v>31</v>
      </c>
      <c r="CA603" s="41">
        <v>31</v>
      </c>
      <c r="CB603" s="41">
        <v>31</v>
      </c>
      <c r="CC603" s="41">
        <v>31</v>
      </c>
      <c r="CD603" s="41">
        <v>31</v>
      </c>
      <c r="CE603" s="41">
        <v>201</v>
      </c>
      <c r="CF603" s="41">
        <v>214</v>
      </c>
      <c r="CG603" s="41">
        <v>248</v>
      </c>
      <c r="CH603" s="41">
        <v>269</v>
      </c>
      <c r="CI603" s="41">
        <v>0</v>
      </c>
      <c r="CJ603" s="41">
        <v>0</v>
      </c>
      <c r="CK603" s="41">
        <v>0</v>
      </c>
      <c r="CL603" s="41">
        <v>-228</v>
      </c>
      <c r="CM603" s="41">
        <v>-294</v>
      </c>
      <c r="CN603" s="41">
        <v>-1170</v>
      </c>
      <c r="CO603" s="41">
        <v>-1474</v>
      </c>
      <c r="CP603" s="41">
        <v>0</v>
      </c>
      <c r="CQ603" s="41">
        <v>0</v>
      </c>
      <c r="CR603" s="41">
        <v>0</v>
      </c>
      <c r="CS603" s="41">
        <v>0</v>
      </c>
      <c r="CT603" s="41">
        <v>0</v>
      </c>
      <c r="CU603" s="41">
        <v>0</v>
      </c>
      <c r="CV603" s="211">
        <v>0</v>
      </c>
      <c r="CW603" s="41">
        <v>0</v>
      </c>
      <c r="CX603" s="41">
        <v>0</v>
      </c>
      <c r="CY603" s="41">
        <v>0</v>
      </c>
      <c r="CZ603" s="41">
        <v>0</v>
      </c>
      <c r="DA603" s="41">
        <v>0</v>
      </c>
      <c r="DB603" s="41">
        <v>0</v>
      </c>
      <c r="DC603" s="41">
        <v>0</v>
      </c>
      <c r="DD603" s="41">
        <v>0</v>
      </c>
      <c r="DE603" s="41">
        <v>0</v>
      </c>
      <c r="DF603" s="41">
        <v>0</v>
      </c>
    </row>
    <row r="604" spans="1:110" s="17" customFormat="1" ht="12" outlineLevel="1">
      <c r="A604" s="1" t="s">
        <v>743</v>
      </c>
      <c r="B604" s="17" t="s">
        <v>168</v>
      </c>
      <c r="C604" s="61">
        <v>4557</v>
      </c>
      <c r="D604" s="61">
        <v>4146</v>
      </c>
      <c r="E604" s="61">
        <v>3937</v>
      </c>
      <c r="F604" s="61">
        <v>5043</v>
      </c>
      <c r="G604" s="61">
        <v>6065</v>
      </c>
      <c r="H604" s="61">
        <v>6857</v>
      </c>
      <c r="I604" s="61">
        <v>7844</v>
      </c>
      <c r="J604" s="61">
        <v>7579</v>
      </c>
      <c r="K604" s="61">
        <v>8574</v>
      </c>
      <c r="L604" s="61">
        <v>9153</v>
      </c>
      <c r="M604" s="61">
        <v>10123</v>
      </c>
      <c r="N604" s="61">
        <v>10718</v>
      </c>
      <c r="O604" s="61">
        <v>11122</v>
      </c>
      <c r="P604" s="61">
        <v>8667</v>
      </c>
      <c r="Q604" s="61">
        <v>9338</v>
      </c>
      <c r="R604" s="61">
        <v>8049</v>
      </c>
      <c r="S604" s="61">
        <v>7811</v>
      </c>
      <c r="T604" s="61">
        <v>5632</v>
      </c>
      <c r="U604" s="61">
        <v>4816</v>
      </c>
      <c r="V604" s="61">
        <v>4287</v>
      </c>
      <c r="W604" s="61">
        <v>3174</v>
      </c>
      <c r="X604" s="61">
        <v>3713</v>
      </c>
      <c r="Y604" s="61">
        <v>4073</v>
      </c>
      <c r="Z604" s="194">
        <v>6062</v>
      </c>
      <c r="AA604" s="194">
        <v>6190</v>
      </c>
      <c r="AB604" s="194">
        <v>6335</v>
      </c>
      <c r="AC604" s="194">
        <v>7138</v>
      </c>
      <c r="AD604" s="194">
        <v>7716</v>
      </c>
      <c r="AE604" s="194">
        <v>7951</v>
      </c>
      <c r="AF604" s="194">
        <v>8076</v>
      </c>
      <c r="AG604" s="194">
        <v>10328</v>
      </c>
      <c r="AH604" s="194">
        <v>9648</v>
      </c>
      <c r="AI604" s="194">
        <v>8669</v>
      </c>
      <c r="AJ604" s="194">
        <v>8040</v>
      </c>
      <c r="AK604" s="194">
        <v>7291</v>
      </c>
      <c r="AL604" s="194">
        <v>7569</v>
      </c>
      <c r="AM604" s="194">
        <v>8549</v>
      </c>
      <c r="AN604" s="194">
        <v>13112</v>
      </c>
      <c r="AO604" s="194">
        <v>13957</v>
      </c>
      <c r="AP604" s="194">
        <v>16464</v>
      </c>
      <c r="AQ604" s="194">
        <v>17125</v>
      </c>
      <c r="AR604" s="194">
        <v>14780</v>
      </c>
      <c r="AS604" s="194">
        <v>19277</v>
      </c>
      <c r="AT604" s="194">
        <v>24068</v>
      </c>
      <c r="AU604" s="194">
        <v>24959</v>
      </c>
      <c r="AV604" s="227">
        <v>28223</v>
      </c>
      <c r="AW604" s="62">
        <v>28308.272360035004</v>
      </c>
      <c r="AX604" s="62">
        <v>28336.494070318309</v>
      </c>
      <c r="AY604" s="62">
        <v>28354.787338700051</v>
      </c>
      <c r="AZ604" s="62">
        <v>28374.793997819375</v>
      </c>
      <c r="BA604" s="62">
        <v>28398.87788420224</v>
      </c>
      <c r="BB604" s="62">
        <v>28428.857276930452</v>
      </c>
      <c r="BC604" s="62">
        <v>28464.525140157613</v>
      </c>
      <c r="BD604" s="62">
        <v>28501.02306191867</v>
      </c>
      <c r="BE604" s="62">
        <v>28538.371187371376</v>
      </c>
      <c r="BF604" s="62">
        <v>28568.261119278712</v>
      </c>
      <c r="BG604" s="62">
        <v>28598.711272220513</v>
      </c>
      <c r="BH604" s="62">
        <v>28860.482824934006</v>
      </c>
      <c r="BI604" s="62">
        <v>29195.151270342099</v>
      </c>
      <c r="BJ604" s="62">
        <v>29176.740947574013</v>
      </c>
      <c r="BK604" s="62">
        <v>28902.699323200792</v>
      </c>
      <c r="BL604" s="62">
        <v>28956.407197446191</v>
      </c>
      <c r="BM604" s="62">
        <v>29011.502635102359</v>
      </c>
      <c r="BN604" s="62">
        <v>29064.813445030817</v>
      </c>
      <c r="BO604" s="62">
        <v>29123.888911129874</v>
      </c>
      <c r="BP604" s="62"/>
      <c r="BQ604" s="61">
        <v>3506</v>
      </c>
      <c r="BR604" s="61">
        <v>3935.7</v>
      </c>
      <c r="BS604" s="61">
        <v>3648</v>
      </c>
      <c r="BT604" s="61">
        <v>3834</v>
      </c>
      <c r="BU604" s="61">
        <v>4023</v>
      </c>
      <c r="BV604" s="61">
        <v>4030</v>
      </c>
      <c r="BW604" s="61">
        <v>4392</v>
      </c>
      <c r="BX604" s="61">
        <v>3917</v>
      </c>
      <c r="BY604" s="61">
        <v>4408</v>
      </c>
      <c r="BZ604" s="61">
        <v>4557</v>
      </c>
      <c r="CA604" s="62">
        <v>3937</v>
      </c>
      <c r="CB604" s="62">
        <v>6065</v>
      </c>
      <c r="CC604" s="62">
        <v>7844</v>
      </c>
      <c r="CD604" s="62">
        <v>8574</v>
      </c>
      <c r="CE604" s="62">
        <v>10123</v>
      </c>
      <c r="CF604" s="62">
        <v>11122</v>
      </c>
      <c r="CG604" s="62">
        <v>9338</v>
      </c>
      <c r="CH604" s="62">
        <v>7811</v>
      </c>
      <c r="CI604" s="62">
        <v>4816</v>
      </c>
      <c r="CJ604" s="62">
        <v>3174</v>
      </c>
      <c r="CK604" s="62">
        <v>4073</v>
      </c>
      <c r="CL604" s="62">
        <v>6190</v>
      </c>
      <c r="CM604" s="62">
        <v>7138</v>
      </c>
      <c r="CN604" s="62">
        <v>7951</v>
      </c>
      <c r="CO604" s="62">
        <v>10328</v>
      </c>
      <c r="CP604" s="62">
        <v>8669</v>
      </c>
      <c r="CQ604" s="62">
        <v>7291</v>
      </c>
      <c r="CR604" s="62">
        <v>8549</v>
      </c>
      <c r="CS604" s="62">
        <v>13957</v>
      </c>
      <c r="CT604" s="62">
        <v>17125</v>
      </c>
      <c r="CU604" s="62">
        <v>19277</v>
      </c>
      <c r="CV604" s="220">
        <v>24959</v>
      </c>
      <c r="CW604" s="62">
        <v>28308.272360035004</v>
      </c>
      <c r="CX604" s="62">
        <v>28354.787338700051</v>
      </c>
      <c r="CY604" s="62">
        <v>28398.87788420224</v>
      </c>
      <c r="CZ604" s="62">
        <v>28464.525140157613</v>
      </c>
      <c r="DA604" s="62">
        <v>28538.371187371376</v>
      </c>
      <c r="DB604" s="62">
        <v>28598.711272220513</v>
      </c>
      <c r="DC604" s="62">
        <v>29195.151270342099</v>
      </c>
      <c r="DD604" s="62">
        <v>28902.699323200792</v>
      </c>
      <c r="DE604" s="62">
        <v>29011.502635102359</v>
      </c>
      <c r="DF604" s="62">
        <v>29123.888911129874</v>
      </c>
    </row>
    <row r="605" spans="1:110" ht="12" outlineLevel="1">
      <c r="C605" s="41"/>
      <c r="D605" s="41"/>
      <c r="E605" s="41"/>
      <c r="F605" s="41"/>
      <c r="G605" s="41"/>
      <c r="H605" s="41"/>
      <c r="I605" s="41"/>
      <c r="J605" s="41"/>
      <c r="K605" s="41"/>
      <c r="L605" s="41"/>
      <c r="M605" s="41"/>
      <c r="N605" s="41"/>
      <c r="O605" s="41"/>
      <c r="P605" s="41"/>
      <c r="Q605" s="41"/>
      <c r="R605" s="41"/>
      <c r="S605" s="41"/>
      <c r="T605" s="41"/>
      <c r="U605" s="41"/>
      <c r="V605" s="41"/>
      <c r="W605" s="41"/>
      <c r="X605" s="41"/>
      <c r="Y605" s="41"/>
      <c r="Z605" s="41"/>
      <c r="AA605" s="41"/>
      <c r="AB605" s="41"/>
      <c r="AC605" s="41"/>
      <c r="AD605" s="41"/>
      <c r="AE605" s="41"/>
      <c r="AF605" s="41"/>
      <c r="AG605" s="41"/>
      <c r="AH605" s="41"/>
      <c r="AI605" s="41"/>
      <c r="AJ605" s="41"/>
      <c r="AK605" s="41"/>
      <c r="AL605" s="41"/>
      <c r="AM605" s="41"/>
      <c r="AN605" s="41"/>
      <c r="AO605" s="41"/>
      <c r="AP605" s="41"/>
      <c r="AQ605" s="41"/>
      <c r="AR605" s="41"/>
      <c r="AS605" s="41"/>
      <c r="AT605" s="41"/>
      <c r="AU605" s="41"/>
      <c r="AV605" s="211"/>
      <c r="AW605" s="41"/>
      <c r="AX605" s="41"/>
      <c r="AY605" s="41"/>
      <c r="AZ605" s="41"/>
      <c r="BA605" s="41"/>
      <c r="BB605" s="41"/>
      <c r="BC605" s="41"/>
      <c r="BD605" s="41"/>
      <c r="BE605" s="41"/>
      <c r="BF605" s="41"/>
      <c r="BG605" s="41"/>
      <c r="BH605" s="41"/>
      <c r="BI605" s="41"/>
      <c r="BJ605" s="41"/>
      <c r="BK605" s="41"/>
      <c r="BL605" s="41"/>
      <c r="BM605" s="41"/>
      <c r="BN605" s="41"/>
      <c r="BO605" s="41"/>
      <c r="BP605" s="41"/>
      <c r="BQ605" s="41"/>
      <c r="BR605" s="41"/>
      <c r="BS605" s="41"/>
      <c r="BT605" s="41"/>
      <c r="BU605" s="41"/>
      <c r="BV605" s="41"/>
      <c r="BW605" s="41"/>
      <c r="BX605" s="41"/>
      <c r="BY605" s="41"/>
      <c r="BZ605" s="41"/>
      <c r="CA605" s="41"/>
      <c r="CB605" s="41"/>
      <c r="CC605" s="41"/>
      <c r="CD605" s="41"/>
      <c r="CE605" s="41"/>
      <c r="CF605" s="41"/>
      <c r="CG605" s="41"/>
      <c r="CH605" s="41"/>
      <c r="CI605" s="41"/>
      <c r="CJ605" s="41"/>
      <c r="CK605" s="41"/>
      <c r="CL605" s="41"/>
      <c r="CM605" s="41"/>
      <c r="CN605" s="41"/>
      <c r="CO605" s="41"/>
      <c r="CP605" s="41"/>
      <c r="CQ605" s="41"/>
      <c r="CR605" s="41"/>
      <c r="CS605" s="41"/>
      <c r="CT605" s="41"/>
      <c r="CU605" s="41"/>
      <c r="CV605" s="211"/>
      <c r="CW605" s="41"/>
      <c r="CX605" s="41"/>
      <c r="CY605" s="41"/>
      <c r="CZ605" s="15"/>
      <c r="DA605" s="15"/>
      <c r="DB605" s="15"/>
      <c r="DC605" s="15"/>
      <c r="DD605" s="15"/>
      <c r="DE605" s="15"/>
      <c r="DF605" s="15"/>
    </row>
    <row r="606" spans="1:110" ht="12" outlineLevel="1">
      <c r="A606" s="1" t="s">
        <v>744</v>
      </c>
      <c r="B606" s="15" t="s">
        <v>721</v>
      </c>
      <c r="C606" s="40">
        <v>-604</v>
      </c>
      <c r="D606" s="40">
        <v>-657</v>
      </c>
      <c r="E606" s="40">
        <v>-1703</v>
      </c>
      <c r="F606" s="40">
        <v>-1784</v>
      </c>
      <c r="G606" s="40">
        <v>-920</v>
      </c>
      <c r="H606" s="40">
        <v>-976</v>
      </c>
      <c r="I606" s="40">
        <v>-1019</v>
      </c>
      <c r="J606" s="40">
        <v>-767</v>
      </c>
      <c r="K606" s="40">
        <v>-784</v>
      </c>
      <c r="L606" s="40">
        <v>-945</v>
      </c>
      <c r="M606" s="40">
        <v>-1073</v>
      </c>
      <c r="N606" s="40">
        <v>-1810</v>
      </c>
      <c r="O606" s="40">
        <v>-1837</v>
      </c>
      <c r="P606" s="40">
        <v>0</v>
      </c>
      <c r="Q606" s="40">
        <v>0</v>
      </c>
      <c r="R606" s="40">
        <v>0</v>
      </c>
      <c r="S606" s="40">
        <v>0</v>
      </c>
      <c r="T606" s="40">
        <v>0</v>
      </c>
      <c r="U606" s="40">
        <v>0</v>
      </c>
      <c r="V606" s="40">
        <v>0</v>
      </c>
      <c r="W606" s="40">
        <v>0</v>
      </c>
      <c r="X606" s="40">
        <v>0</v>
      </c>
      <c r="Y606" s="40">
        <v>0</v>
      </c>
      <c r="Z606" s="141">
        <v>0</v>
      </c>
      <c r="AA606" s="41">
        <v>0</v>
      </c>
      <c r="AB606" s="41">
        <v>0</v>
      </c>
      <c r="AC606" s="41">
        <v>0</v>
      </c>
      <c r="AD606" s="41">
        <v>0</v>
      </c>
      <c r="AE606" s="41">
        <v>0</v>
      </c>
      <c r="AF606" s="41">
        <v>0</v>
      </c>
      <c r="AG606" s="41">
        <v>0</v>
      </c>
      <c r="AH606" s="41">
        <v>0</v>
      </c>
      <c r="AI606" s="41">
        <v>0</v>
      </c>
      <c r="AJ606" s="41">
        <v>0</v>
      </c>
      <c r="AK606" s="41">
        <v>0</v>
      </c>
      <c r="AL606" s="41">
        <v>0</v>
      </c>
      <c r="AM606" s="41">
        <v>0</v>
      </c>
      <c r="AN606" s="41">
        <v>0</v>
      </c>
      <c r="AO606" s="41">
        <v>0</v>
      </c>
      <c r="AP606" s="41">
        <v>0</v>
      </c>
      <c r="AQ606" s="41">
        <v>0</v>
      </c>
      <c r="AR606" s="41">
        <v>0</v>
      </c>
      <c r="AS606" s="41">
        <v>0</v>
      </c>
      <c r="AT606" s="41">
        <v>0</v>
      </c>
      <c r="AU606" s="41">
        <v>0</v>
      </c>
      <c r="AV606" s="211">
        <v>0</v>
      </c>
      <c r="AW606" s="41">
        <v>0</v>
      </c>
      <c r="AX606" s="41">
        <v>0</v>
      </c>
      <c r="AY606" s="41">
        <v>0</v>
      </c>
      <c r="AZ606" s="41">
        <v>0</v>
      </c>
      <c r="BA606" s="41">
        <v>0</v>
      </c>
      <c r="BB606" s="41">
        <v>0</v>
      </c>
      <c r="BC606" s="41">
        <v>0</v>
      </c>
      <c r="BD606" s="41">
        <v>0</v>
      </c>
      <c r="BE606" s="41">
        <v>0</v>
      </c>
      <c r="BF606" s="41">
        <v>0</v>
      </c>
      <c r="BG606" s="41">
        <v>0</v>
      </c>
      <c r="BH606" s="41">
        <v>0</v>
      </c>
      <c r="BI606" s="41">
        <v>0</v>
      </c>
      <c r="BJ606" s="41">
        <v>0</v>
      </c>
      <c r="BK606" s="41">
        <v>0</v>
      </c>
      <c r="BL606" s="41">
        <v>0</v>
      </c>
      <c r="BM606" s="41">
        <v>0</v>
      </c>
      <c r="BN606" s="41">
        <v>0</v>
      </c>
      <c r="BO606" s="41">
        <v>0</v>
      </c>
      <c r="BP606" s="41"/>
      <c r="BQ606" s="40">
        <v>5285.4</v>
      </c>
      <c r="BR606" s="40">
        <v>-202.89999999999964</v>
      </c>
      <c r="BS606" s="40">
        <v>-248</v>
      </c>
      <c r="BT606" s="40">
        <v>-302</v>
      </c>
      <c r="BU606" s="40">
        <v>-476</v>
      </c>
      <c r="BV606" s="40">
        <v>-587</v>
      </c>
      <c r="BW606" s="40">
        <v>-305</v>
      </c>
      <c r="BX606" s="40">
        <v>-584</v>
      </c>
      <c r="BY606" s="40">
        <v>-787</v>
      </c>
      <c r="BZ606" s="40">
        <v>-604</v>
      </c>
      <c r="CA606" s="41">
        <v>-1703</v>
      </c>
      <c r="CB606" s="41">
        <v>-920</v>
      </c>
      <c r="CC606" s="41">
        <v>-1019</v>
      </c>
      <c r="CD606" s="41">
        <v>-784</v>
      </c>
      <c r="CE606" s="41">
        <v>-1073</v>
      </c>
      <c r="CF606" s="41">
        <v>-1837</v>
      </c>
      <c r="CG606" s="41">
        <v>0</v>
      </c>
      <c r="CH606" s="41">
        <v>0</v>
      </c>
      <c r="CI606" s="41">
        <v>0</v>
      </c>
      <c r="CJ606" s="41">
        <v>0</v>
      </c>
      <c r="CK606" s="41">
        <v>0</v>
      </c>
      <c r="CL606" s="41">
        <v>0</v>
      </c>
      <c r="CM606" s="41">
        <v>0</v>
      </c>
      <c r="CN606" s="41">
        <v>0</v>
      </c>
      <c r="CO606" s="41">
        <v>0</v>
      </c>
      <c r="CP606" s="41">
        <v>0</v>
      </c>
      <c r="CQ606" s="41">
        <v>0</v>
      </c>
      <c r="CR606" s="41">
        <v>0</v>
      </c>
      <c r="CS606" s="41">
        <v>0</v>
      </c>
      <c r="CT606" s="41">
        <v>0</v>
      </c>
      <c r="CU606" s="41">
        <v>0</v>
      </c>
      <c r="CV606" s="211">
        <v>0</v>
      </c>
      <c r="CW606" s="41">
        <v>0</v>
      </c>
      <c r="CX606" s="41">
        <v>0</v>
      </c>
      <c r="CY606" s="41">
        <v>0</v>
      </c>
      <c r="CZ606" s="41">
        <v>0</v>
      </c>
      <c r="DA606" s="41">
        <v>0</v>
      </c>
      <c r="DB606" s="41">
        <v>0</v>
      </c>
      <c r="DC606" s="41">
        <v>0</v>
      </c>
      <c r="DD606" s="41">
        <v>0</v>
      </c>
      <c r="DE606" s="41">
        <v>0</v>
      </c>
      <c r="DF606" s="41">
        <v>0</v>
      </c>
    </row>
    <row r="607" spans="1:110" s="17" customFormat="1" ht="12" outlineLevel="1">
      <c r="A607" s="1" t="s">
        <v>745</v>
      </c>
      <c r="B607" s="17" t="s">
        <v>722</v>
      </c>
      <c r="C607" s="62">
        <v>14340</v>
      </c>
      <c r="D607" s="62">
        <v>14078</v>
      </c>
      <c r="E607" s="62">
        <v>13435</v>
      </c>
      <c r="F607" s="62">
        <v>14770</v>
      </c>
      <c r="G607" s="62">
        <v>16885</v>
      </c>
      <c r="H607" s="62">
        <v>18906</v>
      </c>
      <c r="I607" s="62">
        <v>20391</v>
      </c>
      <c r="J607" s="62">
        <v>21492</v>
      </c>
      <c r="K607" s="62">
        <v>22947</v>
      </c>
      <c r="L607" s="62">
        <v>23997</v>
      </c>
      <c r="M607" s="62">
        <v>25407</v>
      </c>
      <c r="N607" s="62">
        <v>25659</v>
      </c>
      <c r="O607" s="62">
        <v>27713</v>
      </c>
      <c r="P607" s="62">
        <v>26975</v>
      </c>
      <c r="Q607" s="62">
        <v>30567</v>
      </c>
      <c r="R607" s="62">
        <v>30992</v>
      </c>
      <c r="S607" s="62">
        <v>34430</v>
      </c>
      <c r="T607" s="62">
        <v>32260</v>
      </c>
      <c r="U607" s="62">
        <v>31507</v>
      </c>
      <c r="V607" s="62">
        <v>32057</v>
      </c>
      <c r="W607" s="62">
        <v>33790</v>
      </c>
      <c r="X607" s="62">
        <v>35801</v>
      </c>
      <c r="Y607" s="62">
        <v>36574</v>
      </c>
      <c r="Z607" s="62">
        <v>37802</v>
      </c>
      <c r="AA607" s="62">
        <v>41370</v>
      </c>
      <c r="AB607" s="62">
        <v>43634</v>
      </c>
      <c r="AC607" s="62">
        <v>45739</v>
      </c>
      <c r="AD607" s="62">
        <v>48804</v>
      </c>
      <c r="AE607" s="62">
        <v>53435</v>
      </c>
      <c r="AF607" s="62">
        <v>53138</v>
      </c>
      <c r="AG607" s="62">
        <v>58613</v>
      </c>
      <c r="AH607" s="62">
        <v>57739</v>
      </c>
      <c r="AI607" s="62">
        <v>57993</v>
      </c>
      <c r="AJ607" s="62">
        <v>59165</v>
      </c>
      <c r="AK607" s="62">
        <v>59531</v>
      </c>
      <c r="AL607" s="62">
        <v>60644</v>
      </c>
      <c r="AM607" s="62">
        <v>63770</v>
      </c>
      <c r="AN607" s="62">
        <v>69114</v>
      </c>
      <c r="AO607" s="62">
        <v>70044</v>
      </c>
      <c r="AP607" s="62">
        <v>74895</v>
      </c>
      <c r="AQ607" s="62">
        <v>76598</v>
      </c>
      <c r="AR607" s="62">
        <v>72781</v>
      </c>
      <c r="AS607" s="62">
        <v>82835</v>
      </c>
      <c r="AT607" s="62">
        <v>89633</v>
      </c>
      <c r="AU607" s="62">
        <v>90985</v>
      </c>
      <c r="AV607" s="220">
        <v>94932</v>
      </c>
      <c r="AW607" s="62">
        <v>91597.178310360978</v>
      </c>
      <c r="AX607" s="62">
        <v>92381.353650807578</v>
      </c>
      <c r="AY607" s="62">
        <v>92552.072272444813</v>
      </c>
      <c r="AZ607" s="62">
        <v>92939.670807200731</v>
      </c>
      <c r="BA607" s="62">
        <v>93306.611459710155</v>
      </c>
      <c r="BB607" s="62">
        <v>94026.346499443549</v>
      </c>
      <c r="BC607" s="62">
        <v>94782.759654632697</v>
      </c>
      <c r="BD607" s="62">
        <v>95803.139141864987</v>
      </c>
      <c r="BE607" s="62">
        <v>96689.822779067108</v>
      </c>
      <c r="BF607" s="62">
        <v>97857.422635859606</v>
      </c>
      <c r="BG607" s="62">
        <v>98792.309284517629</v>
      </c>
      <c r="BH607" s="62">
        <v>99759.471718829751</v>
      </c>
      <c r="BI607" s="62">
        <v>102796.60040757824</v>
      </c>
      <c r="BJ607" s="62">
        <v>105840.13480405039</v>
      </c>
      <c r="BK607" s="62">
        <v>106977.11397025068</v>
      </c>
      <c r="BL607" s="62">
        <v>109003.27752776814</v>
      </c>
      <c r="BM607" s="62">
        <v>110262.58089854936</v>
      </c>
      <c r="BN607" s="62">
        <v>111807.11007714419</v>
      </c>
      <c r="BO607" s="62">
        <v>113109.48950955359</v>
      </c>
      <c r="BP607" s="62"/>
      <c r="BQ607" s="62">
        <v>12662</v>
      </c>
      <c r="BR607" s="62">
        <v>8278.6</v>
      </c>
      <c r="BS607" s="62">
        <v>8564</v>
      </c>
      <c r="BT607" s="62">
        <v>9035</v>
      </c>
      <c r="BU607" s="62">
        <v>9820</v>
      </c>
      <c r="BV607" s="62">
        <v>10415</v>
      </c>
      <c r="BW607" s="62">
        <v>12396</v>
      </c>
      <c r="BX607" s="62">
        <v>12662</v>
      </c>
      <c r="BY607" s="62">
        <v>13261</v>
      </c>
      <c r="BZ607" s="62">
        <v>14340</v>
      </c>
      <c r="CA607" s="62">
        <v>13435</v>
      </c>
      <c r="CB607" s="62">
        <v>16885</v>
      </c>
      <c r="CC607" s="62">
        <v>20391</v>
      </c>
      <c r="CD607" s="62">
        <v>22947</v>
      </c>
      <c r="CE607" s="62">
        <v>24691</v>
      </c>
      <c r="CF607" s="62">
        <v>26997</v>
      </c>
      <c r="CG607" s="62">
        <v>30567</v>
      </c>
      <c r="CH607" s="62">
        <v>34430</v>
      </c>
      <c r="CI607" s="62">
        <v>31507</v>
      </c>
      <c r="CJ607" s="62">
        <v>33790</v>
      </c>
      <c r="CK607" s="62">
        <v>36574</v>
      </c>
      <c r="CL607" s="62">
        <v>41370</v>
      </c>
      <c r="CM607" s="62">
        <v>45739</v>
      </c>
      <c r="CN607" s="62">
        <v>53435</v>
      </c>
      <c r="CO607" s="62">
        <v>58613</v>
      </c>
      <c r="CP607" s="62">
        <v>57993</v>
      </c>
      <c r="CQ607" s="62">
        <v>59531</v>
      </c>
      <c r="CR607" s="62">
        <v>63770</v>
      </c>
      <c r="CS607" s="62">
        <v>70044</v>
      </c>
      <c r="CT607" s="62">
        <v>76598</v>
      </c>
      <c r="CU607" s="62">
        <v>82835</v>
      </c>
      <c r="CV607" s="220">
        <v>90985</v>
      </c>
      <c r="CW607" s="62">
        <v>91597.178310360978</v>
      </c>
      <c r="CX607" s="62">
        <v>92552.072272444813</v>
      </c>
      <c r="CY607" s="62">
        <v>93306.611459710184</v>
      </c>
      <c r="CZ607" s="62">
        <v>94782.75965463274</v>
      </c>
      <c r="DA607" s="62">
        <v>96689.822779067166</v>
      </c>
      <c r="DB607" s="62">
        <v>98792.309284517716</v>
      </c>
      <c r="DC607" s="62">
        <v>102796.60040757833</v>
      </c>
      <c r="DD607" s="62">
        <v>106977.11397025076</v>
      </c>
      <c r="DE607" s="62">
        <v>110262.58089854945</v>
      </c>
      <c r="DF607" s="62">
        <v>113109.48950955368</v>
      </c>
    </row>
    <row r="608" spans="1:110" ht="12" outlineLevel="1">
      <c r="C608" s="41"/>
      <c r="D608" s="41"/>
      <c r="E608" s="41"/>
      <c r="F608" s="41"/>
      <c r="G608" s="41"/>
      <c r="H608" s="41"/>
      <c r="I608" s="41"/>
      <c r="J608" s="41"/>
      <c r="K608" s="41"/>
      <c r="L608" s="41"/>
      <c r="M608" s="41"/>
      <c r="N608" s="41"/>
      <c r="O608" s="41"/>
      <c r="P608" s="41"/>
      <c r="Q608" s="41"/>
      <c r="R608" s="41"/>
      <c r="S608" s="41"/>
      <c r="T608" s="41"/>
      <c r="U608" s="41"/>
      <c r="V608" s="41"/>
      <c r="W608" s="41"/>
      <c r="X608" s="41"/>
      <c r="Y608" s="41"/>
      <c r="Z608" s="41"/>
      <c r="AA608" s="41"/>
      <c r="AB608" s="41"/>
      <c r="AC608" s="41"/>
      <c r="AD608" s="41"/>
      <c r="AE608" s="41"/>
      <c r="AF608" s="41"/>
      <c r="AG608" s="41"/>
      <c r="AH608" s="41"/>
      <c r="AI608" s="41"/>
      <c r="AJ608" s="41"/>
      <c r="AK608" s="32"/>
      <c r="AL608" s="32"/>
      <c r="AM608" s="32"/>
      <c r="AV608" s="200"/>
      <c r="AW608" s="41"/>
      <c r="AX608" s="41"/>
      <c r="AY608" s="41"/>
      <c r="AZ608" s="41"/>
      <c r="BA608" s="41"/>
      <c r="BB608" s="41"/>
      <c r="BC608" s="41"/>
      <c r="BD608" s="41"/>
      <c r="BE608" s="41"/>
      <c r="BF608" s="41"/>
      <c r="BG608" s="41"/>
      <c r="BH608" s="41"/>
      <c r="BI608" s="41"/>
      <c r="BJ608" s="41"/>
      <c r="BK608" s="41"/>
      <c r="BL608" s="41"/>
      <c r="BM608" s="41"/>
      <c r="BN608" s="41"/>
      <c r="BO608" s="41"/>
      <c r="BP608" s="41"/>
      <c r="BQ608" s="41"/>
      <c r="BR608" s="41"/>
      <c r="BS608" s="41"/>
      <c r="BT608" s="41"/>
      <c r="BU608" s="41"/>
      <c r="BV608" s="41"/>
      <c r="BW608" s="41"/>
      <c r="BX608" s="41"/>
      <c r="BY608" s="41"/>
      <c r="BZ608" s="41"/>
      <c r="CA608" s="41"/>
      <c r="CB608" s="41"/>
      <c r="CC608" s="41"/>
      <c r="CD608" s="41"/>
      <c r="CE608" s="41"/>
      <c r="CF608" s="41"/>
      <c r="CG608" s="41"/>
      <c r="CH608" s="41"/>
      <c r="CI608" s="41"/>
      <c r="CJ608" s="41"/>
      <c r="CK608" s="41"/>
      <c r="CL608" s="41"/>
      <c r="CM608" s="41"/>
      <c r="CN608" s="41"/>
      <c r="CO608" s="41"/>
      <c r="CP608" s="41"/>
      <c r="CQ608" s="41"/>
      <c r="CR608" s="41"/>
      <c r="CS608" s="41"/>
      <c r="CT608" s="41"/>
      <c r="CU608" s="41"/>
      <c r="CV608" s="211"/>
      <c r="CW608" s="41"/>
      <c r="CX608" s="41"/>
      <c r="CY608" s="41"/>
      <c r="CZ608" s="15"/>
      <c r="DA608" s="15"/>
      <c r="DB608" s="15"/>
      <c r="DC608" s="15"/>
      <c r="DD608" s="15"/>
      <c r="DE608" s="15"/>
      <c r="DF608" s="15"/>
    </row>
    <row r="609" spans="1:110" s="17" customFormat="1" ht="12" outlineLevel="1">
      <c r="A609" s="1"/>
      <c r="B609" s="17" t="s">
        <v>723</v>
      </c>
      <c r="C609" s="62"/>
      <c r="D609" s="62"/>
      <c r="E609" s="62"/>
      <c r="F609" s="62"/>
      <c r="G609" s="62"/>
      <c r="H609" s="62"/>
      <c r="I609" s="62"/>
      <c r="J609" s="62"/>
      <c r="K609" s="62"/>
      <c r="L609" s="62"/>
      <c r="M609" s="62"/>
      <c r="N609" s="62"/>
      <c r="O609" s="62"/>
      <c r="P609" s="62"/>
      <c r="Q609" s="62"/>
      <c r="R609" s="62"/>
      <c r="S609" s="62"/>
      <c r="T609" s="62"/>
      <c r="U609" s="62"/>
      <c r="V609" s="62"/>
      <c r="W609" s="62"/>
      <c r="X609" s="62"/>
      <c r="Y609" s="62"/>
      <c r="Z609" s="62"/>
      <c r="AA609" s="150"/>
      <c r="AB609" s="62"/>
      <c r="AC609" s="41"/>
      <c r="AD609" s="41"/>
      <c r="AE609" s="41"/>
      <c r="AF609" s="41"/>
      <c r="AG609" s="41"/>
      <c r="AH609" s="41"/>
      <c r="AI609" s="41"/>
      <c r="AJ609" s="41"/>
      <c r="AS609" s="545"/>
      <c r="AT609" s="545"/>
      <c r="AU609" s="545"/>
      <c r="AV609" s="539"/>
      <c r="AW609" s="62"/>
      <c r="AX609" s="62"/>
      <c r="AY609" s="62"/>
      <c r="AZ609" s="62"/>
      <c r="BA609" s="62"/>
      <c r="BB609" s="62"/>
      <c r="BC609" s="62"/>
      <c r="BD609" s="62"/>
      <c r="BE609" s="62"/>
      <c r="BF609" s="62"/>
      <c r="BG609" s="62"/>
      <c r="BH609" s="62"/>
      <c r="BI609" s="62"/>
      <c r="BJ609" s="62"/>
      <c r="BK609" s="62"/>
      <c r="BL609" s="62"/>
      <c r="BM609" s="62"/>
      <c r="BN609" s="62"/>
      <c r="BO609" s="62"/>
      <c r="BP609" s="62"/>
      <c r="BQ609" s="62"/>
      <c r="BR609" s="62"/>
      <c r="BS609" s="62"/>
      <c r="BT609" s="62"/>
      <c r="BU609" s="62"/>
      <c r="BV609" s="62"/>
      <c r="BW609" s="62"/>
      <c r="BX609" s="62"/>
      <c r="BY609" s="62"/>
      <c r="BZ609" s="62"/>
      <c r="CA609" s="62"/>
      <c r="CB609" s="62"/>
      <c r="CC609" s="62"/>
      <c r="CD609" s="62"/>
      <c r="CE609" s="62"/>
      <c r="CF609" s="62"/>
      <c r="CG609" s="62"/>
      <c r="CH609" s="62"/>
      <c r="CI609" s="62"/>
      <c r="CJ609" s="62"/>
      <c r="CK609" s="62"/>
      <c r="CL609" s="62"/>
      <c r="CM609" s="62"/>
      <c r="CN609" s="62"/>
      <c r="CO609" s="62"/>
      <c r="CP609" s="62"/>
      <c r="CQ609" s="62"/>
      <c r="CR609" s="62"/>
      <c r="CS609" s="62"/>
      <c r="CT609" s="62"/>
      <c r="CU609" s="62"/>
      <c r="CV609" s="220"/>
      <c r="CW609" s="62"/>
      <c r="CX609" s="62"/>
      <c r="CY609" s="62"/>
    </row>
    <row r="610" spans="1:110" ht="12" outlineLevel="1">
      <c r="A610" s="1" t="s">
        <v>746</v>
      </c>
      <c r="B610" s="15" t="s">
        <v>765</v>
      </c>
      <c r="C610" s="41">
        <v>26841.5</v>
      </c>
      <c r="D610" s="41">
        <v>28746.5</v>
      </c>
      <c r="E610" s="41">
        <v>31250</v>
      </c>
      <c r="F610" s="41">
        <v>33949</v>
      </c>
      <c r="G610" s="41">
        <v>36697</v>
      </c>
      <c r="H610" s="41">
        <v>48186.5</v>
      </c>
      <c r="I610" s="41">
        <v>55321.5</v>
      </c>
      <c r="J610" s="41">
        <v>60031.5</v>
      </c>
      <c r="K610" s="41">
        <v>63323.5</v>
      </c>
      <c r="L610" s="41">
        <v>66250</v>
      </c>
      <c r="M610" s="41">
        <v>70278</v>
      </c>
      <c r="N610" s="41">
        <v>74320.5</v>
      </c>
      <c r="O610" s="41">
        <v>78692</v>
      </c>
      <c r="P610" s="41">
        <v>83725</v>
      </c>
      <c r="Q610" s="40">
        <v>34071</v>
      </c>
      <c r="R610" s="40">
        <v>36399</v>
      </c>
      <c r="S610" s="40">
        <v>37136</v>
      </c>
      <c r="T610" s="40">
        <v>37822</v>
      </c>
      <c r="U610" s="40">
        <v>39275</v>
      </c>
      <c r="V610" s="40">
        <v>40532</v>
      </c>
      <c r="W610" s="40">
        <v>41886</v>
      </c>
      <c r="X610" s="40">
        <v>44129</v>
      </c>
      <c r="Y610" s="40">
        <v>44771</v>
      </c>
      <c r="Z610" s="141">
        <v>46424</v>
      </c>
      <c r="AA610" s="141">
        <v>49481</v>
      </c>
      <c r="AB610" s="141">
        <v>52392</v>
      </c>
      <c r="AC610" s="141">
        <v>52412</v>
      </c>
      <c r="AD610" s="141">
        <v>56104</v>
      </c>
      <c r="AE610" s="141">
        <v>57878</v>
      </c>
      <c r="AF610" s="141">
        <v>59834</v>
      </c>
      <c r="AG610" s="141">
        <v>86768</v>
      </c>
      <c r="AH610" s="141">
        <v>88572</v>
      </c>
      <c r="AI610" s="141">
        <v>97217</v>
      </c>
      <c r="AJ610" s="141">
        <v>99881</v>
      </c>
      <c r="AK610" s="141">
        <v>98091</v>
      </c>
      <c r="AL610" s="141">
        <v>101800</v>
      </c>
      <c r="AM610" s="141">
        <v>105707</v>
      </c>
      <c r="AN610" s="141">
        <v>107579</v>
      </c>
      <c r="AO610" s="141">
        <v>110563</v>
      </c>
      <c r="AP610" s="141">
        <v>110409</v>
      </c>
      <c r="AQ610" s="141">
        <v>110825</v>
      </c>
      <c r="AR610" s="141">
        <v>111549</v>
      </c>
      <c r="AS610" s="141">
        <v>113814</v>
      </c>
      <c r="AT610" s="141">
        <v>88535</v>
      </c>
      <c r="AU610" s="141">
        <v>98355</v>
      </c>
      <c r="AV610" s="226">
        <v>103191</v>
      </c>
      <c r="AW610" s="41">
        <v>125519.21733877486</v>
      </c>
      <c r="AX610" s="41">
        <v>127808.90920845827</v>
      </c>
      <c r="AY610" s="41">
        <v>130823.24131824948</v>
      </c>
      <c r="AZ610" s="41">
        <v>132592.1950030617</v>
      </c>
      <c r="BA610" s="41">
        <v>134170.42200550207</v>
      </c>
      <c r="BB610" s="41">
        <v>136027.03670818073</v>
      </c>
      <c r="BC610" s="41">
        <v>138140.98362675661</v>
      </c>
      <c r="BD610" s="41">
        <v>140292.90829791746</v>
      </c>
      <c r="BE610" s="41">
        <v>142483.43466306562</v>
      </c>
      <c r="BF610" s="41">
        <v>144713.19887305264</v>
      </c>
      <c r="BG610" s="41">
        <v>146982.8494524394</v>
      </c>
      <c r="BH610" s="41">
        <v>155057.2577963497</v>
      </c>
      <c r="BI610" s="41">
        <v>163354.46414025789</v>
      </c>
      <c r="BJ610" s="41">
        <v>160195.71280834847</v>
      </c>
      <c r="BK610" s="41">
        <v>157088.71270913313</v>
      </c>
      <c r="BL610" s="41">
        <v>159989.70035330765</v>
      </c>
      <c r="BM610" s="41">
        <v>162944.4265133632</v>
      </c>
      <c r="BN610" s="41">
        <v>164573.87077849684</v>
      </c>
      <c r="BO610" s="41">
        <v>166219.60948628184</v>
      </c>
      <c r="BP610" s="41"/>
      <c r="BQ610" s="40">
        <v>6678.2000000000007</v>
      </c>
      <c r="BR610" s="40">
        <v>7336.1</v>
      </c>
      <c r="BS610" s="40">
        <v>9050.5</v>
      </c>
      <c r="BT610" s="40">
        <v>12517.422051410947</v>
      </c>
      <c r="BU610" s="40">
        <v>13767.196751475531</v>
      </c>
      <c r="BV610" s="40">
        <v>15123.794339856327</v>
      </c>
      <c r="BW610" s="40">
        <v>16882.957332177357</v>
      </c>
      <c r="BX610" s="40">
        <v>20066.5</v>
      </c>
      <c r="BY610" s="40">
        <v>24714</v>
      </c>
      <c r="BZ610" s="40">
        <v>26841.5</v>
      </c>
      <c r="CA610" s="41">
        <v>31250</v>
      </c>
      <c r="CB610" s="41">
        <v>36697</v>
      </c>
      <c r="CC610" s="41">
        <v>55321.5</v>
      </c>
      <c r="CD610" s="41">
        <v>63323.5</v>
      </c>
      <c r="CE610" s="41">
        <v>70278</v>
      </c>
      <c r="CF610" s="41">
        <v>78692</v>
      </c>
      <c r="CG610" s="41">
        <v>34071</v>
      </c>
      <c r="CH610" s="41">
        <v>37136</v>
      </c>
      <c r="CI610" s="41">
        <v>39275</v>
      </c>
      <c r="CJ610" s="41">
        <v>41886</v>
      </c>
      <c r="CK610" s="41">
        <v>44771</v>
      </c>
      <c r="CL610" s="41">
        <v>49481</v>
      </c>
      <c r="CM610" s="41">
        <v>52412</v>
      </c>
      <c r="CN610" s="41">
        <v>57878</v>
      </c>
      <c r="CO610" s="41">
        <v>86768</v>
      </c>
      <c r="CP610" s="41">
        <v>97217</v>
      </c>
      <c r="CQ610" s="41">
        <v>98091</v>
      </c>
      <c r="CR610" s="41">
        <v>105707</v>
      </c>
      <c r="CS610" s="41">
        <v>110563</v>
      </c>
      <c r="CT610" s="41">
        <v>110825</v>
      </c>
      <c r="CU610" s="41">
        <v>113814</v>
      </c>
      <c r="CV610" s="211">
        <v>98355</v>
      </c>
      <c r="CW610" s="41">
        <v>125519.21733877486</v>
      </c>
      <c r="CX610" s="41">
        <v>130823.24131824948</v>
      </c>
      <c r="CY610" s="41">
        <v>134170.42200550207</v>
      </c>
      <c r="CZ610" s="41">
        <v>138140.98362675661</v>
      </c>
      <c r="DA610" s="41">
        <v>142483.43466306562</v>
      </c>
      <c r="DB610" s="41">
        <v>146982.8494524394</v>
      </c>
      <c r="DC610" s="41">
        <v>163354.46414025789</v>
      </c>
      <c r="DD610" s="41">
        <v>157088.71270913313</v>
      </c>
      <c r="DE610" s="41">
        <v>162944.4265133632</v>
      </c>
      <c r="DF610" s="41">
        <v>166219.60948628184</v>
      </c>
    </row>
    <row r="611" spans="1:110" ht="12" outlineLevel="1">
      <c r="A611" s="1" t="s">
        <v>893</v>
      </c>
      <c r="B611" s="15" t="s">
        <v>626</v>
      </c>
      <c r="C611" s="41">
        <v>112287.5</v>
      </c>
      <c r="D611" s="41">
        <v>106671.5</v>
      </c>
      <c r="E611" s="41">
        <v>110140</v>
      </c>
      <c r="F611" s="41">
        <v>114654</v>
      </c>
      <c r="G611" s="141">
        <v>114796</v>
      </c>
      <c r="H611" s="141">
        <v>137101.5</v>
      </c>
      <c r="I611" s="141">
        <v>140352.5</v>
      </c>
      <c r="J611" s="141">
        <v>148333.5</v>
      </c>
      <c r="K611" s="141">
        <v>154759.5</v>
      </c>
      <c r="L611" s="141">
        <v>162750</v>
      </c>
      <c r="M611" s="141">
        <v>168265</v>
      </c>
      <c r="N611" s="141">
        <v>173974.5</v>
      </c>
      <c r="O611" s="141">
        <v>194379</v>
      </c>
      <c r="P611" s="40">
        <v>165461</v>
      </c>
      <c r="Q611" s="40">
        <v>216679</v>
      </c>
      <c r="R611" s="40">
        <v>221371</v>
      </c>
      <c r="S611" s="40">
        <v>192675</v>
      </c>
      <c r="T611" s="40">
        <v>182553</v>
      </c>
      <c r="U611" s="40">
        <v>194242</v>
      </c>
      <c r="V611" s="40">
        <v>192714</v>
      </c>
      <c r="W611" s="40">
        <v>206942</v>
      </c>
      <c r="X611" s="40">
        <v>206036</v>
      </c>
      <c r="Y611" s="40">
        <v>210104</v>
      </c>
      <c r="Z611" s="141">
        <v>228554</v>
      </c>
      <c r="AA611" s="141">
        <v>238170</v>
      </c>
      <c r="AB611" s="141">
        <v>252936</v>
      </c>
      <c r="AC611" s="141">
        <v>256473</v>
      </c>
      <c r="AD611" s="141">
        <v>283593</v>
      </c>
      <c r="AE611" s="141">
        <v>291873</v>
      </c>
      <c r="AF611" s="141">
        <v>274474</v>
      </c>
      <c r="AG611" s="141">
        <v>265265</v>
      </c>
      <c r="AH611" s="141">
        <v>253237</v>
      </c>
      <c r="AI611" s="141">
        <v>239617</v>
      </c>
      <c r="AJ611" s="141">
        <v>242941</v>
      </c>
      <c r="AK611" s="141">
        <v>239489</v>
      </c>
      <c r="AL611" s="141">
        <v>243723</v>
      </c>
      <c r="AM611" s="141">
        <v>252399</v>
      </c>
      <c r="AN611" s="141">
        <v>278418</v>
      </c>
      <c r="AO611" s="141">
        <v>249474</v>
      </c>
      <c r="AP611" s="141">
        <v>231453</v>
      </c>
      <c r="AQ611" s="141">
        <v>231673</v>
      </c>
      <c r="AR611" s="141">
        <v>237268</v>
      </c>
      <c r="AS611" s="141">
        <v>245628</v>
      </c>
      <c r="AT611" s="141">
        <v>256759</v>
      </c>
      <c r="AU611" s="141">
        <v>250686</v>
      </c>
      <c r="AV611" s="226">
        <v>245256</v>
      </c>
      <c r="AW611" s="41">
        <v>236100.13361542797</v>
      </c>
      <c r="AX611" s="41">
        <v>239833.98128767306</v>
      </c>
      <c r="AY611" s="41">
        <v>240724.09806997079</v>
      </c>
      <c r="AZ611" s="41">
        <v>243225.29318540433</v>
      </c>
      <c r="BA611" s="41">
        <v>246787.44359078893</v>
      </c>
      <c r="BB611" s="41">
        <v>251329.5217996517</v>
      </c>
      <c r="BC611" s="41">
        <v>256828.39431576393</v>
      </c>
      <c r="BD611" s="41">
        <v>262466.45376388507</v>
      </c>
      <c r="BE611" s="41">
        <v>268247.37591205863</v>
      </c>
      <c r="BF611" s="41">
        <v>274174.94399117824</v>
      </c>
      <c r="BG611" s="41">
        <v>280253.05191761709</v>
      </c>
      <c r="BH611" s="41">
        <v>290395.40372018627</v>
      </c>
      <c r="BI611" s="41">
        <v>300870.87476962153</v>
      </c>
      <c r="BJ611" s="41">
        <v>304038.83531191578</v>
      </c>
      <c r="BK611" s="41">
        <v>307731.00489251863</v>
      </c>
      <c r="BL611" s="41">
        <v>315737.73181209801</v>
      </c>
      <c r="BM611" s="41">
        <v>323972.52518083079</v>
      </c>
      <c r="BN611" s="41">
        <v>327212.25043263903</v>
      </c>
      <c r="BO611" s="41">
        <v>330484.37293696543</v>
      </c>
      <c r="BP611" s="41"/>
      <c r="BQ611" s="41">
        <v>74042.400000000009</v>
      </c>
      <c r="BR611" s="41">
        <v>69523.899999999994</v>
      </c>
      <c r="BS611" s="41">
        <v>66976.5</v>
      </c>
      <c r="BT611" s="41">
        <v>70558.577948589053</v>
      </c>
      <c r="BU611" s="41">
        <v>79749.803248524462</v>
      </c>
      <c r="BV611" s="41">
        <v>91023.205660143678</v>
      </c>
      <c r="BW611" s="41">
        <v>99213.04266782265</v>
      </c>
      <c r="BX611" s="41">
        <v>97970.5</v>
      </c>
      <c r="BY611" s="41">
        <v>104974</v>
      </c>
      <c r="BZ611" s="41">
        <v>112287.5</v>
      </c>
      <c r="CA611" s="41">
        <v>110140</v>
      </c>
      <c r="CB611" s="41">
        <v>114796</v>
      </c>
      <c r="CC611" s="41">
        <v>140352.5</v>
      </c>
      <c r="CD611" s="41">
        <v>154759.5</v>
      </c>
      <c r="CE611" s="41">
        <v>168265</v>
      </c>
      <c r="CF611" s="41">
        <v>194379</v>
      </c>
      <c r="CG611" s="41">
        <v>216679</v>
      </c>
      <c r="CH611" s="41">
        <v>192675</v>
      </c>
      <c r="CI611" s="41">
        <v>194242</v>
      </c>
      <c r="CJ611" s="41">
        <v>206942</v>
      </c>
      <c r="CK611" s="41">
        <v>210104</v>
      </c>
      <c r="CL611" s="41">
        <v>238170</v>
      </c>
      <c r="CM611" s="41">
        <v>256473</v>
      </c>
      <c r="CN611" s="41">
        <v>291873</v>
      </c>
      <c r="CO611" s="41">
        <v>265265</v>
      </c>
      <c r="CP611" s="41">
        <v>239617</v>
      </c>
      <c r="CQ611" s="41">
        <v>239489</v>
      </c>
      <c r="CR611" s="41">
        <v>252399</v>
      </c>
      <c r="CS611" s="41">
        <v>249474</v>
      </c>
      <c r="CT611" s="41">
        <v>231673</v>
      </c>
      <c r="CU611" s="41">
        <v>245628</v>
      </c>
      <c r="CV611" s="211">
        <v>250686</v>
      </c>
      <c r="CW611" s="41">
        <v>236100.13361542797</v>
      </c>
      <c r="CX611" s="41">
        <v>240724.09806997079</v>
      </c>
      <c r="CY611" s="41">
        <v>246787.44359078893</v>
      </c>
      <c r="CZ611" s="41">
        <v>256828.39431576393</v>
      </c>
      <c r="DA611" s="41">
        <v>268247.37591205863</v>
      </c>
      <c r="DB611" s="41">
        <v>280253.05191761709</v>
      </c>
      <c r="DC611" s="41">
        <v>300870.87476962153</v>
      </c>
      <c r="DD611" s="41">
        <v>307731.00489251863</v>
      </c>
      <c r="DE611" s="41">
        <v>323972.52518083079</v>
      </c>
      <c r="DF611" s="41">
        <v>330484.37293696543</v>
      </c>
    </row>
    <row r="612" spans="1:110" ht="12" outlineLevel="1">
      <c r="A612" s="1" t="s">
        <v>894</v>
      </c>
      <c r="B612" s="15" t="s">
        <v>414</v>
      </c>
      <c r="C612" s="141">
        <v>0</v>
      </c>
      <c r="D612" s="141">
        <v>0</v>
      </c>
      <c r="E612" s="141">
        <v>0</v>
      </c>
      <c r="F612" s="141">
        <v>0</v>
      </c>
      <c r="G612" s="41">
        <v>671</v>
      </c>
      <c r="H612" s="41">
        <v>869</v>
      </c>
      <c r="I612" s="41">
        <v>990</v>
      </c>
      <c r="J612" s="41">
        <v>1159</v>
      </c>
      <c r="K612" s="41">
        <v>1490</v>
      </c>
      <c r="L612" s="41">
        <v>1653</v>
      </c>
      <c r="M612" s="41">
        <v>1676</v>
      </c>
      <c r="N612" s="41">
        <v>2190</v>
      </c>
      <c r="O612" s="41">
        <v>1947</v>
      </c>
      <c r="P612" s="41">
        <v>18300</v>
      </c>
      <c r="Q612" s="41">
        <v>24684</v>
      </c>
      <c r="R612" s="41">
        <v>23112</v>
      </c>
      <c r="S612" s="41">
        <v>22258</v>
      </c>
      <c r="T612" s="41">
        <v>28586</v>
      </c>
      <c r="U612" s="41">
        <v>30725</v>
      </c>
      <c r="V612" s="41">
        <v>30990</v>
      </c>
      <c r="W612" s="41">
        <v>31136</v>
      </c>
      <c r="X612" s="41">
        <v>34671</v>
      </c>
      <c r="Y612" s="41">
        <v>45244</v>
      </c>
      <c r="Z612" s="41">
        <v>47604</v>
      </c>
      <c r="AA612" s="41">
        <v>51614</v>
      </c>
      <c r="AB612" s="41">
        <v>55412</v>
      </c>
      <c r="AC612" s="41">
        <v>52644</v>
      </c>
      <c r="AD612" s="41">
        <v>47166</v>
      </c>
      <c r="AE612" s="41">
        <v>52186</v>
      </c>
      <c r="AF612" s="41">
        <v>54027</v>
      </c>
      <c r="AG612" s="41">
        <v>56549</v>
      </c>
      <c r="AH612" s="41">
        <v>55231</v>
      </c>
      <c r="AI612" s="41">
        <v>54279</v>
      </c>
      <c r="AJ612" s="41">
        <v>52955</v>
      </c>
      <c r="AK612" s="41">
        <v>53240</v>
      </c>
      <c r="AL612" s="41">
        <v>50768</v>
      </c>
      <c r="AM612" s="41">
        <v>58855</v>
      </c>
      <c r="AN612" s="41">
        <v>63015</v>
      </c>
      <c r="AO612" s="41">
        <v>69347</v>
      </c>
      <c r="AP612" s="41">
        <v>66304</v>
      </c>
      <c r="AQ612" s="41">
        <v>73588</v>
      </c>
      <c r="AR612" s="41">
        <v>89093</v>
      </c>
      <c r="AS612" s="41">
        <v>95276</v>
      </c>
      <c r="AT612" s="41">
        <v>90220</v>
      </c>
      <c r="AU612" s="41">
        <v>84286</v>
      </c>
      <c r="AV612" s="211">
        <v>84332</v>
      </c>
      <c r="AW612" s="41">
        <v>88682.325211462768</v>
      </c>
      <c r="AX612" s="41">
        <v>90214.092055301488</v>
      </c>
      <c r="AY612" s="41">
        <v>91626.819801881371</v>
      </c>
      <c r="AZ612" s="41">
        <v>92752.700182732427</v>
      </c>
      <c r="BA612" s="41">
        <v>93956.783808371125</v>
      </c>
      <c r="BB612" s="41">
        <v>95425.997488410823</v>
      </c>
      <c r="BC612" s="41">
        <v>97147.935759352782</v>
      </c>
      <c r="BD612" s="41">
        <v>98906.868891894745</v>
      </c>
      <c r="BE612" s="41">
        <v>100703.61303631608</v>
      </c>
      <c r="BF612" s="41">
        <v>102539.00564370028</v>
      </c>
      <c r="BG612" s="41">
        <v>104413.90601903734</v>
      </c>
      <c r="BH612" s="41">
        <v>111388.30045401302</v>
      </c>
      <c r="BI612" s="41">
        <v>118590.17625967311</v>
      </c>
      <c r="BJ612" s="41">
        <v>115702.79057919963</v>
      </c>
      <c r="BK612" s="41">
        <v>112824.28004296483</v>
      </c>
      <c r="BL612" s="41">
        <v>115256.39722703426</v>
      </c>
      <c r="BM612" s="41">
        <v>117745.52967347151</v>
      </c>
      <c r="BN612" s="41">
        <v>118922.98497020625</v>
      </c>
      <c r="BO612" s="41">
        <v>120112.21481990835</v>
      </c>
      <c r="BP612" s="41"/>
      <c r="BQ612" s="40">
        <v>0</v>
      </c>
      <c r="BR612" s="40">
        <v>0</v>
      </c>
      <c r="BS612" s="40">
        <v>0</v>
      </c>
      <c r="BT612" s="40">
        <v>0</v>
      </c>
      <c r="BU612" s="40">
        <v>0</v>
      </c>
      <c r="BV612" s="40">
        <v>0</v>
      </c>
      <c r="BW612" s="40">
        <v>0</v>
      </c>
      <c r="BX612" s="40">
        <v>0</v>
      </c>
      <c r="BY612" s="40">
        <v>0</v>
      </c>
      <c r="BZ612" s="40">
        <v>0</v>
      </c>
      <c r="CA612" s="41">
        <v>0</v>
      </c>
      <c r="CB612" s="41">
        <v>671</v>
      </c>
      <c r="CC612" s="41">
        <v>990</v>
      </c>
      <c r="CD612" s="41">
        <v>1490</v>
      </c>
      <c r="CE612" s="41">
        <v>1676</v>
      </c>
      <c r="CF612" s="41">
        <v>1947</v>
      </c>
      <c r="CG612" s="41">
        <v>24684</v>
      </c>
      <c r="CH612" s="41">
        <v>22258</v>
      </c>
      <c r="CI612" s="41">
        <v>30725</v>
      </c>
      <c r="CJ612" s="41">
        <v>31136</v>
      </c>
      <c r="CK612" s="41">
        <v>45244</v>
      </c>
      <c r="CL612" s="41">
        <v>51614</v>
      </c>
      <c r="CM612" s="41">
        <v>52644</v>
      </c>
      <c r="CN612" s="41">
        <v>52186</v>
      </c>
      <c r="CO612" s="41">
        <v>56549</v>
      </c>
      <c r="CP612" s="41">
        <v>54279</v>
      </c>
      <c r="CQ612" s="41">
        <v>53240</v>
      </c>
      <c r="CR612" s="41">
        <v>58855</v>
      </c>
      <c r="CS612" s="41">
        <v>69347</v>
      </c>
      <c r="CT612" s="41">
        <v>73588</v>
      </c>
      <c r="CU612" s="41">
        <v>95276</v>
      </c>
      <c r="CV612" s="211">
        <v>84286</v>
      </c>
      <c r="CW612" s="41">
        <v>88682.325211462768</v>
      </c>
      <c r="CX612" s="41">
        <v>91626.819801881371</v>
      </c>
      <c r="CY612" s="41">
        <v>93956.783808371125</v>
      </c>
      <c r="CZ612" s="41">
        <v>97147.935759352782</v>
      </c>
      <c r="DA612" s="41">
        <v>100703.61303631608</v>
      </c>
      <c r="DB612" s="41">
        <v>104413.90601903734</v>
      </c>
      <c r="DC612" s="41">
        <v>118590.17625967311</v>
      </c>
      <c r="DD612" s="41">
        <v>112824.28004296483</v>
      </c>
      <c r="DE612" s="41">
        <v>117745.52967347151</v>
      </c>
      <c r="DF612" s="41">
        <v>120112.21481990835</v>
      </c>
    </row>
    <row r="613" spans="1:110" s="17" customFormat="1" ht="12" outlineLevel="1">
      <c r="A613" s="1" t="s">
        <v>895</v>
      </c>
      <c r="B613" s="17" t="s">
        <v>168</v>
      </c>
      <c r="C613" s="61">
        <v>139129</v>
      </c>
      <c r="D613" s="61">
        <v>135418</v>
      </c>
      <c r="E613" s="61">
        <v>141390</v>
      </c>
      <c r="F613" s="61">
        <v>148603</v>
      </c>
      <c r="G613" s="61">
        <v>152164</v>
      </c>
      <c r="H613" s="61">
        <v>186157</v>
      </c>
      <c r="I613" s="61">
        <v>196664</v>
      </c>
      <c r="J613" s="61">
        <v>209524</v>
      </c>
      <c r="K613" s="61">
        <v>219573</v>
      </c>
      <c r="L613" s="61">
        <v>230653</v>
      </c>
      <c r="M613" s="61">
        <v>240219</v>
      </c>
      <c r="N613" s="61">
        <v>250485</v>
      </c>
      <c r="O613" s="61">
        <v>275018</v>
      </c>
      <c r="P613" s="61">
        <v>267486</v>
      </c>
      <c r="Q613" s="61">
        <v>275434</v>
      </c>
      <c r="R613" s="61">
        <v>280882</v>
      </c>
      <c r="S613" s="61">
        <v>252069</v>
      </c>
      <c r="T613" s="61">
        <v>248961</v>
      </c>
      <c r="U613" s="61">
        <v>264242</v>
      </c>
      <c r="V613" s="61">
        <v>264236</v>
      </c>
      <c r="W613" s="61">
        <v>279964</v>
      </c>
      <c r="X613" s="61">
        <v>284836</v>
      </c>
      <c r="Y613" s="61">
        <v>300119</v>
      </c>
      <c r="Z613" s="194">
        <v>322582</v>
      </c>
      <c r="AA613" s="194">
        <v>339265</v>
      </c>
      <c r="AB613" s="194">
        <v>360740</v>
      </c>
      <c r="AC613" s="194">
        <v>361529</v>
      </c>
      <c r="AD613" s="194">
        <v>386863</v>
      </c>
      <c r="AE613" s="194">
        <v>401937</v>
      </c>
      <c r="AF613" s="194">
        <v>388335</v>
      </c>
      <c r="AG613" s="194">
        <v>408582</v>
      </c>
      <c r="AH613" s="194">
        <v>397040</v>
      </c>
      <c r="AI613" s="194">
        <v>391113</v>
      </c>
      <c r="AJ613" s="194">
        <v>395777</v>
      </c>
      <c r="AK613" s="194">
        <v>390820</v>
      </c>
      <c r="AL613" s="194">
        <v>396291</v>
      </c>
      <c r="AM613" s="194">
        <v>416961</v>
      </c>
      <c r="AN613" s="194">
        <v>449012</v>
      </c>
      <c r="AO613" s="194">
        <v>429384</v>
      </c>
      <c r="AP613" s="194">
        <v>408166</v>
      </c>
      <c r="AQ613" s="194">
        <v>416086</v>
      </c>
      <c r="AR613" s="194">
        <v>437910</v>
      </c>
      <c r="AS613" s="194">
        <v>454718</v>
      </c>
      <c r="AT613" s="194">
        <v>435514</v>
      </c>
      <c r="AU613" s="194">
        <v>433327</v>
      </c>
      <c r="AV613" s="227">
        <v>432779</v>
      </c>
      <c r="AW613" s="62">
        <v>450301.67616566562</v>
      </c>
      <c r="AX613" s="62">
        <v>457856.9825514328</v>
      </c>
      <c r="AY613" s="62">
        <v>463174.15919010167</v>
      </c>
      <c r="AZ613" s="62">
        <v>468570.18837119848</v>
      </c>
      <c r="BA613" s="62">
        <v>474914.64940466214</v>
      </c>
      <c r="BB613" s="62">
        <v>482782.55599624326</v>
      </c>
      <c r="BC613" s="62">
        <v>492117.3137018733</v>
      </c>
      <c r="BD613" s="62">
        <v>501666.23095369729</v>
      </c>
      <c r="BE613" s="62">
        <v>511434.42361144029</v>
      </c>
      <c r="BF613" s="62">
        <v>521427.14850793115</v>
      </c>
      <c r="BG613" s="62">
        <v>531649.8073890938</v>
      </c>
      <c r="BH613" s="62">
        <v>556840.96197054896</v>
      </c>
      <c r="BI613" s="62">
        <v>582815.51516955253</v>
      </c>
      <c r="BJ613" s="62">
        <v>579937.33869946387</v>
      </c>
      <c r="BK613" s="62">
        <v>577643.99764461664</v>
      </c>
      <c r="BL613" s="62">
        <v>590983.82939243992</v>
      </c>
      <c r="BM613" s="62">
        <v>604662.48136766546</v>
      </c>
      <c r="BN613" s="62">
        <v>610709.10618134215</v>
      </c>
      <c r="BO613" s="62">
        <v>616816.19724315568</v>
      </c>
      <c r="BP613" s="62"/>
      <c r="BQ613" s="61">
        <v>80720.600000000006</v>
      </c>
      <c r="BR613" s="61">
        <v>76860</v>
      </c>
      <c r="BS613" s="61">
        <v>76027</v>
      </c>
      <c r="BT613" s="61">
        <v>83076</v>
      </c>
      <c r="BU613" s="61">
        <v>93517</v>
      </c>
      <c r="BV613" s="61">
        <v>106147</v>
      </c>
      <c r="BW613" s="61">
        <v>116096</v>
      </c>
      <c r="BX613" s="61">
        <v>118037</v>
      </c>
      <c r="BY613" s="61">
        <v>129688</v>
      </c>
      <c r="BZ613" s="61">
        <v>139129</v>
      </c>
      <c r="CA613" s="62">
        <v>141390</v>
      </c>
      <c r="CB613" s="62">
        <v>152164</v>
      </c>
      <c r="CC613" s="62">
        <v>196664</v>
      </c>
      <c r="CD613" s="62">
        <v>219573</v>
      </c>
      <c r="CE613" s="62">
        <v>240219</v>
      </c>
      <c r="CF613" s="62">
        <v>275018</v>
      </c>
      <c r="CG613" s="62">
        <v>275434</v>
      </c>
      <c r="CH613" s="62">
        <v>252069</v>
      </c>
      <c r="CI613" s="62">
        <v>264242</v>
      </c>
      <c r="CJ613" s="62">
        <v>279964</v>
      </c>
      <c r="CK613" s="62">
        <v>300119</v>
      </c>
      <c r="CL613" s="62">
        <v>339265</v>
      </c>
      <c r="CM613" s="62">
        <v>361529</v>
      </c>
      <c r="CN613" s="62">
        <v>401937</v>
      </c>
      <c r="CO613" s="62">
        <v>408582</v>
      </c>
      <c r="CP613" s="62">
        <v>391113</v>
      </c>
      <c r="CQ613" s="62">
        <v>390820</v>
      </c>
      <c r="CR613" s="62">
        <v>416961</v>
      </c>
      <c r="CS613" s="62">
        <v>429384</v>
      </c>
      <c r="CT613" s="62">
        <v>416086</v>
      </c>
      <c r="CU613" s="62">
        <v>454718</v>
      </c>
      <c r="CV613" s="220">
        <v>433327</v>
      </c>
      <c r="CW613" s="62">
        <v>450301.67616566562</v>
      </c>
      <c r="CX613" s="62">
        <v>463174.15919010167</v>
      </c>
      <c r="CY613" s="62">
        <v>474914.64940466214</v>
      </c>
      <c r="CZ613" s="62">
        <v>492117.3137018733</v>
      </c>
      <c r="DA613" s="62">
        <v>511434.42361144029</v>
      </c>
      <c r="DB613" s="62">
        <v>531649.8073890938</v>
      </c>
      <c r="DC613" s="62">
        <v>582815.51516955253</v>
      </c>
      <c r="DD613" s="62">
        <v>577643.99764461664</v>
      </c>
      <c r="DE613" s="62">
        <v>604662.48136766546</v>
      </c>
      <c r="DF613" s="62">
        <v>616816.19724315568</v>
      </c>
    </row>
    <row r="614" spans="1:110" s="17" customFormat="1" ht="12" outlineLevel="1">
      <c r="A614" s="1" t="s">
        <v>2279</v>
      </c>
      <c r="B614" s="15" t="s">
        <v>2280</v>
      </c>
      <c r="C614" s="61"/>
      <c r="D614" s="61"/>
      <c r="E614" s="61"/>
      <c r="F614" s="61"/>
      <c r="G614" s="61"/>
      <c r="H614" s="61"/>
      <c r="I614" s="61"/>
      <c r="J614" s="61"/>
      <c r="K614" s="61"/>
      <c r="L614" s="61"/>
      <c r="M614" s="61"/>
      <c r="N614" s="61"/>
      <c r="O614" s="61"/>
      <c r="P614" s="61"/>
      <c r="Q614" s="61"/>
      <c r="R614" s="61"/>
      <c r="S614" s="61"/>
      <c r="T614" s="61"/>
      <c r="U614" s="61"/>
      <c r="V614" s="61"/>
      <c r="W614" s="61"/>
      <c r="X614" s="61"/>
      <c r="Y614" s="61"/>
      <c r="Z614" s="141">
        <v>-12629</v>
      </c>
      <c r="AA614" s="141">
        <v>-18287</v>
      </c>
      <c r="AB614" s="141">
        <v>-16359</v>
      </c>
      <c r="AC614" s="141">
        <v>-13627</v>
      </c>
      <c r="AD614" s="141">
        <v>-7690</v>
      </c>
      <c r="AE614" s="141">
        <v>-7433</v>
      </c>
      <c r="AF614" s="141">
        <v>-10280</v>
      </c>
      <c r="AG614" s="141">
        <v>-11700</v>
      </c>
      <c r="AH614" s="141">
        <v>-10332</v>
      </c>
      <c r="AI614" s="141">
        <v>-11611</v>
      </c>
      <c r="AJ614" s="141">
        <v>-9019</v>
      </c>
      <c r="AK614" s="141">
        <v>-8814</v>
      </c>
      <c r="AL614" s="141">
        <v>-7245</v>
      </c>
      <c r="AM614" s="141">
        <v>-6922</v>
      </c>
      <c r="AN614" s="141">
        <v>-8011</v>
      </c>
      <c r="AO614" s="141">
        <v>-13547</v>
      </c>
      <c r="AP614" s="141">
        <v>-10150</v>
      </c>
      <c r="AQ614" s="141">
        <v>-18036</v>
      </c>
      <c r="AR614" s="141">
        <v>-33402</v>
      </c>
      <c r="AS614" s="141">
        <v>-38063</v>
      </c>
      <c r="AT614" s="141">
        <v>-31887</v>
      </c>
      <c r="AU614" s="141">
        <v>-31703</v>
      </c>
      <c r="AV614" s="226">
        <v>-26200</v>
      </c>
      <c r="AW614" s="41">
        <v>-27551.545327281754</v>
      </c>
      <c r="AX614" s="41">
        <v>-28027.429823185732</v>
      </c>
      <c r="AY614" s="41">
        <v>-28466.331627487692</v>
      </c>
      <c r="AZ614" s="41">
        <v>-28816.116596162665</v>
      </c>
      <c r="BA614" s="41">
        <v>-29190.19750248214</v>
      </c>
      <c r="BB614" s="41">
        <v>-29646.648178584215</v>
      </c>
      <c r="BC614" s="41">
        <v>-30181.614534163113</v>
      </c>
      <c r="BD614" s="41">
        <v>-30728.074336759986</v>
      </c>
      <c r="BE614" s="41">
        <v>-31286.281145371649</v>
      </c>
      <c r="BF614" s="41">
        <v>-31856.495136661622</v>
      </c>
      <c r="BG614" s="41">
        <v>-32438.983276796225</v>
      </c>
      <c r="BH614" s="41">
        <v>-34605.76616106747</v>
      </c>
      <c r="BI614" s="41">
        <v>-36843.222240708586</v>
      </c>
      <c r="BJ614" s="41">
        <v>-35946.17835667399</v>
      </c>
      <c r="BK614" s="41">
        <v>-35051.891774482749</v>
      </c>
      <c r="BL614" s="41">
        <v>-35807.494276766804</v>
      </c>
      <c r="BM614" s="41">
        <v>-36580.810101088005</v>
      </c>
      <c r="BN614" s="41">
        <v>-36946.618202098893</v>
      </c>
      <c r="BO614" s="41">
        <v>-37316.084384119888</v>
      </c>
      <c r="BP614" s="62"/>
      <c r="BQ614" s="61"/>
      <c r="BR614" s="61"/>
      <c r="BS614" s="61"/>
      <c r="BT614" s="61"/>
      <c r="BU614" s="61"/>
      <c r="BV614" s="61"/>
      <c r="BW614" s="61"/>
      <c r="BX614" s="61"/>
      <c r="BY614" s="61"/>
      <c r="BZ614" s="61"/>
      <c r="CA614" s="62"/>
      <c r="CB614" s="62"/>
      <c r="CC614" s="62"/>
      <c r="CD614" s="62"/>
      <c r="CE614" s="62"/>
      <c r="CF614" s="62"/>
      <c r="CG614" s="62"/>
      <c r="CH614" s="62"/>
      <c r="CI614" s="62"/>
      <c r="CJ614" s="62"/>
      <c r="CK614" s="62"/>
      <c r="CL614" s="41">
        <v>-18287</v>
      </c>
      <c r="CM614" s="41">
        <v>-13627</v>
      </c>
      <c r="CN614" s="41">
        <v>-7433</v>
      </c>
      <c r="CO614" s="41">
        <v>-11700</v>
      </c>
      <c r="CP614" s="41">
        <v>-11611</v>
      </c>
      <c r="CQ614" s="41">
        <v>-8814</v>
      </c>
      <c r="CR614" s="41">
        <v>-6922</v>
      </c>
      <c r="CS614" s="41">
        <v>-13547</v>
      </c>
      <c r="CT614" s="41">
        <v>-18036</v>
      </c>
      <c r="CU614" s="41">
        <v>-38063</v>
      </c>
      <c r="CV614" s="211">
        <v>-31703</v>
      </c>
      <c r="CW614" s="41">
        <v>-27551.545327281754</v>
      </c>
      <c r="CX614" s="41">
        <v>-28466.331627487692</v>
      </c>
      <c r="CY614" s="41">
        <v>-29190.19750248214</v>
      </c>
      <c r="CZ614" s="41">
        <v>-30181.614534163113</v>
      </c>
      <c r="DA614" s="41">
        <v>-31286.281145371649</v>
      </c>
      <c r="DB614" s="41">
        <v>-32438.983276796225</v>
      </c>
      <c r="DC614" s="41">
        <v>-36843.222240708586</v>
      </c>
      <c r="DD614" s="41">
        <v>-35051.891774482749</v>
      </c>
      <c r="DE614" s="41">
        <v>-36580.810101088005</v>
      </c>
      <c r="DF614" s="41">
        <v>-37316.084384119888</v>
      </c>
    </row>
    <row r="615" spans="1:110" s="17" customFormat="1" ht="12" outlineLevel="1">
      <c r="A615" s="1" t="s">
        <v>2281</v>
      </c>
      <c r="B615" s="15" t="s">
        <v>2276</v>
      </c>
      <c r="C615" s="61"/>
      <c r="D615" s="61"/>
      <c r="E615" s="61"/>
      <c r="F615" s="61"/>
      <c r="G615" s="61"/>
      <c r="H615" s="61"/>
      <c r="I615" s="61"/>
      <c r="J615" s="61"/>
      <c r="K615" s="61"/>
      <c r="L615" s="61"/>
      <c r="M615" s="61"/>
      <c r="N615" s="61"/>
      <c r="O615" s="61"/>
      <c r="P615" s="61"/>
      <c r="Q615" s="61"/>
      <c r="R615" s="61"/>
      <c r="S615" s="61"/>
      <c r="T615" s="61"/>
      <c r="U615" s="61"/>
      <c r="V615" s="61"/>
      <c r="W615" s="61"/>
      <c r="X615" s="61"/>
      <c r="Y615" s="61"/>
      <c r="Z615" s="41">
        <v>-13061.72450865095</v>
      </c>
      <c r="AA615" s="41">
        <v>-13176.681952878833</v>
      </c>
      <c r="AB615" s="41">
        <v>-17926.063657450082</v>
      </c>
      <c r="AC615" s="41">
        <v>-63298.086473622592</v>
      </c>
      <c r="AD615" s="41">
        <v>-70178.468098840734</v>
      </c>
      <c r="AE615" s="41">
        <v>-71825.970348668809</v>
      </c>
      <c r="AF615" s="41">
        <v>-72865.562496519648</v>
      </c>
      <c r="AG615" s="41">
        <v>-86851.499075066706</v>
      </c>
      <c r="AH615" s="41">
        <v>-83523.450391657825</v>
      </c>
      <c r="AI615" s="41">
        <v>-75199.309391208051</v>
      </c>
      <c r="AJ615" s="41">
        <v>-78160.070773343672</v>
      </c>
      <c r="AK615" s="41">
        <v>-76543.986089315382</v>
      </c>
      <c r="AL615" s="41">
        <v>-79575.873595010256</v>
      </c>
      <c r="AM615" s="41">
        <v>-79747.44026277418</v>
      </c>
      <c r="AN615" s="41">
        <v>-96962.383899502223</v>
      </c>
      <c r="AO615" s="41">
        <v>-94762.596627533552</v>
      </c>
      <c r="AP615" s="41">
        <v>-86590.531509128108</v>
      </c>
      <c r="AQ615" s="41">
        <v>-90843.322759765724</v>
      </c>
      <c r="AR615" s="41">
        <v>-88006.549461444549</v>
      </c>
      <c r="AS615" s="41">
        <v>-87542.00964911998</v>
      </c>
      <c r="AT615" s="41">
        <v>-71941.587651613401</v>
      </c>
      <c r="AU615" s="41">
        <v>-71484.356146627921</v>
      </c>
      <c r="AV615" s="211">
        <v>-75853.099710086011</v>
      </c>
      <c r="AW615" s="210">
        <v>-92266.008744270788</v>
      </c>
      <c r="AX615" s="210">
        <v>-93949.103449201153</v>
      </c>
      <c r="AY615" s="210">
        <v>-96164.862905774949</v>
      </c>
      <c r="AZ615" s="210">
        <v>-97465.176113676658</v>
      </c>
      <c r="BA615" s="210">
        <v>-98625.290951029339</v>
      </c>
      <c r="BB615" s="210">
        <v>-99990.041560728787</v>
      </c>
      <c r="BC615" s="210">
        <v>-101543.95058764554</v>
      </c>
      <c r="BD615" s="210">
        <v>-103125.77610198455</v>
      </c>
      <c r="BE615" s="210">
        <v>-104735.97674732335</v>
      </c>
      <c r="BF615" s="210">
        <v>-106375.02014209738</v>
      </c>
      <c r="BG615" s="210">
        <v>-108043.38300034353</v>
      </c>
      <c r="BH615" s="210">
        <v>-113978.67678769493</v>
      </c>
      <c r="BI615" s="210">
        <v>-120077.74376174912</v>
      </c>
      <c r="BJ615" s="210">
        <v>-117755.82537992617</v>
      </c>
      <c r="BK615" s="210">
        <v>-115471.94802313122</v>
      </c>
      <c r="BL615" s="210">
        <v>-117604.39082367872</v>
      </c>
      <c r="BM615" s="210">
        <v>-119776.33545096882</v>
      </c>
      <c r="BN615" s="210">
        <v>-120974.09880547851</v>
      </c>
      <c r="BO615" s="210">
        <v>-122183.83979353332</v>
      </c>
      <c r="BP615" s="62"/>
      <c r="BQ615" s="61"/>
      <c r="BR615" s="61"/>
      <c r="BS615" s="61"/>
      <c r="BT615" s="61"/>
      <c r="BU615" s="61"/>
      <c r="BV615" s="61"/>
      <c r="BW615" s="61"/>
      <c r="BX615" s="61"/>
      <c r="BY615" s="61"/>
      <c r="BZ615" s="61"/>
      <c r="CA615" s="62"/>
      <c r="CB615" s="62"/>
      <c r="CC615" s="62"/>
      <c r="CD615" s="62"/>
      <c r="CE615" s="62"/>
      <c r="CF615" s="62"/>
      <c r="CG615" s="62"/>
      <c r="CH615" s="62"/>
      <c r="CI615" s="62"/>
      <c r="CJ615" s="62"/>
      <c r="CK615" s="62"/>
      <c r="CL615" s="41">
        <v>-13176.681952878833</v>
      </c>
      <c r="CM615" s="41">
        <v>-63298.086473622592</v>
      </c>
      <c r="CN615" s="41">
        <v>-71825.970348668809</v>
      </c>
      <c r="CO615" s="41">
        <v>-86851.499075066706</v>
      </c>
      <c r="CP615" s="41">
        <v>-75199.309391208051</v>
      </c>
      <c r="CQ615" s="41">
        <v>-76543.986089315382</v>
      </c>
      <c r="CR615" s="41">
        <v>-79747.44026277418</v>
      </c>
      <c r="CS615" s="41">
        <v>-94762.596627533552</v>
      </c>
      <c r="CT615" s="41">
        <v>-90843.322759765724</v>
      </c>
      <c r="CU615" s="41">
        <v>-87542.00964911998</v>
      </c>
      <c r="CV615" s="211">
        <v>-71484.356146627921</v>
      </c>
      <c r="CW615" s="41">
        <v>-92266.008744270788</v>
      </c>
      <c r="CX615" s="41">
        <v>-96164.862905774949</v>
      </c>
      <c r="CY615" s="41">
        <v>-98625.290951029339</v>
      </c>
      <c r="CZ615" s="41">
        <v>-101543.95058764554</v>
      </c>
      <c r="DA615" s="41">
        <v>-104735.97674732335</v>
      </c>
      <c r="DB615" s="41">
        <v>-108043.38300034353</v>
      </c>
      <c r="DC615" s="41">
        <v>-120077.74376174912</v>
      </c>
      <c r="DD615" s="41">
        <v>-115471.94802313122</v>
      </c>
      <c r="DE615" s="41">
        <v>-119776.33545096882</v>
      </c>
      <c r="DF615" s="41">
        <v>-122183.83979353332</v>
      </c>
    </row>
    <row r="616" spans="1:110" s="17" customFormat="1" ht="12" outlineLevel="1">
      <c r="A616" s="1" t="s">
        <v>2282</v>
      </c>
      <c r="B616" s="17" t="s">
        <v>2283</v>
      </c>
      <c r="C616" s="61"/>
      <c r="D616" s="61"/>
      <c r="E616" s="61"/>
      <c r="F616" s="61"/>
      <c r="G616" s="61"/>
      <c r="H616" s="61"/>
      <c r="I616" s="61"/>
      <c r="J616" s="61"/>
      <c r="K616" s="61"/>
      <c r="L616" s="61"/>
      <c r="M616" s="61"/>
      <c r="N616" s="61"/>
      <c r="O616" s="61"/>
      <c r="P616" s="61"/>
      <c r="Q616" s="61"/>
      <c r="R616" s="61"/>
      <c r="S616" s="61"/>
      <c r="T616" s="61"/>
      <c r="U616" s="61"/>
      <c r="V616" s="61"/>
      <c r="W616" s="61"/>
      <c r="X616" s="61"/>
      <c r="Y616" s="61"/>
      <c r="Z616" s="194">
        <v>296891.27549134905</v>
      </c>
      <c r="AA616" s="194">
        <v>307801.31804712117</v>
      </c>
      <c r="AB616" s="194">
        <v>326454.93634254992</v>
      </c>
      <c r="AC616" s="194">
        <v>284603.91352637741</v>
      </c>
      <c r="AD616" s="194">
        <v>308994.53190115927</v>
      </c>
      <c r="AE616" s="194">
        <v>322678.02965133119</v>
      </c>
      <c r="AF616" s="194">
        <v>305189.43750348035</v>
      </c>
      <c r="AG616" s="194">
        <v>310030.50092493329</v>
      </c>
      <c r="AH616" s="194">
        <v>303184.54960834217</v>
      </c>
      <c r="AI616" s="194">
        <v>304302.69060879195</v>
      </c>
      <c r="AJ616" s="194">
        <v>308597.92922665633</v>
      </c>
      <c r="AK616" s="194">
        <v>305462.01391068462</v>
      </c>
      <c r="AL616" s="194">
        <v>309470.12640498974</v>
      </c>
      <c r="AM616" s="194">
        <v>330291.55973722582</v>
      </c>
      <c r="AN616" s="194">
        <v>344038.61610049778</v>
      </c>
      <c r="AO616" s="194">
        <v>321074.40337246645</v>
      </c>
      <c r="AP616" s="194">
        <v>311425.46849087189</v>
      </c>
      <c r="AQ616" s="194">
        <v>307206.67724023428</v>
      </c>
      <c r="AR616" s="194">
        <v>316501.45053855545</v>
      </c>
      <c r="AS616" s="194">
        <v>329112.99035088002</v>
      </c>
      <c r="AT616" s="194">
        <v>331685.4123483866</v>
      </c>
      <c r="AU616" s="194">
        <v>330139.64385337208</v>
      </c>
      <c r="AV616" s="227">
        <v>330725.90028991399</v>
      </c>
      <c r="AW616" s="62">
        <v>330484.12209411309</v>
      </c>
      <c r="AX616" s="62">
        <v>335880.44927904592</v>
      </c>
      <c r="AY616" s="62">
        <v>338542.96465683903</v>
      </c>
      <c r="AZ616" s="62">
        <v>342288.89566135919</v>
      </c>
      <c r="BA616" s="62">
        <v>347099.16095115064</v>
      </c>
      <c r="BB616" s="62">
        <v>353145.86625693023</v>
      </c>
      <c r="BC616" s="62">
        <v>360391.74858006468</v>
      </c>
      <c r="BD616" s="62">
        <v>367812.38051495276</v>
      </c>
      <c r="BE616" s="62">
        <v>375412.16571874527</v>
      </c>
      <c r="BF616" s="62">
        <v>383195.63322917215</v>
      </c>
      <c r="BG616" s="62">
        <v>391167.44111195405</v>
      </c>
      <c r="BH616" s="62">
        <v>408256.51902178657</v>
      </c>
      <c r="BI616" s="62">
        <v>425894.54916709487</v>
      </c>
      <c r="BJ616" s="62">
        <v>426235.33496286365</v>
      </c>
      <c r="BK616" s="62">
        <v>427120.15784700261</v>
      </c>
      <c r="BL616" s="62">
        <v>437571.94429199444</v>
      </c>
      <c r="BM616" s="62">
        <v>448305.33581560862</v>
      </c>
      <c r="BN616" s="62">
        <v>452788.38917376474</v>
      </c>
      <c r="BO616" s="62">
        <v>457316.27306550252</v>
      </c>
      <c r="BP616" s="62"/>
      <c r="BQ616" s="61"/>
      <c r="BR616" s="61"/>
      <c r="BS616" s="61"/>
      <c r="BT616" s="61"/>
      <c r="BU616" s="61"/>
      <c r="BV616" s="61"/>
      <c r="BW616" s="61"/>
      <c r="BX616" s="61"/>
      <c r="BY616" s="61"/>
      <c r="BZ616" s="61"/>
      <c r="CA616" s="62"/>
      <c r="CB616" s="62"/>
      <c r="CC616" s="62"/>
      <c r="CD616" s="62"/>
      <c r="CE616" s="62"/>
      <c r="CF616" s="62"/>
      <c r="CG616" s="62"/>
      <c r="CH616" s="62"/>
      <c r="CI616" s="62"/>
      <c r="CJ616" s="62"/>
      <c r="CK616" s="62"/>
      <c r="CL616" s="62">
        <v>307801.31804712117</v>
      </c>
      <c r="CM616" s="62">
        <v>284603.91352637741</v>
      </c>
      <c r="CN616" s="62">
        <v>322678.02965133119</v>
      </c>
      <c r="CO616" s="62">
        <v>310030.50092493329</v>
      </c>
      <c r="CP616" s="62">
        <v>304302.69060879195</v>
      </c>
      <c r="CQ616" s="62">
        <v>305462.01391068462</v>
      </c>
      <c r="CR616" s="62">
        <v>330291.55973722582</v>
      </c>
      <c r="CS616" s="62">
        <v>321074.40337246645</v>
      </c>
      <c r="CT616" s="62">
        <v>307206.67724023428</v>
      </c>
      <c r="CU616" s="62">
        <v>329112.99035088002</v>
      </c>
      <c r="CV616" s="220">
        <v>330139.64385337208</v>
      </c>
      <c r="CW616" s="62">
        <v>330484.12209411309</v>
      </c>
      <c r="CX616" s="62">
        <v>338542.96465683903</v>
      </c>
      <c r="CY616" s="62">
        <v>347099.16095115064</v>
      </c>
      <c r="CZ616" s="62">
        <v>360391.74858006468</v>
      </c>
      <c r="DA616" s="62">
        <v>375412.16571874527</v>
      </c>
      <c r="DB616" s="62">
        <v>391167.44111195405</v>
      </c>
      <c r="DC616" s="62">
        <v>425894.54916709487</v>
      </c>
      <c r="DD616" s="62">
        <v>427120.15784700261</v>
      </c>
      <c r="DE616" s="62">
        <v>448305.33581560862</v>
      </c>
      <c r="DF616" s="62">
        <v>457316.27306550252</v>
      </c>
    </row>
    <row r="617" spans="1:110" ht="12">
      <c r="C617" s="41"/>
      <c r="D617" s="41"/>
      <c r="E617" s="41"/>
      <c r="F617" s="41"/>
      <c r="G617" s="41"/>
      <c r="H617" s="41"/>
      <c r="I617" s="41"/>
      <c r="J617" s="41"/>
      <c r="K617" s="41"/>
      <c r="L617" s="41"/>
      <c r="M617" s="41"/>
      <c r="N617" s="41"/>
      <c r="O617" s="41"/>
      <c r="P617" s="41"/>
      <c r="Q617" s="41"/>
      <c r="R617" s="41"/>
      <c r="S617" s="41"/>
      <c r="T617" s="41"/>
      <c r="U617" s="41"/>
      <c r="V617" s="41"/>
      <c r="W617" s="189"/>
      <c r="X617" s="41"/>
      <c r="Y617" s="41"/>
      <c r="Z617" s="41"/>
      <c r="AA617" s="41"/>
      <c r="AB617" s="32"/>
      <c r="AC617" s="32"/>
      <c r="AD617" s="32"/>
      <c r="AE617" s="32"/>
      <c r="AF617" s="32"/>
      <c r="AG617" s="32"/>
      <c r="AH617" s="41"/>
      <c r="AI617" s="41"/>
      <c r="AJ617" s="41"/>
      <c r="AK617" s="41"/>
      <c r="AL617" s="41"/>
      <c r="AM617" s="41"/>
      <c r="AN617" s="41"/>
      <c r="AO617" s="41"/>
      <c r="AP617" s="41"/>
      <c r="AQ617" s="41"/>
      <c r="AR617" s="41"/>
      <c r="AS617" s="41"/>
      <c r="AT617" s="41"/>
      <c r="AU617" s="41"/>
      <c r="AV617" s="211"/>
      <c r="AW617" s="35"/>
      <c r="AX617" s="41"/>
      <c r="AY617" s="41"/>
      <c r="AZ617" s="41"/>
      <c r="BA617" s="41"/>
      <c r="BB617" s="41"/>
      <c r="BC617" s="41"/>
      <c r="BD617" s="41"/>
      <c r="BE617" s="41"/>
      <c r="BF617" s="41"/>
      <c r="BG617" s="41"/>
      <c r="BH617" s="41"/>
      <c r="BI617" s="41"/>
      <c r="BJ617" s="41"/>
      <c r="BK617" s="41"/>
      <c r="BL617" s="41"/>
      <c r="BM617" s="41"/>
      <c r="BN617" s="41"/>
      <c r="BO617" s="41"/>
      <c r="BP617" s="41"/>
      <c r="BQ617" s="41"/>
      <c r="BR617" s="41"/>
      <c r="BS617" s="41"/>
      <c r="BT617" s="41"/>
      <c r="BU617" s="41"/>
      <c r="BV617" s="41"/>
      <c r="BW617" s="41"/>
      <c r="BX617" s="41"/>
      <c r="BY617" s="41"/>
      <c r="BZ617" s="41"/>
      <c r="CA617" s="41"/>
      <c r="CB617" s="41"/>
      <c r="CC617" s="41"/>
      <c r="CD617" s="41"/>
      <c r="CE617" s="41"/>
      <c r="CF617" s="41"/>
      <c r="CG617" s="41"/>
      <c r="CH617" s="41"/>
      <c r="CI617" s="41"/>
      <c r="CJ617" s="41"/>
      <c r="CK617" s="41"/>
      <c r="CL617" s="41"/>
      <c r="CM617" s="41"/>
      <c r="CN617" s="41"/>
      <c r="CO617" s="32"/>
      <c r="CP617" s="41"/>
      <c r="CQ617" s="41"/>
      <c r="CR617" s="41"/>
      <c r="CS617" s="41"/>
      <c r="CT617" s="41"/>
      <c r="CU617" s="41"/>
      <c r="CV617" s="211"/>
      <c r="CW617" s="41"/>
      <c r="CX617" s="41"/>
      <c r="CY617" s="41"/>
      <c r="CZ617" s="15"/>
      <c r="DA617" s="15"/>
      <c r="DB617" s="15"/>
      <c r="DC617" s="15"/>
      <c r="DD617" s="15"/>
      <c r="DE617" s="15"/>
      <c r="DF617" s="15"/>
    </row>
    <row r="618" spans="1:110" s="26" customFormat="1" ht="12" collapsed="1">
      <c r="A618" s="1" t="s">
        <v>26</v>
      </c>
      <c r="B618" s="2" t="s">
        <v>415</v>
      </c>
      <c r="C618" s="60" t="e">
        <v>#VALUE!</v>
      </c>
      <c r="D618" s="60">
        <v>480</v>
      </c>
      <c r="E618" s="60">
        <v>565.99999999999977</v>
      </c>
      <c r="F618" s="60">
        <v>534.00000000000023</v>
      </c>
      <c r="G618" s="60">
        <v>648</v>
      </c>
      <c r="H618" s="60">
        <v>-2854</v>
      </c>
      <c r="I618" s="60">
        <v>826.00000000000068</v>
      </c>
      <c r="J618" s="60">
        <v>896.00000000000045</v>
      </c>
      <c r="K618" s="60">
        <v>964.99999999999955</v>
      </c>
      <c r="L618" s="60">
        <v>991.99999999999955</v>
      </c>
      <c r="M618" s="60">
        <v>1048</v>
      </c>
      <c r="N618" s="60">
        <v>981.99999999999955</v>
      </c>
      <c r="O618" s="60">
        <v>819.99999999999977</v>
      </c>
      <c r="P618" s="60">
        <v>-279.99999999999909</v>
      </c>
      <c r="Q618" s="60">
        <v>-726.99999999999955</v>
      </c>
      <c r="R618" s="60">
        <v>-591</v>
      </c>
      <c r="S618" s="60">
        <v>-3627</v>
      </c>
      <c r="T618" s="60">
        <v>1146</v>
      </c>
      <c r="U618" s="60">
        <v>1278</v>
      </c>
      <c r="V618" s="60">
        <v>919</v>
      </c>
      <c r="W618" s="60">
        <v>1219</v>
      </c>
      <c r="X618" s="60">
        <v>873</v>
      </c>
      <c r="Y618" s="60">
        <v>1241</v>
      </c>
      <c r="Z618" s="60">
        <v>-605</v>
      </c>
      <c r="AA618" s="60">
        <v>1915</v>
      </c>
      <c r="AB618" s="60">
        <v>2567</v>
      </c>
      <c r="AC618" s="60">
        <v>1737</v>
      </c>
      <c r="AD618" s="60">
        <v>2457</v>
      </c>
      <c r="AE618" s="60">
        <v>1321</v>
      </c>
      <c r="AF618" s="60">
        <v>2453</v>
      </c>
      <c r="AG618" s="60">
        <v>2150</v>
      </c>
      <c r="AH618" s="60">
        <v>2029</v>
      </c>
      <c r="AI618" s="60">
        <v>2257</v>
      </c>
      <c r="AJ618" s="60">
        <v>3463</v>
      </c>
      <c r="AK618" s="60">
        <v>3091</v>
      </c>
      <c r="AL618" s="60">
        <v>3411</v>
      </c>
      <c r="AM618" s="60">
        <v>2190</v>
      </c>
      <c r="AN618" s="60">
        <v>2278</v>
      </c>
      <c r="AO618" s="60">
        <v>604</v>
      </c>
      <c r="AP618" s="60">
        <v>889</v>
      </c>
      <c r="AQ618" s="60">
        <v>2586</v>
      </c>
      <c r="AR618" s="60">
        <v>2887</v>
      </c>
      <c r="AS618" s="60">
        <v>1764</v>
      </c>
      <c r="AT618" s="60">
        <v>1926</v>
      </c>
      <c r="AU618" s="60">
        <v>2375</v>
      </c>
      <c r="AV618" s="219">
        <v>2833</v>
      </c>
      <c r="AW618" s="60">
        <v>3496.2338627400154</v>
      </c>
      <c r="AX618" s="60">
        <v>3468.7198693175587</v>
      </c>
      <c r="AY618" s="60">
        <v>2442.5693800568756</v>
      </c>
      <c r="AZ618" s="60">
        <v>2442.5693800568852</v>
      </c>
      <c r="BA618" s="60">
        <v>2442.5693800568738</v>
      </c>
      <c r="BB618" s="60">
        <v>2442.5693800569102</v>
      </c>
      <c r="BC618" s="60">
        <v>2442.5693800568615</v>
      </c>
      <c r="BD618" s="60">
        <v>2442.5693800568838</v>
      </c>
      <c r="BE618" s="60">
        <v>2471.9979268045681</v>
      </c>
      <c r="BF618" s="60">
        <v>2471.9979268045549</v>
      </c>
      <c r="BG618" s="60">
        <v>2619.1406605429192</v>
      </c>
      <c r="BH618" s="60">
        <v>2619.1406605429293</v>
      </c>
      <c r="BI618" s="60">
        <v>-1.1027623258996755E-11</v>
      </c>
      <c r="BJ618" s="60">
        <v>6.8212102632969618E-12</v>
      </c>
      <c r="BK618" s="60">
        <v>2175.8841613115915</v>
      </c>
      <c r="BL618" s="60">
        <v>2357.2078414209004</v>
      </c>
      <c r="BM618" s="60">
        <v>3022.0613351550032</v>
      </c>
      <c r="BN618" s="60">
        <v>3022.0613351549941</v>
      </c>
      <c r="BO618" s="60">
        <v>3112.7231752096313</v>
      </c>
      <c r="BP618" s="60"/>
      <c r="BQ618" s="60">
        <v>-3294.2</v>
      </c>
      <c r="BR618" s="60">
        <v>74.399999999998954</v>
      </c>
      <c r="BS618" s="60">
        <v>268</v>
      </c>
      <c r="BT618" s="60">
        <v>338</v>
      </c>
      <c r="BU618" s="60">
        <v>431</v>
      </c>
      <c r="BV618" s="60">
        <v>475</v>
      </c>
      <c r="BW618" s="60">
        <v>501</v>
      </c>
      <c r="BX618" s="60">
        <v>625</v>
      </c>
      <c r="BY618" s="60">
        <v>1683</v>
      </c>
      <c r="BZ618" s="60">
        <v>1357</v>
      </c>
      <c r="CA618" s="60">
        <v>1046</v>
      </c>
      <c r="CB618" s="60">
        <v>1182</v>
      </c>
      <c r="CC618" s="60">
        <v>-2028</v>
      </c>
      <c r="CD618" s="60">
        <v>1860.9999999999991</v>
      </c>
      <c r="CE618" s="60">
        <v>2039.9999999999995</v>
      </c>
      <c r="CF618" s="60">
        <v>1801.9999999999995</v>
      </c>
      <c r="CG618" s="60">
        <v>-1007.0000000000005</v>
      </c>
      <c r="CH618" s="60">
        <v>-4218</v>
      </c>
      <c r="CI618" s="60">
        <v>2424</v>
      </c>
      <c r="CJ618" s="60">
        <v>2138</v>
      </c>
      <c r="CK618" s="60">
        <v>2114</v>
      </c>
      <c r="CL618" s="60">
        <v>1310</v>
      </c>
      <c r="CM618" s="60">
        <v>4304</v>
      </c>
      <c r="CN618" s="60">
        <v>3778</v>
      </c>
      <c r="CO618" s="60">
        <v>4603</v>
      </c>
      <c r="CP618" s="60">
        <v>4286</v>
      </c>
      <c r="CQ618" s="60">
        <v>6554</v>
      </c>
      <c r="CR618" s="60">
        <v>5601</v>
      </c>
      <c r="CS618" s="60">
        <v>2882</v>
      </c>
      <c r="CT618" s="60">
        <v>3475</v>
      </c>
      <c r="CU618" s="60">
        <v>4651</v>
      </c>
      <c r="CV618" s="219">
        <v>4301</v>
      </c>
      <c r="CW618" s="60">
        <v>6329.2338627400159</v>
      </c>
      <c r="CX618" s="60">
        <v>5911.2892493744366</v>
      </c>
      <c r="CY618" s="60">
        <v>4885.1387601137612</v>
      </c>
      <c r="CZ618" s="60">
        <v>4885.138760113774</v>
      </c>
      <c r="DA618" s="60">
        <v>4914.5673068614515</v>
      </c>
      <c r="DB618" s="60">
        <v>5091.1385873474774</v>
      </c>
      <c r="DC618" s="60">
        <v>2619.140660542917</v>
      </c>
      <c r="DD618" s="60">
        <v>2175.8841613115974</v>
      </c>
      <c r="DE618" s="60">
        <v>5379.2691765759027</v>
      </c>
      <c r="DF618" s="60">
        <v>6134.7845103646259</v>
      </c>
    </row>
    <row r="619" spans="1:110" ht="12" outlineLevel="1">
      <c r="C619" s="41"/>
      <c r="D619" s="41"/>
      <c r="E619" s="41"/>
      <c r="F619" s="41"/>
      <c r="G619" s="41"/>
      <c r="H619" s="41"/>
      <c r="I619" s="41"/>
      <c r="J619" s="41"/>
      <c r="K619" s="41"/>
      <c r="L619" s="41"/>
      <c r="M619" s="41"/>
      <c r="N619" s="41"/>
      <c r="O619" s="41"/>
      <c r="P619" s="41"/>
      <c r="Q619" s="41"/>
      <c r="R619" s="41"/>
      <c r="S619" s="41"/>
      <c r="T619" s="41"/>
      <c r="U619" s="41"/>
      <c r="V619" s="41"/>
      <c r="W619" s="41"/>
      <c r="X619" s="41"/>
      <c r="Y619" s="41"/>
      <c r="Z619" s="41"/>
      <c r="AA619" s="41"/>
      <c r="AB619" s="41"/>
      <c r="AC619" s="41"/>
      <c r="AD619" s="41"/>
      <c r="AE619" s="41"/>
      <c r="AF619" s="41"/>
      <c r="AG619" s="41"/>
      <c r="AH619" s="41"/>
      <c r="AI619" s="41"/>
      <c r="AJ619" s="41"/>
      <c r="AK619" s="41"/>
      <c r="AL619" s="41"/>
      <c r="AM619" s="41"/>
      <c r="AN619" s="41"/>
      <c r="AO619" s="41"/>
      <c r="AP619" s="41"/>
      <c r="AQ619" s="41"/>
      <c r="AR619" s="41"/>
      <c r="AS619" s="41"/>
      <c r="AT619" s="41"/>
      <c r="AU619" s="41"/>
      <c r="AV619" s="211"/>
      <c r="AW619" s="41"/>
      <c r="AX619" s="41"/>
      <c r="AY619" s="41"/>
      <c r="AZ619" s="41"/>
      <c r="BA619" s="41"/>
      <c r="BB619" s="41"/>
      <c r="BC619" s="41"/>
      <c r="BD619" s="41"/>
      <c r="BE619" s="41"/>
      <c r="BF619" s="41"/>
      <c r="BG619" s="41"/>
      <c r="BH619" s="41"/>
      <c r="BI619" s="41"/>
      <c r="BJ619" s="41"/>
      <c r="BK619" s="41"/>
      <c r="BL619" s="41"/>
      <c r="BM619" s="41"/>
      <c r="BN619" s="41"/>
      <c r="BO619" s="41"/>
      <c r="BP619" s="41"/>
      <c r="BQ619" s="41"/>
      <c r="BR619" s="41"/>
      <c r="BS619" s="41"/>
      <c r="BT619" s="41"/>
      <c r="BU619" s="41"/>
      <c r="BV619" s="41"/>
      <c r="BW619" s="41"/>
      <c r="BX619" s="41"/>
      <c r="BY619" s="41"/>
      <c r="BZ619" s="41"/>
      <c r="CA619" s="41"/>
      <c r="CB619" s="41"/>
      <c r="CC619" s="41"/>
      <c r="CD619" s="41"/>
      <c r="CE619" s="41"/>
      <c r="CF619" s="41"/>
      <c r="CG619" s="41"/>
      <c r="CH619" s="41"/>
      <c r="CI619" s="41"/>
      <c r="CJ619" s="41"/>
      <c r="CK619" s="41"/>
      <c r="CL619" s="41"/>
      <c r="CM619" s="41"/>
      <c r="CN619" s="41"/>
      <c r="CO619" s="41"/>
      <c r="CP619" s="41"/>
      <c r="CQ619" s="41"/>
      <c r="CR619" s="41"/>
      <c r="CS619" s="41"/>
      <c r="CT619" s="41"/>
      <c r="CU619" s="41"/>
      <c r="CV619" s="211"/>
      <c r="CW619" s="41"/>
      <c r="CX619" s="41"/>
      <c r="CY619" s="41"/>
      <c r="CZ619" s="15"/>
      <c r="DA619" s="15"/>
      <c r="DB619" s="15"/>
      <c r="DC619" s="15"/>
      <c r="DD619" s="15"/>
      <c r="DE619" s="15"/>
      <c r="DF619" s="15"/>
    </row>
    <row r="620" spans="1:110" s="17" customFormat="1" ht="12" outlineLevel="1">
      <c r="A620" s="1" t="s">
        <v>60</v>
      </c>
      <c r="B620" s="17" t="s">
        <v>357</v>
      </c>
      <c r="C620" s="62">
        <v>915</v>
      </c>
      <c r="D620" s="62">
        <v>1006</v>
      </c>
      <c r="E620" s="62">
        <v>1044.9999999999998</v>
      </c>
      <c r="F620" s="62">
        <v>1087.0000000000002</v>
      </c>
      <c r="G620" s="62">
        <v>1159</v>
      </c>
      <c r="H620" s="62">
        <v>1248</v>
      </c>
      <c r="I620" s="62">
        <v>1385.0000000000007</v>
      </c>
      <c r="J620" s="62">
        <v>1562.0000000000005</v>
      </c>
      <c r="K620" s="62">
        <v>1570.9999999999995</v>
      </c>
      <c r="L620" s="62">
        <v>1718.9999999999995</v>
      </c>
      <c r="M620" s="62">
        <v>1841</v>
      </c>
      <c r="N620" s="62">
        <v>1918.9999999999995</v>
      </c>
      <c r="O620" s="62">
        <v>1967.9999999999998</v>
      </c>
      <c r="P620" s="62">
        <v>1899.0000000000007</v>
      </c>
      <c r="Q620" s="62">
        <v>1332.0000000000005</v>
      </c>
      <c r="R620" s="62">
        <v>930</v>
      </c>
      <c r="S620" s="62">
        <v>2420</v>
      </c>
      <c r="T620" s="62">
        <v>2370</v>
      </c>
      <c r="U620" s="62">
        <v>2752</v>
      </c>
      <c r="V620" s="62">
        <v>2717</v>
      </c>
      <c r="W620" s="62">
        <v>2738</v>
      </c>
      <c r="X620" s="62">
        <v>2889</v>
      </c>
      <c r="Y620" s="62">
        <v>3150</v>
      </c>
      <c r="Z620" s="62">
        <v>3176</v>
      </c>
      <c r="AA620" s="62">
        <v>3310</v>
      </c>
      <c r="AB620" s="62">
        <v>3512</v>
      </c>
      <c r="AC620" s="62">
        <v>3599</v>
      </c>
      <c r="AD620" s="62">
        <v>3675</v>
      </c>
      <c r="AE620" s="62">
        <v>3540</v>
      </c>
      <c r="AF620" s="62">
        <v>2782</v>
      </c>
      <c r="AG620" s="62">
        <v>3107</v>
      </c>
      <c r="AH620" s="62">
        <v>3355</v>
      </c>
      <c r="AI620" s="62">
        <v>3454</v>
      </c>
      <c r="AJ620" s="62">
        <v>3493</v>
      </c>
      <c r="AK620" s="62">
        <v>2994</v>
      </c>
      <c r="AL620" s="62">
        <v>3564</v>
      </c>
      <c r="AM620" s="62">
        <v>2906</v>
      </c>
      <c r="AN620" s="62">
        <v>1413</v>
      </c>
      <c r="AO620" s="62">
        <v>2345</v>
      </c>
      <c r="AP620" s="62">
        <v>2990</v>
      </c>
      <c r="AQ620" s="62">
        <v>3208</v>
      </c>
      <c r="AR620" s="62">
        <v>3113</v>
      </c>
      <c r="AS620" s="62">
        <v>3402</v>
      </c>
      <c r="AT620" s="62">
        <v>3829</v>
      </c>
      <c r="AU620" s="62">
        <v>3584</v>
      </c>
      <c r="AV620" s="220">
        <v>3552</v>
      </c>
      <c r="AW620" s="62">
        <v>3339.8048472754817</v>
      </c>
      <c r="AX620" s="62">
        <v>3400.9221364868781</v>
      </c>
      <c r="AY620" s="62">
        <v>3370.3562821550863</v>
      </c>
      <c r="AZ620" s="62">
        <v>3455.3585063277633</v>
      </c>
      <c r="BA620" s="62">
        <v>3353.7458863584734</v>
      </c>
      <c r="BB620" s="62">
        <v>3528.6675137427128</v>
      </c>
      <c r="BC620" s="62">
        <v>3402.7856275564777</v>
      </c>
      <c r="BD620" s="62">
        <v>3666.6348811635917</v>
      </c>
      <c r="BE620" s="62">
        <v>3562.4654742592793</v>
      </c>
      <c r="BF620" s="62">
        <v>3852.1516783086417</v>
      </c>
      <c r="BG620" s="62">
        <v>3766.5617426616791</v>
      </c>
      <c r="BH620" s="62">
        <v>3571.0679636078112</v>
      </c>
      <c r="BI620" s="62">
        <v>2946.5628479563834</v>
      </c>
      <c r="BJ620" s="62">
        <v>3202.9423173345622</v>
      </c>
      <c r="BK620" s="62">
        <v>3615.4726719421592</v>
      </c>
      <c r="BL620" s="62">
        <v>4360.9817773141249</v>
      </c>
      <c r="BM620" s="62">
        <v>4260.2184166617681</v>
      </c>
      <c r="BN620" s="62">
        <v>4542.2675708974803</v>
      </c>
      <c r="BO620" s="62">
        <v>4384.7461678029813</v>
      </c>
      <c r="BP620" s="62"/>
      <c r="BQ620" s="62">
        <v>-657.9</v>
      </c>
      <c r="BR620" s="62">
        <v>380.1</v>
      </c>
      <c r="BS620" s="62">
        <v>723</v>
      </c>
      <c r="BT620" s="62">
        <v>953</v>
      </c>
      <c r="BU620" s="62">
        <v>1116</v>
      </c>
      <c r="BV620" s="62">
        <v>1171</v>
      </c>
      <c r="BW620" s="62">
        <v>1175</v>
      </c>
      <c r="BX620" s="62">
        <v>1408</v>
      </c>
      <c r="BY620" s="62">
        <v>1613</v>
      </c>
      <c r="BZ620" s="62">
        <v>1768</v>
      </c>
      <c r="CA620" s="62">
        <v>2051</v>
      </c>
      <c r="CB620" s="62">
        <v>2246</v>
      </c>
      <c r="CC620" s="62">
        <v>2633</v>
      </c>
      <c r="CD620" s="62">
        <v>3132.9999999999991</v>
      </c>
      <c r="CE620" s="62">
        <v>3559.9999999999995</v>
      </c>
      <c r="CF620" s="62">
        <v>3886.9999999999995</v>
      </c>
      <c r="CG620" s="62">
        <v>3230.9999999999995</v>
      </c>
      <c r="CH620" s="62">
        <v>3350</v>
      </c>
      <c r="CI620" s="62">
        <v>5122</v>
      </c>
      <c r="CJ620" s="62">
        <v>5455</v>
      </c>
      <c r="CK620" s="62">
        <v>6039</v>
      </c>
      <c r="CL620" s="62">
        <v>6486</v>
      </c>
      <c r="CM620" s="62">
        <v>7111</v>
      </c>
      <c r="CN620" s="62">
        <v>7215</v>
      </c>
      <c r="CO620" s="62">
        <v>5889</v>
      </c>
      <c r="CP620" s="62">
        <v>6809</v>
      </c>
      <c r="CQ620" s="62">
        <v>6487</v>
      </c>
      <c r="CR620" s="62">
        <v>6470</v>
      </c>
      <c r="CS620" s="62">
        <v>3758</v>
      </c>
      <c r="CT620" s="62">
        <v>6198</v>
      </c>
      <c r="CU620" s="62">
        <v>6515</v>
      </c>
      <c r="CV620" s="220">
        <v>7413</v>
      </c>
      <c r="CW620" s="62">
        <v>6891.8048472754817</v>
      </c>
      <c r="CX620" s="62">
        <v>6771.2784186419667</v>
      </c>
      <c r="CY620" s="62">
        <v>6809.1043926862394</v>
      </c>
      <c r="CZ620" s="62">
        <v>6931.4531412991919</v>
      </c>
      <c r="DA620" s="62">
        <v>7229.1003554228701</v>
      </c>
      <c r="DB620" s="62">
        <v>7618.7134209703245</v>
      </c>
      <c r="DC620" s="62">
        <v>6517.6308115641941</v>
      </c>
      <c r="DD620" s="62">
        <v>6818.41498927672</v>
      </c>
      <c r="DE620" s="62">
        <v>8621.200193975892</v>
      </c>
      <c r="DF620" s="62">
        <v>8927.0137387004615</v>
      </c>
    </row>
    <row r="621" spans="1:110" ht="12" outlineLevel="1">
      <c r="A621" s="1" t="s">
        <v>61</v>
      </c>
      <c r="B621" s="15" t="s">
        <v>428</v>
      </c>
      <c r="C621" s="41">
        <v>-4</v>
      </c>
      <c r="D621" s="41">
        <v>45</v>
      </c>
      <c r="E621" s="41">
        <v>-143</v>
      </c>
      <c r="F621" s="41">
        <v>-49</v>
      </c>
      <c r="G621" s="41">
        <v>-307</v>
      </c>
      <c r="H621" s="41">
        <v>-254</v>
      </c>
      <c r="I621" s="41">
        <v>487</v>
      </c>
      <c r="J621" s="41">
        <v>-284</v>
      </c>
      <c r="K621" s="41">
        <v>-159</v>
      </c>
      <c r="L621" s="41">
        <v>-305</v>
      </c>
      <c r="M621" s="41">
        <v>102</v>
      </c>
      <c r="N621" s="41">
        <v>-89</v>
      </c>
      <c r="O621" s="41">
        <v>-474</v>
      </c>
      <c r="P621" s="41">
        <v>74</v>
      </c>
      <c r="Q621" s="41">
        <v>319</v>
      </c>
      <c r="R621" s="41">
        <v>443</v>
      </c>
      <c r="S621" s="41">
        <v>-1352</v>
      </c>
      <c r="T621" s="41">
        <v>-656</v>
      </c>
      <c r="U621" s="41">
        <v>-361</v>
      </c>
      <c r="V621" s="41">
        <v>-557</v>
      </c>
      <c r="W621" s="41">
        <v>881</v>
      </c>
      <c r="X621" s="41">
        <v>-412</v>
      </c>
      <c r="Y621" s="41">
        <v>-1</v>
      </c>
      <c r="Z621" s="41">
        <v>5</v>
      </c>
      <c r="AA621" s="41">
        <v>1701</v>
      </c>
      <c r="AB621" s="41">
        <v>570</v>
      </c>
      <c r="AC621" s="41">
        <v>-83</v>
      </c>
      <c r="AD621" s="41">
        <v>2181</v>
      </c>
      <c r="AE621" s="41">
        <v>-445</v>
      </c>
      <c r="AF621" s="41">
        <v>-1015</v>
      </c>
      <c r="AG621" s="41">
        <v>559</v>
      </c>
      <c r="AH621" s="41">
        <v>-689</v>
      </c>
      <c r="AI621" s="41">
        <v>-59</v>
      </c>
      <c r="AJ621" s="41">
        <v>460</v>
      </c>
      <c r="AK621" s="41">
        <v>-238</v>
      </c>
      <c r="AL621" s="41">
        <v>834</v>
      </c>
      <c r="AM621" s="41">
        <v>-137</v>
      </c>
      <c r="AN621" s="41">
        <v>1281</v>
      </c>
      <c r="AO621" s="41">
        <v>-1831</v>
      </c>
      <c r="AP621" s="41">
        <v>-658</v>
      </c>
      <c r="AQ621" s="41">
        <v>1114</v>
      </c>
      <c r="AR621" s="41">
        <v>-775</v>
      </c>
      <c r="AS621" s="41">
        <v>16</v>
      </c>
      <c r="AT621" s="41">
        <v>792</v>
      </c>
      <c r="AU621" s="41">
        <v>-74</v>
      </c>
      <c r="AV621" s="211">
        <v>-378</v>
      </c>
      <c r="AW621" s="41">
        <v>95.69776359022633</v>
      </c>
      <c r="AX621" s="41">
        <v>-163.03389404020035</v>
      </c>
      <c r="AY621" s="41">
        <v>-750.1814132732884</v>
      </c>
      <c r="AZ621" s="41">
        <v>-623.33643029393215</v>
      </c>
      <c r="BA621" s="41">
        <v>-548.24681347242279</v>
      </c>
      <c r="BB621" s="41">
        <v>-375.03257088699195</v>
      </c>
      <c r="BC621" s="41">
        <v>-218.71620504370327</v>
      </c>
      <c r="BD621" s="41">
        <v>-218.54554088181183</v>
      </c>
      <c r="BE621" s="41">
        <v>-219.21186692210625</v>
      </c>
      <c r="BF621" s="41">
        <v>-219.46122443506187</v>
      </c>
      <c r="BG621" s="41">
        <v>-220.59871015667875</v>
      </c>
      <c r="BH621" s="41">
        <v>-221.01934399592668</v>
      </c>
      <c r="BI621" s="41">
        <v>-220.8598552260716</v>
      </c>
      <c r="BJ621" s="41">
        <v>-113.79547788302742</v>
      </c>
      <c r="BK621" s="41">
        <v>0</v>
      </c>
      <c r="BL621" s="41">
        <v>0</v>
      </c>
      <c r="BM621" s="41">
        <v>0</v>
      </c>
      <c r="BN621" s="41">
        <v>0</v>
      </c>
      <c r="BO621" s="41">
        <v>0</v>
      </c>
      <c r="BP621" s="41"/>
      <c r="BQ621" s="41">
        <v>734.8</v>
      </c>
      <c r="BR621" s="41">
        <v>112.3</v>
      </c>
      <c r="BS621" s="41">
        <v>-229</v>
      </c>
      <c r="BT621" s="41">
        <v>-1</v>
      </c>
      <c r="BU621" s="41">
        <v>-95</v>
      </c>
      <c r="BV621" s="41">
        <v>104</v>
      </c>
      <c r="BW621" s="41">
        <v>142</v>
      </c>
      <c r="BX621" s="41">
        <v>-215</v>
      </c>
      <c r="BY621" s="41">
        <v>170</v>
      </c>
      <c r="BZ621" s="41">
        <v>197</v>
      </c>
      <c r="CA621" s="41">
        <v>-98</v>
      </c>
      <c r="CB621" s="41">
        <v>-356</v>
      </c>
      <c r="CC621" s="41">
        <v>233</v>
      </c>
      <c r="CD621" s="41">
        <v>-443</v>
      </c>
      <c r="CE621" s="41">
        <v>-203</v>
      </c>
      <c r="CF621" s="41">
        <v>-563</v>
      </c>
      <c r="CG621" s="41">
        <v>393</v>
      </c>
      <c r="CH621" s="41">
        <v>-909</v>
      </c>
      <c r="CI621" s="41">
        <v>-1017</v>
      </c>
      <c r="CJ621" s="41">
        <v>324</v>
      </c>
      <c r="CK621" s="41">
        <v>-413</v>
      </c>
      <c r="CL621" s="41">
        <v>1706</v>
      </c>
      <c r="CM621" s="41">
        <v>487</v>
      </c>
      <c r="CN621" s="41">
        <v>1736</v>
      </c>
      <c r="CO621" s="41">
        <v>-456</v>
      </c>
      <c r="CP621" s="41">
        <v>-748</v>
      </c>
      <c r="CQ621" s="41">
        <v>222</v>
      </c>
      <c r="CR621" s="41">
        <v>697</v>
      </c>
      <c r="CS621" s="41">
        <v>-550</v>
      </c>
      <c r="CT621" s="41">
        <v>456</v>
      </c>
      <c r="CU621" s="41">
        <v>-759</v>
      </c>
      <c r="CV621" s="211">
        <v>718</v>
      </c>
      <c r="CW621" s="41">
        <v>-282.30223640977368</v>
      </c>
      <c r="CX621" s="41">
        <v>-913.21530731348878</v>
      </c>
      <c r="CY621" s="41">
        <v>-1171.5832437663548</v>
      </c>
      <c r="CZ621" s="41">
        <v>-593.74877593069527</v>
      </c>
      <c r="DA621" s="41">
        <v>-437.75740780391811</v>
      </c>
      <c r="DB621" s="41">
        <v>-440.05993459174061</v>
      </c>
      <c r="DC621" s="41">
        <v>-441.87919922199831</v>
      </c>
      <c r="DD621" s="41">
        <v>-113.79547788302742</v>
      </c>
      <c r="DE621" s="41">
        <v>0</v>
      </c>
      <c r="DF621" s="41">
        <v>0</v>
      </c>
    </row>
    <row r="622" spans="1:110" ht="12" outlineLevel="1">
      <c r="A622" s="1" t="s">
        <v>62</v>
      </c>
      <c r="B622" s="15" t="s">
        <v>429</v>
      </c>
      <c r="C622" s="41">
        <v>-66</v>
      </c>
      <c r="D622" s="41">
        <v>-188</v>
      </c>
      <c r="E622" s="41">
        <v>188</v>
      </c>
      <c r="F622" s="41">
        <v>0</v>
      </c>
      <c r="G622" s="41">
        <v>0</v>
      </c>
      <c r="H622" s="41">
        <v>181</v>
      </c>
      <c r="I622" s="41">
        <v>113</v>
      </c>
      <c r="J622" s="41">
        <v>-301</v>
      </c>
      <c r="K622" s="41">
        <v>-29</v>
      </c>
      <c r="L622" s="41">
        <v>-211</v>
      </c>
      <c r="M622" s="41">
        <v>-49</v>
      </c>
      <c r="N622" s="41">
        <v>115</v>
      </c>
      <c r="O622" s="41">
        <v>131</v>
      </c>
      <c r="P622" s="41">
        <v>-202</v>
      </c>
      <c r="Q622" s="41">
        <v>-121</v>
      </c>
      <c r="R622" s="41">
        <v>-104</v>
      </c>
      <c r="S622" s="41">
        <v>-133</v>
      </c>
      <c r="T622" s="41">
        <v>121</v>
      </c>
      <c r="U622" s="41">
        <v>65</v>
      </c>
      <c r="V622" s="41">
        <v>20</v>
      </c>
      <c r="W622" s="41">
        <v>162</v>
      </c>
      <c r="X622" s="41">
        <v>91</v>
      </c>
      <c r="Y622" s="41">
        <v>-99</v>
      </c>
      <c r="Z622" s="41">
        <v>-116</v>
      </c>
      <c r="AA622" s="41">
        <v>-21</v>
      </c>
      <c r="AB622" s="41">
        <v>38</v>
      </c>
      <c r="AC622" s="41">
        <v>180</v>
      </c>
      <c r="AD622" s="41">
        <v>391</v>
      </c>
      <c r="AE622" s="41">
        <v>3070</v>
      </c>
      <c r="AF622" s="41">
        <v>-154</v>
      </c>
      <c r="AG622" s="41">
        <v>75</v>
      </c>
      <c r="AH622" s="41">
        <v>-220</v>
      </c>
      <c r="AI622" s="41">
        <v>-11</v>
      </c>
      <c r="AJ622" s="41">
        <v>95</v>
      </c>
      <c r="AK622" s="41">
        <v>143</v>
      </c>
      <c r="AL622" s="41">
        <v>-40</v>
      </c>
      <c r="AM622" s="41">
        <v>509</v>
      </c>
      <c r="AN622" s="41">
        <v>33</v>
      </c>
      <c r="AO622" s="41">
        <v>326</v>
      </c>
      <c r="AP622" s="41">
        <v>-117</v>
      </c>
      <c r="AQ622" s="41">
        <v>-648</v>
      </c>
      <c r="AR622" s="41">
        <v>-1786</v>
      </c>
      <c r="AS622" s="41">
        <v>2319</v>
      </c>
      <c r="AT622" s="41">
        <v>727</v>
      </c>
      <c r="AU622" s="41">
        <v>-662</v>
      </c>
      <c r="AV622" s="211">
        <v>-153</v>
      </c>
      <c r="AW622" s="41">
        <v>0</v>
      </c>
      <c r="AX622" s="41">
        <v>0</v>
      </c>
      <c r="AY622" s="41">
        <v>0</v>
      </c>
      <c r="AZ622" s="41">
        <v>0</v>
      </c>
      <c r="BA622" s="41">
        <v>0</v>
      </c>
      <c r="BB622" s="41">
        <v>0</v>
      </c>
      <c r="BC622" s="41">
        <v>0</v>
      </c>
      <c r="BD622" s="41">
        <v>0</v>
      </c>
      <c r="BE622" s="41">
        <v>0</v>
      </c>
      <c r="BF622" s="41">
        <v>0</v>
      </c>
      <c r="BG622" s="41">
        <v>0</v>
      </c>
      <c r="BH622" s="41">
        <v>0</v>
      </c>
      <c r="BI622" s="41">
        <v>0</v>
      </c>
      <c r="BJ622" s="41">
        <v>0</v>
      </c>
      <c r="BK622" s="41">
        <v>0</v>
      </c>
      <c r="BL622" s="41">
        <v>0</v>
      </c>
      <c r="BM622" s="41">
        <v>0</v>
      </c>
      <c r="BN622" s="41">
        <v>0</v>
      </c>
      <c r="BO622" s="41">
        <v>0</v>
      </c>
      <c r="BP622" s="41"/>
      <c r="BQ622" s="41">
        <v>564.19999999999936</v>
      </c>
      <c r="BR622" s="41">
        <v>341.90000000000055</v>
      </c>
      <c r="BS622" s="41">
        <v>121.99999999999909</v>
      </c>
      <c r="BT622" s="41">
        <v>211</v>
      </c>
      <c r="BU622" s="41">
        <v>0</v>
      </c>
      <c r="BV622" s="41">
        <v>0</v>
      </c>
      <c r="BW622" s="41">
        <v>0</v>
      </c>
      <c r="BX622" s="41">
        <v>0</v>
      </c>
      <c r="BY622" s="41">
        <v>0</v>
      </c>
      <c r="BZ622" s="41">
        <v>0</v>
      </c>
      <c r="CA622" s="41">
        <v>0</v>
      </c>
      <c r="CB622" s="41">
        <v>0</v>
      </c>
      <c r="CC622" s="41">
        <v>294</v>
      </c>
      <c r="CD622" s="41">
        <v>-330</v>
      </c>
      <c r="CE622" s="41">
        <v>-260</v>
      </c>
      <c r="CF622" s="41">
        <v>246</v>
      </c>
      <c r="CG622" s="41">
        <v>-323</v>
      </c>
      <c r="CH622" s="41">
        <v>-237</v>
      </c>
      <c r="CI622" s="41">
        <v>186</v>
      </c>
      <c r="CJ622" s="41">
        <v>182</v>
      </c>
      <c r="CK622" s="41">
        <v>-8</v>
      </c>
      <c r="CL622" s="41">
        <v>-137</v>
      </c>
      <c r="CM622" s="41">
        <v>218</v>
      </c>
      <c r="CN622" s="41">
        <v>3461</v>
      </c>
      <c r="CO622" s="41">
        <v>-79</v>
      </c>
      <c r="CP622" s="41">
        <v>-231</v>
      </c>
      <c r="CQ622" s="41">
        <v>238</v>
      </c>
      <c r="CR622" s="41">
        <v>469</v>
      </c>
      <c r="CS622" s="41">
        <v>359</v>
      </c>
      <c r="CT622" s="41">
        <v>-765</v>
      </c>
      <c r="CU622" s="41">
        <v>533</v>
      </c>
      <c r="CV622" s="211">
        <v>65</v>
      </c>
      <c r="CW622" s="41">
        <v>-153</v>
      </c>
      <c r="CX622" s="41">
        <v>0</v>
      </c>
      <c r="CY622" s="41">
        <v>0</v>
      </c>
      <c r="CZ622" s="41">
        <v>0</v>
      </c>
      <c r="DA622" s="41">
        <v>0</v>
      </c>
      <c r="DB622" s="41">
        <v>0</v>
      </c>
      <c r="DC622" s="41">
        <v>0</v>
      </c>
      <c r="DD622" s="41">
        <v>0</v>
      </c>
      <c r="DE622" s="41">
        <v>0</v>
      </c>
      <c r="DF622" s="41">
        <v>0</v>
      </c>
    </row>
    <row r="623" spans="1:110" ht="12" outlineLevel="1">
      <c r="A623" s="1" t="s">
        <v>63</v>
      </c>
      <c r="B623" s="15" t="s">
        <v>280</v>
      </c>
      <c r="C623" s="41">
        <v>0</v>
      </c>
      <c r="D623" s="41">
        <v>0</v>
      </c>
      <c r="E623" s="41">
        <v>0</v>
      </c>
      <c r="F623" s="41">
        <v>0</v>
      </c>
      <c r="G623" s="41">
        <v>0</v>
      </c>
      <c r="H623" s="41">
        <v>0</v>
      </c>
      <c r="I623" s="41">
        <v>0</v>
      </c>
      <c r="J623" s="41">
        <v>2</v>
      </c>
      <c r="K623" s="41">
        <v>-9</v>
      </c>
      <c r="L623" s="41">
        <v>67</v>
      </c>
      <c r="M623" s="41">
        <v>0</v>
      </c>
      <c r="N623" s="41">
        <v>141</v>
      </c>
      <c r="O623" s="41">
        <v>30</v>
      </c>
      <c r="P623" s="41">
        <v>-16</v>
      </c>
      <c r="Q623" s="41">
        <v>-159</v>
      </c>
      <c r="R623" s="41">
        <v>-17</v>
      </c>
      <c r="S623" s="41">
        <v>-196</v>
      </c>
      <c r="T623" s="41">
        <v>-336</v>
      </c>
      <c r="U623" s="41">
        <v>-138</v>
      </c>
      <c r="V623" s="41">
        <v>22</v>
      </c>
      <c r="W623" s="41">
        <v>32</v>
      </c>
      <c r="X623" s="41">
        <v>-18</v>
      </c>
      <c r="Y623" s="41">
        <v>-195</v>
      </c>
      <c r="Z623" s="41">
        <v>-34</v>
      </c>
      <c r="AA623" s="41">
        <v>-46</v>
      </c>
      <c r="AB623" s="41">
        <v>-11</v>
      </c>
      <c r="AC623" s="41">
        <v>91</v>
      </c>
      <c r="AD623" s="41">
        <v>-172</v>
      </c>
      <c r="AE623" s="41">
        <v>181</v>
      </c>
      <c r="AF623" s="41">
        <v>41</v>
      </c>
      <c r="AG623" s="41">
        <v>-129</v>
      </c>
      <c r="AH623" s="41">
        <v>-154</v>
      </c>
      <c r="AI623" s="41">
        <v>52</v>
      </c>
      <c r="AJ623" s="41">
        <v>-503</v>
      </c>
      <c r="AK623" s="41">
        <v>83</v>
      </c>
      <c r="AL623" s="41">
        <v>-391</v>
      </c>
      <c r="AM623" s="41">
        <v>-126</v>
      </c>
      <c r="AN623" s="41">
        <v>132</v>
      </c>
      <c r="AO623" s="41">
        <v>-313</v>
      </c>
      <c r="AP623" s="41">
        <v>-47</v>
      </c>
      <c r="AQ623" s="41">
        <v>11</v>
      </c>
      <c r="AR623" s="41">
        <v>417</v>
      </c>
      <c r="AS623" s="41">
        <v>187</v>
      </c>
      <c r="AT623" s="41">
        <v>-274</v>
      </c>
      <c r="AU623" s="41">
        <v>-33</v>
      </c>
      <c r="AV623" s="211">
        <v>-145</v>
      </c>
      <c r="AW623" s="41">
        <v>0</v>
      </c>
      <c r="AX623" s="41">
        <v>0</v>
      </c>
      <c r="AY623" s="41">
        <v>0</v>
      </c>
      <c r="AZ623" s="41">
        <v>0</v>
      </c>
      <c r="BA623" s="41">
        <v>0</v>
      </c>
      <c r="BB623" s="41">
        <v>0</v>
      </c>
      <c r="BC623" s="41">
        <v>0</v>
      </c>
      <c r="BD623" s="41">
        <v>0</v>
      </c>
      <c r="BE623" s="41">
        <v>0</v>
      </c>
      <c r="BF623" s="41">
        <v>0</v>
      </c>
      <c r="BG623" s="41">
        <v>0</v>
      </c>
      <c r="BH623" s="41">
        <v>0</v>
      </c>
      <c r="BI623" s="41">
        <v>0</v>
      </c>
      <c r="BJ623" s="41">
        <v>0</v>
      </c>
      <c r="BK623" s="41">
        <v>0</v>
      </c>
      <c r="BL623" s="41">
        <v>0</v>
      </c>
      <c r="BM623" s="41">
        <v>0</v>
      </c>
      <c r="BN623" s="41">
        <v>0</v>
      </c>
      <c r="BO623" s="41">
        <v>0</v>
      </c>
      <c r="BP623" s="41"/>
      <c r="BQ623" s="41">
        <v>-0.90000000000000568</v>
      </c>
      <c r="BR623" s="41">
        <v>-213.2</v>
      </c>
      <c r="BS623" s="41">
        <v>19</v>
      </c>
      <c r="BT623" s="41">
        <v>19</v>
      </c>
      <c r="BU623" s="41">
        <v>0</v>
      </c>
      <c r="BV623" s="41">
        <v>-147</v>
      </c>
      <c r="BW623" s="41">
        <v>-69</v>
      </c>
      <c r="BX623" s="41">
        <v>0</v>
      </c>
      <c r="BY623" s="41">
        <v>44</v>
      </c>
      <c r="BZ623" s="41">
        <v>0</v>
      </c>
      <c r="CA623" s="41">
        <v>0</v>
      </c>
      <c r="CB623" s="41">
        <v>0</v>
      </c>
      <c r="CC623" s="41">
        <v>0</v>
      </c>
      <c r="CD623" s="41">
        <v>-7</v>
      </c>
      <c r="CE623" s="41">
        <v>67</v>
      </c>
      <c r="CF623" s="41">
        <v>171</v>
      </c>
      <c r="CG623" s="41">
        <v>-175</v>
      </c>
      <c r="CH623" s="41">
        <v>-213</v>
      </c>
      <c r="CI623" s="41">
        <v>-474</v>
      </c>
      <c r="CJ623" s="41">
        <v>54</v>
      </c>
      <c r="CK623" s="41">
        <v>-213</v>
      </c>
      <c r="CL623" s="41">
        <v>-80</v>
      </c>
      <c r="CM623" s="41">
        <v>80</v>
      </c>
      <c r="CN623" s="41">
        <v>9</v>
      </c>
      <c r="CO623" s="41">
        <v>-88</v>
      </c>
      <c r="CP623" s="41">
        <v>-102</v>
      </c>
      <c r="CQ623" s="41">
        <v>-420</v>
      </c>
      <c r="CR623" s="41">
        <v>-517</v>
      </c>
      <c r="CS623" s="41">
        <v>-181</v>
      </c>
      <c r="CT623" s="41">
        <v>-36</v>
      </c>
      <c r="CU623" s="41">
        <v>604</v>
      </c>
      <c r="CV623" s="211">
        <v>-307</v>
      </c>
      <c r="CW623" s="41">
        <v>-145</v>
      </c>
      <c r="CX623" s="41">
        <v>0</v>
      </c>
      <c r="CY623" s="41">
        <v>0</v>
      </c>
      <c r="CZ623" s="41">
        <v>0</v>
      </c>
      <c r="DA623" s="41">
        <v>0</v>
      </c>
      <c r="DB623" s="41">
        <v>0</v>
      </c>
      <c r="DC623" s="41">
        <v>0</v>
      </c>
      <c r="DD623" s="41">
        <v>0</v>
      </c>
      <c r="DE623" s="41">
        <v>0</v>
      </c>
      <c r="DF623" s="41">
        <v>0</v>
      </c>
    </row>
    <row r="624" spans="1:110" s="17" customFormat="1" ht="12" outlineLevel="1">
      <c r="A624" s="1" t="s">
        <v>20</v>
      </c>
      <c r="B624" s="17" t="s">
        <v>416</v>
      </c>
      <c r="C624" s="62">
        <v>845</v>
      </c>
      <c r="D624" s="62">
        <v>863</v>
      </c>
      <c r="E624" s="62">
        <v>1089.9999999999998</v>
      </c>
      <c r="F624" s="62">
        <v>1038.0000000000002</v>
      </c>
      <c r="G624" s="62">
        <v>852</v>
      </c>
      <c r="H624" s="62">
        <v>1175</v>
      </c>
      <c r="I624" s="62">
        <v>1985.0000000000007</v>
      </c>
      <c r="J624" s="62">
        <v>979.00000000000045</v>
      </c>
      <c r="K624" s="62">
        <v>1373.9999999999995</v>
      </c>
      <c r="L624" s="62">
        <v>1269.9999999999995</v>
      </c>
      <c r="M624" s="62">
        <v>1894</v>
      </c>
      <c r="N624" s="62">
        <v>2085.9999999999995</v>
      </c>
      <c r="O624" s="62">
        <v>1654.9999999999998</v>
      </c>
      <c r="P624" s="62">
        <v>1755.0000000000007</v>
      </c>
      <c r="Q624" s="62">
        <v>1371.0000000000005</v>
      </c>
      <c r="R624" s="62">
        <v>1252</v>
      </c>
      <c r="S624" s="62">
        <v>739</v>
      </c>
      <c r="T624" s="62">
        <v>1499</v>
      </c>
      <c r="U624" s="62">
        <v>2318</v>
      </c>
      <c r="V624" s="62">
        <v>2202</v>
      </c>
      <c r="W624" s="62">
        <v>3813</v>
      </c>
      <c r="X624" s="62">
        <v>2550</v>
      </c>
      <c r="Y624" s="62">
        <v>2855</v>
      </c>
      <c r="Z624" s="62">
        <v>3031</v>
      </c>
      <c r="AA624" s="62">
        <v>4944</v>
      </c>
      <c r="AB624" s="62">
        <v>4109</v>
      </c>
      <c r="AC624" s="62">
        <v>3787</v>
      </c>
      <c r="AD624" s="62">
        <v>6075</v>
      </c>
      <c r="AE624" s="62">
        <v>6346</v>
      </c>
      <c r="AF624" s="62">
        <v>1654</v>
      </c>
      <c r="AG624" s="62">
        <v>3612</v>
      </c>
      <c r="AH624" s="62">
        <v>2292</v>
      </c>
      <c r="AI624" s="62">
        <v>3436</v>
      </c>
      <c r="AJ624" s="62">
        <v>3545</v>
      </c>
      <c r="AK624" s="62">
        <v>2982</v>
      </c>
      <c r="AL624" s="62">
        <v>3967</v>
      </c>
      <c r="AM624" s="62">
        <v>3152</v>
      </c>
      <c r="AN624" s="62">
        <v>2859</v>
      </c>
      <c r="AO624" s="62">
        <v>527</v>
      </c>
      <c r="AP624" s="62">
        <v>2168</v>
      </c>
      <c r="AQ624" s="62">
        <v>3685</v>
      </c>
      <c r="AR624" s="62">
        <v>969</v>
      </c>
      <c r="AS624" s="62">
        <v>5924</v>
      </c>
      <c r="AT624" s="62">
        <v>5074</v>
      </c>
      <c r="AU624" s="62">
        <v>2815</v>
      </c>
      <c r="AV624" s="220">
        <v>2876</v>
      </c>
      <c r="AW624" s="62">
        <v>3435.502610865708</v>
      </c>
      <c r="AX624" s="62">
        <v>3237.8882424466779</v>
      </c>
      <c r="AY624" s="62">
        <v>2620.1748688817979</v>
      </c>
      <c r="AZ624" s="62">
        <v>2832.0220760338311</v>
      </c>
      <c r="BA624" s="62">
        <v>2805.4990728860507</v>
      </c>
      <c r="BB624" s="62">
        <v>3153.634942855721</v>
      </c>
      <c r="BC624" s="62">
        <v>3184.0694225127745</v>
      </c>
      <c r="BD624" s="62">
        <v>3448.0893402817796</v>
      </c>
      <c r="BE624" s="62">
        <v>3343.253607337173</v>
      </c>
      <c r="BF624" s="62">
        <v>3632.6904538735798</v>
      </c>
      <c r="BG624" s="62">
        <v>3545.9630325050002</v>
      </c>
      <c r="BH624" s="62">
        <v>3350.0486196118845</v>
      </c>
      <c r="BI624" s="62">
        <v>2725.702992730312</v>
      </c>
      <c r="BJ624" s="62">
        <v>3089.1468394515346</v>
      </c>
      <c r="BK624" s="62">
        <v>3615.4726719421592</v>
      </c>
      <c r="BL624" s="62">
        <v>4360.9817773141249</v>
      </c>
      <c r="BM624" s="62">
        <v>4260.2184166617681</v>
      </c>
      <c r="BN624" s="62">
        <v>4542.2675708974803</v>
      </c>
      <c r="BO624" s="62">
        <v>4384.7461678029813</v>
      </c>
      <c r="BP624" s="62"/>
      <c r="BQ624" s="62">
        <v>640.19999999999936</v>
      </c>
      <c r="BR624" s="62">
        <v>621.10000000000059</v>
      </c>
      <c r="BS624" s="62">
        <v>634.99999999999909</v>
      </c>
      <c r="BT624" s="62">
        <v>1182</v>
      </c>
      <c r="BU624" s="62">
        <v>1021</v>
      </c>
      <c r="BV624" s="62">
        <v>1128</v>
      </c>
      <c r="BW624" s="62">
        <v>1248</v>
      </c>
      <c r="BX624" s="62">
        <v>1193</v>
      </c>
      <c r="BY624" s="62">
        <v>1827</v>
      </c>
      <c r="BZ624" s="62">
        <v>1965</v>
      </c>
      <c r="CA624" s="62">
        <v>1953</v>
      </c>
      <c r="CB624" s="62">
        <v>1890</v>
      </c>
      <c r="CC624" s="62">
        <v>3160</v>
      </c>
      <c r="CD624" s="62">
        <v>2352.9999999999991</v>
      </c>
      <c r="CE624" s="62">
        <v>3163.9999999999995</v>
      </c>
      <c r="CF624" s="62">
        <v>3740.9999999999995</v>
      </c>
      <c r="CG624" s="62">
        <v>3125.9999999999995</v>
      </c>
      <c r="CH624" s="62">
        <v>1991</v>
      </c>
      <c r="CI624" s="62">
        <v>3817</v>
      </c>
      <c r="CJ624" s="62">
        <v>6015</v>
      </c>
      <c r="CK624" s="62">
        <v>5405</v>
      </c>
      <c r="CL624" s="62">
        <v>7975</v>
      </c>
      <c r="CM624" s="62">
        <v>7896</v>
      </c>
      <c r="CN624" s="62">
        <v>12421</v>
      </c>
      <c r="CO624" s="62">
        <v>5266</v>
      </c>
      <c r="CP624" s="62">
        <v>5728</v>
      </c>
      <c r="CQ624" s="62">
        <v>6527</v>
      </c>
      <c r="CR624" s="62">
        <v>7119</v>
      </c>
      <c r="CS624" s="62">
        <v>3386</v>
      </c>
      <c r="CT624" s="62">
        <v>5853</v>
      </c>
      <c r="CU624" s="62">
        <v>6893</v>
      </c>
      <c r="CV624" s="220">
        <v>7889</v>
      </c>
      <c r="CW624" s="62">
        <v>6311.5026108657084</v>
      </c>
      <c r="CX624" s="62">
        <v>5858.063111328478</v>
      </c>
      <c r="CY624" s="62">
        <v>5637.5211489198846</v>
      </c>
      <c r="CZ624" s="62">
        <v>6337.7043653684968</v>
      </c>
      <c r="DA624" s="62">
        <v>6791.3429476189522</v>
      </c>
      <c r="DB624" s="62">
        <v>7178.6534863785837</v>
      </c>
      <c r="DC624" s="62">
        <v>6075.7516123421956</v>
      </c>
      <c r="DD624" s="62">
        <v>6704.6195113936928</v>
      </c>
      <c r="DE624" s="62">
        <v>8621.200193975892</v>
      </c>
      <c r="DF624" s="62">
        <v>8927.0137387004615</v>
      </c>
    </row>
    <row r="625" spans="1:110" ht="12" outlineLevel="1">
      <c r="A625" s="1" t="s">
        <v>21</v>
      </c>
      <c r="B625" s="15" t="s">
        <v>544</v>
      </c>
      <c r="C625" s="41" t="e">
        <v>#VALUE!</v>
      </c>
      <c r="D625" s="41">
        <v>185.55000000000018</v>
      </c>
      <c r="E625" s="41">
        <v>-298.59999999999945</v>
      </c>
      <c r="F625" s="41">
        <v>-360.65000000000055</v>
      </c>
      <c r="G625" s="41">
        <v>-178.05000000000018</v>
      </c>
      <c r="H625" s="41">
        <v>-1699.6499999999996</v>
      </c>
      <c r="I625" s="41">
        <v>-525.35000000000036</v>
      </c>
      <c r="J625" s="41">
        <v>-643</v>
      </c>
      <c r="K625" s="41">
        <v>-502.45000000000073</v>
      </c>
      <c r="L625" s="41">
        <v>-554</v>
      </c>
      <c r="M625" s="41">
        <v>-478.29999999999927</v>
      </c>
      <c r="N625" s="41">
        <v>-513.29999999999927</v>
      </c>
      <c r="O625" s="41">
        <v>-1226.6500000000015</v>
      </c>
      <c r="P625" s="41">
        <v>376.60000000000036</v>
      </c>
      <c r="Q625" s="41">
        <v>-397.39999999999964</v>
      </c>
      <c r="R625" s="41">
        <v>-4485.630000000001</v>
      </c>
      <c r="S625" s="41">
        <v>1872.8450000000012</v>
      </c>
      <c r="T625" s="41">
        <v>202.02000000000044</v>
      </c>
      <c r="U625" s="41">
        <v>-993.26499999999942</v>
      </c>
      <c r="V625" s="41">
        <v>-7756.5120000000024</v>
      </c>
      <c r="W625" s="41">
        <v>-1115.4771999999975</v>
      </c>
      <c r="X625" s="41">
        <v>-649.0428000000029</v>
      </c>
      <c r="Y625" s="41">
        <v>-517.51170000000275</v>
      </c>
      <c r="Z625" s="41">
        <v>601.25870000000214</v>
      </c>
      <c r="AA625" s="41">
        <v>-1376.3474999999999</v>
      </c>
      <c r="AB625" s="41">
        <v>-3575.3874999999935</v>
      </c>
      <c r="AC625" s="41">
        <v>-972.86000000000422</v>
      </c>
      <c r="AD625" s="41">
        <v>-2280.0599999999977</v>
      </c>
      <c r="AE625" s="41">
        <v>-1356.6600000000035</v>
      </c>
      <c r="AF625" s="41">
        <v>-2659.1699999999983</v>
      </c>
      <c r="AG625" s="41">
        <v>-2024.7000000000044</v>
      </c>
      <c r="AH625" s="41">
        <v>1154.2000000000044</v>
      </c>
      <c r="AI625" s="41">
        <v>-1362.864999999998</v>
      </c>
      <c r="AJ625" s="41">
        <v>-489.72000000000116</v>
      </c>
      <c r="AK625" s="41">
        <v>520.48500000000058</v>
      </c>
      <c r="AL625" s="41">
        <v>-574.45500000000175</v>
      </c>
      <c r="AM625" s="41">
        <v>-2170.3499999999985</v>
      </c>
      <c r="AN625" s="41">
        <v>-3365.3549999999959</v>
      </c>
      <c r="AO625" s="41">
        <v>2060.9399999999951</v>
      </c>
      <c r="AP625" s="41">
        <v>2227.8899999999994</v>
      </c>
      <c r="AQ625" s="41">
        <v>-831.59999999999854</v>
      </c>
      <c r="AR625" s="41">
        <v>-2291.5199999999968</v>
      </c>
      <c r="AS625" s="41">
        <v>-1764.8400000000038</v>
      </c>
      <c r="AT625" s="41">
        <v>-161.15000000000146</v>
      </c>
      <c r="AU625" s="41">
        <v>240.56999999999971</v>
      </c>
      <c r="AV625" s="211">
        <v>60.279999999998836</v>
      </c>
      <c r="AW625" s="41">
        <v>-1927.4943782232149</v>
      </c>
      <c r="AX625" s="41">
        <v>-831.08370243439276</v>
      </c>
      <c r="AY625" s="41">
        <v>-584.88943025357003</v>
      </c>
      <c r="AZ625" s="41">
        <v>-593.56320992065594</v>
      </c>
      <c r="BA625" s="41">
        <v>-697.89071368100122</v>
      </c>
      <c r="BB625" s="41">
        <v>-865.46972507391911</v>
      </c>
      <c r="BC625" s="41">
        <v>-1026.8233476193054</v>
      </c>
      <c r="BD625" s="41">
        <v>-1050.3808977006411</v>
      </c>
      <c r="BE625" s="41">
        <v>-1074.5011923517304</v>
      </c>
      <c r="BF625" s="41">
        <v>-1099.1997386139919</v>
      </c>
      <c r="BG625" s="41">
        <v>-1124.492476927895</v>
      </c>
      <c r="BH625" s="41">
        <v>-2771.0270039600655</v>
      </c>
      <c r="BI625" s="41">
        <v>-2857.2008518903895</v>
      </c>
      <c r="BJ625" s="41">
        <v>316.59941170975071</v>
      </c>
      <c r="BK625" s="41">
        <v>252.26751603319281</v>
      </c>
      <c r="BL625" s="41">
        <v>-1467.3814922605598</v>
      </c>
      <c r="BM625" s="41">
        <v>-1504.6517172748063</v>
      </c>
      <c r="BN625" s="41">
        <v>-665.1287295044458</v>
      </c>
      <c r="BO625" s="41">
        <v>-671.78001679948648</v>
      </c>
      <c r="BP625" s="41"/>
      <c r="BQ625" s="41">
        <v>-4036.0300000000007</v>
      </c>
      <c r="BR625" s="41">
        <v>193.03000000000065</v>
      </c>
      <c r="BS625" s="41">
        <v>41.649999999999636</v>
      </c>
      <c r="BT625" s="41">
        <v>-352.44999999999982</v>
      </c>
      <c r="BU625" s="41">
        <v>-522.05000000000018</v>
      </c>
      <c r="BV625" s="41">
        <v>-631.5</v>
      </c>
      <c r="BW625" s="41">
        <v>-497.44999999999982</v>
      </c>
      <c r="BX625" s="41">
        <v>-97.050000000000182</v>
      </c>
      <c r="BY625" s="41">
        <v>-582.55000000000018</v>
      </c>
      <c r="BZ625" s="41">
        <v>-472.05000000000018</v>
      </c>
      <c r="CA625" s="41">
        <v>-113.04999999999927</v>
      </c>
      <c r="CB625" s="41">
        <v>-538.70000000000073</v>
      </c>
      <c r="CC625" s="41">
        <v>-2225</v>
      </c>
      <c r="CD625" s="41">
        <v>-1145.4500000000007</v>
      </c>
      <c r="CE625" s="41">
        <v>-1032.2999999999993</v>
      </c>
      <c r="CF625" s="41">
        <v>-1739.9500000000007</v>
      </c>
      <c r="CG625" s="41">
        <v>-20.799999999999272</v>
      </c>
      <c r="CH625" s="41">
        <v>-2612.7849999999999</v>
      </c>
      <c r="CI625" s="41">
        <v>-791.24499999999898</v>
      </c>
      <c r="CJ625" s="41">
        <v>-8871.9892</v>
      </c>
      <c r="CK625" s="41">
        <v>-1166.5545000000056</v>
      </c>
      <c r="CL625" s="41">
        <v>-775.08879999999772</v>
      </c>
      <c r="CM625" s="41">
        <v>-4548.2474999999977</v>
      </c>
      <c r="CN625" s="41">
        <v>-3636.7200000000012</v>
      </c>
      <c r="CO625" s="41">
        <v>-4683.8700000000026</v>
      </c>
      <c r="CP625" s="41">
        <v>-208.6649999999936</v>
      </c>
      <c r="CQ625" s="41">
        <v>30.764999999999418</v>
      </c>
      <c r="CR625" s="41">
        <v>-2744.8050000000003</v>
      </c>
      <c r="CS625" s="41">
        <v>-1304.4150000000009</v>
      </c>
      <c r="CT625" s="41">
        <v>1396.2900000000009</v>
      </c>
      <c r="CU625" s="41">
        <v>-4056.3600000000006</v>
      </c>
      <c r="CV625" s="211">
        <v>79.419999999998254</v>
      </c>
      <c r="CW625" s="41">
        <v>-1867.214378223216</v>
      </c>
      <c r="CX625" s="41">
        <v>-1415.9731326879628</v>
      </c>
      <c r="CY625" s="41">
        <v>-1291.4539236016572</v>
      </c>
      <c r="CZ625" s="41">
        <v>-1892.2930726932245</v>
      </c>
      <c r="DA625" s="41">
        <v>-2124.8820900523715</v>
      </c>
      <c r="DB625" s="41">
        <v>-2223.692215541887</v>
      </c>
      <c r="DC625" s="41">
        <v>-5628.2278558504549</v>
      </c>
      <c r="DD625" s="41">
        <v>568.86692774294352</v>
      </c>
      <c r="DE625" s="41">
        <v>-2972.033209535366</v>
      </c>
      <c r="DF625" s="41">
        <v>-1336.9087463039323</v>
      </c>
    </row>
    <row r="626" spans="1:110" ht="12" outlineLevel="1">
      <c r="A626" s="1" t="s">
        <v>22</v>
      </c>
      <c r="B626" s="15" t="s">
        <v>545</v>
      </c>
      <c r="C626" s="41" t="e">
        <v>#VALUE!</v>
      </c>
      <c r="D626" s="41">
        <v>0</v>
      </c>
      <c r="E626" s="41">
        <v>-48</v>
      </c>
      <c r="F626" s="41">
        <v>-51</v>
      </c>
      <c r="G626" s="41">
        <v>-69</v>
      </c>
      <c r="H626" s="41">
        <v>-1</v>
      </c>
      <c r="I626" s="41">
        <v>-49</v>
      </c>
      <c r="J626" s="41">
        <v>-48</v>
      </c>
      <c r="K626" s="41">
        <v>53</v>
      </c>
      <c r="L626" s="41">
        <v>52</v>
      </c>
      <c r="M626" s="41">
        <v>-128</v>
      </c>
      <c r="N626" s="41">
        <v>-97</v>
      </c>
      <c r="O626" s="41">
        <v>-12</v>
      </c>
      <c r="P626" s="41">
        <v>-459</v>
      </c>
      <c r="Q626" s="41">
        <v>-316</v>
      </c>
      <c r="R626" s="41">
        <v>-960</v>
      </c>
      <c r="S626" s="41">
        <v>317</v>
      </c>
      <c r="T626" s="41">
        <v>158</v>
      </c>
      <c r="U626" s="41">
        <v>-556</v>
      </c>
      <c r="V626" s="41">
        <v>10</v>
      </c>
      <c r="W626" s="41">
        <v>-417</v>
      </c>
      <c r="X626" s="41">
        <v>228</v>
      </c>
      <c r="Y626" s="41">
        <v>-15</v>
      </c>
      <c r="Z626" s="41">
        <v>793</v>
      </c>
      <c r="AA626" s="41">
        <v>-27</v>
      </c>
      <c r="AB626" s="41">
        <v>-69</v>
      </c>
      <c r="AC626" s="41">
        <v>-62</v>
      </c>
      <c r="AD626" s="41">
        <v>-168</v>
      </c>
      <c r="AE626" s="41">
        <v>-199</v>
      </c>
      <c r="AF626" s="41">
        <v>-540</v>
      </c>
      <c r="AG626" s="41">
        <v>53</v>
      </c>
      <c r="AH626" s="41">
        <v>67</v>
      </c>
      <c r="AI626" s="41">
        <v>99</v>
      </c>
      <c r="AJ626" s="41">
        <v>102</v>
      </c>
      <c r="AK626" s="41">
        <v>1100</v>
      </c>
      <c r="AL626" s="41">
        <v>311</v>
      </c>
      <c r="AM626" s="41">
        <v>845</v>
      </c>
      <c r="AN626" s="41">
        <v>55</v>
      </c>
      <c r="AO626" s="41">
        <v>3</v>
      </c>
      <c r="AP626" s="41">
        <v>0</v>
      </c>
      <c r="AQ626" s="41">
        <v>-2</v>
      </c>
      <c r="AR626" s="41">
        <v>2</v>
      </c>
      <c r="AS626" s="41">
        <v>2</v>
      </c>
      <c r="AT626" s="41">
        <v>-2</v>
      </c>
      <c r="AU626" s="41">
        <v>-1</v>
      </c>
      <c r="AV626" s="211">
        <v>1</v>
      </c>
      <c r="AW626" s="41">
        <v>-4.49999999999946E-2</v>
      </c>
      <c r="AX626" s="41">
        <v>-4.5044999999994673E-2</v>
      </c>
      <c r="AY626" s="41">
        <v>-4.5090044999994916E-2</v>
      </c>
      <c r="AZ626" s="41">
        <v>-4.5135135044994001E-2</v>
      </c>
      <c r="BA626" s="41">
        <v>-4.5180270180040338E-2</v>
      </c>
      <c r="BB626" s="41">
        <v>-4.5225450450217863E-2</v>
      </c>
      <c r="BC626" s="41">
        <v>-4.5270675900667356E-2</v>
      </c>
      <c r="BD626" s="41">
        <v>-4.531594657657223E-2</v>
      </c>
      <c r="BE626" s="41">
        <v>-4.5361262523144319E-2</v>
      </c>
      <c r="BF626" s="41">
        <v>-4.5406623785673617E-2</v>
      </c>
      <c r="BG626" s="41">
        <v>-4.5452030409457223E-2</v>
      </c>
      <c r="BH626" s="41">
        <v>-4.549748243986329E-2</v>
      </c>
      <c r="BI626" s="41">
        <v>-4.5542979922302607E-2</v>
      </c>
      <c r="BJ626" s="41">
        <v>-4.558852290222859E-2</v>
      </c>
      <c r="BK626" s="41">
        <v>-4.5634111425130186E-2</v>
      </c>
      <c r="BL626" s="41">
        <v>-4.5679745536553185E-2</v>
      </c>
      <c r="BM626" s="41">
        <v>-4.5725425282093113E-2</v>
      </c>
      <c r="BN626" s="41">
        <v>-4.577115070737392E-2</v>
      </c>
      <c r="BO626" s="41">
        <v>-4.5816921858083504E-2</v>
      </c>
      <c r="BP626" s="41"/>
      <c r="BQ626" s="41">
        <v>0</v>
      </c>
      <c r="BR626" s="41">
        <v>0</v>
      </c>
      <c r="BS626" s="41">
        <v>0</v>
      </c>
      <c r="BT626" s="41">
        <v>0</v>
      </c>
      <c r="BU626" s="41">
        <v>0</v>
      </c>
      <c r="BV626" s="41">
        <v>0</v>
      </c>
      <c r="BW626" s="41">
        <v>0</v>
      </c>
      <c r="BX626" s="41">
        <v>0</v>
      </c>
      <c r="BY626" s="41">
        <v>0</v>
      </c>
      <c r="BZ626" s="41">
        <v>0</v>
      </c>
      <c r="CA626" s="41">
        <v>-48</v>
      </c>
      <c r="CB626" s="41">
        <v>-120</v>
      </c>
      <c r="CC626" s="41">
        <v>-50</v>
      </c>
      <c r="CD626" s="41">
        <v>5</v>
      </c>
      <c r="CE626" s="41">
        <v>-76</v>
      </c>
      <c r="CF626" s="41">
        <v>-109</v>
      </c>
      <c r="CG626" s="41">
        <v>-775</v>
      </c>
      <c r="CH626" s="41">
        <v>-643</v>
      </c>
      <c r="CI626" s="41">
        <v>-398</v>
      </c>
      <c r="CJ626" s="41">
        <v>-407</v>
      </c>
      <c r="CK626" s="41">
        <v>213</v>
      </c>
      <c r="CL626" s="41">
        <v>766</v>
      </c>
      <c r="CM626" s="41">
        <v>-131</v>
      </c>
      <c r="CN626" s="41">
        <v>-367</v>
      </c>
      <c r="CO626" s="41">
        <v>-487</v>
      </c>
      <c r="CP626" s="41">
        <v>166</v>
      </c>
      <c r="CQ626" s="41">
        <v>1202</v>
      </c>
      <c r="CR626" s="41">
        <v>1156</v>
      </c>
      <c r="CS626" s="41">
        <v>58</v>
      </c>
      <c r="CT626" s="41">
        <v>-2</v>
      </c>
      <c r="CU626" s="41">
        <v>4</v>
      </c>
      <c r="CV626" s="211">
        <v>-3</v>
      </c>
      <c r="CW626" s="41">
        <v>0.9550000000000054</v>
      </c>
      <c r="CX626" s="41">
        <v>-9.0135044999989589E-2</v>
      </c>
      <c r="CY626" s="41">
        <v>-9.031540522503434E-2</v>
      </c>
      <c r="CZ626" s="41">
        <v>-9.049612635088522E-2</v>
      </c>
      <c r="DA626" s="41">
        <v>-9.0677209099716549E-2</v>
      </c>
      <c r="DB626" s="41">
        <v>-9.0858654195130839E-2</v>
      </c>
      <c r="DC626" s="41">
        <v>-9.1040462362165897E-2</v>
      </c>
      <c r="DD626" s="41">
        <v>-9.1222634327358776E-2</v>
      </c>
      <c r="DE626" s="41">
        <v>-9.1405170818646297E-2</v>
      </c>
      <c r="DF626" s="41">
        <v>-9.1588072565457423E-2</v>
      </c>
    </row>
    <row r="627" spans="1:110" ht="12" outlineLevel="1">
      <c r="A627" s="1" t="s">
        <v>23</v>
      </c>
      <c r="B627" s="15" t="s">
        <v>784</v>
      </c>
      <c r="C627" s="41" t="e">
        <v>#VALUE!</v>
      </c>
      <c r="D627" s="41">
        <v>-66</v>
      </c>
      <c r="E627" s="41">
        <v>177</v>
      </c>
      <c r="F627" s="41">
        <v>7</v>
      </c>
      <c r="G627" s="41">
        <v>-893</v>
      </c>
      <c r="H627" s="41">
        <v>-2968</v>
      </c>
      <c r="I627" s="41">
        <v>-74</v>
      </c>
      <c r="J627" s="41">
        <v>148</v>
      </c>
      <c r="K627" s="41">
        <v>151</v>
      </c>
      <c r="L627" s="41">
        <v>-28</v>
      </c>
      <c r="M627" s="41">
        <v>-429</v>
      </c>
      <c r="N627" s="41">
        <v>-838</v>
      </c>
      <c r="O627" s="41">
        <v>-57</v>
      </c>
      <c r="P627" s="41">
        <v>-51</v>
      </c>
      <c r="Q627" s="41">
        <v>127</v>
      </c>
      <c r="R627" s="41">
        <v>2178</v>
      </c>
      <c r="S627" s="41">
        <v>-787</v>
      </c>
      <c r="T627" s="41">
        <v>-2012</v>
      </c>
      <c r="U627" s="41">
        <v>-372</v>
      </c>
      <c r="V627" s="41">
        <v>-136</v>
      </c>
      <c r="W627" s="41">
        <v>-496</v>
      </c>
      <c r="X627" s="41">
        <v>-119</v>
      </c>
      <c r="Y627" s="41">
        <v>-297</v>
      </c>
      <c r="Z627" s="41">
        <v>-972</v>
      </c>
      <c r="AA627" s="41">
        <v>-514</v>
      </c>
      <c r="AB627" s="41">
        <v>-429</v>
      </c>
      <c r="AC627" s="41">
        <v>179</v>
      </c>
      <c r="AD627" s="41">
        <v>-623</v>
      </c>
      <c r="AE627" s="41">
        <v>349</v>
      </c>
      <c r="AF627" s="41">
        <v>901</v>
      </c>
      <c r="AG627" s="41">
        <v>-114</v>
      </c>
      <c r="AH627" s="41">
        <v>347</v>
      </c>
      <c r="AI627" s="41">
        <v>28</v>
      </c>
      <c r="AJ627" s="41">
        <v>795</v>
      </c>
      <c r="AK627" s="41">
        <v>191</v>
      </c>
      <c r="AL627" s="41">
        <v>107</v>
      </c>
      <c r="AM627" s="41">
        <v>1069</v>
      </c>
      <c r="AN627" s="41">
        <v>687</v>
      </c>
      <c r="AO627" s="41">
        <v>584</v>
      </c>
      <c r="AP627" s="41">
        <v>356</v>
      </c>
      <c r="AQ627" s="41">
        <v>-101</v>
      </c>
      <c r="AR627" s="41">
        <v>56</v>
      </c>
      <c r="AS627" s="41">
        <v>191</v>
      </c>
      <c r="AT627" s="41">
        <v>-56</v>
      </c>
      <c r="AU627" s="41">
        <v>-28</v>
      </c>
      <c r="AV627" s="211">
        <v>54</v>
      </c>
      <c r="AW627" s="41">
        <v>-47.894075949367107</v>
      </c>
      <c r="AX627" s="41">
        <v>-4.9629121850671254</v>
      </c>
      <c r="AY627" s="41">
        <v>-13.88502357975085</v>
      </c>
      <c r="AZ627" s="41">
        <v>-13.400670826328223</v>
      </c>
      <c r="BA627" s="41">
        <v>-11.600323780948202</v>
      </c>
      <c r="BB627" s="41">
        <v>-12.352582772284677</v>
      </c>
      <c r="BC627" s="41">
        <v>-11.326432861662397</v>
      </c>
      <c r="BD627" s="41">
        <v>-12.021662494486463</v>
      </c>
      <c r="BE627" s="41">
        <v>-12.111175270409149</v>
      </c>
      <c r="BF627" s="41">
        <v>-12.977417111961586</v>
      </c>
      <c r="BG627" s="41">
        <v>-12.180483773830019</v>
      </c>
      <c r="BH627" s="41">
        <v>-15.10737431754751</v>
      </c>
      <c r="BI627" s="41">
        <v>-12.624542883027971</v>
      </c>
      <c r="BJ627" s="41">
        <v>-16.155387149023227</v>
      </c>
      <c r="BK627" s="41">
        <v>-17.077122454125856</v>
      </c>
      <c r="BL627" s="41">
        <v>-19.590925518370568</v>
      </c>
      <c r="BM627" s="41">
        <v>-21.979929562349753</v>
      </c>
      <c r="BN627" s="41">
        <v>-22.857485859760345</v>
      </c>
      <c r="BO627" s="41">
        <v>-22.527753194837715</v>
      </c>
      <c r="BP627" s="41"/>
      <c r="BQ627" s="41">
        <v>0</v>
      </c>
      <c r="BR627" s="41">
        <v>0</v>
      </c>
      <c r="BS627" s="41">
        <v>-4</v>
      </c>
      <c r="BT627" s="41">
        <v>-4</v>
      </c>
      <c r="BU627" s="41">
        <v>-9</v>
      </c>
      <c r="BV627" s="41">
        <v>-4</v>
      </c>
      <c r="BW627" s="41">
        <v>3</v>
      </c>
      <c r="BX627" s="41">
        <v>-64</v>
      </c>
      <c r="BY627" s="41">
        <v>-48</v>
      </c>
      <c r="BZ627" s="41">
        <v>-14</v>
      </c>
      <c r="CA627" s="41">
        <v>111</v>
      </c>
      <c r="CB627" s="41">
        <v>-886</v>
      </c>
      <c r="CC627" s="41">
        <v>-3042</v>
      </c>
      <c r="CD627" s="41">
        <v>299</v>
      </c>
      <c r="CE627" s="41">
        <v>-457</v>
      </c>
      <c r="CF627" s="41">
        <v>-895</v>
      </c>
      <c r="CG627" s="41">
        <v>76</v>
      </c>
      <c r="CH627" s="41">
        <v>1391</v>
      </c>
      <c r="CI627" s="41">
        <v>-2384</v>
      </c>
      <c r="CJ627" s="41">
        <v>-632</v>
      </c>
      <c r="CK627" s="41">
        <v>-416</v>
      </c>
      <c r="CL627" s="41">
        <v>-1486</v>
      </c>
      <c r="CM627" s="41">
        <v>-250</v>
      </c>
      <c r="CN627" s="41">
        <v>-274</v>
      </c>
      <c r="CO627" s="41">
        <v>787</v>
      </c>
      <c r="CP627" s="41">
        <v>375</v>
      </c>
      <c r="CQ627" s="41">
        <v>986</v>
      </c>
      <c r="CR627" s="41">
        <v>1176</v>
      </c>
      <c r="CS627" s="41">
        <v>1271</v>
      </c>
      <c r="CT627" s="41">
        <v>255</v>
      </c>
      <c r="CU627" s="41">
        <v>247</v>
      </c>
      <c r="CV627" s="211">
        <v>-84</v>
      </c>
      <c r="CW627" s="41">
        <v>6.1059240506328933</v>
      </c>
      <c r="CX627" s="41">
        <v>-18.847935764817976</v>
      </c>
      <c r="CY627" s="41">
        <v>-25.000994607276425</v>
      </c>
      <c r="CZ627" s="41">
        <v>-23.679015633947074</v>
      </c>
      <c r="DA627" s="41">
        <v>-24.132837764895612</v>
      </c>
      <c r="DB627" s="41">
        <v>-25.157900885791605</v>
      </c>
      <c r="DC627" s="41">
        <v>-27.731917200575481</v>
      </c>
      <c r="DD627" s="41">
        <v>-33.232509603149083</v>
      </c>
      <c r="DE627" s="41">
        <v>-41.570855080720321</v>
      </c>
      <c r="DF627" s="41">
        <v>-45.38523905459806</v>
      </c>
    </row>
    <row r="628" spans="1:110" ht="12" outlineLevel="1">
      <c r="A628" s="1" t="s">
        <v>24</v>
      </c>
      <c r="B628" s="15" t="s">
        <v>785</v>
      </c>
      <c r="C628" s="41" t="e">
        <v>#VALUE!</v>
      </c>
      <c r="D628" s="41">
        <v>-436</v>
      </c>
      <c r="E628" s="41">
        <v>-5</v>
      </c>
      <c r="F628" s="41">
        <v>-9</v>
      </c>
      <c r="G628" s="41">
        <v>130</v>
      </c>
      <c r="H628" s="41">
        <v>-84</v>
      </c>
      <c r="I628" s="41">
        <v>-580</v>
      </c>
      <c r="J628" s="41">
        <v>203</v>
      </c>
      <c r="K628" s="41">
        <v>-174</v>
      </c>
      <c r="L628" s="41">
        <v>246</v>
      </c>
      <c r="M628" s="41">
        <v>322</v>
      </c>
      <c r="N628" s="41">
        <v>379</v>
      </c>
      <c r="O628" s="41">
        <v>-53</v>
      </c>
      <c r="P628" s="41">
        <v>-1546</v>
      </c>
      <c r="Q628" s="41">
        <v>123</v>
      </c>
      <c r="R628" s="41">
        <v>-1500</v>
      </c>
      <c r="S628" s="41">
        <v>852</v>
      </c>
      <c r="T628" s="41">
        <v>52</v>
      </c>
      <c r="U628" s="41">
        <v>-1</v>
      </c>
      <c r="V628" s="41">
        <v>7</v>
      </c>
      <c r="W628" s="41">
        <v>-239</v>
      </c>
      <c r="X628" s="41">
        <v>-235</v>
      </c>
      <c r="Y628" s="41">
        <v>-193</v>
      </c>
      <c r="Z628" s="41">
        <v>-3606</v>
      </c>
      <c r="AA628" s="41">
        <v>-84</v>
      </c>
      <c r="AB628" s="41">
        <v>197</v>
      </c>
      <c r="AC628" s="41">
        <v>-411</v>
      </c>
      <c r="AD628" s="41">
        <v>-867</v>
      </c>
      <c r="AE628" s="41">
        <v>-385</v>
      </c>
      <c r="AF628" s="41">
        <v>14</v>
      </c>
      <c r="AG628" s="41">
        <v>-236</v>
      </c>
      <c r="AH628" s="41">
        <v>273</v>
      </c>
      <c r="AI628" s="41">
        <v>-187</v>
      </c>
      <c r="AJ628" s="41">
        <v>1392</v>
      </c>
      <c r="AK628" s="41">
        <v>-176</v>
      </c>
      <c r="AL628" s="41">
        <v>-159</v>
      </c>
      <c r="AM628" s="41">
        <v>-1049</v>
      </c>
      <c r="AN628" s="41">
        <v>-640</v>
      </c>
      <c r="AO628" s="41">
        <v>-240</v>
      </c>
      <c r="AP628" s="41">
        <v>843</v>
      </c>
      <c r="AQ628" s="41">
        <v>-423</v>
      </c>
      <c r="AR628" s="41">
        <v>1012</v>
      </c>
      <c r="AS628" s="41">
        <v>1008</v>
      </c>
      <c r="AT628" s="41">
        <v>-1581</v>
      </c>
      <c r="AU628" s="41">
        <v>2</v>
      </c>
      <c r="AV628" s="211">
        <v>520</v>
      </c>
      <c r="AW628" s="41">
        <v>-3311.4237218503476</v>
      </c>
      <c r="AX628" s="41">
        <v>991.79321421923851</v>
      </c>
      <c r="AY628" s="41">
        <v>-11.250021944684704</v>
      </c>
      <c r="AZ628" s="41">
        <v>-8.415014378972046</v>
      </c>
      <c r="BA628" s="41">
        <v>-8.4274226514935435</v>
      </c>
      <c r="BB628" s="41">
        <v>-8.9121075708826538</v>
      </c>
      <c r="BC628" s="41">
        <v>-9.3830469563672523</v>
      </c>
      <c r="BD628" s="41">
        <v>-9.5714163126094718</v>
      </c>
      <c r="BE628" s="41">
        <v>-9.7636322502512485</v>
      </c>
      <c r="BF628" s="41">
        <v>-9.9597784481184135</v>
      </c>
      <c r="BG628" s="41">
        <v>-10.159940441609251</v>
      </c>
      <c r="BH628" s="41">
        <v>-10.364205670346564</v>
      </c>
      <c r="BI628" s="41">
        <v>-10.57266352698025</v>
      </c>
      <c r="BJ628" s="41">
        <v>-11.001144539358393</v>
      </c>
      <c r="BK628" s="41">
        <v>-11.444963491516319</v>
      </c>
      <c r="BL628" s="41">
        <v>-11.68164735724713</v>
      </c>
      <c r="BM628" s="41">
        <v>-11.923493394076104</v>
      </c>
      <c r="BN628" s="41">
        <v>-6.0846100656553972</v>
      </c>
      <c r="BO628" s="41">
        <v>-6.1454561663131244</v>
      </c>
      <c r="BP628" s="41"/>
      <c r="BQ628" s="41">
        <v>-63.500000000000092</v>
      </c>
      <c r="BR628" s="41">
        <v>-204.80000000000064</v>
      </c>
      <c r="BS628" s="41">
        <v>377.20000000000073</v>
      </c>
      <c r="BT628" s="41">
        <v>-290</v>
      </c>
      <c r="BU628" s="41">
        <v>189</v>
      </c>
      <c r="BV628" s="41">
        <v>50</v>
      </c>
      <c r="BW628" s="41">
        <v>587</v>
      </c>
      <c r="BX628" s="41">
        <v>516</v>
      </c>
      <c r="BY628" s="41">
        <v>215</v>
      </c>
      <c r="BZ628" s="41">
        <v>153</v>
      </c>
      <c r="CA628" s="41">
        <v>-441</v>
      </c>
      <c r="CB628" s="41">
        <v>121</v>
      </c>
      <c r="CC628" s="41">
        <v>-664</v>
      </c>
      <c r="CD628" s="41">
        <v>29</v>
      </c>
      <c r="CE628" s="41">
        <v>568</v>
      </c>
      <c r="CF628" s="41">
        <v>326</v>
      </c>
      <c r="CG628" s="41">
        <v>-1423</v>
      </c>
      <c r="CH628" s="41">
        <v>-648</v>
      </c>
      <c r="CI628" s="41">
        <v>51</v>
      </c>
      <c r="CJ628" s="41">
        <v>-232</v>
      </c>
      <c r="CK628" s="41">
        <v>-428</v>
      </c>
      <c r="CL628" s="41">
        <v>-3690</v>
      </c>
      <c r="CM628" s="41">
        <v>-214</v>
      </c>
      <c r="CN628" s="41">
        <v>-1252</v>
      </c>
      <c r="CO628" s="41">
        <v>-222</v>
      </c>
      <c r="CP628" s="41">
        <v>86</v>
      </c>
      <c r="CQ628" s="41">
        <v>1216</v>
      </c>
      <c r="CR628" s="41">
        <v>-1208</v>
      </c>
      <c r="CS628" s="41">
        <v>-880</v>
      </c>
      <c r="CT628" s="41">
        <v>420</v>
      </c>
      <c r="CU628" s="41">
        <v>2020</v>
      </c>
      <c r="CV628" s="211">
        <v>-1579</v>
      </c>
      <c r="CW628" s="41">
        <v>-2791.4237218503476</v>
      </c>
      <c r="CX628" s="41">
        <v>980.5431922745538</v>
      </c>
      <c r="CY628" s="41">
        <v>-16.842437030465589</v>
      </c>
      <c r="CZ628" s="41">
        <v>-18.295154527249906</v>
      </c>
      <c r="DA628" s="41">
        <v>-19.33504856286072</v>
      </c>
      <c r="DB628" s="41">
        <v>-20.119718889727665</v>
      </c>
      <c r="DC628" s="41">
        <v>-20.936869197326814</v>
      </c>
      <c r="DD628" s="41">
        <v>-22.446108030874711</v>
      </c>
      <c r="DE628" s="41">
        <v>-23.605140751323233</v>
      </c>
      <c r="DF628" s="41">
        <v>-12.230066231968522</v>
      </c>
    </row>
    <row r="629" spans="1:110" s="17" customFormat="1" ht="12" outlineLevel="1">
      <c r="A629" s="1" t="s">
        <v>896</v>
      </c>
      <c r="B629" s="17" t="s">
        <v>786</v>
      </c>
      <c r="C629" s="62" t="e">
        <v>#VALUE!</v>
      </c>
      <c r="D629" s="62">
        <v>546.55000000000018</v>
      </c>
      <c r="E629" s="62">
        <v>915.40000000000032</v>
      </c>
      <c r="F629" s="62">
        <v>624.34999999999968</v>
      </c>
      <c r="G629" s="62">
        <v>-158.05000000000018</v>
      </c>
      <c r="H629" s="62">
        <v>-3577.6499999999996</v>
      </c>
      <c r="I629" s="62">
        <v>756.65000000000032</v>
      </c>
      <c r="J629" s="62">
        <v>639.00000000000045</v>
      </c>
      <c r="K629" s="62">
        <v>901.54999999999882</v>
      </c>
      <c r="L629" s="62">
        <v>985.99999999999955</v>
      </c>
      <c r="M629" s="62">
        <v>1180.7000000000007</v>
      </c>
      <c r="N629" s="62">
        <v>1016.7000000000003</v>
      </c>
      <c r="O629" s="62">
        <v>306.34999999999832</v>
      </c>
      <c r="P629" s="62">
        <v>75.600000000001273</v>
      </c>
      <c r="Q629" s="62">
        <v>907.60000000000082</v>
      </c>
      <c r="R629" s="62">
        <v>-3515.630000000001</v>
      </c>
      <c r="S629" s="62">
        <v>2993.8450000000012</v>
      </c>
      <c r="T629" s="62">
        <v>-100.97999999999956</v>
      </c>
      <c r="U629" s="62">
        <v>395.73500000000058</v>
      </c>
      <c r="V629" s="62">
        <v>-5673.5120000000024</v>
      </c>
      <c r="W629" s="62">
        <v>1545.5228000000025</v>
      </c>
      <c r="X629" s="62">
        <v>1774.9571999999971</v>
      </c>
      <c r="Y629" s="62">
        <v>1832.4882999999973</v>
      </c>
      <c r="Z629" s="62">
        <v>-152.74129999999786</v>
      </c>
      <c r="AA629" s="62">
        <v>2942.6525000000001</v>
      </c>
      <c r="AB629" s="62">
        <v>232.61250000000655</v>
      </c>
      <c r="AC629" s="62">
        <v>2520.1399999999958</v>
      </c>
      <c r="AD629" s="62">
        <v>2136.9400000000023</v>
      </c>
      <c r="AE629" s="62">
        <v>4754.3399999999965</v>
      </c>
      <c r="AF629" s="62">
        <v>-630.16999999999825</v>
      </c>
      <c r="AG629" s="62">
        <v>1290.2999999999956</v>
      </c>
      <c r="AH629" s="62">
        <v>4133.2000000000044</v>
      </c>
      <c r="AI629" s="62">
        <v>2013.135000000002</v>
      </c>
      <c r="AJ629" s="62">
        <v>5344.2799999999988</v>
      </c>
      <c r="AK629" s="62">
        <v>4617.4850000000006</v>
      </c>
      <c r="AL629" s="62">
        <v>3651.5449999999983</v>
      </c>
      <c r="AM629" s="62">
        <v>1846.6500000000015</v>
      </c>
      <c r="AN629" s="62">
        <v>-404.35499999999593</v>
      </c>
      <c r="AO629" s="62">
        <v>2934.9399999999951</v>
      </c>
      <c r="AP629" s="62">
        <v>5594.8899999999994</v>
      </c>
      <c r="AQ629" s="62">
        <v>2327.4000000000015</v>
      </c>
      <c r="AR629" s="62">
        <v>-252.5199999999968</v>
      </c>
      <c r="AS629" s="62">
        <v>5360.1599999999962</v>
      </c>
      <c r="AT629" s="62">
        <v>3273.8499999999985</v>
      </c>
      <c r="AU629" s="62">
        <v>3028.5699999999997</v>
      </c>
      <c r="AV629" s="220">
        <v>3511.2799999999988</v>
      </c>
      <c r="AW629" s="62">
        <v>-1851.3545651572217</v>
      </c>
      <c r="AX629" s="62">
        <v>3393.5897970464566</v>
      </c>
      <c r="AY629" s="62">
        <v>2010.1053030587923</v>
      </c>
      <c r="AZ629" s="62">
        <v>2216.5980457728301</v>
      </c>
      <c r="BA629" s="62">
        <v>2087.5354325024277</v>
      </c>
      <c r="BB629" s="62">
        <v>2266.8553019881842</v>
      </c>
      <c r="BC629" s="62">
        <v>2136.4913243995388</v>
      </c>
      <c r="BD629" s="62">
        <v>2376.0700478274662</v>
      </c>
      <c r="BE629" s="62">
        <v>2246.8322462022588</v>
      </c>
      <c r="BF629" s="62">
        <v>2510.5081130757221</v>
      </c>
      <c r="BG629" s="62">
        <v>2399.0846793312567</v>
      </c>
      <c r="BH629" s="62">
        <v>553.50453818148515</v>
      </c>
      <c r="BI629" s="62">
        <v>-154.74060855000801</v>
      </c>
      <c r="BJ629" s="62">
        <v>3378.5441309500015</v>
      </c>
      <c r="BK629" s="62">
        <v>3839.1724679182848</v>
      </c>
      <c r="BL629" s="62">
        <v>2862.2820324324107</v>
      </c>
      <c r="BM629" s="62">
        <v>2721.617551005254</v>
      </c>
      <c r="BN629" s="62">
        <v>3848.1509743169113</v>
      </c>
      <c r="BO629" s="62">
        <v>3684.2471247204858</v>
      </c>
      <c r="BP629" s="62"/>
      <c r="BQ629" s="62">
        <v>-3459.3300000000013</v>
      </c>
      <c r="BR629" s="62">
        <v>609.33000000000061</v>
      </c>
      <c r="BS629" s="62">
        <v>1049.8499999999995</v>
      </c>
      <c r="BT629" s="62">
        <v>535.55000000000018</v>
      </c>
      <c r="BU629" s="62">
        <v>678.94999999999982</v>
      </c>
      <c r="BV629" s="62">
        <v>542.5</v>
      </c>
      <c r="BW629" s="62">
        <v>1340.5500000000002</v>
      </c>
      <c r="BX629" s="62">
        <v>1547.9499999999998</v>
      </c>
      <c r="BY629" s="62">
        <v>1411.4499999999998</v>
      </c>
      <c r="BZ629" s="62">
        <v>1631.9499999999998</v>
      </c>
      <c r="CA629" s="62">
        <v>1461.9500000000007</v>
      </c>
      <c r="CB629" s="62">
        <v>466.29999999999927</v>
      </c>
      <c r="CC629" s="62">
        <v>-2821</v>
      </c>
      <c r="CD629" s="62">
        <v>1540.5499999999984</v>
      </c>
      <c r="CE629" s="62">
        <v>2166.7000000000003</v>
      </c>
      <c r="CF629" s="62">
        <v>1323.0499999999988</v>
      </c>
      <c r="CG629" s="62">
        <v>983.20000000000027</v>
      </c>
      <c r="CH629" s="62">
        <v>-521.78499999999985</v>
      </c>
      <c r="CI629" s="62">
        <v>294.75500000000102</v>
      </c>
      <c r="CJ629" s="62">
        <v>-4127.9892</v>
      </c>
      <c r="CK629" s="62">
        <v>3607.4454999999944</v>
      </c>
      <c r="CL629" s="62">
        <v>2789.9112000000023</v>
      </c>
      <c r="CM629" s="62">
        <v>2752.7525000000023</v>
      </c>
      <c r="CN629" s="62">
        <v>6891.2799999999988</v>
      </c>
      <c r="CO629" s="62">
        <v>660.12999999999738</v>
      </c>
      <c r="CP629" s="62">
        <v>6146.3350000000064</v>
      </c>
      <c r="CQ629" s="62">
        <v>9961.7649999999994</v>
      </c>
      <c r="CR629" s="62">
        <v>5498.1949999999997</v>
      </c>
      <c r="CS629" s="62">
        <v>2530.5849999999991</v>
      </c>
      <c r="CT629" s="62">
        <v>7922.2900000000009</v>
      </c>
      <c r="CU629" s="62">
        <v>5107.6399999999994</v>
      </c>
      <c r="CV629" s="220">
        <v>6302.4199999999983</v>
      </c>
      <c r="CW629" s="62">
        <v>1659.9254348427776</v>
      </c>
      <c r="CX629" s="62">
        <v>5403.6951001052512</v>
      </c>
      <c r="CY629" s="62">
        <v>4304.1334782752601</v>
      </c>
      <c r="CZ629" s="62">
        <v>4403.3466263877253</v>
      </c>
      <c r="DA629" s="62">
        <v>4622.9022940297245</v>
      </c>
      <c r="DB629" s="62">
        <v>4909.592792406982</v>
      </c>
      <c r="DC629" s="62">
        <v>398.76392963147617</v>
      </c>
      <c r="DD629" s="62">
        <v>7217.7165988682855</v>
      </c>
      <c r="DE629" s="62">
        <v>5583.8995834376638</v>
      </c>
      <c r="DF629" s="62">
        <v>7532.3980990373975</v>
      </c>
    </row>
    <row r="630" spans="1:110" ht="12" outlineLevel="1">
      <c r="A630" s="1" t="s">
        <v>25</v>
      </c>
      <c r="B630" s="15" t="s">
        <v>787</v>
      </c>
      <c r="C630" s="41" t="e">
        <v>#VALUE!</v>
      </c>
      <c r="D630" s="41">
        <v>-66.550000000000182</v>
      </c>
      <c r="E630" s="41">
        <v>-349.40000000000055</v>
      </c>
      <c r="F630" s="41">
        <v>-90.349999999999454</v>
      </c>
      <c r="G630" s="41">
        <v>806.05000000000018</v>
      </c>
      <c r="H630" s="41">
        <v>723.64999999999964</v>
      </c>
      <c r="I630" s="41">
        <v>69.350000000000364</v>
      </c>
      <c r="J630" s="41">
        <v>257</v>
      </c>
      <c r="K630" s="41">
        <v>63.450000000000728</v>
      </c>
      <c r="L630" s="41">
        <v>6</v>
      </c>
      <c r="M630" s="41">
        <v>-132.70000000000073</v>
      </c>
      <c r="N630" s="41">
        <v>-34.700000000000728</v>
      </c>
      <c r="O630" s="41">
        <v>513.65000000000146</v>
      </c>
      <c r="P630" s="41">
        <v>-355.60000000000036</v>
      </c>
      <c r="Q630" s="41">
        <v>-1634.6000000000004</v>
      </c>
      <c r="R630" s="41">
        <v>2924.630000000001</v>
      </c>
      <c r="S630" s="41">
        <v>-6620.8450000000012</v>
      </c>
      <c r="T630" s="41">
        <v>1246.9799999999996</v>
      </c>
      <c r="U630" s="41">
        <v>882.26499999999942</v>
      </c>
      <c r="V630" s="41">
        <v>6592.5120000000024</v>
      </c>
      <c r="W630" s="41">
        <v>-326.52280000000246</v>
      </c>
      <c r="X630" s="41">
        <v>-901.9571999999971</v>
      </c>
      <c r="Y630" s="41">
        <v>-591.48829999999725</v>
      </c>
      <c r="Z630" s="41">
        <v>-452.25870000000214</v>
      </c>
      <c r="AA630" s="41">
        <v>-1027.6525000000001</v>
      </c>
      <c r="AB630" s="41">
        <v>2334.3874999999935</v>
      </c>
      <c r="AC630" s="41">
        <v>-783.13999999999578</v>
      </c>
      <c r="AD630" s="41">
        <v>320.05999999999767</v>
      </c>
      <c r="AE630" s="41">
        <v>-3433.3399999999965</v>
      </c>
      <c r="AF630" s="41">
        <v>3083.1699999999983</v>
      </c>
      <c r="AG630" s="41">
        <v>859.70000000000437</v>
      </c>
      <c r="AH630" s="41">
        <v>-2104.2000000000044</v>
      </c>
      <c r="AI630" s="41">
        <v>243.86499999999796</v>
      </c>
      <c r="AJ630" s="41">
        <v>-1881.2799999999988</v>
      </c>
      <c r="AK630" s="41">
        <v>-1526.4850000000006</v>
      </c>
      <c r="AL630" s="41">
        <v>-240.54499999999825</v>
      </c>
      <c r="AM630" s="41">
        <v>343.34999999999854</v>
      </c>
      <c r="AN630" s="41">
        <v>2682.3549999999959</v>
      </c>
      <c r="AO630" s="41">
        <v>-2330.9399999999951</v>
      </c>
      <c r="AP630" s="41">
        <v>-4705.8899999999994</v>
      </c>
      <c r="AQ630" s="41">
        <v>258.59999999999854</v>
      </c>
      <c r="AR630" s="41">
        <v>3139.5199999999968</v>
      </c>
      <c r="AS630" s="41">
        <v>-3596.1599999999962</v>
      </c>
      <c r="AT630" s="41">
        <v>-1347.8499999999985</v>
      </c>
      <c r="AU630" s="41">
        <v>-653.56999999999971</v>
      </c>
      <c r="AV630" s="211">
        <v>-678.27999999999884</v>
      </c>
      <c r="AW630" s="41">
        <v>5347.5884278972371</v>
      </c>
      <c r="AX630" s="41">
        <v>75.130072271102108</v>
      </c>
      <c r="AY630" s="41">
        <v>432.46407699808333</v>
      </c>
      <c r="AZ630" s="41">
        <v>225.97133428405505</v>
      </c>
      <c r="BA630" s="41">
        <v>355.03394755444606</v>
      </c>
      <c r="BB630" s="41">
        <v>175.71407806872594</v>
      </c>
      <c r="BC630" s="41">
        <v>306.07805565732269</v>
      </c>
      <c r="BD630" s="41">
        <v>66.499332229417632</v>
      </c>
      <c r="BE630" s="41">
        <v>225.16568060230929</v>
      </c>
      <c r="BF630" s="41">
        <v>-38.510186271167186</v>
      </c>
      <c r="BG630" s="41">
        <v>220.05598121166258</v>
      </c>
      <c r="BH630" s="41">
        <v>2065.636122361444</v>
      </c>
      <c r="BI630" s="41">
        <v>154.74060854999698</v>
      </c>
      <c r="BJ630" s="41">
        <v>-3378.5441309499947</v>
      </c>
      <c r="BK630" s="41">
        <v>-1663.2883066066934</v>
      </c>
      <c r="BL630" s="41">
        <v>-505.07419101151027</v>
      </c>
      <c r="BM630" s="41">
        <v>300.44378414974926</v>
      </c>
      <c r="BN630" s="41">
        <v>-826.08963916191715</v>
      </c>
      <c r="BO630" s="41">
        <v>-571.52394951085444</v>
      </c>
      <c r="BP630" s="41"/>
      <c r="BQ630" s="41">
        <v>165.13000000000147</v>
      </c>
      <c r="BR630" s="41">
        <v>-534.93000000000166</v>
      </c>
      <c r="BS630" s="41">
        <v>-781.84999999999945</v>
      </c>
      <c r="BT630" s="41">
        <v>-197.55000000000018</v>
      </c>
      <c r="BU630" s="41">
        <v>-247.94999999999982</v>
      </c>
      <c r="BV630" s="41">
        <v>-67.5</v>
      </c>
      <c r="BW630" s="41">
        <v>-839.55000000000018</v>
      </c>
      <c r="BX630" s="41">
        <v>-922.94999999999982</v>
      </c>
      <c r="BY630" s="41">
        <v>271.55000000000018</v>
      </c>
      <c r="BZ630" s="41">
        <v>-274.94999999999982</v>
      </c>
      <c r="CA630" s="41">
        <v>-415.95000000000073</v>
      </c>
      <c r="CB630" s="41">
        <v>715.70000000000073</v>
      </c>
      <c r="CC630" s="41">
        <v>793</v>
      </c>
      <c r="CD630" s="41">
        <v>320.45000000000073</v>
      </c>
      <c r="CE630" s="41">
        <v>-126.70000000000073</v>
      </c>
      <c r="CF630" s="41">
        <v>478.95000000000073</v>
      </c>
      <c r="CG630" s="41">
        <v>-1990.2000000000007</v>
      </c>
      <c r="CH630" s="41">
        <v>-3696.2150000000001</v>
      </c>
      <c r="CI630" s="41">
        <v>2129.244999999999</v>
      </c>
      <c r="CJ630" s="41">
        <v>6265.9892</v>
      </c>
      <c r="CK630" s="41">
        <v>-1493.4454999999944</v>
      </c>
      <c r="CL630" s="41">
        <v>-1479.9112000000023</v>
      </c>
      <c r="CM630" s="41">
        <v>1551.2474999999977</v>
      </c>
      <c r="CN630" s="41">
        <v>-3113.2799999999988</v>
      </c>
      <c r="CO630" s="41">
        <v>3942.8700000000026</v>
      </c>
      <c r="CP630" s="41">
        <v>-1860.3350000000064</v>
      </c>
      <c r="CQ630" s="41">
        <v>-3407.7649999999994</v>
      </c>
      <c r="CR630" s="41">
        <v>102.80500000000029</v>
      </c>
      <c r="CS630" s="41">
        <v>351.41500000000087</v>
      </c>
      <c r="CT630" s="41">
        <v>-4447.2900000000009</v>
      </c>
      <c r="CU630" s="41">
        <v>-456.63999999999942</v>
      </c>
      <c r="CV630" s="211">
        <v>-2001.4199999999983</v>
      </c>
      <c r="CW630" s="41">
        <v>4669.3084278972383</v>
      </c>
      <c r="CX630" s="41">
        <v>507.59414926918544</v>
      </c>
      <c r="CY630" s="41">
        <v>581.00528183850111</v>
      </c>
      <c r="CZ630" s="41">
        <v>481.79213372604863</v>
      </c>
      <c r="DA630" s="41">
        <v>291.66501283172693</v>
      </c>
      <c r="DB630" s="41">
        <v>181.5457949404954</v>
      </c>
      <c r="DC630" s="41">
        <v>2220.376730911441</v>
      </c>
      <c r="DD630" s="41">
        <v>-5041.8324375566881</v>
      </c>
      <c r="DE630" s="41">
        <v>-204.630406861761</v>
      </c>
      <c r="DF630" s="41">
        <v>-1397.6135886727716</v>
      </c>
    </row>
    <row r="631" spans="1:110" s="17" customFormat="1" ht="12" outlineLevel="1">
      <c r="A631" s="1" t="s">
        <v>897</v>
      </c>
      <c r="B631" s="17" t="s">
        <v>653</v>
      </c>
      <c r="C631" s="62" t="e">
        <v>#VALUE!</v>
      </c>
      <c r="D631" s="62">
        <v>480</v>
      </c>
      <c r="E631" s="62">
        <v>565.99999999999977</v>
      </c>
      <c r="F631" s="62">
        <v>534.00000000000023</v>
      </c>
      <c r="G631" s="62">
        <v>648</v>
      </c>
      <c r="H631" s="62">
        <v>-2854</v>
      </c>
      <c r="I631" s="62">
        <v>826.00000000000068</v>
      </c>
      <c r="J631" s="62">
        <v>896.00000000000045</v>
      </c>
      <c r="K631" s="62">
        <v>964.99999999999955</v>
      </c>
      <c r="L631" s="62">
        <v>991.99999999999955</v>
      </c>
      <c r="M631" s="62">
        <v>1048</v>
      </c>
      <c r="N631" s="62">
        <v>981.99999999999955</v>
      </c>
      <c r="O631" s="62">
        <v>819.99999999999977</v>
      </c>
      <c r="P631" s="62">
        <v>-279.99999999999909</v>
      </c>
      <c r="Q631" s="62">
        <v>-726.99999999999955</v>
      </c>
      <c r="R631" s="62">
        <v>-591</v>
      </c>
      <c r="S631" s="62">
        <v>-3627</v>
      </c>
      <c r="T631" s="62">
        <v>1146</v>
      </c>
      <c r="U631" s="62">
        <v>1278</v>
      </c>
      <c r="V631" s="62">
        <v>919</v>
      </c>
      <c r="W631" s="62">
        <v>1219</v>
      </c>
      <c r="X631" s="62">
        <v>873</v>
      </c>
      <c r="Y631" s="62">
        <v>1241</v>
      </c>
      <c r="Z631" s="62">
        <v>-605</v>
      </c>
      <c r="AA631" s="62">
        <v>1915</v>
      </c>
      <c r="AB631" s="62">
        <v>2567</v>
      </c>
      <c r="AC631" s="62">
        <v>1737</v>
      </c>
      <c r="AD631" s="62">
        <v>2457</v>
      </c>
      <c r="AE631" s="62">
        <v>1321</v>
      </c>
      <c r="AF631" s="62">
        <v>2453</v>
      </c>
      <c r="AG631" s="62">
        <v>2150</v>
      </c>
      <c r="AH631" s="62">
        <v>2029</v>
      </c>
      <c r="AI631" s="62">
        <v>2257</v>
      </c>
      <c r="AJ631" s="62">
        <v>3463</v>
      </c>
      <c r="AK631" s="62">
        <v>3091</v>
      </c>
      <c r="AL631" s="62">
        <v>3411</v>
      </c>
      <c r="AM631" s="62">
        <v>2190</v>
      </c>
      <c r="AN631" s="62">
        <v>2278</v>
      </c>
      <c r="AO631" s="62">
        <v>604</v>
      </c>
      <c r="AP631" s="62">
        <v>889</v>
      </c>
      <c r="AQ631" s="62">
        <v>2586</v>
      </c>
      <c r="AR631" s="62">
        <v>2887</v>
      </c>
      <c r="AS631" s="62">
        <v>1764</v>
      </c>
      <c r="AT631" s="62">
        <v>1926</v>
      </c>
      <c r="AU631" s="62">
        <v>2375</v>
      </c>
      <c r="AV631" s="220">
        <v>2833</v>
      </c>
      <c r="AW631" s="62">
        <v>3496.2338627400154</v>
      </c>
      <c r="AX631" s="62">
        <v>3468.7198693175587</v>
      </c>
      <c r="AY631" s="62">
        <v>2442.5693800568756</v>
      </c>
      <c r="AZ631" s="62">
        <v>2442.5693800568852</v>
      </c>
      <c r="BA631" s="62">
        <v>2442.5693800568738</v>
      </c>
      <c r="BB631" s="62">
        <v>2442.5693800569102</v>
      </c>
      <c r="BC631" s="62">
        <v>2442.5693800568615</v>
      </c>
      <c r="BD631" s="62">
        <v>2442.5693800568838</v>
      </c>
      <c r="BE631" s="62">
        <v>2471.9979268045681</v>
      </c>
      <c r="BF631" s="62">
        <v>2471.9979268045549</v>
      </c>
      <c r="BG631" s="62">
        <v>2619.1406605429192</v>
      </c>
      <c r="BH631" s="62">
        <v>2619.1406605429293</v>
      </c>
      <c r="BI631" s="62">
        <v>-1.1027623258996755E-11</v>
      </c>
      <c r="BJ631" s="62">
        <v>6.8212102632969618E-12</v>
      </c>
      <c r="BK631" s="62">
        <v>2175.8841613115915</v>
      </c>
      <c r="BL631" s="62">
        <v>2357.2078414209004</v>
      </c>
      <c r="BM631" s="62">
        <v>3022.0613351550032</v>
      </c>
      <c r="BN631" s="62">
        <v>3022.0613351549941</v>
      </c>
      <c r="BO631" s="62">
        <v>3112.7231752096313</v>
      </c>
      <c r="BP631" s="62"/>
      <c r="BQ631" s="62">
        <v>-3294.2</v>
      </c>
      <c r="BR631" s="62">
        <v>74.399999999998954</v>
      </c>
      <c r="BS631" s="62">
        <v>268</v>
      </c>
      <c r="BT631" s="62">
        <v>338</v>
      </c>
      <c r="BU631" s="62">
        <v>431</v>
      </c>
      <c r="BV631" s="62">
        <v>475</v>
      </c>
      <c r="BW631" s="62">
        <v>501</v>
      </c>
      <c r="BX631" s="62">
        <v>625</v>
      </c>
      <c r="BY631" s="62">
        <v>1683</v>
      </c>
      <c r="BZ631" s="62">
        <v>1357</v>
      </c>
      <c r="CA631" s="62">
        <v>1046</v>
      </c>
      <c r="CB631" s="62">
        <v>1182</v>
      </c>
      <c r="CC631" s="62">
        <v>-2028</v>
      </c>
      <c r="CD631" s="62">
        <v>1860.9999999999991</v>
      </c>
      <c r="CE631" s="62">
        <v>2039.9999999999995</v>
      </c>
      <c r="CF631" s="62">
        <v>1801.9999999999995</v>
      </c>
      <c r="CG631" s="62">
        <v>-1007.0000000000005</v>
      </c>
      <c r="CH631" s="62">
        <v>-4218</v>
      </c>
      <c r="CI631" s="62">
        <v>2424</v>
      </c>
      <c r="CJ631" s="62">
        <v>2138</v>
      </c>
      <c r="CK631" s="62">
        <v>2114</v>
      </c>
      <c r="CL631" s="62">
        <v>1310</v>
      </c>
      <c r="CM631" s="62">
        <v>4304</v>
      </c>
      <c r="CN631" s="62">
        <v>3778</v>
      </c>
      <c r="CO631" s="62">
        <v>4603</v>
      </c>
      <c r="CP631" s="62">
        <v>4286</v>
      </c>
      <c r="CQ631" s="62">
        <v>6554</v>
      </c>
      <c r="CR631" s="62">
        <v>5601</v>
      </c>
      <c r="CS631" s="62">
        <v>2882</v>
      </c>
      <c r="CT631" s="62">
        <v>3475</v>
      </c>
      <c r="CU631" s="62">
        <v>4651</v>
      </c>
      <c r="CV631" s="220">
        <v>4301</v>
      </c>
      <c r="CW631" s="62">
        <v>6329.2338627400159</v>
      </c>
      <c r="CX631" s="62">
        <v>5911.2892493744366</v>
      </c>
      <c r="CY631" s="62">
        <v>4885.1387601137612</v>
      </c>
      <c r="CZ631" s="62">
        <v>4885.138760113774</v>
      </c>
      <c r="DA631" s="62">
        <v>4914.5673068614515</v>
      </c>
      <c r="DB631" s="62">
        <v>5091.1385873474774</v>
      </c>
      <c r="DC631" s="62">
        <v>2619.140660542917</v>
      </c>
      <c r="DD631" s="62">
        <v>2175.8841613115974</v>
      </c>
      <c r="DE631" s="62">
        <v>5379.2691765759027</v>
      </c>
      <c r="DF631" s="62">
        <v>6134.7845103646259</v>
      </c>
    </row>
    <row r="632" spans="1:110" ht="12" outlineLevel="1">
      <c r="C632" s="41"/>
      <c r="D632" s="41"/>
      <c r="E632" s="41"/>
      <c r="F632" s="41"/>
      <c r="G632" s="41"/>
      <c r="H632" s="41"/>
      <c r="I632" s="41"/>
      <c r="J632" s="41"/>
      <c r="K632" s="41"/>
      <c r="L632" s="41"/>
      <c r="M632" s="41"/>
      <c r="N632" s="41"/>
      <c r="O632" s="41"/>
      <c r="P632" s="41"/>
      <c r="Q632" s="41"/>
      <c r="R632" s="41"/>
      <c r="S632" s="41"/>
      <c r="T632" s="41"/>
      <c r="U632" s="41"/>
      <c r="V632" s="41"/>
      <c r="W632" s="41"/>
      <c r="X632" s="41"/>
      <c r="Y632" s="41"/>
      <c r="Z632" s="41"/>
      <c r="AA632" s="41"/>
      <c r="AB632" s="41"/>
      <c r="AC632" s="41"/>
      <c r="AD632" s="41"/>
      <c r="AE632" s="41"/>
      <c r="AF632" s="41"/>
      <c r="AG632" s="41"/>
      <c r="AH632" s="41"/>
      <c r="AI632" s="41"/>
      <c r="AJ632" s="41"/>
      <c r="AK632" s="41"/>
      <c r="AL632" s="41"/>
      <c r="AM632" s="41"/>
      <c r="AN632" s="41"/>
      <c r="AO632" s="41"/>
      <c r="AP632" s="41"/>
      <c r="AQ632" s="41"/>
      <c r="AR632" s="41"/>
      <c r="AS632" s="41"/>
      <c r="AT632" s="41"/>
      <c r="AU632" s="41"/>
      <c r="AV632" s="211"/>
      <c r="AW632" s="41"/>
      <c r="AX632" s="41"/>
      <c r="AY632" s="41"/>
      <c r="AZ632" s="41"/>
      <c r="BA632" s="41"/>
      <c r="BB632" s="41"/>
      <c r="BC632" s="41"/>
      <c r="BD632" s="41"/>
      <c r="BE632" s="41"/>
      <c r="BF632" s="41"/>
      <c r="BG632" s="41"/>
      <c r="BH632" s="41"/>
      <c r="BI632" s="41"/>
      <c r="BJ632" s="41"/>
      <c r="BK632" s="41"/>
      <c r="BL632" s="41"/>
      <c r="BM632" s="41"/>
      <c r="BN632" s="41"/>
      <c r="BO632" s="41"/>
      <c r="BP632" s="41"/>
      <c r="BQ632" s="41"/>
      <c r="BR632" s="41"/>
      <c r="BS632" s="41"/>
      <c r="BT632" s="41"/>
      <c r="BU632" s="41"/>
      <c r="BV632" s="41"/>
      <c r="BW632" s="41"/>
      <c r="BX632" s="41"/>
      <c r="BY632" s="41"/>
      <c r="BZ632" s="41"/>
      <c r="CA632" s="41"/>
      <c r="CB632" s="41"/>
      <c r="CC632" s="41"/>
      <c r="CD632" s="41"/>
      <c r="CE632" s="41"/>
      <c r="CF632" s="41"/>
      <c r="CG632" s="41"/>
      <c r="CH632" s="41"/>
      <c r="CI632" s="41"/>
      <c r="CJ632" s="41"/>
      <c r="CK632" s="41"/>
      <c r="CL632" s="41"/>
      <c r="CM632" s="41"/>
      <c r="CN632" s="41"/>
      <c r="CO632" s="41"/>
      <c r="CP632" s="41"/>
      <c r="CQ632" s="41"/>
      <c r="CR632" s="41"/>
      <c r="CS632" s="41"/>
      <c r="CT632" s="41"/>
      <c r="CU632" s="41"/>
      <c r="CV632" s="211"/>
      <c r="CW632" s="41"/>
      <c r="CX632" s="41"/>
      <c r="CY632" s="41"/>
      <c r="CZ632" s="15"/>
      <c r="DA632" s="15"/>
      <c r="DB632" s="15"/>
      <c r="DC632" s="15"/>
      <c r="DD632" s="15"/>
      <c r="DE632" s="15"/>
      <c r="DF632" s="15"/>
    </row>
    <row r="633" spans="1:110" ht="12" outlineLevel="1">
      <c r="A633" s="1" t="s">
        <v>607</v>
      </c>
      <c r="B633" s="15" t="s">
        <v>654</v>
      </c>
      <c r="C633" s="41" t="e">
        <v>#VALUE!</v>
      </c>
      <c r="D633" s="41">
        <v>571</v>
      </c>
      <c r="E633" s="41">
        <v>681</v>
      </c>
      <c r="F633" s="41">
        <v>653</v>
      </c>
      <c r="G633" s="41">
        <v>765</v>
      </c>
      <c r="H633" s="41">
        <v>835</v>
      </c>
      <c r="I633" s="41">
        <v>969</v>
      </c>
      <c r="J633" s="41">
        <v>911</v>
      </c>
      <c r="K633" s="41">
        <v>1060</v>
      </c>
      <c r="L633" s="41">
        <v>1007</v>
      </c>
      <c r="M633" s="41">
        <v>1251</v>
      </c>
      <c r="N633" s="41">
        <v>1125</v>
      </c>
      <c r="O633" s="41">
        <v>1352</v>
      </c>
      <c r="P633" s="41">
        <v>1155</v>
      </c>
      <c r="Q633" s="41">
        <v>1481</v>
      </c>
      <c r="R633" s="41">
        <v>958</v>
      </c>
      <c r="S633" s="41">
        <v>1386</v>
      </c>
      <c r="T633" s="41">
        <v>1289</v>
      </c>
      <c r="U633" s="41">
        <v>1870</v>
      </c>
      <c r="V633" s="41">
        <v>1627</v>
      </c>
      <c r="W633" s="41">
        <v>1968</v>
      </c>
      <c r="X633" s="41">
        <v>1725</v>
      </c>
      <c r="Y633" s="41">
        <v>2116</v>
      </c>
      <c r="Z633" s="41">
        <v>-34</v>
      </c>
      <c r="AA633" s="41">
        <v>1967</v>
      </c>
      <c r="AB633" s="41">
        <v>2455</v>
      </c>
      <c r="AC633" s="41">
        <v>2239</v>
      </c>
      <c r="AD633" s="41">
        <v>2578</v>
      </c>
      <c r="AE633" s="41">
        <v>2328</v>
      </c>
      <c r="AF633" s="41">
        <v>2711</v>
      </c>
      <c r="AG633" s="41">
        <v>2290</v>
      </c>
      <c r="AH633" s="41">
        <v>2300</v>
      </c>
      <c r="AI633" s="41">
        <v>2309</v>
      </c>
      <c r="AJ633" s="41">
        <v>2308</v>
      </c>
      <c r="AK633" s="41">
        <v>2277</v>
      </c>
      <c r="AL633" s="41">
        <v>2254</v>
      </c>
      <c r="AM633" s="41">
        <v>2227</v>
      </c>
      <c r="AN633" s="41">
        <v>2228</v>
      </c>
      <c r="AO633" s="41">
        <v>694</v>
      </c>
      <c r="AP633" s="41">
        <v>973</v>
      </c>
      <c r="AQ633" s="41">
        <v>1955</v>
      </c>
      <c r="AR633" s="41">
        <v>1994</v>
      </c>
      <c r="AS633" s="41">
        <v>1973</v>
      </c>
      <c r="AT633" s="41">
        <v>2185</v>
      </c>
      <c r="AU633" s="41">
        <v>2401</v>
      </c>
      <c r="AV633" s="211">
        <v>2784</v>
      </c>
      <c r="AW633" s="41">
        <v>2496.2338627399999</v>
      </c>
      <c r="AX633" s="41">
        <v>2468.7198693175578</v>
      </c>
      <c r="AY633" s="41">
        <v>2442.5693800568788</v>
      </c>
      <c r="AZ633" s="41">
        <v>2442.5693800568788</v>
      </c>
      <c r="BA633" s="41">
        <v>2442.5693800568788</v>
      </c>
      <c r="BB633" s="41">
        <v>2442.5693800568788</v>
      </c>
      <c r="BC633" s="41">
        <v>2442.5693800568788</v>
      </c>
      <c r="BD633" s="41">
        <v>2442.5693800568788</v>
      </c>
      <c r="BE633" s="41">
        <v>2471.9979268045522</v>
      </c>
      <c r="BF633" s="41">
        <v>2471.9979268045522</v>
      </c>
      <c r="BG633" s="41">
        <v>2619.1406605429183</v>
      </c>
      <c r="BH633" s="41">
        <v>2619.1406605429183</v>
      </c>
      <c r="BI633" s="41">
        <v>2354.2837398138595</v>
      </c>
      <c r="BJ633" s="41">
        <v>2149.3891837208093</v>
      </c>
      <c r="BK633" s="41">
        <v>2175.8841613115969</v>
      </c>
      <c r="BL633" s="41">
        <v>2357.2078414208968</v>
      </c>
      <c r="BM633" s="41">
        <v>3022.061335154996</v>
      </c>
      <c r="BN633" s="41">
        <v>3022.061335154996</v>
      </c>
      <c r="BO633" s="41">
        <v>3112.7231752096459</v>
      </c>
      <c r="BP633" s="41"/>
      <c r="BQ633" s="41">
        <v>202.8</v>
      </c>
      <c r="BR633" s="41">
        <v>224.5</v>
      </c>
      <c r="BS633" s="41">
        <v>313</v>
      </c>
      <c r="BT633" s="41">
        <v>424</v>
      </c>
      <c r="BU633" s="41">
        <v>584</v>
      </c>
      <c r="BV633" s="41">
        <v>695</v>
      </c>
      <c r="BW633" s="41">
        <v>747</v>
      </c>
      <c r="BX633" s="41">
        <v>814</v>
      </c>
      <c r="BY633" s="41">
        <v>941</v>
      </c>
      <c r="BZ633" s="41">
        <v>1062</v>
      </c>
      <c r="CA633" s="41">
        <v>1252</v>
      </c>
      <c r="CB633" s="41">
        <v>1418</v>
      </c>
      <c r="CC633" s="41">
        <v>1804</v>
      </c>
      <c r="CD633" s="41">
        <v>1971</v>
      </c>
      <c r="CE633" s="41">
        <v>2258</v>
      </c>
      <c r="CF633" s="41">
        <v>2477</v>
      </c>
      <c r="CG633" s="41">
        <v>2636</v>
      </c>
      <c r="CH633" s="41">
        <v>2344</v>
      </c>
      <c r="CI633" s="41">
        <v>3159</v>
      </c>
      <c r="CJ633" s="41">
        <v>3595</v>
      </c>
      <c r="CK633" s="41">
        <v>3841</v>
      </c>
      <c r="CL633" s="41">
        <v>1933</v>
      </c>
      <c r="CM633" s="41">
        <v>4694</v>
      </c>
      <c r="CN633" s="41">
        <v>4906</v>
      </c>
      <c r="CO633" s="41">
        <v>5001</v>
      </c>
      <c r="CP633" s="41">
        <v>4609</v>
      </c>
      <c r="CQ633" s="41">
        <v>4585</v>
      </c>
      <c r="CR633" s="41">
        <v>4481</v>
      </c>
      <c r="CS633" s="41">
        <v>2922</v>
      </c>
      <c r="CT633" s="41">
        <v>2928</v>
      </c>
      <c r="CU633" s="41">
        <v>3967</v>
      </c>
      <c r="CV633" s="211">
        <v>4586</v>
      </c>
      <c r="CW633" s="41">
        <v>5280.2338627400004</v>
      </c>
      <c r="CX633" s="41">
        <v>4911.2892493744366</v>
      </c>
      <c r="CY633" s="41">
        <v>4885.1387601137576</v>
      </c>
      <c r="CZ633" s="41">
        <v>4885.1387601137576</v>
      </c>
      <c r="DA633" s="41">
        <v>4914.5673068614306</v>
      </c>
      <c r="DB633" s="41">
        <v>5091.1385873474701</v>
      </c>
      <c r="DC633" s="41">
        <v>4973.4244003567783</v>
      </c>
      <c r="DD633" s="41">
        <v>4325.2733450324067</v>
      </c>
      <c r="DE633" s="41">
        <v>5379.2691765758927</v>
      </c>
      <c r="DF633" s="41">
        <v>6134.7845103646414</v>
      </c>
    </row>
    <row r="634" spans="1:110" ht="12" outlineLevel="1">
      <c r="A634" s="1" t="s">
        <v>747</v>
      </c>
      <c r="B634" s="15" t="s">
        <v>412</v>
      </c>
      <c r="C634" s="41">
        <v>-88</v>
      </c>
      <c r="D634" s="41">
        <v>-91</v>
      </c>
      <c r="E634" s="41">
        <v>-115</v>
      </c>
      <c r="F634" s="41">
        <v>-119</v>
      </c>
      <c r="G634" s="41">
        <v>-117</v>
      </c>
      <c r="H634" s="41">
        <v>-3689</v>
      </c>
      <c r="I634" s="41">
        <v>-143</v>
      </c>
      <c r="J634" s="41">
        <v>-15</v>
      </c>
      <c r="K634" s="41">
        <v>-95</v>
      </c>
      <c r="L634" s="41">
        <v>-15</v>
      </c>
      <c r="M634" s="41">
        <v>-203</v>
      </c>
      <c r="N634" s="41">
        <v>-143</v>
      </c>
      <c r="O634" s="41">
        <v>-532</v>
      </c>
      <c r="P634" s="41">
        <v>-1435</v>
      </c>
      <c r="Q634" s="41">
        <v>-2208</v>
      </c>
      <c r="R634" s="41">
        <v>-1549</v>
      </c>
      <c r="S634" s="41">
        <v>-5013</v>
      </c>
      <c r="T634" s="41">
        <v>-143</v>
      </c>
      <c r="U634" s="41">
        <v>-592</v>
      </c>
      <c r="V634" s="41">
        <v>-708</v>
      </c>
      <c r="W634" s="41">
        <v>-749</v>
      </c>
      <c r="X634" s="41">
        <v>-852</v>
      </c>
      <c r="Y634" s="41">
        <v>-875</v>
      </c>
      <c r="Z634" s="41">
        <v>-571</v>
      </c>
      <c r="AA634" s="41">
        <v>-52</v>
      </c>
      <c r="AB634" s="41">
        <v>112</v>
      </c>
      <c r="AC634" s="41">
        <v>-502</v>
      </c>
      <c r="AD634" s="41">
        <v>-121</v>
      </c>
      <c r="AE634" s="41">
        <v>-1007</v>
      </c>
      <c r="AF634" s="41">
        <v>-258</v>
      </c>
      <c r="AG634" s="41">
        <v>-140</v>
      </c>
      <c r="AH634" s="41">
        <v>-271</v>
      </c>
      <c r="AI634" s="41">
        <v>-52</v>
      </c>
      <c r="AJ634" s="41">
        <v>1155</v>
      </c>
      <c r="AK634" s="41">
        <v>814</v>
      </c>
      <c r="AL634" s="41">
        <v>1157</v>
      </c>
      <c r="AM634" s="41">
        <v>-37</v>
      </c>
      <c r="AN634" s="41">
        <v>50</v>
      </c>
      <c r="AO634" s="41">
        <v>-90</v>
      </c>
      <c r="AP634" s="41">
        <v>-84</v>
      </c>
      <c r="AQ634" s="41">
        <v>631</v>
      </c>
      <c r="AR634" s="41">
        <v>893</v>
      </c>
      <c r="AS634" s="41">
        <v>-209</v>
      </c>
      <c r="AT634" s="41">
        <v>-259</v>
      </c>
      <c r="AU634" s="41">
        <v>-26</v>
      </c>
      <c r="AV634" s="211">
        <v>49</v>
      </c>
      <c r="AW634" s="41">
        <v>1000</v>
      </c>
      <c r="AX634" s="41">
        <v>1000</v>
      </c>
      <c r="AY634" s="41">
        <v>0</v>
      </c>
      <c r="AZ634" s="41">
        <v>0</v>
      </c>
      <c r="BA634" s="41">
        <v>0</v>
      </c>
      <c r="BB634" s="41">
        <v>0</v>
      </c>
      <c r="BC634" s="41">
        <v>0</v>
      </c>
      <c r="BD634" s="41">
        <v>0</v>
      </c>
      <c r="BE634" s="41">
        <v>0</v>
      </c>
      <c r="BF634" s="41">
        <v>0</v>
      </c>
      <c r="BG634" s="41">
        <v>0</v>
      </c>
      <c r="BH634" s="41">
        <v>0</v>
      </c>
      <c r="BI634" s="41">
        <v>-2354.2837398138595</v>
      </c>
      <c r="BJ634" s="41">
        <v>-2149.3891837208093</v>
      </c>
      <c r="BK634" s="41">
        <v>0</v>
      </c>
      <c r="BL634" s="41">
        <v>0</v>
      </c>
      <c r="BM634" s="41">
        <v>0</v>
      </c>
      <c r="BN634" s="41">
        <v>0</v>
      </c>
      <c r="BO634" s="41">
        <v>0</v>
      </c>
      <c r="BP634" s="41"/>
      <c r="BQ634" s="41">
        <v>-138.89999999999998</v>
      </c>
      <c r="BR634" s="41">
        <v>-150.1</v>
      </c>
      <c r="BS634" s="41">
        <v>-45</v>
      </c>
      <c r="BT634" s="41">
        <v>-86</v>
      </c>
      <c r="BU634" s="41">
        <v>-153</v>
      </c>
      <c r="BV634" s="41">
        <v>-220</v>
      </c>
      <c r="BW634" s="41">
        <v>-246</v>
      </c>
      <c r="BX634" s="41">
        <v>-189</v>
      </c>
      <c r="BY634" s="41">
        <v>742</v>
      </c>
      <c r="BZ634" s="41">
        <v>295</v>
      </c>
      <c r="CA634" s="41">
        <v>-206</v>
      </c>
      <c r="CB634" s="41">
        <v>-236</v>
      </c>
      <c r="CC634" s="41">
        <v>-3832</v>
      </c>
      <c r="CD634" s="41">
        <v>-110</v>
      </c>
      <c r="CE634" s="41">
        <v>-218</v>
      </c>
      <c r="CF634" s="41">
        <v>-675</v>
      </c>
      <c r="CG634" s="41">
        <v>-3643</v>
      </c>
      <c r="CH634" s="41">
        <v>-6562</v>
      </c>
      <c r="CI634" s="41">
        <v>-735</v>
      </c>
      <c r="CJ634" s="41">
        <v>-1457</v>
      </c>
      <c r="CK634" s="41">
        <v>-1727</v>
      </c>
      <c r="CL634" s="41">
        <v>-623</v>
      </c>
      <c r="CM634" s="41">
        <v>-390</v>
      </c>
      <c r="CN634" s="41">
        <v>-1128</v>
      </c>
      <c r="CO634" s="41">
        <v>-398</v>
      </c>
      <c r="CP634" s="41">
        <v>-323</v>
      </c>
      <c r="CQ634" s="41">
        <v>1969</v>
      </c>
      <c r="CR634" s="41">
        <v>1120</v>
      </c>
      <c r="CS634" s="41">
        <v>-40</v>
      </c>
      <c r="CT634" s="41">
        <v>547</v>
      </c>
      <c r="CU634" s="41">
        <v>684</v>
      </c>
      <c r="CV634" s="211">
        <v>-285</v>
      </c>
      <c r="CW634" s="41">
        <v>1049</v>
      </c>
      <c r="CX634" s="41">
        <v>1000</v>
      </c>
      <c r="CY634" s="41">
        <v>0</v>
      </c>
      <c r="CZ634" s="41">
        <v>0</v>
      </c>
      <c r="DA634" s="41">
        <v>0</v>
      </c>
      <c r="DB634" s="41">
        <v>0</v>
      </c>
      <c r="DC634" s="41">
        <v>-2354.2837398138595</v>
      </c>
      <c r="DD634" s="41">
        <v>-2149.3891837208093</v>
      </c>
      <c r="DE634" s="41">
        <v>0</v>
      </c>
      <c r="DF634" s="41">
        <v>0</v>
      </c>
    </row>
    <row r="635" spans="1:110" s="17" customFormat="1" ht="12" outlineLevel="1">
      <c r="A635" s="1" t="s">
        <v>897</v>
      </c>
      <c r="B635" s="17" t="s">
        <v>653</v>
      </c>
      <c r="C635" s="62" t="e">
        <v>#VALUE!</v>
      </c>
      <c r="D635" s="62">
        <v>480</v>
      </c>
      <c r="E635" s="62">
        <v>566</v>
      </c>
      <c r="F635" s="62">
        <v>534</v>
      </c>
      <c r="G635" s="62">
        <v>648</v>
      </c>
      <c r="H635" s="62">
        <v>-2854</v>
      </c>
      <c r="I635" s="62">
        <v>826</v>
      </c>
      <c r="J635" s="62">
        <v>896</v>
      </c>
      <c r="K635" s="62">
        <v>965</v>
      </c>
      <c r="L635" s="62">
        <v>992</v>
      </c>
      <c r="M635" s="62">
        <v>1048</v>
      </c>
      <c r="N635" s="62">
        <v>982</v>
      </c>
      <c r="O635" s="62">
        <v>820</v>
      </c>
      <c r="P635" s="62">
        <v>-280</v>
      </c>
      <c r="Q635" s="62">
        <v>-727</v>
      </c>
      <c r="R635" s="62">
        <v>-591</v>
      </c>
      <c r="S635" s="62">
        <v>-3627</v>
      </c>
      <c r="T635" s="62">
        <v>1146</v>
      </c>
      <c r="U635" s="62">
        <v>1278</v>
      </c>
      <c r="V635" s="62">
        <v>919</v>
      </c>
      <c r="W635" s="62">
        <v>1219</v>
      </c>
      <c r="X635" s="62">
        <v>873</v>
      </c>
      <c r="Y635" s="62">
        <v>1241</v>
      </c>
      <c r="Z635" s="62">
        <v>-605</v>
      </c>
      <c r="AA635" s="62">
        <v>1915</v>
      </c>
      <c r="AB635" s="62">
        <v>2567</v>
      </c>
      <c r="AC635" s="62">
        <v>1737</v>
      </c>
      <c r="AD635" s="62">
        <v>2457</v>
      </c>
      <c r="AE635" s="62">
        <v>1321</v>
      </c>
      <c r="AF635" s="62">
        <v>2453</v>
      </c>
      <c r="AG635" s="62">
        <v>2150</v>
      </c>
      <c r="AH635" s="62">
        <v>2029</v>
      </c>
      <c r="AI635" s="62">
        <v>2257</v>
      </c>
      <c r="AJ635" s="62">
        <v>3463</v>
      </c>
      <c r="AK635" s="62">
        <v>3091</v>
      </c>
      <c r="AL635" s="62">
        <v>3411</v>
      </c>
      <c r="AM635" s="62">
        <v>2190</v>
      </c>
      <c r="AN635" s="62">
        <v>2278</v>
      </c>
      <c r="AO635" s="62">
        <v>604</v>
      </c>
      <c r="AP635" s="62">
        <v>889</v>
      </c>
      <c r="AQ635" s="62">
        <v>2586</v>
      </c>
      <c r="AR635" s="62">
        <v>2887</v>
      </c>
      <c r="AS635" s="62">
        <v>1764</v>
      </c>
      <c r="AT635" s="62">
        <v>1926</v>
      </c>
      <c r="AU635" s="62">
        <v>2375</v>
      </c>
      <c r="AV635" s="220">
        <v>2833</v>
      </c>
      <c r="AW635" s="62">
        <v>3496.2338627399999</v>
      </c>
      <c r="AX635" s="62">
        <v>3468.7198693175578</v>
      </c>
      <c r="AY635" s="62">
        <v>2442.5693800568788</v>
      </c>
      <c r="AZ635" s="62">
        <v>2442.5693800568788</v>
      </c>
      <c r="BA635" s="62">
        <v>2442.5693800568788</v>
      </c>
      <c r="BB635" s="62">
        <v>2442.5693800568788</v>
      </c>
      <c r="BC635" s="62">
        <v>2442.5693800568788</v>
      </c>
      <c r="BD635" s="62">
        <v>2442.5693800568788</v>
      </c>
      <c r="BE635" s="62">
        <v>2471.9979268045522</v>
      </c>
      <c r="BF635" s="62">
        <v>2471.9979268045522</v>
      </c>
      <c r="BG635" s="62">
        <v>2619.1406605429183</v>
      </c>
      <c r="BH635" s="62">
        <v>2619.1406605429183</v>
      </c>
      <c r="BI635" s="62">
        <v>0</v>
      </c>
      <c r="BJ635" s="62">
        <v>0</v>
      </c>
      <c r="BK635" s="62">
        <v>2175.8841613115969</v>
      </c>
      <c r="BL635" s="62">
        <v>2357.2078414208968</v>
      </c>
      <c r="BM635" s="62">
        <v>3022.061335154996</v>
      </c>
      <c r="BN635" s="62">
        <v>3022.061335154996</v>
      </c>
      <c r="BO635" s="62">
        <v>3112.7231752096459</v>
      </c>
      <c r="BP635" s="62"/>
      <c r="BQ635" s="62">
        <v>63.900000000000034</v>
      </c>
      <c r="BR635" s="62">
        <v>74.400000000000006</v>
      </c>
      <c r="BS635" s="62">
        <v>268</v>
      </c>
      <c r="BT635" s="62">
        <v>338</v>
      </c>
      <c r="BU635" s="62">
        <v>431</v>
      </c>
      <c r="BV635" s="62">
        <v>475</v>
      </c>
      <c r="BW635" s="62">
        <v>501</v>
      </c>
      <c r="BX635" s="62">
        <v>625</v>
      </c>
      <c r="BY635" s="62">
        <v>1683</v>
      </c>
      <c r="BZ635" s="62">
        <v>1357</v>
      </c>
      <c r="CA635" s="62">
        <v>1046</v>
      </c>
      <c r="CB635" s="62">
        <v>1182</v>
      </c>
      <c r="CC635" s="62">
        <v>-2028</v>
      </c>
      <c r="CD635" s="62">
        <v>1861</v>
      </c>
      <c r="CE635" s="62">
        <v>2040</v>
      </c>
      <c r="CF635" s="62">
        <v>1802</v>
      </c>
      <c r="CG635" s="62">
        <v>-1007</v>
      </c>
      <c r="CH635" s="62">
        <v>-4218</v>
      </c>
      <c r="CI635" s="62">
        <v>2424</v>
      </c>
      <c r="CJ635" s="62">
        <v>2138</v>
      </c>
      <c r="CK635" s="62">
        <v>2114</v>
      </c>
      <c r="CL635" s="62">
        <v>1310</v>
      </c>
      <c r="CM635" s="62">
        <v>4304</v>
      </c>
      <c r="CN635" s="62">
        <v>3778</v>
      </c>
      <c r="CO635" s="62">
        <v>4603</v>
      </c>
      <c r="CP635" s="62">
        <v>4286</v>
      </c>
      <c r="CQ635" s="62">
        <v>6554</v>
      </c>
      <c r="CR635" s="62">
        <v>5601</v>
      </c>
      <c r="CS635" s="62">
        <v>2882</v>
      </c>
      <c r="CT635" s="62">
        <v>3475</v>
      </c>
      <c r="CU635" s="62">
        <v>4651</v>
      </c>
      <c r="CV635" s="220">
        <v>4301</v>
      </c>
      <c r="CW635" s="62">
        <v>6329.2338627400004</v>
      </c>
      <c r="CX635" s="62">
        <v>5911.2892493744366</v>
      </c>
      <c r="CY635" s="62">
        <v>4885.1387601137576</v>
      </c>
      <c r="CZ635" s="62">
        <v>4885.1387601137576</v>
      </c>
      <c r="DA635" s="62">
        <v>4914.5673068614306</v>
      </c>
      <c r="DB635" s="62">
        <v>5091.1385873474701</v>
      </c>
      <c r="DC635" s="62">
        <v>2619.1406605429188</v>
      </c>
      <c r="DD635" s="62">
        <v>2175.8841613115974</v>
      </c>
      <c r="DE635" s="62">
        <v>5379.2691765758927</v>
      </c>
      <c r="DF635" s="62">
        <v>6134.7845103646414</v>
      </c>
    </row>
    <row r="636" spans="1:110" ht="12" outlineLevel="1">
      <c r="A636" s="1" t="s">
        <v>748</v>
      </c>
      <c r="B636" s="15" t="s">
        <v>659</v>
      </c>
      <c r="C636" s="41" t="e">
        <v>#VALUE!</v>
      </c>
      <c r="D636" s="41">
        <v>171.29999999999998</v>
      </c>
      <c r="E636" s="41">
        <v>204.29999999999998</v>
      </c>
      <c r="F636" s="41">
        <v>195.89999999999998</v>
      </c>
      <c r="G636" s="41">
        <v>229.49999999999997</v>
      </c>
      <c r="H636" s="41">
        <v>250.49999999999997</v>
      </c>
      <c r="I636" s="41">
        <v>290.7</v>
      </c>
      <c r="J636" s="41">
        <v>273.3</v>
      </c>
      <c r="K636" s="41">
        <v>318</v>
      </c>
      <c r="L636" s="41">
        <v>302.10000000000002</v>
      </c>
      <c r="M636" s="41">
        <v>321.68571428571431</v>
      </c>
      <c r="N636" s="41">
        <v>289.28571428571428</v>
      </c>
      <c r="O636" s="41">
        <v>347.65714285714284</v>
      </c>
      <c r="P636" s="41">
        <v>297</v>
      </c>
      <c r="Q636" s="41">
        <v>380.82857142857137</v>
      </c>
      <c r="R636" s="41">
        <v>246.34285714285716</v>
      </c>
      <c r="S636" s="41">
        <v>356.4</v>
      </c>
      <c r="T636" s="41">
        <v>331.45714285714286</v>
      </c>
      <c r="U636" s="41">
        <v>480.85714285714283</v>
      </c>
      <c r="V636" s="41">
        <v>418.37142857142851</v>
      </c>
      <c r="W636" s="41">
        <v>506.05714285714282</v>
      </c>
      <c r="X636" s="41">
        <v>443.5714285714285</v>
      </c>
      <c r="Y636" s="41">
        <v>544.11428571428576</v>
      </c>
      <c r="Z636" s="41">
        <v>-8.7428571428571438</v>
      </c>
      <c r="AA636" s="41">
        <v>505.79999999999995</v>
      </c>
      <c r="AB636" s="41">
        <v>631.28571428571422</v>
      </c>
      <c r="AC636" s="41">
        <v>575.74285714285713</v>
      </c>
      <c r="AD636" s="41">
        <v>662.91428571428571</v>
      </c>
      <c r="AE636" s="41">
        <v>598.62857142857138</v>
      </c>
      <c r="AF636" s="41">
        <v>697.11428571428576</v>
      </c>
      <c r="AG636" s="41">
        <v>588.85714285714289</v>
      </c>
      <c r="AH636" s="41">
        <v>591.42857142857133</v>
      </c>
      <c r="AI636" s="41">
        <v>593.74285714285713</v>
      </c>
      <c r="AJ636" s="41">
        <v>593.48571428571427</v>
      </c>
      <c r="AK636" s="41">
        <v>585.51428571428573</v>
      </c>
      <c r="AL636" s="41">
        <v>579.6</v>
      </c>
      <c r="AM636" s="41">
        <v>400.85999999999996</v>
      </c>
      <c r="AN636" s="41">
        <v>572.91428571428571</v>
      </c>
      <c r="AO636" s="41">
        <v>178.45714285714286</v>
      </c>
      <c r="AP636" s="41">
        <v>250.2</v>
      </c>
      <c r="AQ636" s="41">
        <v>502.71428571428572</v>
      </c>
      <c r="AR636" s="41">
        <v>512.74285714285713</v>
      </c>
      <c r="AS636" s="41">
        <v>507.34285714285716</v>
      </c>
      <c r="AT636" s="41">
        <v>561.85714285714289</v>
      </c>
      <c r="AU636" s="41">
        <v>345.80968085106383</v>
      </c>
      <c r="AV636" s="211">
        <v>465.3257142857143</v>
      </c>
      <c r="AW636" s="41">
        <v>417.22765991511426</v>
      </c>
      <c r="AX636" s="41">
        <v>476.11026051124327</v>
      </c>
      <c r="AY636" s="41">
        <v>471.06695186811237</v>
      </c>
      <c r="AZ636" s="41">
        <v>471.06695186811237</v>
      </c>
      <c r="BA636" s="41">
        <v>471.06695186811237</v>
      </c>
      <c r="BB636" s="41">
        <v>471.06695186811237</v>
      </c>
      <c r="BC636" s="41">
        <v>471.06695186811237</v>
      </c>
      <c r="BD636" s="41">
        <v>471.06695186811237</v>
      </c>
      <c r="BE636" s="41">
        <v>476.74245731230644</v>
      </c>
      <c r="BF636" s="41">
        <v>476.74245731230644</v>
      </c>
      <c r="BG636" s="41">
        <v>505.11998453327715</v>
      </c>
      <c r="BH636" s="41">
        <v>505.11998453327715</v>
      </c>
      <c r="BI636" s="41">
        <v>454.04043553553004</v>
      </c>
      <c r="BJ636" s="41">
        <v>414.52505686044174</v>
      </c>
      <c r="BK636" s="41">
        <v>419.6348025386651</v>
      </c>
      <c r="BL636" s="41">
        <v>454.60436941688715</v>
      </c>
      <c r="BM636" s="41">
        <v>582.82611463703483</v>
      </c>
      <c r="BN636" s="41">
        <v>582.82611463703483</v>
      </c>
      <c r="BO636" s="41">
        <v>600.31089807614603</v>
      </c>
      <c r="BP636" s="41"/>
      <c r="BQ636" s="41">
        <v>34.960298507462689</v>
      </c>
      <c r="BR636" s="41">
        <v>0</v>
      </c>
      <c r="BS636" s="41">
        <v>0</v>
      </c>
      <c r="BT636" s="41">
        <v>26.313313432835823</v>
      </c>
      <c r="BU636" s="41">
        <v>181.66050000000001</v>
      </c>
      <c r="BV636" s="41">
        <v>273.65625</v>
      </c>
      <c r="BW636" s="41">
        <v>185.35640732529663</v>
      </c>
      <c r="BX636" s="41">
        <v>261.49379370583239</v>
      </c>
      <c r="BY636" s="41">
        <v>370.51874999999995</v>
      </c>
      <c r="BZ636" s="41">
        <v>382.96363636363645</v>
      </c>
      <c r="CA636" s="41">
        <v>375.59999999999997</v>
      </c>
      <c r="CB636" s="41">
        <v>425.4</v>
      </c>
      <c r="CC636" s="41">
        <v>541.19999999999993</v>
      </c>
      <c r="CD636" s="41">
        <v>591.29999999999995</v>
      </c>
      <c r="CE636" s="41">
        <v>623.78571428571433</v>
      </c>
      <c r="CF636" s="41">
        <v>636.94285714285706</v>
      </c>
      <c r="CG636" s="41">
        <v>677.82857142857142</v>
      </c>
      <c r="CH636" s="41">
        <v>602.74285714285713</v>
      </c>
      <c r="CI636" s="41">
        <v>812.31428571428569</v>
      </c>
      <c r="CJ636" s="41">
        <v>924.42857142857133</v>
      </c>
      <c r="CK636" s="41">
        <v>987.68571428571431</v>
      </c>
      <c r="CL636" s="41">
        <v>497.05714285714282</v>
      </c>
      <c r="CM636" s="41">
        <v>1207.0285714285715</v>
      </c>
      <c r="CN636" s="41">
        <v>1261.542857142857</v>
      </c>
      <c r="CO636" s="41">
        <v>1285.9714285714285</v>
      </c>
      <c r="CP636" s="41">
        <v>1185.1714285714284</v>
      </c>
      <c r="CQ636" s="41">
        <v>1179</v>
      </c>
      <c r="CR636" s="41">
        <v>980.46</v>
      </c>
      <c r="CS636" s="41">
        <v>751.37142857142862</v>
      </c>
      <c r="CT636" s="41">
        <v>752.91428571428571</v>
      </c>
      <c r="CU636" s="41">
        <v>1020.0857142857143</v>
      </c>
      <c r="CV636" s="211">
        <v>907.66682370820672</v>
      </c>
      <c r="CW636" s="41">
        <v>882.55337420082856</v>
      </c>
      <c r="CX636" s="41">
        <v>947.17721237935564</v>
      </c>
      <c r="CY636" s="41">
        <v>942.13390373622474</v>
      </c>
      <c r="CZ636" s="41">
        <v>942.13390373622474</v>
      </c>
      <c r="DA636" s="41">
        <v>947.80940918041881</v>
      </c>
      <c r="DB636" s="41">
        <v>981.86244184558359</v>
      </c>
      <c r="DC636" s="41">
        <v>959.16042006880718</v>
      </c>
      <c r="DD636" s="41">
        <v>834.15985939910684</v>
      </c>
      <c r="DE636" s="41">
        <v>1037.4304840539221</v>
      </c>
      <c r="DF636" s="41">
        <v>1183.1370127131809</v>
      </c>
    </row>
    <row r="637" spans="1:110" s="17" customFormat="1" ht="12" outlineLevel="1">
      <c r="A637" s="1" t="s">
        <v>749</v>
      </c>
      <c r="B637" s="17" t="s">
        <v>775</v>
      </c>
      <c r="C637" s="62" t="e">
        <v>#VALUE!</v>
      </c>
      <c r="D637" s="62">
        <v>651.29999999999995</v>
      </c>
      <c r="E637" s="62">
        <v>770.3</v>
      </c>
      <c r="F637" s="62">
        <v>729.9</v>
      </c>
      <c r="G637" s="62">
        <v>877.5</v>
      </c>
      <c r="H637" s="62">
        <v>-2603.5</v>
      </c>
      <c r="I637" s="62">
        <v>1116.7</v>
      </c>
      <c r="J637" s="62">
        <v>1169.3</v>
      </c>
      <c r="K637" s="62">
        <v>1283</v>
      </c>
      <c r="L637" s="62">
        <v>1294.0999999999999</v>
      </c>
      <c r="M637" s="62">
        <v>1369.6857142857143</v>
      </c>
      <c r="N637" s="62">
        <v>1271.2857142857142</v>
      </c>
      <c r="O637" s="62">
        <v>1167.6571428571428</v>
      </c>
      <c r="P637" s="62">
        <v>17</v>
      </c>
      <c r="Q637" s="62">
        <v>-346.17142857142863</v>
      </c>
      <c r="R637" s="62">
        <v>-344.65714285714284</v>
      </c>
      <c r="S637" s="62">
        <v>-3270.6</v>
      </c>
      <c r="T637" s="62">
        <v>1477.4571428571428</v>
      </c>
      <c r="U637" s="62">
        <v>1758.8571428571429</v>
      </c>
      <c r="V637" s="62">
        <v>1337.3714285714286</v>
      </c>
      <c r="W637" s="62">
        <v>1725.0571428571429</v>
      </c>
      <c r="X637" s="62">
        <v>1316.5714285714284</v>
      </c>
      <c r="Y637" s="62">
        <v>1785.1142857142859</v>
      </c>
      <c r="Z637" s="62">
        <v>-613.74285714285713</v>
      </c>
      <c r="AA637" s="62">
        <v>2420.8000000000002</v>
      </c>
      <c r="AB637" s="62">
        <v>3198.2857142857142</v>
      </c>
      <c r="AC637" s="62">
        <v>2312.7428571428572</v>
      </c>
      <c r="AD637" s="62">
        <v>3119.9142857142856</v>
      </c>
      <c r="AE637" s="62">
        <v>1919.6285714285714</v>
      </c>
      <c r="AF637" s="62">
        <v>3150.1142857142859</v>
      </c>
      <c r="AG637" s="62">
        <v>2738.8571428571431</v>
      </c>
      <c r="AH637" s="62">
        <v>2620.4285714285716</v>
      </c>
      <c r="AI637" s="62">
        <v>2850.7428571428572</v>
      </c>
      <c r="AJ637" s="62">
        <v>4056.4857142857145</v>
      </c>
      <c r="AK637" s="62">
        <v>3676.5142857142855</v>
      </c>
      <c r="AL637" s="62">
        <v>3990.6</v>
      </c>
      <c r="AM637" s="62">
        <v>2590.86</v>
      </c>
      <c r="AN637" s="62">
        <v>2850.9142857142856</v>
      </c>
      <c r="AO637" s="62">
        <v>782.4571428571428</v>
      </c>
      <c r="AP637" s="62">
        <v>1139.2</v>
      </c>
      <c r="AQ637" s="62">
        <v>3088.7142857142858</v>
      </c>
      <c r="AR637" s="62">
        <v>3399.7428571428572</v>
      </c>
      <c r="AS637" s="62">
        <v>2271.3428571428572</v>
      </c>
      <c r="AT637" s="62">
        <v>2487.8571428571431</v>
      </c>
      <c r="AU637" s="62">
        <v>2720.8096808510636</v>
      </c>
      <c r="AV637" s="220">
        <v>3298.3257142857142</v>
      </c>
      <c r="AW637" s="62">
        <v>3913.4615226551141</v>
      </c>
      <c r="AX637" s="62">
        <v>3944.8301298288011</v>
      </c>
      <c r="AY637" s="62">
        <v>2913.6363319249913</v>
      </c>
      <c r="AZ637" s="62">
        <v>2913.6363319249913</v>
      </c>
      <c r="BA637" s="62">
        <v>2913.6363319249913</v>
      </c>
      <c r="BB637" s="62">
        <v>2913.6363319249913</v>
      </c>
      <c r="BC637" s="62">
        <v>2913.6363319249913</v>
      </c>
      <c r="BD637" s="62">
        <v>2913.6363319249913</v>
      </c>
      <c r="BE637" s="62">
        <v>2948.7403841168589</v>
      </c>
      <c r="BF637" s="62">
        <v>2948.7403841168589</v>
      </c>
      <c r="BG637" s="62">
        <v>3124.2606450761955</v>
      </c>
      <c r="BH637" s="62">
        <v>3124.2606450761955</v>
      </c>
      <c r="BI637" s="62">
        <v>454.04043553553004</v>
      </c>
      <c r="BJ637" s="62">
        <v>414.52505686044174</v>
      </c>
      <c r="BK637" s="62">
        <v>2595.518963850262</v>
      </c>
      <c r="BL637" s="62">
        <v>2811.8122108377838</v>
      </c>
      <c r="BM637" s="62">
        <v>3604.8874497920306</v>
      </c>
      <c r="BN637" s="62">
        <v>3604.8874497920306</v>
      </c>
      <c r="BO637" s="62">
        <v>3713.0340732857921</v>
      </c>
      <c r="BP637" s="62"/>
      <c r="BQ637" s="62">
        <v>98.860298507462716</v>
      </c>
      <c r="BR637" s="62">
        <v>74.400000000000006</v>
      </c>
      <c r="BS637" s="62">
        <v>268</v>
      </c>
      <c r="BT637" s="62">
        <v>364.3133134328358</v>
      </c>
      <c r="BU637" s="62">
        <v>612.66049999999996</v>
      </c>
      <c r="BV637" s="62">
        <v>748.65625</v>
      </c>
      <c r="BW637" s="62">
        <v>686.35640732529669</v>
      </c>
      <c r="BX637" s="62">
        <v>886.49379370583233</v>
      </c>
      <c r="BY637" s="62">
        <v>2053.5187500000002</v>
      </c>
      <c r="BZ637" s="62">
        <v>1739.9636363636364</v>
      </c>
      <c r="CA637" s="62">
        <v>1421.6</v>
      </c>
      <c r="CB637" s="62">
        <v>1607.4</v>
      </c>
      <c r="CC637" s="62">
        <v>-1486.8000000000002</v>
      </c>
      <c r="CD637" s="62">
        <v>2452.3000000000002</v>
      </c>
      <c r="CE637" s="62">
        <v>2663.7857142857142</v>
      </c>
      <c r="CF637" s="62">
        <v>2438.9428571428571</v>
      </c>
      <c r="CG637" s="62">
        <v>-329.17142857142858</v>
      </c>
      <c r="CH637" s="62">
        <v>-3615.2571428571428</v>
      </c>
      <c r="CI637" s="62">
        <v>3236.3142857142857</v>
      </c>
      <c r="CJ637" s="62">
        <v>3062.4285714285716</v>
      </c>
      <c r="CK637" s="62">
        <v>3101.6857142857143</v>
      </c>
      <c r="CL637" s="62">
        <v>1807.0571428571429</v>
      </c>
      <c r="CM637" s="62">
        <v>5511.028571428571</v>
      </c>
      <c r="CN637" s="62">
        <v>5039.5428571428565</v>
      </c>
      <c r="CO637" s="62">
        <v>5888.971428571429</v>
      </c>
      <c r="CP637" s="62">
        <v>5471.1714285714279</v>
      </c>
      <c r="CQ637" s="62">
        <v>7733</v>
      </c>
      <c r="CR637" s="62">
        <v>6581.46</v>
      </c>
      <c r="CS637" s="62">
        <v>3633.3714285714286</v>
      </c>
      <c r="CT637" s="62">
        <v>4227.9142857142861</v>
      </c>
      <c r="CU637" s="62">
        <v>5671.0857142857139</v>
      </c>
      <c r="CV637" s="220">
        <v>5208.6668237082067</v>
      </c>
      <c r="CW637" s="62">
        <v>7211.7872369408287</v>
      </c>
      <c r="CX637" s="62">
        <v>6858.4664617537919</v>
      </c>
      <c r="CY637" s="62">
        <v>5827.2726638499826</v>
      </c>
      <c r="CZ637" s="62">
        <v>5827.2726638499826</v>
      </c>
      <c r="DA637" s="62">
        <v>5862.3767160418492</v>
      </c>
      <c r="DB637" s="62">
        <v>6073.0010291930539</v>
      </c>
      <c r="DC637" s="62">
        <v>3578.3010806117259</v>
      </c>
      <c r="DD637" s="62">
        <v>3010.044020710704</v>
      </c>
      <c r="DE637" s="62">
        <v>6416.6996606298144</v>
      </c>
      <c r="DF637" s="62">
        <v>7317.9215230778227</v>
      </c>
    </row>
    <row r="638" spans="1:110" ht="12" outlineLevel="1">
      <c r="C638" s="41"/>
      <c r="D638" s="41"/>
      <c r="E638" s="41"/>
      <c r="F638" s="41"/>
      <c r="G638" s="41"/>
      <c r="H638" s="41"/>
      <c r="I638" s="41"/>
      <c r="J638" s="41"/>
      <c r="K638" s="41"/>
      <c r="L638" s="41"/>
      <c r="M638" s="41"/>
      <c r="N638" s="41"/>
      <c r="O638" s="41"/>
      <c r="P638" s="41"/>
      <c r="Q638" s="41"/>
      <c r="R638" s="41"/>
      <c r="S638" s="41"/>
      <c r="T638" s="41"/>
      <c r="U638" s="41"/>
      <c r="V638" s="41"/>
      <c r="W638" s="41"/>
      <c r="X638" s="41"/>
      <c r="Y638" s="41"/>
      <c r="Z638" s="41"/>
      <c r="AA638" s="41"/>
      <c r="AB638" s="41"/>
      <c r="AC638" s="41"/>
      <c r="AD638" s="41"/>
      <c r="AE638" s="41"/>
      <c r="AF638" s="41"/>
      <c r="AG638" s="41"/>
      <c r="AH638" s="41"/>
      <c r="AI638" s="41"/>
      <c r="AJ638" s="41"/>
      <c r="AK638" s="41"/>
      <c r="AL638" s="41"/>
      <c r="AM638" s="41"/>
      <c r="AN638" s="41"/>
      <c r="AO638" s="41"/>
      <c r="AP638" s="41"/>
      <c r="AQ638" s="41"/>
      <c r="AR638" s="41"/>
      <c r="AS638" s="41"/>
      <c r="AT638" s="41"/>
      <c r="AU638" s="41"/>
      <c r="AV638" s="211"/>
      <c r="AW638" s="41"/>
      <c r="AX638" s="41"/>
      <c r="AY638" s="41"/>
      <c r="AZ638" s="41"/>
      <c r="BA638" s="41"/>
      <c r="BB638" s="41"/>
      <c r="BC638" s="41"/>
      <c r="BD638" s="41"/>
      <c r="BE638" s="41"/>
      <c r="BF638" s="41"/>
      <c r="BG638" s="41"/>
      <c r="BH638" s="41"/>
      <c r="BI638" s="41"/>
      <c r="BJ638" s="41"/>
      <c r="BK638" s="41"/>
      <c r="BL638" s="41"/>
      <c r="BM638" s="41"/>
      <c r="BN638" s="41"/>
      <c r="BO638" s="41"/>
      <c r="BP638" s="41"/>
      <c r="BQ638" s="41"/>
      <c r="BR638" s="41"/>
      <c r="BS638" s="41"/>
      <c r="BT638" s="41"/>
      <c r="BU638" s="41"/>
      <c r="BV638" s="41"/>
      <c r="BW638" s="41"/>
      <c r="BX638" s="41"/>
      <c r="BY638" s="41"/>
      <c r="BZ638" s="41"/>
      <c r="CA638" s="41"/>
      <c r="CB638" s="41"/>
      <c r="CC638" s="41"/>
      <c r="CD638" s="41"/>
      <c r="CE638" s="41"/>
      <c r="CF638" s="41"/>
      <c r="CG638" s="41"/>
      <c r="CH638" s="41"/>
      <c r="CI638" s="41"/>
      <c r="CJ638" s="41"/>
      <c r="CK638" s="41"/>
      <c r="CL638" s="41"/>
      <c r="CM638" s="41"/>
      <c r="CN638" s="41"/>
      <c r="CO638" s="41"/>
      <c r="CP638" s="41"/>
      <c r="CQ638" s="41"/>
      <c r="CR638" s="41"/>
      <c r="CS638" s="41"/>
      <c r="CT638" s="41"/>
      <c r="CU638" s="41"/>
      <c r="CV638" s="211"/>
      <c r="CW638" s="41"/>
      <c r="CX638" s="41"/>
      <c r="CY638" s="41"/>
      <c r="CZ638" s="15"/>
      <c r="DA638" s="15"/>
      <c r="DB638" s="15"/>
      <c r="DC638" s="15"/>
      <c r="DD638" s="15"/>
      <c r="DE638" s="15"/>
      <c r="DF638" s="15"/>
    </row>
    <row r="639" spans="1:110" s="4" customFormat="1" ht="12.95" customHeight="1" outlineLevel="1">
      <c r="A639" s="1"/>
      <c r="B639" s="5" t="s">
        <v>660</v>
      </c>
      <c r="C639" s="389" t="e">
        <v>#VALUE!</v>
      </c>
      <c r="D639" s="389" t="s">
        <v>800</v>
      </c>
      <c r="E639" s="389" t="s">
        <v>800</v>
      </c>
      <c r="F639" s="389" t="s">
        <v>800</v>
      </c>
      <c r="G639" s="389" t="s">
        <v>800</v>
      </c>
      <c r="H639" s="389" t="s">
        <v>800</v>
      </c>
      <c r="I639" s="389" t="s">
        <v>800</v>
      </c>
      <c r="J639" s="389" t="s">
        <v>800</v>
      </c>
      <c r="K639" s="389" t="s">
        <v>800</v>
      </c>
      <c r="L639" s="389" t="s">
        <v>800</v>
      </c>
      <c r="M639" s="75" t="s">
        <v>800</v>
      </c>
      <c r="N639" s="75" t="s">
        <v>800</v>
      </c>
      <c r="O639" s="75" t="s">
        <v>800</v>
      </c>
      <c r="P639" s="75" t="s">
        <v>800</v>
      </c>
      <c r="Q639" s="75" t="s">
        <v>800</v>
      </c>
      <c r="R639" s="75" t="s">
        <v>800</v>
      </c>
      <c r="S639" s="75" t="s">
        <v>800</v>
      </c>
      <c r="T639" s="78" t="s">
        <v>800</v>
      </c>
      <c r="U639" s="75" t="s">
        <v>800</v>
      </c>
      <c r="V639" s="75" t="s">
        <v>800</v>
      </c>
      <c r="W639" s="75" t="s">
        <v>800</v>
      </c>
      <c r="X639" s="75" t="s">
        <v>800</v>
      </c>
      <c r="Y639" s="78" t="s">
        <v>800</v>
      </c>
      <c r="Z639" s="78" t="s">
        <v>800</v>
      </c>
      <c r="AA639" s="78" t="s">
        <v>800</v>
      </c>
      <c r="AB639" s="78" t="s">
        <v>800</v>
      </c>
      <c r="AC639" s="78" t="s">
        <v>800</v>
      </c>
      <c r="AD639" s="78" t="s">
        <v>800</v>
      </c>
      <c r="AE639" s="78" t="s">
        <v>800</v>
      </c>
      <c r="AF639" s="78" t="s">
        <v>800</v>
      </c>
      <c r="AG639" s="78" t="s">
        <v>800</v>
      </c>
      <c r="AH639" s="78" t="s">
        <v>800</v>
      </c>
      <c r="AI639" s="78" t="s">
        <v>800</v>
      </c>
      <c r="AJ639" s="78" t="s">
        <v>800</v>
      </c>
      <c r="AK639" s="78" t="s">
        <v>800</v>
      </c>
      <c r="AL639" s="78" t="s">
        <v>800</v>
      </c>
      <c r="AM639" s="78" t="s">
        <v>800</v>
      </c>
      <c r="AN639" s="78" t="s">
        <v>800</v>
      </c>
      <c r="AO639" s="78" t="s">
        <v>800</v>
      </c>
      <c r="AP639" s="78" t="s">
        <v>800</v>
      </c>
      <c r="AQ639" s="78" t="s">
        <v>800</v>
      </c>
      <c r="AR639" s="78" t="s">
        <v>800</v>
      </c>
      <c r="AS639" s="78" t="s">
        <v>800</v>
      </c>
      <c r="AT639" s="78" t="s">
        <v>800</v>
      </c>
      <c r="AU639" s="78" t="s">
        <v>800</v>
      </c>
      <c r="AV639" s="76" t="s">
        <v>800</v>
      </c>
      <c r="AW639" s="75" t="s">
        <v>800</v>
      </c>
      <c r="AX639" s="75" t="s">
        <v>800</v>
      </c>
      <c r="AY639" s="75" t="s">
        <v>800</v>
      </c>
      <c r="AZ639" s="75" t="s">
        <v>800</v>
      </c>
      <c r="BA639" s="75" t="s">
        <v>800</v>
      </c>
      <c r="BB639" s="75" t="s">
        <v>800</v>
      </c>
      <c r="BC639" s="75" t="s">
        <v>800</v>
      </c>
      <c r="BD639" s="75" t="s">
        <v>800</v>
      </c>
      <c r="BE639" s="75" t="s">
        <v>800</v>
      </c>
      <c r="BF639" s="75" t="s">
        <v>800</v>
      </c>
      <c r="BG639" s="75" t="s">
        <v>800</v>
      </c>
      <c r="BH639" s="75" t="s">
        <v>800</v>
      </c>
      <c r="BI639" s="75" t="s">
        <v>800</v>
      </c>
      <c r="BJ639" s="75" t="s">
        <v>800</v>
      </c>
      <c r="BK639" s="75" t="s">
        <v>800</v>
      </c>
      <c r="BL639" s="75" t="s">
        <v>800</v>
      </c>
      <c r="BM639" s="75" t="s">
        <v>800</v>
      </c>
      <c r="BN639" s="75" t="s">
        <v>800</v>
      </c>
      <c r="BO639" s="75" t="s">
        <v>800</v>
      </c>
      <c r="BP639" s="77"/>
      <c r="BQ639" s="389"/>
      <c r="BR639" s="389" t="s">
        <v>800</v>
      </c>
      <c r="BS639" s="389" t="s">
        <v>800</v>
      </c>
      <c r="BT639" s="389" t="s">
        <v>800</v>
      </c>
      <c r="BU639" s="389" t="s">
        <v>800</v>
      </c>
      <c r="BV639" s="389" t="s">
        <v>800</v>
      </c>
      <c r="BW639" s="389" t="s">
        <v>800</v>
      </c>
      <c r="BX639" s="389" t="s">
        <v>800</v>
      </c>
      <c r="BY639" s="389" t="s">
        <v>800</v>
      </c>
      <c r="BZ639" s="389" t="s">
        <v>800</v>
      </c>
      <c r="CA639" s="75" t="s">
        <v>800</v>
      </c>
      <c r="CB639" s="75" t="s">
        <v>800</v>
      </c>
      <c r="CC639" s="75" t="s">
        <v>800</v>
      </c>
      <c r="CD639" s="75" t="s">
        <v>800</v>
      </c>
      <c r="CE639" s="75" t="s">
        <v>800</v>
      </c>
      <c r="CF639" s="75" t="s">
        <v>800</v>
      </c>
      <c r="CG639" s="75" t="s">
        <v>800</v>
      </c>
      <c r="CH639" s="75" t="s">
        <v>800</v>
      </c>
      <c r="CI639" s="75" t="s">
        <v>800</v>
      </c>
      <c r="CJ639" s="75" t="s">
        <v>800</v>
      </c>
      <c r="CK639" s="78" t="s">
        <v>800</v>
      </c>
      <c r="CL639" s="78" t="s">
        <v>800</v>
      </c>
      <c r="CM639" s="78" t="s">
        <v>800</v>
      </c>
      <c r="CN639" s="78" t="s">
        <v>800</v>
      </c>
      <c r="CO639" s="78" t="s">
        <v>800</v>
      </c>
      <c r="CP639" s="78" t="s">
        <v>800</v>
      </c>
      <c r="CQ639" s="78" t="s">
        <v>800</v>
      </c>
      <c r="CR639" s="78" t="s">
        <v>800</v>
      </c>
      <c r="CS639" s="78" t="s">
        <v>800</v>
      </c>
      <c r="CT639" s="78" t="s">
        <v>800</v>
      </c>
      <c r="CU639" s="78" t="s">
        <v>800</v>
      </c>
      <c r="CV639" s="76" t="s">
        <v>800</v>
      </c>
      <c r="CW639" s="75" t="s">
        <v>800</v>
      </c>
      <c r="CX639" s="75" t="s">
        <v>800</v>
      </c>
      <c r="CY639" s="75" t="s">
        <v>800</v>
      </c>
      <c r="CZ639" s="75" t="s">
        <v>800</v>
      </c>
      <c r="DA639" s="75" t="s">
        <v>800</v>
      </c>
      <c r="DB639" s="75" t="s">
        <v>800</v>
      </c>
      <c r="DC639" s="75" t="s">
        <v>800</v>
      </c>
      <c r="DD639" s="75" t="s">
        <v>800</v>
      </c>
      <c r="DE639" s="75" t="s">
        <v>800</v>
      </c>
      <c r="DF639" s="75" t="s">
        <v>800</v>
      </c>
    </row>
    <row r="640" spans="1:110" ht="12">
      <c r="AV640" s="200"/>
      <c r="CZ640" s="15"/>
      <c r="DA640" s="15"/>
      <c r="DB640" s="15"/>
      <c r="DC640" s="15"/>
      <c r="DD640" s="15"/>
      <c r="DE640" s="15"/>
      <c r="DF640" s="15"/>
    </row>
    <row r="641" spans="1:110" s="26" customFormat="1" ht="12" collapsed="1">
      <c r="A641" s="1" t="s">
        <v>750</v>
      </c>
      <c r="B641" s="2" t="s">
        <v>661</v>
      </c>
      <c r="C641" s="81"/>
      <c r="D641" s="81"/>
      <c r="E641" s="81"/>
      <c r="F641" s="81"/>
      <c r="G641" s="81"/>
      <c r="H641" s="81"/>
      <c r="I641" s="81"/>
      <c r="J641" s="81"/>
      <c r="K641" s="81"/>
      <c r="L641" s="81"/>
      <c r="M641" s="81"/>
      <c r="N641" s="81"/>
      <c r="O641" s="81"/>
      <c r="P641" s="81"/>
      <c r="Q641" s="81"/>
      <c r="R641" s="81"/>
      <c r="S641" s="81"/>
      <c r="T641" s="81"/>
      <c r="U641" s="81"/>
      <c r="V641" s="81"/>
      <c r="W641" s="81"/>
      <c r="X641" s="81"/>
      <c r="Y641" s="81"/>
      <c r="Z641" s="81"/>
      <c r="AA641" s="81"/>
      <c r="AB641" s="81"/>
      <c r="AC641" s="81"/>
      <c r="AD641" s="81"/>
      <c r="AE641" s="81"/>
      <c r="AF641" s="81"/>
      <c r="AG641" s="81"/>
      <c r="AH641" s="81"/>
      <c r="AI641" s="81"/>
      <c r="AJ641" s="81"/>
      <c r="AK641" s="81"/>
      <c r="AL641" s="81"/>
      <c r="AM641" s="81"/>
      <c r="AN641" s="81"/>
      <c r="AO641" s="81"/>
      <c r="AP641" s="81"/>
      <c r="AQ641" s="81"/>
      <c r="AR641" s="81"/>
      <c r="AS641" s="81"/>
      <c r="AT641" s="81"/>
      <c r="AU641" s="81"/>
      <c r="AV641" s="222"/>
      <c r="AW641" s="81"/>
      <c r="AX641" s="81"/>
      <c r="AY641" s="81"/>
      <c r="AZ641" s="81"/>
      <c r="BA641" s="81"/>
      <c r="BB641" s="81"/>
      <c r="BC641" s="81"/>
      <c r="BD641" s="81"/>
      <c r="BE641" s="81"/>
      <c r="BF641" s="81"/>
      <c r="BG641" s="81"/>
      <c r="BH641" s="81"/>
      <c r="BI641" s="81"/>
      <c r="BJ641" s="81"/>
      <c r="BK641" s="81"/>
      <c r="BL641" s="81"/>
      <c r="BM641" s="81"/>
      <c r="BN641" s="81"/>
      <c r="BO641" s="81"/>
      <c r="BP641" s="81"/>
      <c r="BQ641" s="81">
        <v>13.434233550885859</v>
      </c>
      <c r="BR641" s="81">
        <v>11.931197679182018</v>
      </c>
      <c r="BS641" s="81">
        <v>12.568598199808575</v>
      </c>
      <c r="BT641" s="81">
        <v>12.773803276464665</v>
      </c>
      <c r="BU641" s="81">
        <v>13.422848305465626</v>
      </c>
      <c r="BV641" s="81">
        <v>14.066705213717055</v>
      </c>
      <c r="BW641" s="81">
        <v>14.81706461226316</v>
      </c>
      <c r="BX641" s="81">
        <v>15.568378575120443</v>
      </c>
      <c r="BY641" s="81">
        <v>16.559309799548966</v>
      </c>
      <c r="BZ641" s="81">
        <v>17.391784939114309</v>
      </c>
      <c r="CA641" s="81">
        <v>18.1152023235896</v>
      </c>
      <c r="CB641" s="81">
        <v>18.770995061386717</v>
      </c>
      <c r="CC641" s="81">
        <v>18.20016813159798</v>
      </c>
      <c r="CD641" s="81">
        <v>18.727265717181901</v>
      </c>
      <c r="CE641" s="81">
        <v>19.177036779399597</v>
      </c>
      <c r="CF641" s="81">
        <v>19.611467303492102</v>
      </c>
      <c r="CG641" s="81">
        <v>19.99755293593147</v>
      </c>
      <c r="CH641" s="81">
        <v>19.469840665104392</v>
      </c>
      <c r="CI641" s="81">
        <v>19.833992638782863</v>
      </c>
      <c r="CJ641" s="81">
        <v>20.221821619714671</v>
      </c>
      <c r="CK641" s="81">
        <v>20.524946328025919</v>
      </c>
      <c r="CL641" s="81">
        <v>21.849911943138562</v>
      </c>
      <c r="CM641" s="81">
        <v>22.091270648880002</v>
      </c>
      <c r="CN641" s="81">
        <v>21.501737692319701</v>
      </c>
      <c r="CO641" s="81">
        <v>21.605099555510424</v>
      </c>
      <c r="CP641" s="81">
        <v>21.988273559651113</v>
      </c>
      <c r="CQ641" s="81">
        <v>22.211678145330225</v>
      </c>
      <c r="CR641" s="81">
        <v>22.623449784098547</v>
      </c>
      <c r="CS641" s="81">
        <v>23.724082775597587</v>
      </c>
      <c r="CT641" s="81">
        <v>24.933363124561346</v>
      </c>
      <c r="CU641" s="81">
        <v>24.376688833165698</v>
      </c>
      <c r="CV641" s="222">
        <v>25.113878351713332</v>
      </c>
      <c r="CW641" s="81">
        <v>25.665471145363153</v>
      </c>
      <c r="CX641" s="81">
        <v>26.385307128674963</v>
      </c>
      <c r="CY641" s="81">
        <v>27.228392134300325</v>
      </c>
      <c r="CZ641" s="81">
        <v>28.161687235527594</v>
      </c>
      <c r="DA641" s="81">
        <v>29.182916341157611</v>
      </c>
      <c r="DB641" s="81">
        <v>30.241845532518621</v>
      </c>
      <c r="DC641" s="81">
        <v>31.803489458134749</v>
      </c>
      <c r="DD641" s="81">
        <v>33.781742620427224</v>
      </c>
      <c r="DE641" s="81">
        <v>35.273103366527216</v>
      </c>
      <c r="DF641" s="81">
        <v>36.625825426745635</v>
      </c>
    </row>
    <row r="642" spans="1:110" ht="12" outlineLevel="1">
      <c r="AV642" s="200"/>
      <c r="CZ642" s="15"/>
      <c r="DA642" s="15"/>
      <c r="DB642" s="15"/>
      <c r="DC642" s="15"/>
      <c r="DD642" s="15"/>
      <c r="DE642" s="15"/>
      <c r="DF642" s="15"/>
    </row>
    <row r="643" spans="1:110" ht="12" outlineLevel="1">
      <c r="A643" s="1" t="s">
        <v>751</v>
      </c>
      <c r="B643" s="15" t="s">
        <v>662</v>
      </c>
      <c r="AV643" s="200"/>
      <c r="BQ643" s="41">
        <v>9122.8670070144635</v>
      </c>
      <c r="BR643" s="41">
        <v>10024.613776765011</v>
      </c>
      <c r="BS643" s="41">
        <v>10829.247450878871</v>
      </c>
      <c r="BT643" s="41">
        <v>11649.976928122907</v>
      </c>
      <c r="BU643" s="41">
        <v>12465.524459432061</v>
      </c>
      <c r="BV643" s="41">
        <v>13324.335576591287</v>
      </c>
      <c r="BW643" s="41">
        <v>14249.039483286555</v>
      </c>
      <c r="BX643" s="41">
        <v>15148.686707998218</v>
      </c>
      <c r="BY643" s="41">
        <v>15086.596185754024</v>
      </c>
      <c r="BZ643" s="41">
        <v>15343.861977629706</v>
      </c>
      <c r="CA643" s="41">
        <v>15939.655209236083</v>
      </c>
      <c r="CB643" s="41">
        <v>16463.198316624348</v>
      </c>
      <c r="CC643" s="41">
        <v>20252.760536503152</v>
      </c>
      <c r="CD643" s="41">
        <v>20558.805913908986</v>
      </c>
      <c r="CE643" s="41">
        <v>20718.598146697244</v>
      </c>
      <c r="CF643" s="41">
        <v>21133.488148393859</v>
      </c>
      <c r="CG643" s="41">
        <v>24401.771380271999</v>
      </c>
      <c r="CH643" s="41">
        <v>31230.760917961103</v>
      </c>
      <c r="CI643" s="41">
        <v>32148.452336182938</v>
      </c>
      <c r="CJ643" s="41">
        <v>33450.336736154502</v>
      </c>
      <c r="CK643" s="41">
        <v>34915.522766923044</v>
      </c>
      <c r="CL643" s="41">
        <v>37341.483702983802</v>
      </c>
      <c r="CM643" s="41">
        <v>37033.022459203064</v>
      </c>
      <c r="CN643" s="41">
        <v>37217.555862337802</v>
      </c>
      <c r="CO643" s="41">
        <v>36596.834339607944</v>
      </c>
      <c r="CP643" s="41">
        <v>36226.695613945994</v>
      </c>
      <c r="CQ643" s="41">
        <v>33548.952044638216</v>
      </c>
      <c r="CR643" s="41">
        <v>31537.689913414506</v>
      </c>
      <c r="CS643" s="41">
        <v>32030.222734149858</v>
      </c>
      <c r="CT643" s="41">
        <v>31982.456566703884</v>
      </c>
      <c r="CU643" s="41">
        <v>30753.579419341204</v>
      </c>
      <c r="CV643" s="211">
        <v>29743.212417210703</v>
      </c>
      <c r="CW643" s="41">
        <v>26596.502283112237</v>
      </c>
      <c r="CX643" s="41">
        <v>23531.038778030812</v>
      </c>
      <c r="CY643" s="41">
        <v>21163.721167166343</v>
      </c>
      <c r="CZ643" s="41">
        <v>18543.100571939369</v>
      </c>
      <c r="DA643" s="41">
        <v>15612.64502627543</v>
      </c>
      <c r="DB643" s="41">
        <v>12192.059456739424</v>
      </c>
      <c r="DC643" s="41">
        <v>10877.469158067623</v>
      </c>
      <c r="DD643" s="41">
        <v>9865.4741966692618</v>
      </c>
      <c r="DE643" s="41">
        <v>5541.8107591369699</v>
      </c>
      <c r="DF643" s="41">
        <v>0</v>
      </c>
    </row>
    <row r="644" spans="1:110" ht="12" outlineLevel="1">
      <c r="A644" s="1" t="s">
        <v>6</v>
      </c>
      <c r="B644" s="15" t="s">
        <v>663</v>
      </c>
      <c r="AV644" s="200"/>
      <c r="BQ644" s="41">
        <v>1485.0781089648192</v>
      </c>
      <c r="BR644" s="41">
        <v>1643.9814666240547</v>
      </c>
      <c r="BS644" s="41">
        <v>1819.8874835528284</v>
      </c>
      <c r="BT644" s="41">
        <v>2014.6154442929808</v>
      </c>
      <c r="BU644" s="41">
        <v>2230.1792968323302</v>
      </c>
      <c r="BV644" s="41">
        <v>2468.8084815933894</v>
      </c>
      <c r="BW644" s="41">
        <v>2732.9709891238822</v>
      </c>
      <c r="BX644" s="41">
        <v>3025.3988849601374</v>
      </c>
      <c r="BY644" s="41">
        <v>3349.1165656508724</v>
      </c>
      <c r="BZ644" s="41">
        <v>3707.4720381755155</v>
      </c>
      <c r="CA644" s="41">
        <v>4104.1715462602951</v>
      </c>
      <c r="CB644" s="41">
        <v>4543.3179017101465</v>
      </c>
      <c r="CC644" s="41">
        <v>5029.4529171931326</v>
      </c>
      <c r="CD644" s="41">
        <v>5567.6043793327972</v>
      </c>
      <c r="CE644" s="41">
        <v>6163.3380479214075</v>
      </c>
      <c r="CF644" s="41">
        <v>6822.8152190489982</v>
      </c>
      <c r="CG644" s="41">
        <v>7552.856447487241</v>
      </c>
      <c r="CH644" s="41">
        <v>8361.0120873683754</v>
      </c>
      <c r="CI644" s="41">
        <v>9255.6403807167917</v>
      </c>
      <c r="CJ644" s="41">
        <v>10245.993901453488</v>
      </c>
      <c r="CK644" s="41">
        <v>11342.315248909012</v>
      </c>
      <c r="CL644" s="41">
        <v>12555.942980542277</v>
      </c>
      <c r="CM644" s="41">
        <v>13899.4288794603</v>
      </c>
      <c r="CN644" s="41">
        <v>15386.667769562551</v>
      </c>
      <c r="CO644" s="41">
        <v>17033.041220905743</v>
      </c>
      <c r="CP644" s="41">
        <v>18855.576631542659</v>
      </c>
      <c r="CQ644" s="41">
        <v>20873.123331117724</v>
      </c>
      <c r="CR644" s="41">
        <v>23106.547527547318</v>
      </c>
      <c r="CS644" s="41">
        <v>25578.948112994884</v>
      </c>
      <c r="CT644" s="41">
        <v>28315.895561085334</v>
      </c>
      <c r="CU644" s="41">
        <v>31345.696386121468</v>
      </c>
      <c r="CV644" s="211">
        <v>34699.685899436459</v>
      </c>
      <c r="CW644" s="41">
        <v>38412.552290676169</v>
      </c>
      <c r="CX644" s="41">
        <v>42522.695385778512</v>
      </c>
      <c r="CY644" s="41">
        <v>47072.623792056816</v>
      </c>
      <c r="CZ644" s="41">
        <v>52109.394537806889</v>
      </c>
      <c r="DA644" s="41">
        <v>57685.099753352231</v>
      </c>
      <c r="DB644" s="41">
        <v>63857.405426960919</v>
      </c>
      <c r="DC644" s="41">
        <v>70690.147807645742</v>
      </c>
      <c r="DD644" s="41">
        <v>78253.993623063827</v>
      </c>
      <c r="DE644" s="41">
        <v>86627.170940731667</v>
      </c>
      <c r="DF644" s="41">
        <v>95896.278231389952</v>
      </c>
    </row>
    <row r="645" spans="1:110" s="17" customFormat="1" ht="12" outlineLevel="1">
      <c r="A645" s="1" t="s">
        <v>752</v>
      </c>
      <c r="B645" s="17" t="s">
        <v>168</v>
      </c>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0"/>
      <c r="AH645" s="10"/>
      <c r="AI645" s="10"/>
      <c r="AJ645" s="10"/>
      <c r="AK645" s="10"/>
      <c r="AL645" s="10"/>
      <c r="AM645" s="10"/>
      <c r="AN645" s="10"/>
      <c r="AO645" s="10"/>
      <c r="AP645" s="10"/>
      <c r="AQ645" s="10"/>
      <c r="AR645" s="10"/>
      <c r="AS645" s="10"/>
      <c r="AT645" s="10"/>
      <c r="AU645" s="10"/>
      <c r="AV645" s="201"/>
      <c r="AW645" s="10"/>
      <c r="AX645" s="10"/>
      <c r="AY645" s="10"/>
      <c r="AZ645" s="10"/>
      <c r="BA645" s="10"/>
      <c r="BB645" s="10"/>
      <c r="BC645" s="10"/>
      <c r="BD645" s="10"/>
      <c r="BE645" s="10"/>
      <c r="BF645" s="10"/>
      <c r="BG645" s="10"/>
      <c r="BH645" s="10"/>
      <c r="BI645" s="10"/>
      <c r="BJ645" s="10"/>
      <c r="BK645" s="10"/>
      <c r="BL645" s="10"/>
      <c r="BM645" s="10"/>
      <c r="BN645" s="10"/>
      <c r="BO645" s="10"/>
      <c r="BP645" s="10"/>
      <c r="BQ645" s="62">
        <v>10607.945115979282</v>
      </c>
      <c r="BR645" s="62">
        <v>11668.595243389065</v>
      </c>
      <c r="BS645" s="62">
        <v>12649.134934431699</v>
      </c>
      <c r="BT645" s="62">
        <v>13664.592372415887</v>
      </c>
      <c r="BU645" s="62">
        <v>14695.703756264391</v>
      </c>
      <c r="BV645" s="62">
        <v>15793.144058184676</v>
      </c>
      <c r="BW645" s="62">
        <v>16982.010472410439</v>
      </c>
      <c r="BX645" s="62">
        <v>18174.085592958356</v>
      </c>
      <c r="BY645" s="62">
        <v>18435.712751404895</v>
      </c>
      <c r="BZ645" s="62">
        <v>19051.33401580522</v>
      </c>
      <c r="CA645" s="62">
        <v>20043.826755496379</v>
      </c>
      <c r="CB645" s="62">
        <v>21006.516218334495</v>
      </c>
      <c r="CC645" s="62">
        <v>25282.213453696284</v>
      </c>
      <c r="CD645" s="62">
        <v>26126.410293241781</v>
      </c>
      <c r="CE645" s="62">
        <v>26881.936194618651</v>
      </c>
      <c r="CF645" s="62">
        <v>27956.303367442859</v>
      </c>
      <c r="CG645" s="62">
        <v>31954.627827759239</v>
      </c>
      <c r="CH645" s="62">
        <v>39591.77300532948</v>
      </c>
      <c r="CI645" s="62">
        <v>41404.09271689973</v>
      </c>
      <c r="CJ645" s="62">
        <v>43696.330637607993</v>
      </c>
      <c r="CK645" s="62">
        <v>46257.838015832058</v>
      </c>
      <c r="CL645" s="62">
        <v>49897.426683526079</v>
      </c>
      <c r="CM645" s="62">
        <v>50932.451338663363</v>
      </c>
      <c r="CN645" s="62">
        <v>52604.223631900357</v>
      </c>
      <c r="CO645" s="62">
        <v>53629.875560513683</v>
      </c>
      <c r="CP645" s="62">
        <v>55082.272245488653</v>
      </c>
      <c r="CQ645" s="62">
        <v>54422.075375755943</v>
      </c>
      <c r="CR645" s="62">
        <v>54644.237440961821</v>
      </c>
      <c r="CS645" s="62">
        <v>57609.170847144742</v>
      </c>
      <c r="CT645" s="62">
        <v>60298.352127789214</v>
      </c>
      <c r="CU645" s="62">
        <v>62099.275805462676</v>
      </c>
      <c r="CV645" s="220">
        <v>64442.898316647159</v>
      </c>
      <c r="CW645" s="62">
        <v>65009.054573788409</v>
      </c>
      <c r="CX645" s="62">
        <v>66053.73416380932</v>
      </c>
      <c r="CY645" s="62">
        <v>68236.344959223163</v>
      </c>
      <c r="CZ645" s="62">
        <v>70652.495109746262</v>
      </c>
      <c r="DA645" s="62">
        <v>73297.744779627654</v>
      </c>
      <c r="DB645" s="62">
        <v>76049.464883700348</v>
      </c>
      <c r="DC645" s="62">
        <v>81567.616965713358</v>
      </c>
      <c r="DD645" s="62">
        <v>88119.467819733094</v>
      </c>
      <c r="DE645" s="62">
        <v>92168.981699868629</v>
      </c>
      <c r="DF645" s="62">
        <v>95896.278231389952</v>
      </c>
    </row>
    <row r="646" spans="1:110" ht="12" outlineLevel="1">
      <c r="AV646" s="200"/>
      <c r="BQ646" s="41"/>
      <c r="BR646" s="41"/>
      <c r="BS646" s="41"/>
      <c r="BT646" s="41"/>
      <c r="BU646" s="41"/>
      <c r="BV646" s="41"/>
      <c r="BW646" s="41"/>
      <c r="BX646" s="41"/>
      <c r="BY646" s="41"/>
      <c r="BZ646" s="41"/>
      <c r="CA646" s="41"/>
      <c r="CB646" s="41"/>
      <c r="CC646" s="41"/>
      <c r="CD646" s="41"/>
      <c r="CE646" s="41"/>
      <c r="CF646" s="41"/>
      <c r="CG646" s="41"/>
      <c r="CH646" s="41"/>
      <c r="CI646" s="41"/>
      <c r="CJ646" s="41"/>
      <c r="CK646" s="41"/>
      <c r="CL646" s="41"/>
      <c r="CM646" s="41"/>
      <c r="CN646" s="41"/>
      <c r="CO646" s="41"/>
      <c r="CP646" s="41"/>
      <c r="CQ646" s="41"/>
      <c r="CR646" s="41"/>
      <c r="CS646" s="41"/>
      <c r="CT646" s="41"/>
      <c r="CU646" s="41"/>
      <c r="CV646" s="211"/>
      <c r="CW646" s="41"/>
      <c r="CX646" s="41"/>
      <c r="CY646" s="41"/>
      <c r="CZ646" s="15"/>
      <c r="DA646" s="15"/>
      <c r="DB646" s="15"/>
      <c r="DC646" s="15"/>
      <c r="DD646" s="15"/>
      <c r="DE646" s="15"/>
      <c r="DF646" s="15"/>
    </row>
    <row r="647" spans="1:110" ht="12" outlineLevel="1">
      <c r="A647" s="1" t="s">
        <v>753</v>
      </c>
      <c r="B647" s="15" t="s">
        <v>664</v>
      </c>
      <c r="AV647" s="200"/>
      <c r="BQ647" s="41">
        <v>3442.4312679743889</v>
      </c>
      <c r="BR647" s="41">
        <v>3810.7714136476488</v>
      </c>
      <c r="BS647" s="41">
        <v>4218.5239549079488</v>
      </c>
      <c r="BT647" s="41">
        <v>4643.5927046502611</v>
      </c>
      <c r="BU647" s="41">
        <v>4958.7966240478381</v>
      </c>
      <c r="BV647" s="41">
        <v>5215.7316128209577</v>
      </c>
      <c r="BW647" s="41">
        <v>5588.4584880675056</v>
      </c>
      <c r="BX647" s="41">
        <v>5924.9297525848933</v>
      </c>
      <c r="BY647" s="41">
        <v>6188.3784861114782</v>
      </c>
      <c r="BZ647" s="41">
        <v>6467.5713477617692</v>
      </c>
      <c r="CA647" s="41">
        <v>6784.0014819722801</v>
      </c>
      <c r="CB647" s="41">
        <v>7084.4896405433128</v>
      </c>
      <c r="CC647" s="41">
        <v>7301.3300320814478</v>
      </c>
      <c r="CD647" s="41">
        <v>7491.2723455141622</v>
      </c>
      <c r="CE647" s="41">
        <v>7669.0527721984654</v>
      </c>
      <c r="CF647" s="41">
        <v>7852.6985616808406</v>
      </c>
      <c r="CG647" s="41">
        <v>8015.1087363521165</v>
      </c>
      <c r="CH647" s="41">
        <v>8269.9825139989389</v>
      </c>
      <c r="CI647" s="41">
        <v>8342.5563572825395</v>
      </c>
      <c r="CJ647" s="41">
        <v>8310.7813160831975</v>
      </c>
      <c r="CK647" s="41">
        <v>8212.3492026183867</v>
      </c>
      <c r="CL647" s="41">
        <v>8594.0134244414148</v>
      </c>
      <c r="CM647" s="41">
        <v>8306.5442894280714</v>
      </c>
      <c r="CN647" s="41">
        <v>7933.8016712540175</v>
      </c>
      <c r="CO647" s="41">
        <v>7496.7470215067688</v>
      </c>
      <c r="CP647" s="41">
        <v>7113.7275242365649</v>
      </c>
      <c r="CQ647" s="41">
        <v>6695.8963693298774</v>
      </c>
      <c r="CR647" s="41">
        <v>6431.897280848174</v>
      </c>
      <c r="CS647" s="41">
        <v>6368.7388613274998</v>
      </c>
      <c r="CT647" s="41">
        <v>6297.2796337752579</v>
      </c>
      <c r="CU647" s="41">
        <v>5951.0028403034939</v>
      </c>
      <c r="CV647" s="211">
        <v>5680.0933205077627</v>
      </c>
      <c r="CW647" s="41">
        <v>5405.3099316012622</v>
      </c>
      <c r="CX647" s="41">
        <v>5036.5008819032428</v>
      </c>
      <c r="CY647" s="41">
        <v>4633.2725725306655</v>
      </c>
      <c r="CZ647" s="41">
        <v>4186.8988340552205</v>
      </c>
      <c r="DA647" s="41">
        <v>3687.0876001187107</v>
      </c>
      <c r="DB647" s="41">
        <v>3099.743531485829</v>
      </c>
      <c r="DC647" s="41">
        <v>2472.2556692860057</v>
      </c>
      <c r="DD647" s="41">
        <v>1902.6271665005015</v>
      </c>
      <c r="DE647" s="41">
        <v>1068.7777892621327</v>
      </c>
      <c r="DF647" s="41">
        <v>0</v>
      </c>
    </row>
    <row r="648" spans="1:110" ht="12" outlineLevel="1">
      <c r="A648" s="1" t="s">
        <v>754</v>
      </c>
      <c r="B648" s="15" t="s">
        <v>549</v>
      </c>
      <c r="AV648" s="200"/>
      <c r="BQ648" s="41">
        <v>229.03011851601195</v>
      </c>
      <c r="BR648" s="41">
        <v>253.53634119722523</v>
      </c>
      <c r="BS648" s="41">
        <v>280.66472970532828</v>
      </c>
      <c r="BT648" s="41">
        <v>310.69585578379838</v>
      </c>
      <c r="BU648" s="41">
        <v>343.94031235266488</v>
      </c>
      <c r="BV648" s="41">
        <v>380.74192577439999</v>
      </c>
      <c r="BW648" s="41">
        <v>421.48131183226081</v>
      </c>
      <c r="BX648" s="41">
        <v>466.57981219831271</v>
      </c>
      <c r="BY648" s="41">
        <v>516.50385210353215</v>
      </c>
      <c r="BZ648" s="41">
        <v>571.76976427861007</v>
      </c>
      <c r="CA648" s="41">
        <v>632.94912905642138</v>
      </c>
      <c r="CB648" s="41">
        <v>700.6746858654584</v>
      </c>
      <c r="CC648" s="41">
        <v>775.64687725306248</v>
      </c>
      <c r="CD648" s="41">
        <v>858.64109311914012</v>
      </c>
      <c r="CE648" s="41">
        <v>950.51569008288823</v>
      </c>
      <c r="CF648" s="41">
        <v>1052.2208689217573</v>
      </c>
      <c r="CG648" s="41">
        <v>1164.8085018963855</v>
      </c>
      <c r="CH648" s="41">
        <v>1289.4430115992986</v>
      </c>
      <c r="CI648" s="41">
        <v>1427.4134138404236</v>
      </c>
      <c r="CJ648" s="41">
        <v>1580.1466491213487</v>
      </c>
      <c r="CK648" s="41">
        <v>1749.2223405773329</v>
      </c>
      <c r="CL648" s="41">
        <v>1936.3891310191077</v>
      </c>
      <c r="CM648" s="41">
        <v>2143.5827680381522</v>
      </c>
      <c r="CN648" s="41">
        <v>2372.9461242182347</v>
      </c>
      <c r="CO648" s="41">
        <v>2626.8513595095856</v>
      </c>
      <c r="CP648" s="41">
        <v>2907.9244549771111</v>
      </c>
      <c r="CQ648" s="41">
        <v>3219.0723716596622</v>
      </c>
      <c r="CR648" s="41">
        <v>3563.5131154272458</v>
      </c>
      <c r="CS648" s="41">
        <v>3944.8090187779612</v>
      </c>
      <c r="CT648" s="41">
        <v>4366.9035837872034</v>
      </c>
      <c r="CU648" s="41">
        <v>4834.1622672524345</v>
      </c>
      <c r="CV648" s="211">
        <v>5351.4176298484444</v>
      </c>
      <c r="CW648" s="41">
        <v>5924.0193162422283</v>
      </c>
      <c r="CX648" s="41">
        <v>6557.8893830801462</v>
      </c>
      <c r="CY648" s="41">
        <v>7259.583547069722</v>
      </c>
      <c r="CZ648" s="41">
        <v>8036.358986606182</v>
      </c>
      <c r="DA648" s="41">
        <v>8896.2493981730422</v>
      </c>
      <c r="DB648" s="41">
        <v>9848.1480837775598</v>
      </c>
      <c r="DC648" s="41">
        <v>10901.899928741759</v>
      </c>
      <c r="DD648" s="41">
        <v>12068.403221117125</v>
      </c>
      <c r="DE648" s="41">
        <v>13359.722365776659</v>
      </c>
      <c r="DF648" s="41">
        <v>14789.212658914761</v>
      </c>
    </row>
    <row r="649" spans="1:110" s="17" customFormat="1" ht="12" outlineLevel="1">
      <c r="A649" s="1" t="s">
        <v>755</v>
      </c>
      <c r="B649" s="17" t="s">
        <v>168</v>
      </c>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10"/>
      <c r="AH649" s="10"/>
      <c r="AI649" s="10"/>
      <c r="AJ649" s="10"/>
      <c r="AK649" s="10"/>
      <c r="AL649" s="10"/>
      <c r="AM649" s="10"/>
      <c r="AN649" s="10"/>
      <c r="AO649" s="10"/>
      <c r="AP649" s="10"/>
      <c r="AQ649" s="10"/>
      <c r="AR649" s="10"/>
      <c r="AS649" s="10"/>
      <c r="AT649" s="10"/>
      <c r="AU649" s="10"/>
      <c r="AV649" s="201"/>
      <c r="AW649" s="10"/>
      <c r="AX649" s="10"/>
      <c r="AY649" s="10"/>
      <c r="AZ649" s="10"/>
      <c r="BA649" s="10"/>
      <c r="BB649" s="10"/>
      <c r="BC649" s="10"/>
      <c r="BD649" s="10"/>
      <c r="BE649" s="10"/>
      <c r="BF649" s="10"/>
      <c r="BG649" s="10"/>
      <c r="BH649" s="10"/>
      <c r="BI649" s="10"/>
      <c r="BJ649" s="10"/>
      <c r="BK649" s="10"/>
      <c r="BL649" s="10"/>
      <c r="BM649" s="10"/>
      <c r="BN649" s="10"/>
      <c r="BO649" s="10"/>
      <c r="BP649" s="10"/>
      <c r="BQ649" s="62">
        <v>3671.4613864904009</v>
      </c>
      <c r="BR649" s="62">
        <v>4064.3077548448741</v>
      </c>
      <c r="BS649" s="62">
        <v>4499.1886846132775</v>
      </c>
      <c r="BT649" s="62">
        <v>4954.288560434059</v>
      </c>
      <c r="BU649" s="62">
        <v>5302.7369364005026</v>
      </c>
      <c r="BV649" s="62">
        <v>5596.4735385953572</v>
      </c>
      <c r="BW649" s="62">
        <v>6009.9397998997665</v>
      </c>
      <c r="BX649" s="62">
        <v>6391.5095647832059</v>
      </c>
      <c r="BY649" s="62">
        <v>6704.8823382150103</v>
      </c>
      <c r="BZ649" s="62">
        <v>7039.3411120403789</v>
      </c>
      <c r="CA649" s="62">
        <v>7416.9506110287011</v>
      </c>
      <c r="CB649" s="62">
        <v>7785.1643264087716</v>
      </c>
      <c r="CC649" s="62">
        <v>8076.9769093345103</v>
      </c>
      <c r="CD649" s="62">
        <v>8349.9134386333026</v>
      </c>
      <c r="CE649" s="62">
        <v>8619.5684622813533</v>
      </c>
      <c r="CF649" s="62">
        <v>8904.9194306025984</v>
      </c>
      <c r="CG649" s="62">
        <v>9179.9172382485012</v>
      </c>
      <c r="CH649" s="62">
        <v>9559.4255255982371</v>
      </c>
      <c r="CI649" s="62">
        <v>9769.9697711229637</v>
      </c>
      <c r="CJ649" s="62">
        <v>9890.9279652045461</v>
      </c>
      <c r="CK649" s="62">
        <v>9961.5715431957196</v>
      </c>
      <c r="CL649" s="62">
        <v>10530.402555460523</v>
      </c>
      <c r="CM649" s="62">
        <v>10450.127057466223</v>
      </c>
      <c r="CN649" s="62">
        <v>10306.747795472253</v>
      </c>
      <c r="CO649" s="62">
        <v>10123.598381016354</v>
      </c>
      <c r="CP649" s="62">
        <v>10021.651979213675</v>
      </c>
      <c r="CQ649" s="62">
        <v>9914.9687409895396</v>
      </c>
      <c r="CR649" s="62">
        <v>9995.4103962754198</v>
      </c>
      <c r="CS649" s="62">
        <v>10313.547880105461</v>
      </c>
      <c r="CT649" s="62">
        <v>10664.183217562462</v>
      </c>
      <c r="CU649" s="62">
        <v>10785.165107555928</v>
      </c>
      <c r="CV649" s="220">
        <v>11031.510950356207</v>
      </c>
      <c r="CW649" s="62">
        <v>11329.329247843491</v>
      </c>
      <c r="CX649" s="62">
        <v>11594.390264983389</v>
      </c>
      <c r="CY649" s="62">
        <v>11892.856119600387</v>
      </c>
      <c r="CZ649" s="62">
        <v>12223.257820661402</v>
      </c>
      <c r="DA649" s="62">
        <v>12583.336998291754</v>
      </c>
      <c r="DB649" s="62">
        <v>12947.891615263388</v>
      </c>
      <c r="DC649" s="62">
        <v>13374.155598027764</v>
      </c>
      <c r="DD649" s="62">
        <v>13971.030387617626</v>
      </c>
      <c r="DE649" s="62">
        <v>14428.500155038791</v>
      </c>
      <c r="DF649" s="62">
        <v>14789.212658914761</v>
      </c>
    </row>
    <row r="650" spans="1:110" ht="12" outlineLevel="1">
      <c r="AV650" s="200"/>
      <c r="BQ650" s="41"/>
      <c r="BR650" s="41"/>
      <c r="BS650" s="41"/>
      <c r="BT650" s="41"/>
      <c r="BU650" s="41"/>
      <c r="BV650" s="41"/>
      <c r="BW650" s="41"/>
      <c r="BX650" s="41"/>
      <c r="BY650" s="41"/>
      <c r="BZ650" s="41"/>
      <c r="CA650" s="41"/>
      <c r="CB650" s="41"/>
      <c r="CC650" s="41"/>
      <c r="CD650" s="41"/>
      <c r="CE650" s="41"/>
      <c r="CF650" s="41"/>
      <c r="CG650" s="41"/>
      <c r="CH650" s="41"/>
      <c r="CI650" s="41"/>
      <c r="CJ650" s="41"/>
      <c r="CK650" s="41"/>
      <c r="CL650" s="41"/>
      <c r="CM650" s="41"/>
      <c r="CN650" s="41"/>
      <c r="CO650" s="41"/>
      <c r="CP650" s="41"/>
      <c r="CQ650" s="41"/>
      <c r="CR650" s="41"/>
      <c r="CS650" s="41"/>
      <c r="CT650" s="41"/>
      <c r="CU650" s="41"/>
      <c r="CV650" s="211"/>
      <c r="CW650" s="41"/>
      <c r="CX650" s="41"/>
      <c r="CY650" s="41"/>
      <c r="CZ650" s="15"/>
      <c r="DA650" s="15"/>
      <c r="DB650" s="15"/>
      <c r="DC650" s="15"/>
      <c r="DD650" s="15"/>
      <c r="DE650" s="15"/>
      <c r="DF650" s="15"/>
    </row>
    <row r="651" spans="1:110" s="17" customFormat="1" ht="12" outlineLevel="1">
      <c r="A651" s="1" t="s">
        <v>756</v>
      </c>
      <c r="B651" s="17" t="s">
        <v>550</v>
      </c>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0"/>
      <c r="AH651" s="10"/>
      <c r="AI651" s="10"/>
      <c r="AJ651" s="10"/>
      <c r="AK651" s="10"/>
      <c r="AL651" s="10"/>
      <c r="AM651" s="10"/>
      <c r="AN651" s="10"/>
      <c r="AO651" s="10"/>
      <c r="AP651" s="10"/>
      <c r="AQ651" s="10"/>
      <c r="AR651" s="10"/>
      <c r="AS651" s="10"/>
      <c r="AT651" s="10"/>
      <c r="AU651" s="10"/>
      <c r="AV651" s="201"/>
      <c r="AW651" s="10"/>
      <c r="AX651" s="10"/>
      <c r="AY651" s="10"/>
      <c r="AZ651" s="10"/>
      <c r="BA651" s="10"/>
      <c r="BB651" s="10"/>
      <c r="BC651" s="10"/>
      <c r="BD651" s="10"/>
      <c r="BE651" s="10"/>
      <c r="BF651" s="10"/>
      <c r="BG651" s="10"/>
      <c r="BH651" s="10"/>
      <c r="BI651" s="10"/>
      <c r="BJ651" s="10"/>
      <c r="BK651" s="10"/>
      <c r="BL651" s="10"/>
      <c r="BM651" s="10"/>
      <c r="BN651" s="10"/>
      <c r="BO651" s="10"/>
      <c r="BP651" s="10"/>
      <c r="BQ651" s="62">
        <v>14279.406502469683</v>
      </c>
      <c r="BR651" s="62">
        <v>15732.90299823394</v>
      </c>
      <c r="BS651" s="62">
        <v>17148.323619044975</v>
      </c>
      <c r="BT651" s="62">
        <v>18618.880932849948</v>
      </c>
      <c r="BU651" s="62">
        <v>19998.440692664895</v>
      </c>
      <c r="BV651" s="62">
        <v>21389.617596780034</v>
      </c>
      <c r="BW651" s="62">
        <v>22991.950272310205</v>
      </c>
      <c r="BX651" s="62">
        <v>24565.595157741562</v>
      </c>
      <c r="BY651" s="62">
        <v>25140.595089619907</v>
      </c>
      <c r="BZ651" s="62">
        <v>26090.675127845599</v>
      </c>
      <c r="CA651" s="62">
        <v>27460.777366525079</v>
      </c>
      <c r="CB651" s="62">
        <v>28791.680544743267</v>
      </c>
      <c r="CC651" s="62">
        <v>33359.190363030793</v>
      </c>
      <c r="CD651" s="62">
        <v>34476.323731875083</v>
      </c>
      <c r="CE651" s="62">
        <v>35501.504656900004</v>
      </c>
      <c r="CF651" s="62">
        <v>36861.222798045455</v>
      </c>
      <c r="CG651" s="62">
        <v>41134.54506600774</v>
      </c>
      <c r="CH651" s="62">
        <v>49151.198530927715</v>
      </c>
      <c r="CI651" s="62">
        <v>51174.062488022697</v>
      </c>
      <c r="CJ651" s="62">
        <v>53587.258602812537</v>
      </c>
      <c r="CK651" s="62">
        <v>56219.409559027779</v>
      </c>
      <c r="CL651" s="62">
        <v>60427.829238986604</v>
      </c>
      <c r="CM651" s="62">
        <v>61382.578396129582</v>
      </c>
      <c r="CN651" s="62">
        <v>62910.971427372613</v>
      </c>
      <c r="CO651" s="62">
        <v>63753.473941530036</v>
      </c>
      <c r="CP651" s="62">
        <v>65103.924224702329</v>
      </c>
      <c r="CQ651" s="62">
        <v>64337.044116745485</v>
      </c>
      <c r="CR651" s="62">
        <v>64639.647837237237</v>
      </c>
      <c r="CS651" s="62">
        <v>67922.718727250205</v>
      </c>
      <c r="CT651" s="62">
        <v>70962.535345351673</v>
      </c>
      <c r="CU651" s="62">
        <v>72884.440913018596</v>
      </c>
      <c r="CV651" s="220">
        <v>75474.409267003371</v>
      </c>
      <c r="CW651" s="62">
        <v>76338.383821631898</v>
      </c>
      <c r="CX651" s="62">
        <v>77648.124428792711</v>
      </c>
      <c r="CY651" s="62">
        <v>80129.201078823549</v>
      </c>
      <c r="CZ651" s="62">
        <v>82875.75293040766</v>
      </c>
      <c r="DA651" s="62">
        <v>85881.081777919404</v>
      </c>
      <c r="DB651" s="62">
        <v>88997.356498963738</v>
      </c>
      <c r="DC651" s="62">
        <v>94941.77256374112</v>
      </c>
      <c r="DD651" s="62">
        <v>102090.49820735073</v>
      </c>
      <c r="DE651" s="62">
        <v>106597.48185490743</v>
      </c>
      <c r="DF651" s="62">
        <v>110685.49089030472</v>
      </c>
    </row>
    <row r="652" spans="1:110" ht="12" outlineLevel="1">
      <c r="A652" s="1" t="s">
        <v>757</v>
      </c>
      <c r="B652" s="15" t="s">
        <v>155</v>
      </c>
      <c r="AV652" s="200"/>
      <c r="BQ652" s="41">
        <v>1062.911884655161</v>
      </c>
      <c r="BR652" s="41">
        <v>1318.6356827936288</v>
      </c>
      <c r="BS652" s="41">
        <v>1364.3783774793717</v>
      </c>
      <c r="BT652" s="41">
        <v>1457.5831903685769</v>
      </c>
      <c r="BU652" s="41">
        <v>1489.8805557179519</v>
      </c>
      <c r="BV652" s="41">
        <v>1520.5847618049243</v>
      </c>
      <c r="BW652" s="41">
        <v>1551.7209969700209</v>
      </c>
      <c r="BX652" s="41">
        <v>1577.9160969915913</v>
      </c>
      <c r="BY652" s="41">
        <v>1518.2151547345695</v>
      </c>
      <c r="BZ652" s="41">
        <v>1500.1723640894036</v>
      </c>
      <c r="CA652" s="41">
        <v>1515.8968073332353</v>
      </c>
      <c r="CB652" s="41">
        <v>1533.8388002652996</v>
      </c>
      <c r="CC652" s="41">
        <v>1832.9056150374061</v>
      </c>
      <c r="CD652" s="41">
        <v>1840.9694320855249</v>
      </c>
      <c r="CE652" s="41">
        <v>1851.2507988218763</v>
      </c>
      <c r="CF652" s="41">
        <v>1879.5749562033936</v>
      </c>
      <c r="CG652" s="41">
        <v>2056.9789312620078</v>
      </c>
      <c r="CH652" s="41">
        <v>2524.4787246266956</v>
      </c>
      <c r="CI652" s="41">
        <v>2580.1190622587151</v>
      </c>
      <c r="CJ652" s="41">
        <v>2649.9718774380449</v>
      </c>
      <c r="CK652" s="41">
        <v>2739.0770558197578</v>
      </c>
      <c r="CL652" s="41">
        <v>2765.5868543654478</v>
      </c>
      <c r="CM652" s="41">
        <v>2778.5897593555396</v>
      </c>
      <c r="CN652" s="41">
        <v>2925.8552181968093</v>
      </c>
      <c r="CO652" s="41">
        <v>2950.8530510459777</v>
      </c>
      <c r="CP652" s="41">
        <v>2960.8474739085123</v>
      </c>
      <c r="CQ652" s="41">
        <v>2896.5413462139368</v>
      </c>
      <c r="CR652" s="41">
        <v>2857.1967783034938</v>
      </c>
      <c r="CS652" s="41">
        <v>2863.0282304155085</v>
      </c>
      <c r="CT652" s="41">
        <v>2846.0875891807764</v>
      </c>
      <c r="CU652" s="41">
        <v>2989.9237509999998</v>
      </c>
      <c r="CV652" s="211">
        <v>3005.2868859999999</v>
      </c>
      <c r="CW652" s="41">
        <v>2974.3612883344072</v>
      </c>
      <c r="CX652" s="41">
        <v>2942.854674767324</v>
      </c>
      <c r="CY652" s="41">
        <v>2942.854674767324</v>
      </c>
      <c r="CZ652" s="41">
        <v>2942.854674767324</v>
      </c>
      <c r="DA652" s="41">
        <v>2942.854674767324</v>
      </c>
      <c r="DB652" s="41">
        <v>2942.854674767324</v>
      </c>
      <c r="DC652" s="41">
        <v>2985.2627551677906</v>
      </c>
      <c r="DD652" s="41">
        <v>3022.061335154996</v>
      </c>
      <c r="DE652" s="41">
        <v>3022.061335154996</v>
      </c>
      <c r="DF652" s="41">
        <v>3022.061335154996</v>
      </c>
    </row>
    <row r="653" spans="1:110" s="17" customFormat="1" ht="12" outlineLevel="1">
      <c r="A653" s="1" t="s">
        <v>758</v>
      </c>
      <c r="B653" s="17" t="s">
        <v>551</v>
      </c>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0"/>
      <c r="AH653" s="10"/>
      <c r="AI653" s="10"/>
      <c r="AJ653" s="10"/>
      <c r="AK653" s="10"/>
      <c r="AL653" s="10"/>
      <c r="AM653" s="10"/>
      <c r="AN653" s="10"/>
      <c r="AO653" s="10"/>
      <c r="AP653" s="10"/>
      <c r="AQ653" s="10"/>
      <c r="AR653" s="10"/>
      <c r="AS653" s="10"/>
      <c r="AT653" s="10"/>
      <c r="AU653" s="10"/>
      <c r="AV653" s="201"/>
      <c r="AW653" s="10"/>
      <c r="AX653" s="10"/>
      <c r="AY653" s="10"/>
      <c r="AZ653" s="10"/>
      <c r="BA653" s="10"/>
      <c r="BB653" s="10"/>
      <c r="BC653" s="10"/>
      <c r="BD653" s="10"/>
      <c r="BE653" s="10"/>
      <c r="BF653" s="10"/>
      <c r="BG653" s="10"/>
      <c r="BH653" s="10"/>
      <c r="BI653" s="10"/>
      <c r="BJ653" s="10"/>
      <c r="BK653" s="10"/>
      <c r="BL653" s="10"/>
      <c r="BM653" s="10"/>
      <c r="BN653" s="10"/>
      <c r="BO653" s="10"/>
      <c r="BP653" s="10"/>
      <c r="BQ653" s="82">
        <v>13.434233550885859</v>
      </c>
      <c r="BR653" s="82">
        <v>11.931197679182018</v>
      </c>
      <c r="BS653" s="82">
        <v>12.568598199808575</v>
      </c>
      <c r="BT653" s="82">
        <v>12.773803276464665</v>
      </c>
      <c r="BU653" s="82">
        <v>13.422848305465626</v>
      </c>
      <c r="BV653" s="82">
        <v>14.066705213717055</v>
      </c>
      <c r="BW653" s="82">
        <v>14.81706461226316</v>
      </c>
      <c r="BX653" s="82">
        <v>15.568378575120443</v>
      </c>
      <c r="BY653" s="82">
        <v>16.559309799548966</v>
      </c>
      <c r="BZ653" s="82">
        <v>17.391784939114309</v>
      </c>
      <c r="CA653" s="82">
        <v>18.1152023235896</v>
      </c>
      <c r="CB653" s="82">
        <v>18.770995061386717</v>
      </c>
      <c r="CC653" s="82">
        <v>18.20016813159798</v>
      </c>
      <c r="CD653" s="82">
        <v>18.727265717181901</v>
      </c>
      <c r="CE653" s="82">
        <v>19.177036779399597</v>
      </c>
      <c r="CF653" s="82">
        <v>19.611467303492102</v>
      </c>
      <c r="CG653" s="82">
        <v>19.99755293593147</v>
      </c>
      <c r="CH653" s="82">
        <v>19.469840665104392</v>
      </c>
      <c r="CI653" s="82">
        <v>19.833992638782863</v>
      </c>
      <c r="CJ653" s="82">
        <v>20.221821619714671</v>
      </c>
      <c r="CK653" s="82">
        <v>20.524946328025919</v>
      </c>
      <c r="CL653" s="82">
        <v>21.849911943138562</v>
      </c>
      <c r="CM653" s="82">
        <v>22.091270648880002</v>
      </c>
      <c r="CN653" s="82">
        <v>21.501737692319701</v>
      </c>
      <c r="CO653" s="82">
        <v>21.605099555510424</v>
      </c>
      <c r="CP653" s="82">
        <v>21.988273559651113</v>
      </c>
      <c r="CQ653" s="82">
        <v>22.211678145330225</v>
      </c>
      <c r="CR653" s="82">
        <v>22.623449784098547</v>
      </c>
      <c r="CS653" s="82">
        <v>23.724082775597587</v>
      </c>
      <c r="CT653" s="82">
        <v>24.933363124561346</v>
      </c>
      <c r="CU653" s="82">
        <v>24.376688833165698</v>
      </c>
      <c r="CV653" s="223">
        <v>25.113878351713332</v>
      </c>
      <c r="CW653" s="82">
        <v>25.665471145363153</v>
      </c>
      <c r="CX653" s="82">
        <v>26.385307128674963</v>
      </c>
      <c r="CY653" s="82">
        <v>27.228392134300325</v>
      </c>
      <c r="CZ653" s="82">
        <v>28.161687235527594</v>
      </c>
      <c r="DA653" s="82">
        <v>29.182916341157611</v>
      </c>
      <c r="DB653" s="82">
        <v>30.241845532518621</v>
      </c>
      <c r="DC653" s="82">
        <v>31.803489458134749</v>
      </c>
      <c r="DD653" s="82">
        <v>33.781742620427224</v>
      </c>
      <c r="DE653" s="82">
        <v>35.273103366527216</v>
      </c>
      <c r="DF653" s="82">
        <v>36.625825426745635</v>
      </c>
    </row>
    <row r="654" spans="1:110" ht="12" outlineLevel="1">
      <c r="AV654" s="200"/>
      <c r="CZ654" s="15"/>
      <c r="DA654" s="15"/>
      <c r="DB654" s="15"/>
      <c r="DC654" s="15"/>
      <c r="DD654" s="15"/>
      <c r="DE654" s="15"/>
      <c r="DF654" s="15"/>
    </row>
    <row r="655" spans="1:110" s="4" customFormat="1" ht="12.95" customHeight="1" outlineLevel="1">
      <c r="A655" s="1"/>
      <c r="B655" s="5" t="s">
        <v>443</v>
      </c>
      <c r="C655" s="389"/>
      <c r="D655" s="389"/>
      <c r="E655" s="389"/>
      <c r="F655" s="389"/>
      <c r="G655" s="389"/>
      <c r="H655" s="389"/>
      <c r="I655" s="389"/>
      <c r="J655" s="389"/>
      <c r="K655" s="389"/>
      <c r="L655" s="389"/>
      <c r="M655" s="75"/>
      <c r="N655" s="75"/>
      <c r="O655" s="75"/>
      <c r="P655" s="75"/>
      <c r="Q655" s="75"/>
      <c r="R655" s="75"/>
      <c r="S655" s="75"/>
      <c r="T655" s="78"/>
      <c r="U655" s="75"/>
      <c r="V655" s="75"/>
      <c r="W655" s="75"/>
      <c r="X655" s="75"/>
      <c r="Y655" s="78"/>
      <c r="Z655" s="78"/>
      <c r="AA655" s="78"/>
      <c r="AB655" s="78"/>
      <c r="AC655" s="78"/>
      <c r="AD655" s="78"/>
      <c r="AE655" s="78"/>
      <c r="AF655" s="78"/>
      <c r="AG655" s="78"/>
      <c r="AH655" s="78"/>
      <c r="AI655" s="78"/>
      <c r="AJ655" s="78"/>
      <c r="AK655" s="78"/>
      <c r="AL655" s="78"/>
      <c r="AM655" s="78"/>
      <c r="AN655" s="78"/>
      <c r="AO655" s="78"/>
      <c r="AP655" s="78"/>
      <c r="AQ655" s="78"/>
      <c r="AR655" s="78"/>
      <c r="AS655" s="78"/>
      <c r="AT655" s="78"/>
      <c r="AU655" s="78"/>
      <c r="AV655" s="76"/>
      <c r="AW655" s="75"/>
      <c r="AX655" s="75"/>
      <c r="AY655" s="75"/>
      <c r="AZ655" s="75"/>
      <c r="BA655" s="75"/>
      <c r="BB655" s="75"/>
      <c r="BC655" s="75"/>
      <c r="BD655" s="75"/>
      <c r="BE655" s="75"/>
      <c r="BF655" s="75"/>
      <c r="BG655" s="75"/>
      <c r="BH655" s="75"/>
      <c r="BI655" s="75"/>
      <c r="BJ655" s="75"/>
      <c r="BK655" s="75"/>
      <c r="BL655" s="75"/>
      <c r="BM655" s="75"/>
      <c r="BN655" s="75"/>
      <c r="BO655" s="75"/>
      <c r="BP655" s="77"/>
      <c r="BQ655" s="389"/>
      <c r="BR655" s="389" t="s">
        <v>800</v>
      </c>
      <c r="BS655" s="389" t="s">
        <v>800</v>
      </c>
      <c r="BT655" s="389" t="s">
        <v>800</v>
      </c>
      <c r="BU655" s="389" t="s">
        <v>800</v>
      </c>
      <c r="BV655" s="389" t="s">
        <v>800</v>
      </c>
      <c r="BW655" s="389" t="s">
        <v>800</v>
      </c>
      <c r="BX655" s="389" t="s">
        <v>800</v>
      </c>
      <c r="BY655" s="389" t="s">
        <v>800</v>
      </c>
      <c r="BZ655" s="389" t="s">
        <v>800</v>
      </c>
      <c r="CA655" s="75" t="s">
        <v>800</v>
      </c>
      <c r="CB655" s="75" t="s">
        <v>800</v>
      </c>
      <c r="CC655" s="75" t="s">
        <v>800</v>
      </c>
      <c r="CD655" s="75" t="s">
        <v>800</v>
      </c>
      <c r="CE655" s="75" t="s">
        <v>800</v>
      </c>
      <c r="CF655" s="75" t="s">
        <v>800</v>
      </c>
      <c r="CG655" s="75" t="s">
        <v>800</v>
      </c>
      <c r="CH655" s="75" t="s">
        <v>800</v>
      </c>
      <c r="CI655" s="75" t="s">
        <v>800</v>
      </c>
      <c r="CJ655" s="75" t="s">
        <v>800</v>
      </c>
      <c r="CK655" s="78" t="s">
        <v>800</v>
      </c>
      <c r="CL655" s="78" t="s">
        <v>800</v>
      </c>
      <c r="CM655" s="78" t="s">
        <v>800</v>
      </c>
      <c r="CN655" s="78" t="s">
        <v>800</v>
      </c>
      <c r="CO655" s="78" t="s">
        <v>800</v>
      </c>
      <c r="CP655" s="78" t="s">
        <v>800</v>
      </c>
      <c r="CQ655" s="78" t="s">
        <v>800</v>
      </c>
      <c r="CR655" s="78" t="s">
        <v>800</v>
      </c>
      <c r="CS655" s="78" t="s">
        <v>800</v>
      </c>
      <c r="CT655" s="78" t="s">
        <v>800</v>
      </c>
      <c r="CU655" s="78" t="s">
        <v>800</v>
      </c>
      <c r="CV655" s="76" t="s">
        <v>800</v>
      </c>
      <c r="CW655" s="75" t="s">
        <v>800</v>
      </c>
      <c r="CX655" s="75" t="s">
        <v>800</v>
      </c>
      <c r="CY655" s="75" t="s">
        <v>800</v>
      </c>
      <c r="CZ655" s="75" t="s">
        <v>800</v>
      </c>
      <c r="DA655" s="75" t="s">
        <v>800</v>
      </c>
      <c r="DB655" s="75" t="s">
        <v>800</v>
      </c>
      <c r="DC655" s="75" t="s">
        <v>800</v>
      </c>
      <c r="DD655" s="75" t="s">
        <v>800</v>
      </c>
      <c r="DE655" s="75" t="s">
        <v>800</v>
      </c>
      <c r="DF655" s="75" t="s">
        <v>800</v>
      </c>
    </row>
    <row r="656" spans="1:110" ht="12">
      <c r="AV656" s="200"/>
      <c r="CZ656" s="15"/>
      <c r="DA656" s="15"/>
      <c r="DB656" s="15"/>
      <c r="DC656" s="15"/>
      <c r="DD656" s="15"/>
      <c r="DE656" s="15"/>
      <c r="DF656" s="15"/>
    </row>
    <row r="657" spans="1:110" s="26" customFormat="1" ht="12" collapsed="1">
      <c r="A657" s="1" t="s">
        <v>759</v>
      </c>
      <c r="B657" s="2" t="s">
        <v>448</v>
      </c>
      <c r="C657" s="60"/>
      <c r="D657" s="60"/>
      <c r="E657" s="60"/>
      <c r="F657" s="60"/>
      <c r="G657" s="60"/>
      <c r="H657" s="60"/>
      <c r="I657" s="60"/>
      <c r="J657" s="60"/>
      <c r="K657" s="60"/>
      <c r="L657" s="60"/>
      <c r="M657" s="60"/>
      <c r="N657" s="60"/>
      <c r="O657" s="60"/>
      <c r="P657" s="60"/>
      <c r="Q657" s="60"/>
      <c r="R657" s="60"/>
      <c r="S657" s="60"/>
      <c r="T657" s="60"/>
      <c r="U657" s="60"/>
      <c r="V657" s="60"/>
      <c r="W657" s="60"/>
      <c r="X657" s="60"/>
      <c r="Y657" s="60"/>
      <c r="Z657" s="60"/>
      <c r="AA657" s="60"/>
      <c r="AB657" s="60"/>
      <c r="AC657" s="60"/>
      <c r="AD657" s="60"/>
      <c r="AE657" s="60"/>
      <c r="AF657" s="60"/>
      <c r="AG657" s="60"/>
      <c r="AH657" s="60"/>
      <c r="AI657" s="60"/>
      <c r="AJ657" s="60"/>
      <c r="AK657" s="60"/>
      <c r="AL657" s="60"/>
      <c r="AM657" s="60"/>
      <c r="AN657" s="60"/>
      <c r="AO657" s="60"/>
      <c r="AP657" s="60"/>
      <c r="AQ657" s="60"/>
      <c r="AR657" s="60"/>
      <c r="AS657" s="60"/>
      <c r="AT657" s="60"/>
      <c r="AU657" s="60"/>
      <c r="AV657" s="219"/>
      <c r="AW657" s="60"/>
      <c r="AX657" s="60"/>
      <c r="AY657" s="60"/>
      <c r="AZ657" s="60"/>
      <c r="BA657" s="60"/>
      <c r="BB657" s="60"/>
      <c r="BC657" s="60"/>
      <c r="BD657" s="60"/>
      <c r="BE657" s="60"/>
      <c r="BF657" s="60"/>
      <c r="BG657" s="60"/>
      <c r="BH657" s="60"/>
      <c r="BI657" s="60"/>
      <c r="BJ657" s="60"/>
      <c r="BK657" s="60"/>
      <c r="BL657" s="60"/>
      <c r="BM657" s="60"/>
      <c r="BN657" s="60"/>
      <c r="BO657" s="60"/>
      <c r="BP657" s="60"/>
      <c r="BQ657" s="60"/>
      <c r="BR657" s="60"/>
      <c r="BS657" s="60"/>
      <c r="BT657" s="60"/>
      <c r="BU657" s="60"/>
      <c r="BV657" s="60"/>
      <c r="BW657" s="60"/>
      <c r="BX657" s="60"/>
      <c r="BY657" s="60"/>
      <c r="BZ657" s="60"/>
      <c r="CA657" s="60"/>
      <c r="CB657" s="60"/>
      <c r="CC657" s="60"/>
      <c r="CD657" s="60"/>
      <c r="CE657" s="60"/>
      <c r="CF657" s="60"/>
      <c r="CG657" s="60"/>
      <c r="CH657" s="60"/>
      <c r="CI657" s="60"/>
      <c r="CJ657" s="60"/>
      <c r="CK657" s="60"/>
      <c r="CL657" s="60"/>
      <c r="CM657" s="60"/>
      <c r="CN657" s="60"/>
      <c r="CO657" s="60"/>
      <c r="CP657" s="60"/>
      <c r="CQ657" s="60"/>
      <c r="CR657" s="60"/>
      <c r="CS657" s="60"/>
      <c r="CT657" s="60"/>
      <c r="CU657" s="60"/>
      <c r="CV657" s="219"/>
      <c r="CW657" s="60"/>
      <c r="CX657" s="60"/>
      <c r="CY657" s="60"/>
      <c r="CZ657" s="60"/>
      <c r="DA657" s="60"/>
      <c r="DB657" s="60"/>
      <c r="DC657" s="60"/>
      <c r="DD657" s="60"/>
      <c r="DE657" s="60"/>
      <c r="DF657" s="60"/>
    </row>
    <row r="658" spans="1:110" ht="12" outlineLevel="1">
      <c r="U658" s="83"/>
      <c r="Y658" s="41"/>
      <c r="AV658" s="200"/>
      <c r="CZ658" s="16"/>
      <c r="DA658" s="16"/>
      <c r="DB658" s="16"/>
      <c r="DC658" s="16"/>
      <c r="DD658" s="16"/>
      <c r="DE658" s="16"/>
      <c r="DF658" s="16"/>
    </row>
    <row r="659" spans="1:110" s="17" customFormat="1" ht="12" outlineLevel="1">
      <c r="A659" s="1"/>
      <c r="B659" s="17" t="s">
        <v>449</v>
      </c>
      <c r="C659" s="10"/>
      <c r="D659" s="10"/>
      <c r="E659" s="10"/>
      <c r="F659" s="10"/>
      <c r="G659" s="10"/>
      <c r="H659" s="10"/>
      <c r="I659" s="10"/>
      <c r="J659" s="10"/>
      <c r="K659" s="10"/>
      <c r="L659" s="10"/>
      <c r="M659" s="10"/>
      <c r="N659" s="10"/>
      <c r="O659" s="10"/>
      <c r="P659" s="10"/>
      <c r="Q659" s="10"/>
      <c r="R659" s="10"/>
      <c r="S659" s="10"/>
      <c r="T659" s="10"/>
      <c r="U659" s="83"/>
      <c r="V659" s="10"/>
      <c r="W659" s="10"/>
      <c r="X659" s="62"/>
      <c r="Y659" s="62"/>
      <c r="Z659" s="10"/>
      <c r="AA659" s="10"/>
      <c r="AB659" s="10"/>
      <c r="AC659" s="411"/>
      <c r="AD659" s="10"/>
      <c r="AE659" s="10"/>
      <c r="AF659" s="10"/>
      <c r="AG659" s="10"/>
      <c r="AH659" s="10"/>
      <c r="AI659" s="10"/>
      <c r="AJ659" s="10"/>
      <c r="AK659" s="10"/>
      <c r="AL659" s="10"/>
      <c r="AM659" s="10"/>
      <c r="AN659" s="10"/>
      <c r="AO659" s="10"/>
      <c r="AP659" s="10"/>
      <c r="AQ659" s="10"/>
      <c r="AR659" s="10"/>
      <c r="AS659" s="10"/>
      <c r="AT659" s="10"/>
      <c r="AU659" s="10"/>
      <c r="AV659" s="201"/>
      <c r="AW659" s="10"/>
      <c r="AX659" s="10"/>
      <c r="AY659" s="10"/>
      <c r="AZ659" s="10"/>
      <c r="BA659" s="10"/>
      <c r="BB659" s="10"/>
      <c r="BC659" s="10"/>
      <c r="BD659" s="10"/>
      <c r="BE659" s="10"/>
      <c r="BF659" s="10"/>
      <c r="BG659" s="10"/>
      <c r="BH659" s="10"/>
      <c r="BI659" s="10"/>
      <c r="BJ659" s="10"/>
      <c r="BK659" s="10"/>
      <c r="BL659" s="10"/>
      <c r="BM659" s="10"/>
      <c r="BN659" s="10"/>
      <c r="BO659" s="10"/>
      <c r="BP659" s="10"/>
      <c r="BQ659" s="10"/>
      <c r="BR659" s="10"/>
      <c r="BS659" s="10"/>
      <c r="BT659" s="10"/>
      <c r="BU659" s="10"/>
      <c r="BV659" s="10"/>
      <c r="BW659" s="10"/>
      <c r="BX659" s="10"/>
      <c r="BY659" s="10"/>
      <c r="BZ659" s="10"/>
      <c r="CA659" s="10"/>
      <c r="CB659" s="10"/>
      <c r="CC659" s="10"/>
      <c r="CD659" s="10"/>
      <c r="CE659" s="10"/>
      <c r="CF659" s="10"/>
      <c r="CG659" s="10"/>
      <c r="CH659" s="10"/>
      <c r="CI659" s="10"/>
      <c r="CJ659" s="10"/>
      <c r="CK659" s="10"/>
      <c r="CL659" s="10"/>
      <c r="CM659" s="10"/>
      <c r="CN659" s="10"/>
      <c r="CO659" s="10"/>
      <c r="CP659" s="10"/>
      <c r="CQ659" s="10"/>
      <c r="CR659" s="10"/>
      <c r="CS659" s="10"/>
      <c r="CT659" s="10"/>
      <c r="CU659" s="10"/>
      <c r="CV659" s="201"/>
      <c r="CW659" s="10"/>
      <c r="CX659" s="10"/>
      <c r="CY659" s="10"/>
      <c r="CZ659" s="10"/>
      <c r="DA659" s="10"/>
      <c r="DB659" s="10"/>
      <c r="DC659" s="10"/>
      <c r="DD659" s="10"/>
      <c r="DE659" s="10"/>
      <c r="DF659" s="10"/>
    </row>
    <row r="660" spans="1:110" ht="12" outlineLevel="1">
      <c r="A660" s="1" t="s">
        <v>760</v>
      </c>
      <c r="B660" s="15" t="s">
        <v>496</v>
      </c>
      <c r="C660" s="40">
        <v>185493</v>
      </c>
      <c r="D660" s="40">
        <v>176589</v>
      </c>
      <c r="E660" s="40">
        <v>183105</v>
      </c>
      <c r="F660" s="40">
        <v>190518</v>
      </c>
      <c r="G660" s="40">
        <v>195591</v>
      </c>
      <c r="H660" s="40">
        <v>247288</v>
      </c>
      <c r="I660" s="40">
        <v>259345</v>
      </c>
      <c r="J660" s="40">
        <v>282784</v>
      </c>
      <c r="K660" s="40">
        <v>298104</v>
      </c>
      <c r="L660" s="40">
        <v>322181</v>
      </c>
      <c r="M660" s="40">
        <v>334640</v>
      </c>
      <c r="N660" s="40">
        <v>351849</v>
      </c>
      <c r="O660" s="40">
        <v>392773</v>
      </c>
      <c r="P660" s="40">
        <v>437759</v>
      </c>
      <c r="Q660" s="40">
        <v>470293</v>
      </c>
      <c r="R660" s="40">
        <v>502798</v>
      </c>
      <c r="S660" s="40">
        <v>476987</v>
      </c>
      <c r="T660" s="40">
        <v>506708</v>
      </c>
      <c r="U660" s="40">
        <v>531703</v>
      </c>
      <c r="V660" s="40">
        <v>537447</v>
      </c>
      <c r="W660" s="40">
        <v>604213</v>
      </c>
      <c r="X660" s="40">
        <v>612212</v>
      </c>
      <c r="Y660" s="40">
        <v>642127</v>
      </c>
      <c r="Z660" s="141">
        <v>672630</v>
      </c>
      <c r="AA660" s="141">
        <v>702995</v>
      </c>
      <c r="AB660" s="141">
        <v>737815</v>
      </c>
      <c r="AC660" s="141">
        <v>772092</v>
      </c>
      <c r="AD660" s="141">
        <v>860087</v>
      </c>
      <c r="AE660" s="141">
        <v>889900</v>
      </c>
      <c r="AF660" s="141">
        <v>895278</v>
      </c>
      <c r="AG660" s="141">
        <v>914869</v>
      </c>
      <c r="AH660" s="141">
        <v>896511</v>
      </c>
      <c r="AI660" s="141">
        <v>897326</v>
      </c>
      <c r="AJ660" s="141">
        <v>935670</v>
      </c>
      <c r="AK660" s="141">
        <v>943156</v>
      </c>
      <c r="AL660" s="141">
        <v>980270</v>
      </c>
      <c r="AM660" s="141">
        <v>981137</v>
      </c>
      <c r="AN660" s="141">
        <v>1149955</v>
      </c>
      <c r="AO660" s="141">
        <v>1042286</v>
      </c>
      <c r="AP660" s="141">
        <v>1018339</v>
      </c>
      <c r="AQ660" s="141">
        <v>978857</v>
      </c>
      <c r="AR660" s="141">
        <v>1017361</v>
      </c>
      <c r="AS660" s="141">
        <v>1085729</v>
      </c>
      <c r="AT660" s="141">
        <v>1111237</v>
      </c>
      <c r="AU660" s="141">
        <v>1105643</v>
      </c>
      <c r="AV660" s="226">
        <v>1089699</v>
      </c>
      <c r="AW660" s="41">
        <v>1228785.434196309</v>
      </c>
      <c r="AX660" s="41">
        <v>1250009.6497522921</v>
      </c>
      <c r="AY660" s="41">
        <v>1269584.4553670862</v>
      </c>
      <c r="AZ660" s="41">
        <v>1285184.6937385802</v>
      </c>
      <c r="BA660" s="41">
        <v>1301868.5190353473</v>
      </c>
      <c r="BB660" s="41">
        <v>1322225.9957416682</v>
      </c>
      <c r="BC660" s="41">
        <v>1346085.2333166117</v>
      </c>
      <c r="BD660" s="41">
        <v>1370457.073002131</v>
      </c>
      <c r="BE660" s="41">
        <v>1395352.8234053582</v>
      </c>
      <c r="BF660" s="41">
        <v>1420784.0882781222</v>
      </c>
      <c r="BG660" s="41">
        <v>1446762.7741807511</v>
      </c>
      <c r="BH660" s="41">
        <v>1473301.0984039477</v>
      </c>
      <c r="BI660" s="41">
        <v>1500411.5971556026</v>
      </c>
      <c r="BJ660" s="41">
        <v>1530367.6216795654</v>
      </c>
      <c r="BK660" s="41">
        <v>1563297.2140717041</v>
      </c>
      <c r="BL660" s="41">
        <v>1596996.7157809441</v>
      </c>
      <c r="BM660" s="41">
        <v>1631486.2229817787</v>
      </c>
      <c r="BN660" s="41">
        <v>1647801.0852115967</v>
      </c>
      <c r="BO660" s="41">
        <v>1664279.0960637128</v>
      </c>
      <c r="BP660" s="41"/>
      <c r="BQ660" s="40">
        <v>101138</v>
      </c>
      <c r="BR660" s="40">
        <v>103045</v>
      </c>
      <c r="BS660" s="40">
        <v>103874</v>
      </c>
      <c r="BT660" s="40">
        <v>112587</v>
      </c>
      <c r="BU660" s="40">
        <v>127604</v>
      </c>
      <c r="BV660" s="40">
        <v>138241</v>
      </c>
      <c r="BW660" s="40">
        <v>153215</v>
      </c>
      <c r="BX660" s="40">
        <v>152801</v>
      </c>
      <c r="BY660" s="40">
        <v>172467</v>
      </c>
      <c r="BZ660" s="40">
        <v>185493</v>
      </c>
      <c r="CA660" s="41">
        <v>183105</v>
      </c>
      <c r="CB660" s="41">
        <v>195591</v>
      </c>
      <c r="CC660" s="41">
        <v>259345</v>
      </c>
      <c r="CD660" s="41">
        <v>298104</v>
      </c>
      <c r="CE660" s="41">
        <v>334640</v>
      </c>
      <c r="CF660" s="41">
        <v>392773</v>
      </c>
      <c r="CG660" s="41">
        <v>470293</v>
      </c>
      <c r="CH660" s="41">
        <v>476987</v>
      </c>
      <c r="CI660" s="41">
        <v>531703</v>
      </c>
      <c r="CJ660" s="41">
        <v>604213</v>
      </c>
      <c r="CK660" s="41">
        <v>642127</v>
      </c>
      <c r="CL660" s="41">
        <v>702995</v>
      </c>
      <c r="CM660" s="41">
        <v>772092</v>
      </c>
      <c r="CN660" s="41">
        <v>889900</v>
      </c>
      <c r="CO660" s="41">
        <v>914869</v>
      </c>
      <c r="CP660" s="41">
        <v>897326</v>
      </c>
      <c r="CQ660" s="41">
        <v>943156</v>
      </c>
      <c r="CR660" s="41">
        <v>981137</v>
      </c>
      <c r="CS660" s="41">
        <v>1042286</v>
      </c>
      <c r="CT660" s="41">
        <v>978857</v>
      </c>
      <c r="CU660" s="41">
        <v>1085729</v>
      </c>
      <c r="CV660" s="211">
        <v>1105643</v>
      </c>
      <c r="CW660" s="41">
        <v>1228785.434196309</v>
      </c>
      <c r="CX660" s="41">
        <v>1269584.4553670862</v>
      </c>
      <c r="CY660" s="41">
        <v>1301868.5190353473</v>
      </c>
      <c r="CZ660" s="41">
        <v>1346085.2333166117</v>
      </c>
      <c r="DA660" s="41">
        <v>1395352.8234053582</v>
      </c>
      <c r="DB660" s="41">
        <v>1446762.7741807511</v>
      </c>
      <c r="DC660" s="41">
        <v>1500411.5971556026</v>
      </c>
      <c r="DD660" s="41">
        <v>1563297.2140717041</v>
      </c>
      <c r="DE660" s="41">
        <v>1631486.2229817787</v>
      </c>
      <c r="DF660" s="41">
        <v>1664279.0960637128</v>
      </c>
    </row>
    <row r="661" spans="1:110" ht="12" outlineLevel="1">
      <c r="A661" s="1" t="s">
        <v>761</v>
      </c>
      <c r="B661" s="15" t="s">
        <v>497</v>
      </c>
      <c r="C661" s="40">
        <v>137</v>
      </c>
      <c r="D661" s="40">
        <v>188</v>
      </c>
      <c r="E661" s="40">
        <v>180</v>
      </c>
      <c r="F661" s="40">
        <v>171</v>
      </c>
      <c r="G661" s="40">
        <v>160</v>
      </c>
      <c r="H661" s="40">
        <v>3202</v>
      </c>
      <c r="I661" s="40">
        <v>3269</v>
      </c>
      <c r="J661" s="40">
        <v>3207</v>
      </c>
      <c r="K661" s="40">
        <v>3068</v>
      </c>
      <c r="L661" s="40">
        <v>2882</v>
      </c>
      <c r="M661" s="40">
        <v>2940</v>
      </c>
      <c r="N661" s="40">
        <v>2969</v>
      </c>
      <c r="O661" s="40">
        <v>3215</v>
      </c>
      <c r="P661" s="40">
        <v>3207</v>
      </c>
      <c r="Q661" s="40">
        <v>3116</v>
      </c>
      <c r="R661" s="40">
        <v>3093</v>
      </c>
      <c r="S661" s="40">
        <v>3047</v>
      </c>
      <c r="T661" s="40">
        <v>5295</v>
      </c>
      <c r="U661" s="40">
        <v>5413</v>
      </c>
      <c r="V661" s="40">
        <v>5283</v>
      </c>
      <c r="W661" s="40">
        <v>5392</v>
      </c>
      <c r="X661" s="40">
        <v>5327</v>
      </c>
      <c r="Y661" s="40">
        <v>5320</v>
      </c>
      <c r="Z661" s="141">
        <v>5285</v>
      </c>
      <c r="AA661" s="141">
        <v>5520</v>
      </c>
      <c r="AB661" s="141">
        <v>5637</v>
      </c>
      <c r="AC661" s="141">
        <v>5417</v>
      </c>
      <c r="AD661" s="141">
        <v>5695</v>
      </c>
      <c r="AE661" s="141">
        <v>5419</v>
      </c>
      <c r="AF661" s="141">
        <v>5336</v>
      </c>
      <c r="AG661" s="141">
        <v>5470</v>
      </c>
      <c r="AH661" s="141">
        <v>5136</v>
      </c>
      <c r="AI661" s="141">
        <v>5114</v>
      </c>
      <c r="AJ661" s="141">
        <v>3563</v>
      </c>
      <c r="AK661" s="141">
        <v>3509</v>
      </c>
      <c r="AL661" s="141">
        <v>3649</v>
      </c>
      <c r="AM661" s="141">
        <v>3538</v>
      </c>
      <c r="AN661" s="141">
        <v>3694</v>
      </c>
      <c r="AO661" s="141">
        <v>3340</v>
      </c>
      <c r="AP661" s="141">
        <v>3063</v>
      </c>
      <c r="AQ661" s="141">
        <v>3164</v>
      </c>
      <c r="AR661" s="141">
        <v>3144</v>
      </c>
      <c r="AS661" s="141">
        <v>2981</v>
      </c>
      <c r="AT661" s="141">
        <v>3160</v>
      </c>
      <c r="AU661" s="141">
        <v>3139</v>
      </c>
      <c r="AV661" s="226">
        <v>3093</v>
      </c>
      <c r="AW661" s="41">
        <v>3093</v>
      </c>
      <c r="AX661" s="41">
        <v>3093</v>
      </c>
      <c r="AY661" s="41">
        <v>3093</v>
      </c>
      <c r="AZ661" s="41">
        <v>3093</v>
      </c>
      <c r="BA661" s="41">
        <v>3093</v>
      </c>
      <c r="BB661" s="41">
        <v>3093</v>
      </c>
      <c r="BC661" s="41">
        <v>3093</v>
      </c>
      <c r="BD661" s="41">
        <v>3093</v>
      </c>
      <c r="BE661" s="41">
        <v>3093</v>
      </c>
      <c r="BF661" s="41">
        <v>3093</v>
      </c>
      <c r="BG661" s="41">
        <v>3093</v>
      </c>
      <c r="BH661" s="41">
        <v>3093</v>
      </c>
      <c r="BI661" s="41">
        <v>3093</v>
      </c>
      <c r="BJ661" s="41">
        <v>3093</v>
      </c>
      <c r="BK661" s="41">
        <v>3093</v>
      </c>
      <c r="BL661" s="41">
        <v>3093</v>
      </c>
      <c r="BM661" s="41">
        <v>3093</v>
      </c>
      <c r="BN661" s="41">
        <v>3093</v>
      </c>
      <c r="BO661" s="41">
        <v>3093</v>
      </c>
      <c r="BP661" s="41"/>
      <c r="BQ661" s="225">
        <v>328.39959217245223</v>
      </c>
      <c r="BR661" s="225">
        <v>-33.920391982145702</v>
      </c>
      <c r="BS661" s="225">
        <v>-28.474591376150784</v>
      </c>
      <c r="BT661" s="225">
        <v>-42.877770052193227</v>
      </c>
      <c r="BU661" s="225">
        <v>-27.093556244116371</v>
      </c>
      <c r="BV661" s="225">
        <v>-36.484056684602365</v>
      </c>
      <c r="BW661" s="225">
        <v>-37.570564910704888</v>
      </c>
      <c r="BX661" s="225">
        <v>109</v>
      </c>
      <c r="BY661" s="40">
        <v>145</v>
      </c>
      <c r="BZ661" s="40">
        <v>2940</v>
      </c>
      <c r="CA661" s="41">
        <v>180</v>
      </c>
      <c r="CB661" s="41">
        <v>160</v>
      </c>
      <c r="CC661" s="41">
        <v>3269</v>
      </c>
      <c r="CD661" s="41">
        <v>3068</v>
      </c>
      <c r="CE661" s="41">
        <v>2940</v>
      </c>
      <c r="CF661" s="41">
        <v>3215</v>
      </c>
      <c r="CG661" s="41">
        <v>3116</v>
      </c>
      <c r="CH661" s="41">
        <v>3047</v>
      </c>
      <c r="CI661" s="41">
        <v>5413</v>
      </c>
      <c r="CJ661" s="41">
        <v>5392</v>
      </c>
      <c r="CK661" s="41">
        <v>5320</v>
      </c>
      <c r="CL661" s="41">
        <v>5520</v>
      </c>
      <c r="CM661" s="41">
        <v>5417</v>
      </c>
      <c r="CN661" s="41">
        <v>5419</v>
      </c>
      <c r="CO661" s="41">
        <v>5470</v>
      </c>
      <c r="CP661" s="41">
        <v>5114</v>
      </c>
      <c r="CQ661" s="41">
        <v>3509</v>
      </c>
      <c r="CR661" s="41">
        <v>3538</v>
      </c>
      <c r="CS661" s="41">
        <v>3340</v>
      </c>
      <c r="CT661" s="41">
        <v>3164</v>
      </c>
      <c r="CU661" s="41">
        <v>2981</v>
      </c>
      <c r="CV661" s="211">
        <v>3139</v>
      </c>
      <c r="CW661" s="41">
        <v>3093</v>
      </c>
      <c r="CX661" s="41">
        <v>3093</v>
      </c>
      <c r="CY661" s="41">
        <v>3093</v>
      </c>
      <c r="CZ661" s="41">
        <v>3093</v>
      </c>
      <c r="DA661" s="41">
        <v>3093</v>
      </c>
      <c r="DB661" s="41">
        <v>3093</v>
      </c>
      <c r="DC661" s="41">
        <v>3093</v>
      </c>
      <c r="DD661" s="41">
        <v>3093</v>
      </c>
      <c r="DE661" s="41">
        <v>3093</v>
      </c>
      <c r="DF661" s="41">
        <v>3093</v>
      </c>
    </row>
    <row r="662" spans="1:110" ht="12" outlineLevel="1">
      <c r="A662" s="1" t="s">
        <v>762</v>
      </c>
      <c r="B662" s="15" t="s">
        <v>912</v>
      </c>
      <c r="C662" s="40">
        <v>4829</v>
      </c>
      <c r="D662" s="40">
        <v>3468</v>
      </c>
      <c r="E662" s="40">
        <v>3815</v>
      </c>
      <c r="F662" s="40">
        <v>3123</v>
      </c>
      <c r="G662" s="40">
        <v>2427</v>
      </c>
      <c r="H662" s="40">
        <v>7093</v>
      </c>
      <c r="I662" s="40">
        <v>4781</v>
      </c>
      <c r="J662" s="40">
        <v>6428</v>
      </c>
      <c r="K662" s="40">
        <v>6348</v>
      </c>
      <c r="L662" s="40">
        <v>8336</v>
      </c>
      <c r="M662" s="40">
        <v>9665</v>
      </c>
      <c r="N662" s="40">
        <v>6439</v>
      </c>
      <c r="O662" s="40">
        <v>8040</v>
      </c>
      <c r="P662" s="40">
        <v>11850</v>
      </c>
      <c r="Q662" s="40">
        <v>9862</v>
      </c>
      <c r="R662" s="40">
        <v>5354</v>
      </c>
      <c r="S662" s="40">
        <v>4985</v>
      </c>
      <c r="T662" s="40">
        <v>6894</v>
      </c>
      <c r="U662" s="40">
        <v>5481</v>
      </c>
      <c r="V662" s="40">
        <v>7479</v>
      </c>
      <c r="W662" s="40">
        <v>13298</v>
      </c>
      <c r="X662" s="40">
        <v>16287</v>
      </c>
      <c r="Y662" s="40">
        <v>17103</v>
      </c>
      <c r="Z662" s="141">
        <v>15804</v>
      </c>
      <c r="AA662" s="141">
        <v>19225</v>
      </c>
      <c r="AB662" s="141">
        <v>16209</v>
      </c>
      <c r="AC662" s="141">
        <v>20241</v>
      </c>
      <c r="AD662" s="141">
        <v>22570</v>
      </c>
      <c r="AE662" s="141">
        <v>18596</v>
      </c>
      <c r="AF662" s="141">
        <v>26048</v>
      </c>
      <c r="AG662" s="141">
        <v>21951</v>
      </c>
      <c r="AH662" s="141">
        <v>21696</v>
      </c>
      <c r="AI662" s="141">
        <v>5504</v>
      </c>
      <c r="AJ662" s="141">
        <v>5037</v>
      </c>
      <c r="AK662" s="141">
        <v>2319</v>
      </c>
      <c r="AL662" s="141">
        <v>4041</v>
      </c>
      <c r="AM662" s="141">
        <v>3739</v>
      </c>
      <c r="AN662" s="141">
        <v>6961</v>
      </c>
      <c r="AO662" s="141">
        <v>7541</v>
      </c>
      <c r="AP662" s="141">
        <v>9778</v>
      </c>
      <c r="AQ662" s="141">
        <v>7530</v>
      </c>
      <c r="AR662" s="141">
        <v>7141</v>
      </c>
      <c r="AS662" s="141">
        <v>4762</v>
      </c>
      <c r="AT662" s="141">
        <v>7020</v>
      </c>
      <c r="AU662" s="141">
        <v>9349</v>
      </c>
      <c r="AV662" s="226">
        <v>3809</v>
      </c>
      <c r="AW662" s="41">
        <v>4295.1711608928163</v>
      </c>
      <c r="AX662" s="41">
        <v>4369.3595716858335</v>
      </c>
      <c r="AY662" s="41">
        <v>4437.7825348956294</v>
      </c>
      <c r="AZ662" s="41">
        <v>4492.3125546139372</v>
      </c>
      <c r="BA662" s="41">
        <v>4550.6302098154065</v>
      </c>
      <c r="BB662" s="41">
        <v>4621.7889690455941</v>
      </c>
      <c r="BC662" s="41">
        <v>4705.1879956785997</v>
      </c>
      <c r="BD662" s="41">
        <v>4790.3788028300633</v>
      </c>
      <c r="BE662" s="41">
        <v>4877.4009192914828</v>
      </c>
      <c r="BF662" s="41">
        <v>4966.2949055210365</v>
      </c>
      <c r="BG662" s="41">
        <v>5057.1023804321021</v>
      </c>
      <c r="BH662" s="41">
        <v>5149.8660490838638</v>
      </c>
      <c r="BI662" s="41">
        <v>5244.6297312979923</v>
      </c>
      <c r="BJ662" s="41">
        <v>5349.3398369434726</v>
      </c>
      <c r="BK662" s="41">
        <v>5464.443932130911</v>
      </c>
      <c r="BL662" s="41">
        <v>5582.2392150581181</v>
      </c>
      <c r="BM662" s="41">
        <v>5702.7959311127152</v>
      </c>
      <c r="BN662" s="41">
        <v>5759.8238904238424</v>
      </c>
      <c r="BO662" s="41">
        <v>5817.4221293280816</v>
      </c>
      <c r="BP662" s="41"/>
      <c r="BQ662" s="40">
        <v>11142</v>
      </c>
      <c r="BR662" s="40">
        <v>10213.1</v>
      </c>
      <c r="BS662" s="40">
        <v>10655</v>
      </c>
      <c r="BT662" s="40">
        <v>11161</v>
      </c>
      <c r="BU662" s="40">
        <v>12682</v>
      </c>
      <c r="BV662" s="40">
        <v>10912</v>
      </c>
      <c r="BW662" s="40">
        <v>4158</v>
      </c>
      <c r="BX662" s="40">
        <v>3472</v>
      </c>
      <c r="BY662" s="40">
        <v>5822</v>
      </c>
      <c r="BZ662" s="40">
        <v>4829</v>
      </c>
      <c r="CA662" s="41">
        <v>3815</v>
      </c>
      <c r="CB662" s="41">
        <v>2427</v>
      </c>
      <c r="CC662" s="41">
        <v>4781</v>
      </c>
      <c r="CD662" s="41">
        <v>6348</v>
      </c>
      <c r="CE662" s="41">
        <v>9665</v>
      </c>
      <c r="CF662" s="41">
        <v>8040</v>
      </c>
      <c r="CG662" s="41">
        <v>9862</v>
      </c>
      <c r="CH662" s="41">
        <v>4985</v>
      </c>
      <c r="CI662" s="41">
        <v>5481</v>
      </c>
      <c r="CJ662" s="41">
        <v>13298</v>
      </c>
      <c r="CK662" s="41">
        <v>17103</v>
      </c>
      <c r="CL662" s="41">
        <v>19225</v>
      </c>
      <c r="CM662" s="41">
        <v>20241</v>
      </c>
      <c r="CN662" s="41">
        <v>18596</v>
      </c>
      <c r="CO662" s="41">
        <v>21951</v>
      </c>
      <c r="CP662" s="41">
        <v>5504</v>
      </c>
      <c r="CQ662" s="41">
        <v>2319</v>
      </c>
      <c r="CR662" s="41">
        <v>3739</v>
      </c>
      <c r="CS662" s="41">
        <v>7541</v>
      </c>
      <c r="CT662" s="41">
        <v>7530</v>
      </c>
      <c r="CU662" s="41">
        <v>4762</v>
      </c>
      <c r="CV662" s="211">
        <v>9349</v>
      </c>
      <c r="CW662" s="41">
        <v>4295.1711608928163</v>
      </c>
      <c r="CX662" s="41">
        <v>4437.7825348956294</v>
      </c>
      <c r="CY662" s="41">
        <v>4550.6302098154065</v>
      </c>
      <c r="CZ662" s="41">
        <v>4705.1879956785997</v>
      </c>
      <c r="DA662" s="41">
        <v>4877.4009192914828</v>
      </c>
      <c r="DB662" s="41">
        <v>5057.1023804321021</v>
      </c>
      <c r="DC662" s="41">
        <v>5244.6297312979923</v>
      </c>
      <c r="DD662" s="41">
        <v>5464.443932130911</v>
      </c>
      <c r="DE662" s="41">
        <v>5702.7959311127152</v>
      </c>
      <c r="DF662" s="41">
        <v>5817.4221293280816</v>
      </c>
    </row>
    <row r="663" spans="1:110" ht="12" outlineLevel="1">
      <c r="A663" s="1" t="s">
        <v>763</v>
      </c>
      <c r="B663" s="15" t="s">
        <v>1113</v>
      </c>
      <c r="C663" s="40">
        <v>8314</v>
      </c>
      <c r="D663" s="40">
        <v>7905</v>
      </c>
      <c r="E663" s="40">
        <v>9482</v>
      </c>
      <c r="F663" s="40">
        <v>9520</v>
      </c>
      <c r="G663" s="40">
        <v>8980</v>
      </c>
      <c r="H663" s="40">
        <v>13062</v>
      </c>
      <c r="I663" s="40">
        <v>13224</v>
      </c>
      <c r="J663" s="40">
        <v>15694</v>
      </c>
      <c r="K663" s="40">
        <v>16327</v>
      </c>
      <c r="L663" s="40">
        <v>22008</v>
      </c>
      <c r="M663" s="40">
        <v>19832</v>
      </c>
      <c r="N663" s="40">
        <v>24100</v>
      </c>
      <c r="O663" s="40">
        <v>29173</v>
      </c>
      <c r="P663" s="40">
        <v>31203</v>
      </c>
      <c r="Q663" s="40">
        <v>32657</v>
      </c>
      <c r="R663" s="40">
        <v>37494</v>
      </c>
      <c r="S663" s="40">
        <v>47566</v>
      </c>
      <c r="T663" s="40">
        <v>51051</v>
      </c>
      <c r="U663" s="40">
        <v>54257</v>
      </c>
      <c r="V663" s="40">
        <v>47289</v>
      </c>
      <c r="W663" s="40">
        <v>58338</v>
      </c>
      <c r="X663" s="40">
        <v>55984</v>
      </c>
      <c r="Y663" s="40">
        <v>61164</v>
      </c>
      <c r="Z663" s="141">
        <v>62979</v>
      </c>
      <c r="AA663" s="141">
        <v>69565</v>
      </c>
      <c r="AB663" s="141">
        <v>73500</v>
      </c>
      <c r="AC663" s="141">
        <v>80609</v>
      </c>
      <c r="AD663" s="141">
        <v>89722</v>
      </c>
      <c r="AE663" s="141">
        <v>92667</v>
      </c>
      <c r="AF663" s="141">
        <v>100450</v>
      </c>
      <c r="AG663" s="141">
        <v>110301</v>
      </c>
      <c r="AH663" s="141">
        <v>108770</v>
      </c>
      <c r="AI663" s="141">
        <v>112989</v>
      </c>
      <c r="AJ663" s="141">
        <v>115297</v>
      </c>
      <c r="AK663" s="141">
        <v>112006</v>
      </c>
      <c r="AL663" s="141">
        <v>121739</v>
      </c>
      <c r="AM663" s="141">
        <v>126878</v>
      </c>
      <c r="AN663" s="141">
        <v>134991</v>
      </c>
      <c r="AO663" s="141">
        <v>144304</v>
      </c>
      <c r="AP663" s="141">
        <v>138321</v>
      </c>
      <c r="AQ663" s="141">
        <v>127814</v>
      </c>
      <c r="AR663" s="141">
        <v>119190</v>
      </c>
      <c r="AS663" s="141">
        <v>121390</v>
      </c>
      <c r="AT663" s="141">
        <v>133583</v>
      </c>
      <c r="AU663" s="141">
        <v>134433</v>
      </c>
      <c r="AV663" s="226">
        <v>160497</v>
      </c>
      <c r="AW663" s="41">
        <v>180982.43260956006</v>
      </c>
      <c r="AX663" s="41">
        <v>184108.45449641929</v>
      </c>
      <c r="AY663" s="41">
        <v>186991.54200660111</v>
      </c>
      <c r="AZ663" s="41">
        <v>189289.23288996401</v>
      </c>
      <c r="BA663" s="41">
        <v>191746.52055257105</v>
      </c>
      <c r="BB663" s="41">
        <v>194744.88426487544</v>
      </c>
      <c r="BC663" s="41">
        <v>198259.00702085273</v>
      </c>
      <c r="BD663" s="41">
        <v>201848.62869987308</v>
      </c>
      <c r="BE663" s="41">
        <v>205515.4148972237</v>
      </c>
      <c r="BF663" s="41">
        <v>209261.07467876337</v>
      </c>
      <c r="BG663" s="41">
        <v>213087.36170969048</v>
      </c>
      <c r="BH663" s="41">
        <v>216996.07542132129</v>
      </c>
      <c r="BI663" s="41">
        <v>220989.06221688996</v>
      </c>
      <c r="BJ663" s="41">
        <v>225401.15405878617</v>
      </c>
      <c r="BK663" s="41">
        <v>230251.20970732864</v>
      </c>
      <c r="BL663" s="41">
        <v>235214.66193205118</v>
      </c>
      <c r="BM663" s="41">
        <v>240294.47061060584</v>
      </c>
      <c r="BN663" s="41">
        <v>242697.41531671194</v>
      </c>
      <c r="BO663" s="41">
        <v>245124.38946987907</v>
      </c>
      <c r="BP663" s="41"/>
      <c r="BQ663" s="40">
        <v>9441.1</v>
      </c>
      <c r="BR663" s="40">
        <v>9625.5</v>
      </c>
      <c r="BS663" s="40">
        <v>8942</v>
      </c>
      <c r="BT663" s="40">
        <v>8618</v>
      </c>
      <c r="BU663" s="40">
        <v>9904</v>
      </c>
      <c r="BV663" s="40">
        <v>9952</v>
      </c>
      <c r="BW663" s="40">
        <v>9952</v>
      </c>
      <c r="BX663" s="40">
        <v>8954</v>
      </c>
      <c r="BY663" s="40">
        <v>7132</v>
      </c>
      <c r="BZ663" s="40">
        <v>8314</v>
      </c>
      <c r="CA663" s="41">
        <v>9482</v>
      </c>
      <c r="CB663" s="41">
        <v>8980</v>
      </c>
      <c r="CC663" s="41">
        <v>13224</v>
      </c>
      <c r="CD663" s="41">
        <v>16327</v>
      </c>
      <c r="CE663" s="41">
        <v>19832</v>
      </c>
      <c r="CF663" s="41">
        <v>29173</v>
      </c>
      <c r="CG663" s="41">
        <v>32657</v>
      </c>
      <c r="CH663" s="41">
        <v>47566</v>
      </c>
      <c r="CI663" s="41">
        <v>54257</v>
      </c>
      <c r="CJ663" s="41">
        <v>58338</v>
      </c>
      <c r="CK663" s="41">
        <v>61164</v>
      </c>
      <c r="CL663" s="41">
        <v>69565</v>
      </c>
      <c r="CM663" s="41">
        <v>80609</v>
      </c>
      <c r="CN663" s="41">
        <v>92667</v>
      </c>
      <c r="CO663" s="41">
        <v>110301</v>
      </c>
      <c r="CP663" s="41">
        <v>112989</v>
      </c>
      <c r="CQ663" s="41">
        <v>112006</v>
      </c>
      <c r="CR663" s="41">
        <v>126878</v>
      </c>
      <c r="CS663" s="41">
        <v>144304</v>
      </c>
      <c r="CT663" s="41">
        <v>127814</v>
      </c>
      <c r="CU663" s="41">
        <v>121390</v>
      </c>
      <c r="CV663" s="211">
        <v>134433</v>
      </c>
      <c r="CW663" s="41">
        <v>180982.43260956006</v>
      </c>
      <c r="CX663" s="41">
        <v>186991.54200660111</v>
      </c>
      <c r="CY663" s="41">
        <v>191746.52055257105</v>
      </c>
      <c r="CZ663" s="41">
        <v>198259.00702085273</v>
      </c>
      <c r="DA663" s="41">
        <v>205515.4148972237</v>
      </c>
      <c r="DB663" s="41">
        <v>213087.36170969048</v>
      </c>
      <c r="DC663" s="41">
        <v>220989.06221688996</v>
      </c>
      <c r="DD663" s="41">
        <v>230251.20970732864</v>
      </c>
      <c r="DE663" s="41">
        <v>240294.47061060584</v>
      </c>
      <c r="DF663" s="41">
        <v>245124.38946987907</v>
      </c>
    </row>
    <row r="664" spans="1:110" ht="12" outlineLevel="1">
      <c r="A664" s="1" t="s">
        <v>1071</v>
      </c>
      <c r="B664" s="15" t="s">
        <v>1072</v>
      </c>
      <c r="C664" s="40">
        <v>0</v>
      </c>
      <c r="D664" s="40">
        <v>0</v>
      </c>
      <c r="E664" s="40">
        <v>0</v>
      </c>
      <c r="F664" s="40">
        <v>0</v>
      </c>
      <c r="G664" s="40">
        <v>0</v>
      </c>
      <c r="H664" s="40">
        <v>0</v>
      </c>
      <c r="I664" s="40">
        <v>0</v>
      </c>
      <c r="J664" s="40">
        <v>4002</v>
      </c>
      <c r="K664" s="40">
        <v>3730</v>
      </c>
      <c r="L664" s="40">
        <v>11456</v>
      </c>
      <c r="M664" s="40">
        <v>9164</v>
      </c>
      <c r="N664" s="40">
        <v>12303</v>
      </c>
      <c r="O664" s="40">
        <v>22204</v>
      </c>
      <c r="P664" s="40">
        <v>29217</v>
      </c>
      <c r="Q664" s="40">
        <v>36941</v>
      </c>
      <c r="R664" s="40">
        <v>57445</v>
      </c>
      <c r="S664" s="40">
        <v>37404</v>
      </c>
      <c r="T664" s="40">
        <v>27630</v>
      </c>
      <c r="U664" s="40">
        <v>37821</v>
      </c>
      <c r="V664" s="40">
        <v>29646</v>
      </c>
      <c r="W664" s="40">
        <v>54118</v>
      </c>
      <c r="X664" s="40">
        <v>39597</v>
      </c>
      <c r="Y664" s="40">
        <v>48929</v>
      </c>
      <c r="Z664" s="141">
        <v>41700</v>
      </c>
      <c r="AA664" s="141">
        <v>45878</v>
      </c>
      <c r="AB664" s="141">
        <v>43829</v>
      </c>
      <c r="AC664" s="141">
        <v>56369</v>
      </c>
      <c r="AD664" s="141">
        <v>73580</v>
      </c>
      <c r="AE664" s="141">
        <v>85625</v>
      </c>
      <c r="AF664" s="141">
        <v>88747</v>
      </c>
      <c r="AG664" s="141">
        <v>87496</v>
      </c>
      <c r="AH664" s="141">
        <v>63882</v>
      </c>
      <c r="AI664" s="141">
        <v>62518</v>
      </c>
      <c r="AJ664" s="141">
        <v>70915</v>
      </c>
      <c r="AK664" s="141">
        <v>68423</v>
      </c>
      <c r="AL664" s="141">
        <v>79375</v>
      </c>
      <c r="AM664" s="141">
        <v>120667</v>
      </c>
      <c r="AN664" s="141">
        <v>173677</v>
      </c>
      <c r="AO664" s="141">
        <v>135331</v>
      </c>
      <c r="AP664" s="141">
        <v>104666</v>
      </c>
      <c r="AQ664" s="141">
        <v>38736</v>
      </c>
      <c r="AR664" s="141">
        <v>45238</v>
      </c>
      <c r="AS664" s="141">
        <v>90174</v>
      </c>
      <c r="AT664" s="141">
        <v>45614</v>
      </c>
      <c r="AU664" s="141">
        <v>60406</v>
      </c>
      <c r="AV664" s="226">
        <v>47481</v>
      </c>
      <c r="AW664" s="41">
        <v>53541.355182554944</v>
      </c>
      <c r="AX664" s="41">
        <v>54466.149074091634</v>
      </c>
      <c r="AY664" s="41">
        <v>55319.073914250286</v>
      </c>
      <c r="AZ664" s="41">
        <v>55998.816593758027</v>
      </c>
      <c r="BA664" s="41">
        <v>56725.773954383119</v>
      </c>
      <c r="BB664" s="41">
        <v>57612.801795551022</v>
      </c>
      <c r="BC664" s="41">
        <v>58652.410402419431</v>
      </c>
      <c r="BD664" s="41">
        <v>59714.35440723924</v>
      </c>
      <c r="BE664" s="41">
        <v>60799.126555232062</v>
      </c>
      <c r="BF664" s="41">
        <v>61907.232451836273</v>
      </c>
      <c r="BG664" s="41">
        <v>63039.190896638662</v>
      </c>
      <c r="BH664" s="41">
        <v>64195.534228551056</v>
      </c>
      <c r="BI664" s="41">
        <v>65376.808682530849</v>
      </c>
      <c r="BJ664" s="41">
        <v>66682.07004408323</v>
      </c>
      <c r="BK664" s="41">
        <v>68116.89743804351</v>
      </c>
      <c r="BL664" s="41">
        <v>69585.271769539104</v>
      </c>
      <c r="BM664" s="41">
        <v>71088.068680798839</v>
      </c>
      <c r="BN664" s="41">
        <v>71798.949367606838</v>
      </c>
      <c r="BO664" s="41">
        <v>72516.938861282921</v>
      </c>
      <c r="BP664" s="41"/>
      <c r="BQ664" s="40">
        <v>0</v>
      </c>
      <c r="BR664" s="40">
        <v>0</v>
      </c>
      <c r="BS664" s="40">
        <v>0</v>
      </c>
      <c r="BT664" s="40">
        <v>0</v>
      </c>
      <c r="BU664" s="40">
        <v>0</v>
      </c>
      <c r="BV664" s="40">
        <v>0</v>
      </c>
      <c r="BW664" s="40">
        <v>0</v>
      </c>
      <c r="BX664" s="40">
        <v>0</v>
      </c>
      <c r="BY664" s="40">
        <v>0</v>
      </c>
      <c r="BZ664" s="40">
        <v>0</v>
      </c>
      <c r="CA664" s="41">
        <v>0</v>
      </c>
      <c r="CB664" s="41">
        <v>0</v>
      </c>
      <c r="CC664" s="41">
        <v>0</v>
      </c>
      <c r="CD664" s="41">
        <v>3730</v>
      </c>
      <c r="CE664" s="41">
        <v>9164</v>
      </c>
      <c r="CF664" s="41">
        <v>22204</v>
      </c>
      <c r="CG664" s="41">
        <v>36941</v>
      </c>
      <c r="CH664" s="41">
        <v>37404</v>
      </c>
      <c r="CI664" s="41">
        <v>37821</v>
      </c>
      <c r="CJ664" s="41">
        <v>54118</v>
      </c>
      <c r="CK664" s="41">
        <v>48929</v>
      </c>
      <c r="CL664" s="41">
        <v>45878</v>
      </c>
      <c r="CM664" s="41">
        <v>56369</v>
      </c>
      <c r="CN664" s="41">
        <v>85625</v>
      </c>
      <c r="CO664" s="41">
        <v>87496</v>
      </c>
      <c r="CP664" s="41">
        <v>62518</v>
      </c>
      <c r="CQ664" s="41">
        <v>68423</v>
      </c>
      <c r="CR664" s="41">
        <v>120667</v>
      </c>
      <c r="CS664" s="41">
        <v>135331</v>
      </c>
      <c r="CT664" s="41">
        <v>38736</v>
      </c>
      <c r="CU664" s="41">
        <v>90174</v>
      </c>
      <c r="CV664" s="211">
        <v>60406</v>
      </c>
      <c r="CW664" s="41">
        <v>53541.355182554944</v>
      </c>
      <c r="CX664" s="41">
        <v>55319.073914250286</v>
      </c>
      <c r="CY664" s="41">
        <v>56725.773954383119</v>
      </c>
      <c r="CZ664" s="41">
        <v>58652.410402419431</v>
      </c>
      <c r="DA664" s="41">
        <v>60799.126555232062</v>
      </c>
      <c r="DB664" s="41">
        <v>63039.190896638662</v>
      </c>
      <c r="DC664" s="41">
        <v>65376.808682530849</v>
      </c>
      <c r="DD664" s="41">
        <v>68116.89743804351</v>
      </c>
      <c r="DE664" s="41">
        <v>71088.068680798839</v>
      </c>
      <c r="DF664" s="41">
        <v>72516.938861282921</v>
      </c>
    </row>
    <row r="665" spans="1:110" ht="12" outlineLevel="1">
      <c r="A665" s="1" t="s">
        <v>898</v>
      </c>
      <c r="B665" s="15" t="s">
        <v>913</v>
      </c>
      <c r="C665" s="40">
        <v>-1147</v>
      </c>
      <c r="D665" s="40">
        <v>-1105</v>
      </c>
      <c r="E665" s="40">
        <v>-1208</v>
      </c>
      <c r="F665" s="40">
        <v>-1272</v>
      </c>
      <c r="G665" s="40">
        <v>-1304</v>
      </c>
      <c r="H665" s="40">
        <v>-1365</v>
      </c>
      <c r="I665" s="40">
        <v>-1476</v>
      </c>
      <c r="J665" s="40">
        <v>-1497</v>
      </c>
      <c r="K665" s="40">
        <v>-1574</v>
      </c>
      <c r="L665" s="40">
        <v>-1471</v>
      </c>
      <c r="M665" s="40">
        <v>-1583</v>
      </c>
      <c r="N665" s="40">
        <v>-1666</v>
      </c>
      <c r="O665" s="40">
        <v>-1707</v>
      </c>
      <c r="P665" s="40">
        <v>-1903</v>
      </c>
      <c r="Q665" s="40">
        <v>-2000</v>
      </c>
      <c r="R665" s="40">
        <v>-1929</v>
      </c>
      <c r="S665" s="40">
        <v>-1812</v>
      </c>
      <c r="T665" s="40">
        <v>-1813</v>
      </c>
      <c r="U665" s="40">
        <v>-1662</v>
      </c>
      <c r="V665" s="40">
        <v>-1564</v>
      </c>
      <c r="W665" s="40">
        <v>-1587</v>
      </c>
      <c r="X665" s="40">
        <v>-1586</v>
      </c>
      <c r="Y665" s="40">
        <v>-444</v>
      </c>
      <c r="Z665" s="141">
        <v>-218</v>
      </c>
      <c r="AA665" s="141">
        <v>-12</v>
      </c>
      <c r="AB665" s="141">
        <v>-52</v>
      </c>
      <c r="AC665" s="141">
        <v>151</v>
      </c>
      <c r="AD665" s="141">
        <v>324</v>
      </c>
      <c r="AE665" s="141">
        <v>514</v>
      </c>
      <c r="AF665" s="141">
        <v>417</v>
      </c>
      <c r="AG665" s="141">
        <v>520</v>
      </c>
      <c r="AH665" s="141">
        <v>582</v>
      </c>
      <c r="AI665" s="141">
        <v>647</v>
      </c>
      <c r="AJ665" s="141">
        <v>603</v>
      </c>
      <c r="AK665" s="141">
        <v>567</v>
      </c>
      <c r="AL665" s="141">
        <v>501</v>
      </c>
      <c r="AM665" s="141">
        <v>472</v>
      </c>
      <c r="AN665" s="141">
        <v>497</v>
      </c>
      <c r="AO665" s="141">
        <v>802</v>
      </c>
      <c r="AP665" s="141">
        <v>941</v>
      </c>
      <c r="AQ665" s="141">
        <v>1000</v>
      </c>
      <c r="AR665" s="141">
        <v>1022</v>
      </c>
      <c r="AS665" s="141">
        <v>2364</v>
      </c>
      <c r="AT665" s="141">
        <v>2639</v>
      </c>
      <c r="AU665" s="141">
        <v>2960</v>
      </c>
      <c r="AV665" s="226">
        <v>3148</v>
      </c>
      <c r="AW665" s="41">
        <v>3549.8027866869479</v>
      </c>
      <c r="AX665" s="41">
        <v>3611.1168106240489</v>
      </c>
      <c r="AY665" s="41">
        <v>3667.6659017724965</v>
      </c>
      <c r="AZ665" s="41">
        <v>3712.7329802900167</v>
      </c>
      <c r="BA665" s="41">
        <v>3760.9304018112102</v>
      </c>
      <c r="BB665" s="41">
        <v>3819.7405288935497</v>
      </c>
      <c r="BC665" s="41">
        <v>3888.6667919128995</v>
      </c>
      <c r="BD665" s="41">
        <v>3959.0738963793751</v>
      </c>
      <c r="BE665" s="41">
        <v>4030.9945114018356</v>
      </c>
      <c r="BF665" s="41">
        <v>4104.4621587241336</v>
      </c>
      <c r="BG665" s="41">
        <v>4179.5112348648618</v>
      </c>
      <c r="BH665" s="41">
        <v>4256.177034002626</v>
      </c>
      <c r="BI665" s="41">
        <v>4334.4957716266945</v>
      </c>
      <c r="BJ665" s="41">
        <v>4421.0348665523898</v>
      </c>
      <c r="BK665" s="41">
        <v>4516.164215896064</v>
      </c>
      <c r="BL665" s="41">
        <v>4613.5177340517084</v>
      </c>
      <c r="BM665" s="41">
        <v>4713.1534762779811</v>
      </c>
      <c r="BN665" s="41">
        <v>4760.2850110407617</v>
      </c>
      <c r="BO665" s="41">
        <v>4807.88786115117</v>
      </c>
      <c r="BP665" s="41"/>
      <c r="BQ665" s="40">
        <v>-2417</v>
      </c>
      <c r="BR665" s="40">
        <v>-2075</v>
      </c>
      <c r="BS665" s="40">
        <v>-1477</v>
      </c>
      <c r="BT665" s="40">
        <v>-1698</v>
      </c>
      <c r="BU665" s="40">
        <v>-1800</v>
      </c>
      <c r="BV665" s="40">
        <v>-1400</v>
      </c>
      <c r="BW665" s="40">
        <v>-1234</v>
      </c>
      <c r="BX665" s="40">
        <v>-1186</v>
      </c>
      <c r="BY665" s="40">
        <v>-1235</v>
      </c>
      <c r="BZ665" s="40">
        <v>-1147</v>
      </c>
      <c r="CA665" s="41">
        <v>-1208</v>
      </c>
      <c r="CB665" s="41">
        <v>-1304</v>
      </c>
      <c r="CC665" s="41">
        <v>-1476</v>
      </c>
      <c r="CD665" s="41">
        <v>-1574</v>
      </c>
      <c r="CE665" s="41">
        <v>-1583</v>
      </c>
      <c r="CF665" s="41">
        <v>-1707</v>
      </c>
      <c r="CG665" s="41">
        <v>-2000</v>
      </c>
      <c r="CH665" s="41">
        <v>-1812</v>
      </c>
      <c r="CI665" s="41">
        <v>-1662</v>
      </c>
      <c r="CJ665" s="41">
        <v>-1587</v>
      </c>
      <c r="CK665" s="41">
        <v>-444</v>
      </c>
      <c r="CL665" s="41">
        <v>-12</v>
      </c>
      <c r="CM665" s="41">
        <v>151</v>
      </c>
      <c r="CN665" s="41">
        <v>514</v>
      </c>
      <c r="CO665" s="41">
        <v>520</v>
      </c>
      <c r="CP665" s="41">
        <v>647</v>
      </c>
      <c r="CQ665" s="41">
        <v>567</v>
      </c>
      <c r="CR665" s="41">
        <v>472</v>
      </c>
      <c r="CS665" s="41">
        <v>802</v>
      </c>
      <c r="CT665" s="41">
        <v>1000</v>
      </c>
      <c r="CU665" s="41">
        <v>2364</v>
      </c>
      <c r="CV665" s="211">
        <v>2960</v>
      </c>
      <c r="CW665" s="41">
        <v>3549.8027866869479</v>
      </c>
      <c r="CX665" s="41">
        <v>3667.6659017724965</v>
      </c>
      <c r="CY665" s="41">
        <v>3760.9304018112102</v>
      </c>
      <c r="CZ665" s="41">
        <v>3888.6667919128995</v>
      </c>
      <c r="DA665" s="41">
        <v>4030.9945114018356</v>
      </c>
      <c r="DB665" s="41">
        <v>4179.5112348648618</v>
      </c>
      <c r="DC665" s="41">
        <v>4334.4957716266945</v>
      </c>
      <c r="DD665" s="41">
        <v>4516.164215896064</v>
      </c>
      <c r="DE665" s="41">
        <v>4713.1534762779811</v>
      </c>
      <c r="DF665" s="41">
        <v>4807.88786115117</v>
      </c>
    </row>
    <row r="666" spans="1:110" ht="12" outlineLevel="1">
      <c r="A666" s="1" t="s">
        <v>899</v>
      </c>
      <c r="B666" s="15" t="s">
        <v>914</v>
      </c>
      <c r="C666" s="40">
        <v>1361</v>
      </c>
      <c r="D666" s="40">
        <v>1431</v>
      </c>
      <c r="E666" s="40">
        <v>1464</v>
      </c>
      <c r="F666" s="40">
        <v>1542</v>
      </c>
      <c r="G666" s="40">
        <v>1485</v>
      </c>
      <c r="H666" s="40">
        <v>1535</v>
      </c>
      <c r="I666" s="40">
        <v>1532</v>
      </c>
      <c r="J666" s="40">
        <v>1075</v>
      </c>
      <c r="K666" s="40">
        <v>1054</v>
      </c>
      <c r="L666" s="40">
        <v>1061</v>
      </c>
      <c r="M666" s="40">
        <v>1109</v>
      </c>
      <c r="N666" s="40">
        <v>1409</v>
      </c>
      <c r="O666" s="40">
        <v>1493</v>
      </c>
      <c r="P666" s="40">
        <v>1427</v>
      </c>
      <c r="Q666" s="40">
        <v>1592</v>
      </c>
      <c r="R666" s="40">
        <v>1855</v>
      </c>
      <c r="S666" s="40">
        <v>2062</v>
      </c>
      <c r="T666" s="40">
        <v>2154</v>
      </c>
      <c r="U666" s="40">
        <v>2158</v>
      </c>
      <c r="V666" s="40">
        <v>2159</v>
      </c>
      <c r="W666" s="40">
        <v>2125</v>
      </c>
      <c r="X666" s="40">
        <v>2095</v>
      </c>
      <c r="Y666" s="40">
        <v>2114</v>
      </c>
      <c r="Z666" s="141">
        <v>2079</v>
      </c>
      <c r="AA666" s="141">
        <v>2164</v>
      </c>
      <c r="AB666" s="141">
        <v>2150</v>
      </c>
      <c r="AC666" s="141">
        <v>2181</v>
      </c>
      <c r="AD666" s="141">
        <v>2203</v>
      </c>
      <c r="AE666" s="141">
        <v>2221</v>
      </c>
      <c r="AF666" s="141">
        <v>2188</v>
      </c>
      <c r="AG666" s="141">
        <v>2205</v>
      </c>
      <c r="AH666" s="141">
        <v>1979</v>
      </c>
      <c r="AI666" s="141">
        <v>1965</v>
      </c>
      <c r="AJ666" s="141">
        <v>1892</v>
      </c>
      <c r="AK666" s="141">
        <v>1833</v>
      </c>
      <c r="AL666" s="141">
        <v>1863</v>
      </c>
      <c r="AM666" s="141">
        <v>1924</v>
      </c>
      <c r="AN666" s="141">
        <v>3211</v>
      </c>
      <c r="AO666" s="141">
        <v>3013</v>
      </c>
      <c r="AP666" s="141">
        <v>2792</v>
      </c>
      <c r="AQ666" s="141">
        <v>2734</v>
      </c>
      <c r="AR666" s="141">
        <v>2702</v>
      </c>
      <c r="AS666" s="141">
        <v>2431</v>
      </c>
      <c r="AT666" s="141">
        <v>2289</v>
      </c>
      <c r="AU666" s="141">
        <v>2053</v>
      </c>
      <c r="AV666" s="226">
        <v>2005</v>
      </c>
      <c r="AW666" s="41">
        <v>2260.9131471751371</v>
      </c>
      <c r="AX666" s="41">
        <v>2299.9648047335513</v>
      </c>
      <c r="AY666" s="41">
        <v>2335.9816178697129</v>
      </c>
      <c r="AZ666" s="41">
        <v>2364.6853956421487</v>
      </c>
      <c r="BA666" s="41">
        <v>2395.3829274559962</v>
      </c>
      <c r="BB666" s="41">
        <v>2432.8398222463679</v>
      </c>
      <c r="BC666" s="41">
        <v>2476.7398086992894</v>
      </c>
      <c r="BD666" s="41">
        <v>2521.5829613216797</v>
      </c>
      <c r="BE666" s="41">
        <v>2567.3900874716264</v>
      </c>
      <c r="BF666" s="41">
        <v>2614.1825375609556</v>
      </c>
      <c r="BG666" s="41">
        <v>2661.9822191563053</v>
      </c>
      <c r="BH666" s="41">
        <v>2710.8116115550401</v>
      </c>
      <c r="BI666" s="41">
        <v>2760.6937808486418</v>
      </c>
      <c r="BJ666" s="41">
        <v>2815.8115970259032</v>
      </c>
      <c r="BK666" s="41">
        <v>2876.4006521193169</v>
      </c>
      <c r="BL666" s="41">
        <v>2938.4063077425908</v>
      </c>
      <c r="BM666" s="41">
        <v>3001.8655400055122</v>
      </c>
      <c r="BN666" s="41">
        <v>3031.8841954055679</v>
      </c>
      <c r="BO666" s="41">
        <v>3062.203037359624</v>
      </c>
      <c r="BP666" s="41"/>
      <c r="BQ666" s="40">
        <v>2303.5</v>
      </c>
      <c r="BR666" s="40">
        <v>2010.7</v>
      </c>
      <c r="BS666" s="40">
        <v>1928</v>
      </c>
      <c r="BT666" s="40">
        <v>1991</v>
      </c>
      <c r="BU666" s="40">
        <v>2020</v>
      </c>
      <c r="BV666" s="40">
        <v>1644</v>
      </c>
      <c r="BW666" s="40">
        <v>1573</v>
      </c>
      <c r="BX666" s="40">
        <v>1424</v>
      </c>
      <c r="BY666" s="40">
        <v>1259</v>
      </c>
      <c r="BZ666" s="40">
        <v>1361</v>
      </c>
      <c r="CA666" s="41">
        <v>1464</v>
      </c>
      <c r="CB666" s="41">
        <v>1485</v>
      </c>
      <c r="CC666" s="41">
        <v>1532</v>
      </c>
      <c r="CD666" s="41">
        <v>1054</v>
      </c>
      <c r="CE666" s="41">
        <v>1109</v>
      </c>
      <c r="CF666" s="41">
        <v>1493</v>
      </c>
      <c r="CG666" s="41">
        <v>1592</v>
      </c>
      <c r="CH666" s="41">
        <v>2062</v>
      </c>
      <c r="CI666" s="41">
        <v>2158</v>
      </c>
      <c r="CJ666" s="41">
        <v>2125</v>
      </c>
      <c r="CK666" s="41">
        <v>2114</v>
      </c>
      <c r="CL666" s="41">
        <v>2164</v>
      </c>
      <c r="CM666" s="41">
        <v>2181</v>
      </c>
      <c r="CN666" s="41">
        <v>2221</v>
      </c>
      <c r="CO666" s="41">
        <v>2205</v>
      </c>
      <c r="CP666" s="41">
        <v>1965</v>
      </c>
      <c r="CQ666" s="41">
        <v>1833</v>
      </c>
      <c r="CR666" s="41">
        <v>1924</v>
      </c>
      <c r="CS666" s="41">
        <v>3013</v>
      </c>
      <c r="CT666" s="41">
        <v>2734</v>
      </c>
      <c r="CU666" s="41">
        <v>2431</v>
      </c>
      <c r="CV666" s="211">
        <v>2053</v>
      </c>
      <c r="CW666" s="41">
        <v>2260.9131471751371</v>
      </c>
      <c r="CX666" s="41">
        <v>2335.9816178697129</v>
      </c>
      <c r="CY666" s="41">
        <v>2395.3829274559962</v>
      </c>
      <c r="CZ666" s="41">
        <v>2476.7398086992894</v>
      </c>
      <c r="DA666" s="41">
        <v>2567.3900874716264</v>
      </c>
      <c r="DB666" s="41">
        <v>2661.9822191563053</v>
      </c>
      <c r="DC666" s="41">
        <v>2760.6937808486418</v>
      </c>
      <c r="DD666" s="41">
        <v>2876.4006521193169</v>
      </c>
      <c r="DE666" s="41">
        <v>3001.8655400055122</v>
      </c>
      <c r="DF666" s="41">
        <v>3062.203037359624</v>
      </c>
    </row>
    <row r="667" spans="1:110" ht="12" outlineLevel="1">
      <c r="A667" s="1" t="s">
        <v>903</v>
      </c>
      <c r="B667" s="15" t="s">
        <v>934</v>
      </c>
      <c r="C667" s="41">
        <v>39337</v>
      </c>
      <c r="D667" s="41">
        <v>31502</v>
      </c>
      <c r="E667" s="41">
        <v>27002</v>
      </c>
      <c r="F667" s="41">
        <v>24679</v>
      </c>
      <c r="G667" s="41">
        <v>24668</v>
      </c>
      <c r="H667" s="41">
        <v>25901</v>
      </c>
      <c r="I667" s="41">
        <v>23254</v>
      </c>
      <c r="J667" s="41">
        <v>21332</v>
      </c>
      <c r="K667" s="41">
        <v>21560</v>
      </c>
      <c r="L667" s="41">
        <v>18603</v>
      </c>
      <c r="M667" s="41">
        <v>18789</v>
      </c>
      <c r="N667" s="41">
        <v>19141</v>
      </c>
      <c r="O667" s="41">
        <v>19352</v>
      </c>
      <c r="P667" s="41">
        <v>21769</v>
      </c>
      <c r="Q667" s="41">
        <v>22166</v>
      </c>
      <c r="R667" s="41">
        <v>24319</v>
      </c>
      <c r="S667" s="41">
        <v>20034</v>
      </c>
      <c r="T667" s="41">
        <v>52852</v>
      </c>
      <c r="U667" s="41">
        <v>52766</v>
      </c>
      <c r="V667" s="41">
        <v>44242</v>
      </c>
      <c r="W667" s="41">
        <v>46193</v>
      </c>
      <c r="X667" s="41">
        <v>41775</v>
      </c>
      <c r="Y667" s="41">
        <v>40815</v>
      </c>
      <c r="Z667" s="41">
        <v>41539</v>
      </c>
      <c r="AA667" s="41">
        <v>42269</v>
      </c>
      <c r="AB667" s="41">
        <v>44362</v>
      </c>
      <c r="AC667" s="41">
        <v>44074</v>
      </c>
      <c r="AD667" s="41">
        <v>47510</v>
      </c>
      <c r="AE667" s="41">
        <v>47195</v>
      </c>
      <c r="AF667" s="41">
        <v>45361</v>
      </c>
      <c r="AG667" s="41">
        <v>46495</v>
      </c>
      <c r="AH667" s="41">
        <v>49425</v>
      </c>
      <c r="AI667" s="41">
        <v>49660</v>
      </c>
      <c r="AJ667" s="41">
        <v>51604</v>
      </c>
      <c r="AK667" s="41">
        <v>51897</v>
      </c>
      <c r="AL667" s="41">
        <v>51509</v>
      </c>
      <c r="AM667" s="41">
        <v>10230</v>
      </c>
      <c r="AN667" s="41">
        <v>9569</v>
      </c>
      <c r="AO667" s="41">
        <v>8187</v>
      </c>
      <c r="AP667" s="41">
        <v>7831</v>
      </c>
      <c r="AQ667" s="41">
        <v>7599</v>
      </c>
      <c r="AR667" s="41">
        <v>8508</v>
      </c>
      <c r="AS667" s="41">
        <v>9384</v>
      </c>
      <c r="AT667" s="41">
        <v>9989</v>
      </c>
      <c r="AU667" s="41">
        <v>11020</v>
      </c>
      <c r="AV667" s="211">
        <v>11166</v>
      </c>
      <c r="AW667" s="41">
        <v>12683.154439376434</v>
      </c>
      <c r="AX667" s="41">
        <v>12941.350500062807</v>
      </c>
      <c r="AY667" s="41">
        <v>13193.433003152255</v>
      </c>
      <c r="AZ667" s="41">
        <v>13418.797640843317</v>
      </c>
      <c r="BA667" s="41">
        <v>13658.354704500409</v>
      </c>
      <c r="BB667" s="41">
        <v>13926.745549685322</v>
      </c>
      <c r="BC667" s="41">
        <v>14219.552228464745</v>
      </c>
      <c r="BD667" s="41">
        <v>14519.519632602111</v>
      </c>
      <c r="BE667" s="41">
        <v>14826.786583527923</v>
      </c>
      <c r="BF667" s="41">
        <v>15141.976811497239</v>
      </c>
      <c r="BG667" s="41">
        <v>15463.77837931877</v>
      </c>
      <c r="BH667" s="41">
        <v>16495.708404760342</v>
      </c>
      <c r="BI667" s="41">
        <v>17683.544818738475</v>
      </c>
      <c r="BJ667" s="41">
        <v>17994.003753930796</v>
      </c>
      <c r="BK667" s="41">
        <v>17584.542830062797</v>
      </c>
      <c r="BL667" s="41">
        <v>18029.440091144992</v>
      </c>
      <c r="BM667" s="41">
        <v>18485.062769648852</v>
      </c>
      <c r="BN667" s="41">
        <v>18774.611315526767</v>
      </c>
      <c r="BO667" s="41">
        <v>19080.210625606356</v>
      </c>
      <c r="BP667" s="41"/>
      <c r="BQ667" s="41">
        <v>20385.600407827558</v>
      </c>
      <c r="BR667" s="41">
        <v>21220.520391982151</v>
      </c>
      <c r="BS667" s="41">
        <v>16270.474591376144</v>
      </c>
      <c r="BT667" s="41">
        <v>17579.87777005219</v>
      </c>
      <c r="BU667" s="41">
        <v>20213.093556244115</v>
      </c>
      <c r="BV667" s="41">
        <v>25047.484056684596</v>
      </c>
      <c r="BW667" s="41">
        <v>35574.570564910711</v>
      </c>
      <c r="BX667" s="41">
        <v>29464</v>
      </c>
      <c r="BY667" s="41">
        <v>36117</v>
      </c>
      <c r="BZ667" s="41">
        <v>36534</v>
      </c>
      <c r="CA667" s="41">
        <v>27002</v>
      </c>
      <c r="CB667" s="41">
        <v>24668</v>
      </c>
      <c r="CC667" s="41">
        <v>23254</v>
      </c>
      <c r="CD667" s="41">
        <v>21560</v>
      </c>
      <c r="CE667" s="41">
        <v>18789</v>
      </c>
      <c r="CF667" s="41">
        <v>19352</v>
      </c>
      <c r="CG667" s="41">
        <v>22166</v>
      </c>
      <c r="CH667" s="41">
        <v>20034</v>
      </c>
      <c r="CI667" s="41">
        <v>52766</v>
      </c>
      <c r="CJ667" s="41">
        <v>46193</v>
      </c>
      <c r="CK667" s="41">
        <v>40815</v>
      </c>
      <c r="CL667" s="41">
        <v>42269</v>
      </c>
      <c r="CM667" s="41">
        <v>44074</v>
      </c>
      <c r="CN667" s="41">
        <v>47195</v>
      </c>
      <c r="CO667" s="41">
        <v>46495</v>
      </c>
      <c r="CP667" s="41">
        <v>49660</v>
      </c>
      <c r="CQ667" s="41">
        <v>51897</v>
      </c>
      <c r="CR667" s="41">
        <v>10230</v>
      </c>
      <c r="CS667" s="41">
        <v>8187</v>
      </c>
      <c r="CT667" s="41">
        <v>7599</v>
      </c>
      <c r="CU667" s="41">
        <v>9384</v>
      </c>
      <c r="CV667" s="211">
        <v>11020</v>
      </c>
      <c r="CW667" s="41">
        <v>12683.154439376434</v>
      </c>
      <c r="CX667" s="41">
        <v>13193.433003152255</v>
      </c>
      <c r="CY667" s="41">
        <v>13658.354704500409</v>
      </c>
      <c r="CZ667" s="41">
        <v>14219.552228464745</v>
      </c>
      <c r="DA667" s="41">
        <v>14826.786583527923</v>
      </c>
      <c r="DB667" s="41">
        <v>15463.77837931877</v>
      </c>
      <c r="DC667" s="41">
        <v>17683.544818738475</v>
      </c>
      <c r="DD667" s="41">
        <v>17584.542830062797</v>
      </c>
      <c r="DE667" s="41">
        <v>18485.062769648852</v>
      </c>
      <c r="DF667" s="41">
        <v>19080.210625606356</v>
      </c>
    </row>
    <row r="668" spans="1:110" ht="12" outlineLevel="1">
      <c r="A668" s="1" t="s">
        <v>904</v>
      </c>
      <c r="B668" s="15" t="s">
        <v>805</v>
      </c>
      <c r="C668" s="40">
        <v>7794</v>
      </c>
      <c r="D668" s="40">
        <v>6752</v>
      </c>
      <c r="E668" s="40">
        <v>7410</v>
      </c>
      <c r="F668" s="40">
        <v>7759</v>
      </c>
      <c r="G668" s="40">
        <v>6592</v>
      </c>
      <c r="H668" s="40">
        <v>5732</v>
      </c>
      <c r="I668" s="40">
        <v>6363</v>
      </c>
      <c r="J668" s="40">
        <v>8856</v>
      </c>
      <c r="K668" s="40">
        <v>11601</v>
      </c>
      <c r="L668" s="40">
        <v>13870</v>
      </c>
      <c r="M668" s="40">
        <v>15019</v>
      </c>
      <c r="N668" s="40">
        <v>15433</v>
      </c>
      <c r="O668" s="40">
        <v>16987</v>
      </c>
      <c r="P668" s="40">
        <v>17803</v>
      </c>
      <c r="Q668" s="40">
        <v>25030</v>
      </c>
      <c r="R668" s="40">
        <v>26743</v>
      </c>
      <c r="S668" s="40">
        <v>25317</v>
      </c>
      <c r="T668" s="40">
        <v>22626</v>
      </c>
      <c r="U668" s="40">
        <v>18945</v>
      </c>
      <c r="V668" s="40">
        <v>19298</v>
      </c>
      <c r="W668" s="40">
        <v>24899</v>
      </c>
      <c r="X668" s="40">
        <v>35771</v>
      </c>
      <c r="Y668" s="40">
        <v>36578</v>
      </c>
      <c r="Z668" s="141">
        <v>46478</v>
      </c>
      <c r="AA668" s="141">
        <v>31800</v>
      </c>
      <c r="AB668" s="141">
        <v>39870</v>
      </c>
      <c r="AC668" s="141">
        <v>38018</v>
      </c>
      <c r="AD668" s="141">
        <v>56711</v>
      </c>
      <c r="AE668" s="141">
        <v>63870</v>
      </c>
      <c r="AF668" s="141">
        <v>61927</v>
      </c>
      <c r="AG668" s="141">
        <v>61398</v>
      </c>
      <c r="AH668" s="141">
        <v>67598</v>
      </c>
      <c r="AI668" s="141">
        <v>77035</v>
      </c>
      <c r="AJ668" s="141">
        <v>92934</v>
      </c>
      <c r="AK668" s="141">
        <v>95679</v>
      </c>
      <c r="AL668" s="141">
        <v>105856</v>
      </c>
      <c r="AM668" s="141">
        <v>96627</v>
      </c>
      <c r="AN668" s="141">
        <v>159855</v>
      </c>
      <c r="AO668" s="141">
        <v>122231</v>
      </c>
      <c r="AP668" s="141">
        <v>136519</v>
      </c>
      <c r="AQ668" s="141">
        <v>160426</v>
      </c>
      <c r="AR668" s="141">
        <v>178818</v>
      </c>
      <c r="AS668" s="141">
        <v>180832</v>
      </c>
      <c r="AT668" s="141">
        <v>218045</v>
      </c>
      <c r="AU668" s="141">
        <v>176712</v>
      </c>
      <c r="AV668" s="226">
        <v>145940</v>
      </c>
      <c r="AW668" s="41">
        <v>164567.41381483263</v>
      </c>
      <c r="AX668" s="41">
        <v>167409.90703382264</v>
      </c>
      <c r="AY668" s="41">
        <v>170031.49990618747</v>
      </c>
      <c r="AZ668" s="41">
        <v>172120.79134165344</v>
      </c>
      <c r="BA668" s="41">
        <v>174355.20420594915</v>
      </c>
      <c r="BB668" s="41">
        <v>177081.61778485531</v>
      </c>
      <c r="BC668" s="41">
        <v>180277.01131250584</v>
      </c>
      <c r="BD668" s="41">
        <v>183541.05604752412</v>
      </c>
      <c r="BE668" s="41">
        <v>186875.26651651328</v>
      </c>
      <c r="BF668" s="41">
        <v>190281.19677388819</v>
      </c>
      <c r="BG668" s="41">
        <v>193760.44142826489</v>
      </c>
      <c r="BH668" s="41">
        <v>197314.63670341275</v>
      </c>
      <c r="BI668" s="41">
        <v>200945.46153468866</v>
      </c>
      <c r="BJ668" s="41">
        <v>204957.37878801007</v>
      </c>
      <c r="BK668" s="41">
        <v>209367.53674328828</v>
      </c>
      <c r="BL668" s="41">
        <v>213880.80626032598</v>
      </c>
      <c r="BM668" s="41">
        <v>218499.87875730891</v>
      </c>
      <c r="BN668" s="41">
        <v>220684.87754488204</v>
      </c>
      <c r="BO668" s="41">
        <v>222891.7263203309</v>
      </c>
      <c r="BP668" s="41"/>
      <c r="BQ668" s="40">
        <v>1750.7</v>
      </c>
      <c r="BR668" s="40">
        <v>3708.6</v>
      </c>
      <c r="BS668" s="40">
        <v>6068</v>
      </c>
      <c r="BT668" s="40">
        <v>5054</v>
      </c>
      <c r="BU668" s="40">
        <v>6901</v>
      </c>
      <c r="BV668" s="40">
        <v>6974</v>
      </c>
      <c r="BW668" s="40">
        <v>7527</v>
      </c>
      <c r="BX668" s="40">
        <v>5283</v>
      </c>
      <c r="BY668" s="40">
        <v>5648</v>
      </c>
      <c r="BZ668" s="40">
        <v>7794</v>
      </c>
      <c r="CA668" s="41">
        <v>7410</v>
      </c>
      <c r="CB668" s="41">
        <v>6592</v>
      </c>
      <c r="CC668" s="41">
        <v>6363</v>
      </c>
      <c r="CD668" s="41">
        <v>11601</v>
      </c>
      <c r="CE668" s="41">
        <v>15019</v>
      </c>
      <c r="CF668" s="41">
        <v>16987</v>
      </c>
      <c r="CG668" s="41">
        <v>25030</v>
      </c>
      <c r="CH668" s="41">
        <v>25317</v>
      </c>
      <c r="CI668" s="41">
        <v>18945</v>
      </c>
      <c r="CJ668" s="41">
        <v>24899</v>
      </c>
      <c r="CK668" s="41">
        <v>36578</v>
      </c>
      <c r="CL668" s="41">
        <v>31800</v>
      </c>
      <c r="CM668" s="41">
        <v>38018</v>
      </c>
      <c r="CN668" s="41">
        <v>63870</v>
      </c>
      <c r="CO668" s="41">
        <v>61398</v>
      </c>
      <c r="CP668" s="41">
        <v>77035</v>
      </c>
      <c r="CQ668" s="41">
        <v>95679</v>
      </c>
      <c r="CR668" s="41">
        <v>96627</v>
      </c>
      <c r="CS668" s="41">
        <v>122231</v>
      </c>
      <c r="CT668" s="41">
        <v>160426</v>
      </c>
      <c r="CU668" s="41">
        <v>180832</v>
      </c>
      <c r="CV668" s="211">
        <v>176712</v>
      </c>
      <c r="CW668" s="41">
        <v>164567.41381483263</v>
      </c>
      <c r="CX668" s="41">
        <v>170031.49990618747</v>
      </c>
      <c r="CY668" s="41">
        <v>174355.20420594915</v>
      </c>
      <c r="CZ668" s="41">
        <v>180277.01131250584</v>
      </c>
      <c r="DA668" s="41">
        <v>186875.26651651328</v>
      </c>
      <c r="DB668" s="41">
        <v>193760.44142826489</v>
      </c>
      <c r="DC668" s="41">
        <v>200945.46153468866</v>
      </c>
      <c r="DD668" s="41">
        <v>209367.53674328828</v>
      </c>
      <c r="DE668" s="41">
        <v>218499.87875730891</v>
      </c>
      <c r="DF668" s="41">
        <v>222891.7263203309</v>
      </c>
    </row>
    <row r="669" spans="1:110" ht="12" outlineLevel="1">
      <c r="A669" s="1" t="s">
        <v>905</v>
      </c>
      <c r="B669" s="15" t="s">
        <v>806</v>
      </c>
      <c r="C669" s="40">
        <v>64</v>
      </c>
      <c r="D669" s="40">
        <v>76</v>
      </c>
      <c r="E669" s="40">
        <v>1692</v>
      </c>
      <c r="F669" s="40">
        <v>1759</v>
      </c>
      <c r="G669" s="40">
        <v>1814</v>
      </c>
      <c r="H669" s="40">
        <v>1905</v>
      </c>
      <c r="I669" s="40">
        <v>1960</v>
      </c>
      <c r="J669" s="40">
        <v>1796</v>
      </c>
      <c r="K669" s="40">
        <v>1926</v>
      </c>
      <c r="L669" s="40">
        <v>1912</v>
      </c>
      <c r="M669" s="40">
        <v>2200</v>
      </c>
      <c r="N669" s="40">
        <v>2281</v>
      </c>
      <c r="O669" s="40">
        <v>3430</v>
      </c>
      <c r="P669" s="40">
        <v>3869</v>
      </c>
      <c r="Q669" s="40">
        <v>4375</v>
      </c>
      <c r="R669" s="40">
        <v>4712</v>
      </c>
      <c r="S669" s="40">
        <v>4565</v>
      </c>
      <c r="T669" s="40">
        <v>2854</v>
      </c>
      <c r="U669" s="40">
        <v>2965</v>
      </c>
      <c r="V669" s="40">
        <v>3239</v>
      </c>
      <c r="W669" s="40">
        <v>3513</v>
      </c>
      <c r="X669" s="40">
        <v>3424</v>
      </c>
      <c r="Y669" s="40">
        <v>3520</v>
      </c>
      <c r="Z669" s="141">
        <v>3719</v>
      </c>
      <c r="AA669" s="141">
        <v>4123</v>
      </c>
      <c r="AB669" s="141">
        <v>4323</v>
      </c>
      <c r="AC669" s="141">
        <v>4582</v>
      </c>
      <c r="AD669" s="141">
        <v>5315</v>
      </c>
      <c r="AE669" s="141">
        <v>5440</v>
      </c>
      <c r="AF669" s="141">
        <v>4213</v>
      </c>
      <c r="AG669" s="141">
        <v>4272</v>
      </c>
      <c r="AH669" s="141">
        <v>2286</v>
      </c>
      <c r="AI669" s="141">
        <v>2248</v>
      </c>
      <c r="AJ669" s="141">
        <v>2481</v>
      </c>
      <c r="AK669" s="141">
        <v>2553</v>
      </c>
      <c r="AL669" s="141">
        <v>2737</v>
      </c>
      <c r="AM669" s="141">
        <v>2957</v>
      </c>
      <c r="AN669" s="141">
        <v>2313</v>
      </c>
      <c r="AO669" s="141">
        <v>2164</v>
      </c>
      <c r="AP669" s="141">
        <v>1854</v>
      </c>
      <c r="AQ669" s="141">
        <v>1972</v>
      </c>
      <c r="AR669" s="141">
        <v>2018</v>
      </c>
      <c r="AS669" s="141">
        <v>2181</v>
      </c>
      <c r="AT669" s="141">
        <v>2253</v>
      </c>
      <c r="AU669" s="141">
        <v>2349</v>
      </c>
      <c r="AV669" s="226">
        <v>1419</v>
      </c>
      <c r="AW669" s="41">
        <v>1600.1175839608575</v>
      </c>
      <c r="AX669" s="41">
        <v>1627.7556398588072</v>
      </c>
      <c r="AY669" s="41">
        <v>1653.245843270385</v>
      </c>
      <c r="AZ669" s="41">
        <v>1673.560387240004</v>
      </c>
      <c r="BA669" s="41">
        <v>1695.2859720997797</v>
      </c>
      <c r="BB669" s="41">
        <v>1721.7953654701228</v>
      </c>
      <c r="BC669" s="41">
        <v>1752.8647324410429</v>
      </c>
      <c r="BD669" s="41">
        <v>1784.6016070401311</v>
      </c>
      <c r="BE669" s="41">
        <v>1817.0207152729363</v>
      </c>
      <c r="BF669" s="41">
        <v>1850.1371674807958</v>
      </c>
      <c r="BG669" s="41">
        <v>1883.9664683205967</v>
      </c>
      <c r="BH669" s="41">
        <v>1918.5245270805992</v>
      </c>
      <c r="BI669" s="41">
        <v>1953.8276683412578</v>
      </c>
      <c r="BJ669" s="41">
        <v>1992.8362374961373</v>
      </c>
      <c r="BK669" s="41">
        <v>2035.7169702530223</v>
      </c>
      <c r="BL669" s="41">
        <v>2079.600274656726</v>
      </c>
      <c r="BM669" s="41">
        <v>2124.5123198343249</v>
      </c>
      <c r="BN669" s="41">
        <v>2145.7574430326686</v>
      </c>
      <c r="BO669" s="41">
        <v>2167.2150174629955</v>
      </c>
      <c r="BP669" s="41"/>
      <c r="BQ669" s="40">
        <v>19.3</v>
      </c>
      <c r="BR669" s="40">
        <v>16.3</v>
      </c>
      <c r="BS669" s="40">
        <v>8</v>
      </c>
      <c r="BT669" s="40">
        <v>10</v>
      </c>
      <c r="BU669" s="40">
        <v>10</v>
      </c>
      <c r="BV669" s="40">
        <v>7</v>
      </c>
      <c r="BW669" s="40">
        <v>11</v>
      </c>
      <c r="BX669" s="40">
        <v>32</v>
      </c>
      <c r="BY669" s="40">
        <v>29</v>
      </c>
      <c r="BZ669" s="40">
        <v>64</v>
      </c>
      <c r="CA669" s="41">
        <v>1692</v>
      </c>
      <c r="CB669" s="41">
        <v>1814</v>
      </c>
      <c r="CC669" s="41">
        <v>1960</v>
      </c>
      <c r="CD669" s="41">
        <v>1926</v>
      </c>
      <c r="CE669" s="41">
        <v>2200</v>
      </c>
      <c r="CF669" s="41">
        <v>3430</v>
      </c>
      <c r="CG669" s="41">
        <v>4375</v>
      </c>
      <c r="CH669" s="41">
        <v>4565</v>
      </c>
      <c r="CI669" s="41">
        <v>2965</v>
      </c>
      <c r="CJ669" s="41">
        <v>3513</v>
      </c>
      <c r="CK669" s="41">
        <v>3520</v>
      </c>
      <c r="CL669" s="41">
        <v>4123</v>
      </c>
      <c r="CM669" s="41">
        <v>4582</v>
      </c>
      <c r="CN669" s="41">
        <v>5440</v>
      </c>
      <c r="CO669" s="41">
        <v>4272</v>
      </c>
      <c r="CP669" s="41">
        <v>2248</v>
      </c>
      <c r="CQ669" s="41">
        <v>2553</v>
      </c>
      <c r="CR669" s="41">
        <v>2957</v>
      </c>
      <c r="CS669" s="41">
        <v>2164</v>
      </c>
      <c r="CT669" s="41">
        <v>1972</v>
      </c>
      <c r="CU669" s="41">
        <v>2181</v>
      </c>
      <c r="CV669" s="211">
        <v>2349</v>
      </c>
      <c r="CW669" s="41">
        <v>1600.1175839608575</v>
      </c>
      <c r="CX669" s="41">
        <v>1653.245843270385</v>
      </c>
      <c r="CY669" s="41">
        <v>1695.2859720997797</v>
      </c>
      <c r="CZ669" s="41">
        <v>1752.8647324410429</v>
      </c>
      <c r="DA669" s="41">
        <v>1817.0207152729363</v>
      </c>
      <c r="DB669" s="41">
        <v>1883.9664683205967</v>
      </c>
      <c r="DC669" s="41">
        <v>1953.8276683412578</v>
      </c>
      <c r="DD669" s="41">
        <v>2035.7169702530223</v>
      </c>
      <c r="DE669" s="41">
        <v>2124.5123198343249</v>
      </c>
      <c r="DF669" s="41">
        <v>2167.2150174629955</v>
      </c>
    </row>
    <row r="670" spans="1:110" ht="12" outlineLevel="1">
      <c r="A670" s="1" t="s">
        <v>1073</v>
      </c>
      <c r="B670" s="15" t="s">
        <v>1074</v>
      </c>
      <c r="C670" s="40">
        <v>17079</v>
      </c>
      <c r="D670" s="40">
        <v>12516.5</v>
      </c>
      <c r="E670" s="40">
        <v>14855</v>
      </c>
      <c r="F670" s="40">
        <v>21757.5</v>
      </c>
      <c r="G670" s="40">
        <v>22169</v>
      </c>
      <c r="H670" s="40">
        <v>42106</v>
      </c>
      <c r="I670" s="40">
        <v>28678</v>
      </c>
      <c r="J670" s="40">
        <v>37907</v>
      </c>
      <c r="K670" s="40">
        <v>42189</v>
      </c>
      <c r="L670" s="40">
        <v>37633</v>
      </c>
      <c r="M670" s="40">
        <v>32400</v>
      </c>
      <c r="N670" s="40">
        <v>27018</v>
      </c>
      <c r="O670" s="40">
        <v>28009</v>
      </c>
      <c r="P670" s="40">
        <v>30699</v>
      </c>
      <c r="Q670" s="40">
        <v>34462</v>
      </c>
      <c r="R670" s="40">
        <v>26249</v>
      </c>
      <c r="S670" s="40">
        <v>19819</v>
      </c>
      <c r="T670" s="40">
        <v>20782</v>
      </c>
      <c r="U670" s="40">
        <v>13397</v>
      </c>
      <c r="V670" s="40">
        <v>12438</v>
      </c>
      <c r="W670" s="40">
        <v>15829</v>
      </c>
      <c r="X670" s="40">
        <v>16464</v>
      </c>
      <c r="Y670" s="40">
        <v>13437</v>
      </c>
      <c r="Z670" s="141">
        <v>46360</v>
      </c>
      <c r="AA670" s="141">
        <v>40844</v>
      </c>
      <c r="AB670" s="141">
        <v>53575</v>
      </c>
      <c r="AC670" s="141">
        <v>54745</v>
      </c>
      <c r="AD670" s="141">
        <v>71848</v>
      </c>
      <c r="AE670" s="141">
        <v>63549</v>
      </c>
      <c r="AF670" s="141">
        <v>66629</v>
      </c>
      <c r="AG670" s="141">
        <v>78145</v>
      </c>
      <c r="AH670" s="141">
        <v>53307</v>
      </c>
      <c r="AI670" s="141">
        <v>73713</v>
      </c>
      <c r="AJ670" s="141">
        <v>94072</v>
      </c>
      <c r="AK670" s="141">
        <v>88984</v>
      </c>
      <c r="AL670" s="141">
        <v>98796</v>
      </c>
      <c r="AM670" s="141">
        <v>89338</v>
      </c>
      <c r="AN670" s="141">
        <v>122535</v>
      </c>
      <c r="AO670" s="141">
        <v>97479</v>
      </c>
      <c r="AP670" s="141">
        <v>105098</v>
      </c>
      <c r="AQ670" s="141">
        <v>111766</v>
      </c>
      <c r="AR670" s="141">
        <v>132289</v>
      </c>
      <c r="AS670" s="141">
        <v>142802</v>
      </c>
      <c r="AT670" s="141">
        <v>149392</v>
      </c>
      <c r="AU670" s="141">
        <v>125673</v>
      </c>
      <c r="AV670" s="226">
        <v>126552</v>
      </c>
      <c r="AW670" s="41">
        <v>140425.62405996278</v>
      </c>
      <c r="AX670" s="41">
        <v>142731.82326625776</v>
      </c>
      <c r="AY670" s="41">
        <v>144181.58630725037</v>
      </c>
      <c r="AZ670" s="41">
        <v>145562.710400743</v>
      </c>
      <c r="BA670" s="41">
        <v>147319.98198790883</v>
      </c>
      <c r="BB670" s="41">
        <v>149630.14728463942</v>
      </c>
      <c r="BC670" s="41">
        <v>152473.47900315869</v>
      </c>
      <c r="BD670" s="41">
        <v>155382.80863242617</v>
      </c>
      <c r="BE670" s="41">
        <v>158359.7553984441</v>
      </c>
      <c r="BF670" s="41">
        <v>161405.98523128944</v>
      </c>
      <c r="BG670" s="41">
        <v>164523.21213375466</v>
      </c>
      <c r="BH670" s="41">
        <v>167713.19959793988</v>
      </c>
      <c r="BI670" s="41">
        <v>170977.76207126601</v>
      </c>
      <c r="BJ670" s="41">
        <v>174639.40625542216</v>
      </c>
      <c r="BK670" s="41">
        <v>178719.31641123685</v>
      </c>
      <c r="BL670" s="41">
        <v>182906.17090696946</v>
      </c>
      <c r="BM670" s="41">
        <v>187203.14722093131</v>
      </c>
      <c r="BN670" s="41">
        <v>189075.17869314059</v>
      </c>
      <c r="BO670" s="41">
        <v>190965.93048007204</v>
      </c>
      <c r="BP670" s="41"/>
      <c r="BQ670" s="40">
        <v>10615.400000000001</v>
      </c>
      <c r="BR670" s="40">
        <v>8397.3000000000029</v>
      </c>
      <c r="BS670" s="40">
        <v>9183</v>
      </c>
      <c r="BT670" s="40">
        <v>9902</v>
      </c>
      <c r="BU670" s="40">
        <v>12213</v>
      </c>
      <c r="BV670" s="40">
        <v>12351</v>
      </c>
      <c r="BW670" s="40">
        <v>12025</v>
      </c>
      <c r="BX670" s="40">
        <v>16507</v>
      </c>
      <c r="BY670" s="40">
        <v>18729</v>
      </c>
      <c r="BZ670" s="40">
        <v>17079</v>
      </c>
      <c r="CA670" s="41">
        <v>14855</v>
      </c>
      <c r="CB670" s="41">
        <v>22169</v>
      </c>
      <c r="CC670" s="41">
        <v>28678</v>
      </c>
      <c r="CD670" s="41">
        <v>42189</v>
      </c>
      <c r="CE670" s="41">
        <v>32400</v>
      </c>
      <c r="CF670" s="41">
        <v>28009</v>
      </c>
      <c r="CG670" s="41">
        <v>34462</v>
      </c>
      <c r="CH670" s="41">
        <v>19819</v>
      </c>
      <c r="CI670" s="41">
        <v>13397</v>
      </c>
      <c r="CJ670" s="41">
        <v>15829</v>
      </c>
      <c r="CK670" s="41">
        <v>13437</v>
      </c>
      <c r="CL670" s="41">
        <v>40844</v>
      </c>
      <c r="CM670" s="41">
        <v>54745</v>
      </c>
      <c r="CN670" s="41">
        <v>63549</v>
      </c>
      <c r="CO670" s="41">
        <v>78145</v>
      </c>
      <c r="CP670" s="41">
        <v>73713</v>
      </c>
      <c r="CQ670" s="41">
        <v>88984</v>
      </c>
      <c r="CR670" s="41">
        <v>89338</v>
      </c>
      <c r="CS670" s="41">
        <v>97479</v>
      </c>
      <c r="CT670" s="41">
        <v>111766</v>
      </c>
      <c r="CU670" s="41">
        <v>142802</v>
      </c>
      <c r="CV670" s="211">
        <v>125673</v>
      </c>
      <c r="CW670" s="41">
        <v>140425.62405996278</v>
      </c>
      <c r="CX670" s="41">
        <v>144181.58630725037</v>
      </c>
      <c r="CY670" s="41">
        <v>147319.98198790883</v>
      </c>
      <c r="CZ670" s="41">
        <v>152473.47900315869</v>
      </c>
      <c r="DA670" s="41">
        <v>158359.7553984441</v>
      </c>
      <c r="DB670" s="41">
        <v>164523.21213375466</v>
      </c>
      <c r="DC670" s="41">
        <v>170977.76207126601</v>
      </c>
      <c r="DD670" s="41">
        <v>178719.31641123685</v>
      </c>
      <c r="DE670" s="41">
        <v>187203.14722093131</v>
      </c>
      <c r="DF670" s="41">
        <v>190965.93048007204</v>
      </c>
    </row>
    <row r="671" spans="1:110" ht="12" outlineLevel="1">
      <c r="A671" s="1" t="s">
        <v>906</v>
      </c>
      <c r="B671" s="15" t="s">
        <v>667</v>
      </c>
      <c r="C671" s="40">
        <v>12690</v>
      </c>
      <c r="D671" s="40">
        <v>8215</v>
      </c>
      <c r="E671" s="40">
        <v>10860</v>
      </c>
      <c r="F671" s="40">
        <v>8824</v>
      </c>
      <c r="G671" s="40">
        <v>6467</v>
      </c>
      <c r="H671" s="40">
        <v>7143</v>
      </c>
      <c r="I671" s="40">
        <v>7349</v>
      </c>
      <c r="J671" s="40">
        <v>10056</v>
      </c>
      <c r="K671" s="40">
        <v>12027</v>
      </c>
      <c r="L671" s="40">
        <v>13345</v>
      </c>
      <c r="M671" s="40">
        <v>14118</v>
      </c>
      <c r="N671" s="40">
        <v>16106</v>
      </c>
      <c r="O671" s="40">
        <v>19116</v>
      </c>
      <c r="P671" s="40">
        <v>19134</v>
      </c>
      <c r="Q671" s="40">
        <v>20092</v>
      </c>
      <c r="R671" s="40">
        <v>18314</v>
      </c>
      <c r="S671" s="40">
        <v>19924</v>
      </c>
      <c r="T671" s="40">
        <v>16068</v>
      </c>
      <c r="U671" s="40">
        <v>21610</v>
      </c>
      <c r="V671" s="40">
        <v>22014</v>
      </c>
      <c r="W671" s="40">
        <v>27535</v>
      </c>
      <c r="X671" s="40">
        <v>29688</v>
      </c>
      <c r="Y671" s="40">
        <v>30538</v>
      </c>
      <c r="Z671" s="141">
        <v>16250</v>
      </c>
      <c r="AA671" s="141">
        <v>12616</v>
      </c>
      <c r="AB671" s="141">
        <v>12013</v>
      </c>
      <c r="AC671" s="141">
        <v>15713</v>
      </c>
      <c r="AD671" s="141">
        <v>12603</v>
      </c>
      <c r="AE671" s="141">
        <v>19079</v>
      </c>
      <c r="AF671" s="141">
        <v>20241</v>
      </c>
      <c r="AG671" s="141">
        <v>17011</v>
      </c>
      <c r="AH671" s="141">
        <v>14925</v>
      </c>
      <c r="AI671" s="141">
        <v>15833</v>
      </c>
      <c r="AJ671" s="141">
        <v>19972</v>
      </c>
      <c r="AK671" s="141">
        <v>18352</v>
      </c>
      <c r="AL671" s="141">
        <v>18097</v>
      </c>
      <c r="AM671" s="141">
        <v>18796</v>
      </c>
      <c r="AN671" s="141">
        <v>39777</v>
      </c>
      <c r="AO671" s="141">
        <v>31545</v>
      </c>
      <c r="AP671" s="141">
        <v>26740</v>
      </c>
      <c r="AQ671" s="141">
        <v>23084</v>
      </c>
      <c r="AR671" s="141">
        <v>26468</v>
      </c>
      <c r="AS671" s="141">
        <v>29996</v>
      </c>
      <c r="AT671" s="141">
        <v>31012</v>
      </c>
      <c r="AU671" s="141">
        <v>29649</v>
      </c>
      <c r="AV671" s="226">
        <v>22435</v>
      </c>
      <c r="AW671" s="41">
        <v>25546.896399945839</v>
      </c>
      <c r="AX671" s="41">
        <v>26019.083263645443</v>
      </c>
      <c r="AY671" s="41">
        <v>26445.980627886827</v>
      </c>
      <c r="AZ671" s="41">
        <v>26780.742566246445</v>
      </c>
      <c r="BA671" s="41">
        <v>27139.936020463163</v>
      </c>
      <c r="BB671" s="41">
        <v>27572.318069393183</v>
      </c>
      <c r="BC671" s="41">
        <v>28081.097746653435</v>
      </c>
      <c r="BD671" s="41">
        <v>28595.348269304639</v>
      </c>
      <c r="BE671" s="41">
        <v>29124.084035690768</v>
      </c>
      <c r="BF671" s="41">
        <v>29658.235526406977</v>
      </c>
      <c r="BG671" s="41">
        <v>30209.581825930822</v>
      </c>
      <c r="BH671" s="41">
        <v>30777.556477400572</v>
      </c>
      <c r="BI671" s="41">
        <v>31314.221819277034</v>
      </c>
      <c r="BJ671" s="41">
        <v>31905.513304358854</v>
      </c>
      <c r="BK671" s="41">
        <v>32598.551452631047</v>
      </c>
      <c r="BL671" s="41">
        <v>33296.117212445992</v>
      </c>
      <c r="BM671" s="41">
        <v>34027.91941231113</v>
      </c>
      <c r="BN671" s="41">
        <v>34353.523087465932</v>
      </c>
      <c r="BO671" s="41">
        <v>34688.179434555226</v>
      </c>
      <c r="BP671" s="41"/>
      <c r="BQ671" s="40">
        <v>9063.2000000000007</v>
      </c>
      <c r="BR671" s="40">
        <v>11147.8</v>
      </c>
      <c r="BS671" s="40">
        <v>10655</v>
      </c>
      <c r="BT671" s="40">
        <v>11161</v>
      </c>
      <c r="BU671" s="40">
        <v>12682</v>
      </c>
      <c r="BV671" s="40">
        <v>10874</v>
      </c>
      <c r="BW671" s="40">
        <v>10758</v>
      </c>
      <c r="BX671" s="40">
        <v>9001</v>
      </c>
      <c r="BY671" s="40">
        <v>12247</v>
      </c>
      <c r="BZ671" s="40">
        <v>12690</v>
      </c>
      <c r="CA671" s="41">
        <v>10860</v>
      </c>
      <c r="CB671" s="41">
        <v>6467</v>
      </c>
      <c r="CC671" s="41">
        <v>7349</v>
      </c>
      <c r="CD671" s="41">
        <v>12027</v>
      </c>
      <c r="CE671" s="41">
        <v>14118</v>
      </c>
      <c r="CF671" s="41">
        <v>19116</v>
      </c>
      <c r="CG671" s="41">
        <v>20092</v>
      </c>
      <c r="CH671" s="41">
        <v>19924</v>
      </c>
      <c r="CI671" s="41">
        <v>21610</v>
      </c>
      <c r="CJ671" s="41">
        <v>27535</v>
      </c>
      <c r="CK671" s="41">
        <v>30538</v>
      </c>
      <c r="CL671" s="41">
        <v>12616</v>
      </c>
      <c r="CM671" s="41">
        <v>15713</v>
      </c>
      <c r="CN671" s="41">
        <v>19079</v>
      </c>
      <c r="CO671" s="41">
        <v>17011</v>
      </c>
      <c r="CP671" s="41">
        <v>15833</v>
      </c>
      <c r="CQ671" s="41">
        <v>18352</v>
      </c>
      <c r="CR671" s="41">
        <v>18796</v>
      </c>
      <c r="CS671" s="41">
        <v>31545</v>
      </c>
      <c r="CT671" s="41">
        <v>23084</v>
      </c>
      <c r="CU671" s="41">
        <v>29996</v>
      </c>
      <c r="CV671" s="211">
        <v>29649</v>
      </c>
      <c r="CW671" s="41">
        <v>25546.896399945839</v>
      </c>
      <c r="CX671" s="41">
        <v>26445.980627886827</v>
      </c>
      <c r="CY671" s="41">
        <v>27139.936020463163</v>
      </c>
      <c r="CZ671" s="41">
        <v>28081.097746653435</v>
      </c>
      <c r="DA671" s="41">
        <v>29124.084035690768</v>
      </c>
      <c r="DB671" s="41">
        <v>30209.581825930822</v>
      </c>
      <c r="DC671" s="41">
        <v>31314.221819277034</v>
      </c>
      <c r="DD671" s="41">
        <v>32598.551452631047</v>
      </c>
      <c r="DE671" s="41">
        <v>34027.91941231113</v>
      </c>
      <c r="DF671" s="41">
        <v>34688.179434555226</v>
      </c>
    </row>
    <row r="672" spans="1:110" ht="12" outlineLevel="1">
      <c r="A672" s="1" t="s">
        <v>1049</v>
      </c>
      <c r="B672" s="15" t="s">
        <v>668</v>
      </c>
      <c r="C672" s="40">
        <v>15340</v>
      </c>
      <c r="D672" s="40">
        <v>14437</v>
      </c>
      <c r="E672" s="40">
        <v>14708</v>
      </c>
      <c r="F672" s="40">
        <v>14917</v>
      </c>
      <c r="G672" s="40">
        <v>16572</v>
      </c>
      <c r="H672" s="40">
        <v>21245</v>
      </c>
      <c r="I672" s="40">
        <v>27602</v>
      </c>
      <c r="J672" s="40">
        <v>32321</v>
      </c>
      <c r="K672" s="40">
        <v>39073</v>
      </c>
      <c r="L672" s="40">
        <v>46923</v>
      </c>
      <c r="M672" s="40">
        <v>50050</v>
      </c>
      <c r="N672" s="40">
        <v>54188</v>
      </c>
      <c r="O672" s="40">
        <v>54075</v>
      </c>
      <c r="P672" s="40">
        <v>63549</v>
      </c>
      <c r="Q672" s="40">
        <v>67323</v>
      </c>
      <c r="R672" s="40">
        <v>73138</v>
      </c>
      <c r="S672" s="40">
        <v>57260</v>
      </c>
      <c r="T672" s="40">
        <v>58390</v>
      </c>
      <c r="U672" s="40">
        <v>59714</v>
      </c>
      <c r="V672" s="40">
        <v>58526</v>
      </c>
      <c r="W672" s="40">
        <v>56551</v>
      </c>
      <c r="X672" s="40">
        <v>61107</v>
      </c>
      <c r="Y672" s="40">
        <v>63098</v>
      </c>
      <c r="Z672" s="141">
        <v>60226</v>
      </c>
      <c r="AA672" s="141">
        <v>70376</v>
      </c>
      <c r="AB672" s="141">
        <v>73552</v>
      </c>
      <c r="AC672" s="141">
        <v>80096</v>
      </c>
      <c r="AD672" s="141">
        <v>85664</v>
      </c>
      <c r="AE672" s="141">
        <v>93747</v>
      </c>
      <c r="AF672" s="141">
        <v>81947</v>
      </c>
      <c r="AG672" s="141">
        <v>91080</v>
      </c>
      <c r="AH672" s="141">
        <v>88778</v>
      </c>
      <c r="AI672" s="141">
        <v>90263</v>
      </c>
      <c r="AJ672" s="141">
        <v>97576</v>
      </c>
      <c r="AK672" s="141">
        <v>105300</v>
      </c>
      <c r="AL672" s="141">
        <v>113400</v>
      </c>
      <c r="AM672" s="141">
        <v>113100</v>
      </c>
      <c r="AN672" s="141">
        <v>119100</v>
      </c>
      <c r="AO672" s="141">
        <v>110600</v>
      </c>
      <c r="AP672" s="141">
        <v>96000</v>
      </c>
      <c r="AQ672" s="141">
        <v>97100</v>
      </c>
      <c r="AR672" s="141">
        <v>86400</v>
      </c>
      <c r="AS672" s="141">
        <v>89000</v>
      </c>
      <c r="AT672" s="141">
        <v>97100</v>
      </c>
      <c r="AU672" s="141">
        <v>94000</v>
      </c>
      <c r="AV672" s="226">
        <v>102300</v>
      </c>
      <c r="AW672" s="41">
        <v>139949.14658412174</v>
      </c>
      <c r="AX672" s="41">
        <v>144380.10693870683</v>
      </c>
      <c r="AY672" s="41">
        <v>152435.55971617857</v>
      </c>
      <c r="AZ672" s="41">
        <v>157195.36088889325</v>
      </c>
      <c r="BA672" s="41">
        <v>160547.25012626732</v>
      </c>
      <c r="BB672" s="41">
        <v>163340.08837019978</v>
      </c>
      <c r="BC672" s="41">
        <v>165829.65795749053</v>
      </c>
      <c r="BD672" s="41">
        <v>168120.17908675433</v>
      </c>
      <c r="BE672" s="41">
        <v>170566.58128998335</v>
      </c>
      <c r="BF672" s="41">
        <v>172790.75956222252</v>
      </c>
      <c r="BG672" s="41">
        <v>175259.06074118055</v>
      </c>
      <c r="BH672" s="41">
        <v>177937.29091586429</v>
      </c>
      <c r="BI672" s="41">
        <v>178871.5117898772</v>
      </c>
      <c r="BJ672" s="41">
        <v>179487.81738831406</v>
      </c>
      <c r="BK672" s="41">
        <v>181560.42554571247</v>
      </c>
      <c r="BL672" s="41">
        <v>183134.7435049864</v>
      </c>
      <c r="BM672" s="41">
        <v>185394.27870931872</v>
      </c>
      <c r="BN672" s="41">
        <v>186653.58856855868</v>
      </c>
      <c r="BO672" s="41">
        <v>188160.36363946367</v>
      </c>
      <c r="BP672" s="41"/>
      <c r="BQ672" s="40">
        <v>2215.1999999999998</v>
      </c>
      <c r="BR672" s="40">
        <v>1747.2</v>
      </c>
      <c r="BS672" s="40">
        <v>1514</v>
      </c>
      <c r="BT672" s="40">
        <v>1579</v>
      </c>
      <c r="BU672" s="40">
        <v>2264</v>
      </c>
      <c r="BV672" s="40">
        <v>1990</v>
      </c>
      <c r="BW672" s="40">
        <v>666</v>
      </c>
      <c r="BX672" s="40">
        <v>4456</v>
      </c>
      <c r="BY672" s="40">
        <v>9519</v>
      </c>
      <c r="BZ672" s="40">
        <v>15340</v>
      </c>
      <c r="CA672" s="41">
        <v>14708</v>
      </c>
      <c r="CB672" s="41">
        <v>16572</v>
      </c>
      <c r="CC672" s="41">
        <v>27602</v>
      </c>
      <c r="CD672" s="41">
        <v>39073</v>
      </c>
      <c r="CE672" s="41">
        <v>50050</v>
      </c>
      <c r="CF672" s="41">
        <v>54075</v>
      </c>
      <c r="CG672" s="41">
        <v>67323</v>
      </c>
      <c r="CH672" s="41">
        <v>57260</v>
      </c>
      <c r="CI672" s="41">
        <v>59714</v>
      </c>
      <c r="CJ672" s="41">
        <v>56551</v>
      </c>
      <c r="CK672" s="41">
        <v>63098</v>
      </c>
      <c r="CL672" s="41">
        <v>70376</v>
      </c>
      <c r="CM672" s="41">
        <v>80096</v>
      </c>
      <c r="CN672" s="41">
        <v>93747</v>
      </c>
      <c r="CO672" s="41">
        <v>91080</v>
      </c>
      <c r="CP672" s="41">
        <v>90263</v>
      </c>
      <c r="CQ672" s="41">
        <v>105300</v>
      </c>
      <c r="CR672" s="41">
        <v>113100</v>
      </c>
      <c r="CS672" s="41">
        <v>110600</v>
      </c>
      <c r="CT672" s="41">
        <v>97100</v>
      </c>
      <c r="CU672" s="41">
        <v>89000</v>
      </c>
      <c r="CV672" s="211">
        <v>94000</v>
      </c>
      <c r="CW672" s="41">
        <v>139949.14658412174</v>
      </c>
      <c r="CX672" s="41">
        <v>152435.55971617857</v>
      </c>
      <c r="CY672" s="41">
        <v>160547.25012626732</v>
      </c>
      <c r="CZ672" s="41">
        <v>165829.65795749053</v>
      </c>
      <c r="DA672" s="41">
        <v>170566.58128998335</v>
      </c>
      <c r="DB672" s="41">
        <v>175259.06074118055</v>
      </c>
      <c r="DC672" s="41">
        <v>178871.5117898772</v>
      </c>
      <c r="DD672" s="41">
        <v>181560.42554571247</v>
      </c>
      <c r="DE672" s="41">
        <v>185394.27870931872</v>
      </c>
      <c r="DF672" s="41">
        <v>188160.36363946367</v>
      </c>
    </row>
    <row r="673" spans="1:110" ht="12" outlineLevel="1">
      <c r="A673" s="1" t="s">
        <v>940</v>
      </c>
      <c r="B673" s="15" t="s">
        <v>665</v>
      </c>
      <c r="C673" s="40">
        <v>2142</v>
      </c>
      <c r="D673" s="40">
        <v>1611</v>
      </c>
      <c r="E673" s="40">
        <v>1602</v>
      </c>
      <c r="F673" s="40">
        <v>770</v>
      </c>
      <c r="G673" s="40">
        <v>769</v>
      </c>
      <c r="H673" s="40">
        <v>857</v>
      </c>
      <c r="I673" s="40">
        <v>845</v>
      </c>
      <c r="J673" s="40">
        <v>865</v>
      </c>
      <c r="K673" s="40">
        <v>914</v>
      </c>
      <c r="L673" s="40">
        <v>908</v>
      </c>
      <c r="M673" s="40">
        <v>957</v>
      </c>
      <c r="N673" s="40">
        <v>919</v>
      </c>
      <c r="O673" s="40">
        <v>1021</v>
      </c>
      <c r="P673" s="40">
        <v>957</v>
      </c>
      <c r="Q673" s="40">
        <v>1217</v>
      </c>
      <c r="R673" s="40">
        <v>1259</v>
      </c>
      <c r="S673" s="40">
        <v>1312</v>
      </c>
      <c r="T673" s="40">
        <v>1167</v>
      </c>
      <c r="U673" s="40">
        <v>1297</v>
      </c>
      <c r="V673" s="40">
        <v>1285</v>
      </c>
      <c r="W673" s="40">
        <v>1248</v>
      </c>
      <c r="X673" s="40">
        <v>1234</v>
      </c>
      <c r="Y673" s="40">
        <v>1201</v>
      </c>
      <c r="Z673" s="141">
        <v>1172</v>
      </c>
      <c r="AA673" s="141">
        <v>1228</v>
      </c>
      <c r="AB673" s="141">
        <v>1115</v>
      </c>
      <c r="AC673" s="141">
        <v>1100</v>
      </c>
      <c r="AD673" s="141">
        <v>1128</v>
      </c>
      <c r="AE673" s="141">
        <v>1074</v>
      </c>
      <c r="AF673" s="141">
        <v>1202</v>
      </c>
      <c r="AG673" s="141">
        <v>1209</v>
      </c>
      <c r="AH673" s="141">
        <v>1179</v>
      </c>
      <c r="AI673" s="141">
        <v>1158</v>
      </c>
      <c r="AJ673" s="141">
        <v>1532</v>
      </c>
      <c r="AK673" s="141">
        <v>1972</v>
      </c>
      <c r="AL673" s="141">
        <v>2247</v>
      </c>
      <c r="AM673" s="141">
        <v>2812</v>
      </c>
      <c r="AN673" s="141">
        <v>2773</v>
      </c>
      <c r="AO673" s="141">
        <v>2579</v>
      </c>
      <c r="AP673" s="141">
        <v>2417</v>
      </c>
      <c r="AQ673" s="141">
        <v>2214</v>
      </c>
      <c r="AR673" s="141">
        <v>2262</v>
      </c>
      <c r="AS673" s="141">
        <v>1872</v>
      </c>
      <c r="AT673" s="141">
        <v>1694</v>
      </c>
      <c r="AU673" s="141">
        <v>1717</v>
      </c>
      <c r="AV673" s="226">
        <v>1663</v>
      </c>
      <c r="AW673" s="41">
        <v>1893.6701008740777</v>
      </c>
      <c r="AX673" s="41">
        <v>1928.6710705345386</v>
      </c>
      <c r="AY673" s="41">
        <v>1960.3149446924806</v>
      </c>
      <c r="AZ673" s="41">
        <v>1985.1292573063447</v>
      </c>
      <c r="BA673" s="41">
        <v>2011.7545621586919</v>
      </c>
      <c r="BB673" s="41">
        <v>2043.8049899443229</v>
      </c>
      <c r="BC673" s="41">
        <v>2081.5184110846749</v>
      </c>
      <c r="BD673" s="41">
        <v>2119.6373600113052</v>
      </c>
      <c r="BE673" s="41">
        <v>2158.8300312615897</v>
      </c>
      <c r="BF673" s="41">
        <v>2198.4241444356949</v>
      </c>
      <c r="BG673" s="41">
        <v>2239.2928271238229</v>
      </c>
      <c r="BH673" s="41">
        <v>2281.3940905690733</v>
      </c>
      <c r="BI673" s="41">
        <v>2321.1745435907164</v>
      </c>
      <c r="BJ673" s="41">
        <v>2365.0041731735587</v>
      </c>
      <c r="BK673" s="41">
        <v>2416.3757996757499</v>
      </c>
      <c r="BL673" s="41">
        <v>2468.0830365187294</v>
      </c>
      <c r="BM673" s="41">
        <v>2522.3280580643377</v>
      </c>
      <c r="BN673" s="41">
        <v>2546.4635121219458</v>
      </c>
      <c r="BO673" s="41">
        <v>2571.269997756423</v>
      </c>
      <c r="BP673" s="41"/>
      <c r="BQ673" s="40">
        <v>524.1</v>
      </c>
      <c r="BR673" s="40">
        <v>641.70000000000005</v>
      </c>
      <c r="BS673" s="40">
        <v>767</v>
      </c>
      <c r="BT673" s="40">
        <v>862</v>
      </c>
      <c r="BU673" s="40">
        <v>954</v>
      </c>
      <c r="BV673" s="40">
        <v>1218</v>
      </c>
      <c r="BW673" s="40">
        <v>987</v>
      </c>
      <c r="BX673" s="40">
        <v>1010</v>
      </c>
      <c r="BY673" s="40">
        <v>2089</v>
      </c>
      <c r="BZ673" s="40">
        <v>2142</v>
      </c>
      <c r="CA673" s="41">
        <v>1602</v>
      </c>
      <c r="CB673" s="41">
        <v>769</v>
      </c>
      <c r="CC673" s="41">
        <v>845</v>
      </c>
      <c r="CD673" s="41">
        <v>914</v>
      </c>
      <c r="CE673" s="41">
        <v>957</v>
      </c>
      <c r="CF673" s="41">
        <v>1021</v>
      </c>
      <c r="CG673" s="41">
        <v>1217</v>
      </c>
      <c r="CH673" s="41">
        <v>1312</v>
      </c>
      <c r="CI673" s="41">
        <v>1297</v>
      </c>
      <c r="CJ673" s="41">
        <v>1248</v>
      </c>
      <c r="CK673" s="41">
        <v>1201</v>
      </c>
      <c r="CL673" s="41">
        <v>1228</v>
      </c>
      <c r="CM673" s="41">
        <v>1100</v>
      </c>
      <c r="CN673" s="41">
        <v>1074</v>
      </c>
      <c r="CO673" s="41">
        <v>1209</v>
      </c>
      <c r="CP673" s="41">
        <v>1158</v>
      </c>
      <c r="CQ673" s="41">
        <v>1972</v>
      </c>
      <c r="CR673" s="41">
        <v>2812</v>
      </c>
      <c r="CS673" s="41">
        <v>2579</v>
      </c>
      <c r="CT673" s="41">
        <v>2214</v>
      </c>
      <c r="CU673" s="41">
        <v>1872</v>
      </c>
      <c r="CV673" s="211">
        <v>1717</v>
      </c>
      <c r="CW673" s="41">
        <v>1893.6701008740777</v>
      </c>
      <c r="CX673" s="41">
        <v>1960.3149446924806</v>
      </c>
      <c r="CY673" s="41">
        <v>2011.7545621586919</v>
      </c>
      <c r="CZ673" s="41">
        <v>2081.5184110846749</v>
      </c>
      <c r="DA673" s="41">
        <v>2158.8300312615897</v>
      </c>
      <c r="DB673" s="41">
        <v>2239.2928271238229</v>
      </c>
      <c r="DC673" s="41">
        <v>2321.1745435907164</v>
      </c>
      <c r="DD673" s="41">
        <v>2416.3757996757499</v>
      </c>
      <c r="DE673" s="41">
        <v>2522.3280580643377</v>
      </c>
      <c r="DF673" s="41">
        <v>2571.269997756423</v>
      </c>
    </row>
    <row r="674" spans="1:110" ht="12" outlineLevel="1">
      <c r="A674" s="1" t="s">
        <v>941</v>
      </c>
      <c r="B674" s="15" t="s">
        <v>666</v>
      </c>
      <c r="C674" s="41">
        <v>39896</v>
      </c>
      <c r="D674" s="41">
        <v>35907</v>
      </c>
      <c r="E674" s="41">
        <v>31211</v>
      </c>
      <c r="F674" s="41">
        <v>31400</v>
      </c>
      <c r="G674" s="41">
        <v>33502</v>
      </c>
      <c r="H674" s="41">
        <v>38087</v>
      </c>
      <c r="I674" s="41">
        <v>37067</v>
      </c>
      <c r="J674" s="41">
        <v>35438</v>
      </c>
      <c r="K674" s="41">
        <v>29702</v>
      </c>
      <c r="L674" s="41">
        <v>45359</v>
      </c>
      <c r="M674" s="41">
        <v>44815</v>
      </c>
      <c r="N674" s="41">
        <v>50375</v>
      </c>
      <c r="O674" s="41">
        <v>62770</v>
      </c>
      <c r="P674" s="41">
        <v>65159</v>
      </c>
      <c r="Q674" s="41">
        <v>71143</v>
      </c>
      <c r="R674" s="41">
        <v>88122</v>
      </c>
      <c r="S674" s="41">
        <v>71692</v>
      </c>
      <c r="T674" s="41">
        <v>96743</v>
      </c>
      <c r="U674" s="41">
        <v>104544</v>
      </c>
      <c r="V674" s="41">
        <v>88704</v>
      </c>
      <c r="W674" s="41">
        <v>112196</v>
      </c>
      <c r="X674" s="41">
        <v>97599</v>
      </c>
      <c r="Y674" s="41">
        <v>108947</v>
      </c>
      <c r="Z674" s="41">
        <v>101374</v>
      </c>
      <c r="AA674" s="41">
        <v>106257</v>
      </c>
      <c r="AB674" s="41">
        <v>105779</v>
      </c>
      <c r="AC674" s="41">
        <v>115820</v>
      </c>
      <c r="AD674" s="41">
        <v>141426</v>
      </c>
      <c r="AE674" s="41">
        <v>147853</v>
      </c>
      <c r="AF674" s="41">
        <v>157353</v>
      </c>
      <c r="AG674" s="41">
        <v>159447</v>
      </c>
      <c r="AH674" s="41">
        <v>152314</v>
      </c>
      <c r="AI674" s="41">
        <v>135386</v>
      </c>
      <c r="AJ674" s="41">
        <v>140860</v>
      </c>
      <c r="AK674" s="41">
        <v>139977</v>
      </c>
      <c r="AL674" s="41">
        <v>151566</v>
      </c>
      <c r="AM674" s="41">
        <v>147958</v>
      </c>
      <c r="AN674" s="41">
        <v>200021</v>
      </c>
      <c r="AO674" s="41">
        <v>153932</v>
      </c>
      <c r="AP674" s="41">
        <v>123983</v>
      </c>
      <c r="AQ674" s="41">
        <v>49727</v>
      </c>
      <c r="AR674" s="41">
        <v>60187</v>
      </c>
      <c r="AS674" s="41">
        <v>101179</v>
      </c>
      <c r="AT674" s="41">
        <v>69287</v>
      </c>
      <c r="AU674" s="41">
        <v>95549</v>
      </c>
      <c r="AV674" s="211">
        <v>86258</v>
      </c>
      <c r="AW674" s="41">
        <v>98222.607072276718</v>
      </c>
      <c r="AX674" s="41">
        <v>100038.06927370308</v>
      </c>
      <c r="AY674" s="41">
        <v>101679.40258525795</v>
      </c>
      <c r="AZ674" s="41">
        <v>102966.49397277852</v>
      </c>
      <c r="BA674" s="41">
        <v>104347.51955663526</v>
      </c>
      <c r="BB674" s="41">
        <v>106009.94036236763</v>
      </c>
      <c r="BC674" s="41">
        <v>107966.09446983876</v>
      </c>
      <c r="BD674" s="41">
        <v>109943.28286220996</v>
      </c>
      <c r="BE674" s="41">
        <v>111976.16406287563</v>
      </c>
      <c r="BF674" s="41">
        <v>114029.86761920273</v>
      </c>
      <c r="BG674" s="41">
        <v>116149.68170898779</v>
      </c>
      <c r="BH674" s="41">
        <v>118333.4284211107</v>
      </c>
      <c r="BI674" s="41">
        <v>120396.79722251832</v>
      </c>
      <c r="BJ674" s="41">
        <v>122670.19240505397</v>
      </c>
      <c r="BK674" s="41">
        <v>125334.78275912853</v>
      </c>
      <c r="BL674" s="41">
        <v>128016.78085630336</v>
      </c>
      <c r="BM674" s="41">
        <v>130830.4110838927</v>
      </c>
      <c r="BN674" s="41">
        <v>132082.29081696615</v>
      </c>
      <c r="BO674" s="41">
        <v>133368.97622758473</v>
      </c>
      <c r="BP674" s="41"/>
      <c r="BQ674" s="41">
        <v>22011.600000000006</v>
      </c>
      <c r="BR674" s="41">
        <v>22790</v>
      </c>
      <c r="BS674" s="41">
        <v>21650</v>
      </c>
      <c r="BT674" s="41">
        <v>23000</v>
      </c>
      <c r="BU674" s="41">
        <v>25659</v>
      </c>
      <c r="BV674" s="41">
        <v>28014</v>
      </c>
      <c r="BW674" s="41">
        <v>37854</v>
      </c>
      <c r="BX674" s="41">
        <v>32346</v>
      </c>
      <c r="BY674" s="41">
        <v>38203</v>
      </c>
      <c r="BZ674" s="41">
        <v>39896</v>
      </c>
      <c r="CA674" s="41">
        <v>31211</v>
      </c>
      <c r="CB674" s="41">
        <v>33502</v>
      </c>
      <c r="CC674" s="41">
        <v>37067</v>
      </c>
      <c r="CD674" s="41">
        <v>29702</v>
      </c>
      <c r="CE674" s="41">
        <v>44815</v>
      </c>
      <c r="CF674" s="41">
        <v>62770</v>
      </c>
      <c r="CG674" s="41">
        <v>71143</v>
      </c>
      <c r="CH674" s="41">
        <v>71692</v>
      </c>
      <c r="CI674" s="41">
        <v>104544</v>
      </c>
      <c r="CJ674" s="41">
        <v>112196</v>
      </c>
      <c r="CK674" s="41">
        <v>108947</v>
      </c>
      <c r="CL674" s="41">
        <v>106257</v>
      </c>
      <c r="CM674" s="41">
        <v>115820</v>
      </c>
      <c r="CN674" s="41">
        <v>147853</v>
      </c>
      <c r="CO674" s="41">
        <v>159447</v>
      </c>
      <c r="CP674" s="41">
        <v>135386</v>
      </c>
      <c r="CQ674" s="41">
        <v>139977</v>
      </c>
      <c r="CR674" s="41">
        <v>147958</v>
      </c>
      <c r="CS674" s="41">
        <v>153932</v>
      </c>
      <c r="CT674" s="41">
        <v>49727</v>
      </c>
      <c r="CU674" s="41">
        <v>101179</v>
      </c>
      <c r="CV674" s="211">
        <v>95549</v>
      </c>
      <c r="CW674" s="41">
        <v>98222.607072276718</v>
      </c>
      <c r="CX674" s="41">
        <v>101679.40258525795</v>
      </c>
      <c r="CY674" s="41">
        <v>104347.51955663526</v>
      </c>
      <c r="CZ674" s="41">
        <v>107966.09446983876</v>
      </c>
      <c r="DA674" s="41">
        <v>111976.16406287563</v>
      </c>
      <c r="DB674" s="41">
        <v>116149.68170898779</v>
      </c>
      <c r="DC674" s="41">
        <v>120396.79722251832</v>
      </c>
      <c r="DD674" s="41">
        <v>125334.78275912853</v>
      </c>
      <c r="DE674" s="41">
        <v>130830.4110838927</v>
      </c>
      <c r="DF674" s="41">
        <v>133368.97622758473</v>
      </c>
    </row>
    <row r="675" spans="1:110" ht="12" outlineLevel="1">
      <c r="A675" s="1" t="s">
        <v>942</v>
      </c>
      <c r="B675" s="15" t="s">
        <v>555</v>
      </c>
      <c r="C675" s="40">
        <v>717</v>
      </c>
      <c r="D675" s="40">
        <v>523</v>
      </c>
      <c r="E675" s="40">
        <v>534</v>
      </c>
      <c r="F675" s="40">
        <v>485</v>
      </c>
      <c r="G675" s="40">
        <v>180</v>
      </c>
      <c r="H675" s="40">
        <v>106</v>
      </c>
      <c r="I675" s="40">
        <v>579</v>
      </c>
      <c r="J675" s="40">
        <v>102</v>
      </c>
      <c r="K675" s="40">
        <v>-46</v>
      </c>
      <c r="L675" s="40">
        <v>-156</v>
      </c>
      <c r="M675" s="40">
        <v>-354</v>
      </c>
      <c r="N675" s="40">
        <v>-524</v>
      </c>
      <c r="O675" s="40">
        <v>-889</v>
      </c>
      <c r="P675" s="40">
        <v>-1012</v>
      </c>
      <c r="Q675" s="40">
        <v>-742</v>
      </c>
      <c r="R675" s="40">
        <v>-334</v>
      </c>
      <c r="S675" s="40">
        <v>-1787</v>
      </c>
      <c r="T675" s="40">
        <v>-2277</v>
      </c>
      <c r="U675" s="40">
        <v>-2587</v>
      </c>
      <c r="V675" s="40">
        <v>-3171</v>
      </c>
      <c r="W675" s="40">
        <v>-2095</v>
      </c>
      <c r="X675" s="40">
        <v>-2430</v>
      </c>
      <c r="Y675" s="40">
        <v>-2498</v>
      </c>
      <c r="Z675" s="141">
        <v>-2528</v>
      </c>
      <c r="AA675" s="141">
        <v>-907</v>
      </c>
      <c r="AB675" s="141">
        <v>-334</v>
      </c>
      <c r="AC675" s="141">
        <v>-239</v>
      </c>
      <c r="AD675" s="141">
        <v>2188</v>
      </c>
      <c r="AE675" s="141">
        <v>1571</v>
      </c>
      <c r="AF675" s="141">
        <v>377</v>
      </c>
      <c r="AG675" s="141">
        <v>1078</v>
      </c>
      <c r="AH675" s="141">
        <v>115</v>
      </c>
      <c r="AI675" s="141">
        <v>37</v>
      </c>
      <c r="AJ675" s="141">
        <v>541</v>
      </c>
      <c r="AK675" s="141">
        <v>323</v>
      </c>
      <c r="AL675" s="141">
        <v>1709</v>
      </c>
      <c r="AM675" s="141">
        <v>1629</v>
      </c>
      <c r="AN675" s="141">
        <v>2851</v>
      </c>
      <c r="AO675" s="141">
        <v>1501</v>
      </c>
      <c r="AP675" s="141">
        <v>741</v>
      </c>
      <c r="AQ675" s="141">
        <v>1228</v>
      </c>
      <c r="AR675" s="141">
        <v>-1422</v>
      </c>
      <c r="AS675" s="141">
        <v>-2606</v>
      </c>
      <c r="AT675" s="141">
        <v>-1019</v>
      </c>
      <c r="AU675" s="141">
        <v>-1735</v>
      </c>
      <c r="AV675" s="226">
        <v>-1466</v>
      </c>
      <c r="AW675" s="41">
        <v>-3620.3022364097737</v>
      </c>
      <c r="AX675" s="41">
        <v>-3783.336130449974</v>
      </c>
      <c r="AY675" s="41">
        <v>-4533.5175437232629</v>
      </c>
      <c r="AZ675" s="41">
        <v>-5156.8539740171946</v>
      </c>
      <c r="BA675" s="41">
        <v>-5705.1007874896177</v>
      </c>
      <c r="BB675" s="41">
        <v>-6080.13335837661</v>
      </c>
      <c r="BC675" s="41">
        <v>-6298.8495634203136</v>
      </c>
      <c r="BD675" s="41">
        <v>-6517.3951043021252</v>
      </c>
      <c r="BE675" s="41">
        <v>-6736.6069712242315</v>
      </c>
      <c r="BF675" s="41">
        <v>-6956.0681956592935</v>
      </c>
      <c r="BG675" s="41">
        <v>-7176.6669058159723</v>
      </c>
      <c r="BH675" s="41">
        <v>-7397.686249811899</v>
      </c>
      <c r="BI675" s="41">
        <v>-7618.5461050379708</v>
      </c>
      <c r="BJ675" s="41">
        <v>-7732.341582920998</v>
      </c>
      <c r="BK675" s="41">
        <v>-7732.341582920998</v>
      </c>
      <c r="BL675" s="41">
        <v>-7732.341582920998</v>
      </c>
      <c r="BM675" s="41">
        <v>-7732.341582920998</v>
      </c>
      <c r="BN675" s="41">
        <v>-7732.341582920998</v>
      </c>
      <c r="BO675" s="41">
        <v>-7732.341582920998</v>
      </c>
      <c r="BP675" s="41"/>
      <c r="BQ675" s="40">
        <v>658</v>
      </c>
      <c r="BR675" s="40">
        <v>478.8</v>
      </c>
      <c r="BS675" s="40">
        <v>488</v>
      </c>
      <c r="BT675" s="40">
        <v>652</v>
      </c>
      <c r="BU675" s="40">
        <v>575</v>
      </c>
      <c r="BV675" s="40">
        <v>778</v>
      </c>
      <c r="BW675" s="40">
        <v>697</v>
      </c>
      <c r="BX675" s="40">
        <v>536</v>
      </c>
      <c r="BY675" s="40">
        <v>786</v>
      </c>
      <c r="BZ675" s="40">
        <v>717</v>
      </c>
      <c r="CA675" s="41">
        <v>534</v>
      </c>
      <c r="CB675" s="41">
        <v>180</v>
      </c>
      <c r="CC675" s="41">
        <v>579</v>
      </c>
      <c r="CD675" s="41">
        <v>-46</v>
      </c>
      <c r="CE675" s="41">
        <v>-354</v>
      </c>
      <c r="CF675" s="41">
        <v>-889</v>
      </c>
      <c r="CG675" s="41">
        <v>-742</v>
      </c>
      <c r="CH675" s="41">
        <v>-1787</v>
      </c>
      <c r="CI675" s="41">
        <v>-2587</v>
      </c>
      <c r="CJ675" s="41">
        <v>-2095</v>
      </c>
      <c r="CK675" s="41">
        <v>-2498</v>
      </c>
      <c r="CL675" s="41">
        <v>-907</v>
      </c>
      <c r="CM675" s="41">
        <v>-239</v>
      </c>
      <c r="CN675" s="41">
        <v>1571</v>
      </c>
      <c r="CO675" s="41">
        <v>1078</v>
      </c>
      <c r="CP675" s="41">
        <v>37</v>
      </c>
      <c r="CQ675" s="41">
        <v>323</v>
      </c>
      <c r="CR675" s="41">
        <v>1629</v>
      </c>
      <c r="CS675" s="41">
        <v>1501</v>
      </c>
      <c r="CT675" s="41">
        <v>1228</v>
      </c>
      <c r="CU675" s="41">
        <v>-2606</v>
      </c>
      <c r="CV675" s="211">
        <v>-1735</v>
      </c>
      <c r="CW675" s="41">
        <v>-3620.3022364097737</v>
      </c>
      <c r="CX675" s="41">
        <v>-4533.5175437232629</v>
      </c>
      <c r="CY675" s="41">
        <v>-5705.1007874896177</v>
      </c>
      <c r="CZ675" s="41">
        <v>-6298.8495634203136</v>
      </c>
      <c r="DA675" s="41">
        <v>-6736.6069712242315</v>
      </c>
      <c r="DB675" s="41">
        <v>-7176.6669058159723</v>
      </c>
      <c r="DC675" s="41">
        <v>-7618.5461050379708</v>
      </c>
      <c r="DD675" s="41">
        <v>-7732.341582920998</v>
      </c>
      <c r="DE675" s="41">
        <v>-7732.341582920998</v>
      </c>
      <c r="DF675" s="41">
        <v>-7732.341582920998</v>
      </c>
    </row>
    <row r="676" spans="1:110" ht="12" outlineLevel="1">
      <c r="A676" s="1" t="s">
        <v>943</v>
      </c>
      <c r="B676" s="15" t="s">
        <v>556</v>
      </c>
      <c r="C676" s="40">
        <v>4562</v>
      </c>
      <c r="D676" s="40">
        <v>5032</v>
      </c>
      <c r="E676" s="40">
        <v>5600</v>
      </c>
      <c r="F676" s="40">
        <v>6700</v>
      </c>
      <c r="G676" s="40">
        <v>7203</v>
      </c>
      <c r="H676" s="40">
        <v>7773</v>
      </c>
      <c r="I676" s="40">
        <v>8336</v>
      </c>
      <c r="J676" s="40">
        <v>8967</v>
      </c>
      <c r="K676" s="40">
        <v>9646</v>
      </c>
      <c r="L676" s="40">
        <v>9979</v>
      </c>
      <c r="M676" s="40">
        <v>11084</v>
      </c>
      <c r="N676" s="40">
        <v>12117</v>
      </c>
      <c r="O676" s="40">
        <v>13082</v>
      </c>
      <c r="P676" s="40">
        <v>13673</v>
      </c>
      <c r="Q676" s="40">
        <v>13772</v>
      </c>
      <c r="R676" s="40">
        <v>13620</v>
      </c>
      <c r="S676" s="40">
        <v>14129</v>
      </c>
      <c r="T676" s="40">
        <v>14629</v>
      </c>
      <c r="U676" s="40">
        <v>15921</v>
      </c>
      <c r="V676" s="40">
        <v>16766</v>
      </c>
      <c r="W676" s="40">
        <v>17787</v>
      </c>
      <c r="X676" s="40">
        <v>18758</v>
      </c>
      <c r="Y676" s="40">
        <v>19728</v>
      </c>
      <c r="Z676" s="141">
        <v>20518</v>
      </c>
      <c r="AA676" s="141">
        <v>21936</v>
      </c>
      <c r="AB676" s="141">
        <v>22905</v>
      </c>
      <c r="AC676" s="141">
        <v>24544</v>
      </c>
      <c r="AD676" s="141">
        <v>25616</v>
      </c>
      <c r="AE676" s="141">
        <v>27309</v>
      </c>
      <c r="AF676" s="141">
        <v>27361</v>
      </c>
      <c r="AG676" s="141">
        <v>27975</v>
      </c>
      <c r="AH676" s="141">
        <v>28640</v>
      </c>
      <c r="AI676" s="141">
        <v>29834</v>
      </c>
      <c r="AJ676" s="141">
        <v>30922</v>
      </c>
      <c r="AK676" s="141">
        <v>31737</v>
      </c>
      <c r="AL676" s="141">
        <v>32064</v>
      </c>
      <c r="AM676" s="141">
        <v>32664</v>
      </c>
      <c r="AN676" s="141">
        <v>32073</v>
      </c>
      <c r="AO676" s="141">
        <v>33255</v>
      </c>
      <c r="AP676" s="141">
        <v>35210</v>
      </c>
      <c r="AQ676" s="141">
        <v>36453</v>
      </c>
      <c r="AR676" s="141">
        <v>38078</v>
      </c>
      <c r="AS676" s="141">
        <v>39716</v>
      </c>
      <c r="AT676" s="141">
        <v>41020</v>
      </c>
      <c r="AU676" s="141">
        <v>42148</v>
      </c>
      <c r="AV676" s="226">
        <v>42739</v>
      </c>
      <c r="AW676" s="41">
        <v>43582.57098453548</v>
      </c>
      <c r="AX676" s="41">
        <v>44514.773251704799</v>
      </c>
      <c r="AY676" s="41">
        <v>45442.56015380301</v>
      </c>
      <c r="AZ676" s="41">
        <v>46455.349280073897</v>
      </c>
      <c r="BA676" s="41">
        <v>47366.525786375496</v>
      </c>
      <c r="BB676" s="41">
        <v>48452.623920061335</v>
      </c>
      <c r="BC676" s="41">
        <v>49412.840167560935</v>
      </c>
      <c r="BD676" s="41">
        <v>50636.905668667649</v>
      </c>
      <c r="BE676" s="41">
        <v>51727.373216122382</v>
      </c>
      <c r="BF676" s="41">
        <v>53107.526967626472</v>
      </c>
      <c r="BG676" s="41">
        <v>54254.948049745231</v>
      </c>
      <c r="BH676" s="41">
        <v>55206.875352810122</v>
      </c>
      <c r="BI676" s="41">
        <v>55799.154460952646</v>
      </c>
      <c r="BJ676" s="41">
        <v>56852.707594566404</v>
      </c>
      <c r="BK676" s="41">
        <v>58292.296105196969</v>
      </c>
      <c r="BL676" s="41">
        <v>60296.070041090199</v>
      </c>
      <c r="BM676" s="41">
        <v>61534.227122596967</v>
      </c>
      <c r="BN676" s="41">
        <v>63054.433358339447</v>
      </c>
      <c r="BO676" s="41">
        <v>64326.456350932778</v>
      </c>
      <c r="BP676" s="41"/>
      <c r="BQ676" s="40">
        <v>173.2</v>
      </c>
      <c r="BR676" s="40">
        <v>197.7</v>
      </c>
      <c r="BS676" s="40">
        <v>585</v>
      </c>
      <c r="BT676" s="40">
        <v>1106</v>
      </c>
      <c r="BU676" s="40">
        <v>1583</v>
      </c>
      <c r="BV676" s="40">
        <v>1830</v>
      </c>
      <c r="BW676" s="40">
        <v>2412</v>
      </c>
      <c r="BX676" s="40">
        <v>2952</v>
      </c>
      <c r="BY676" s="40">
        <v>3607</v>
      </c>
      <c r="BZ676" s="40">
        <v>4562</v>
      </c>
      <c r="CA676" s="41">
        <v>5600</v>
      </c>
      <c r="CB676" s="41">
        <v>7203</v>
      </c>
      <c r="CC676" s="41">
        <v>8336</v>
      </c>
      <c r="CD676" s="41">
        <v>9646</v>
      </c>
      <c r="CE676" s="41">
        <v>11084</v>
      </c>
      <c r="CF676" s="41">
        <v>13082</v>
      </c>
      <c r="CG676" s="41">
        <v>13772</v>
      </c>
      <c r="CH676" s="41">
        <v>14129</v>
      </c>
      <c r="CI676" s="41">
        <v>15921</v>
      </c>
      <c r="CJ676" s="41">
        <v>17787</v>
      </c>
      <c r="CK676" s="41">
        <v>19728</v>
      </c>
      <c r="CL676" s="41">
        <v>21936</v>
      </c>
      <c r="CM676" s="41">
        <v>24544</v>
      </c>
      <c r="CN676" s="41">
        <v>27309</v>
      </c>
      <c r="CO676" s="41">
        <v>27975</v>
      </c>
      <c r="CP676" s="41">
        <v>29834</v>
      </c>
      <c r="CQ676" s="41">
        <v>31737</v>
      </c>
      <c r="CR676" s="41">
        <v>32664</v>
      </c>
      <c r="CS676" s="41">
        <v>33255</v>
      </c>
      <c r="CT676" s="41">
        <v>36453</v>
      </c>
      <c r="CU676" s="41">
        <v>39716</v>
      </c>
      <c r="CV676" s="211">
        <v>42148</v>
      </c>
      <c r="CW676" s="41">
        <v>43582.57098453548</v>
      </c>
      <c r="CX676" s="41">
        <v>45442.56015380301</v>
      </c>
      <c r="CY676" s="41">
        <v>47366.525786375496</v>
      </c>
      <c r="CZ676" s="41">
        <v>49412.840167560935</v>
      </c>
      <c r="DA676" s="41">
        <v>51727.373216122382</v>
      </c>
      <c r="DB676" s="41">
        <v>54254.948049745231</v>
      </c>
      <c r="DC676" s="41">
        <v>55799.154460952646</v>
      </c>
      <c r="DD676" s="41">
        <v>58292.296105196969</v>
      </c>
      <c r="DE676" s="41">
        <v>61534.227122596967</v>
      </c>
      <c r="DF676" s="41">
        <v>64326.456350932778</v>
      </c>
    </row>
    <row r="677" spans="1:110" ht="12" outlineLevel="1">
      <c r="A677" s="1" t="s">
        <v>2213</v>
      </c>
      <c r="B677" s="15" t="s">
        <v>1630</v>
      </c>
      <c r="C677" s="141">
        <v>1105</v>
      </c>
      <c r="D677" s="141">
        <v>1105</v>
      </c>
      <c r="E677" s="141">
        <v>1208</v>
      </c>
      <c r="F677" s="141">
        <v>1272</v>
      </c>
      <c r="G677" s="141">
        <v>1304</v>
      </c>
      <c r="H677" s="141">
        <v>1365</v>
      </c>
      <c r="I677" s="141">
        <v>1476</v>
      </c>
      <c r="J677" s="141">
        <v>1497</v>
      </c>
      <c r="K677" s="141">
        <v>1574</v>
      </c>
      <c r="L677" s="141">
        <v>1978</v>
      </c>
      <c r="M677" s="141">
        <v>2002</v>
      </c>
      <c r="N677" s="141">
        <v>2110</v>
      </c>
      <c r="O677" s="141">
        <v>1707</v>
      </c>
      <c r="P677" s="141">
        <v>1903</v>
      </c>
      <c r="Q677" s="141">
        <v>2000</v>
      </c>
      <c r="R677" s="141">
        <v>1929</v>
      </c>
      <c r="S677" s="141">
        <v>1812</v>
      </c>
      <c r="T677" s="141">
        <v>1813</v>
      </c>
      <c r="U677" s="141">
        <v>1662</v>
      </c>
      <c r="V677" s="141">
        <v>1564</v>
      </c>
      <c r="W677" s="141">
        <v>1587</v>
      </c>
      <c r="X677" s="141">
        <v>1586</v>
      </c>
      <c r="Y677" s="141">
        <v>444</v>
      </c>
      <c r="Z677" s="141">
        <v>218</v>
      </c>
      <c r="AA677" s="41">
        <v>12</v>
      </c>
      <c r="AB677" s="41">
        <v>52</v>
      </c>
      <c r="AC677" s="41">
        <v>-151</v>
      </c>
      <c r="AD677" s="41">
        <v>-324</v>
      </c>
      <c r="AE677" s="41">
        <v>-514</v>
      </c>
      <c r="AF677" s="41">
        <v>-417</v>
      </c>
      <c r="AG677" s="41">
        <v>-520</v>
      </c>
      <c r="AH677" s="41">
        <v>-582</v>
      </c>
      <c r="AI677" s="41">
        <v>-647</v>
      </c>
      <c r="AJ677" s="41">
        <v>-603</v>
      </c>
      <c r="AK677" s="41">
        <v>-567</v>
      </c>
      <c r="AL677" s="41">
        <v>-501</v>
      </c>
      <c r="AM677" s="41">
        <v>-472</v>
      </c>
      <c r="AN677" s="41">
        <v>-497</v>
      </c>
      <c r="AO677" s="41">
        <v>-802</v>
      </c>
      <c r="AP677" s="41">
        <v>-941</v>
      </c>
      <c r="AQ677" s="41">
        <v>-1000</v>
      </c>
      <c r="AR677" s="41">
        <v>-1022</v>
      </c>
      <c r="AS677" s="41">
        <v>-2364</v>
      </c>
      <c r="AT677" s="41">
        <v>-2639</v>
      </c>
      <c r="AU677" s="41">
        <v>-2960</v>
      </c>
      <c r="AV677" s="211">
        <v>-3148</v>
      </c>
      <c r="AW677" s="41">
        <v>-3148</v>
      </c>
      <c r="AX677" s="41">
        <v>-3148</v>
      </c>
      <c r="AY677" s="41">
        <v>-3148</v>
      </c>
      <c r="AZ677" s="41">
        <v>-3148</v>
      </c>
      <c r="BA677" s="41">
        <v>-3148</v>
      </c>
      <c r="BB677" s="41">
        <v>-3148</v>
      </c>
      <c r="BC677" s="41">
        <v>-3148</v>
      </c>
      <c r="BD677" s="41">
        <v>-3148</v>
      </c>
      <c r="BE677" s="41">
        <v>-3148</v>
      </c>
      <c r="BF677" s="41">
        <v>-3148</v>
      </c>
      <c r="BG677" s="41">
        <v>-3148</v>
      </c>
      <c r="BH677" s="41">
        <v>-3148</v>
      </c>
      <c r="BI677" s="41">
        <v>-3148</v>
      </c>
      <c r="BJ677" s="41">
        <v>-3148</v>
      </c>
      <c r="BK677" s="41">
        <v>-3148</v>
      </c>
      <c r="BL677" s="41">
        <v>-3148</v>
      </c>
      <c r="BM677" s="41">
        <v>-3148</v>
      </c>
      <c r="BN677" s="41">
        <v>-3148</v>
      </c>
      <c r="BO677" s="41">
        <v>-3148</v>
      </c>
      <c r="BP677" s="41"/>
      <c r="BQ677" s="41"/>
      <c r="BR677" s="41"/>
      <c r="BS677" s="41"/>
      <c r="BT677" s="41"/>
      <c r="BU677" s="41"/>
      <c r="BV677" s="41"/>
      <c r="BW677" s="41"/>
      <c r="BX677" s="41"/>
      <c r="BY677" s="41"/>
      <c r="BZ677" s="41"/>
      <c r="CA677" s="41">
        <v>1208</v>
      </c>
      <c r="CB677" s="41">
        <v>1304</v>
      </c>
      <c r="CC677" s="41">
        <v>1476</v>
      </c>
      <c r="CD677" s="41">
        <v>1574</v>
      </c>
      <c r="CE677" s="41">
        <v>2002</v>
      </c>
      <c r="CF677" s="41">
        <v>1707</v>
      </c>
      <c r="CG677" s="41">
        <v>2000</v>
      </c>
      <c r="CH677" s="41">
        <v>1812</v>
      </c>
      <c r="CI677" s="41">
        <v>1662</v>
      </c>
      <c r="CJ677" s="41">
        <v>1587</v>
      </c>
      <c r="CK677" s="41">
        <v>444</v>
      </c>
      <c r="CL677" s="41">
        <v>12</v>
      </c>
      <c r="CM677" s="41">
        <v>-151</v>
      </c>
      <c r="CN677" s="41">
        <v>-514</v>
      </c>
      <c r="CO677" s="41">
        <v>-520</v>
      </c>
      <c r="CP677" s="41">
        <v>-647</v>
      </c>
      <c r="CQ677" s="41">
        <v>-567</v>
      </c>
      <c r="CR677" s="41">
        <v>-472</v>
      </c>
      <c r="CS677" s="41">
        <v>-802</v>
      </c>
      <c r="CT677" s="41">
        <v>-1000</v>
      </c>
      <c r="CU677" s="41">
        <v>-2364</v>
      </c>
      <c r="CV677" s="211">
        <v>-2960</v>
      </c>
      <c r="CW677" s="41">
        <v>-3148</v>
      </c>
      <c r="CX677" s="41">
        <v>-3148</v>
      </c>
      <c r="CY677" s="41">
        <v>-3148</v>
      </c>
      <c r="CZ677" s="41">
        <v>-3148</v>
      </c>
      <c r="DA677" s="41">
        <v>-3148</v>
      </c>
      <c r="DB677" s="41">
        <v>-3148</v>
      </c>
      <c r="DC677" s="41">
        <v>-3148</v>
      </c>
      <c r="DD677" s="41">
        <v>-3148</v>
      </c>
      <c r="DE677" s="41">
        <v>-3148</v>
      </c>
      <c r="DF677" s="41">
        <v>-3148</v>
      </c>
    </row>
    <row r="678" spans="1:110" ht="12" outlineLevel="1">
      <c r="A678" s="1" t="s">
        <v>2214</v>
      </c>
      <c r="B678" s="15" t="s">
        <v>2215</v>
      </c>
      <c r="C678" s="141">
        <v>14512</v>
      </c>
      <c r="D678" s="141">
        <v>14512</v>
      </c>
      <c r="E678" s="141">
        <v>13796</v>
      </c>
      <c r="F678" s="141">
        <v>13270</v>
      </c>
      <c r="G678" s="141">
        <v>13178</v>
      </c>
      <c r="H678" s="141">
        <v>13358</v>
      </c>
      <c r="I678" s="141">
        <v>12466</v>
      </c>
      <c r="J678" s="141">
        <v>12922</v>
      </c>
      <c r="K678" s="141">
        <v>13449</v>
      </c>
      <c r="L678" s="141">
        <v>13692</v>
      </c>
      <c r="M678" s="141">
        <v>13435</v>
      </c>
      <c r="N678" s="141">
        <v>14013</v>
      </c>
      <c r="O678" s="141">
        <v>14536</v>
      </c>
      <c r="P678" s="141">
        <v>15756</v>
      </c>
      <c r="Q678" s="141">
        <v>15297</v>
      </c>
      <c r="R678" s="141">
        <v>15017</v>
      </c>
      <c r="S678" s="141">
        <v>13762</v>
      </c>
      <c r="T678" s="141">
        <v>12510</v>
      </c>
      <c r="U678" s="141">
        <v>11495</v>
      </c>
      <c r="V678" s="141">
        <v>577</v>
      </c>
      <c r="W678" s="141">
        <v>970</v>
      </c>
      <c r="X678" s="141">
        <v>676</v>
      </c>
      <c r="Y678" s="141">
        <v>1239</v>
      </c>
      <c r="Z678" s="141">
        <v>1269</v>
      </c>
      <c r="AA678" s="41">
        <v>812</v>
      </c>
      <c r="AB678" s="41">
        <v>1185</v>
      </c>
      <c r="AC678" s="41">
        <v>1151</v>
      </c>
      <c r="AD678" s="41">
        <v>1422</v>
      </c>
      <c r="AE678" s="41">
        <v>1371</v>
      </c>
      <c r="AF678" s="41">
        <v>760</v>
      </c>
      <c r="AG678" s="41">
        <v>571</v>
      </c>
      <c r="AH678" s="41">
        <v>565</v>
      </c>
      <c r="AI678" s="41">
        <v>0</v>
      </c>
      <c r="AJ678" s="41">
        <v>0</v>
      </c>
      <c r="AK678" s="41">
        <v>0</v>
      </c>
      <c r="AL678" s="41">
        <v>0</v>
      </c>
      <c r="AM678" s="41">
        <v>0</v>
      </c>
      <c r="AN678" s="41">
        <v>0</v>
      </c>
      <c r="AO678" s="41">
        <v>0</v>
      </c>
      <c r="AP678" s="41">
        <v>0</v>
      </c>
      <c r="AQ678" s="41">
        <v>0</v>
      </c>
      <c r="AR678" s="41">
        <v>0</v>
      </c>
      <c r="AS678" s="41">
        <v>0</v>
      </c>
      <c r="AT678" s="41">
        <v>0</v>
      </c>
      <c r="AU678" s="41">
        <v>0</v>
      </c>
      <c r="AV678" s="211">
        <v>0</v>
      </c>
      <c r="AW678" s="41">
        <v>0</v>
      </c>
      <c r="AX678" s="41">
        <v>0</v>
      </c>
      <c r="AY678" s="41">
        <v>0</v>
      </c>
      <c r="AZ678" s="41">
        <v>0</v>
      </c>
      <c r="BA678" s="41">
        <v>0</v>
      </c>
      <c r="BB678" s="41">
        <v>0</v>
      </c>
      <c r="BC678" s="41">
        <v>0</v>
      </c>
      <c r="BD678" s="41">
        <v>0</v>
      </c>
      <c r="BE678" s="41">
        <v>0</v>
      </c>
      <c r="BF678" s="41">
        <v>0</v>
      </c>
      <c r="BG678" s="41">
        <v>0</v>
      </c>
      <c r="BH678" s="41">
        <v>0</v>
      </c>
      <c r="BI678" s="41">
        <v>0</v>
      </c>
      <c r="BJ678" s="41">
        <v>0</v>
      </c>
      <c r="BK678" s="41">
        <v>0</v>
      </c>
      <c r="BL678" s="41">
        <v>0</v>
      </c>
      <c r="BM678" s="41">
        <v>0</v>
      </c>
      <c r="BN678" s="41">
        <v>0</v>
      </c>
      <c r="BO678" s="41">
        <v>0</v>
      </c>
      <c r="BP678" s="41"/>
      <c r="BQ678" s="41"/>
      <c r="BR678" s="41"/>
      <c r="BS678" s="41"/>
      <c r="BT678" s="41"/>
      <c r="BU678" s="41"/>
      <c r="BV678" s="41"/>
      <c r="BW678" s="41"/>
      <c r="BX678" s="41"/>
      <c r="BY678" s="41"/>
      <c r="BZ678" s="41"/>
      <c r="CA678" s="41">
        <v>13796</v>
      </c>
      <c r="CB678" s="41">
        <v>13178</v>
      </c>
      <c r="CC678" s="41">
        <v>12466</v>
      </c>
      <c r="CD678" s="41">
        <v>13449</v>
      </c>
      <c r="CE678" s="41">
        <v>13435</v>
      </c>
      <c r="CF678" s="41">
        <v>14536</v>
      </c>
      <c r="CG678" s="41">
        <v>15297</v>
      </c>
      <c r="CH678" s="41">
        <v>13762</v>
      </c>
      <c r="CI678" s="41">
        <v>11495</v>
      </c>
      <c r="CJ678" s="41">
        <v>970</v>
      </c>
      <c r="CK678" s="41">
        <v>1239</v>
      </c>
      <c r="CL678" s="41">
        <v>812</v>
      </c>
      <c r="CM678" s="41">
        <v>1151</v>
      </c>
      <c r="CN678" s="41">
        <v>1371</v>
      </c>
      <c r="CO678" s="41">
        <v>571</v>
      </c>
      <c r="CP678" s="41">
        <v>0</v>
      </c>
      <c r="CQ678" s="41">
        <v>0</v>
      </c>
      <c r="CR678" s="41">
        <v>0</v>
      </c>
      <c r="CS678" s="41">
        <v>0</v>
      </c>
      <c r="CT678" s="41">
        <v>0</v>
      </c>
      <c r="CU678" s="41">
        <v>0</v>
      </c>
      <c r="CV678" s="211">
        <v>0</v>
      </c>
      <c r="CW678" s="41">
        <v>0</v>
      </c>
      <c r="CX678" s="41">
        <v>0</v>
      </c>
      <c r="CY678" s="41">
        <v>0</v>
      </c>
      <c r="CZ678" s="41">
        <v>0</v>
      </c>
      <c r="DA678" s="41">
        <v>0</v>
      </c>
      <c r="DB678" s="41">
        <v>0</v>
      </c>
      <c r="DC678" s="41">
        <v>0</v>
      </c>
      <c r="DD678" s="41">
        <v>0</v>
      </c>
      <c r="DE678" s="41">
        <v>0</v>
      </c>
      <c r="DF678" s="41">
        <v>0</v>
      </c>
    </row>
    <row r="679" spans="1:110" ht="12" outlineLevel="1">
      <c r="A679" s="1" t="s">
        <v>2216</v>
      </c>
      <c r="B679" s="15" t="s">
        <v>2217</v>
      </c>
      <c r="C679" s="141">
        <v>1357</v>
      </c>
      <c r="D679" s="141">
        <v>1357</v>
      </c>
      <c r="E679" s="141">
        <v>1203</v>
      </c>
      <c r="F679" s="141">
        <v>1153</v>
      </c>
      <c r="G679" s="141">
        <v>1007</v>
      </c>
      <c r="H679" s="141">
        <v>931</v>
      </c>
      <c r="I679" s="141">
        <v>829</v>
      </c>
      <c r="J679" s="141">
        <v>640</v>
      </c>
      <c r="K679" s="141">
        <v>642</v>
      </c>
      <c r="L679" s="141">
        <v>726</v>
      </c>
      <c r="M679" s="141">
        <v>661</v>
      </c>
      <c r="N679" s="141">
        <v>640</v>
      </c>
      <c r="O679" s="141">
        <v>666</v>
      </c>
      <c r="P679" s="141">
        <v>1048</v>
      </c>
      <c r="Q679" s="141">
        <v>1750</v>
      </c>
      <c r="R679" s="141">
        <v>3691</v>
      </c>
      <c r="S679" s="141">
        <v>4519</v>
      </c>
      <c r="T679" s="141">
        <v>5397</v>
      </c>
      <c r="U679" s="141">
        <v>6075</v>
      </c>
      <c r="V679" s="141">
        <v>5203</v>
      </c>
      <c r="W679" s="141">
        <v>4650</v>
      </c>
      <c r="X679" s="141">
        <v>4664</v>
      </c>
      <c r="Y679" s="141">
        <v>4364</v>
      </c>
      <c r="Z679" s="141">
        <v>3978</v>
      </c>
      <c r="AA679" s="141">
        <v>3751</v>
      </c>
      <c r="AB679" s="141">
        <v>3314</v>
      </c>
      <c r="AC679" s="141">
        <v>2682</v>
      </c>
      <c r="AD679" s="141">
        <v>2466</v>
      </c>
      <c r="AE679" s="141">
        <v>2441</v>
      </c>
      <c r="AF679" s="141">
        <v>2564</v>
      </c>
      <c r="AG679" s="141">
        <v>2646</v>
      </c>
      <c r="AH679" s="141">
        <v>2478</v>
      </c>
      <c r="AI679" s="141">
        <v>2118</v>
      </c>
      <c r="AJ679" s="141">
        <v>1863</v>
      </c>
      <c r="AK679" s="141">
        <v>1676</v>
      </c>
      <c r="AL679" s="141">
        <v>1803</v>
      </c>
      <c r="AM679" s="141">
        <v>1711</v>
      </c>
      <c r="AN679" s="141">
        <v>2209</v>
      </c>
      <c r="AO679" s="141">
        <v>2001</v>
      </c>
      <c r="AP679" s="141">
        <v>1941</v>
      </c>
      <c r="AQ679" s="141">
        <v>1549</v>
      </c>
      <c r="AR679" s="141">
        <v>1286</v>
      </c>
      <c r="AS679" s="141">
        <v>1043</v>
      </c>
      <c r="AT679" s="141">
        <v>804</v>
      </c>
      <c r="AU679" s="141">
        <v>1037</v>
      </c>
      <c r="AV679" s="226">
        <v>880</v>
      </c>
      <c r="AW679" s="41">
        <v>990.51525376205154</v>
      </c>
      <c r="AX679" s="41">
        <v>975.99453588698577</v>
      </c>
      <c r="AY679" s="41">
        <v>1053.0880917896925</v>
      </c>
      <c r="AZ679" s="41">
        <v>1143.8322402032284</v>
      </c>
      <c r="BA679" s="41">
        <v>1218.6134192605034</v>
      </c>
      <c r="BB679" s="41">
        <v>1241.0417785648317</v>
      </c>
      <c r="BC679" s="41">
        <v>1204.7849641220539</v>
      </c>
      <c r="BD679" s="41">
        <v>1169.6715078075308</v>
      </c>
      <c r="BE679" s="41">
        <v>1135.6622636590137</v>
      </c>
      <c r="BF679" s="41">
        <v>1160.757440675518</v>
      </c>
      <c r="BG679" s="41">
        <v>1186.4899488986971</v>
      </c>
      <c r="BH679" s="41">
        <v>1546.4178644928759</v>
      </c>
      <c r="BI679" s="41">
        <v>1818.0551758395309</v>
      </c>
      <c r="BJ679" s="41">
        <v>2048.1261642209934</v>
      </c>
      <c r="BK679" s="41">
        <v>1996.2240494213918</v>
      </c>
      <c r="BL679" s="41">
        <v>2007.1997252852273</v>
      </c>
      <c r="BM679" s="41">
        <v>2018.3587454518106</v>
      </c>
      <c r="BN679" s="41">
        <v>2038.5423329063287</v>
      </c>
      <c r="BO679" s="41">
        <v>2058.9277562353918</v>
      </c>
      <c r="BP679" s="41"/>
      <c r="BQ679" s="41"/>
      <c r="BR679" s="41"/>
      <c r="BS679" s="41"/>
      <c r="BT679" s="41"/>
      <c r="BU679" s="41"/>
      <c r="BV679" s="41"/>
      <c r="BW679" s="41"/>
      <c r="BX679" s="41"/>
      <c r="BY679" s="41"/>
      <c r="BZ679" s="41"/>
      <c r="CA679" s="41">
        <v>1203</v>
      </c>
      <c r="CB679" s="41">
        <v>1007</v>
      </c>
      <c r="CC679" s="41">
        <v>829</v>
      </c>
      <c r="CD679" s="41">
        <v>642</v>
      </c>
      <c r="CE679" s="41">
        <v>661</v>
      </c>
      <c r="CF679" s="41">
        <v>666</v>
      </c>
      <c r="CG679" s="41">
        <v>1750</v>
      </c>
      <c r="CH679" s="41">
        <v>4519</v>
      </c>
      <c r="CI679" s="41">
        <v>6075</v>
      </c>
      <c r="CJ679" s="41">
        <v>4650</v>
      </c>
      <c r="CK679" s="41">
        <v>4364</v>
      </c>
      <c r="CL679" s="41">
        <v>3751</v>
      </c>
      <c r="CM679" s="41">
        <v>2682</v>
      </c>
      <c r="CN679" s="41">
        <v>2441</v>
      </c>
      <c r="CO679" s="41">
        <v>2646</v>
      </c>
      <c r="CP679" s="41">
        <v>2118</v>
      </c>
      <c r="CQ679" s="41">
        <v>1676</v>
      </c>
      <c r="CR679" s="41">
        <v>1711</v>
      </c>
      <c r="CS679" s="41">
        <v>2001</v>
      </c>
      <c r="CT679" s="41">
        <v>1549</v>
      </c>
      <c r="CU679" s="41">
        <v>1043</v>
      </c>
      <c r="CV679" s="211">
        <v>1037</v>
      </c>
      <c r="CW679" s="41">
        <v>990.51525376205154</v>
      </c>
      <c r="CX679" s="41">
        <v>1053.0880917896925</v>
      </c>
      <c r="CY679" s="41">
        <v>1218.6134192605034</v>
      </c>
      <c r="CZ679" s="41">
        <v>1204.7849641220539</v>
      </c>
      <c r="DA679" s="41">
        <v>1135.6622636590137</v>
      </c>
      <c r="DB679" s="41">
        <v>1186.4899488986971</v>
      </c>
      <c r="DC679" s="41">
        <v>1818.0551758395309</v>
      </c>
      <c r="DD679" s="41">
        <v>1996.2240494213918</v>
      </c>
      <c r="DE679" s="41">
        <v>2018.3587454518106</v>
      </c>
      <c r="DF679" s="41">
        <v>2058.9277562353918</v>
      </c>
    </row>
    <row r="680" spans="1:110" ht="12" outlineLevel="1">
      <c r="A680" s="1" t="s">
        <v>2218</v>
      </c>
      <c r="B680" s="15" t="s">
        <v>1489</v>
      </c>
      <c r="C680" s="141">
        <v>1565.0839387308533</v>
      </c>
      <c r="D680" s="141">
        <v>1565.0839387308533</v>
      </c>
      <c r="E680" s="141">
        <v>1570.946084192977</v>
      </c>
      <c r="F680" s="141">
        <v>1598.8257773262478</v>
      </c>
      <c r="G680" s="141">
        <v>1604.1983656350942</v>
      </c>
      <c r="H680" s="141">
        <v>1826.911998320204</v>
      </c>
      <c r="I680" s="141">
        <v>1837.0656983202041</v>
      </c>
      <c r="J680" s="141">
        <v>1841.4025533202041</v>
      </c>
      <c r="K680" s="141">
        <v>1845.1133713202041</v>
      </c>
      <c r="L680" s="141">
        <v>1847.3380243202041</v>
      </c>
      <c r="M680" s="141">
        <v>1855.2360063202041</v>
      </c>
      <c r="N680" s="141">
        <v>1863.3618913202042</v>
      </c>
      <c r="O680" s="141">
        <v>1883.3638913202042</v>
      </c>
      <c r="P680" s="141">
        <v>1939.3488913202041</v>
      </c>
      <c r="Q680" s="141">
        <v>2059.6415553202041</v>
      </c>
      <c r="R680" s="141">
        <v>2176.765879320204</v>
      </c>
      <c r="S680" s="141">
        <v>2523.1638913202041</v>
      </c>
      <c r="T680" s="141">
        <v>2552.1361323202041</v>
      </c>
      <c r="U680" s="141">
        <v>2578.3263163202041</v>
      </c>
      <c r="V680" s="141">
        <v>2615.089371320204</v>
      </c>
      <c r="W680" s="141">
        <v>2647.697928320204</v>
      </c>
      <c r="X680" s="141">
        <v>2698.1821553202039</v>
      </c>
      <c r="Y680" s="141">
        <v>2736.0208523202041</v>
      </c>
      <c r="Z680" s="141">
        <v>2749</v>
      </c>
      <c r="AA680" s="141">
        <v>2748.5</v>
      </c>
      <c r="AB680" s="141">
        <v>2749.1</v>
      </c>
      <c r="AC680" s="141">
        <v>2762.1</v>
      </c>
      <c r="AD680" s="141">
        <v>2772.2</v>
      </c>
      <c r="AE680" s="141">
        <v>2909</v>
      </c>
      <c r="AF680" s="141">
        <v>2924.5</v>
      </c>
      <c r="AG680" s="141">
        <v>2934.2</v>
      </c>
      <c r="AH680" s="141">
        <v>2946</v>
      </c>
      <c r="AI680" s="141">
        <v>2938.7930000000001</v>
      </c>
      <c r="AJ680" s="141">
        <v>2860.1016509999999</v>
      </c>
      <c r="AK680" s="141">
        <v>2848.47714</v>
      </c>
      <c r="AL680" s="141">
        <v>2792.7530400000001</v>
      </c>
      <c r="AM680" s="141">
        <v>2835.994267</v>
      </c>
      <c r="AN680" s="141">
        <v>2837.7699210000001</v>
      </c>
      <c r="AO680" s="141">
        <v>2844.563028</v>
      </c>
      <c r="AP680" s="141">
        <v>2850.7133749999998</v>
      </c>
      <c r="AQ680" s="141">
        <v>2801.5855039999997</v>
      </c>
      <c r="AR680" s="141">
        <v>2764.647696</v>
      </c>
      <c r="AS680" s="141">
        <v>3185.743328</v>
      </c>
      <c r="AT680" s="141">
        <v>3016.8098129999998</v>
      </c>
      <c r="AU680" s="141">
        <v>3007.2071900000001</v>
      </c>
      <c r="AV680" s="226">
        <v>3007.5106780000001</v>
      </c>
      <c r="AW680" s="41">
        <v>2974.3612883344072</v>
      </c>
      <c r="AX680" s="41">
        <v>2942.854674767324</v>
      </c>
      <c r="AY680" s="41">
        <v>2942.854674767324</v>
      </c>
      <c r="AZ680" s="41">
        <v>2942.854674767324</v>
      </c>
      <c r="BA680" s="41">
        <v>2942.854674767324</v>
      </c>
      <c r="BB680" s="41">
        <v>2942.854674767324</v>
      </c>
      <c r="BC680" s="41">
        <v>2942.854674767324</v>
      </c>
      <c r="BD680" s="41">
        <v>2942.854674767324</v>
      </c>
      <c r="BE680" s="41">
        <v>2942.854674767324</v>
      </c>
      <c r="BF680" s="41">
        <v>2942.854674767324</v>
      </c>
      <c r="BG680" s="41">
        <v>2942.854674767324</v>
      </c>
      <c r="BH680" s="41">
        <v>2942.854674767324</v>
      </c>
      <c r="BI680" s="41">
        <v>2985.2627551677906</v>
      </c>
      <c r="BJ680" s="41">
        <v>3022.061335154996</v>
      </c>
      <c r="BK680" s="41">
        <v>3022.061335154996</v>
      </c>
      <c r="BL680" s="41">
        <v>3022.061335154996</v>
      </c>
      <c r="BM680" s="41">
        <v>3022.061335154996</v>
      </c>
      <c r="BN680" s="41">
        <v>3022.061335154996</v>
      </c>
      <c r="BO680" s="41">
        <v>3022.061335154996</v>
      </c>
      <c r="BP680" s="41"/>
      <c r="BQ680" s="41"/>
      <c r="BR680" s="41"/>
      <c r="BS680" s="41"/>
      <c r="BT680" s="41"/>
      <c r="BU680" s="41"/>
      <c r="BV680" s="41"/>
      <c r="BW680" s="41"/>
      <c r="BX680" s="41"/>
      <c r="BY680" s="41"/>
      <c r="BZ680" s="41"/>
      <c r="CA680" s="41">
        <v>1570.946084192977</v>
      </c>
      <c r="CB680" s="41">
        <v>1604.1983656350942</v>
      </c>
      <c r="CC680" s="41">
        <v>1837.0656983202041</v>
      </c>
      <c r="CD680" s="41">
        <v>1845.1133713202041</v>
      </c>
      <c r="CE680" s="41">
        <v>1855.2360063202041</v>
      </c>
      <c r="CF680" s="41">
        <v>1883.3638913202042</v>
      </c>
      <c r="CG680" s="41">
        <v>2059.6415553202041</v>
      </c>
      <c r="CH680" s="41">
        <v>2523.1638913202041</v>
      </c>
      <c r="CI680" s="41">
        <v>2578.3263163202041</v>
      </c>
      <c r="CJ680" s="41">
        <v>2647.697928320204</v>
      </c>
      <c r="CK680" s="41">
        <v>2736.0208523202041</v>
      </c>
      <c r="CL680" s="41">
        <v>2748.5</v>
      </c>
      <c r="CM680" s="41">
        <v>2762.1</v>
      </c>
      <c r="CN680" s="41">
        <v>2909</v>
      </c>
      <c r="CO680" s="41">
        <v>2934.2</v>
      </c>
      <c r="CP680" s="41">
        <v>2938.7930000000001</v>
      </c>
      <c r="CQ680" s="41">
        <v>2848.47714</v>
      </c>
      <c r="CR680" s="41">
        <v>2835.994267</v>
      </c>
      <c r="CS680" s="41">
        <v>2844.563028</v>
      </c>
      <c r="CT680" s="41">
        <v>2801.5855039999997</v>
      </c>
      <c r="CU680" s="41">
        <v>3185.743328</v>
      </c>
      <c r="CV680" s="211">
        <v>3007.2071900000001</v>
      </c>
      <c r="CW680" s="41">
        <v>2974.3612883344072</v>
      </c>
      <c r="CX680" s="41">
        <v>2942.854674767324</v>
      </c>
      <c r="CY680" s="41">
        <v>2942.854674767324</v>
      </c>
      <c r="CZ680" s="41">
        <v>2942.854674767324</v>
      </c>
      <c r="DA680" s="41">
        <v>2942.854674767324</v>
      </c>
      <c r="DB680" s="41">
        <v>2942.854674767324</v>
      </c>
      <c r="DC680" s="41">
        <v>2985.2627551677906</v>
      </c>
      <c r="DD680" s="41">
        <v>3022.061335154996</v>
      </c>
      <c r="DE680" s="41">
        <v>3022.061335154996</v>
      </c>
      <c r="DF680" s="41">
        <v>3022.061335154996</v>
      </c>
    </row>
    <row r="681" spans="1:110" ht="12" outlineLevel="1">
      <c r="A681" s="1" t="s">
        <v>2219</v>
      </c>
      <c r="B681" s="15" t="s">
        <v>2220</v>
      </c>
      <c r="C681" s="141">
        <v>0</v>
      </c>
      <c r="D681" s="141">
        <v>0</v>
      </c>
      <c r="E681" s="141">
        <v>0</v>
      </c>
      <c r="F681" s="141">
        <v>0</v>
      </c>
      <c r="G681" s="141">
        <v>0</v>
      </c>
      <c r="H681" s="141">
        <v>52.2</v>
      </c>
      <c r="I681" s="141">
        <v>76.099999999999994</v>
      </c>
      <c r="J681" s="141">
        <v>118.8</v>
      </c>
      <c r="K681" s="141">
        <v>102.80000000000001</v>
      </c>
      <c r="L681" s="141">
        <v>96.7</v>
      </c>
      <c r="M681" s="141">
        <v>93</v>
      </c>
      <c r="N681" s="141">
        <v>80.400000000000006</v>
      </c>
      <c r="O681" s="141">
        <v>98</v>
      </c>
      <c r="P681" s="141">
        <v>144.6</v>
      </c>
      <c r="Q681" s="141">
        <v>185.8</v>
      </c>
      <c r="R681" s="141">
        <v>210.8</v>
      </c>
      <c r="S681" s="141">
        <v>121.4</v>
      </c>
      <c r="T681" s="141">
        <v>135.9</v>
      </c>
      <c r="U681" s="141">
        <v>196.4</v>
      </c>
      <c r="V681" s="141">
        <v>193.2</v>
      </c>
      <c r="W681" s="141">
        <v>239.2</v>
      </c>
      <c r="X681" s="141">
        <v>255.3</v>
      </c>
      <c r="Y681" s="141">
        <v>224.3</v>
      </c>
      <c r="Z681" s="141">
        <v>182.5</v>
      </c>
      <c r="AA681" s="141">
        <v>183.1</v>
      </c>
      <c r="AB681" s="141">
        <v>185.8</v>
      </c>
      <c r="AC681" s="141">
        <v>203</v>
      </c>
      <c r="AD681" s="141">
        <v>170.5</v>
      </c>
      <c r="AE681" s="141">
        <v>261.39999999999998</v>
      </c>
      <c r="AF681" s="141">
        <v>321.2</v>
      </c>
      <c r="AG681" s="141">
        <v>274.3</v>
      </c>
      <c r="AH681" s="141">
        <v>247.1</v>
      </c>
      <c r="AI681" s="141">
        <v>243</v>
      </c>
      <c r="AJ681" s="141">
        <v>269.7</v>
      </c>
      <c r="AK681" s="141">
        <v>240.6</v>
      </c>
      <c r="AL681" s="141">
        <v>260.5</v>
      </c>
      <c r="AM681" s="141">
        <v>237.9</v>
      </c>
      <c r="AN681" s="141">
        <v>401.4</v>
      </c>
      <c r="AO681" s="141">
        <v>362.2</v>
      </c>
      <c r="AP681" s="141">
        <v>238.7</v>
      </c>
      <c r="AQ681" s="141">
        <v>255.8</v>
      </c>
      <c r="AR681" s="141">
        <v>264</v>
      </c>
      <c r="AS681" s="141">
        <v>275.7</v>
      </c>
      <c r="AT681" s="141">
        <v>277.3</v>
      </c>
      <c r="AU681" s="141">
        <v>273.89999999999998</v>
      </c>
      <c r="AV681" s="226">
        <v>239.6</v>
      </c>
      <c r="AW681" s="41">
        <v>239.6</v>
      </c>
      <c r="AX681" s="41">
        <v>239.6</v>
      </c>
      <c r="AY681" s="41">
        <v>239.6</v>
      </c>
      <c r="AZ681" s="41">
        <v>239.6</v>
      </c>
      <c r="BA681" s="41">
        <v>239.6</v>
      </c>
      <c r="BB681" s="41">
        <v>239.6</v>
      </c>
      <c r="BC681" s="41">
        <v>239.6</v>
      </c>
      <c r="BD681" s="41">
        <v>239.6</v>
      </c>
      <c r="BE681" s="41">
        <v>239.6</v>
      </c>
      <c r="BF681" s="41">
        <v>239.6</v>
      </c>
      <c r="BG681" s="41">
        <v>239.6</v>
      </c>
      <c r="BH681" s="41">
        <v>239.6</v>
      </c>
      <c r="BI681" s="41">
        <v>239.6</v>
      </c>
      <c r="BJ681" s="41">
        <v>239.6</v>
      </c>
      <c r="BK681" s="41">
        <v>239.6</v>
      </c>
      <c r="BL681" s="41">
        <v>239.6</v>
      </c>
      <c r="BM681" s="41">
        <v>239.6</v>
      </c>
      <c r="BN681" s="41">
        <v>239.6</v>
      </c>
      <c r="BO681" s="41">
        <v>239.6</v>
      </c>
      <c r="BP681" s="41"/>
      <c r="BQ681" s="41"/>
      <c r="BR681" s="41"/>
      <c r="BS681" s="41"/>
      <c r="BT681" s="41"/>
      <c r="BU681" s="41"/>
      <c r="BV681" s="41"/>
      <c r="BW681" s="41"/>
      <c r="BX681" s="41"/>
      <c r="BY681" s="41"/>
      <c r="BZ681" s="41"/>
      <c r="CA681" s="41">
        <v>0</v>
      </c>
      <c r="CB681" s="41">
        <v>0</v>
      </c>
      <c r="CC681" s="41">
        <v>76.099999999999994</v>
      </c>
      <c r="CD681" s="41">
        <v>102.80000000000001</v>
      </c>
      <c r="CE681" s="41">
        <v>93</v>
      </c>
      <c r="CF681" s="41">
        <v>98</v>
      </c>
      <c r="CG681" s="41">
        <v>185.8</v>
      </c>
      <c r="CH681" s="41">
        <v>121.4</v>
      </c>
      <c r="CI681" s="41">
        <v>196.4</v>
      </c>
      <c r="CJ681" s="41">
        <v>239.2</v>
      </c>
      <c r="CK681" s="41">
        <v>224.3</v>
      </c>
      <c r="CL681" s="41">
        <v>183.1</v>
      </c>
      <c r="CM681" s="41">
        <v>203</v>
      </c>
      <c r="CN681" s="41">
        <v>261.39999999999998</v>
      </c>
      <c r="CO681" s="41">
        <v>274.3</v>
      </c>
      <c r="CP681" s="41">
        <v>243</v>
      </c>
      <c r="CQ681" s="41">
        <v>240.6</v>
      </c>
      <c r="CR681" s="41">
        <v>237.9</v>
      </c>
      <c r="CS681" s="41">
        <v>362.2</v>
      </c>
      <c r="CT681" s="41">
        <v>255.8</v>
      </c>
      <c r="CU681" s="41">
        <v>275.7</v>
      </c>
      <c r="CV681" s="211">
        <v>239.6</v>
      </c>
      <c r="CW681" s="41">
        <v>239.6</v>
      </c>
      <c r="CX681" s="41">
        <v>239.6</v>
      </c>
      <c r="CY681" s="41">
        <v>239.6</v>
      </c>
      <c r="CZ681" s="41">
        <v>239.6</v>
      </c>
      <c r="DA681" s="41">
        <v>239.6</v>
      </c>
      <c r="DB681" s="41">
        <v>239.6</v>
      </c>
      <c r="DC681" s="41">
        <v>239.6</v>
      </c>
      <c r="DD681" s="41">
        <v>239.6</v>
      </c>
      <c r="DE681" s="41">
        <v>239.6</v>
      </c>
      <c r="DF681" s="41">
        <v>239.6</v>
      </c>
    </row>
    <row r="682" spans="1:110" ht="12" outlineLevel="1">
      <c r="A682" s="1" t="s">
        <v>2221</v>
      </c>
      <c r="B682" s="15" t="s">
        <v>2222</v>
      </c>
      <c r="C682" s="141">
        <v>3.959570699176826</v>
      </c>
      <c r="D682" s="141">
        <v>3.959570699176826</v>
      </c>
      <c r="E682" s="141">
        <v>3.959570699176826</v>
      </c>
      <c r="F682" s="141">
        <v>6</v>
      </c>
      <c r="G682" s="141">
        <v>5.9</v>
      </c>
      <c r="H682" s="141">
        <v>6.6</v>
      </c>
      <c r="I682" s="141">
        <v>5.4</v>
      </c>
      <c r="J682" s="141">
        <v>7.7</v>
      </c>
      <c r="K682" s="141">
        <v>9.3000000000000007</v>
      </c>
      <c r="L682" s="141">
        <v>11.9</v>
      </c>
      <c r="M682" s="141">
        <v>13</v>
      </c>
      <c r="N682" s="141">
        <v>14.4</v>
      </c>
      <c r="O682" s="141">
        <v>11.5</v>
      </c>
      <c r="P682" s="141">
        <v>10.8</v>
      </c>
      <c r="Q682" s="141">
        <v>5.2</v>
      </c>
      <c r="R682" s="141">
        <v>3.9</v>
      </c>
      <c r="S682" s="141">
        <v>4</v>
      </c>
      <c r="T682" s="141">
        <v>4.8</v>
      </c>
      <c r="U682" s="141">
        <v>4.8</v>
      </c>
      <c r="V682" s="141">
        <v>5</v>
      </c>
      <c r="W682" s="141">
        <v>4.0999999999999996</v>
      </c>
      <c r="X682" s="141">
        <v>4.5999999999999996</v>
      </c>
      <c r="Y682" s="141">
        <v>4.4000000000000004</v>
      </c>
      <c r="Z682" s="141">
        <v>5.3</v>
      </c>
      <c r="AA682" s="141">
        <v>4.8</v>
      </c>
      <c r="AB682" s="141">
        <v>5</v>
      </c>
      <c r="AC682" s="141">
        <v>5.5</v>
      </c>
      <c r="AD682" s="141">
        <v>6.2</v>
      </c>
      <c r="AE682" s="141">
        <v>6.3</v>
      </c>
      <c r="AF682" s="141">
        <v>6.9</v>
      </c>
      <c r="AG682" s="141">
        <v>6.7</v>
      </c>
      <c r="AH682" s="141">
        <v>10</v>
      </c>
      <c r="AI682" s="141">
        <v>11.5</v>
      </c>
      <c r="AJ682" s="141">
        <v>10</v>
      </c>
      <c r="AK682" s="141">
        <v>9.5</v>
      </c>
      <c r="AL682" s="141">
        <v>8.4</v>
      </c>
      <c r="AM682" s="141">
        <v>8.3000000000000007</v>
      </c>
      <c r="AN682" s="141">
        <v>6.6</v>
      </c>
      <c r="AO682" s="141">
        <v>7.3</v>
      </c>
      <c r="AP682" s="141">
        <v>7</v>
      </c>
      <c r="AQ682" s="141">
        <v>11.3</v>
      </c>
      <c r="AR682" s="141">
        <v>6.9</v>
      </c>
      <c r="AS682" s="141">
        <v>7.3</v>
      </c>
      <c r="AT682" s="141">
        <v>6.9</v>
      </c>
      <c r="AU682" s="141">
        <v>7.5</v>
      </c>
      <c r="AV682" s="226">
        <v>8.5</v>
      </c>
      <c r="AW682" s="41">
        <v>8.5</v>
      </c>
      <c r="AX682" s="41">
        <v>8.5</v>
      </c>
      <c r="AY682" s="41">
        <v>8.5</v>
      </c>
      <c r="AZ682" s="41">
        <v>8.5</v>
      </c>
      <c r="BA682" s="41">
        <v>8.5</v>
      </c>
      <c r="BB682" s="41">
        <v>8.5</v>
      </c>
      <c r="BC682" s="41">
        <v>8.5</v>
      </c>
      <c r="BD682" s="41">
        <v>8.5</v>
      </c>
      <c r="BE682" s="41">
        <v>8.5</v>
      </c>
      <c r="BF682" s="41">
        <v>8.5</v>
      </c>
      <c r="BG682" s="41">
        <v>8.5</v>
      </c>
      <c r="BH682" s="41">
        <v>8.5</v>
      </c>
      <c r="BI682" s="41">
        <v>8.5</v>
      </c>
      <c r="BJ682" s="41">
        <v>8.5</v>
      </c>
      <c r="BK682" s="41">
        <v>8.5</v>
      </c>
      <c r="BL682" s="41">
        <v>8.5</v>
      </c>
      <c r="BM682" s="41">
        <v>8.5</v>
      </c>
      <c r="BN682" s="41">
        <v>8.5</v>
      </c>
      <c r="BO682" s="41">
        <v>8.5</v>
      </c>
      <c r="BP682" s="41"/>
      <c r="BQ682" s="41"/>
      <c r="BR682" s="41"/>
      <c r="BS682" s="41"/>
      <c r="BT682" s="41"/>
      <c r="BU682" s="41"/>
      <c r="BV682" s="41"/>
      <c r="BW682" s="41"/>
      <c r="BX682" s="41"/>
      <c r="BY682" s="41"/>
      <c r="BZ682" s="41"/>
      <c r="CA682" s="41">
        <v>3.959570699176826</v>
      </c>
      <c r="CB682" s="41">
        <v>5.9</v>
      </c>
      <c r="CC682" s="41">
        <v>5.4</v>
      </c>
      <c r="CD682" s="41">
        <v>9.3000000000000007</v>
      </c>
      <c r="CE682" s="41">
        <v>13</v>
      </c>
      <c r="CF682" s="41">
        <v>11.5</v>
      </c>
      <c r="CG682" s="41">
        <v>5.2</v>
      </c>
      <c r="CH682" s="41">
        <v>4</v>
      </c>
      <c r="CI682" s="41">
        <v>4.8</v>
      </c>
      <c r="CJ682" s="41">
        <v>4.0999999999999996</v>
      </c>
      <c r="CK682" s="41">
        <v>4.4000000000000004</v>
      </c>
      <c r="CL682" s="41">
        <v>4.8</v>
      </c>
      <c r="CM682" s="41">
        <v>5.5</v>
      </c>
      <c r="CN682" s="41">
        <v>6.3</v>
      </c>
      <c r="CO682" s="41">
        <v>6.7</v>
      </c>
      <c r="CP682" s="41">
        <v>11.5</v>
      </c>
      <c r="CQ682" s="41">
        <v>9.5</v>
      </c>
      <c r="CR682" s="41">
        <v>8.3000000000000007</v>
      </c>
      <c r="CS682" s="41">
        <v>7.3</v>
      </c>
      <c r="CT682" s="41">
        <v>11.3</v>
      </c>
      <c r="CU682" s="41">
        <v>7.3</v>
      </c>
      <c r="CV682" s="211">
        <v>8.5</v>
      </c>
      <c r="CW682" s="41">
        <v>8.5</v>
      </c>
      <c r="CX682" s="41">
        <v>8.5</v>
      </c>
      <c r="CY682" s="41">
        <v>8.5</v>
      </c>
      <c r="CZ682" s="41">
        <v>8.5</v>
      </c>
      <c r="DA682" s="41">
        <v>8.5</v>
      </c>
      <c r="DB682" s="41">
        <v>8.5</v>
      </c>
      <c r="DC682" s="41">
        <v>8.5</v>
      </c>
      <c r="DD682" s="41">
        <v>8.5</v>
      </c>
      <c r="DE682" s="41">
        <v>8.5</v>
      </c>
      <c r="DF682" s="41">
        <v>8.5</v>
      </c>
    </row>
    <row r="683" spans="1:110" ht="12" hidden="1" outlineLevel="2">
      <c r="A683" s="1" t="s">
        <v>2223</v>
      </c>
      <c r="B683" s="15" t="s">
        <v>2224</v>
      </c>
      <c r="C683" s="41"/>
      <c r="D683" s="41"/>
      <c r="E683" s="41"/>
      <c r="F683" s="41"/>
      <c r="G683" s="41"/>
      <c r="H683" s="41"/>
      <c r="I683" s="41"/>
      <c r="J683" s="41"/>
      <c r="K683" s="41"/>
      <c r="L683" s="41"/>
      <c r="M683" s="41"/>
      <c r="N683" s="41"/>
      <c r="O683" s="41"/>
      <c r="P683" s="41"/>
      <c r="Q683" s="41"/>
      <c r="R683" s="41"/>
      <c r="S683" s="41"/>
      <c r="T683" s="41"/>
      <c r="U683" s="41"/>
      <c r="V683" s="41"/>
      <c r="W683" s="41"/>
      <c r="X683" s="41"/>
      <c r="Y683" s="41"/>
      <c r="Z683" s="41"/>
      <c r="AA683" s="41"/>
      <c r="AB683" s="41"/>
      <c r="AC683" s="41"/>
      <c r="AD683" s="41"/>
      <c r="AE683" s="41"/>
      <c r="AF683" s="41"/>
      <c r="AG683" s="41"/>
      <c r="AH683" s="41"/>
      <c r="AI683" s="41"/>
      <c r="AJ683" s="41"/>
      <c r="AK683" s="41"/>
      <c r="AL683" s="41"/>
      <c r="AM683" s="41"/>
      <c r="AN683" s="41"/>
      <c r="AO683" s="41"/>
      <c r="AP683" s="41"/>
      <c r="AQ683" s="41"/>
      <c r="AR683" s="41"/>
      <c r="AS683" s="41"/>
      <c r="AT683" s="41"/>
      <c r="AU683" s="41"/>
      <c r="AV683" s="211"/>
      <c r="AW683" s="41"/>
      <c r="AX683" s="41"/>
      <c r="AY683" s="41"/>
      <c r="AZ683" s="41"/>
      <c r="BA683" s="41"/>
      <c r="BB683" s="41"/>
      <c r="BC683" s="41"/>
      <c r="BD683" s="41"/>
      <c r="BE683" s="41"/>
      <c r="BF683" s="41"/>
      <c r="BG683" s="41"/>
      <c r="BH683" s="41"/>
      <c r="BI683" s="41"/>
      <c r="BJ683" s="41"/>
      <c r="BK683" s="41"/>
      <c r="BL683" s="41"/>
      <c r="BM683" s="41"/>
      <c r="BN683" s="41"/>
      <c r="BO683" s="41"/>
      <c r="BP683" s="41"/>
      <c r="BQ683" s="41"/>
      <c r="BR683" s="41"/>
      <c r="BS683" s="41"/>
      <c r="BT683" s="41"/>
      <c r="BU683" s="41"/>
      <c r="BV683" s="41"/>
      <c r="BW683" s="41"/>
      <c r="BX683" s="41"/>
      <c r="BY683" s="41"/>
      <c r="BZ683" s="41"/>
      <c r="CA683" s="41"/>
      <c r="CB683" s="41"/>
      <c r="CC683" s="41"/>
      <c r="CD683" s="41"/>
      <c r="CE683" s="41"/>
      <c r="CF683" s="41"/>
      <c r="CG683" s="41"/>
      <c r="CH683" s="41"/>
      <c r="CI683" s="41"/>
      <c r="CJ683" s="41"/>
      <c r="CK683" s="41"/>
      <c r="CL683" s="41"/>
      <c r="CM683" s="41"/>
      <c r="CN683" s="41"/>
      <c r="CO683" s="41"/>
      <c r="CP683" s="41"/>
      <c r="CQ683" s="41"/>
      <c r="CR683" s="41"/>
      <c r="CS683" s="41"/>
      <c r="CT683" s="41"/>
      <c r="CU683" s="41"/>
      <c r="CV683" s="211"/>
      <c r="CW683" s="41"/>
      <c r="CX683" s="41"/>
      <c r="CY683" s="41"/>
      <c r="CZ683" s="15"/>
      <c r="DA683" s="15"/>
      <c r="DB683" s="15"/>
      <c r="DC683" s="15"/>
      <c r="DD683" s="15"/>
      <c r="DE683" s="15"/>
      <c r="DF683" s="15"/>
    </row>
    <row r="684" spans="1:110" ht="12" hidden="1" outlineLevel="2">
      <c r="A684" s="1" t="s">
        <v>1053</v>
      </c>
      <c r="B684" s="15" t="s">
        <v>804</v>
      </c>
      <c r="C684" s="41"/>
      <c r="D684" s="41"/>
      <c r="E684" s="41"/>
      <c r="F684" s="41"/>
      <c r="G684" s="41"/>
      <c r="H684" s="41"/>
      <c r="I684" s="41"/>
      <c r="J684" s="41"/>
      <c r="K684" s="41"/>
      <c r="L684" s="41"/>
      <c r="M684" s="41"/>
      <c r="N684" s="41"/>
      <c r="O684" s="41"/>
      <c r="P684" s="41"/>
      <c r="Q684" s="41"/>
      <c r="R684" s="41"/>
      <c r="S684" s="41"/>
      <c r="T684" s="41"/>
      <c r="U684" s="41"/>
      <c r="V684" s="41"/>
      <c r="W684" s="41"/>
      <c r="X684" s="41"/>
      <c r="Y684" s="41"/>
      <c r="Z684" s="41"/>
      <c r="AA684" s="41"/>
      <c r="AB684" s="41"/>
      <c r="AC684" s="41"/>
      <c r="AD684" s="41"/>
      <c r="AE684" s="41"/>
      <c r="AF684" s="41"/>
      <c r="AG684" s="41"/>
      <c r="AH684" s="41"/>
      <c r="AI684" s="41"/>
      <c r="AJ684" s="41"/>
      <c r="AK684" s="41"/>
      <c r="AL684" s="41"/>
      <c r="AM684" s="41"/>
      <c r="AN684" s="41"/>
      <c r="AO684" s="41"/>
      <c r="AP684" s="41"/>
      <c r="AQ684" s="41"/>
      <c r="AR684" s="41"/>
      <c r="AS684" s="41"/>
      <c r="AT684" s="41"/>
      <c r="AU684" s="41"/>
      <c r="AV684" s="211"/>
      <c r="AW684" s="41"/>
      <c r="AX684" s="41"/>
      <c r="AY684" s="41"/>
      <c r="AZ684" s="41"/>
      <c r="BA684" s="41"/>
      <c r="BB684" s="41"/>
      <c r="BC684" s="41"/>
      <c r="BD684" s="41"/>
      <c r="BE684" s="41"/>
      <c r="BF684" s="41"/>
      <c r="BG684" s="41"/>
      <c r="BH684" s="41"/>
      <c r="BI684" s="41"/>
      <c r="BJ684" s="41"/>
      <c r="BK684" s="41"/>
      <c r="BL684" s="41"/>
      <c r="BM684" s="41"/>
      <c r="BN684" s="41"/>
      <c r="BO684" s="41"/>
      <c r="BP684" s="41"/>
      <c r="BQ684" s="41"/>
      <c r="BR684" s="41"/>
      <c r="BS684" s="41"/>
      <c r="BT684" s="41"/>
      <c r="BU684" s="41"/>
      <c r="BV684" s="41"/>
      <c r="BW684" s="41"/>
      <c r="BX684" s="41"/>
      <c r="BY684" s="41"/>
      <c r="BZ684" s="41"/>
      <c r="CA684" s="41"/>
      <c r="CB684" s="41"/>
      <c r="CC684" s="41"/>
      <c r="CD684" s="41"/>
      <c r="CE684" s="41"/>
      <c r="CF684" s="41"/>
      <c r="CG684" s="41"/>
      <c r="CH684" s="41"/>
      <c r="CI684" s="41"/>
      <c r="CJ684" s="41"/>
      <c r="CK684" s="41"/>
      <c r="CL684" s="41"/>
      <c r="CM684" s="41"/>
      <c r="CN684" s="41"/>
      <c r="CO684" s="41"/>
      <c r="CP684" s="41"/>
      <c r="CQ684" s="41"/>
      <c r="CR684" s="41"/>
      <c r="CS684" s="41"/>
      <c r="CT684" s="41"/>
      <c r="CU684" s="41"/>
      <c r="CV684" s="211"/>
      <c r="CW684" s="41"/>
      <c r="CX684" s="41"/>
      <c r="CY684" s="41"/>
      <c r="CZ684" s="15"/>
      <c r="DA684" s="15"/>
      <c r="DB684" s="15"/>
      <c r="DC684" s="15"/>
      <c r="DD684" s="15"/>
      <c r="DE684" s="15"/>
      <c r="DF684" s="15"/>
    </row>
    <row r="685" spans="1:110" ht="12" hidden="1" outlineLevel="2">
      <c r="A685" s="1" t="s">
        <v>2284</v>
      </c>
      <c r="B685" s="15" t="s">
        <v>804</v>
      </c>
      <c r="C685" s="41"/>
      <c r="D685" s="41"/>
      <c r="E685" s="41"/>
      <c r="F685" s="41"/>
      <c r="G685" s="41"/>
      <c r="H685" s="41"/>
      <c r="I685" s="41"/>
      <c r="J685" s="41"/>
      <c r="K685" s="41"/>
      <c r="L685" s="41"/>
      <c r="M685" s="41"/>
      <c r="N685" s="41"/>
      <c r="O685" s="41"/>
      <c r="P685" s="41"/>
      <c r="Q685" s="41"/>
      <c r="R685" s="41"/>
      <c r="S685" s="41"/>
      <c r="T685" s="41"/>
      <c r="U685" s="41"/>
      <c r="V685" s="41"/>
      <c r="W685" s="41"/>
      <c r="X685" s="41"/>
      <c r="Y685" s="41"/>
      <c r="Z685" s="41"/>
      <c r="AA685" s="41"/>
      <c r="AB685" s="41"/>
      <c r="AC685" s="41"/>
      <c r="AD685" s="41"/>
      <c r="AE685" s="41"/>
      <c r="AF685" s="41"/>
      <c r="AG685" s="41"/>
      <c r="AH685" s="41"/>
      <c r="AI685" s="41"/>
      <c r="AJ685" s="41"/>
      <c r="AK685" s="41"/>
      <c r="AL685" s="41"/>
      <c r="AM685" s="41"/>
      <c r="AN685" s="41"/>
      <c r="AO685" s="41"/>
      <c r="AP685" s="41"/>
      <c r="AQ685" s="41"/>
      <c r="AR685" s="41"/>
      <c r="AS685" s="41"/>
      <c r="AT685" s="41"/>
      <c r="AU685" s="41"/>
      <c r="AV685" s="211"/>
      <c r="AW685" s="41"/>
      <c r="AX685" s="41"/>
      <c r="AY685" s="41"/>
      <c r="AZ685" s="41"/>
      <c r="BA685" s="41"/>
      <c r="BB685" s="41"/>
      <c r="BC685" s="41"/>
      <c r="BD685" s="41"/>
      <c r="BE685" s="41"/>
      <c r="BF685" s="41"/>
      <c r="BG685" s="41"/>
      <c r="BH685" s="41"/>
      <c r="BI685" s="41"/>
      <c r="BJ685" s="41"/>
      <c r="BK685" s="41"/>
      <c r="BL685" s="41"/>
      <c r="BM685" s="41"/>
      <c r="BN685" s="41"/>
      <c r="BO685" s="41"/>
      <c r="BP685" s="41"/>
      <c r="BQ685" s="41"/>
      <c r="BR685" s="41"/>
      <c r="BS685" s="41"/>
      <c r="BT685" s="41"/>
      <c r="BU685" s="41"/>
      <c r="BV685" s="41"/>
      <c r="BW685" s="41"/>
      <c r="BX685" s="41"/>
      <c r="BY685" s="41"/>
      <c r="BZ685" s="41"/>
      <c r="CA685" s="41"/>
      <c r="CB685" s="41"/>
      <c r="CC685" s="41"/>
      <c r="CD685" s="41"/>
      <c r="CE685" s="41"/>
      <c r="CF685" s="41"/>
      <c r="CG685" s="41"/>
      <c r="CH685" s="41"/>
      <c r="CI685" s="41"/>
      <c r="CJ685" s="41"/>
      <c r="CK685" s="41"/>
      <c r="CL685" s="41"/>
      <c r="CM685" s="41"/>
      <c r="CN685" s="41"/>
      <c r="CO685" s="41"/>
      <c r="CP685" s="41"/>
      <c r="CQ685" s="41"/>
      <c r="CR685" s="41"/>
      <c r="CS685" s="41"/>
      <c r="CT685" s="41"/>
      <c r="CU685" s="41"/>
      <c r="CV685" s="211"/>
      <c r="CW685" s="41"/>
      <c r="CX685" s="41"/>
      <c r="CY685" s="41"/>
      <c r="CZ685" s="15"/>
      <c r="DA685" s="15"/>
      <c r="DB685" s="15"/>
      <c r="DC685" s="15"/>
      <c r="DD685" s="15"/>
      <c r="DE685" s="15"/>
      <c r="DF685" s="15"/>
    </row>
    <row r="686" spans="1:110" ht="12" hidden="1" outlineLevel="2">
      <c r="A686" s="1" t="s">
        <v>2285</v>
      </c>
      <c r="B686" s="15" t="s">
        <v>804</v>
      </c>
      <c r="C686" s="41"/>
      <c r="D686" s="41"/>
      <c r="E686" s="41"/>
      <c r="F686" s="41"/>
      <c r="G686" s="41"/>
      <c r="H686" s="41"/>
      <c r="I686" s="41"/>
      <c r="J686" s="41"/>
      <c r="K686" s="41"/>
      <c r="L686" s="41"/>
      <c r="M686" s="41"/>
      <c r="N686" s="41"/>
      <c r="O686" s="41"/>
      <c r="P686" s="41"/>
      <c r="Q686" s="41"/>
      <c r="R686" s="41"/>
      <c r="S686" s="41"/>
      <c r="T686" s="41"/>
      <c r="U686" s="41"/>
      <c r="V686" s="41"/>
      <c r="W686" s="41"/>
      <c r="X686" s="41"/>
      <c r="Y686" s="41"/>
      <c r="Z686" s="41"/>
      <c r="AA686" s="41"/>
      <c r="AB686" s="41"/>
      <c r="AC686" s="41"/>
      <c r="AD686" s="41"/>
      <c r="AE686" s="41"/>
      <c r="AF686" s="41"/>
      <c r="AG686" s="41"/>
      <c r="AH686" s="41"/>
      <c r="AI686" s="41"/>
      <c r="AJ686" s="41"/>
      <c r="AK686" s="41"/>
      <c r="AL686" s="41"/>
      <c r="AM686" s="41"/>
      <c r="AN686" s="41"/>
      <c r="AO686" s="41"/>
      <c r="AP686" s="41"/>
      <c r="AQ686" s="41"/>
      <c r="AR686" s="41"/>
      <c r="AS686" s="41"/>
      <c r="AT686" s="41"/>
      <c r="AU686" s="41"/>
      <c r="AV686" s="211"/>
      <c r="AW686" s="41"/>
      <c r="AX686" s="41"/>
      <c r="AY686" s="41"/>
      <c r="AZ686" s="41"/>
      <c r="BA686" s="41"/>
      <c r="BB686" s="41"/>
      <c r="BC686" s="41"/>
      <c r="BD686" s="41"/>
      <c r="BE686" s="41"/>
      <c r="BF686" s="41"/>
      <c r="BG686" s="41"/>
      <c r="BH686" s="41"/>
      <c r="BI686" s="41"/>
      <c r="BJ686" s="41"/>
      <c r="BK686" s="41"/>
      <c r="BL686" s="41"/>
      <c r="BM686" s="41"/>
      <c r="BN686" s="41"/>
      <c r="BO686" s="41"/>
      <c r="BP686" s="41"/>
      <c r="BQ686" s="41"/>
      <c r="BR686" s="41"/>
      <c r="BS686" s="41"/>
      <c r="BT686" s="41"/>
      <c r="BU686" s="41"/>
      <c r="BV686" s="41"/>
      <c r="BW686" s="41"/>
      <c r="BX686" s="41"/>
      <c r="BY686" s="41"/>
      <c r="BZ686" s="41"/>
      <c r="CA686" s="41"/>
      <c r="CB686" s="41"/>
      <c r="CC686" s="41"/>
      <c r="CD686" s="41"/>
      <c r="CE686" s="41"/>
      <c r="CF686" s="41"/>
      <c r="CG686" s="41"/>
      <c r="CH686" s="41"/>
      <c r="CI686" s="41"/>
      <c r="CJ686" s="41"/>
      <c r="CK686" s="41"/>
      <c r="CL686" s="41"/>
      <c r="CM686" s="41"/>
      <c r="CN686" s="41"/>
      <c r="CO686" s="41"/>
      <c r="CP686" s="41"/>
      <c r="CQ686" s="41"/>
      <c r="CR686" s="41"/>
      <c r="CS686" s="41"/>
      <c r="CT686" s="41"/>
      <c r="CU686" s="41"/>
      <c r="CV686" s="211"/>
      <c r="CW686" s="41"/>
      <c r="CX686" s="41"/>
      <c r="CY686" s="41"/>
      <c r="CZ686" s="15"/>
      <c r="DA686" s="15"/>
      <c r="DB686" s="15"/>
      <c r="DC686" s="15"/>
      <c r="DD686" s="15"/>
      <c r="DE686" s="15"/>
      <c r="DF686" s="15"/>
    </row>
    <row r="687" spans="1:110" ht="12" hidden="1" outlineLevel="2">
      <c r="A687" s="1" t="s">
        <v>2286</v>
      </c>
      <c r="B687" s="15" t="s">
        <v>804</v>
      </c>
      <c r="C687" s="41"/>
      <c r="D687" s="41"/>
      <c r="E687" s="41"/>
      <c r="F687" s="41"/>
      <c r="G687" s="41"/>
      <c r="H687" s="41"/>
      <c r="I687" s="41"/>
      <c r="J687" s="41"/>
      <c r="K687" s="41"/>
      <c r="L687" s="41"/>
      <c r="M687" s="41"/>
      <c r="N687" s="41"/>
      <c r="O687" s="41"/>
      <c r="P687" s="41"/>
      <c r="Q687" s="41"/>
      <c r="R687" s="41"/>
      <c r="S687" s="41"/>
      <c r="T687" s="41"/>
      <c r="U687" s="41"/>
      <c r="V687" s="41"/>
      <c r="W687" s="41"/>
      <c r="X687" s="41"/>
      <c r="Y687" s="41"/>
      <c r="Z687" s="41"/>
      <c r="AA687" s="41"/>
      <c r="AB687" s="41"/>
      <c r="AC687" s="41"/>
      <c r="AD687" s="41"/>
      <c r="AE687" s="41"/>
      <c r="AF687" s="41"/>
      <c r="AG687" s="41"/>
      <c r="AH687" s="41"/>
      <c r="AI687" s="41"/>
      <c r="AJ687" s="41"/>
      <c r="AK687" s="41"/>
      <c r="AL687" s="41"/>
      <c r="AM687" s="41"/>
      <c r="AN687" s="41"/>
      <c r="AO687" s="41"/>
      <c r="AP687" s="41"/>
      <c r="AQ687" s="41"/>
      <c r="AR687" s="41"/>
      <c r="AS687" s="41"/>
      <c r="AT687" s="41"/>
      <c r="AU687" s="41"/>
      <c r="AV687" s="211"/>
      <c r="AW687" s="41"/>
      <c r="AX687" s="41"/>
      <c r="AY687" s="41"/>
      <c r="AZ687" s="41"/>
      <c r="BA687" s="41"/>
      <c r="BB687" s="41"/>
      <c r="BC687" s="41"/>
      <c r="BD687" s="41"/>
      <c r="BE687" s="41"/>
      <c r="BF687" s="41"/>
      <c r="BG687" s="41"/>
      <c r="BH687" s="41"/>
      <c r="BI687" s="41"/>
      <c r="BJ687" s="41"/>
      <c r="BK687" s="41"/>
      <c r="BL687" s="41"/>
      <c r="BM687" s="41"/>
      <c r="BN687" s="41"/>
      <c r="BO687" s="41"/>
      <c r="BP687" s="41"/>
      <c r="BQ687" s="41"/>
      <c r="BR687" s="41"/>
      <c r="BS687" s="41"/>
      <c r="BT687" s="41"/>
      <c r="BU687" s="41"/>
      <c r="BV687" s="41"/>
      <c r="BW687" s="41"/>
      <c r="BX687" s="41"/>
      <c r="BY687" s="41"/>
      <c r="BZ687" s="41"/>
      <c r="CA687" s="41"/>
      <c r="CB687" s="41"/>
      <c r="CC687" s="41"/>
      <c r="CD687" s="41"/>
      <c r="CE687" s="41"/>
      <c r="CF687" s="41"/>
      <c r="CG687" s="41"/>
      <c r="CH687" s="41"/>
      <c r="CI687" s="41"/>
      <c r="CJ687" s="41"/>
      <c r="CK687" s="41"/>
      <c r="CL687" s="41"/>
      <c r="CM687" s="41"/>
      <c r="CN687" s="41"/>
      <c r="CO687" s="41"/>
      <c r="CP687" s="41"/>
      <c r="CQ687" s="41"/>
      <c r="CR687" s="41"/>
      <c r="CS687" s="41"/>
      <c r="CT687" s="41"/>
      <c r="CU687" s="41"/>
      <c r="CV687" s="211"/>
      <c r="CW687" s="41"/>
      <c r="CX687" s="41"/>
      <c r="CY687" s="41"/>
      <c r="CZ687" s="15"/>
      <c r="DA687" s="15"/>
      <c r="DB687" s="15"/>
      <c r="DC687" s="15"/>
      <c r="DD687" s="15"/>
      <c r="DE687" s="15"/>
      <c r="DF687" s="15"/>
    </row>
    <row r="688" spans="1:110" ht="12" hidden="1" outlineLevel="2">
      <c r="A688" s="1" t="s">
        <v>2287</v>
      </c>
      <c r="B688" s="15" t="s">
        <v>804</v>
      </c>
      <c r="C688" s="41"/>
      <c r="D688" s="41"/>
      <c r="E688" s="41"/>
      <c r="F688" s="41"/>
      <c r="G688" s="41"/>
      <c r="H688" s="41"/>
      <c r="I688" s="41"/>
      <c r="J688" s="41"/>
      <c r="K688" s="41"/>
      <c r="L688" s="41"/>
      <c r="M688" s="41"/>
      <c r="N688" s="41"/>
      <c r="O688" s="41"/>
      <c r="P688" s="41"/>
      <c r="Q688" s="41"/>
      <c r="R688" s="41"/>
      <c r="S688" s="41"/>
      <c r="T688" s="41"/>
      <c r="U688" s="41"/>
      <c r="V688" s="41"/>
      <c r="W688" s="41"/>
      <c r="X688" s="41"/>
      <c r="Y688" s="41"/>
      <c r="Z688" s="41"/>
      <c r="AA688" s="41"/>
      <c r="AB688" s="41"/>
      <c r="AC688" s="41"/>
      <c r="AD688" s="41"/>
      <c r="AE688" s="41"/>
      <c r="AF688" s="41"/>
      <c r="AG688" s="41"/>
      <c r="AH688" s="41"/>
      <c r="AI688" s="41"/>
      <c r="AJ688" s="41"/>
      <c r="AK688" s="41"/>
      <c r="AL688" s="41"/>
      <c r="AM688" s="41"/>
      <c r="AN688" s="41"/>
      <c r="AO688" s="41"/>
      <c r="AP688" s="41"/>
      <c r="AQ688" s="41"/>
      <c r="AR688" s="41"/>
      <c r="AS688" s="41"/>
      <c r="AT688" s="41"/>
      <c r="AU688" s="41"/>
      <c r="AV688" s="211"/>
      <c r="AW688" s="41"/>
      <c r="AX688" s="41"/>
      <c r="AY688" s="41"/>
      <c r="AZ688" s="41"/>
      <c r="BA688" s="41"/>
      <c r="BB688" s="41"/>
      <c r="BC688" s="41"/>
      <c r="BD688" s="41"/>
      <c r="BE688" s="41"/>
      <c r="BF688" s="41"/>
      <c r="BG688" s="41"/>
      <c r="BH688" s="41"/>
      <c r="BI688" s="41"/>
      <c r="BJ688" s="41"/>
      <c r="BK688" s="41"/>
      <c r="BL688" s="41"/>
      <c r="BM688" s="41"/>
      <c r="BN688" s="41"/>
      <c r="BO688" s="41"/>
      <c r="BP688" s="41"/>
      <c r="BQ688" s="41"/>
      <c r="BR688" s="41"/>
      <c r="BS688" s="41"/>
      <c r="BT688" s="41"/>
      <c r="BU688" s="41"/>
      <c r="BV688" s="41"/>
      <c r="BW688" s="41"/>
      <c r="BX688" s="41"/>
      <c r="BY688" s="41"/>
      <c r="BZ688" s="41"/>
      <c r="CA688" s="41"/>
      <c r="CB688" s="41"/>
      <c r="CC688" s="41"/>
      <c r="CD688" s="41"/>
      <c r="CE688" s="41"/>
      <c r="CF688" s="41"/>
      <c r="CG688" s="41"/>
      <c r="CH688" s="41"/>
      <c r="CI688" s="41"/>
      <c r="CJ688" s="41"/>
      <c r="CK688" s="41"/>
      <c r="CL688" s="41"/>
      <c r="CM688" s="41"/>
      <c r="CN688" s="41"/>
      <c r="CO688" s="41"/>
      <c r="CP688" s="41"/>
      <c r="CQ688" s="41"/>
      <c r="CR688" s="41"/>
      <c r="CS688" s="41"/>
      <c r="CT688" s="41"/>
      <c r="CU688" s="41"/>
      <c r="CV688" s="211"/>
      <c r="CW688" s="41"/>
      <c r="CX688" s="41"/>
      <c r="CY688" s="41"/>
      <c r="CZ688" s="15"/>
      <c r="DA688" s="15"/>
      <c r="DB688" s="15"/>
      <c r="DC688" s="15"/>
      <c r="DD688" s="15"/>
      <c r="DE688" s="15"/>
      <c r="DF688" s="15"/>
    </row>
    <row r="689" spans="1:110" ht="12" hidden="1" outlineLevel="2">
      <c r="A689" s="1" t="s">
        <v>2288</v>
      </c>
      <c r="B689" s="15" t="s">
        <v>804</v>
      </c>
      <c r="C689" s="41"/>
      <c r="D689" s="41"/>
      <c r="E689" s="41"/>
      <c r="F689" s="41"/>
      <c r="G689" s="41"/>
      <c r="H689" s="41"/>
      <c r="I689" s="41"/>
      <c r="J689" s="41"/>
      <c r="K689" s="41"/>
      <c r="L689" s="41"/>
      <c r="M689" s="41"/>
      <c r="N689" s="41"/>
      <c r="O689" s="41"/>
      <c r="P689" s="41"/>
      <c r="Q689" s="41"/>
      <c r="R689" s="41"/>
      <c r="S689" s="41"/>
      <c r="T689" s="41"/>
      <c r="U689" s="41"/>
      <c r="V689" s="41"/>
      <c r="W689" s="41"/>
      <c r="X689" s="41"/>
      <c r="Y689" s="41"/>
      <c r="Z689" s="41"/>
      <c r="AA689" s="41"/>
      <c r="AB689" s="41"/>
      <c r="AC689" s="41"/>
      <c r="AD689" s="41"/>
      <c r="AE689" s="41"/>
      <c r="AF689" s="41"/>
      <c r="AG689" s="41"/>
      <c r="AH689" s="41"/>
      <c r="AI689" s="41"/>
      <c r="AJ689" s="41"/>
      <c r="AK689" s="41"/>
      <c r="AL689" s="41"/>
      <c r="AM689" s="41"/>
      <c r="AN689" s="41"/>
      <c r="AO689" s="41"/>
      <c r="AP689" s="41"/>
      <c r="AQ689" s="41"/>
      <c r="AR689" s="41"/>
      <c r="AS689" s="41"/>
      <c r="AT689" s="41"/>
      <c r="AU689" s="41"/>
      <c r="AV689" s="211"/>
      <c r="AW689" s="41"/>
      <c r="AX689" s="41"/>
      <c r="AY689" s="41"/>
      <c r="AZ689" s="41"/>
      <c r="BA689" s="41"/>
      <c r="BB689" s="41"/>
      <c r="BC689" s="41"/>
      <c r="BD689" s="41"/>
      <c r="BE689" s="41"/>
      <c r="BF689" s="41"/>
      <c r="BG689" s="41"/>
      <c r="BH689" s="41"/>
      <c r="BI689" s="41"/>
      <c r="BJ689" s="41"/>
      <c r="BK689" s="41"/>
      <c r="BL689" s="41"/>
      <c r="BM689" s="41"/>
      <c r="BN689" s="41"/>
      <c r="BO689" s="41"/>
      <c r="BP689" s="41"/>
      <c r="BQ689" s="41"/>
      <c r="BR689" s="41"/>
      <c r="BS689" s="41"/>
      <c r="BT689" s="41"/>
      <c r="BU689" s="41"/>
      <c r="BV689" s="41"/>
      <c r="BW689" s="41"/>
      <c r="BX689" s="41"/>
      <c r="BY689" s="41"/>
      <c r="BZ689" s="41"/>
      <c r="CA689" s="41"/>
      <c r="CB689" s="41"/>
      <c r="CC689" s="41"/>
      <c r="CD689" s="41"/>
      <c r="CE689" s="41"/>
      <c r="CF689" s="41"/>
      <c r="CG689" s="41"/>
      <c r="CH689" s="41"/>
      <c r="CI689" s="41"/>
      <c r="CJ689" s="41"/>
      <c r="CK689" s="41"/>
      <c r="CL689" s="41"/>
      <c r="CM689" s="41"/>
      <c r="CN689" s="41"/>
      <c r="CO689" s="41"/>
      <c r="CP689" s="41"/>
      <c r="CQ689" s="41"/>
      <c r="CR689" s="41"/>
      <c r="CS689" s="41"/>
      <c r="CT689" s="41"/>
      <c r="CU689" s="41"/>
      <c r="CV689" s="211"/>
      <c r="CW689" s="41"/>
      <c r="CX689" s="41"/>
      <c r="CY689" s="41"/>
      <c r="CZ689" s="15"/>
      <c r="DA689" s="15"/>
      <c r="DB689" s="15"/>
      <c r="DC689" s="15"/>
      <c r="DD689" s="15"/>
      <c r="DE689" s="15"/>
      <c r="DF689" s="15"/>
    </row>
    <row r="690" spans="1:110" ht="12" hidden="1" outlineLevel="2">
      <c r="A690" s="1" t="s">
        <v>2289</v>
      </c>
      <c r="B690" s="15" t="s">
        <v>804</v>
      </c>
      <c r="C690" s="41"/>
      <c r="D690" s="41"/>
      <c r="E690" s="41"/>
      <c r="F690" s="41"/>
      <c r="G690" s="41"/>
      <c r="H690" s="41"/>
      <c r="I690" s="41"/>
      <c r="J690" s="41"/>
      <c r="K690" s="41"/>
      <c r="L690" s="41"/>
      <c r="M690" s="41"/>
      <c r="N690" s="41"/>
      <c r="O690" s="41"/>
      <c r="P690" s="41"/>
      <c r="Q690" s="41"/>
      <c r="R690" s="41"/>
      <c r="S690" s="41"/>
      <c r="T690" s="41"/>
      <c r="U690" s="41"/>
      <c r="V690" s="41"/>
      <c r="W690" s="41"/>
      <c r="X690" s="41"/>
      <c r="Y690" s="41"/>
      <c r="Z690" s="41"/>
      <c r="AA690" s="41"/>
      <c r="AB690" s="41"/>
      <c r="AC690" s="41"/>
      <c r="AD690" s="41"/>
      <c r="AE690" s="41"/>
      <c r="AF690" s="41"/>
      <c r="AG690" s="41"/>
      <c r="AH690" s="41"/>
      <c r="AI690" s="41"/>
      <c r="AJ690" s="41"/>
      <c r="AK690" s="41"/>
      <c r="AL690" s="41"/>
      <c r="AM690" s="41"/>
      <c r="AN690" s="41"/>
      <c r="AO690" s="41"/>
      <c r="AP690" s="41"/>
      <c r="AQ690" s="41"/>
      <c r="AR690" s="41"/>
      <c r="AS690" s="41"/>
      <c r="AT690" s="41"/>
      <c r="AU690" s="41"/>
      <c r="AV690" s="211"/>
      <c r="AW690" s="41"/>
      <c r="AX690" s="41"/>
      <c r="AY690" s="41"/>
      <c r="AZ690" s="41"/>
      <c r="BA690" s="41"/>
      <c r="BB690" s="41"/>
      <c r="BC690" s="41"/>
      <c r="BD690" s="41"/>
      <c r="BE690" s="41"/>
      <c r="BF690" s="41"/>
      <c r="BG690" s="41"/>
      <c r="BH690" s="41"/>
      <c r="BI690" s="41"/>
      <c r="BJ690" s="41"/>
      <c r="BK690" s="41"/>
      <c r="BL690" s="41"/>
      <c r="BM690" s="41"/>
      <c r="BN690" s="41"/>
      <c r="BO690" s="41"/>
      <c r="BP690" s="41"/>
      <c r="BQ690" s="41"/>
      <c r="BR690" s="41"/>
      <c r="BS690" s="41"/>
      <c r="BT690" s="41"/>
      <c r="BU690" s="41"/>
      <c r="BV690" s="41"/>
      <c r="BW690" s="41"/>
      <c r="BX690" s="41"/>
      <c r="BY690" s="41"/>
      <c r="BZ690" s="41"/>
      <c r="CA690" s="41"/>
      <c r="CB690" s="41"/>
      <c r="CC690" s="41"/>
      <c r="CD690" s="41"/>
      <c r="CE690" s="41"/>
      <c r="CF690" s="41"/>
      <c r="CG690" s="41"/>
      <c r="CH690" s="41"/>
      <c r="CI690" s="41"/>
      <c r="CJ690" s="41"/>
      <c r="CK690" s="41"/>
      <c r="CL690" s="41"/>
      <c r="CM690" s="41"/>
      <c r="CN690" s="41"/>
      <c r="CO690" s="41"/>
      <c r="CP690" s="41"/>
      <c r="CQ690" s="41"/>
      <c r="CR690" s="41"/>
      <c r="CS690" s="41"/>
      <c r="CT690" s="41"/>
      <c r="CU690" s="41"/>
      <c r="CV690" s="211"/>
      <c r="CW690" s="41"/>
      <c r="CX690" s="41"/>
      <c r="CY690" s="41"/>
      <c r="CZ690" s="15"/>
      <c r="DA690" s="15"/>
      <c r="DB690" s="15"/>
      <c r="DC690" s="15"/>
      <c r="DD690" s="15"/>
      <c r="DE690" s="15"/>
      <c r="DF690" s="15"/>
    </row>
    <row r="691" spans="1:110" ht="12" hidden="1" outlineLevel="2">
      <c r="A691" s="1" t="s">
        <v>49</v>
      </c>
      <c r="B691" s="15" t="s">
        <v>804</v>
      </c>
      <c r="C691" s="41"/>
      <c r="D691" s="41"/>
      <c r="E691" s="41"/>
      <c r="F691" s="41"/>
      <c r="G691" s="41"/>
      <c r="H691" s="41"/>
      <c r="I691" s="41"/>
      <c r="J691" s="41"/>
      <c r="K691" s="41"/>
      <c r="L691" s="41"/>
      <c r="M691" s="41"/>
      <c r="N691" s="41"/>
      <c r="O691" s="41"/>
      <c r="P691" s="41"/>
      <c r="Q691" s="41"/>
      <c r="R691" s="41"/>
      <c r="S691" s="41"/>
      <c r="T691" s="41"/>
      <c r="U691" s="41"/>
      <c r="V691" s="41"/>
      <c r="W691" s="41"/>
      <c r="X691" s="41"/>
      <c r="Y691" s="41"/>
      <c r="Z691" s="41"/>
      <c r="AA691" s="41"/>
      <c r="AB691" s="41"/>
      <c r="AC691" s="41"/>
      <c r="AD691" s="41"/>
      <c r="AE691" s="41"/>
      <c r="AF691" s="41"/>
      <c r="AG691" s="41"/>
      <c r="AH691" s="41"/>
      <c r="AI691" s="41"/>
      <c r="AJ691" s="41"/>
      <c r="AK691" s="41"/>
      <c r="AL691" s="41"/>
      <c r="AM691" s="41"/>
      <c r="AN691" s="41"/>
      <c r="AO691" s="41"/>
      <c r="AP691" s="41"/>
      <c r="AQ691" s="41"/>
      <c r="AR691" s="41"/>
      <c r="AS691" s="41"/>
      <c r="AT691" s="41"/>
      <c r="AU691" s="41"/>
      <c r="AV691" s="211"/>
      <c r="AW691" s="41"/>
      <c r="AX691" s="41"/>
      <c r="AY691" s="41"/>
      <c r="AZ691" s="41"/>
      <c r="BA691" s="41"/>
      <c r="BB691" s="41"/>
      <c r="BC691" s="41"/>
      <c r="BD691" s="41"/>
      <c r="BE691" s="41"/>
      <c r="BF691" s="41"/>
      <c r="BG691" s="41"/>
      <c r="BH691" s="41"/>
      <c r="BI691" s="41"/>
      <c r="BJ691" s="41"/>
      <c r="BK691" s="41"/>
      <c r="BL691" s="41"/>
      <c r="BM691" s="41"/>
      <c r="BN691" s="41"/>
      <c r="BO691" s="41"/>
      <c r="BP691" s="41"/>
      <c r="BQ691" s="41"/>
      <c r="BR691" s="41"/>
      <c r="BS691" s="41"/>
      <c r="BT691" s="41"/>
      <c r="BU691" s="41"/>
      <c r="BV691" s="41"/>
      <c r="BW691" s="41"/>
      <c r="BX691" s="41"/>
      <c r="BY691" s="41"/>
      <c r="BZ691" s="41"/>
      <c r="CA691" s="41"/>
      <c r="CB691" s="41"/>
      <c r="CC691" s="41"/>
      <c r="CD691" s="41"/>
      <c r="CE691" s="41"/>
      <c r="CF691" s="41"/>
      <c r="CG691" s="41"/>
      <c r="CH691" s="41"/>
      <c r="CI691" s="41"/>
      <c r="CJ691" s="41"/>
      <c r="CK691" s="41"/>
      <c r="CL691" s="41"/>
      <c r="CM691" s="41"/>
      <c r="CN691" s="41"/>
      <c r="CO691" s="41"/>
      <c r="CP691" s="41"/>
      <c r="CQ691" s="41"/>
      <c r="CR691" s="41"/>
      <c r="CS691" s="41"/>
      <c r="CT691" s="41"/>
      <c r="CU691" s="41"/>
      <c r="CV691" s="211"/>
      <c r="CW691" s="41"/>
      <c r="CX691" s="41"/>
      <c r="CY691" s="41"/>
      <c r="CZ691" s="15"/>
      <c r="DA691" s="15"/>
      <c r="DB691" s="15"/>
      <c r="DC691" s="15"/>
      <c r="DD691" s="15"/>
      <c r="DE691" s="15"/>
      <c r="DF691" s="15"/>
    </row>
    <row r="692" spans="1:110" ht="12" hidden="1" outlineLevel="2">
      <c r="A692" s="1" t="s">
        <v>50</v>
      </c>
      <c r="B692" s="15" t="s">
        <v>804</v>
      </c>
      <c r="C692" s="41"/>
      <c r="D692" s="41"/>
      <c r="E692" s="41"/>
      <c r="F692" s="41"/>
      <c r="G692" s="41"/>
      <c r="H692" s="41"/>
      <c r="I692" s="41"/>
      <c r="J692" s="41"/>
      <c r="K692" s="41"/>
      <c r="L692" s="41"/>
      <c r="M692" s="41"/>
      <c r="N692" s="41"/>
      <c r="O692" s="41"/>
      <c r="P692" s="41"/>
      <c r="Q692" s="41"/>
      <c r="R692" s="41"/>
      <c r="S692" s="41"/>
      <c r="T692" s="41"/>
      <c r="U692" s="41"/>
      <c r="V692" s="41"/>
      <c r="W692" s="41"/>
      <c r="X692" s="41"/>
      <c r="Y692" s="41"/>
      <c r="Z692" s="41"/>
      <c r="AA692" s="41"/>
      <c r="AB692" s="41"/>
      <c r="AC692" s="41"/>
      <c r="AD692" s="41"/>
      <c r="AE692" s="41"/>
      <c r="AF692" s="41"/>
      <c r="AG692" s="41"/>
      <c r="AH692" s="41"/>
      <c r="AI692" s="41"/>
      <c r="AJ692" s="41"/>
      <c r="AK692" s="41"/>
      <c r="AL692" s="41"/>
      <c r="AM692" s="41"/>
      <c r="AN692" s="41"/>
      <c r="AO692" s="41"/>
      <c r="AP692" s="41"/>
      <c r="AQ692" s="41"/>
      <c r="AR692" s="41"/>
      <c r="AS692" s="41"/>
      <c r="AT692" s="41"/>
      <c r="AU692" s="41"/>
      <c r="AV692" s="211"/>
      <c r="AW692" s="41"/>
      <c r="AX692" s="41"/>
      <c r="AY692" s="41"/>
      <c r="AZ692" s="41"/>
      <c r="BA692" s="41"/>
      <c r="BB692" s="41"/>
      <c r="BC692" s="41"/>
      <c r="BD692" s="41"/>
      <c r="BE692" s="41"/>
      <c r="BF692" s="41"/>
      <c r="BG692" s="41"/>
      <c r="BH692" s="41"/>
      <c r="BI692" s="41"/>
      <c r="BJ692" s="41"/>
      <c r="BK692" s="41"/>
      <c r="BL692" s="41"/>
      <c r="BM692" s="41"/>
      <c r="BN692" s="41"/>
      <c r="BO692" s="41"/>
      <c r="BP692" s="41"/>
      <c r="BQ692" s="41"/>
      <c r="BR692" s="41"/>
      <c r="BS692" s="41"/>
      <c r="BT692" s="41"/>
      <c r="BU692" s="41"/>
      <c r="BV692" s="41"/>
      <c r="BW692" s="41"/>
      <c r="BX692" s="41"/>
      <c r="BY692" s="41"/>
      <c r="BZ692" s="41"/>
      <c r="CA692" s="41"/>
      <c r="CB692" s="41"/>
      <c r="CC692" s="41"/>
      <c r="CD692" s="41"/>
      <c r="CE692" s="41"/>
      <c r="CF692" s="41"/>
      <c r="CG692" s="41"/>
      <c r="CH692" s="41"/>
      <c r="CI692" s="41"/>
      <c r="CJ692" s="41"/>
      <c r="CK692" s="41"/>
      <c r="CL692" s="41"/>
      <c r="CM692" s="41"/>
      <c r="CN692" s="41"/>
      <c r="CO692" s="41"/>
      <c r="CP692" s="41"/>
      <c r="CQ692" s="41"/>
      <c r="CR692" s="41"/>
      <c r="CS692" s="41"/>
      <c r="CT692" s="41"/>
      <c r="CU692" s="41"/>
      <c r="CV692" s="211"/>
      <c r="CW692" s="41"/>
      <c r="CX692" s="41"/>
      <c r="CY692" s="41"/>
      <c r="CZ692" s="15"/>
      <c r="DA692" s="15"/>
      <c r="DB692" s="15"/>
      <c r="DC692" s="15"/>
      <c r="DD692" s="15"/>
      <c r="DE692" s="15"/>
      <c r="DF692" s="15"/>
    </row>
    <row r="693" spans="1:110" ht="12" hidden="1" outlineLevel="2">
      <c r="A693" s="1" t="s">
        <v>1053</v>
      </c>
      <c r="B693" s="15" t="s">
        <v>804</v>
      </c>
      <c r="C693" s="41"/>
      <c r="D693" s="41"/>
      <c r="E693" s="41"/>
      <c r="F693" s="41"/>
      <c r="G693" s="41"/>
      <c r="H693" s="41"/>
      <c r="I693" s="41"/>
      <c r="J693" s="41"/>
      <c r="K693" s="41"/>
      <c r="L693" s="41"/>
      <c r="M693" s="41"/>
      <c r="N693" s="41"/>
      <c r="O693" s="41"/>
      <c r="P693" s="41"/>
      <c r="Q693" s="41"/>
      <c r="R693" s="41"/>
      <c r="S693" s="41"/>
      <c r="T693" s="41"/>
      <c r="U693" s="41"/>
      <c r="V693" s="41"/>
      <c r="W693" s="41"/>
      <c r="X693" s="41"/>
      <c r="Y693" s="41"/>
      <c r="Z693" s="41"/>
      <c r="AA693" s="41"/>
      <c r="AB693" s="41"/>
      <c r="AC693" s="41"/>
      <c r="AD693" s="41"/>
      <c r="AE693" s="41"/>
      <c r="AF693" s="41"/>
      <c r="AG693" s="41"/>
      <c r="AH693" s="41"/>
      <c r="AI693" s="41"/>
      <c r="AJ693" s="41"/>
      <c r="AK693" s="41"/>
      <c r="AL693" s="41"/>
      <c r="AM693" s="41"/>
      <c r="AN693" s="41"/>
      <c r="AO693" s="41"/>
      <c r="AP693" s="41"/>
      <c r="AQ693" s="41"/>
      <c r="AR693" s="41"/>
      <c r="AS693" s="41"/>
      <c r="AT693" s="41"/>
      <c r="AU693" s="41"/>
      <c r="AV693" s="211"/>
      <c r="AW693" s="41"/>
      <c r="AX693" s="41"/>
      <c r="AY693" s="41"/>
      <c r="AZ693" s="41"/>
      <c r="BA693" s="41"/>
      <c r="BB693" s="41"/>
      <c r="BC693" s="41"/>
      <c r="BD693" s="41"/>
      <c r="BE693" s="41"/>
      <c r="BF693" s="41"/>
      <c r="BG693" s="41"/>
      <c r="BH693" s="41"/>
      <c r="BI693" s="41"/>
      <c r="BJ693" s="41"/>
      <c r="BK693" s="41"/>
      <c r="BL693" s="41"/>
      <c r="BM693" s="41"/>
      <c r="BN693" s="41"/>
      <c r="BO693" s="41"/>
      <c r="BP693" s="41"/>
      <c r="BQ693" s="41"/>
      <c r="BR693" s="41"/>
      <c r="BS693" s="41"/>
      <c r="BT693" s="41"/>
      <c r="BU693" s="41"/>
      <c r="BV693" s="41"/>
      <c r="BW693" s="41"/>
      <c r="BX693" s="41"/>
      <c r="BY693" s="41"/>
      <c r="BZ693" s="41"/>
      <c r="CA693" s="41"/>
      <c r="CB693" s="41"/>
      <c r="CC693" s="41"/>
      <c r="CD693" s="41"/>
      <c r="CE693" s="41"/>
      <c r="CF693" s="41"/>
      <c r="CG693" s="41"/>
      <c r="CH693" s="41"/>
      <c r="CI693" s="41"/>
      <c r="CJ693" s="41"/>
      <c r="CK693" s="41"/>
      <c r="CL693" s="41"/>
      <c r="CM693" s="41"/>
      <c r="CN693" s="41"/>
      <c r="CO693" s="41"/>
      <c r="CP693" s="41"/>
      <c r="CQ693" s="41"/>
      <c r="CR693" s="41"/>
      <c r="CS693" s="41"/>
      <c r="CT693" s="41"/>
      <c r="CU693" s="41"/>
      <c r="CV693" s="211"/>
      <c r="CW693" s="41"/>
      <c r="CX693" s="41"/>
      <c r="CY693" s="41"/>
      <c r="CZ693" s="15"/>
      <c r="DA693" s="15"/>
      <c r="DB693" s="15"/>
      <c r="DC693" s="15"/>
      <c r="DD693" s="15"/>
      <c r="DE693" s="15"/>
      <c r="DF693" s="15"/>
    </row>
    <row r="694" spans="1:110" ht="12" outlineLevel="1" collapsed="1">
      <c r="C694" s="41"/>
      <c r="D694" s="41"/>
      <c r="E694" s="41"/>
      <c r="F694" s="41"/>
      <c r="G694" s="41"/>
      <c r="H694" s="41"/>
      <c r="I694" s="41"/>
      <c r="J694" s="41"/>
      <c r="K694" s="41"/>
      <c r="L694" s="41"/>
      <c r="M694" s="41"/>
      <c r="N694" s="41"/>
      <c r="O694" s="41"/>
      <c r="P694" s="41"/>
      <c r="Q694" s="41"/>
      <c r="R694" s="41"/>
      <c r="S694" s="41"/>
      <c r="T694" s="41"/>
      <c r="U694" s="41"/>
      <c r="V694" s="41"/>
      <c r="W694" s="41"/>
      <c r="X694" s="41"/>
      <c r="Y694" s="41"/>
      <c r="Z694" s="41"/>
      <c r="AA694" s="41"/>
      <c r="AB694" s="41"/>
      <c r="AC694" s="41"/>
      <c r="AD694" s="41"/>
      <c r="AE694" s="41"/>
      <c r="AF694" s="41"/>
      <c r="AG694" s="41"/>
      <c r="AH694" s="41"/>
      <c r="AI694" s="41"/>
      <c r="AJ694" s="41"/>
      <c r="AK694" s="41"/>
      <c r="AL694" s="41"/>
      <c r="AM694" s="41"/>
      <c r="AN694" s="41"/>
      <c r="AO694" s="41"/>
      <c r="AP694" s="41"/>
      <c r="AQ694" s="41"/>
      <c r="AR694" s="41"/>
      <c r="AS694" s="41"/>
      <c r="AT694" s="41"/>
      <c r="AU694" s="41"/>
      <c r="AV694" s="211"/>
      <c r="AW694" s="41"/>
      <c r="AX694" s="41"/>
      <c r="AY694" s="41"/>
      <c r="AZ694" s="41"/>
      <c r="BA694" s="41"/>
      <c r="BB694" s="41"/>
      <c r="BC694" s="41"/>
      <c r="BD694" s="41"/>
      <c r="BE694" s="41"/>
      <c r="BF694" s="41"/>
      <c r="BG694" s="41"/>
      <c r="BH694" s="41"/>
      <c r="BI694" s="41"/>
      <c r="BJ694" s="41"/>
      <c r="BK694" s="41"/>
      <c r="BL694" s="41"/>
      <c r="BM694" s="41"/>
      <c r="BN694" s="41"/>
      <c r="BO694" s="41"/>
      <c r="BP694" s="41"/>
      <c r="BQ694" s="41"/>
      <c r="BR694" s="41"/>
      <c r="BS694" s="41"/>
      <c r="BT694" s="41"/>
      <c r="BU694" s="41"/>
      <c r="BV694" s="41"/>
      <c r="BW694" s="41"/>
      <c r="BX694" s="41"/>
      <c r="BY694" s="41"/>
      <c r="BZ694" s="41"/>
      <c r="CA694" s="41"/>
      <c r="CB694" s="41"/>
      <c r="CC694" s="41"/>
      <c r="CD694" s="41"/>
      <c r="CE694" s="41"/>
      <c r="CF694" s="41"/>
      <c r="CG694" s="41"/>
      <c r="CH694" s="41"/>
      <c r="CI694" s="41"/>
      <c r="CJ694" s="41"/>
      <c r="CK694" s="41"/>
      <c r="CL694" s="41"/>
      <c r="CM694" s="41"/>
      <c r="CN694" s="41"/>
      <c r="CO694" s="41"/>
      <c r="CP694" s="41"/>
      <c r="CQ694" s="41"/>
      <c r="CR694" s="41"/>
      <c r="CS694" s="41"/>
      <c r="CT694" s="41"/>
      <c r="CU694" s="41"/>
      <c r="CV694" s="211"/>
      <c r="CW694" s="41"/>
      <c r="CX694" s="41"/>
      <c r="CY694" s="41"/>
      <c r="CZ694" s="15"/>
      <c r="DA694" s="15"/>
      <c r="DB694" s="15"/>
      <c r="DC694" s="15"/>
      <c r="DD694" s="15"/>
      <c r="DE694" s="15"/>
      <c r="DF694" s="15"/>
    </row>
    <row r="695" spans="1:110" s="17" customFormat="1" ht="12" outlineLevel="1">
      <c r="A695" s="1"/>
      <c r="B695" s="17" t="s">
        <v>358</v>
      </c>
      <c r="C695" s="62"/>
      <c r="D695" s="62"/>
      <c r="E695" s="62"/>
      <c r="F695" s="62"/>
      <c r="G695" s="62"/>
      <c r="H695" s="62"/>
      <c r="I695" s="62"/>
      <c r="J695" s="62"/>
      <c r="K695" s="62"/>
      <c r="L695" s="62"/>
      <c r="M695" s="62"/>
      <c r="N695" s="62"/>
      <c r="O695" s="62"/>
      <c r="P695" s="62"/>
      <c r="Q695" s="62"/>
      <c r="R695" s="62"/>
      <c r="S695" s="62"/>
      <c r="T695" s="62"/>
      <c r="U695" s="62"/>
      <c r="V695" s="62"/>
      <c r="W695" s="62"/>
      <c r="X695" s="62"/>
      <c r="Y695" s="62"/>
      <c r="Z695" s="62"/>
      <c r="AA695" s="62"/>
      <c r="AB695" s="62"/>
      <c r="AC695" s="62"/>
      <c r="AD695" s="62"/>
      <c r="AE695" s="62"/>
      <c r="AF695" s="62"/>
      <c r="AG695" s="62"/>
      <c r="AH695" s="62"/>
      <c r="AI695" s="62"/>
      <c r="AJ695" s="150"/>
      <c r="AK695" s="62"/>
      <c r="AL695" s="62"/>
      <c r="AM695" s="62"/>
      <c r="AN695" s="62"/>
      <c r="AO695" s="62"/>
      <c r="AP695" s="62"/>
      <c r="AQ695" s="62"/>
      <c r="AR695" s="62"/>
      <c r="AS695" s="62"/>
      <c r="AT695" s="62"/>
      <c r="AU695" s="62"/>
      <c r="AV695" s="220"/>
      <c r="AW695" s="62"/>
      <c r="AX695" s="62"/>
      <c r="AY695" s="62"/>
      <c r="AZ695" s="62"/>
      <c r="BA695" s="62"/>
      <c r="BB695" s="62"/>
      <c r="BC695" s="62"/>
      <c r="BD695" s="62"/>
      <c r="BE695" s="62"/>
      <c r="BF695" s="62"/>
      <c r="BG695" s="62"/>
      <c r="BH695" s="62"/>
      <c r="BI695" s="62"/>
      <c r="BJ695" s="62"/>
      <c r="BK695" s="62"/>
      <c r="BL695" s="62"/>
      <c r="BM695" s="62"/>
      <c r="BN695" s="62"/>
      <c r="BO695" s="62"/>
      <c r="BP695" s="62"/>
      <c r="BQ695" s="62"/>
      <c r="BR695" s="62"/>
      <c r="BS695" s="62"/>
      <c r="BT695" s="62"/>
      <c r="BU695" s="62"/>
      <c r="BV695" s="62"/>
      <c r="BW695" s="62"/>
      <c r="BX695" s="62"/>
      <c r="BY695" s="62"/>
      <c r="BZ695" s="62"/>
      <c r="CA695" s="62"/>
      <c r="CB695" s="62"/>
      <c r="CC695" s="62"/>
      <c r="CD695" s="62"/>
      <c r="CE695" s="62"/>
      <c r="CF695" s="62"/>
      <c r="CG695" s="62"/>
      <c r="CH695" s="62"/>
      <c r="CI695" s="62"/>
      <c r="CJ695" s="62"/>
      <c r="CK695" s="62"/>
      <c r="CL695" s="62"/>
      <c r="CM695" s="62"/>
      <c r="CN695" s="62"/>
      <c r="CO695" s="62"/>
      <c r="CP695" s="62"/>
      <c r="CQ695" s="62"/>
      <c r="CR695" s="62"/>
      <c r="CS695" s="62"/>
      <c r="CT695" s="62"/>
      <c r="CU695" s="62"/>
      <c r="CV695" s="220"/>
      <c r="CW695" s="62"/>
      <c r="CX695" s="62"/>
      <c r="CY695" s="62"/>
    </row>
    <row r="696" spans="1:110" ht="12" outlineLevel="1">
      <c r="A696" s="1" t="s">
        <v>1054</v>
      </c>
      <c r="B696" s="15" t="s">
        <v>359</v>
      </c>
      <c r="C696" s="41">
        <v>34450</v>
      </c>
      <c r="D696" s="41">
        <v>34374</v>
      </c>
      <c r="E696" s="41">
        <v>30053</v>
      </c>
      <c r="F696" s="41">
        <v>28211</v>
      </c>
      <c r="G696" s="41">
        <v>28957</v>
      </c>
      <c r="H696" s="41">
        <v>30814</v>
      </c>
      <c r="I696" s="41">
        <v>30840</v>
      </c>
      <c r="J696" s="41">
        <v>29718</v>
      </c>
      <c r="K696" s="41">
        <v>32898</v>
      </c>
      <c r="L696" s="41">
        <v>21080</v>
      </c>
      <c r="M696" s="41">
        <v>26374</v>
      </c>
      <c r="N696" s="41">
        <v>25488</v>
      </c>
      <c r="O696" s="41">
        <v>34431</v>
      </c>
      <c r="P696" s="41">
        <v>47131</v>
      </c>
      <c r="Q696" s="41">
        <v>42625</v>
      </c>
      <c r="R696" s="41">
        <v>90088</v>
      </c>
      <c r="S696" s="41">
        <v>66374</v>
      </c>
      <c r="T696" s="41">
        <v>77375</v>
      </c>
      <c r="U696" s="41">
        <v>94762</v>
      </c>
      <c r="V696" s="41">
        <v>93406</v>
      </c>
      <c r="W696" s="41">
        <v>99321</v>
      </c>
      <c r="X696" s="41">
        <v>103518</v>
      </c>
      <c r="Y696" s="41">
        <v>104098</v>
      </c>
      <c r="Z696" s="41">
        <v>98235</v>
      </c>
      <c r="AA696" s="41">
        <v>105251.93708383069</v>
      </c>
      <c r="AB696" s="41">
        <v>111680.45028979045</v>
      </c>
      <c r="AC696" s="41">
        <v>116822.09530906187</v>
      </c>
      <c r="AD696" s="41">
        <v>124007.50669646067</v>
      </c>
      <c r="AE696" s="41">
        <v>129223.49939057713</v>
      </c>
      <c r="AF696" s="41">
        <v>129162.74974652323</v>
      </c>
      <c r="AG696" s="41">
        <v>128964.96020774309</v>
      </c>
      <c r="AH696" s="41">
        <v>131372.16485337898</v>
      </c>
      <c r="AI696" s="41">
        <v>132814.43910625172</v>
      </c>
      <c r="AJ696" s="41">
        <v>135130.16609020179</v>
      </c>
      <c r="AK696" s="41">
        <v>138541.15264514694</v>
      </c>
      <c r="AL696" s="41">
        <v>143314.06145283539</v>
      </c>
      <c r="AM696" s="41">
        <v>143897.54059223682</v>
      </c>
      <c r="AN696" s="41">
        <v>151282.68409424307</v>
      </c>
      <c r="AO696" s="41">
        <v>153482.91611536974</v>
      </c>
      <c r="AP696" s="41">
        <v>151436.85397581011</v>
      </c>
      <c r="AQ696" s="41">
        <v>153609.18354414459</v>
      </c>
      <c r="AR696" s="41">
        <v>158881.15774164791</v>
      </c>
      <c r="AS696" s="41">
        <v>162530.02153653666</v>
      </c>
      <c r="AT696" s="41">
        <v>171824.71707678374</v>
      </c>
      <c r="AU696" s="41">
        <v>172566.95764061672</v>
      </c>
      <c r="AV696" s="211">
        <v>179356.43675485026</v>
      </c>
      <c r="AW696" s="41">
        <v>181570.20173670645</v>
      </c>
      <c r="AX696" s="41">
        <v>194932.2611844184</v>
      </c>
      <c r="AY696" s="41">
        <v>198074.46759356814</v>
      </c>
      <c r="AZ696" s="41">
        <v>200736.93323024476</v>
      </c>
      <c r="BA696" s="41">
        <v>203188.75547199039</v>
      </c>
      <c r="BB696" s="41">
        <v>206028.17838239341</v>
      </c>
      <c r="BC696" s="41">
        <v>209457.62034266038</v>
      </c>
      <c r="BD696" s="41">
        <v>213214.86689098855</v>
      </c>
      <c r="BE696" s="41">
        <v>217053.10091081806</v>
      </c>
      <c r="BF696" s="41">
        <v>220974.11553933451</v>
      </c>
      <c r="BG696" s="41">
        <v>224979.75112343495</v>
      </c>
      <c r="BH696" s="41">
        <v>229071.8964539291</v>
      </c>
      <c r="BI696" s="41">
        <v>233252.49004164521</v>
      </c>
      <c r="BJ696" s="41">
        <v>237711.79291746407</v>
      </c>
      <c r="BK696" s="41">
        <v>242649.59297667164</v>
      </c>
      <c r="BL696" s="41">
        <v>247892.7574317226</v>
      </c>
      <c r="BM696" s="41">
        <v>253259.24237152841</v>
      </c>
      <c r="BN696" s="41">
        <v>257253.58293153052</v>
      </c>
      <c r="BO696" s="41">
        <v>259826.11876084586</v>
      </c>
      <c r="BP696" s="41"/>
      <c r="BQ696" s="41">
        <v>20603.099999999991</v>
      </c>
      <c r="BR696" s="41">
        <v>19831.199999999997</v>
      </c>
      <c r="BS696" s="41">
        <v>20404</v>
      </c>
      <c r="BT696" s="41">
        <v>20916</v>
      </c>
      <c r="BU696" s="41">
        <v>21091</v>
      </c>
      <c r="BV696" s="41">
        <v>24411</v>
      </c>
      <c r="BW696" s="41">
        <v>33569</v>
      </c>
      <c r="BX696" s="41">
        <v>31610</v>
      </c>
      <c r="BY696" s="41">
        <v>32473</v>
      </c>
      <c r="BZ696" s="41">
        <v>34827</v>
      </c>
      <c r="CA696" s="41">
        <v>32219.419178082193</v>
      </c>
      <c r="CB696" s="41">
        <v>28582.978082191785</v>
      </c>
      <c r="CC696" s="41">
        <v>30827</v>
      </c>
      <c r="CD696" s="41">
        <v>31303.64383561644</v>
      </c>
      <c r="CE696" s="41">
        <v>23719.747945205483</v>
      </c>
      <c r="CF696" s="41">
        <v>29947.249315068493</v>
      </c>
      <c r="CG696" s="41">
        <v>44878</v>
      </c>
      <c r="CH696" s="41">
        <v>78263.484931506842</v>
      </c>
      <c r="CI696" s="41">
        <v>86044.682191780827</v>
      </c>
      <c r="CJ696" s="41">
        <v>96355.397260273981</v>
      </c>
      <c r="CK696" s="41">
        <v>103808</v>
      </c>
      <c r="CL696" s="41">
        <v>101733.85629933476</v>
      </c>
      <c r="CM696" s="41">
        <v>114244.22945008469</v>
      </c>
      <c r="CN696" s="41">
        <v>126608.35784804751</v>
      </c>
      <c r="CO696" s="41">
        <v>129063.85497713316</v>
      </c>
      <c r="CP696" s="41">
        <v>132094.29119398058</v>
      </c>
      <c r="CQ696" s="41">
        <v>136830.98678335251</v>
      </c>
      <c r="CR696" s="41">
        <v>143605.00173604378</v>
      </c>
      <c r="CS696" s="41">
        <v>152382.8001048064</v>
      </c>
      <c r="CT696" s="41">
        <v>152520.04296604812</v>
      </c>
      <c r="CU696" s="41">
        <v>160700.59119553765</v>
      </c>
      <c r="CV696" s="211">
        <v>172194.82059080459</v>
      </c>
      <c r="CW696" s="41">
        <v>180463.31924577837</v>
      </c>
      <c r="CX696" s="41">
        <v>196499.05999665198</v>
      </c>
      <c r="CY696" s="41">
        <v>201959.48569051246</v>
      </c>
      <c r="CZ696" s="41">
        <v>207738.20149682791</v>
      </c>
      <c r="DA696" s="41">
        <v>215133.98390090332</v>
      </c>
      <c r="DB696" s="41">
        <v>222971.44615935173</v>
      </c>
      <c r="DC696" s="41">
        <v>231156.46640725606</v>
      </c>
      <c r="DD696" s="41">
        <v>240173.92883739772</v>
      </c>
      <c r="DE696" s="41">
        <v>250575.9999016255</v>
      </c>
      <c r="DF696" s="41">
        <v>258536.32682450421</v>
      </c>
    </row>
    <row r="697" spans="1:110" ht="12" outlineLevel="1">
      <c r="A697" s="1" t="s">
        <v>1055</v>
      </c>
      <c r="B697" s="15" t="s">
        <v>496</v>
      </c>
      <c r="C697" s="40">
        <v>175952</v>
      </c>
      <c r="D697" s="40">
        <v>178322</v>
      </c>
      <c r="E697" s="40">
        <v>177933</v>
      </c>
      <c r="F697" s="40">
        <v>187363</v>
      </c>
      <c r="G697" s="40">
        <v>194098</v>
      </c>
      <c r="H697" s="40">
        <v>229900</v>
      </c>
      <c r="I697" s="40">
        <v>256060</v>
      </c>
      <c r="J697" s="40">
        <v>274624</v>
      </c>
      <c r="K697" s="40">
        <v>294312</v>
      </c>
      <c r="L697" s="40">
        <v>315444</v>
      </c>
      <c r="M697" s="40">
        <v>332336</v>
      </c>
      <c r="N697" s="40">
        <v>349155</v>
      </c>
      <c r="O697" s="40">
        <v>377436</v>
      </c>
      <c r="P697" s="40">
        <v>425945</v>
      </c>
      <c r="Q697" s="40">
        <v>445361</v>
      </c>
      <c r="R697" s="40">
        <v>525191</v>
      </c>
      <c r="S697" s="40">
        <v>486241</v>
      </c>
      <c r="T697" s="40">
        <v>506011</v>
      </c>
      <c r="U697" s="40">
        <v>544623</v>
      </c>
      <c r="V697" s="40">
        <v>551435</v>
      </c>
      <c r="W697" s="40">
        <v>576135</v>
      </c>
      <c r="X697" s="40">
        <v>612280</v>
      </c>
      <c r="Y697" s="40">
        <v>642259</v>
      </c>
      <c r="Z697" s="141">
        <v>654499</v>
      </c>
      <c r="AA697" s="141">
        <v>695993</v>
      </c>
      <c r="AB697" s="141">
        <v>734543</v>
      </c>
      <c r="AC697" s="141">
        <v>764048</v>
      </c>
      <c r="AD697" s="141">
        <v>830353</v>
      </c>
      <c r="AE697" s="141">
        <v>871605</v>
      </c>
      <c r="AF697" s="141">
        <v>900748</v>
      </c>
      <c r="AG697" s="141">
        <v>915070</v>
      </c>
      <c r="AH697" s="141">
        <v>917894</v>
      </c>
      <c r="AI697" s="141">
        <v>920269</v>
      </c>
      <c r="AJ697" s="141">
        <v>891732</v>
      </c>
      <c r="AK697" s="141">
        <v>911318</v>
      </c>
      <c r="AL697" s="141">
        <v>931627</v>
      </c>
      <c r="AM697" s="141">
        <v>978818</v>
      </c>
      <c r="AN697" s="141">
        <v>1021973</v>
      </c>
      <c r="AO697" s="141">
        <v>1081954</v>
      </c>
      <c r="AP697" s="141">
        <v>1045568</v>
      </c>
      <c r="AQ697" s="141">
        <v>1026783</v>
      </c>
      <c r="AR697" s="141">
        <v>1009776</v>
      </c>
      <c r="AS697" s="141">
        <v>1062020</v>
      </c>
      <c r="AT697" s="141">
        <v>1112316</v>
      </c>
      <c r="AU697" s="141">
        <v>1115330</v>
      </c>
      <c r="AV697" s="226">
        <v>1162996</v>
      </c>
      <c r="AW697" s="41">
        <v>1209726.8332719766</v>
      </c>
      <c r="AX697" s="41">
        <v>1298752.6850200095</v>
      </c>
      <c r="AY697" s="41">
        <v>1319687.9011098156</v>
      </c>
      <c r="AZ697" s="41">
        <v>1337426.8037080667</v>
      </c>
      <c r="BA697" s="41">
        <v>1353762.2768632586</v>
      </c>
      <c r="BB697" s="41">
        <v>1372680.1722715739</v>
      </c>
      <c r="BC697" s="41">
        <v>1395529.1195261448</v>
      </c>
      <c r="BD697" s="41">
        <v>1420562.0925870114</v>
      </c>
      <c r="BE697" s="41">
        <v>1446134.6515297955</v>
      </c>
      <c r="BF697" s="41">
        <v>1472258.7432827288</v>
      </c>
      <c r="BG697" s="41">
        <v>1498946.6293127402</v>
      </c>
      <c r="BH697" s="41">
        <v>1526210.8938484259</v>
      </c>
      <c r="BI697" s="41">
        <v>1554064.4523822134</v>
      </c>
      <c r="BJ697" s="41">
        <v>1583774.9351319519</v>
      </c>
      <c r="BK697" s="41">
        <v>1616673.4458557395</v>
      </c>
      <c r="BL697" s="41">
        <v>1651606.472706316</v>
      </c>
      <c r="BM697" s="41">
        <v>1687361.1327217685</v>
      </c>
      <c r="BN697" s="41">
        <v>1713973.7646979564</v>
      </c>
      <c r="BO697" s="41">
        <v>1731113.5023449364</v>
      </c>
      <c r="BP697" s="41"/>
      <c r="BQ697" s="40">
        <v>102214.9</v>
      </c>
      <c r="BR697" s="40">
        <v>102426.2</v>
      </c>
      <c r="BS697" s="40">
        <v>103861</v>
      </c>
      <c r="BT697" s="40">
        <v>111828</v>
      </c>
      <c r="BU697" s="40">
        <v>120822</v>
      </c>
      <c r="BV697" s="40">
        <v>137653</v>
      </c>
      <c r="BW697" s="40">
        <v>153297</v>
      </c>
      <c r="BX697" s="40">
        <v>151801</v>
      </c>
      <c r="BY697" s="40">
        <v>165631</v>
      </c>
      <c r="BZ697" s="40">
        <v>174128</v>
      </c>
      <c r="CA697" s="41">
        <v>178128.03287671236</v>
      </c>
      <c r="CB697" s="41">
        <v>190721.27397260276</v>
      </c>
      <c r="CC697" s="41">
        <v>242980</v>
      </c>
      <c r="CD697" s="41">
        <v>284441.03013698634</v>
      </c>
      <c r="CE697" s="141">
        <v>323913</v>
      </c>
      <c r="CF697" s="141">
        <v>363333</v>
      </c>
      <c r="CG697" s="141">
        <v>435652</v>
      </c>
      <c r="CH697" s="141">
        <v>505663</v>
      </c>
      <c r="CI697" s="141">
        <v>525334</v>
      </c>
      <c r="CJ697" s="141">
        <v>572303</v>
      </c>
      <c r="CK697" s="141">
        <v>627270</v>
      </c>
      <c r="CL697" s="141">
        <v>675266</v>
      </c>
      <c r="CM697" s="141">
        <v>749334</v>
      </c>
      <c r="CN697" s="141">
        <v>851036</v>
      </c>
      <c r="CO697" s="141">
        <v>907909</v>
      </c>
      <c r="CP697" s="141">
        <v>919084</v>
      </c>
      <c r="CQ697" s="141">
        <v>901811</v>
      </c>
      <c r="CR697" s="141">
        <v>955037</v>
      </c>
      <c r="CS697" s="141">
        <v>1051963</v>
      </c>
      <c r="CT697" s="141">
        <v>1036149</v>
      </c>
      <c r="CU697" s="141">
        <v>1035969</v>
      </c>
      <c r="CV697" s="226">
        <v>1113828</v>
      </c>
      <c r="CW697" s="41">
        <v>1186361.4166359883</v>
      </c>
      <c r="CX697" s="41">
        <v>1309191.6146867075</v>
      </c>
      <c r="CY697" s="41">
        <v>1345572.1629251761</v>
      </c>
      <c r="CZ697" s="41">
        <v>1384073.3459711135</v>
      </c>
      <c r="DA697" s="41">
        <v>1433348.3720584034</v>
      </c>
      <c r="DB697" s="41">
        <v>1485566.1275497482</v>
      </c>
      <c r="DC697" s="41">
        <v>1540099.5175556843</v>
      </c>
      <c r="DD697" s="41">
        <v>1600179.1240407994</v>
      </c>
      <c r="DE697" s="41">
        <v>1669483.8027140424</v>
      </c>
      <c r="DF697" s="41">
        <v>1722520.1544287794</v>
      </c>
    </row>
    <row r="698" spans="1:110" ht="12" outlineLevel="1">
      <c r="A698" s="1" t="s">
        <v>944</v>
      </c>
      <c r="B698" s="15" t="s">
        <v>267</v>
      </c>
      <c r="C698" s="41">
        <v>175815</v>
      </c>
      <c r="D698" s="41">
        <v>178159.5</v>
      </c>
      <c r="E698" s="41">
        <v>177749</v>
      </c>
      <c r="F698" s="41">
        <v>187187.5</v>
      </c>
      <c r="G698" s="41">
        <v>193932.5</v>
      </c>
      <c r="H698" s="41">
        <v>228219</v>
      </c>
      <c r="I698" s="41">
        <v>252824.5</v>
      </c>
      <c r="J698" s="41">
        <v>271386</v>
      </c>
      <c r="K698" s="41">
        <v>291174.5</v>
      </c>
      <c r="L698" s="41">
        <v>312469</v>
      </c>
      <c r="M698" s="41">
        <v>329425</v>
      </c>
      <c r="N698" s="41">
        <v>346200.5</v>
      </c>
      <c r="O698" s="41">
        <v>374344</v>
      </c>
      <c r="P698" s="41">
        <v>422734</v>
      </c>
      <c r="Q698" s="41">
        <v>442199.5</v>
      </c>
      <c r="R698" s="41">
        <v>522086.5</v>
      </c>
      <c r="S698" s="41">
        <v>483171</v>
      </c>
      <c r="T698" s="41">
        <v>501840</v>
      </c>
      <c r="U698" s="41">
        <v>539269</v>
      </c>
      <c r="V698" s="41">
        <v>546087</v>
      </c>
      <c r="W698" s="41">
        <v>570797.5</v>
      </c>
      <c r="X698" s="41">
        <v>606920.5</v>
      </c>
      <c r="Y698" s="41">
        <v>636935.5</v>
      </c>
      <c r="Z698" s="41">
        <v>649196.5</v>
      </c>
      <c r="AA698" s="41">
        <v>690590.5</v>
      </c>
      <c r="AB698" s="41">
        <v>728964.5</v>
      </c>
      <c r="AC698" s="41">
        <v>758521</v>
      </c>
      <c r="AD698" s="41">
        <v>824797</v>
      </c>
      <c r="AE698" s="41">
        <v>866048</v>
      </c>
      <c r="AF698" s="41">
        <v>895370.5</v>
      </c>
      <c r="AG698" s="41">
        <v>909667</v>
      </c>
      <c r="AH698" s="41">
        <v>912591</v>
      </c>
      <c r="AI698" s="41">
        <v>915144</v>
      </c>
      <c r="AJ698" s="41">
        <v>887393.5</v>
      </c>
      <c r="AK698" s="41">
        <v>907782</v>
      </c>
      <c r="AL698" s="41">
        <v>928048</v>
      </c>
      <c r="AM698" s="41">
        <v>975224.5</v>
      </c>
      <c r="AN698" s="41">
        <v>1018357</v>
      </c>
      <c r="AO698" s="41">
        <v>1078437</v>
      </c>
      <c r="AP698" s="41">
        <v>1042366.5</v>
      </c>
      <c r="AQ698" s="41">
        <v>1023669.5</v>
      </c>
      <c r="AR698" s="41">
        <v>1006622</v>
      </c>
      <c r="AS698" s="41">
        <v>1058957.5</v>
      </c>
      <c r="AT698" s="41">
        <v>1109245.5</v>
      </c>
      <c r="AU698" s="41">
        <v>1112180.5</v>
      </c>
      <c r="AV698" s="211">
        <v>1159880</v>
      </c>
      <c r="AW698" s="41">
        <v>1206633.8332719766</v>
      </c>
      <c r="AX698" s="41">
        <v>1295659.6850200095</v>
      </c>
      <c r="AY698" s="41">
        <v>1316594.9011098156</v>
      </c>
      <c r="AZ698" s="41">
        <v>1334333.8037080667</v>
      </c>
      <c r="BA698" s="41">
        <v>1350669.2768632586</v>
      </c>
      <c r="BB698" s="41">
        <v>1369587.1722715739</v>
      </c>
      <c r="BC698" s="41">
        <v>1392436.1195261448</v>
      </c>
      <c r="BD698" s="41">
        <v>1417469.0925870114</v>
      </c>
      <c r="BE698" s="41">
        <v>1443041.6515297955</v>
      </c>
      <c r="BF698" s="41">
        <v>1469165.7432827288</v>
      </c>
      <c r="BG698" s="41">
        <v>1495853.6293127402</v>
      </c>
      <c r="BH698" s="41">
        <v>1523117.8938484259</v>
      </c>
      <c r="BI698" s="41">
        <v>1550971.4523822134</v>
      </c>
      <c r="BJ698" s="41">
        <v>1580681.9351319519</v>
      </c>
      <c r="BK698" s="41">
        <v>1613580.4458557395</v>
      </c>
      <c r="BL698" s="41">
        <v>1648513.472706316</v>
      </c>
      <c r="BM698" s="41">
        <v>1684268.1327217685</v>
      </c>
      <c r="BN698" s="41">
        <v>1710880.7646979564</v>
      </c>
      <c r="BO698" s="41">
        <v>1728020.5023449364</v>
      </c>
      <c r="BP698" s="41"/>
      <c r="BQ698" s="41">
        <v>101886.50040782754</v>
      </c>
      <c r="BR698" s="41">
        <v>102278.96039990484</v>
      </c>
      <c r="BS698" s="41">
        <v>103892.19749167915</v>
      </c>
      <c r="BT698" s="41">
        <v>111863.67618071417</v>
      </c>
      <c r="BU698" s="41">
        <v>120856.98566314815</v>
      </c>
      <c r="BV698" s="41">
        <v>137684.78880646435</v>
      </c>
      <c r="BW698" s="41">
        <v>153334.02731079765</v>
      </c>
      <c r="BX698" s="41">
        <v>151765.28528245536</v>
      </c>
      <c r="BY698" s="41">
        <v>165504</v>
      </c>
      <c r="BZ698" s="41">
        <v>172585.5</v>
      </c>
      <c r="CA698" s="41">
        <v>176568.03287671236</v>
      </c>
      <c r="CB698" s="41">
        <v>190551.27397260276</v>
      </c>
      <c r="CC698" s="41">
        <v>241265.5</v>
      </c>
      <c r="CD698" s="41">
        <v>281272.53013698634</v>
      </c>
      <c r="CE698" s="41">
        <v>320909</v>
      </c>
      <c r="CF698" s="41">
        <v>360255.5</v>
      </c>
      <c r="CG698" s="41">
        <v>432486.5</v>
      </c>
      <c r="CH698" s="41">
        <v>502581.5</v>
      </c>
      <c r="CI698" s="41">
        <v>521104</v>
      </c>
      <c r="CJ698" s="41">
        <v>566900.5</v>
      </c>
      <c r="CK698" s="41">
        <v>621914</v>
      </c>
      <c r="CL698" s="41">
        <v>669846</v>
      </c>
      <c r="CM698" s="41">
        <v>743865.5</v>
      </c>
      <c r="CN698" s="41">
        <v>845618</v>
      </c>
      <c r="CO698" s="41">
        <v>902464.5</v>
      </c>
      <c r="CP698" s="41">
        <v>913792</v>
      </c>
      <c r="CQ698" s="41">
        <v>897499.5</v>
      </c>
      <c r="CR698" s="41">
        <v>951499</v>
      </c>
      <c r="CS698" s="41">
        <v>1048623</v>
      </c>
      <c r="CT698" s="41">
        <v>1032985</v>
      </c>
      <c r="CU698" s="41">
        <v>1032988</v>
      </c>
      <c r="CV698" s="211">
        <v>1110689</v>
      </c>
      <c r="CW698" s="41">
        <v>1183268.4166359883</v>
      </c>
      <c r="CX698" s="41">
        <v>1306098.6146867075</v>
      </c>
      <c r="CY698" s="41">
        <v>1342479.1629251761</v>
      </c>
      <c r="CZ698" s="41">
        <v>1380980.3459711135</v>
      </c>
      <c r="DA698" s="41">
        <v>1430255.3720584034</v>
      </c>
      <c r="DB698" s="41">
        <v>1482473.1275497482</v>
      </c>
      <c r="DC698" s="41">
        <v>1537006.5175556843</v>
      </c>
      <c r="DD698" s="41">
        <v>1597086.1240407994</v>
      </c>
      <c r="DE698" s="41">
        <v>1666390.8027140424</v>
      </c>
      <c r="DF698" s="41">
        <v>1719427.1544287794</v>
      </c>
    </row>
    <row r="699" spans="1:110" ht="12" outlineLevel="1">
      <c r="A699" s="1" t="s">
        <v>945</v>
      </c>
      <c r="B699" s="15" t="s">
        <v>268</v>
      </c>
      <c r="C699" s="41">
        <v>-113631</v>
      </c>
      <c r="D699" s="41">
        <v>-111716</v>
      </c>
      <c r="E699" s="41">
        <v>-112594</v>
      </c>
      <c r="F699" s="41">
        <v>-103984</v>
      </c>
      <c r="G699" s="41">
        <v>-97623</v>
      </c>
      <c r="H699" s="41">
        <v>-64897</v>
      </c>
      <c r="I699" s="41">
        <v>-40322</v>
      </c>
      <c r="J699" s="41">
        <v>26390</v>
      </c>
      <c r="K699" s="41">
        <v>29574</v>
      </c>
      <c r="L699" s="41">
        <v>17949</v>
      </c>
      <c r="M699" s="41">
        <v>22292</v>
      </c>
      <c r="N699" s="41">
        <v>22503</v>
      </c>
      <c r="O699" s="41">
        <v>27407</v>
      </c>
      <c r="P699" s="41">
        <v>37495</v>
      </c>
      <c r="Q699" s="41">
        <v>34711</v>
      </c>
      <c r="R699" s="41">
        <v>86453</v>
      </c>
      <c r="S699" s="41">
        <v>55937</v>
      </c>
      <c r="T699" s="41">
        <v>64521</v>
      </c>
      <c r="U699" s="41">
        <v>80133</v>
      </c>
      <c r="V699" s="41">
        <v>77159</v>
      </c>
      <c r="W699" s="41">
        <v>81103</v>
      </c>
      <c r="X699" s="41">
        <v>90968</v>
      </c>
      <c r="Y699" s="41">
        <v>94549</v>
      </c>
      <c r="Z699" s="41">
        <v>89052</v>
      </c>
      <c r="AA699" s="41">
        <v>92429</v>
      </c>
      <c r="AB699" s="41">
        <v>95518</v>
      </c>
      <c r="AC699" s="41">
        <v>96254</v>
      </c>
      <c r="AD699" s="41">
        <v>117157</v>
      </c>
      <c r="AE699" s="41">
        <v>136330</v>
      </c>
      <c r="AF699" s="41">
        <v>139148</v>
      </c>
      <c r="AG699" s="41">
        <v>149226</v>
      </c>
      <c r="AH699" s="41">
        <v>137191</v>
      </c>
      <c r="AI699" s="41">
        <v>133349.67587305733</v>
      </c>
      <c r="AJ699" s="41">
        <v>107934.28387549345</v>
      </c>
      <c r="AK699" s="41">
        <v>112154.87718468253</v>
      </c>
      <c r="AL699" s="41">
        <v>114703.32605196477</v>
      </c>
      <c r="AM699" s="41">
        <v>135847.39449356694</v>
      </c>
      <c r="AN699" s="41">
        <v>152301.1532078262</v>
      </c>
      <c r="AO699" s="41">
        <v>185862.94161310326</v>
      </c>
      <c r="AP699" s="41">
        <v>173222.90380327799</v>
      </c>
      <c r="AQ699" s="41">
        <v>146251.57128019398</v>
      </c>
      <c r="AR699" s="41">
        <v>115136.77124865411</v>
      </c>
      <c r="AS699" s="41">
        <v>136793.36438926775</v>
      </c>
      <c r="AT699" s="41">
        <v>137120.12686112651</v>
      </c>
      <c r="AU699" s="41">
        <v>130749.75072596176</v>
      </c>
      <c r="AV699" s="211">
        <v>126310.1081003187</v>
      </c>
      <c r="AW699" s="41">
        <v>159088.04476563621</v>
      </c>
      <c r="AX699" s="41">
        <v>174428.91121937451</v>
      </c>
      <c r="AY699" s="41">
        <v>177780.99811767833</v>
      </c>
      <c r="AZ699" s="41">
        <v>180439.58161290549</v>
      </c>
      <c r="BA699" s="41">
        <v>182955.77762154187</v>
      </c>
      <c r="BB699" s="41">
        <v>185767.4635161655</v>
      </c>
      <c r="BC699" s="41">
        <v>189309.71188554121</v>
      </c>
      <c r="BD699" s="41">
        <v>192904.41473177774</v>
      </c>
      <c r="BE699" s="41">
        <v>196748.02648135228</v>
      </c>
      <c r="BF699" s="41">
        <v>200490.54610345629</v>
      </c>
      <c r="BG699" s="41">
        <v>204431.61768730916</v>
      </c>
      <c r="BH699" s="41">
        <v>208587.17986152763</v>
      </c>
      <c r="BI699" s="41">
        <v>214348.49554201495</v>
      </c>
      <c r="BJ699" s="41">
        <v>218675.76307997364</v>
      </c>
      <c r="BK699" s="41">
        <v>222324.18441085448</v>
      </c>
      <c r="BL699" s="41">
        <v>227054.74518222059</v>
      </c>
      <c r="BM699" s="41">
        <v>232088.41218015389</v>
      </c>
      <c r="BN699" s="41">
        <v>235898.42600271222</v>
      </c>
      <c r="BO699" s="41">
        <v>238461.18254973227</v>
      </c>
      <c r="BP699" s="41"/>
      <c r="BQ699" s="41">
        <v>19968.199999999997</v>
      </c>
      <c r="BR699" s="41">
        <v>20627.600000000006</v>
      </c>
      <c r="BS699" s="41">
        <v>19086</v>
      </c>
      <c r="BT699" s="41">
        <v>20199</v>
      </c>
      <c r="BU699" s="41">
        <v>21226</v>
      </c>
      <c r="BV699" s="41">
        <v>23492</v>
      </c>
      <c r="BW699" s="41">
        <v>34059</v>
      </c>
      <c r="BX699" s="41">
        <v>31369</v>
      </c>
      <c r="BY699" s="41">
        <v>32551</v>
      </c>
      <c r="BZ699" s="41">
        <v>37587</v>
      </c>
      <c r="CA699" s="41">
        <v>-112153.79726027398</v>
      </c>
      <c r="CB699" s="41">
        <v>-100812.21369863016</v>
      </c>
      <c r="CC699" s="41">
        <v>-52609.5</v>
      </c>
      <c r="CD699" s="41">
        <v>27977.638356164389</v>
      </c>
      <c r="CE699" s="41">
        <v>20127</v>
      </c>
      <c r="CF699" s="41">
        <v>24962</v>
      </c>
      <c r="CG699" s="41">
        <v>36102</v>
      </c>
      <c r="CH699" s="41">
        <v>71154</v>
      </c>
      <c r="CI699" s="41">
        <v>72312</v>
      </c>
      <c r="CJ699" s="41">
        <v>84790</v>
      </c>
      <c r="CK699" s="41">
        <v>92759</v>
      </c>
      <c r="CL699" s="41">
        <v>90965</v>
      </c>
      <c r="CM699" s="41">
        <v>95887</v>
      </c>
      <c r="CN699" s="41">
        <v>126768</v>
      </c>
      <c r="CO699" s="41">
        <v>144185.5</v>
      </c>
      <c r="CP699" s="41">
        <v>135264.09228703973</v>
      </c>
      <c r="CQ699" s="41">
        <v>109917.94298667589</v>
      </c>
      <c r="CR699" s="41">
        <v>125249.41516104201</v>
      </c>
      <c r="CS699" s="41">
        <v>198183.27385069651</v>
      </c>
      <c r="CT699" s="41">
        <v>159699.77270266321</v>
      </c>
      <c r="CU699" s="41">
        <v>125994.95630271512</v>
      </c>
      <c r="CV699" s="211">
        <v>133928.06978513976</v>
      </c>
      <c r="CW699" s="41">
        <v>142699.07643297745</v>
      </c>
      <c r="CX699" s="41">
        <v>176052.1161427123</v>
      </c>
      <c r="CY699" s="41">
        <v>181657.41309795878</v>
      </c>
      <c r="CZ699" s="41">
        <v>187482.85070824833</v>
      </c>
      <c r="DA699" s="41">
        <v>194826.22060656501</v>
      </c>
      <c r="DB699" s="41">
        <v>202396.25241646077</v>
      </c>
      <c r="DC699" s="41">
        <v>211404.2030238884</v>
      </c>
      <c r="DD699" s="41">
        <v>220421.10681145778</v>
      </c>
      <c r="DE699" s="41">
        <v>229571.57868118747</v>
      </c>
      <c r="DF699" s="41">
        <v>237140.22138657398</v>
      </c>
    </row>
    <row r="700" spans="1:110" ht="12" outlineLevel="1">
      <c r="A700" s="1" t="s">
        <v>946</v>
      </c>
      <c r="B700" s="15" t="s">
        <v>374</v>
      </c>
      <c r="C700" s="40">
        <v>165730</v>
      </c>
      <c r="D700" s="40">
        <v>167645</v>
      </c>
      <c r="E700" s="40">
        <v>166767</v>
      </c>
      <c r="F700" s="40">
        <v>175377</v>
      </c>
      <c r="G700" s="40">
        <v>181738</v>
      </c>
      <c r="H700" s="40">
        <v>214464</v>
      </c>
      <c r="I700" s="40">
        <v>239039</v>
      </c>
      <c r="J700" s="40">
        <v>256438</v>
      </c>
      <c r="K700" s="40">
        <v>275236</v>
      </c>
      <c r="L700" s="40">
        <v>297310</v>
      </c>
      <c r="M700" s="40">
        <v>313240</v>
      </c>
      <c r="N700" s="40">
        <v>328647</v>
      </c>
      <c r="O700" s="40">
        <v>356487</v>
      </c>
      <c r="P700" s="40">
        <v>403145</v>
      </c>
      <c r="Q700" s="40">
        <v>421126</v>
      </c>
      <c r="R700" s="40">
        <v>497369</v>
      </c>
      <c r="S700" s="40">
        <v>455945</v>
      </c>
      <c r="T700" s="40">
        <v>473557</v>
      </c>
      <c r="U700" s="40">
        <v>510569</v>
      </c>
      <c r="V700" s="40">
        <v>516743</v>
      </c>
      <c r="W700" s="40">
        <v>539100</v>
      </c>
      <c r="X700" s="40">
        <v>573959</v>
      </c>
      <c r="Y700" s="40">
        <v>601453</v>
      </c>
      <c r="Z700" s="141">
        <v>612750</v>
      </c>
      <c r="AA700" s="141">
        <v>651571</v>
      </c>
      <c r="AB700" s="141">
        <v>688364</v>
      </c>
      <c r="AC700" s="141">
        <v>716513</v>
      </c>
      <c r="AD700" s="141">
        <v>779856</v>
      </c>
      <c r="AE700" s="141">
        <v>818640</v>
      </c>
      <c r="AF700" s="141">
        <v>843283</v>
      </c>
      <c r="AG700" s="141">
        <v>858256</v>
      </c>
      <c r="AH700" s="141">
        <v>860095</v>
      </c>
      <c r="AI700" s="141">
        <v>861543</v>
      </c>
      <c r="AJ700" s="141">
        <v>831423</v>
      </c>
      <c r="AK700" s="141">
        <v>850709</v>
      </c>
      <c r="AL700" s="141">
        <v>869584</v>
      </c>
      <c r="AM700" s="141">
        <v>912588</v>
      </c>
      <c r="AN700" s="141">
        <v>961550</v>
      </c>
      <c r="AO700" s="141">
        <v>1020807</v>
      </c>
      <c r="AP700" s="141">
        <v>983669</v>
      </c>
      <c r="AQ700" s="141">
        <v>963972</v>
      </c>
      <c r="AR700" s="141">
        <v>947232</v>
      </c>
      <c r="AS700" s="141">
        <v>998900</v>
      </c>
      <c r="AT700" s="141">
        <v>1044705</v>
      </c>
      <c r="AU700" s="141">
        <v>1046634</v>
      </c>
      <c r="AV700" s="226">
        <v>1092113</v>
      </c>
      <c r="AW700" s="41">
        <v>1140634.4670975371</v>
      </c>
      <c r="AX700" s="41">
        <v>1230944.2895106445</v>
      </c>
      <c r="AY700" s="41">
        <v>1251906.3948820173</v>
      </c>
      <c r="AZ700" s="41">
        <v>1269358.8256873551</v>
      </c>
      <c r="BA700" s="41">
        <v>1285314.2032233418</v>
      </c>
      <c r="BB700" s="41">
        <v>1303689.5275962569</v>
      </c>
      <c r="BC700" s="41">
        <v>1325804.6540817881</v>
      </c>
      <c r="BD700" s="41">
        <v>1349955.0511286992</v>
      </c>
      <c r="BE700" s="41">
        <v>1374579.4828825747</v>
      </c>
      <c r="BF700" s="41">
        <v>1399677.0559082597</v>
      </c>
      <c r="BG700" s="41">
        <v>1425310.3515066602</v>
      </c>
      <c r="BH700" s="41">
        <v>1451737.1482254178</v>
      </c>
      <c r="BI700" s="41">
        <v>1477844.4634929847</v>
      </c>
      <c r="BJ700" s="41">
        <v>1504617.3456550008</v>
      </c>
      <c r="BK700" s="41">
        <v>1535227.9872144959</v>
      </c>
      <c r="BL700" s="41">
        <v>1568421.4638034876</v>
      </c>
      <c r="BM700" s="41">
        <v>1602538.3345832899</v>
      </c>
      <c r="BN700" s="41">
        <v>1627757.4706076034</v>
      </c>
      <c r="BO700" s="41">
        <v>1643486.6036028832</v>
      </c>
      <c r="BP700" s="41"/>
      <c r="BQ700" s="40">
        <v>97097.2</v>
      </c>
      <c r="BR700" s="40">
        <v>97518.6</v>
      </c>
      <c r="BS700" s="40">
        <v>98533</v>
      </c>
      <c r="BT700" s="40">
        <v>105897</v>
      </c>
      <c r="BU700" s="40">
        <v>114670</v>
      </c>
      <c r="BV700" s="40">
        <v>130690</v>
      </c>
      <c r="BW700" s="40">
        <v>145665</v>
      </c>
      <c r="BX700" s="40">
        <v>142474</v>
      </c>
      <c r="BY700" s="40">
        <v>155954</v>
      </c>
      <c r="BZ700" s="40">
        <v>164024</v>
      </c>
      <c r="CA700" s="41">
        <v>167207.20273972602</v>
      </c>
      <c r="CB700" s="41">
        <v>178548.7863013699</v>
      </c>
      <c r="CC700" s="41">
        <v>226751.5</v>
      </c>
      <c r="CD700" s="41">
        <v>265811.24931506853</v>
      </c>
      <c r="CE700" s="141">
        <v>305297</v>
      </c>
      <c r="CF700" s="141">
        <v>342604</v>
      </c>
      <c r="CG700" s="141">
        <v>412129</v>
      </c>
      <c r="CH700" s="141">
        <v>476599</v>
      </c>
      <c r="CI700" s="141">
        <v>492078</v>
      </c>
      <c r="CJ700" s="141">
        <v>536436</v>
      </c>
      <c r="CK700" s="141">
        <v>587706</v>
      </c>
      <c r="CL700" s="141">
        <v>632162</v>
      </c>
      <c r="CM700" s="141">
        <v>702478</v>
      </c>
      <c r="CN700" s="141">
        <v>799301</v>
      </c>
      <c r="CO700" s="141">
        <v>850768</v>
      </c>
      <c r="CP700" s="141">
        <v>860820</v>
      </c>
      <c r="CQ700" s="141">
        <v>840960</v>
      </c>
      <c r="CR700" s="141">
        <v>891090</v>
      </c>
      <c r="CS700" s="141">
        <v>991178</v>
      </c>
      <c r="CT700" s="141">
        <v>973793</v>
      </c>
      <c r="CU700" s="141">
        <v>973137</v>
      </c>
      <c r="CV700" s="226">
        <v>1045674</v>
      </c>
      <c r="CW700" s="41">
        <v>1116373.7335487686</v>
      </c>
      <c r="CX700" s="41">
        <v>1241396.6269834936</v>
      </c>
      <c r="CY700" s="41">
        <v>1277314.6577737923</v>
      </c>
      <c r="CZ700" s="41">
        <v>1314716.796145207</v>
      </c>
      <c r="DA700" s="41">
        <v>1362267.2670056368</v>
      </c>
      <c r="DB700" s="41">
        <v>1412458.5896039004</v>
      </c>
      <c r="DC700" s="41">
        <v>1464755.0424136294</v>
      </c>
      <c r="DD700" s="41">
        <v>1519880.7340490504</v>
      </c>
      <c r="DE700" s="41">
        <v>1585479.8991933889</v>
      </c>
      <c r="DF700" s="41">
        <v>1635600.4903477158</v>
      </c>
    </row>
    <row r="701" spans="1:110" ht="12" outlineLevel="1">
      <c r="A701" s="1" t="s">
        <v>947</v>
      </c>
      <c r="B701" s="15" t="s">
        <v>375</v>
      </c>
      <c r="C701" s="40">
        <v>8739</v>
      </c>
      <c r="D701" s="40">
        <v>9191.5</v>
      </c>
      <c r="E701" s="40">
        <v>9791.5</v>
      </c>
      <c r="F701" s="40">
        <v>10744</v>
      </c>
      <c r="G701" s="40">
        <v>11079</v>
      </c>
      <c r="H701" s="40">
        <v>13949</v>
      </c>
      <c r="I701" s="40">
        <v>16016.5</v>
      </c>
      <c r="J701" s="40">
        <v>16659</v>
      </c>
      <c r="K701" s="40">
        <v>17195.5</v>
      </c>
      <c r="L701" s="40">
        <v>17232.5</v>
      </c>
      <c r="M701" s="40">
        <v>18191</v>
      </c>
      <c r="N701" s="40">
        <v>19604</v>
      </c>
      <c r="O701" s="40">
        <v>20043</v>
      </c>
      <c r="P701" s="40">
        <v>21884.5</v>
      </c>
      <c r="Q701" s="40">
        <v>23307.5</v>
      </c>
      <c r="R701" s="40">
        <v>26884</v>
      </c>
      <c r="S701" s="40">
        <v>29356.5</v>
      </c>
      <c r="T701" s="40">
        <v>31517.5</v>
      </c>
      <c r="U701" s="40">
        <v>33118</v>
      </c>
      <c r="V701" s="40">
        <v>33754.5</v>
      </c>
      <c r="W701" s="40">
        <v>36105.5</v>
      </c>
      <c r="X701" s="40">
        <v>37401.5</v>
      </c>
      <c r="Y701" s="40">
        <v>39886</v>
      </c>
      <c r="Z701" s="141">
        <v>40827</v>
      </c>
      <c r="AA701" s="141">
        <v>43493.5</v>
      </c>
      <c r="AB701" s="141">
        <v>45243.5</v>
      </c>
      <c r="AC701" s="141">
        <v>46592</v>
      </c>
      <c r="AD701" s="41">
        <v>50411</v>
      </c>
      <c r="AE701" s="41">
        <v>52864.5</v>
      </c>
      <c r="AF701" s="41">
        <v>57361.5</v>
      </c>
      <c r="AG701" s="41">
        <v>56709</v>
      </c>
      <c r="AH701" s="41">
        <v>57686</v>
      </c>
      <c r="AI701" s="41">
        <v>58609.5</v>
      </c>
      <c r="AJ701" s="41">
        <v>60188</v>
      </c>
      <c r="AK701" s="41">
        <v>60476</v>
      </c>
      <c r="AL701" s="141">
        <v>61898</v>
      </c>
      <c r="AM701" s="141">
        <v>66149.5</v>
      </c>
      <c r="AN701" s="141">
        <v>60412</v>
      </c>
      <c r="AO701" s="141">
        <v>61136.5</v>
      </c>
      <c r="AP701" s="141">
        <v>61889</v>
      </c>
      <c r="AQ701" s="141">
        <v>62800.5</v>
      </c>
      <c r="AR701" s="141">
        <v>62534</v>
      </c>
      <c r="AS701" s="141">
        <v>62868.5</v>
      </c>
      <c r="AT701" s="141">
        <v>67101.5</v>
      </c>
      <c r="AU701" s="141">
        <v>68172.5</v>
      </c>
      <c r="AV701" s="226">
        <v>70238</v>
      </c>
      <c r="AW701" s="41">
        <v>69092.366174439536</v>
      </c>
      <c r="AX701" s="41">
        <v>67808.395509365015</v>
      </c>
      <c r="AY701" s="41">
        <v>67781.506227798251</v>
      </c>
      <c r="AZ701" s="41">
        <v>68067.978020711525</v>
      </c>
      <c r="BA701" s="41">
        <v>68448.07363991678</v>
      </c>
      <c r="BB701" s="41">
        <v>68990.644675317017</v>
      </c>
      <c r="BC701" s="41">
        <v>69724.465444356596</v>
      </c>
      <c r="BD701" s="41">
        <v>70607.041458312218</v>
      </c>
      <c r="BE701" s="41">
        <v>71555.168647220795</v>
      </c>
      <c r="BF701" s="41">
        <v>72581.687374469155</v>
      </c>
      <c r="BG701" s="41">
        <v>73636.277806079976</v>
      </c>
      <c r="BH701" s="41">
        <v>74473.745623008042</v>
      </c>
      <c r="BI701" s="41">
        <v>76219.988889228844</v>
      </c>
      <c r="BJ701" s="41">
        <v>79157.589476951107</v>
      </c>
      <c r="BK701" s="41">
        <v>81445.458641243516</v>
      </c>
      <c r="BL701" s="41">
        <v>83185.008902828456</v>
      </c>
      <c r="BM701" s="41">
        <v>84822.798138478553</v>
      </c>
      <c r="BN701" s="41">
        <v>86216.294090352952</v>
      </c>
      <c r="BO701" s="41">
        <v>87626.898742053279</v>
      </c>
      <c r="BP701" s="41"/>
      <c r="BQ701" s="40">
        <v>5117.6999999999971</v>
      </c>
      <c r="BR701" s="40">
        <v>4907.5999999999913</v>
      </c>
      <c r="BS701" s="40">
        <v>5328</v>
      </c>
      <c r="BT701" s="40">
        <v>5931</v>
      </c>
      <c r="BU701" s="40">
        <v>6152</v>
      </c>
      <c r="BV701" s="40">
        <v>6963</v>
      </c>
      <c r="BW701" s="40">
        <v>7620</v>
      </c>
      <c r="BX701" s="40">
        <v>8237</v>
      </c>
      <c r="BY701" s="40">
        <v>8451</v>
      </c>
      <c r="BZ701" s="40">
        <v>8666</v>
      </c>
      <c r="CA701" s="41">
        <v>9490.6780821917819</v>
      </c>
      <c r="CB701" s="41">
        <v>10911.04109589041</v>
      </c>
      <c r="CC701" s="41">
        <v>14982.75</v>
      </c>
      <c r="CD701" s="41">
        <v>16926.51506849315</v>
      </c>
      <c r="CE701" s="40">
        <v>17714.5</v>
      </c>
      <c r="CF701" s="40">
        <v>19822</v>
      </c>
      <c r="CG701" s="40">
        <v>22602</v>
      </c>
      <c r="CH701" s="40">
        <v>28129.5</v>
      </c>
      <c r="CI701" s="40">
        <v>32320.5</v>
      </c>
      <c r="CJ701" s="40">
        <v>34940</v>
      </c>
      <c r="CK701" s="40">
        <v>38644.5</v>
      </c>
      <c r="CL701" s="141">
        <v>42177.5</v>
      </c>
      <c r="CM701" s="141">
        <v>45915.5</v>
      </c>
      <c r="CN701" s="141">
        <v>51461.5</v>
      </c>
      <c r="CO701" s="141">
        <v>57033.5</v>
      </c>
      <c r="CP701" s="141">
        <v>58151.5</v>
      </c>
      <c r="CQ701" s="141">
        <v>60723</v>
      </c>
      <c r="CR701" s="141">
        <v>63871.5</v>
      </c>
      <c r="CS701" s="141">
        <v>60774.5</v>
      </c>
      <c r="CT701" s="141">
        <v>62345.5</v>
      </c>
      <c r="CU701" s="141">
        <v>62579.5</v>
      </c>
      <c r="CV701" s="226">
        <v>67646</v>
      </c>
      <c r="CW701" s="41">
        <v>69665.183087219775</v>
      </c>
      <c r="CX701" s="41">
        <v>67794.987703213905</v>
      </c>
      <c r="CY701" s="41">
        <v>68257.505151383739</v>
      </c>
      <c r="CZ701" s="41">
        <v>69356.549825906608</v>
      </c>
      <c r="DA701" s="41">
        <v>71081.105052766507</v>
      </c>
      <c r="DB701" s="41">
        <v>73107.537945847696</v>
      </c>
      <c r="DC701" s="41">
        <v>75344.475142055118</v>
      </c>
      <c r="DD701" s="41">
        <v>80298.389991748962</v>
      </c>
      <c r="DE701" s="41">
        <v>84003.903520653505</v>
      </c>
      <c r="DF701" s="41">
        <v>86919.664081063791</v>
      </c>
    </row>
    <row r="702" spans="1:110" ht="12" outlineLevel="1">
      <c r="A702" s="1" t="s">
        <v>948</v>
      </c>
      <c r="B702" s="15" t="s">
        <v>304</v>
      </c>
      <c r="C702" s="41">
        <v>8602</v>
      </c>
      <c r="D702" s="41">
        <v>9029</v>
      </c>
      <c r="E702" s="41">
        <v>9607.5</v>
      </c>
      <c r="F702" s="41">
        <v>10568.5</v>
      </c>
      <c r="G702" s="41">
        <v>10913.5</v>
      </c>
      <c r="H702" s="41">
        <v>12268</v>
      </c>
      <c r="I702" s="41">
        <v>12781</v>
      </c>
      <c r="J702" s="41">
        <v>13421</v>
      </c>
      <c r="K702" s="41">
        <v>14058</v>
      </c>
      <c r="L702" s="41">
        <v>14257.5</v>
      </c>
      <c r="M702" s="41">
        <v>15280</v>
      </c>
      <c r="N702" s="41">
        <v>16649.5</v>
      </c>
      <c r="O702" s="41">
        <v>16951</v>
      </c>
      <c r="P702" s="41">
        <v>18673.5</v>
      </c>
      <c r="Q702" s="41">
        <v>20146</v>
      </c>
      <c r="R702" s="41">
        <v>23779.5</v>
      </c>
      <c r="S702" s="41">
        <v>26286.5</v>
      </c>
      <c r="T702" s="41">
        <v>27346.5</v>
      </c>
      <c r="U702" s="41">
        <v>27764</v>
      </c>
      <c r="V702" s="41">
        <v>28406.5</v>
      </c>
      <c r="W702" s="41">
        <v>30768</v>
      </c>
      <c r="X702" s="41">
        <v>32042</v>
      </c>
      <c r="Y702" s="41">
        <v>34562.5</v>
      </c>
      <c r="Z702" s="41">
        <v>35524.5</v>
      </c>
      <c r="AA702" s="41">
        <v>38091</v>
      </c>
      <c r="AB702" s="41">
        <v>39665</v>
      </c>
      <c r="AC702" s="41">
        <v>41065</v>
      </c>
      <c r="AD702" s="41">
        <v>44855</v>
      </c>
      <c r="AE702" s="41">
        <v>47307.5</v>
      </c>
      <c r="AF702" s="41">
        <v>51984</v>
      </c>
      <c r="AG702" s="41">
        <v>51306</v>
      </c>
      <c r="AH702" s="41">
        <v>52383</v>
      </c>
      <c r="AI702" s="41">
        <v>53484.5</v>
      </c>
      <c r="AJ702" s="41">
        <v>55849.5</v>
      </c>
      <c r="AK702" s="41">
        <v>56940</v>
      </c>
      <c r="AL702" s="41">
        <v>58319</v>
      </c>
      <c r="AM702" s="41">
        <v>62556</v>
      </c>
      <c r="AN702" s="41">
        <v>56796</v>
      </c>
      <c r="AO702" s="41">
        <v>57619.5</v>
      </c>
      <c r="AP702" s="41">
        <v>58687.5</v>
      </c>
      <c r="AQ702" s="41">
        <v>59687</v>
      </c>
      <c r="AR702" s="41">
        <v>59380</v>
      </c>
      <c r="AS702" s="41">
        <v>59806</v>
      </c>
      <c r="AT702" s="41">
        <v>64031</v>
      </c>
      <c r="AU702" s="41">
        <v>65023</v>
      </c>
      <c r="AV702" s="211">
        <v>67122</v>
      </c>
      <c r="AW702" s="41">
        <v>65999.366174439536</v>
      </c>
      <c r="AX702" s="41">
        <v>64715.395509365015</v>
      </c>
      <c r="AY702" s="41">
        <v>64688.506227798251</v>
      </c>
      <c r="AZ702" s="41">
        <v>64974.978020711525</v>
      </c>
      <c r="BA702" s="41">
        <v>65355.07363991678</v>
      </c>
      <c r="BB702" s="41">
        <v>65897.644675317017</v>
      </c>
      <c r="BC702" s="41">
        <v>66631.465444356596</v>
      </c>
      <c r="BD702" s="41">
        <v>67514.041458312218</v>
      </c>
      <c r="BE702" s="41">
        <v>68462.168647220795</v>
      </c>
      <c r="BF702" s="41">
        <v>69488.687374469155</v>
      </c>
      <c r="BG702" s="41">
        <v>70543.277806079976</v>
      </c>
      <c r="BH702" s="41">
        <v>71380.745623008042</v>
      </c>
      <c r="BI702" s="41">
        <v>73126.988889228844</v>
      </c>
      <c r="BJ702" s="41">
        <v>76064.589476951107</v>
      </c>
      <c r="BK702" s="41">
        <v>78352.458641243516</v>
      </c>
      <c r="BL702" s="41">
        <v>80092.008902828456</v>
      </c>
      <c r="BM702" s="41">
        <v>81729.798138478553</v>
      </c>
      <c r="BN702" s="41">
        <v>83123.294090352952</v>
      </c>
      <c r="BO702" s="41">
        <v>84533.898742053279</v>
      </c>
      <c r="BP702" s="41"/>
      <c r="BQ702" s="41">
        <v>4789.3004078275444</v>
      </c>
      <c r="BR702" s="41">
        <v>4760.3603999048382</v>
      </c>
      <c r="BS702" s="41">
        <v>5359.1974916791478</v>
      </c>
      <c r="BT702" s="41">
        <v>5966.676180714172</v>
      </c>
      <c r="BU702" s="41">
        <v>6186.9856631481543</v>
      </c>
      <c r="BV702" s="41">
        <v>6994.7888064643594</v>
      </c>
      <c r="BW702" s="41">
        <v>7657.0273107976536</v>
      </c>
      <c r="BX702" s="41">
        <v>8201.285282455352</v>
      </c>
      <c r="BY702" s="41">
        <v>8324</v>
      </c>
      <c r="BZ702" s="41">
        <v>7123.5</v>
      </c>
      <c r="CA702" s="41">
        <v>7930.6780821917819</v>
      </c>
      <c r="CB702" s="41">
        <v>10741.04109589041</v>
      </c>
      <c r="CC702" s="41">
        <v>13268.25</v>
      </c>
      <c r="CD702" s="41">
        <v>13758.01506849315</v>
      </c>
      <c r="CE702" s="41">
        <v>14710.5</v>
      </c>
      <c r="CF702" s="41">
        <v>16744.5</v>
      </c>
      <c r="CG702" s="41">
        <v>19436.5</v>
      </c>
      <c r="CH702" s="41">
        <v>25048</v>
      </c>
      <c r="CI702" s="41">
        <v>28090.5</v>
      </c>
      <c r="CJ702" s="41">
        <v>29537.5</v>
      </c>
      <c r="CK702" s="41">
        <v>33288.5</v>
      </c>
      <c r="CL702" s="41">
        <v>36757.5</v>
      </c>
      <c r="CM702" s="41">
        <v>40447</v>
      </c>
      <c r="CN702" s="41">
        <v>46043.5</v>
      </c>
      <c r="CO702" s="41">
        <v>51589</v>
      </c>
      <c r="CP702" s="41">
        <v>52859.5</v>
      </c>
      <c r="CQ702" s="41">
        <v>56411.5</v>
      </c>
      <c r="CR702" s="41">
        <v>60333.5</v>
      </c>
      <c r="CS702" s="41">
        <v>57434.5</v>
      </c>
      <c r="CT702" s="41">
        <v>59181.5</v>
      </c>
      <c r="CU702" s="41">
        <v>59598.5</v>
      </c>
      <c r="CV702" s="211">
        <v>64507</v>
      </c>
      <c r="CW702" s="41">
        <v>66572.183087219775</v>
      </c>
      <c r="CX702" s="41">
        <v>64701.987703213905</v>
      </c>
      <c r="CY702" s="41">
        <v>65164.505151383739</v>
      </c>
      <c r="CZ702" s="41">
        <v>66263.549825906608</v>
      </c>
      <c r="DA702" s="41">
        <v>67988.105052766507</v>
      </c>
      <c r="DB702" s="41">
        <v>70014.537945847696</v>
      </c>
      <c r="DC702" s="41">
        <v>72251.475142055118</v>
      </c>
      <c r="DD702" s="41">
        <v>77205.389991748962</v>
      </c>
      <c r="DE702" s="41">
        <v>80910.903520653505</v>
      </c>
      <c r="DF702" s="41">
        <v>83826.664081063791</v>
      </c>
    </row>
    <row r="703" spans="1:110" ht="12" outlineLevel="1">
      <c r="A703" s="1" t="s">
        <v>949</v>
      </c>
      <c r="B703" s="15" t="s">
        <v>723</v>
      </c>
      <c r="C703" s="41">
        <v>139129</v>
      </c>
      <c r="D703" s="41">
        <v>137273.5</v>
      </c>
      <c r="E703" s="41">
        <v>138404</v>
      </c>
      <c r="F703" s="41">
        <v>144996.5</v>
      </c>
      <c r="G703" s="41">
        <v>150383.5</v>
      </c>
      <c r="H703" s="41">
        <v>169160.5</v>
      </c>
      <c r="I703" s="41">
        <v>191410.5</v>
      </c>
      <c r="J703" s="41">
        <v>203094</v>
      </c>
      <c r="K703" s="41">
        <v>214548.5</v>
      </c>
      <c r="L703" s="41">
        <v>225113</v>
      </c>
      <c r="M703" s="41">
        <v>235436</v>
      </c>
      <c r="N703" s="41">
        <v>245352</v>
      </c>
      <c r="O703" s="41">
        <v>262751.5</v>
      </c>
      <c r="P703" s="41">
        <v>271252</v>
      </c>
      <c r="Q703" s="41">
        <v>271460</v>
      </c>
      <c r="R703" s="41">
        <v>278158</v>
      </c>
      <c r="S703" s="41">
        <v>266475.5</v>
      </c>
      <c r="T703" s="41">
        <v>250515</v>
      </c>
      <c r="U703" s="41">
        <v>256601.5</v>
      </c>
      <c r="V703" s="41">
        <v>264239</v>
      </c>
      <c r="W703" s="41">
        <v>272100</v>
      </c>
      <c r="X703" s="41">
        <v>282400</v>
      </c>
      <c r="Y703" s="41">
        <v>292477.5</v>
      </c>
      <c r="Z703" s="41">
        <v>311350.5</v>
      </c>
      <c r="AA703" s="41">
        <v>330923.5</v>
      </c>
      <c r="AB703" s="41">
        <v>350002.5</v>
      </c>
      <c r="AC703" s="41">
        <v>361134.5</v>
      </c>
      <c r="AD703" s="41">
        <v>374196</v>
      </c>
      <c r="AE703" s="41">
        <v>394400</v>
      </c>
      <c r="AF703" s="41">
        <v>395136</v>
      </c>
      <c r="AG703" s="41">
        <v>398458.5</v>
      </c>
      <c r="AH703" s="41">
        <v>402811</v>
      </c>
      <c r="AI703" s="41">
        <v>394076.5</v>
      </c>
      <c r="AJ703" s="41">
        <v>393445</v>
      </c>
      <c r="AK703" s="41">
        <v>393298.5</v>
      </c>
      <c r="AL703" s="41">
        <v>393555.5</v>
      </c>
      <c r="AM703" s="41">
        <v>406626</v>
      </c>
      <c r="AN703" s="41">
        <v>432986.5</v>
      </c>
      <c r="AO703" s="41">
        <v>439198</v>
      </c>
      <c r="AP703" s="41">
        <v>418775</v>
      </c>
      <c r="AQ703" s="41">
        <v>412126</v>
      </c>
      <c r="AR703" s="41">
        <v>426998</v>
      </c>
      <c r="AS703" s="41">
        <v>446314</v>
      </c>
      <c r="AT703" s="41">
        <v>445116</v>
      </c>
      <c r="AU703" s="41">
        <v>434420.5</v>
      </c>
      <c r="AV703" s="211">
        <v>433053</v>
      </c>
      <c r="AW703" s="41">
        <v>441540.33808283281</v>
      </c>
      <c r="AX703" s="41">
        <v>454079.32935854921</v>
      </c>
      <c r="AY703" s="41">
        <v>460515.57087076723</v>
      </c>
      <c r="AZ703" s="41">
        <v>465872.17378065008</v>
      </c>
      <c r="BA703" s="41">
        <v>471742.41888793034</v>
      </c>
      <c r="BB703" s="41">
        <v>478848.60270045267</v>
      </c>
      <c r="BC703" s="41">
        <v>487449.93484905828</v>
      </c>
      <c r="BD703" s="41">
        <v>496891.77232778526</v>
      </c>
      <c r="BE703" s="41">
        <v>506550.32728256879</v>
      </c>
      <c r="BF703" s="41">
        <v>516430.78605968575</v>
      </c>
      <c r="BG703" s="41">
        <v>526538.47794851242</v>
      </c>
      <c r="BH703" s="41">
        <v>544245.38467982132</v>
      </c>
      <c r="BI703" s="41">
        <v>569828.2385700508</v>
      </c>
      <c r="BJ703" s="41">
        <v>581376.42693450814</v>
      </c>
      <c r="BK703" s="41">
        <v>578790.66817204026</v>
      </c>
      <c r="BL703" s="41">
        <v>584313.91351852822</v>
      </c>
      <c r="BM703" s="41">
        <v>597823.15538005275</v>
      </c>
      <c r="BN703" s="41">
        <v>607685.79377450375</v>
      </c>
      <c r="BO703" s="41">
        <v>613762.65171224892</v>
      </c>
      <c r="BP703" s="41"/>
      <c r="BQ703" s="41">
        <v>80720.600000000006</v>
      </c>
      <c r="BR703" s="41">
        <v>78790.3</v>
      </c>
      <c r="BS703" s="41">
        <v>76443.5</v>
      </c>
      <c r="BT703" s="41">
        <v>79551.5</v>
      </c>
      <c r="BU703" s="41">
        <v>88296.5</v>
      </c>
      <c r="BV703" s="41">
        <v>99832</v>
      </c>
      <c r="BW703" s="41">
        <v>111121.5</v>
      </c>
      <c r="BX703" s="41">
        <v>117066.5</v>
      </c>
      <c r="BY703" s="41">
        <v>123862.5</v>
      </c>
      <c r="BZ703" s="41">
        <v>134408.5</v>
      </c>
      <c r="CA703" s="41">
        <v>137837.20136986303</v>
      </c>
      <c r="CB703" s="41">
        <v>147682.6205479452</v>
      </c>
      <c r="CC703" s="41">
        <v>180285.5</v>
      </c>
      <c r="CD703" s="41">
        <v>208805.55890410961</v>
      </c>
      <c r="CE703" s="41">
        <v>230260.3589041096</v>
      </c>
      <c r="CF703" s="41">
        <v>254027.91506849317</v>
      </c>
      <c r="CG703" s="41">
        <v>271356</v>
      </c>
      <c r="CH703" s="41">
        <v>272332.75342465751</v>
      </c>
      <c r="CI703" s="41">
        <v>253549.91232876715</v>
      </c>
      <c r="CJ703" s="41">
        <v>268158.73150684929</v>
      </c>
      <c r="CK703" s="41">
        <v>287438.75</v>
      </c>
      <c r="CL703" s="41">
        <v>321110.18767123291</v>
      </c>
      <c r="CM703" s="41">
        <v>355553.25068493158</v>
      </c>
      <c r="CN703" s="41">
        <v>384270.32328767126</v>
      </c>
      <c r="CO703" s="41">
        <v>396797.25</v>
      </c>
      <c r="CP703" s="41">
        <v>398437.75925925927</v>
      </c>
      <c r="CQ703" s="41">
        <v>393371.95068493154</v>
      </c>
      <c r="CR703" s="41">
        <v>400072.84520547942</v>
      </c>
      <c r="CS703" s="41">
        <v>436092.25</v>
      </c>
      <c r="CT703" s="41">
        <v>415459.6082191781</v>
      </c>
      <c r="CU703" s="41">
        <v>436629.53972602746</v>
      </c>
      <c r="CV703" s="211">
        <v>439782.90136986302</v>
      </c>
      <c r="CW703" s="41">
        <v>437296.66904141637</v>
      </c>
      <c r="CX703" s="41">
        <v>457288.63334546343</v>
      </c>
      <c r="CY703" s="41">
        <v>468799.2549026364</v>
      </c>
      <c r="CZ703" s="41">
        <v>483137.48612797662</v>
      </c>
      <c r="DA703" s="41">
        <v>501721.04980517703</v>
      </c>
      <c r="DB703" s="41">
        <v>521470.78585082677</v>
      </c>
      <c r="DC703" s="41">
        <v>557001.76661960687</v>
      </c>
      <c r="DD703" s="41">
        <v>580087.08968856535</v>
      </c>
      <c r="DE703" s="41">
        <v>591068.53444929048</v>
      </c>
      <c r="DF703" s="41">
        <v>610715.89828044793</v>
      </c>
    </row>
    <row r="704" spans="1:110" ht="12" outlineLevel="1">
      <c r="A704" s="1" t="s">
        <v>2243</v>
      </c>
      <c r="B704" s="15" t="s">
        <v>2244</v>
      </c>
      <c r="C704" s="141">
        <v>5546</v>
      </c>
      <c r="D704" s="141">
        <v>5546</v>
      </c>
      <c r="E704" s="141">
        <v>5245</v>
      </c>
      <c r="F704" s="141">
        <v>5381</v>
      </c>
      <c r="G704" s="141">
        <v>5615</v>
      </c>
      <c r="H704" s="141">
        <v>6973</v>
      </c>
      <c r="I704" s="141">
        <v>7915</v>
      </c>
      <c r="J704" s="141">
        <v>8300</v>
      </c>
      <c r="K704" s="141">
        <v>9015</v>
      </c>
      <c r="L704" s="141">
        <v>9349</v>
      </c>
      <c r="M704" s="141">
        <v>9086</v>
      </c>
      <c r="N704" s="141">
        <v>9666</v>
      </c>
      <c r="O704" s="141">
        <v>9897</v>
      </c>
      <c r="P704" s="141">
        <v>9863</v>
      </c>
      <c r="Q704" s="141">
        <v>8974</v>
      </c>
      <c r="R704" s="141">
        <v>9734</v>
      </c>
      <c r="S704" s="141">
        <v>9755</v>
      </c>
      <c r="T704" s="141">
        <v>10396</v>
      </c>
      <c r="U704" s="141">
        <v>10336</v>
      </c>
      <c r="V704" s="141">
        <v>10357</v>
      </c>
      <c r="W704" s="141">
        <v>11039</v>
      </c>
      <c r="X704" s="141">
        <v>11381</v>
      </c>
      <c r="Y704" s="141">
        <v>11326</v>
      </c>
      <c r="Z704" s="141">
        <v>12330</v>
      </c>
      <c r="AA704" s="141">
        <v>13850</v>
      </c>
      <c r="AB704" s="141">
        <v>15213</v>
      </c>
      <c r="AC704" s="141">
        <v>15548</v>
      </c>
      <c r="AD704" s="141">
        <v>17001</v>
      </c>
      <c r="AE704" s="141">
        <v>18193</v>
      </c>
      <c r="AF704" s="141">
        <v>42328</v>
      </c>
      <c r="AG704" s="141">
        <v>43865</v>
      </c>
      <c r="AH704" s="141">
        <v>46703</v>
      </c>
      <c r="AI704" s="377">
        <v>45395.324126942694</v>
      </c>
      <c r="AJ704" s="377">
        <v>37731.592643150856</v>
      </c>
      <c r="AK704" s="377">
        <v>48190.366896599058</v>
      </c>
      <c r="AL704" s="377">
        <v>47764.212944424122</v>
      </c>
      <c r="AM704" s="377">
        <v>55312.091492087857</v>
      </c>
      <c r="AN704" s="377">
        <v>52359.640645164836</v>
      </c>
      <c r="AO704" s="377">
        <v>56994.689661422104</v>
      </c>
      <c r="AP704" s="141">
        <v>43526.854821683024</v>
      </c>
      <c r="AQ704" s="141">
        <v>39431.200975916479</v>
      </c>
      <c r="AR704" s="141">
        <v>36767.007564821288</v>
      </c>
      <c r="AS704" s="141">
        <v>55487.577320322423</v>
      </c>
      <c r="AT704" s="141">
        <v>46814.560877176715</v>
      </c>
      <c r="AU704" s="141">
        <v>44533.255240779326</v>
      </c>
      <c r="AV704" s="226">
        <v>45117.187190459888</v>
      </c>
      <c r="AW704" s="41">
        <v>56825.26286617406</v>
      </c>
      <c r="AX704" s="41">
        <v>62304.925213604285</v>
      </c>
      <c r="AY704" s="41">
        <v>63502.269862770008</v>
      </c>
      <c r="AZ704" s="41">
        <v>64451.899397726665</v>
      </c>
      <c r="BA704" s="41">
        <v>65350.669005614043</v>
      </c>
      <c r="BB704" s="41">
        <v>66354.985768036247</v>
      </c>
      <c r="BC704" s="41">
        <v>67620.254915215628</v>
      </c>
      <c r="BD704" s="41">
        <v>68904.260476187221</v>
      </c>
      <c r="BE704" s="41">
        <v>70277.174753604166</v>
      </c>
      <c r="BF704" s="41">
        <v>71613.979550100179</v>
      </c>
      <c r="BG704" s="41">
        <v>73021.70587583867</v>
      </c>
      <c r="BH704" s="41">
        <v>74506.046910104138</v>
      </c>
      <c r="BI704" s="41">
        <v>76563.953137319389</v>
      </c>
      <c r="BJ704" s="41">
        <v>78109.626262531368</v>
      </c>
      <c r="BK704" s="41">
        <v>79412.819733035591</v>
      </c>
      <c r="BL704" s="41">
        <v>81102.546699843821</v>
      </c>
      <c r="BM704" s="41">
        <v>82900.541330802618</v>
      </c>
      <c r="BN704" s="41">
        <v>84261.4546370764</v>
      </c>
      <c r="BO704" s="41">
        <v>85176.855380488385</v>
      </c>
      <c r="BP704" s="41"/>
      <c r="BQ704" s="41"/>
      <c r="BR704" s="41"/>
      <c r="BS704" s="41"/>
      <c r="BT704" s="41"/>
      <c r="BU704" s="41"/>
      <c r="BV704" s="41"/>
      <c r="BW704" s="41"/>
      <c r="BX704" s="41"/>
      <c r="BY704" s="41"/>
      <c r="BZ704" s="41"/>
      <c r="CA704" s="41">
        <v>5395.9123287671227</v>
      </c>
      <c r="CB704" s="41">
        <v>5497.6794520547946</v>
      </c>
      <c r="CC704" s="41">
        <v>7444</v>
      </c>
      <c r="CD704" s="41">
        <v>8656.5205479452052</v>
      </c>
      <c r="CE704" s="41">
        <v>9217.860273972603</v>
      </c>
      <c r="CF704" s="41">
        <v>9781.1835616438348</v>
      </c>
      <c r="CG704" s="41">
        <v>9418.5</v>
      </c>
      <c r="CH704" s="41">
        <v>9744.4712328767146</v>
      </c>
      <c r="CI704" s="41">
        <v>10366.082191780823</v>
      </c>
      <c r="CJ704" s="41">
        <v>10697.065753424658</v>
      </c>
      <c r="CK704" s="41">
        <v>11353.5</v>
      </c>
      <c r="CL704" s="41">
        <v>13087.917808219179</v>
      </c>
      <c r="CM704" s="41">
        <v>15380.04109589041</v>
      </c>
      <c r="CN704" s="41">
        <v>17595.367123287673</v>
      </c>
      <c r="CO704" s="41">
        <v>43096.5</v>
      </c>
      <c r="CP704" s="41">
        <v>46048.265166439072</v>
      </c>
      <c r="CQ704" s="41">
        <v>42946.65268185654</v>
      </c>
      <c r="CR704" s="41">
        <v>51527.812658601659</v>
      </c>
      <c r="CS704" s="41">
        <v>54677.16515329347</v>
      </c>
      <c r="CT704" s="41">
        <v>41484.638383519989</v>
      </c>
      <c r="CU704" s="41">
        <v>46101.647826468434</v>
      </c>
      <c r="CV704" s="211">
        <v>45677.033135192272</v>
      </c>
      <c r="CW704" s="41">
        <v>50971.225028316971</v>
      </c>
      <c r="CX704" s="41">
        <v>62901.95734003761</v>
      </c>
      <c r="CY704" s="41">
        <v>64900.05301042668</v>
      </c>
      <c r="CZ704" s="41">
        <v>66985.887096218852</v>
      </c>
      <c r="DA704" s="41">
        <v>69590.717614895693</v>
      </c>
      <c r="DB704" s="41">
        <v>72315.914320742391</v>
      </c>
      <c r="DC704" s="41">
        <v>75532.180974085437</v>
      </c>
      <c r="DD704" s="41">
        <v>78759.437801248554</v>
      </c>
      <c r="DE704" s="41">
        <v>82001.544015323219</v>
      </c>
      <c r="DF704" s="41">
        <v>84717.901035161296</v>
      </c>
    </row>
    <row r="705" spans="1:110" ht="12" outlineLevel="1">
      <c r="A705" s="1" t="s">
        <v>2225</v>
      </c>
      <c r="B705" s="15" t="s">
        <v>2226</v>
      </c>
      <c r="C705" s="141">
        <v>184</v>
      </c>
      <c r="D705" s="141">
        <v>184</v>
      </c>
      <c r="E705" s="141">
        <v>181</v>
      </c>
      <c r="F705" s="141">
        <v>185</v>
      </c>
      <c r="G705" s="141">
        <v>163</v>
      </c>
      <c r="H705" s="141">
        <v>198</v>
      </c>
      <c r="I705" s="141">
        <v>213</v>
      </c>
      <c r="J705" s="141">
        <v>222</v>
      </c>
      <c r="K705" s="141">
        <v>233</v>
      </c>
      <c r="L705" s="141">
        <v>227</v>
      </c>
      <c r="M705" s="141">
        <v>220</v>
      </c>
      <c r="N705" s="141">
        <v>237</v>
      </c>
      <c r="O705" s="141">
        <v>250</v>
      </c>
      <c r="P705" s="141">
        <v>339</v>
      </c>
      <c r="Q705" s="141">
        <v>406</v>
      </c>
      <c r="R705" s="141">
        <v>539</v>
      </c>
      <c r="S705" s="141">
        <v>393</v>
      </c>
      <c r="T705" s="141">
        <v>360</v>
      </c>
      <c r="U705" s="141">
        <v>353</v>
      </c>
      <c r="V705" s="141">
        <v>388</v>
      </c>
      <c r="W705" s="141">
        <v>503</v>
      </c>
      <c r="X705" s="141">
        <v>476</v>
      </c>
      <c r="Y705" s="141">
        <v>530</v>
      </c>
      <c r="Z705" s="141">
        <v>478</v>
      </c>
      <c r="AA705" s="141">
        <v>585</v>
      </c>
      <c r="AB705" s="141">
        <v>619</v>
      </c>
      <c r="AC705" s="141">
        <v>314</v>
      </c>
      <c r="AD705" s="141">
        <v>511</v>
      </c>
      <c r="AE705" s="141">
        <v>494</v>
      </c>
      <c r="AF705" s="141">
        <v>542</v>
      </c>
      <c r="AG705" s="141">
        <v>484</v>
      </c>
      <c r="AH705" s="141">
        <v>553</v>
      </c>
      <c r="AI705" s="141">
        <v>511</v>
      </c>
      <c r="AJ705" s="141">
        <v>770</v>
      </c>
      <c r="AK705" s="141">
        <v>896</v>
      </c>
      <c r="AL705" s="141">
        <v>380</v>
      </c>
      <c r="AM705" s="141">
        <v>898</v>
      </c>
      <c r="AN705" s="141">
        <v>1099</v>
      </c>
      <c r="AO705" s="141">
        <v>710</v>
      </c>
      <c r="AP705" s="141">
        <v>729</v>
      </c>
      <c r="AQ705" s="141">
        <v>642</v>
      </c>
      <c r="AR705" s="141">
        <v>1123</v>
      </c>
      <c r="AS705" s="141">
        <v>870</v>
      </c>
      <c r="AT705" s="141">
        <v>590</v>
      </c>
      <c r="AU705" s="141">
        <v>946</v>
      </c>
      <c r="AV705" s="226">
        <v>1112</v>
      </c>
      <c r="AW705" s="41">
        <v>769.56385089600258</v>
      </c>
      <c r="AX705" s="41">
        <v>1075.0227119420638</v>
      </c>
      <c r="AY705" s="41">
        <v>795.30541019653856</v>
      </c>
      <c r="AZ705" s="41">
        <v>1095.9041203181437</v>
      </c>
      <c r="BA705" s="41">
        <v>810.16780378497288</v>
      </c>
      <c r="BB705" s="41">
        <v>1127.2066828852905</v>
      </c>
      <c r="BC705" s="41">
        <v>839.811358162754</v>
      </c>
      <c r="BD705" s="41">
        <v>1178.1102146051776</v>
      </c>
      <c r="BE705" s="41">
        <v>874.57142129457009</v>
      </c>
      <c r="BF705" s="41">
        <v>1227.0463647058684</v>
      </c>
      <c r="BG705" s="41">
        <v>916.03939493817211</v>
      </c>
      <c r="BH705" s="41">
        <v>1281.9028340139187</v>
      </c>
      <c r="BI705" s="41">
        <v>957.13052645781136</v>
      </c>
      <c r="BJ705" s="41">
        <v>1340.8145113261817</v>
      </c>
      <c r="BK705" s="41">
        <v>1003.966572183464</v>
      </c>
      <c r="BL705" s="41">
        <v>1414.2612867122893</v>
      </c>
      <c r="BM705" s="41">
        <v>1054.2402079968899</v>
      </c>
      <c r="BN705" s="41">
        <v>1473.3338636440751</v>
      </c>
      <c r="BO705" s="41">
        <v>1086.9121660104738</v>
      </c>
      <c r="BP705" s="41"/>
      <c r="BQ705" s="41"/>
      <c r="BR705" s="41"/>
      <c r="BS705" s="41"/>
      <c r="BT705" s="41"/>
      <c r="BU705" s="41"/>
      <c r="BV705" s="41"/>
      <c r="BW705" s="41"/>
      <c r="BX705" s="41"/>
      <c r="BY705" s="41"/>
      <c r="BZ705" s="41"/>
      <c r="CA705" s="41"/>
      <c r="CB705" s="41"/>
      <c r="CC705" s="41"/>
      <c r="CD705" s="41"/>
      <c r="CE705" s="41">
        <v>447</v>
      </c>
      <c r="CF705" s="41">
        <v>487</v>
      </c>
      <c r="CG705" s="41">
        <v>745</v>
      </c>
      <c r="CH705" s="41">
        <v>932</v>
      </c>
      <c r="CI705" s="41">
        <v>713</v>
      </c>
      <c r="CJ705" s="41">
        <v>891</v>
      </c>
      <c r="CK705" s="41">
        <v>1006</v>
      </c>
      <c r="CL705" s="41">
        <v>1063</v>
      </c>
      <c r="CM705" s="41">
        <v>933</v>
      </c>
      <c r="CN705" s="41">
        <v>1005</v>
      </c>
      <c r="CO705" s="41">
        <v>1026</v>
      </c>
      <c r="CP705" s="41">
        <v>1064</v>
      </c>
      <c r="CQ705" s="41">
        <v>1666</v>
      </c>
      <c r="CR705" s="41">
        <v>1278</v>
      </c>
      <c r="CS705" s="41">
        <v>1809</v>
      </c>
      <c r="CT705" s="41">
        <v>1371</v>
      </c>
      <c r="CU705" s="41">
        <v>1993</v>
      </c>
      <c r="CV705" s="211">
        <v>1536</v>
      </c>
      <c r="CW705" s="41">
        <v>1881.5638508960026</v>
      </c>
      <c r="CX705" s="41">
        <v>1870.3281221386023</v>
      </c>
      <c r="CY705" s="41">
        <v>1906.0719241031165</v>
      </c>
      <c r="CZ705" s="41">
        <v>1967.0180410480446</v>
      </c>
      <c r="DA705" s="41">
        <v>2052.6816358997476</v>
      </c>
      <c r="DB705" s="41">
        <v>2143.0857596440405</v>
      </c>
      <c r="DC705" s="41">
        <v>2239.0333604717298</v>
      </c>
      <c r="DD705" s="41">
        <v>2344.7810835096457</v>
      </c>
      <c r="DE705" s="41">
        <v>2468.5014947091795</v>
      </c>
      <c r="DF705" s="41">
        <v>2560.2460296545487</v>
      </c>
    </row>
    <row r="706" spans="1:110" ht="12" outlineLevel="1">
      <c r="A706" s="1" t="s">
        <v>2227</v>
      </c>
      <c r="B706" s="15" t="s">
        <v>2228</v>
      </c>
      <c r="C706" s="141">
        <v>0</v>
      </c>
      <c r="D706" s="141">
        <v>0</v>
      </c>
      <c r="E706" s="141">
        <v>0</v>
      </c>
      <c r="F706" s="141">
        <v>0</v>
      </c>
      <c r="G706" s="141">
        <v>0</v>
      </c>
      <c r="H706" s="141">
        <v>0</v>
      </c>
      <c r="I706" s="141">
        <v>0</v>
      </c>
      <c r="J706" s="141">
        <v>0</v>
      </c>
      <c r="K706" s="141">
        <v>0</v>
      </c>
      <c r="L706" s="141">
        <v>0</v>
      </c>
      <c r="M706" s="141">
        <v>0</v>
      </c>
      <c r="N706" s="141">
        <v>0</v>
      </c>
      <c r="O706" s="141">
        <v>-45</v>
      </c>
      <c r="P706" s="141">
        <v>-226</v>
      </c>
      <c r="Q706" s="141">
        <v>-305</v>
      </c>
      <c r="R706" s="141">
        <v>-812</v>
      </c>
      <c r="S706" s="141">
        <v>759</v>
      </c>
      <c r="T706" s="141">
        <v>64</v>
      </c>
      <c r="U706" s="141">
        <v>5</v>
      </c>
      <c r="V706" s="141">
        <v>55</v>
      </c>
      <c r="W706" s="141">
        <v>-51</v>
      </c>
      <c r="X706" s="141">
        <v>52</v>
      </c>
      <c r="Y706" s="141">
        <v>21</v>
      </c>
      <c r="Z706" s="141">
        <v>48</v>
      </c>
      <c r="AA706" s="141">
        <v>15</v>
      </c>
      <c r="AB706" s="141">
        <v>9</v>
      </c>
      <c r="AC706" s="141">
        <v>242</v>
      </c>
      <c r="AD706" s="141">
        <v>4</v>
      </c>
      <c r="AE706" s="141">
        <v>0</v>
      </c>
      <c r="AF706" s="141">
        <v>6719</v>
      </c>
      <c r="AG706" s="141">
        <v>-20</v>
      </c>
      <c r="AH706" s="141">
        <v>271</v>
      </c>
      <c r="AI706" s="141">
        <v>-5213</v>
      </c>
      <c r="AJ706" s="141">
        <v>2044</v>
      </c>
      <c r="AK706" s="141">
        <v>104</v>
      </c>
      <c r="AL706" s="141">
        <v>706</v>
      </c>
      <c r="AM706" s="141">
        <v>1415</v>
      </c>
      <c r="AN706" s="141">
        <v>706</v>
      </c>
      <c r="AO706" s="141">
        <v>-706</v>
      </c>
      <c r="AP706" s="141">
        <v>706</v>
      </c>
      <c r="AQ706" s="141">
        <v>-706</v>
      </c>
      <c r="AR706" s="141">
        <v>706</v>
      </c>
      <c r="AS706" s="141">
        <v>-706</v>
      </c>
      <c r="AT706" s="141">
        <v>706</v>
      </c>
      <c r="AU706" s="141">
        <v>-706</v>
      </c>
      <c r="AV706" s="226">
        <v>706</v>
      </c>
      <c r="AW706" s="41">
        <v>706</v>
      </c>
      <c r="AX706" s="41">
        <v>706</v>
      </c>
      <c r="AY706" s="41">
        <v>706</v>
      </c>
      <c r="AZ706" s="41">
        <v>706</v>
      </c>
      <c r="BA706" s="41">
        <v>706</v>
      </c>
      <c r="BB706" s="41">
        <v>706</v>
      </c>
      <c r="BC706" s="41">
        <v>706</v>
      </c>
      <c r="BD706" s="41">
        <v>706</v>
      </c>
      <c r="BE706" s="41">
        <v>706</v>
      </c>
      <c r="BF706" s="41">
        <v>706</v>
      </c>
      <c r="BG706" s="41">
        <v>706</v>
      </c>
      <c r="BH706" s="41">
        <v>706</v>
      </c>
      <c r="BI706" s="41">
        <v>706</v>
      </c>
      <c r="BJ706" s="41">
        <v>706</v>
      </c>
      <c r="BK706" s="41">
        <v>706</v>
      </c>
      <c r="BL706" s="41">
        <v>706</v>
      </c>
      <c r="BM706" s="41">
        <v>706</v>
      </c>
      <c r="BN706" s="41">
        <v>706</v>
      </c>
      <c r="BO706" s="41">
        <v>706</v>
      </c>
      <c r="BP706" s="41"/>
      <c r="BQ706" s="41"/>
      <c r="BR706" s="41"/>
      <c r="BS706" s="41"/>
      <c r="BT706" s="41"/>
      <c r="BU706" s="41"/>
      <c r="BV706" s="41"/>
      <c r="BW706" s="41"/>
      <c r="BX706" s="41"/>
      <c r="BY706" s="41"/>
      <c r="BZ706" s="41"/>
      <c r="CA706" s="41"/>
      <c r="CB706" s="41"/>
      <c r="CC706" s="41"/>
      <c r="CD706" s="41"/>
      <c r="CE706" s="41">
        <v>0</v>
      </c>
      <c r="CF706" s="41">
        <v>-45</v>
      </c>
      <c r="CG706" s="41">
        <v>-531</v>
      </c>
      <c r="CH706" s="41">
        <v>-53</v>
      </c>
      <c r="CI706" s="41">
        <v>69</v>
      </c>
      <c r="CJ706" s="41">
        <v>4</v>
      </c>
      <c r="CK706" s="41">
        <v>73</v>
      </c>
      <c r="CL706" s="41">
        <v>63</v>
      </c>
      <c r="CM706" s="41">
        <v>251</v>
      </c>
      <c r="CN706" s="41">
        <v>4</v>
      </c>
      <c r="CO706" s="41">
        <v>6699</v>
      </c>
      <c r="CP706" s="41">
        <v>-4942</v>
      </c>
      <c r="CQ706" s="41">
        <v>2148</v>
      </c>
      <c r="CR706" s="41">
        <v>2121</v>
      </c>
      <c r="CS706" s="41">
        <v>0</v>
      </c>
      <c r="CT706" s="41">
        <v>0</v>
      </c>
      <c r="CU706" s="41">
        <v>0</v>
      </c>
      <c r="CV706" s="211">
        <v>0</v>
      </c>
      <c r="CW706" s="41">
        <v>1412</v>
      </c>
      <c r="CX706" s="41">
        <v>1412</v>
      </c>
      <c r="CY706" s="41">
        <v>1412</v>
      </c>
      <c r="CZ706" s="41">
        <v>1412</v>
      </c>
      <c r="DA706" s="41">
        <v>1412</v>
      </c>
      <c r="DB706" s="41">
        <v>1412</v>
      </c>
      <c r="DC706" s="41">
        <v>1412</v>
      </c>
      <c r="DD706" s="41">
        <v>1412</v>
      </c>
      <c r="DE706" s="41">
        <v>1412</v>
      </c>
      <c r="DF706" s="41">
        <v>1412</v>
      </c>
    </row>
    <row r="707" spans="1:110" ht="12" outlineLevel="1">
      <c r="A707" s="1" t="s">
        <v>2229</v>
      </c>
      <c r="B707" s="15" t="s">
        <v>2230</v>
      </c>
      <c r="C707" s="41"/>
      <c r="D707" s="41"/>
      <c r="E707" s="41"/>
      <c r="F707" s="41"/>
      <c r="G707" s="41"/>
      <c r="H707" s="41"/>
      <c r="I707" s="41"/>
      <c r="J707" s="41"/>
      <c r="K707" s="41"/>
      <c r="L707" s="41"/>
      <c r="M707" s="41"/>
      <c r="N707" s="41"/>
      <c r="O707" s="41"/>
      <c r="P707" s="41"/>
      <c r="Q707" s="41"/>
      <c r="R707" s="41"/>
      <c r="S707" s="41"/>
      <c r="T707" s="41"/>
      <c r="U707" s="41"/>
      <c r="V707" s="41"/>
      <c r="W707" s="41"/>
      <c r="X707" s="41"/>
      <c r="Y707" s="41"/>
      <c r="Z707" s="41"/>
      <c r="AA707" s="41"/>
      <c r="AB707" s="41"/>
      <c r="AC707" s="41"/>
      <c r="AD707" s="41"/>
      <c r="AE707" s="41"/>
      <c r="AF707" s="41"/>
      <c r="AG707" s="41"/>
      <c r="AH707" s="41"/>
      <c r="AI707" s="41"/>
      <c r="AJ707" s="41"/>
      <c r="AK707" s="41"/>
      <c r="AL707" s="41"/>
      <c r="AM707" s="41"/>
      <c r="AN707" s="41"/>
      <c r="AO707" s="41"/>
      <c r="AP707" s="41"/>
      <c r="AQ707" s="41"/>
      <c r="AR707" s="41"/>
      <c r="AS707" s="41"/>
      <c r="AT707" s="41"/>
      <c r="AU707" s="41"/>
      <c r="AV707" s="211"/>
      <c r="AW707" s="41"/>
      <c r="AX707" s="41"/>
      <c r="AY707" s="41"/>
      <c r="AZ707" s="41"/>
      <c r="BA707" s="41"/>
      <c r="BB707" s="41"/>
      <c r="BC707" s="41"/>
      <c r="BD707" s="41"/>
      <c r="BE707" s="41"/>
      <c r="BF707" s="41"/>
      <c r="BG707" s="41"/>
      <c r="BH707" s="41"/>
      <c r="BI707" s="41"/>
      <c r="BJ707" s="41"/>
      <c r="BK707" s="41"/>
      <c r="BL707" s="41"/>
      <c r="BM707" s="41"/>
      <c r="BN707" s="41"/>
      <c r="BO707" s="41"/>
      <c r="BP707" s="41"/>
      <c r="BQ707" s="41"/>
      <c r="BR707" s="41"/>
      <c r="BS707" s="41"/>
      <c r="BT707" s="41"/>
      <c r="BU707" s="41"/>
      <c r="BV707" s="41"/>
      <c r="BW707" s="41"/>
      <c r="BX707" s="41"/>
      <c r="BY707" s="41"/>
      <c r="BZ707" s="41"/>
      <c r="CA707" s="41"/>
      <c r="CB707" s="41"/>
      <c r="CC707" s="41"/>
      <c r="CD707" s="41"/>
      <c r="CE707" s="41">
        <v>0</v>
      </c>
      <c r="CF707" s="41">
        <v>0</v>
      </c>
      <c r="CG707" s="41">
        <v>0</v>
      </c>
      <c r="CH707" s="41">
        <v>0</v>
      </c>
      <c r="CI707" s="41">
        <v>0</v>
      </c>
      <c r="CJ707" s="41">
        <v>0</v>
      </c>
      <c r="CK707" s="41">
        <v>0</v>
      </c>
      <c r="CL707" s="41">
        <v>0</v>
      </c>
      <c r="CM707" s="41">
        <v>0</v>
      </c>
      <c r="CN707" s="41">
        <v>0</v>
      </c>
      <c r="CO707" s="41">
        <v>0</v>
      </c>
      <c r="CP707" s="41">
        <v>0</v>
      </c>
      <c r="CQ707" s="41">
        <v>0</v>
      </c>
      <c r="CR707" s="41">
        <v>0</v>
      </c>
      <c r="CS707" s="41">
        <v>0</v>
      </c>
      <c r="CT707" s="41">
        <v>0</v>
      </c>
      <c r="CU707" s="41">
        <v>0</v>
      </c>
      <c r="CV707" s="211">
        <v>0</v>
      </c>
      <c r="CW707" s="41">
        <v>0</v>
      </c>
      <c r="CX707" s="41">
        <v>0</v>
      </c>
      <c r="CY707" s="41">
        <v>0</v>
      </c>
      <c r="CZ707" s="41">
        <v>0</v>
      </c>
      <c r="DA707" s="41">
        <v>0</v>
      </c>
      <c r="DB707" s="41">
        <v>0</v>
      </c>
      <c r="DC707" s="41">
        <v>0</v>
      </c>
      <c r="DD707" s="41">
        <v>0</v>
      </c>
      <c r="DE707" s="41">
        <v>0</v>
      </c>
      <c r="DF707" s="41">
        <v>0</v>
      </c>
    </row>
    <row r="708" spans="1:110" ht="12" outlineLevel="1">
      <c r="A708" s="1" t="s">
        <v>2231</v>
      </c>
      <c r="B708" s="15" t="s">
        <v>2232</v>
      </c>
      <c r="C708" s="141">
        <v>-577</v>
      </c>
      <c r="D708" s="141">
        <v>-577</v>
      </c>
      <c r="E708" s="141">
        <v>-557</v>
      </c>
      <c r="F708" s="141">
        <v>-586</v>
      </c>
      <c r="G708" s="141">
        <v>-591</v>
      </c>
      <c r="H708" s="141">
        <v>-684</v>
      </c>
      <c r="I708" s="141">
        <v>-747</v>
      </c>
      <c r="J708" s="141">
        <v>-793</v>
      </c>
      <c r="K708" s="141">
        <v>-832</v>
      </c>
      <c r="L708" s="141">
        <v>-872</v>
      </c>
      <c r="M708" s="141">
        <v>-874</v>
      </c>
      <c r="N708" s="141">
        <v>-942</v>
      </c>
      <c r="O708" s="141">
        <v>-950</v>
      </c>
      <c r="P708" s="141">
        <v>-1032</v>
      </c>
      <c r="Q708" s="141">
        <v>-1035</v>
      </c>
      <c r="R708" s="141">
        <v>-1129</v>
      </c>
      <c r="S708" s="141">
        <v>-1109</v>
      </c>
      <c r="T708" s="141">
        <v>-1242</v>
      </c>
      <c r="U708" s="141">
        <v>-1382</v>
      </c>
      <c r="V708" s="141">
        <v>-1475</v>
      </c>
      <c r="W708" s="141">
        <v>-1485</v>
      </c>
      <c r="X708" s="141">
        <v>-1554</v>
      </c>
      <c r="Y708" s="141">
        <v>-1512</v>
      </c>
      <c r="Z708" s="141">
        <v>-1547</v>
      </c>
      <c r="AA708" s="141">
        <v>-1556</v>
      </c>
      <c r="AB708" s="141">
        <v>-1745</v>
      </c>
      <c r="AC708" s="141">
        <v>-1750</v>
      </c>
      <c r="AD708" s="141">
        <v>-1852</v>
      </c>
      <c r="AE708" s="141">
        <v>-1867</v>
      </c>
      <c r="AF708" s="141">
        <v>-2467</v>
      </c>
      <c r="AG708" s="141">
        <v>-2412</v>
      </c>
      <c r="AH708" s="141">
        <v>-2329</v>
      </c>
      <c r="AI708" s="141">
        <v>-2227</v>
      </c>
      <c r="AJ708" s="141">
        <v>-2133</v>
      </c>
      <c r="AK708" s="141">
        <v>-2092</v>
      </c>
      <c r="AL708" s="141">
        <v>-2127</v>
      </c>
      <c r="AM708" s="141">
        <v>-2122</v>
      </c>
      <c r="AN708" s="141">
        <v>-2177</v>
      </c>
      <c r="AO708" s="141">
        <v>-2133</v>
      </c>
      <c r="AP708" s="141">
        <v>-2196</v>
      </c>
      <c r="AQ708" s="141">
        <v>-2229</v>
      </c>
      <c r="AR708" s="141">
        <v>-2378</v>
      </c>
      <c r="AS708" s="141">
        <v>-2376</v>
      </c>
      <c r="AT708" s="141">
        <v>-2608</v>
      </c>
      <c r="AU708" s="141">
        <v>-2572</v>
      </c>
      <c r="AV708" s="226">
        <v>-2744</v>
      </c>
      <c r="AW708" s="41">
        <v>-2869.9998610490798</v>
      </c>
      <c r="AX708" s="41">
        <v>-3087.2942588998267</v>
      </c>
      <c r="AY708" s="41">
        <v>-3111.4081038722034</v>
      </c>
      <c r="AZ708" s="41">
        <v>-3124.7788698581689</v>
      </c>
      <c r="BA708" s="41">
        <v>-3172.7709466872238</v>
      </c>
      <c r="BB708" s="41">
        <v>-3194.2786105756099</v>
      </c>
      <c r="BC708" s="41">
        <v>-3251.3521330282092</v>
      </c>
      <c r="BD708" s="41">
        <v>-3298.6004623166682</v>
      </c>
      <c r="BE708" s="41">
        <v>-3355.6866660823994</v>
      </c>
      <c r="BF708" s="41">
        <v>-3421.1609463629588</v>
      </c>
      <c r="BG708" s="41">
        <v>-3516.6939158801101</v>
      </c>
      <c r="BH708" s="41">
        <v>-3566.7138256123753</v>
      </c>
      <c r="BI708" s="41">
        <v>-3675.2599398489738</v>
      </c>
      <c r="BJ708" s="41">
        <v>-3745.8144526088822</v>
      </c>
      <c r="BK708" s="41">
        <v>-3857.884857988608</v>
      </c>
      <c r="BL708" s="41">
        <v>-3952.347635788622</v>
      </c>
      <c r="BM708" s="41">
        <v>-4040.3908274325936</v>
      </c>
      <c r="BN708" s="41">
        <v>-4108.9629801864294</v>
      </c>
      <c r="BO708" s="41">
        <v>-4182.125636038928</v>
      </c>
      <c r="BP708" s="41"/>
      <c r="BQ708" s="41"/>
      <c r="BR708" s="41"/>
      <c r="BS708" s="41"/>
      <c r="BT708" s="41"/>
      <c r="BU708" s="41"/>
      <c r="BV708" s="41"/>
      <c r="BW708" s="41"/>
      <c r="BX708" s="41"/>
      <c r="BY708" s="41"/>
      <c r="BZ708" s="41"/>
      <c r="CA708" s="41"/>
      <c r="CB708" s="41"/>
      <c r="CC708" s="41"/>
      <c r="CD708" s="41"/>
      <c r="CE708" s="41">
        <v>-1746</v>
      </c>
      <c r="CF708" s="41">
        <v>-1892</v>
      </c>
      <c r="CG708" s="41">
        <v>-2067</v>
      </c>
      <c r="CH708" s="41">
        <v>-2238</v>
      </c>
      <c r="CI708" s="41">
        <v>-2624</v>
      </c>
      <c r="CJ708" s="41">
        <v>-2960</v>
      </c>
      <c r="CK708" s="41">
        <v>-3066</v>
      </c>
      <c r="CL708" s="41">
        <v>-3103</v>
      </c>
      <c r="CM708" s="41">
        <v>-3495</v>
      </c>
      <c r="CN708" s="41">
        <v>-3719</v>
      </c>
      <c r="CO708" s="41">
        <v>-4879</v>
      </c>
      <c r="CP708" s="41">
        <v>-4556</v>
      </c>
      <c r="CQ708" s="41">
        <v>-4225</v>
      </c>
      <c r="CR708" s="41">
        <v>-4249</v>
      </c>
      <c r="CS708" s="41">
        <v>-4310</v>
      </c>
      <c r="CT708" s="41">
        <v>-4425</v>
      </c>
      <c r="CU708" s="41">
        <v>-4754</v>
      </c>
      <c r="CV708" s="211">
        <v>-5180</v>
      </c>
      <c r="CW708" s="41">
        <v>-5613.9998610490802</v>
      </c>
      <c r="CX708" s="41">
        <v>-6198.70236277203</v>
      </c>
      <c r="CY708" s="41">
        <v>-6297.5498165453928</v>
      </c>
      <c r="CZ708" s="41">
        <v>-6445.6307436038187</v>
      </c>
      <c r="DA708" s="41">
        <v>-6654.287128399068</v>
      </c>
      <c r="DB708" s="41">
        <v>-6937.854862243069</v>
      </c>
      <c r="DC708" s="41">
        <v>-7241.9737654613491</v>
      </c>
      <c r="DD708" s="41">
        <v>-7603.6993105974907</v>
      </c>
      <c r="DE708" s="41">
        <v>-7992.7384632212161</v>
      </c>
      <c r="DF708" s="41">
        <v>-8291.0886162253573</v>
      </c>
    </row>
    <row r="709" spans="1:110" ht="12" outlineLevel="1">
      <c r="A709" s="1" t="s">
        <v>2233</v>
      </c>
      <c r="B709" s="15" t="s">
        <v>2234</v>
      </c>
      <c r="C709" s="141">
        <v>0</v>
      </c>
      <c r="D709" s="141">
        <v>0</v>
      </c>
      <c r="E709" s="141">
        <v>0</v>
      </c>
      <c r="F709" s="141">
        <v>0</v>
      </c>
      <c r="G709" s="141">
        <v>0</v>
      </c>
      <c r="H709" s="141">
        <v>0</v>
      </c>
      <c r="I709" s="141">
        <v>0</v>
      </c>
      <c r="J709" s="141">
        <v>-41</v>
      </c>
      <c r="K709" s="141">
        <v>-39</v>
      </c>
      <c r="L709" s="141">
        <v>-38</v>
      </c>
      <c r="M709" s="141">
        <v>-38</v>
      </c>
      <c r="N709" s="141">
        <v>-36</v>
      </c>
      <c r="O709" s="141">
        <v>-26</v>
      </c>
      <c r="P709" s="141">
        <v>-44</v>
      </c>
      <c r="Q709" s="141">
        <v>-40</v>
      </c>
      <c r="R709" s="141">
        <v>-52</v>
      </c>
      <c r="S709" s="141">
        <v>-51</v>
      </c>
      <c r="T709" s="141">
        <v>-65</v>
      </c>
      <c r="U709" s="141">
        <v>-75</v>
      </c>
      <c r="V709" s="141">
        <v>-78</v>
      </c>
      <c r="W709" s="141">
        <v>-88</v>
      </c>
      <c r="X709" s="141">
        <v>-101</v>
      </c>
      <c r="Y709" s="141">
        <v>-88</v>
      </c>
      <c r="Z709" s="141">
        <v>-101</v>
      </c>
      <c r="AA709" s="141">
        <v>-99</v>
      </c>
      <c r="AB709" s="141">
        <v>-110</v>
      </c>
      <c r="AC709" s="141">
        <v>-105</v>
      </c>
      <c r="AD709" s="141">
        <v>-108</v>
      </c>
      <c r="AE709" s="141">
        <v>-108</v>
      </c>
      <c r="AF709" s="141">
        <v>-92</v>
      </c>
      <c r="AG709" s="141">
        <v>-90</v>
      </c>
      <c r="AH709" s="141">
        <v>-87.75</v>
      </c>
      <c r="AI709" s="141">
        <v>-78.975000000000009</v>
      </c>
      <c r="AJ709" s="141">
        <v>-63.604026845637584</v>
      </c>
      <c r="AK709" s="141">
        <v>-55.484363844066834</v>
      </c>
      <c r="AL709" s="141">
        <v>-36.862899266263582</v>
      </c>
      <c r="AM709" s="141">
        <v>-31.596770799654497</v>
      </c>
      <c r="AN709" s="141">
        <v>-27.082946399703854</v>
      </c>
      <c r="AO709" s="141">
        <v>-23.213954056889015</v>
      </c>
      <c r="AP709" s="141">
        <v>-19.897674905904868</v>
      </c>
      <c r="AQ709" s="141">
        <v>-17.055149919347027</v>
      </c>
      <c r="AR709" s="141">
        <v>-14.61869993086888</v>
      </c>
      <c r="AS709" s="141">
        <v>-12.530314226459039</v>
      </c>
      <c r="AT709" s="141">
        <v>-10.740269336964889</v>
      </c>
      <c r="AU709" s="141">
        <v>-9.2059451459699044</v>
      </c>
      <c r="AV709" s="226">
        <v>-7.8908101251170608</v>
      </c>
      <c r="AW709" s="41">
        <v>-8.2531428435315739</v>
      </c>
      <c r="AX709" s="41">
        <v>-8.8780075792064608</v>
      </c>
      <c r="AY709" s="41">
        <v>-8.9473507905998755</v>
      </c>
      <c r="AZ709" s="41">
        <v>-8.9858005630571025</v>
      </c>
      <c r="BA709" s="41">
        <v>-9.1238094427102006</v>
      </c>
      <c r="BB709" s="41">
        <v>-9.1856581642765605</v>
      </c>
      <c r="BC709" s="41">
        <v>-9.3497821908235963</v>
      </c>
      <c r="BD709" s="41">
        <v>-9.4856523056720778</v>
      </c>
      <c r="BE709" s="41">
        <v>-9.6498127993598057</v>
      </c>
      <c r="BF709" s="41">
        <v>-9.8380945463614786</v>
      </c>
      <c r="BG709" s="41">
        <v>-10.112814853631317</v>
      </c>
      <c r="BH709" s="41">
        <v>-10.256655090574757</v>
      </c>
      <c r="BI709" s="41">
        <v>-10.56879677324978</v>
      </c>
      <c r="BJ709" s="41">
        <v>-10.771687539889205</v>
      </c>
      <c r="BK709" s="41">
        <v>-11.093963884457834</v>
      </c>
      <c r="BL709" s="41">
        <v>-11.365606684571183</v>
      </c>
      <c r="BM709" s="41">
        <v>-11.618788939699417</v>
      </c>
      <c r="BN709" s="41">
        <v>-11.815979113624724</v>
      </c>
      <c r="BO709" s="41">
        <v>-12.026370012160202</v>
      </c>
      <c r="BP709" s="41"/>
      <c r="BQ709" s="41"/>
      <c r="BR709" s="41"/>
      <c r="BS709" s="41"/>
      <c r="BT709" s="41"/>
      <c r="BU709" s="41"/>
      <c r="BV709" s="41"/>
      <c r="BW709" s="41"/>
      <c r="BX709" s="41"/>
      <c r="BY709" s="41"/>
      <c r="BZ709" s="41"/>
      <c r="CA709" s="41"/>
      <c r="CB709" s="41"/>
      <c r="CC709" s="41"/>
      <c r="CD709" s="41"/>
      <c r="CE709" s="41">
        <v>-76</v>
      </c>
      <c r="CF709" s="41">
        <v>-62</v>
      </c>
      <c r="CG709" s="41">
        <v>-84</v>
      </c>
      <c r="CH709" s="41">
        <v>-103</v>
      </c>
      <c r="CI709" s="41">
        <v>-140</v>
      </c>
      <c r="CJ709" s="41">
        <v>-166</v>
      </c>
      <c r="CK709" s="41">
        <v>-189</v>
      </c>
      <c r="CL709" s="41">
        <v>-200</v>
      </c>
      <c r="CM709" s="41">
        <v>-215</v>
      </c>
      <c r="CN709" s="41">
        <v>-216</v>
      </c>
      <c r="CO709" s="41">
        <v>-182</v>
      </c>
      <c r="CP709" s="41">
        <v>-166.72500000000002</v>
      </c>
      <c r="CQ709" s="41">
        <v>-119.08839068970443</v>
      </c>
      <c r="CR709" s="41">
        <v>-68.459670065918075</v>
      </c>
      <c r="CS709" s="41">
        <v>-50.296900456592866</v>
      </c>
      <c r="CT709" s="41">
        <v>-36.952824825251895</v>
      </c>
      <c r="CU709" s="41">
        <v>-27.149014157327919</v>
      </c>
      <c r="CV709" s="211">
        <v>-19.946214482934792</v>
      </c>
      <c r="CW709" s="41">
        <v>-16.143952968648634</v>
      </c>
      <c r="CX709" s="41">
        <v>-17.825358369806338</v>
      </c>
      <c r="CY709" s="41">
        <v>-18.109610005767301</v>
      </c>
      <c r="CZ709" s="41">
        <v>-18.535440355100157</v>
      </c>
      <c r="DA709" s="41">
        <v>-19.135465105031884</v>
      </c>
      <c r="DB709" s="41">
        <v>-19.950909399992796</v>
      </c>
      <c r="DC709" s="41">
        <v>-20.825451863824537</v>
      </c>
      <c r="DD709" s="41">
        <v>-21.865651424347039</v>
      </c>
      <c r="DE709" s="41">
        <v>-22.984395624270601</v>
      </c>
      <c r="DF709" s="41">
        <v>-23.842349125784928</v>
      </c>
    </row>
    <row r="710" spans="1:110" ht="12" outlineLevel="1">
      <c r="A710" s="1" t="s">
        <v>2235</v>
      </c>
      <c r="B710" s="15" t="s">
        <v>2236</v>
      </c>
      <c r="C710" s="141">
        <v>-149</v>
      </c>
      <c r="D710" s="141">
        <v>-149</v>
      </c>
      <c r="E710" s="141">
        <v>-150</v>
      </c>
      <c r="F710" s="141">
        <v>-139</v>
      </c>
      <c r="G710" s="141">
        <v>-156</v>
      </c>
      <c r="H710" s="141">
        <v>-167</v>
      </c>
      <c r="I710" s="141">
        <v>-186</v>
      </c>
      <c r="J710" s="141">
        <v>-194</v>
      </c>
      <c r="K710" s="141">
        <v>-200</v>
      </c>
      <c r="L710" s="141">
        <v>-205</v>
      </c>
      <c r="M710" s="141">
        <v>-208</v>
      </c>
      <c r="N710" s="141">
        <v>-223</v>
      </c>
      <c r="O710" s="141">
        <v>-239</v>
      </c>
      <c r="P710" s="141">
        <v>-252</v>
      </c>
      <c r="Q710" s="141">
        <v>-260</v>
      </c>
      <c r="R710" s="141">
        <v>-284</v>
      </c>
      <c r="S710" s="141">
        <v>-275</v>
      </c>
      <c r="T710" s="141">
        <v>-300</v>
      </c>
      <c r="U710" s="141">
        <v>-333</v>
      </c>
      <c r="V710" s="141">
        <v>-341</v>
      </c>
      <c r="W710" s="141">
        <v>-340</v>
      </c>
      <c r="X710" s="141">
        <v>-353</v>
      </c>
      <c r="Y710" s="141">
        <v>-363</v>
      </c>
      <c r="Z710" s="141">
        <v>-356</v>
      </c>
      <c r="AA710" s="141">
        <v>-377</v>
      </c>
      <c r="AB710" s="141">
        <v>-442</v>
      </c>
      <c r="AC710" s="141">
        <v>-446</v>
      </c>
      <c r="AD710" s="141">
        <v>-455</v>
      </c>
      <c r="AE710" s="141">
        <v>-467</v>
      </c>
      <c r="AF710" s="141">
        <v>-458</v>
      </c>
      <c r="AG710" s="141">
        <v>-470</v>
      </c>
      <c r="AH710" s="141">
        <v>-457</v>
      </c>
      <c r="AI710" s="141">
        <v>-454</v>
      </c>
      <c r="AJ710" s="141">
        <v>-395</v>
      </c>
      <c r="AK710" s="141">
        <v>-416</v>
      </c>
      <c r="AL710" s="141">
        <v>-406</v>
      </c>
      <c r="AM710" s="141">
        <v>-389</v>
      </c>
      <c r="AN710" s="141">
        <v>-405</v>
      </c>
      <c r="AO710" s="141">
        <v>-384</v>
      </c>
      <c r="AP710" s="141">
        <v>-350</v>
      </c>
      <c r="AQ710" s="141">
        <v>-355</v>
      </c>
      <c r="AR710" s="141">
        <v>-341</v>
      </c>
      <c r="AS710" s="141">
        <v>-380</v>
      </c>
      <c r="AT710" s="141">
        <v>-334</v>
      </c>
      <c r="AU710" s="141">
        <v>-324</v>
      </c>
      <c r="AV710" s="226">
        <v>-321</v>
      </c>
      <c r="AW710" s="41">
        <v>-331.47016825034217</v>
      </c>
      <c r="AX710" s="41">
        <v>-341.95048783496048</v>
      </c>
      <c r="AY710" s="41">
        <v>-342.0189877729548</v>
      </c>
      <c r="AZ710" s="41">
        <v>-345.62010583766954</v>
      </c>
      <c r="BA710" s="41">
        <v>-346.34294885578095</v>
      </c>
      <c r="BB710" s="41">
        <v>-352.20610247363101</v>
      </c>
      <c r="BC710" s="41">
        <v>-353.11947457723056</v>
      </c>
      <c r="BD710" s="41">
        <v>-361.86577839746792</v>
      </c>
      <c r="BE710" s="41">
        <v>-364.51373698148205</v>
      </c>
      <c r="BF710" s="41">
        <v>-374.96332390281094</v>
      </c>
      <c r="BG710" s="41">
        <v>-379.90921498014865</v>
      </c>
      <c r="BH710" s="41">
        <v>-389.84195396024609</v>
      </c>
      <c r="BI710" s="41">
        <v>-396.17434457587427</v>
      </c>
      <c r="BJ710" s="41">
        <v>-408.35953010780923</v>
      </c>
      <c r="BK710" s="41">
        <v>-414.64353558980508</v>
      </c>
      <c r="BL710" s="41">
        <v>-428.49877794180043</v>
      </c>
      <c r="BM710" s="41">
        <v>-433.85333697900876</v>
      </c>
      <c r="BN710" s="41">
        <v>-445.18848484874951</v>
      </c>
      <c r="BO710" s="41">
        <v>-446.68664202658124</v>
      </c>
      <c r="BP710" s="41"/>
      <c r="BQ710" s="41"/>
      <c r="BR710" s="41"/>
      <c r="BS710" s="41"/>
      <c r="BT710" s="41"/>
      <c r="BU710" s="41"/>
      <c r="BV710" s="41"/>
      <c r="BW710" s="41"/>
      <c r="BX710" s="41"/>
      <c r="BY710" s="41"/>
      <c r="BZ710" s="41"/>
      <c r="CA710" s="41"/>
      <c r="CB710" s="41"/>
      <c r="CC710" s="41"/>
      <c r="CD710" s="41"/>
      <c r="CE710" s="41">
        <v>-413</v>
      </c>
      <c r="CF710" s="41">
        <v>-462</v>
      </c>
      <c r="CG710" s="41">
        <v>-512</v>
      </c>
      <c r="CH710" s="41">
        <v>-559</v>
      </c>
      <c r="CI710" s="41">
        <v>-633</v>
      </c>
      <c r="CJ710" s="41">
        <v>-681</v>
      </c>
      <c r="CK710" s="41">
        <v>-716</v>
      </c>
      <c r="CL710" s="41">
        <v>-733</v>
      </c>
      <c r="CM710" s="41">
        <v>-888</v>
      </c>
      <c r="CN710" s="41">
        <v>-922</v>
      </c>
      <c r="CO710" s="41">
        <v>-928</v>
      </c>
      <c r="CP710" s="41">
        <v>-911</v>
      </c>
      <c r="CQ710" s="41">
        <v>-811</v>
      </c>
      <c r="CR710" s="41">
        <v>-795</v>
      </c>
      <c r="CS710" s="41">
        <v>-789</v>
      </c>
      <c r="CT710" s="41">
        <v>-705</v>
      </c>
      <c r="CU710" s="41">
        <v>-721</v>
      </c>
      <c r="CV710" s="211">
        <v>-658</v>
      </c>
      <c r="CW710" s="41">
        <v>-652.47016825034211</v>
      </c>
      <c r="CX710" s="41">
        <v>-683.96947560791523</v>
      </c>
      <c r="CY710" s="41">
        <v>-691.96305469345043</v>
      </c>
      <c r="CZ710" s="41">
        <v>-705.32557705086151</v>
      </c>
      <c r="DA710" s="41">
        <v>-726.37951537894992</v>
      </c>
      <c r="DB710" s="41">
        <v>-754.87253888295959</v>
      </c>
      <c r="DC710" s="41">
        <v>-786.0162985361203</v>
      </c>
      <c r="DD710" s="41">
        <v>-823.00306569761437</v>
      </c>
      <c r="DE710" s="41">
        <v>-862.35211492080919</v>
      </c>
      <c r="DF710" s="41">
        <v>-891.87512687533081</v>
      </c>
    </row>
    <row r="711" spans="1:110" ht="12" outlineLevel="1">
      <c r="A711" s="1" t="s">
        <v>2237</v>
      </c>
      <c r="B711" s="15" t="s">
        <v>2238</v>
      </c>
      <c r="C711" s="41">
        <v>-382</v>
      </c>
      <c r="D711" s="41">
        <v>-393</v>
      </c>
      <c r="E711" s="41">
        <v>-395</v>
      </c>
      <c r="F711" s="41">
        <v>-285</v>
      </c>
      <c r="G711" s="41">
        <v>-303</v>
      </c>
      <c r="H711" s="41">
        <v>-228</v>
      </c>
      <c r="I711" s="41">
        <v>-297</v>
      </c>
      <c r="J711" s="41">
        <v>-161</v>
      </c>
      <c r="K711" s="41">
        <v>-295</v>
      </c>
      <c r="L711" s="41">
        <v>-188</v>
      </c>
      <c r="M711" s="41">
        <v>-150</v>
      </c>
      <c r="N711" s="41">
        <v>-153</v>
      </c>
      <c r="O711" s="41">
        <v>-286</v>
      </c>
      <c r="P711" s="41">
        <v>-378</v>
      </c>
      <c r="Q711" s="41">
        <v>-908</v>
      </c>
      <c r="R711" s="41">
        <v>-1561</v>
      </c>
      <c r="S711" s="41">
        <v>-1291</v>
      </c>
      <c r="T711" s="41">
        <v>-1063</v>
      </c>
      <c r="U711" s="41">
        <v>-762</v>
      </c>
      <c r="V711" s="41">
        <v>-595</v>
      </c>
      <c r="W711" s="41">
        <v>-618</v>
      </c>
      <c r="X711" s="41">
        <v>-722</v>
      </c>
      <c r="Y711" s="41">
        <v>-915</v>
      </c>
      <c r="Z711" s="41">
        <v>-595</v>
      </c>
      <c r="AA711" s="41">
        <v>-572</v>
      </c>
      <c r="AB711" s="41">
        <v>-602</v>
      </c>
      <c r="AC711" s="41">
        <v>-542</v>
      </c>
      <c r="AD711" s="41">
        <v>-455</v>
      </c>
      <c r="AE711" s="41">
        <v>-655</v>
      </c>
      <c r="AF711" s="41">
        <v>-892</v>
      </c>
      <c r="AG711" s="41">
        <v>-1047</v>
      </c>
      <c r="AH711" s="41">
        <v>-787</v>
      </c>
      <c r="AI711" s="41">
        <v>-554</v>
      </c>
      <c r="AJ711" s="41">
        <v>-430</v>
      </c>
      <c r="AK711" s="41">
        <v>-343</v>
      </c>
      <c r="AL711" s="41">
        <v>-380</v>
      </c>
      <c r="AM711" s="41">
        <v>-399</v>
      </c>
      <c r="AN711" s="41">
        <v>-626</v>
      </c>
      <c r="AO711" s="41">
        <v>-395</v>
      </c>
      <c r="AP711" s="41">
        <v>-187</v>
      </c>
      <c r="AQ711" s="41">
        <v>-69</v>
      </c>
      <c r="AR711" s="41">
        <v>-87</v>
      </c>
      <c r="AS711" s="141">
        <v>0</v>
      </c>
      <c r="AT711" s="141">
        <v>0</v>
      </c>
      <c r="AU711" s="141">
        <v>0</v>
      </c>
      <c r="AV711" s="226">
        <v>0</v>
      </c>
      <c r="AW711" s="41">
        <v>-444.63757528759731</v>
      </c>
      <c r="AX711" s="41">
        <v>-698.24910911301151</v>
      </c>
      <c r="AY711" s="41">
        <v>-692.55236383975762</v>
      </c>
      <c r="AZ711" s="41">
        <v>-707.49917960606626</v>
      </c>
      <c r="BA711" s="41">
        <v>-732.006347140157</v>
      </c>
      <c r="BB711" s="41">
        <v>-747.90588304889184</v>
      </c>
      <c r="BC711" s="41">
        <v>-769.04037762793837</v>
      </c>
      <c r="BD711" s="41">
        <v>-784.11107959266633</v>
      </c>
      <c r="BE711" s="41">
        <v>-801.21062630883466</v>
      </c>
      <c r="BF711" s="41">
        <v>-796.4883980451491</v>
      </c>
      <c r="BG711" s="41">
        <v>-816.10383494952885</v>
      </c>
      <c r="BH711" s="41">
        <v>-2139.1664009339061</v>
      </c>
      <c r="BI711" s="41">
        <v>-3134.4347789666722</v>
      </c>
      <c r="BJ711" s="41">
        <v>-2292.5072838430365</v>
      </c>
      <c r="BK711" s="41">
        <v>-970.95860665282794</v>
      </c>
      <c r="BL711" s="41">
        <v>-1175.953297843349</v>
      </c>
      <c r="BM711" s="41">
        <v>-1205.2452824469797</v>
      </c>
      <c r="BN711" s="41">
        <v>-1212.9766302973269</v>
      </c>
      <c r="BO711" s="41">
        <v>-1256.6190898512973</v>
      </c>
      <c r="BP711" s="41"/>
      <c r="BQ711" s="41"/>
      <c r="BR711" s="41"/>
      <c r="BS711" s="41"/>
      <c r="BT711" s="41"/>
      <c r="BU711" s="41"/>
      <c r="BV711" s="41"/>
      <c r="BW711" s="41"/>
      <c r="BX711" s="41"/>
      <c r="BY711" s="41"/>
      <c r="BZ711" s="41"/>
      <c r="CA711" s="41"/>
      <c r="CB711" s="41"/>
      <c r="CC711" s="41"/>
      <c r="CD711" s="41"/>
      <c r="CE711" s="41">
        <v>-338</v>
      </c>
      <c r="CF711" s="41">
        <v>-439</v>
      </c>
      <c r="CG711" s="41">
        <v>-1286</v>
      </c>
      <c r="CH711" s="41">
        <v>-2852</v>
      </c>
      <c r="CI711" s="41">
        <v>-1825</v>
      </c>
      <c r="CJ711" s="41">
        <v>-1213</v>
      </c>
      <c r="CK711" s="41">
        <v>-1637</v>
      </c>
      <c r="CL711" s="41">
        <v>-1167</v>
      </c>
      <c r="CM711" s="41">
        <v>-1144</v>
      </c>
      <c r="CN711" s="41">
        <v>-1110</v>
      </c>
      <c r="CO711" s="41">
        <v>-1939</v>
      </c>
      <c r="CP711" s="41">
        <v>-1341</v>
      </c>
      <c r="CQ711" s="41">
        <v>-773</v>
      </c>
      <c r="CR711" s="41">
        <v>-779</v>
      </c>
      <c r="CS711" s="41">
        <v>-1021</v>
      </c>
      <c r="CT711" s="41">
        <v>-256</v>
      </c>
      <c r="CU711" s="41">
        <v>-87</v>
      </c>
      <c r="CV711" s="211">
        <v>0</v>
      </c>
      <c r="CW711" s="41">
        <v>-444.63757528759731</v>
      </c>
      <c r="CX711" s="41">
        <v>-1390.801472952769</v>
      </c>
      <c r="CY711" s="41">
        <v>-1439.5055267462233</v>
      </c>
      <c r="CZ711" s="41">
        <v>-1516.9462606768302</v>
      </c>
      <c r="DA711" s="41">
        <v>-1585.321705901501</v>
      </c>
      <c r="DB711" s="41">
        <v>-1612.5922329946779</v>
      </c>
      <c r="DC711" s="41">
        <v>-5273.6011799005782</v>
      </c>
      <c r="DD711" s="41">
        <v>-3263.4658904958642</v>
      </c>
      <c r="DE711" s="41">
        <v>-2381.1985802903287</v>
      </c>
      <c r="DF711" s="41">
        <v>-2469.5957201486244</v>
      </c>
    </row>
    <row r="712" spans="1:110" ht="12" outlineLevel="1">
      <c r="A712" s="1" t="s">
        <v>2239</v>
      </c>
      <c r="B712" s="15" t="s">
        <v>2240</v>
      </c>
      <c r="C712" s="141">
        <v>92</v>
      </c>
      <c r="D712" s="141">
        <v>92</v>
      </c>
      <c r="E712" s="141">
        <v>86</v>
      </c>
      <c r="F712" s="141">
        <v>-18</v>
      </c>
      <c r="G712" s="141">
        <v>-8</v>
      </c>
      <c r="H712" s="141">
        <v>-85</v>
      </c>
      <c r="I712" s="141">
        <v>-22</v>
      </c>
      <c r="J712" s="141">
        <v>-79</v>
      </c>
      <c r="K712" s="141">
        <v>-30</v>
      </c>
      <c r="L712" s="141">
        <v>-36</v>
      </c>
      <c r="M712" s="141">
        <v>-33</v>
      </c>
      <c r="N712" s="141">
        <v>-87</v>
      </c>
      <c r="O712" s="141">
        <v>4</v>
      </c>
      <c r="P712" s="141">
        <v>-348</v>
      </c>
      <c r="Q712" s="141">
        <v>-470</v>
      </c>
      <c r="R712" s="141">
        <v>96</v>
      </c>
      <c r="S712" s="141">
        <v>-331</v>
      </c>
      <c r="T712" s="141">
        <v>-36</v>
      </c>
      <c r="U712" s="141">
        <v>40</v>
      </c>
      <c r="V712" s="141">
        <v>-65</v>
      </c>
      <c r="W712" s="141">
        <v>58</v>
      </c>
      <c r="X712" s="141">
        <v>152</v>
      </c>
      <c r="Y712" s="141">
        <v>227</v>
      </c>
      <c r="Z712" s="141">
        <v>-4</v>
      </c>
      <c r="AA712" s="141">
        <v>-26</v>
      </c>
      <c r="AB712" s="141">
        <v>74</v>
      </c>
      <c r="AC712" s="141">
        <v>81</v>
      </c>
      <c r="AD712" s="141">
        <v>-55</v>
      </c>
      <c r="AE712" s="141">
        <v>-40</v>
      </c>
      <c r="AF712" s="141">
        <v>-26</v>
      </c>
      <c r="AG712" s="141">
        <v>9</v>
      </c>
      <c r="AH712" s="141">
        <v>67</v>
      </c>
      <c r="AI712" s="141">
        <v>75</v>
      </c>
      <c r="AJ712" s="141">
        <v>22</v>
      </c>
      <c r="AK712" s="141">
        <v>63</v>
      </c>
      <c r="AL712" s="141">
        <v>-13</v>
      </c>
      <c r="AM712" s="141">
        <v>-3</v>
      </c>
      <c r="AN712" s="141">
        <v>-1048</v>
      </c>
      <c r="AO712" s="141">
        <v>-669</v>
      </c>
      <c r="AP712" s="141">
        <v>678</v>
      </c>
      <c r="AQ712" s="141">
        <v>145</v>
      </c>
      <c r="AR712" s="141">
        <v>371</v>
      </c>
      <c r="AS712" s="41">
        <v>-52</v>
      </c>
      <c r="AT712" s="41">
        <v>-133</v>
      </c>
      <c r="AU712" s="41">
        <v>-112</v>
      </c>
      <c r="AV712" s="211">
        <v>-70</v>
      </c>
      <c r="AW712" s="41">
        <v>214.42633231921718</v>
      </c>
      <c r="AX712" s="41">
        <v>70.966463521605874</v>
      </c>
      <c r="AY712" s="41">
        <v>46.000350449046891</v>
      </c>
      <c r="AZ712" s="41">
        <v>50.308851955747741</v>
      </c>
      <c r="BA712" s="41">
        <v>60.561469425151699</v>
      </c>
      <c r="BB712" s="41">
        <v>75.386341192255713</v>
      </c>
      <c r="BC712" s="41">
        <v>89.690599513421148</v>
      </c>
      <c r="BD712" s="41">
        <v>91.777869139365976</v>
      </c>
      <c r="BE712" s="41">
        <v>93.915795886663545</v>
      </c>
      <c r="BF712" s="41">
        <v>75.161382533927281</v>
      </c>
      <c r="BG712" s="41">
        <v>76.57011734153275</v>
      </c>
      <c r="BH712" s="41">
        <v>658.25214560521908</v>
      </c>
      <c r="BI712" s="41">
        <v>841.55906160418544</v>
      </c>
      <c r="BJ712" s="41">
        <v>-46.2946960345962</v>
      </c>
      <c r="BK712" s="41">
        <v>-689.10653338350494</v>
      </c>
      <c r="BL712" s="41">
        <v>135.05410764256067</v>
      </c>
      <c r="BM712" s="41">
        <v>138.5432820117212</v>
      </c>
      <c r="BN712" s="41">
        <v>134.05564758890614</v>
      </c>
      <c r="BO712" s="41">
        <v>148.55148280719277</v>
      </c>
      <c r="BP712" s="41"/>
      <c r="BQ712" s="41"/>
      <c r="BR712" s="41"/>
      <c r="BS712" s="41"/>
      <c r="BT712" s="41"/>
      <c r="BU712" s="41"/>
      <c r="BV712" s="41"/>
      <c r="BW712" s="41"/>
      <c r="BX712" s="41"/>
      <c r="BY712" s="41"/>
      <c r="BZ712" s="41"/>
      <c r="CA712" s="41"/>
      <c r="CB712" s="41"/>
      <c r="CC712" s="41"/>
      <c r="CD712" s="41"/>
      <c r="CE712" s="41">
        <v>-69</v>
      </c>
      <c r="CF712" s="41">
        <v>-83</v>
      </c>
      <c r="CG712" s="41">
        <v>-818</v>
      </c>
      <c r="CH712" s="41">
        <v>-235</v>
      </c>
      <c r="CI712" s="41">
        <v>4</v>
      </c>
      <c r="CJ712" s="41">
        <v>-7</v>
      </c>
      <c r="CK712" s="41">
        <v>379</v>
      </c>
      <c r="CL712" s="41">
        <v>-30</v>
      </c>
      <c r="CM712" s="41">
        <v>155</v>
      </c>
      <c r="CN712" s="41">
        <v>-95</v>
      </c>
      <c r="CO712" s="41">
        <v>-17</v>
      </c>
      <c r="CP712" s="41">
        <v>142</v>
      </c>
      <c r="CQ712" s="41">
        <v>85</v>
      </c>
      <c r="CR712" s="41">
        <v>-16</v>
      </c>
      <c r="CS712" s="41">
        <v>-1717</v>
      </c>
      <c r="CT712" s="41">
        <v>823</v>
      </c>
      <c r="CU712" s="41">
        <v>319</v>
      </c>
      <c r="CV712" s="211">
        <v>-245</v>
      </c>
      <c r="CW712" s="41">
        <v>144.42633231921718</v>
      </c>
      <c r="CX712" s="41">
        <v>116.96681397065277</v>
      </c>
      <c r="CY712" s="41">
        <v>110.87032138089944</v>
      </c>
      <c r="CZ712" s="41">
        <v>165.07694070567686</v>
      </c>
      <c r="DA712" s="41">
        <v>185.69366502602952</v>
      </c>
      <c r="DB712" s="41">
        <v>151.73149987546003</v>
      </c>
      <c r="DC712" s="41">
        <v>1499.8112072094045</v>
      </c>
      <c r="DD712" s="41">
        <v>-735.40122941810114</v>
      </c>
      <c r="DE712" s="41">
        <v>273.59738965428187</v>
      </c>
      <c r="DF712" s="41">
        <v>282.60713039609891</v>
      </c>
    </row>
    <row r="713" spans="1:110" ht="12" outlineLevel="1">
      <c r="A713" s="1" t="s">
        <v>2241</v>
      </c>
      <c r="B713" s="15" t="s">
        <v>2242</v>
      </c>
      <c r="C713" s="41">
        <v>-457</v>
      </c>
      <c r="D713" s="41">
        <v>-293</v>
      </c>
      <c r="E713" s="41">
        <v>-404</v>
      </c>
      <c r="F713" s="41">
        <v>-283</v>
      </c>
      <c r="G713" s="41">
        <v>-357</v>
      </c>
      <c r="H713" s="41">
        <v>-339</v>
      </c>
      <c r="I713" s="41">
        <v>-341</v>
      </c>
      <c r="J713" s="41">
        <v>-261</v>
      </c>
      <c r="K713" s="41">
        <v>-310</v>
      </c>
      <c r="L713" s="41">
        <v>-128</v>
      </c>
      <c r="M713" s="41">
        <v>-166</v>
      </c>
      <c r="N713" s="41">
        <v>-156</v>
      </c>
      <c r="O713" s="41">
        <v>-277</v>
      </c>
      <c r="P713" s="41">
        <v>-277</v>
      </c>
      <c r="Q713" s="41">
        <v>-322</v>
      </c>
      <c r="R713" s="41">
        <v>-833</v>
      </c>
      <c r="S713" s="41">
        <v>-1053</v>
      </c>
      <c r="T713" s="41">
        <v>-922</v>
      </c>
      <c r="U713" s="41">
        <v>-662</v>
      </c>
      <c r="V713" s="41">
        <v>-606</v>
      </c>
      <c r="W713" s="41">
        <v>-588</v>
      </c>
      <c r="X713" s="41">
        <v>-545</v>
      </c>
      <c r="Y713" s="41">
        <v>-744</v>
      </c>
      <c r="Z713" s="41">
        <v>-753</v>
      </c>
      <c r="AA713" s="41">
        <v>-657</v>
      </c>
      <c r="AB713" s="41">
        <v>-580</v>
      </c>
      <c r="AC713" s="41">
        <v>-795</v>
      </c>
      <c r="AD713" s="41">
        <v>-502</v>
      </c>
      <c r="AE713" s="41">
        <v>-683</v>
      </c>
      <c r="AF713" s="41">
        <v>-557</v>
      </c>
      <c r="AG713" s="41">
        <v>-943</v>
      </c>
      <c r="AH713" s="41">
        <v>-788</v>
      </c>
      <c r="AI713" s="41">
        <v>-677</v>
      </c>
      <c r="AJ713" s="41">
        <v>-544</v>
      </c>
      <c r="AK713" s="41">
        <v>-434</v>
      </c>
      <c r="AL713" s="41">
        <v>-405</v>
      </c>
      <c r="AM713" s="41">
        <v>-459</v>
      </c>
      <c r="AN713" s="41">
        <v>-365</v>
      </c>
      <c r="AO713" s="41">
        <v>-525</v>
      </c>
      <c r="AP713" s="41">
        <v>-252</v>
      </c>
      <c r="AQ713" s="41">
        <v>-192</v>
      </c>
      <c r="AR713" s="41">
        <v>-123</v>
      </c>
      <c r="AS713" s="41">
        <v>-97</v>
      </c>
      <c r="AT713" s="41">
        <v>-84</v>
      </c>
      <c r="AU713" s="41">
        <v>-158</v>
      </c>
      <c r="AV713" s="211">
        <v>-68</v>
      </c>
      <c r="AW713" s="41">
        <v>-66.136204722901624</v>
      </c>
      <c r="AX713" s="41">
        <v>-561.67650507338033</v>
      </c>
      <c r="AY713" s="41">
        <v>-572.09257678017957</v>
      </c>
      <c r="AZ713" s="41">
        <v>-573.38327330771381</v>
      </c>
      <c r="BA713" s="41">
        <v>-583.27793604086037</v>
      </c>
      <c r="BB713" s="41">
        <v>-588.85377182718753</v>
      </c>
      <c r="BC713" s="41">
        <v>-603.04338165264733</v>
      </c>
      <c r="BD713" s="41">
        <v>-613.51747371244039</v>
      </c>
      <c r="BE713" s="41">
        <v>-625.93354701293242</v>
      </c>
      <c r="BF713" s="41">
        <v>-636.90174838165183</v>
      </c>
      <c r="BG713" s="41">
        <v>-653.46444485587642</v>
      </c>
      <c r="BH713" s="41">
        <v>-689.7947196818767</v>
      </c>
      <c r="BI713" s="41">
        <v>-1351.0417422746832</v>
      </c>
      <c r="BJ713" s="41">
        <v>-2300.1659705512111</v>
      </c>
      <c r="BK713" s="41">
        <v>-2368.3313390981098</v>
      </c>
      <c r="BL713" s="41">
        <v>-901.79341181309246</v>
      </c>
      <c r="BM713" s="41">
        <v>-924.03936612904272</v>
      </c>
      <c r="BN713" s="41">
        <v>-937.41456381067894</v>
      </c>
      <c r="BO713" s="41">
        <v>-951.99084521498753</v>
      </c>
      <c r="BP713" s="41"/>
      <c r="BQ713" s="41"/>
      <c r="BR713" s="41"/>
      <c r="BS713" s="41"/>
      <c r="BT713" s="41"/>
      <c r="BU713" s="41"/>
      <c r="BV713" s="41"/>
      <c r="BW713" s="41"/>
      <c r="BX713" s="41"/>
      <c r="BY713" s="41"/>
      <c r="BZ713" s="41"/>
      <c r="CA713" s="41"/>
      <c r="CB713" s="41"/>
      <c r="CC713" s="41"/>
      <c r="CD713" s="41"/>
      <c r="CE713" s="41">
        <v>-294</v>
      </c>
      <c r="CF713" s="41">
        <v>-433</v>
      </c>
      <c r="CG713" s="41">
        <v>-599</v>
      </c>
      <c r="CH713" s="41">
        <v>-1886</v>
      </c>
      <c r="CI713" s="41">
        <v>-1584</v>
      </c>
      <c r="CJ713" s="41">
        <v>-1194</v>
      </c>
      <c r="CK713" s="41">
        <v>-1289</v>
      </c>
      <c r="CL713" s="41">
        <v>-1410</v>
      </c>
      <c r="CM713" s="41">
        <v>-1375</v>
      </c>
      <c r="CN713" s="41">
        <v>-1185</v>
      </c>
      <c r="CO713" s="41">
        <v>-1500</v>
      </c>
      <c r="CP713" s="41">
        <v>-1465</v>
      </c>
      <c r="CQ713" s="41">
        <v>-978</v>
      </c>
      <c r="CR713" s="41">
        <v>-864</v>
      </c>
      <c r="CS713" s="41">
        <v>-890</v>
      </c>
      <c r="CT713" s="41">
        <v>-444</v>
      </c>
      <c r="CU713" s="41">
        <v>-220</v>
      </c>
      <c r="CV713" s="211">
        <v>-242</v>
      </c>
      <c r="CW713" s="41">
        <v>-134.13620472290162</v>
      </c>
      <c r="CX713" s="41">
        <v>-1133.7690818535598</v>
      </c>
      <c r="CY713" s="41">
        <v>-1156.6612093485742</v>
      </c>
      <c r="CZ713" s="41">
        <v>-1191.8971534798347</v>
      </c>
      <c r="DA713" s="41">
        <v>-1239.4510207253729</v>
      </c>
      <c r="DB713" s="41">
        <v>-1290.3661932375283</v>
      </c>
      <c r="DC713" s="41">
        <v>-2040.83646195656</v>
      </c>
      <c r="DD713" s="41">
        <v>-4668.4973096493213</v>
      </c>
      <c r="DE713" s="41">
        <v>-1825.8327779421352</v>
      </c>
      <c r="DF713" s="41">
        <v>-1889.4054090256664</v>
      </c>
    </row>
    <row r="714" spans="1:110" ht="12" hidden="1" outlineLevel="2">
      <c r="A714" s="1" t="s">
        <v>2290</v>
      </c>
      <c r="B714" s="15" t="s">
        <v>804</v>
      </c>
      <c r="C714" s="141"/>
      <c r="D714" s="141"/>
      <c r="E714" s="141"/>
      <c r="F714" s="141"/>
      <c r="G714" s="141"/>
      <c r="H714" s="141"/>
      <c r="I714" s="141"/>
      <c r="J714" s="141"/>
      <c r="K714" s="141"/>
      <c r="L714" s="15"/>
      <c r="M714" s="141"/>
      <c r="N714" s="141"/>
      <c r="O714" s="141"/>
      <c r="P714" s="141"/>
      <c r="Q714" s="141"/>
      <c r="R714" s="141"/>
      <c r="S714" s="141"/>
      <c r="T714" s="141"/>
      <c r="U714" s="141"/>
      <c r="V714" s="141"/>
      <c r="W714" s="141"/>
      <c r="X714" s="141"/>
      <c r="Y714" s="141"/>
      <c r="Z714" s="141"/>
      <c r="AA714" s="41"/>
      <c r="AB714" s="41"/>
      <c r="AC714" s="41"/>
      <c r="AD714" s="41"/>
      <c r="AE714" s="41"/>
      <c r="AF714" s="41"/>
      <c r="AG714" s="41"/>
      <c r="AH714" s="41"/>
      <c r="AI714" s="41"/>
      <c r="AJ714" s="41"/>
      <c r="AK714" s="41"/>
      <c r="AL714" s="41"/>
      <c r="AM714" s="41"/>
      <c r="AN714" s="41"/>
      <c r="AO714" s="41"/>
      <c r="AP714" s="41"/>
      <c r="AQ714" s="41"/>
      <c r="AR714" s="41"/>
      <c r="AS714" s="41"/>
      <c r="AT714" s="41"/>
      <c r="AU714" s="41"/>
      <c r="AV714" s="211"/>
      <c r="AW714" s="41"/>
      <c r="AX714" s="41"/>
      <c r="AY714" s="41"/>
      <c r="AZ714" s="41"/>
      <c r="BA714" s="41"/>
      <c r="BB714" s="41"/>
      <c r="BC714" s="41"/>
      <c r="BD714" s="41"/>
      <c r="BE714" s="41"/>
      <c r="BF714" s="41"/>
      <c r="BG714" s="41"/>
      <c r="BH714" s="41"/>
      <c r="BI714" s="41"/>
      <c r="BJ714" s="41"/>
      <c r="BK714" s="41"/>
      <c r="BL714" s="41"/>
      <c r="BM714" s="41"/>
      <c r="BN714" s="41"/>
      <c r="BO714" s="41"/>
      <c r="BP714" s="41"/>
      <c r="BQ714" s="41"/>
      <c r="BR714" s="41"/>
      <c r="BS714" s="41"/>
      <c r="BT714" s="41"/>
      <c r="BU714" s="41"/>
      <c r="BV714" s="41"/>
      <c r="BW714" s="41"/>
      <c r="BX714" s="41"/>
      <c r="BY714" s="41"/>
      <c r="BZ714" s="41"/>
      <c r="CA714" s="41"/>
      <c r="CB714" s="41"/>
      <c r="CC714" s="41"/>
      <c r="CD714" s="41"/>
      <c r="CE714" s="41"/>
      <c r="CF714" s="41"/>
      <c r="CG714" s="41"/>
      <c r="CH714" s="41"/>
      <c r="CI714" s="41"/>
      <c r="CJ714" s="41"/>
      <c r="CK714" s="41"/>
      <c r="CL714" s="41"/>
      <c r="CM714" s="41"/>
      <c r="CN714" s="41"/>
      <c r="CO714" s="41"/>
      <c r="CP714" s="41"/>
      <c r="CQ714" s="41"/>
      <c r="CR714" s="41"/>
      <c r="CS714" s="41"/>
      <c r="CT714" s="41"/>
      <c r="CU714" s="41"/>
      <c r="CV714" s="211"/>
      <c r="CW714" s="41"/>
      <c r="CX714" s="41"/>
      <c r="CY714" s="41"/>
      <c r="CZ714" s="15"/>
      <c r="DA714" s="15"/>
      <c r="DB714" s="15"/>
      <c r="DC714" s="15"/>
      <c r="DD714" s="15"/>
      <c r="DE714" s="15"/>
      <c r="DF714" s="15"/>
    </row>
    <row r="715" spans="1:110" ht="12" hidden="1" outlineLevel="2">
      <c r="A715" s="1" t="s">
        <v>2291</v>
      </c>
      <c r="B715" s="15" t="s">
        <v>804</v>
      </c>
      <c r="C715" s="141"/>
      <c r="D715" s="141"/>
      <c r="E715" s="141"/>
      <c r="F715" s="141"/>
      <c r="G715" s="141"/>
      <c r="H715" s="141"/>
      <c r="I715" s="141"/>
      <c r="J715" s="141"/>
      <c r="K715" s="141"/>
      <c r="L715" s="141"/>
      <c r="M715" s="141"/>
      <c r="N715" s="141"/>
      <c r="O715" s="141"/>
      <c r="P715" s="141"/>
      <c r="Q715" s="141"/>
      <c r="R715" s="141"/>
      <c r="S715" s="141"/>
      <c r="T715" s="141"/>
      <c r="U715" s="141"/>
      <c r="V715" s="141"/>
      <c r="W715" s="141"/>
      <c r="X715" s="141"/>
      <c r="Y715" s="141"/>
      <c r="Z715" s="141"/>
      <c r="AA715" s="41"/>
      <c r="AB715" s="41"/>
      <c r="AC715" s="41"/>
      <c r="AD715" s="41"/>
      <c r="AE715" s="41"/>
      <c r="AF715" s="41"/>
      <c r="AG715" s="41"/>
      <c r="AH715" s="41"/>
      <c r="AI715" s="41"/>
      <c r="AJ715" s="41"/>
      <c r="AK715" s="41"/>
      <c r="AL715" s="41"/>
      <c r="AM715" s="41"/>
      <c r="AN715" s="41"/>
      <c r="AO715" s="41"/>
      <c r="AP715" s="41"/>
      <c r="AQ715" s="41"/>
      <c r="AR715" s="41"/>
      <c r="AS715" s="41"/>
      <c r="AT715" s="41"/>
      <c r="AU715" s="41"/>
      <c r="AV715" s="211"/>
      <c r="AW715" s="41"/>
      <c r="AX715" s="41"/>
      <c r="AY715" s="41"/>
      <c r="AZ715" s="41"/>
      <c r="BA715" s="41"/>
      <c r="BB715" s="41"/>
      <c r="BC715" s="41"/>
      <c r="BD715" s="41"/>
      <c r="BE715" s="41"/>
      <c r="BF715" s="41"/>
      <c r="BG715" s="41"/>
      <c r="BH715" s="41"/>
      <c r="BI715" s="41"/>
      <c r="BJ715" s="41"/>
      <c r="BK715" s="41"/>
      <c r="BL715" s="41"/>
      <c r="BM715" s="41"/>
      <c r="BN715" s="41"/>
      <c r="BO715" s="41"/>
      <c r="BP715" s="41"/>
      <c r="BQ715" s="41"/>
      <c r="BR715" s="41"/>
      <c r="BS715" s="41"/>
      <c r="BT715" s="41"/>
      <c r="BU715" s="41"/>
      <c r="BV715" s="41"/>
      <c r="BW715" s="41"/>
      <c r="BX715" s="41"/>
      <c r="BY715" s="41"/>
      <c r="BZ715" s="41"/>
      <c r="CA715" s="41"/>
      <c r="CB715" s="41"/>
      <c r="CC715" s="41"/>
      <c r="CD715" s="41"/>
      <c r="CE715" s="41"/>
      <c r="CF715" s="41"/>
      <c r="CG715" s="41"/>
      <c r="CH715" s="41"/>
      <c r="CI715" s="41"/>
      <c r="CJ715" s="41"/>
      <c r="CK715" s="41"/>
      <c r="CL715" s="41"/>
      <c r="CM715" s="41"/>
      <c r="CN715" s="41"/>
      <c r="CO715" s="41"/>
      <c r="CP715" s="41"/>
      <c r="CQ715" s="41"/>
      <c r="CR715" s="41"/>
      <c r="CS715" s="41"/>
      <c r="CT715" s="41"/>
      <c r="CU715" s="41"/>
      <c r="CV715" s="211"/>
      <c r="CW715" s="41"/>
      <c r="CX715" s="41"/>
      <c r="CY715" s="41"/>
      <c r="CZ715" s="15"/>
      <c r="DA715" s="15"/>
      <c r="DB715" s="15"/>
      <c r="DC715" s="15"/>
      <c r="DD715" s="15"/>
      <c r="DE715" s="15"/>
      <c r="DF715" s="15"/>
    </row>
    <row r="716" spans="1:110" ht="12" hidden="1" outlineLevel="2">
      <c r="A716" s="1" t="s">
        <v>2292</v>
      </c>
      <c r="B716" s="15" t="s">
        <v>804</v>
      </c>
      <c r="C716" s="141"/>
      <c r="D716" s="141"/>
      <c r="E716" s="141"/>
      <c r="F716" s="141"/>
      <c r="G716" s="141"/>
      <c r="H716" s="141"/>
      <c r="I716" s="141"/>
      <c r="J716" s="141"/>
      <c r="K716" s="141"/>
      <c r="L716" s="141"/>
      <c r="M716" s="141"/>
      <c r="N716" s="141"/>
      <c r="O716" s="141"/>
      <c r="P716" s="141"/>
      <c r="Q716" s="141"/>
      <c r="R716" s="141"/>
      <c r="S716" s="141"/>
      <c r="T716" s="141"/>
      <c r="U716" s="141"/>
      <c r="V716" s="141"/>
      <c r="W716" s="141"/>
      <c r="X716" s="141"/>
      <c r="Y716" s="141"/>
      <c r="Z716" s="141"/>
      <c r="AA716" s="41"/>
      <c r="AB716" s="41"/>
      <c r="AC716" s="41"/>
      <c r="AD716" s="41"/>
      <c r="AE716" s="41"/>
      <c r="AF716" s="41"/>
      <c r="AG716" s="41"/>
      <c r="AH716" s="41"/>
      <c r="AI716" s="41"/>
      <c r="AJ716" s="41"/>
      <c r="AK716" s="41"/>
      <c r="AL716" s="41"/>
      <c r="AM716" s="41"/>
      <c r="AN716" s="41"/>
      <c r="AO716" s="41"/>
      <c r="AP716" s="41"/>
      <c r="AQ716" s="41"/>
      <c r="AR716" s="41"/>
      <c r="AS716" s="41"/>
      <c r="AT716" s="41"/>
      <c r="AU716" s="41"/>
      <c r="AV716" s="211"/>
      <c r="AW716" s="41"/>
      <c r="AX716" s="41"/>
      <c r="AY716" s="41"/>
      <c r="AZ716" s="41"/>
      <c r="BA716" s="41"/>
      <c r="BB716" s="41"/>
      <c r="BC716" s="41"/>
      <c r="BD716" s="41"/>
      <c r="BE716" s="41"/>
      <c r="BF716" s="41"/>
      <c r="BG716" s="41"/>
      <c r="BH716" s="41"/>
      <c r="BI716" s="41"/>
      <c r="BJ716" s="41"/>
      <c r="BK716" s="41"/>
      <c r="BL716" s="41"/>
      <c r="BM716" s="41"/>
      <c r="BN716" s="41"/>
      <c r="BO716" s="41"/>
      <c r="BP716" s="41"/>
      <c r="BQ716" s="41"/>
      <c r="BR716" s="41"/>
      <c r="BS716" s="41"/>
      <c r="BT716" s="41"/>
      <c r="BU716" s="41"/>
      <c r="BV716" s="41"/>
      <c r="BW716" s="41"/>
      <c r="BX716" s="41"/>
      <c r="BY716" s="41"/>
      <c r="BZ716" s="41"/>
      <c r="CA716" s="41"/>
      <c r="CB716" s="41"/>
      <c r="CC716" s="41"/>
      <c r="CD716" s="41"/>
      <c r="CE716" s="41"/>
      <c r="CF716" s="41"/>
      <c r="CG716" s="41"/>
      <c r="CH716" s="41"/>
      <c r="CI716" s="41"/>
      <c r="CJ716" s="41"/>
      <c r="CK716" s="41"/>
      <c r="CL716" s="41"/>
      <c r="CM716" s="41"/>
      <c r="CN716" s="41"/>
      <c r="CO716" s="41"/>
      <c r="CP716" s="41"/>
      <c r="CQ716" s="41"/>
      <c r="CR716" s="41"/>
      <c r="CS716" s="41"/>
      <c r="CT716" s="41"/>
      <c r="CU716" s="41"/>
      <c r="CV716" s="211"/>
      <c r="CW716" s="41"/>
      <c r="CX716" s="41"/>
      <c r="CY716" s="41"/>
      <c r="CZ716" s="15"/>
      <c r="DA716" s="15"/>
      <c r="DB716" s="15"/>
      <c r="DC716" s="15"/>
      <c r="DD716" s="15"/>
      <c r="DE716" s="15"/>
      <c r="DF716" s="15"/>
    </row>
    <row r="717" spans="1:110" ht="12" hidden="1" outlineLevel="2">
      <c r="A717" s="1" t="s">
        <v>2293</v>
      </c>
      <c r="B717" s="15" t="s">
        <v>804</v>
      </c>
      <c r="C717" s="141"/>
      <c r="D717" s="141"/>
      <c r="E717" s="141"/>
      <c r="F717" s="141"/>
      <c r="G717" s="141"/>
      <c r="H717" s="141"/>
      <c r="I717" s="141"/>
      <c r="J717" s="141"/>
      <c r="K717" s="141"/>
      <c r="L717" s="141"/>
      <c r="M717" s="141"/>
      <c r="N717" s="141"/>
      <c r="O717" s="141"/>
      <c r="P717" s="141"/>
      <c r="Q717" s="141"/>
      <c r="R717" s="141"/>
      <c r="S717" s="141"/>
      <c r="T717" s="141"/>
      <c r="U717" s="141"/>
      <c r="V717" s="141"/>
      <c r="W717" s="141"/>
      <c r="X717" s="141"/>
      <c r="Y717" s="141"/>
      <c r="Z717" s="141"/>
      <c r="AA717" s="41"/>
      <c r="AB717" s="41"/>
      <c r="AC717" s="41"/>
      <c r="AD717" s="41"/>
      <c r="AE717" s="41"/>
      <c r="AF717" s="41"/>
      <c r="AG717" s="41"/>
      <c r="AH717" s="41"/>
      <c r="AI717" s="41"/>
      <c r="AJ717" s="41"/>
      <c r="AK717" s="41"/>
      <c r="AL717" s="41"/>
      <c r="AM717" s="41"/>
      <c r="AN717" s="41"/>
      <c r="AO717" s="41"/>
      <c r="AP717" s="41"/>
      <c r="AQ717" s="41"/>
      <c r="AR717" s="41"/>
      <c r="AS717" s="41"/>
      <c r="AT717" s="41"/>
      <c r="AU717" s="41"/>
      <c r="AV717" s="211"/>
      <c r="AW717" s="41"/>
      <c r="AX717" s="41"/>
      <c r="AY717" s="41"/>
      <c r="AZ717" s="41"/>
      <c r="BA717" s="41"/>
      <c r="BB717" s="41"/>
      <c r="BC717" s="41"/>
      <c r="BD717" s="41"/>
      <c r="BE717" s="41"/>
      <c r="BF717" s="41"/>
      <c r="BG717" s="41"/>
      <c r="BH717" s="41"/>
      <c r="BI717" s="41"/>
      <c r="BJ717" s="41"/>
      <c r="BK717" s="41"/>
      <c r="BL717" s="41"/>
      <c r="BM717" s="41"/>
      <c r="BN717" s="41"/>
      <c r="BO717" s="41"/>
      <c r="BP717" s="41"/>
      <c r="BQ717" s="41"/>
      <c r="BR717" s="41"/>
      <c r="BS717" s="41"/>
      <c r="BT717" s="41"/>
      <c r="BU717" s="41"/>
      <c r="BV717" s="41"/>
      <c r="BW717" s="41"/>
      <c r="BX717" s="41"/>
      <c r="BY717" s="41"/>
      <c r="BZ717" s="41"/>
      <c r="CA717" s="41"/>
      <c r="CB717" s="41"/>
      <c r="CC717" s="41"/>
      <c r="CD717" s="41"/>
      <c r="CE717" s="41"/>
      <c r="CF717" s="41"/>
      <c r="CG717" s="41"/>
      <c r="CH717" s="41"/>
      <c r="CI717" s="41"/>
      <c r="CJ717" s="41"/>
      <c r="CK717" s="41"/>
      <c r="CL717" s="41"/>
      <c r="CM717" s="41"/>
      <c r="CN717" s="41"/>
      <c r="CO717" s="41"/>
      <c r="CP717" s="41"/>
      <c r="CQ717" s="41"/>
      <c r="CR717" s="41"/>
      <c r="CS717" s="41"/>
      <c r="CT717" s="41"/>
      <c r="CU717" s="41"/>
      <c r="CV717" s="211"/>
      <c r="CW717" s="41"/>
      <c r="CX717" s="41"/>
      <c r="CY717" s="41"/>
      <c r="CZ717" s="15"/>
      <c r="DA717" s="15"/>
      <c r="DB717" s="15"/>
      <c r="DC717" s="15"/>
      <c r="DD717" s="15"/>
      <c r="DE717" s="15"/>
      <c r="DF717" s="15"/>
    </row>
    <row r="718" spans="1:110" ht="12" hidden="1" outlineLevel="2">
      <c r="A718" s="1" t="s">
        <v>2294</v>
      </c>
      <c r="B718" s="15" t="s">
        <v>804</v>
      </c>
      <c r="C718" s="141"/>
      <c r="D718" s="141"/>
      <c r="E718" s="141"/>
      <c r="F718" s="141"/>
      <c r="G718" s="141"/>
      <c r="H718" s="141"/>
      <c r="I718" s="141"/>
      <c r="J718" s="141"/>
      <c r="K718" s="141"/>
      <c r="L718" s="141"/>
      <c r="M718" s="141"/>
      <c r="N718" s="141"/>
      <c r="O718" s="141"/>
      <c r="P718" s="141"/>
      <c r="Q718" s="141"/>
      <c r="R718" s="141"/>
      <c r="S718" s="141"/>
      <c r="T718" s="141"/>
      <c r="U718" s="141"/>
      <c r="V718" s="141"/>
      <c r="W718" s="141"/>
      <c r="X718" s="141"/>
      <c r="Y718" s="141"/>
      <c r="Z718" s="141"/>
      <c r="AA718" s="41"/>
      <c r="AB718" s="41"/>
      <c r="AC718" s="41"/>
      <c r="AD718" s="41"/>
      <c r="AE718" s="41"/>
      <c r="AF718" s="41"/>
      <c r="AG718" s="41"/>
      <c r="AH718" s="41"/>
      <c r="AI718" s="41"/>
      <c r="AJ718" s="41"/>
      <c r="AK718" s="41"/>
      <c r="AL718" s="41"/>
      <c r="AM718" s="41"/>
      <c r="AN718" s="41"/>
      <c r="AO718" s="41"/>
      <c r="AP718" s="41"/>
      <c r="AQ718" s="41"/>
      <c r="AR718" s="41"/>
      <c r="AS718" s="41"/>
      <c r="AT718" s="41"/>
      <c r="AU718" s="41"/>
      <c r="AV718" s="211"/>
      <c r="AW718" s="41"/>
      <c r="AX718" s="41"/>
      <c r="AY718" s="41"/>
      <c r="AZ718" s="41"/>
      <c r="BA718" s="41"/>
      <c r="BB718" s="41"/>
      <c r="BC718" s="41"/>
      <c r="BD718" s="41"/>
      <c r="BE718" s="41"/>
      <c r="BF718" s="41"/>
      <c r="BG718" s="41"/>
      <c r="BH718" s="41"/>
      <c r="BI718" s="41"/>
      <c r="BJ718" s="41"/>
      <c r="BK718" s="41"/>
      <c r="BL718" s="41"/>
      <c r="BM718" s="41"/>
      <c r="BN718" s="41"/>
      <c r="BO718" s="41"/>
      <c r="BP718" s="41"/>
      <c r="BQ718" s="41"/>
      <c r="BR718" s="41"/>
      <c r="BS718" s="41"/>
      <c r="BT718" s="41"/>
      <c r="BU718" s="41"/>
      <c r="BV718" s="41"/>
      <c r="BW718" s="41"/>
      <c r="BX718" s="41"/>
      <c r="BY718" s="41"/>
      <c r="BZ718" s="41"/>
      <c r="CA718" s="41"/>
      <c r="CB718" s="41"/>
      <c r="CC718" s="41"/>
      <c r="CD718" s="41"/>
      <c r="CE718" s="41"/>
      <c r="CF718" s="41"/>
      <c r="CG718" s="41"/>
      <c r="CH718" s="41"/>
      <c r="CI718" s="41"/>
      <c r="CJ718" s="41"/>
      <c r="CK718" s="41"/>
      <c r="CL718" s="41"/>
      <c r="CM718" s="41"/>
      <c r="CN718" s="41"/>
      <c r="CO718" s="41"/>
      <c r="CP718" s="41"/>
      <c r="CQ718" s="41"/>
      <c r="CR718" s="41"/>
      <c r="CS718" s="41"/>
      <c r="CT718" s="41"/>
      <c r="CU718" s="41"/>
      <c r="CV718" s="211"/>
      <c r="CW718" s="41"/>
      <c r="CX718" s="41"/>
      <c r="CY718" s="41"/>
      <c r="CZ718" s="15"/>
      <c r="DA718" s="15"/>
      <c r="DB718" s="15"/>
      <c r="DC718" s="15"/>
      <c r="DD718" s="15"/>
      <c r="DE718" s="15"/>
      <c r="DF718" s="15"/>
    </row>
    <row r="719" spans="1:110" ht="12" hidden="1" outlineLevel="2">
      <c r="A719" s="1" t="s">
        <v>2295</v>
      </c>
      <c r="B719" s="15" t="s">
        <v>804</v>
      </c>
      <c r="C719" s="141"/>
      <c r="D719" s="141"/>
      <c r="E719" s="141"/>
      <c r="F719" s="141"/>
      <c r="G719" s="141"/>
      <c r="H719" s="141"/>
      <c r="I719" s="141"/>
      <c r="J719" s="141"/>
      <c r="K719" s="141"/>
      <c r="L719" s="141"/>
      <c r="M719" s="141"/>
      <c r="N719" s="141"/>
      <c r="O719" s="141"/>
      <c r="P719" s="141"/>
      <c r="Q719" s="141"/>
      <c r="R719" s="141"/>
      <c r="S719" s="141"/>
      <c r="T719" s="141"/>
      <c r="U719" s="141"/>
      <c r="V719" s="141"/>
      <c r="W719" s="141"/>
      <c r="X719" s="141"/>
      <c r="Y719" s="141"/>
      <c r="Z719" s="141"/>
      <c r="AA719" s="41"/>
      <c r="AB719" s="41"/>
      <c r="AC719" s="41"/>
      <c r="AD719" s="41"/>
      <c r="AE719" s="41"/>
      <c r="AF719" s="41"/>
      <c r="AG719" s="41"/>
      <c r="AH719" s="41"/>
      <c r="AI719" s="41"/>
      <c r="AJ719" s="41"/>
      <c r="AK719" s="41"/>
      <c r="AL719" s="41"/>
      <c r="AM719" s="41"/>
      <c r="AN719" s="41"/>
      <c r="AO719" s="41"/>
      <c r="AP719" s="41"/>
      <c r="AQ719" s="41"/>
      <c r="AR719" s="41"/>
      <c r="AS719" s="41"/>
      <c r="AT719" s="41"/>
      <c r="AU719" s="41"/>
      <c r="AV719" s="211"/>
      <c r="AW719" s="41"/>
      <c r="AX719" s="41"/>
      <c r="AY719" s="41"/>
      <c r="AZ719" s="41"/>
      <c r="BA719" s="41"/>
      <c r="BB719" s="41"/>
      <c r="BC719" s="41"/>
      <c r="BD719" s="41"/>
      <c r="BE719" s="41"/>
      <c r="BF719" s="41"/>
      <c r="BG719" s="41"/>
      <c r="BH719" s="41"/>
      <c r="BI719" s="41"/>
      <c r="BJ719" s="41"/>
      <c r="BK719" s="41"/>
      <c r="BL719" s="41"/>
      <c r="BM719" s="41"/>
      <c r="BN719" s="41"/>
      <c r="BO719" s="41"/>
      <c r="BP719" s="41"/>
      <c r="BQ719" s="41"/>
      <c r="BR719" s="41"/>
      <c r="BS719" s="41"/>
      <c r="BT719" s="41"/>
      <c r="BU719" s="41"/>
      <c r="BV719" s="41"/>
      <c r="BW719" s="41"/>
      <c r="BX719" s="41"/>
      <c r="BY719" s="41"/>
      <c r="BZ719" s="41"/>
      <c r="CA719" s="41"/>
      <c r="CB719" s="41"/>
      <c r="CC719" s="41"/>
      <c r="CD719" s="41"/>
      <c r="CE719" s="41"/>
      <c r="CF719" s="41"/>
      <c r="CG719" s="41"/>
      <c r="CH719" s="41"/>
      <c r="CI719" s="41"/>
      <c r="CJ719" s="41"/>
      <c r="CK719" s="41"/>
      <c r="CL719" s="41"/>
      <c r="CM719" s="41"/>
      <c r="CN719" s="41"/>
      <c r="CO719" s="41"/>
      <c r="CP719" s="41"/>
      <c r="CQ719" s="41"/>
      <c r="CR719" s="41"/>
      <c r="CS719" s="41"/>
      <c r="CT719" s="41"/>
      <c r="CU719" s="41"/>
      <c r="CV719" s="211"/>
      <c r="CW719" s="41"/>
      <c r="CX719" s="41"/>
      <c r="CY719" s="41"/>
      <c r="CZ719" s="15"/>
      <c r="DA719" s="15"/>
      <c r="DB719" s="15"/>
      <c r="DC719" s="15"/>
      <c r="DD719" s="15"/>
      <c r="DE719" s="15"/>
      <c r="DF719" s="15"/>
    </row>
    <row r="720" spans="1:110" ht="12" hidden="1" outlineLevel="2">
      <c r="A720" s="1" t="s">
        <v>2296</v>
      </c>
      <c r="B720" s="15" t="s">
        <v>804</v>
      </c>
      <c r="C720" s="141"/>
      <c r="D720" s="141"/>
      <c r="E720" s="141"/>
      <c r="F720" s="141"/>
      <c r="G720" s="141"/>
      <c r="H720" s="141"/>
      <c r="I720" s="141"/>
      <c r="J720" s="141"/>
      <c r="K720" s="141"/>
      <c r="L720" s="141"/>
      <c r="M720" s="141"/>
      <c r="N720" s="141"/>
      <c r="O720" s="141"/>
      <c r="P720" s="141"/>
      <c r="Q720" s="141"/>
      <c r="R720" s="141"/>
      <c r="S720" s="141"/>
      <c r="T720" s="141"/>
      <c r="U720" s="141"/>
      <c r="V720" s="141"/>
      <c r="W720" s="141"/>
      <c r="X720" s="141"/>
      <c r="Y720" s="141"/>
      <c r="Z720" s="141"/>
      <c r="AA720" s="41"/>
      <c r="AB720" s="41"/>
      <c r="AC720" s="41"/>
      <c r="AD720" s="41"/>
      <c r="AE720" s="41"/>
      <c r="AF720" s="41"/>
      <c r="AG720" s="41"/>
      <c r="AH720" s="41"/>
      <c r="AI720" s="41"/>
      <c r="AJ720" s="41"/>
      <c r="AK720" s="41"/>
      <c r="AL720" s="41"/>
      <c r="AM720" s="41"/>
      <c r="AN720" s="41"/>
      <c r="AO720" s="41"/>
      <c r="AP720" s="41"/>
      <c r="AQ720" s="41"/>
      <c r="AR720" s="41"/>
      <c r="AS720" s="41"/>
      <c r="AT720" s="41"/>
      <c r="AU720" s="41"/>
      <c r="AV720" s="211"/>
      <c r="AW720" s="41"/>
      <c r="AX720" s="41"/>
      <c r="AY720" s="41"/>
      <c r="AZ720" s="41"/>
      <c r="BA720" s="41"/>
      <c r="BB720" s="41"/>
      <c r="BC720" s="41"/>
      <c r="BD720" s="41"/>
      <c r="BE720" s="41"/>
      <c r="BF720" s="41"/>
      <c r="BG720" s="41"/>
      <c r="BH720" s="41"/>
      <c r="BI720" s="41"/>
      <c r="BJ720" s="41"/>
      <c r="BK720" s="41"/>
      <c r="BL720" s="41"/>
      <c r="BM720" s="41"/>
      <c r="BN720" s="41"/>
      <c r="BO720" s="41"/>
      <c r="BP720" s="41"/>
      <c r="BQ720" s="41"/>
      <c r="BR720" s="41"/>
      <c r="BS720" s="41"/>
      <c r="BT720" s="41"/>
      <c r="BU720" s="41"/>
      <c r="BV720" s="41"/>
      <c r="BW720" s="41"/>
      <c r="BX720" s="41"/>
      <c r="BY720" s="41"/>
      <c r="BZ720" s="41"/>
      <c r="CA720" s="41"/>
      <c r="CB720" s="41"/>
      <c r="CC720" s="41"/>
      <c r="CD720" s="41"/>
      <c r="CE720" s="41"/>
      <c r="CF720" s="41"/>
      <c r="CG720" s="41"/>
      <c r="CH720" s="41"/>
      <c r="CI720" s="41"/>
      <c r="CJ720" s="41"/>
      <c r="CK720" s="41"/>
      <c r="CL720" s="41"/>
      <c r="CM720" s="41"/>
      <c r="CN720" s="41"/>
      <c r="CO720" s="41"/>
      <c r="CP720" s="41"/>
      <c r="CQ720" s="41"/>
      <c r="CR720" s="41"/>
      <c r="CS720" s="41"/>
      <c r="CT720" s="41"/>
      <c r="CU720" s="41"/>
      <c r="CV720" s="211"/>
      <c r="CW720" s="41"/>
      <c r="CX720" s="41"/>
      <c r="CY720" s="41"/>
      <c r="CZ720" s="15"/>
      <c r="DA720" s="15"/>
      <c r="DB720" s="15"/>
      <c r="DC720" s="15"/>
      <c r="DD720" s="15"/>
      <c r="DE720" s="15"/>
      <c r="DF720" s="15"/>
    </row>
    <row r="721" spans="1:110" ht="12" hidden="1" outlineLevel="2">
      <c r="A721" s="1" t="s">
        <v>2297</v>
      </c>
      <c r="B721" s="15" t="s">
        <v>804</v>
      </c>
      <c r="C721" s="41"/>
      <c r="D721" s="41"/>
      <c r="E721" s="41"/>
      <c r="F721" s="41"/>
      <c r="G721" s="41"/>
      <c r="H721" s="41"/>
      <c r="I721" s="41"/>
      <c r="J721" s="41"/>
      <c r="K721" s="41"/>
      <c r="L721" s="41"/>
      <c r="M721" s="41"/>
      <c r="N721" s="41"/>
      <c r="O721" s="41"/>
      <c r="P721" s="41"/>
      <c r="Q721" s="41"/>
      <c r="R721" s="41"/>
      <c r="S721" s="41"/>
      <c r="T721" s="41"/>
      <c r="U721" s="41"/>
      <c r="V721" s="41"/>
      <c r="W721" s="41"/>
      <c r="X721" s="41"/>
      <c r="Y721" s="41"/>
      <c r="Z721" s="41"/>
      <c r="AA721" s="41"/>
      <c r="AB721" s="41"/>
      <c r="AC721" s="41"/>
      <c r="AD721" s="41"/>
      <c r="AE721" s="41"/>
      <c r="AF721" s="41"/>
      <c r="AG721" s="41"/>
      <c r="AH721" s="41"/>
      <c r="AI721" s="41"/>
      <c r="AJ721" s="41"/>
      <c r="AK721" s="41"/>
      <c r="AL721" s="41"/>
      <c r="AM721" s="41"/>
      <c r="AN721" s="41"/>
      <c r="AO721" s="41"/>
      <c r="AP721" s="41"/>
      <c r="AQ721" s="41"/>
      <c r="AR721" s="41"/>
      <c r="AS721" s="41"/>
      <c r="AT721" s="41"/>
      <c r="AU721" s="41"/>
      <c r="AV721" s="211"/>
      <c r="AW721" s="41"/>
      <c r="AX721" s="41"/>
      <c r="AY721" s="41"/>
      <c r="AZ721" s="41"/>
      <c r="BA721" s="41"/>
      <c r="BB721" s="41"/>
      <c r="BC721" s="41"/>
      <c r="BD721" s="41"/>
      <c r="BE721" s="41"/>
      <c r="BF721" s="41"/>
      <c r="BG721" s="41"/>
      <c r="BH721" s="41"/>
      <c r="BI721" s="41"/>
      <c r="BJ721" s="41"/>
      <c r="BK721" s="41"/>
      <c r="BL721" s="41"/>
      <c r="BM721" s="41"/>
      <c r="BN721" s="41"/>
      <c r="BO721" s="41"/>
      <c r="BP721" s="41"/>
      <c r="BQ721" s="41"/>
      <c r="BR721" s="41"/>
      <c r="BS721" s="41"/>
      <c r="BT721" s="41"/>
      <c r="BU721" s="41"/>
      <c r="BV721" s="41"/>
      <c r="BW721" s="41"/>
      <c r="BX721" s="41"/>
      <c r="BY721" s="41"/>
      <c r="BZ721" s="41"/>
      <c r="CA721" s="41"/>
      <c r="CB721" s="41"/>
      <c r="CC721" s="41"/>
      <c r="CD721" s="41"/>
      <c r="CE721" s="41"/>
      <c r="CF721" s="41"/>
      <c r="CG721" s="41"/>
      <c r="CH721" s="41"/>
      <c r="CI721" s="41"/>
      <c r="CJ721" s="41"/>
      <c r="CK721" s="41"/>
      <c r="CL721" s="41"/>
      <c r="CM721" s="41"/>
      <c r="CN721" s="41"/>
      <c r="CO721" s="41"/>
      <c r="CP721" s="41"/>
      <c r="CQ721" s="41"/>
      <c r="CR721" s="41"/>
      <c r="CS721" s="41"/>
      <c r="CT721" s="41"/>
      <c r="CU721" s="41"/>
      <c r="CV721" s="211"/>
      <c r="CW721" s="41"/>
      <c r="CX721" s="41"/>
      <c r="CY721" s="41"/>
      <c r="CZ721" s="15"/>
      <c r="DA721" s="15"/>
      <c r="DB721" s="15"/>
      <c r="DC721" s="15"/>
      <c r="DD721" s="15"/>
      <c r="DE721" s="15"/>
      <c r="DF721" s="15"/>
    </row>
    <row r="722" spans="1:110" ht="12" hidden="1" outlineLevel="2">
      <c r="A722" s="1" t="s">
        <v>2298</v>
      </c>
      <c r="B722" s="15" t="s">
        <v>804</v>
      </c>
      <c r="C722" s="41"/>
      <c r="D722" s="41"/>
      <c r="E722" s="41"/>
      <c r="F722" s="41"/>
      <c r="G722" s="41"/>
      <c r="H722" s="41"/>
      <c r="I722" s="41"/>
      <c r="J722" s="41"/>
      <c r="K722" s="41"/>
      <c r="L722" s="41"/>
      <c r="M722" s="41"/>
      <c r="N722" s="41"/>
      <c r="O722" s="41"/>
      <c r="P722" s="41"/>
      <c r="Q722" s="41"/>
      <c r="R722" s="41"/>
      <c r="S722" s="41"/>
      <c r="T722" s="41"/>
      <c r="U722" s="41"/>
      <c r="V722" s="41"/>
      <c r="W722" s="41"/>
      <c r="X722" s="41"/>
      <c r="Y722" s="41"/>
      <c r="Z722" s="41"/>
      <c r="AA722" s="41"/>
      <c r="AB722" s="41"/>
      <c r="AC722" s="41"/>
      <c r="AD722" s="41"/>
      <c r="AE722" s="41"/>
      <c r="AF722" s="41"/>
      <c r="AG722" s="41"/>
      <c r="AH722" s="41"/>
      <c r="AI722" s="41"/>
      <c r="AJ722" s="41"/>
      <c r="AK722" s="41"/>
      <c r="AL722" s="41"/>
      <c r="AM722" s="41"/>
      <c r="AN722" s="41"/>
      <c r="AO722" s="41"/>
      <c r="AP722" s="41"/>
      <c r="AQ722" s="41"/>
      <c r="AR722" s="41"/>
      <c r="AS722" s="41"/>
      <c r="AT722" s="41"/>
      <c r="AU722" s="41"/>
      <c r="AV722" s="211"/>
      <c r="AW722" s="41"/>
      <c r="AX722" s="41"/>
      <c r="AY722" s="41"/>
      <c r="AZ722" s="41"/>
      <c r="BA722" s="41"/>
      <c r="BB722" s="41"/>
      <c r="BC722" s="41"/>
      <c r="BD722" s="41"/>
      <c r="BE722" s="41"/>
      <c r="BF722" s="41"/>
      <c r="BG722" s="41"/>
      <c r="BH722" s="41"/>
      <c r="BI722" s="41"/>
      <c r="BJ722" s="41"/>
      <c r="BK722" s="41"/>
      <c r="BL722" s="41"/>
      <c r="BM722" s="41"/>
      <c r="BN722" s="41"/>
      <c r="BO722" s="41"/>
      <c r="BP722" s="41"/>
      <c r="BQ722" s="41"/>
      <c r="BR722" s="41"/>
      <c r="BS722" s="41"/>
      <c r="BT722" s="41"/>
      <c r="BU722" s="41"/>
      <c r="BV722" s="41"/>
      <c r="BW722" s="41"/>
      <c r="BX722" s="41"/>
      <c r="BY722" s="41"/>
      <c r="BZ722" s="41"/>
      <c r="CA722" s="41"/>
      <c r="CB722" s="41"/>
      <c r="CC722" s="41"/>
      <c r="CD722" s="41"/>
      <c r="CE722" s="41"/>
      <c r="CF722" s="41"/>
      <c r="CG722" s="41"/>
      <c r="CH722" s="41"/>
      <c r="CI722" s="41"/>
      <c r="CJ722" s="41"/>
      <c r="CK722" s="41"/>
      <c r="CL722" s="41"/>
      <c r="CM722" s="41"/>
      <c r="CN722" s="41"/>
      <c r="CO722" s="41"/>
      <c r="CP722" s="41"/>
      <c r="CQ722" s="41"/>
      <c r="CR722" s="41"/>
      <c r="CS722" s="41"/>
      <c r="CT722" s="41"/>
      <c r="CU722" s="41"/>
      <c r="CV722" s="211"/>
      <c r="CW722" s="41"/>
      <c r="CX722" s="41"/>
      <c r="CY722" s="41"/>
      <c r="CZ722" s="15"/>
      <c r="DA722" s="15"/>
      <c r="DB722" s="15"/>
      <c r="DC722" s="15"/>
      <c r="DD722" s="15"/>
      <c r="DE722" s="15"/>
      <c r="DF722" s="15"/>
    </row>
    <row r="723" spans="1:110" ht="12" hidden="1" outlineLevel="2">
      <c r="A723" s="1" t="s">
        <v>2290</v>
      </c>
      <c r="B723" s="15" t="s">
        <v>804</v>
      </c>
      <c r="C723" s="41"/>
      <c r="D723" s="41"/>
      <c r="E723" s="41"/>
      <c r="F723" s="41"/>
      <c r="G723" s="41"/>
      <c r="H723" s="41"/>
      <c r="I723" s="41"/>
      <c r="J723" s="41"/>
      <c r="K723" s="41"/>
      <c r="L723" s="41"/>
      <c r="M723" s="41"/>
      <c r="N723" s="41"/>
      <c r="O723" s="41"/>
      <c r="P723" s="41"/>
      <c r="Q723" s="41"/>
      <c r="R723" s="41"/>
      <c r="S723" s="41"/>
      <c r="T723" s="41"/>
      <c r="U723" s="41"/>
      <c r="V723" s="41"/>
      <c r="W723" s="41"/>
      <c r="X723" s="41"/>
      <c r="Y723" s="41"/>
      <c r="Z723" s="41"/>
      <c r="AA723" s="41"/>
      <c r="AB723" s="41"/>
      <c r="AC723" s="41"/>
      <c r="AD723" s="41"/>
      <c r="AE723" s="41"/>
      <c r="AF723" s="41"/>
      <c r="AG723" s="41"/>
      <c r="AH723" s="41"/>
      <c r="AI723" s="41"/>
      <c r="AJ723" s="41"/>
      <c r="AK723" s="41"/>
      <c r="AL723" s="41"/>
      <c r="AM723" s="41"/>
      <c r="AN723" s="41"/>
      <c r="AO723" s="41"/>
      <c r="AP723" s="41"/>
      <c r="AQ723" s="41"/>
      <c r="AR723" s="41"/>
      <c r="AS723" s="41"/>
      <c r="AT723" s="41"/>
      <c r="AU723" s="41"/>
      <c r="AV723" s="211"/>
      <c r="AW723" s="41"/>
      <c r="AX723" s="41"/>
      <c r="AY723" s="41"/>
      <c r="AZ723" s="41"/>
      <c r="BA723" s="41"/>
      <c r="BB723" s="41"/>
      <c r="BC723" s="41"/>
      <c r="BD723" s="41"/>
      <c r="BE723" s="41"/>
      <c r="BF723" s="41"/>
      <c r="BG723" s="41"/>
      <c r="BH723" s="41"/>
      <c r="BI723" s="41"/>
      <c r="BJ723" s="41"/>
      <c r="BK723" s="41"/>
      <c r="BL723" s="41"/>
      <c r="BM723" s="41"/>
      <c r="BN723" s="41"/>
      <c r="BO723" s="41"/>
      <c r="BP723" s="41"/>
      <c r="BQ723" s="41"/>
      <c r="BR723" s="41"/>
      <c r="BS723" s="41"/>
      <c r="BT723" s="41"/>
      <c r="BU723" s="41"/>
      <c r="BV723" s="41"/>
      <c r="BW723" s="41"/>
      <c r="BX723" s="41"/>
      <c r="BY723" s="41"/>
      <c r="BZ723" s="41"/>
      <c r="CA723" s="41"/>
      <c r="CB723" s="41"/>
      <c r="CC723" s="41"/>
      <c r="CD723" s="41"/>
      <c r="CE723" s="41"/>
      <c r="CF723" s="41"/>
      <c r="CG723" s="41"/>
      <c r="CH723" s="41"/>
      <c r="CI723" s="41"/>
      <c r="CJ723" s="41"/>
      <c r="CK723" s="41"/>
      <c r="CL723" s="41"/>
      <c r="CM723" s="41"/>
      <c r="CN723" s="41"/>
      <c r="CO723" s="41"/>
      <c r="CP723" s="41"/>
      <c r="CQ723" s="41"/>
      <c r="CR723" s="41"/>
      <c r="CS723" s="41"/>
      <c r="CT723" s="41"/>
      <c r="CU723" s="41"/>
      <c r="CV723" s="211"/>
      <c r="CW723" s="41"/>
      <c r="CX723" s="41"/>
      <c r="CY723" s="41"/>
      <c r="CZ723" s="15"/>
      <c r="DA723" s="15"/>
      <c r="DB723" s="15"/>
      <c r="DC723" s="15"/>
      <c r="DD723" s="15"/>
      <c r="DE723" s="15"/>
      <c r="DF723" s="15"/>
    </row>
    <row r="724" spans="1:110" ht="12" outlineLevel="1" collapsed="1">
      <c r="C724" s="41"/>
      <c r="D724" s="41"/>
      <c r="E724" s="41"/>
      <c r="F724" s="41"/>
      <c r="G724" s="41"/>
      <c r="H724" s="41"/>
      <c r="I724" s="41"/>
      <c r="J724" s="41"/>
      <c r="K724" s="41"/>
      <c r="L724" s="41"/>
      <c r="M724" s="41"/>
      <c r="N724" s="41"/>
      <c r="O724" s="41"/>
      <c r="P724" s="41"/>
      <c r="Q724" s="41"/>
      <c r="R724" s="41"/>
      <c r="S724" s="41"/>
      <c r="T724" s="41"/>
      <c r="U724" s="41"/>
      <c r="V724" s="41"/>
      <c r="W724" s="41"/>
      <c r="X724" s="41"/>
      <c r="Y724" s="41"/>
      <c r="Z724" s="41"/>
      <c r="AA724" s="41"/>
      <c r="AB724" s="41"/>
      <c r="AC724" s="41"/>
      <c r="AD724" s="41"/>
      <c r="AE724" s="41"/>
      <c r="AF724" s="41"/>
      <c r="AG724" s="41"/>
      <c r="AH724" s="41"/>
      <c r="AI724" s="41"/>
      <c r="AJ724" s="41"/>
      <c r="AK724" s="41"/>
      <c r="AL724" s="41"/>
      <c r="AM724" s="41"/>
      <c r="AN724" s="41"/>
      <c r="AO724" s="41"/>
      <c r="AP724" s="41"/>
      <c r="AQ724" s="41"/>
      <c r="AR724" s="41"/>
      <c r="AS724" s="41"/>
      <c r="AT724" s="41"/>
      <c r="AU724" s="41"/>
      <c r="AV724" s="211"/>
      <c r="AW724" s="41"/>
      <c r="AX724" s="41"/>
      <c r="AY724" s="41"/>
      <c r="AZ724" s="41"/>
      <c r="BA724" s="41"/>
      <c r="BB724" s="41"/>
      <c r="BC724" s="41"/>
      <c r="BD724" s="41"/>
      <c r="BE724" s="41"/>
      <c r="BF724" s="41"/>
      <c r="BG724" s="41"/>
      <c r="BH724" s="41"/>
      <c r="BI724" s="41"/>
      <c r="BJ724" s="41"/>
      <c r="BK724" s="41"/>
      <c r="BL724" s="41"/>
      <c r="BM724" s="41"/>
      <c r="BN724" s="41"/>
      <c r="BO724" s="41"/>
      <c r="BP724" s="41"/>
      <c r="BQ724" s="41"/>
      <c r="BR724" s="41"/>
      <c r="BS724" s="41"/>
      <c r="BT724" s="41"/>
      <c r="BU724" s="41"/>
      <c r="BV724" s="41"/>
      <c r="BW724" s="41"/>
      <c r="BX724" s="41"/>
      <c r="BY724" s="41"/>
      <c r="BZ724" s="41"/>
      <c r="CA724" s="41"/>
      <c r="CB724" s="41"/>
      <c r="CC724" s="41"/>
      <c r="CD724" s="41"/>
      <c r="CE724" s="41"/>
      <c r="CF724" s="41"/>
      <c r="CG724" s="41"/>
      <c r="CH724" s="41"/>
      <c r="CI724" s="41"/>
      <c r="CJ724" s="41"/>
      <c r="CK724" s="41"/>
      <c r="CL724" s="41"/>
      <c r="CM724" s="41"/>
      <c r="CN724" s="41"/>
      <c r="CO724" s="41"/>
      <c r="CP724" s="41"/>
      <c r="CQ724" s="41"/>
      <c r="CR724" s="41"/>
      <c r="CS724" s="41"/>
      <c r="CT724" s="41"/>
      <c r="CU724" s="41"/>
      <c r="CV724" s="211"/>
      <c r="CW724" s="41"/>
      <c r="CX724" s="41"/>
      <c r="CY724" s="41"/>
      <c r="CZ724" s="15"/>
      <c r="DA724" s="15"/>
      <c r="DB724" s="15"/>
      <c r="DC724" s="15"/>
      <c r="DD724" s="15"/>
      <c r="DE724" s="15"/>
      <c r="DF724" s="15"/>
    </row>
    <row r="725" spans="1:110" s="4" customFormat="1" ht="12.95" customHeight="1" outlineLevel="1">
      <c r="A725" s="1"/>
      <c r="B725" s="5" t="s">
        <v>378</v>
      </c>
      <c r="C725" s="389" t="e">
        <v>#VALUE!</v>
      </c>
      <c r="D725" s="389" t="s">
        <v>800</v>
      </c>
      <c r="E725" s="389" t="s">
        <v>800</v>
      </c>
      <c r="F725" s="389" t="s">
        <v>800</v>
      </c>
      <c r="G725" s="389" t="s">
        <v>800</v>
      </c>
      <c r="H725" s="389" t="s">
        <v>800</v>
      </c>
      <c r="I725" s="389" t="s">
        <v>800</v>
      </c>
      <c r="J725" s="389" t="s">
        <v>800</v>
      </c>
      <c r="K725" s="389" t="s">
        <v>800</v>
      </c>
      <c r="L725" s="389" t="s">
        <v>800</v>
      </c>
      <c r="M725" s="75" t="s">
        <v>800</v>
      </c>
      <c r="N725" s="75" t="s">
        <v>800</v>
      </c>
      <c r="O725" s="75" t="s">
        <v>800</v>
      </c>
      <c r="P725" s="75" t="s">
        <v>800</v>
      </c>
      <c r="Q725" s="75" t="s">
        <v>800</v>
      </c>
      <c r="R725" s="75" t="s">
        <v>800</v>
      </c>
      <c r="S725" s="75" t="s">
        <v>800</v>
      </c>
      <c r="T725" s="78" t="s">
        <v>800</v>
      </c>
      <c r="U725" s="75" t="s">
        <v>800</v>
      </c>
      <c r="V725" s="75" t="s">
        <v>800</v>
      </c>
      <c r="W725" s="75" t="s">
        <v>800</v>
      </c>
      <c r="X725" s="75" t="s">
        <v>800</v>
      </c>
      <c r="Y725" s="78" t="s">
        <v>800</v>
      </c>
      <c r="Z725" s="78" t="s">
        <v>800</v>
      </c>
      <c r="AA725" s="78" t="s">
        <v>800</v>
      </c>
      <c r="AB725" s="78" t="s">
        <v>800</v>
      </c>
      <c r="AC725" s="78" t="s">
        <v>800</v>
      </c>
      <c r="AD725" s="78" t="s">
        <v>800</v>
      </c>
      <c r="AE725" s="78" t="s">
        <v>800</v>
      </c>
      <c r="AF725" s="78" t="s">
        <v>800</v>
      </c>
      <c r="AG725" s="78" t="s">
        <v>800</v>
      </c>
      <c r="AH725" s="78" t="s">
        <v>800</v>
      </c>
      <c r="AI725" s="78" t="s">
        <v>800</v>
      </c>
      <c r="AJ725" s="78" t="s">
        <v>800</v>
      </c>
      <c r="AK725" s="78" t="s">
        <v>800</v>
      </c>
      <c r="AL725" s="78" t="s">
        <v>800</v>
      </c>
      <c r="AM725" s="78" t="s">
        <v>800</v>
      </c>
      <c r="AN725" s="78" t="s">
        <v>800</v>
      </c>
      <c r="AO725" s="78" t="s">
        <v>800</v>
      </c>
      <c r="AP725" s="78" t="s">
        <v>800</v>
      </c>
      <c r="AQ725" s="78" t="s">
        <v>800</v>
      </c>
      <c r="AR725" s="78" t="s">
        <v>800</v>
      </c>
      <c r="AS725" s="78" t="s">
        <v>800</v>
      </c>
      <c r="AT725" s="78" t="s">
        <v>800</v>
      </c>
      <c r="AU725" s="78" t="s">
        <v>800</v>
      </c>
      <c r="AV725" s="76" t="s">
        <v>800</v>
      </c>
      <c r="AW725" s="75" t="s">
        <v>800</v>
      </c>
      <c r="AX725" s="75" t="s">
        <v>800</v>
      </c>
      <c r="AY725" s="75" t="s">
        <v>800</v>
      </c>
      <c r="AZ725" s="75" t="s">
        <v>800</v>
      </c>
      <c r="BA725" s="75" t="s">
        <v>800</v>
      </c>
      <c r="BB725" s="75" t="s">
        <v>800</v>
      </c>
      <c r="BC725" s="75" t="s">
        <v>800</v>
      </c>
      <c r="BD725" s="75" t="s">
        <v>800</v>
      </c>
      <c r="BE725" s="75" t="s">
        <v>800</v>
      </c>
      <c r="BF725" s="75" t="s">
        <v>800</v>
      </c>
      <c r="BG725" s="75" t="s">
        <v>800</v>
      </c>
      <c r="BH725" s="75" t="s">
        <v>800</v>
      </c>
      <c r="BI725" s="75" t="s">
        <v>800</v>
      </c>
      <c r="BJ725" s="75" t="s">
        <v>800</v>
      </c>
      <c r="BK725" s="75" t="s">
        <v>800</v>
      </c>
      <c r="BL725" s="75" t="s">
        <v>800</v>
      </c>
      <c r="BM725" s="75" t="s">
        <v>800</v>
      </c>
      <c r="BN725" s="75" t="s">
        <v>800</v>
      </c>
      <c r="BO725" s="75" t="s">
        <v>800</v>
      </c>
      <c r="BP725" s="77"/>
      <c r="BQ725" s="389" t="e">
        <v>#DIV/0!</v>
      </c>
      <c r="BR725" s="389" t="s">
        <v>800</v>
      </c>
      <c r="BS725" s="389" t="s">
        <v>800</v>
      </c>
      <c r="BT725" s="389" t="s">
        <v>800</v>
      </c>
      <c r="BU725" s="389" t="s">
        <v>800</v>
      </c>
      <c r="BV725" s="389" t="s">
        <v>800</v>
      </c>
      <c r="BW725" s="389" t="s">
        <v>800</v>
      </c>
      <c r="BX725" s="389" t="s">
        <v>800</v>
      </c>
      <c r="BY725" s="389" t="s">
        <v>800</v>
      </c>
      <c r="BZ725" s="389" t="s">
        <v>800</v>
      </c>
      <c r="CA725" s="75" t="s">
        <v>800</v>
      </c>
      <c r="CB725" s="75" t="s">
        <v>800</v>
      </c>
      <c r="CC725" s="75" t="s">
        <v>800</v>
      </c>
      <c r="CD725" s="75" t="s">
        <v>800</v>
      </c>
      <c r="CE725" s="75" t="s">
        <v>800</v>
      </c>
      <c r="CF725" s="75" t="s">
        <v>800</v>
      </c>
      <c r="CG725" s="75" t="s">
        <v>800</v>
      </c>
      <c r="CH725" s="75" t="s">
        <v>800</v>
      </c>
      <c r="CI725" s="75" t="s">
        <v>800</v>
      </c>
      <c r="CJ725" s="75" t="s">
        <v>800</v>
      </c>
      <c r="CK725" s="78" t="s">
        <v>800</v>
      </c>
      <c r="CL725" s="78" t="s">
        <v>800</v>
      </c>
      <c r="CM725" s="78" t="s">
        <v>800</v>
      </c>
      <c r="CN725" s="78" t="s">
        <v>800</v>
      </c>
      <c r="CO725" s="78" t="s">
        <v>800</v>
      </c>
      <c r="CP725" s="78" t="s">
        <v>800</v>
      </c>
      <c r="CQ725" s="78" t="s">
        <v>800</v>
      </c>
      <c r="CR725" s="78" t="s">
        <v>800</v>
      </c>
      <c r="CS725" s="78" t="s">
        <v>800</v>
      </c>
      <c r="CT725" s="78" t="s">
        <v>800</v>
      </c>
      <c r="CU725" s="78" t="s">
        <v>800</v>
      </c>
      <c r="CV725" s="76" t="s">
        <v>800</v>
      </c>
      <c r="CW725" s="75" t="s">
        <v>800</v>
      </c>
      <c r="CX725" s="75" t="s">
        <v>2462</v>
      </c>
      <c r="CY725" s="75" t="s">
        <v>800</v>
      </c>
      <c r="CZ725" s="75" t="s">
        <v>800</v>
      </c>
      <c r="DA725" s="75" t="s">
        <v>800</v>
      </c>
      <c r="DB725" s="75" t="s">
        <v>800</v>
      </c>
      <c r="DC725" s="75" t="s">
        <v>800</v>
      </c>
      <c r="DD725" s="75" t="s">
        <v>800</v>
      </c>
      <c r="DE725" s="75" t="s">
        <v>800</v>
      </c>
      <c r="DF725" s="75" t="s">
        <v>800</v>
      </c>
    </row>
    <row r="726" spans="1:110" ht="12" outlineLevel="1">
      <c r="AV726" s="200"/>
      <c r="CZ726" s="16"/>
      <c r="DA726" s="16"/>
      <c r="DB726" s="16"/>
      <c r="DC726" s="16"/>
      <c r="DD726" s="16"/>
      <c r="DE726" s="16"/>
      <c r="DF726" s="16"/>
    </row>
    <row r="727" spans="1:110" s="17" customFormat="1" ht="12" outlineLevel="1">
      <c r="A727" s="1"/>
      <c r="B727" s="17" t="s">
        <v>379</v>
      </c>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0"/>
      <c r="AH727" s="10"/>
      <c r="AI727" s="10"/>
      <c r="AJ727" s="10"/>
      <c r="AK727" s="10"/>
      <c r="AL727" s="10"/>
      <c r="AM727" s="10"/>
      <c r="AN727" s="10"/>
      <c r="AO727" s="10"/>
      <c r="AP727" s="10"/>
      <c r="AQ727" s="10"/>
      <c r="AR727" s="10"/>
      <c r="AS727" s="10"/>
      <c r="AT727" s="10"/>
      <c r="AU727" s="10"/>
      <c r="AV727" s="201"/>
      <c r="AW727" s="10"/>
      <c r="AX727" s="10"/>
      <c r="AY727" s="10"/>
      <c r="AZ727" s="10"/>
      <c r="BA727" s="10"/>
      <c r="BB727" s="10"/>
      <c r="BC727" s="10"/>
      <c r="BD727" s="10"/>
      <c r="BE727" s="10"/>
      <c r="BF727" s="10"/>
      <c r="BG727" s="10"/>
      <c r="BH727" s="10"/>
      <c r="BI727" s="10"/>
      <c r="BJ727" s="10"/>
      <c r="BK727" s="10"/>
      <c r="BL727" s="10"/>
      <c r="BM727" s="10"/>
      <c r="BN727" s="10"/>
      <c r="BO727" s="10"/>
      <c r="BP727" s="10"/>
      <c r="BQ727" s="10"/>
      <c r="BR727" s="10"/>
      <c r="BS727" s="10"/>
      <c r="BT727" s="10"/>
      <c r="BU727" s="10"/>
      <c r="BV727" s="10"/>
      <c r="BW727" s="10"/>
      <c r="BX727" s="10"/>
      <c r="BY727" s="10"/>
      <c r="BZ727" s="10"/>
      <c r="CA727" s="10"/>
      <c r="CB727" s="10"/>
      <c r="CC727" s="10"/>
      <c r="CD727" s="10"/>
      <c r="CE727" s="10"/>
      <c r="CF727" s="10"/>
      <c r="CG727" s="10"/>
      <c r="CH727" s="10"/>
      <c r="CI727" s="10"/>
      <c r="CJ727" s="10"/>
      <c r="CK727" s="10"/>
      <c r="CL727" s="404"/>
      <c r="CM727" s="10"/>
      <c r="CN727" s="10"/>
      <c r="CO727" s="10"/>
      <c r="CP727" s="10"/>
      <c r="CQ727" s="10"/>
      <c r="CR727" s="10"/>
      <c r="CS727" s="10"/>
      <c r="CT727" s="10"/>
      <c r="CU727" s="10"/>
      <c r="CV727" s="201"/>
      <c r="CW727" s="10"/>
      <c r="CX727" s="10"/>
      <c r="CY727" s="10"/>
      <c r="CZ727" s="10"/>
      <c r="DA727" s="10"/>
      <c r="DB727" s="10"/>
      <c r="DC727" s="10"/>
      <c r="DD727" s="10"/>
      <c r="DE727" s="10"/>
      <c r="DF727" s="10"/>
    </row>
    <row r="728" spans="1:110" ht="12" outlineLevel="1">
      <c r="A728" s="1" t="s">
        <v>950</v>
      </c>
      <c r="B728" s="15" t="s">
        <v>200</v>
      </c>
      <c r="C728" s="53">
        <v>0.6108328443577149</v>
      </c>
      <c r="D728" s="53">
        <v>0.65819939686369111</v>
      </c>
      <c r="E728" s="53">
        <v>0.80278687312687291</v>
      </c>
      <c r="F728" s="53">
        <v>0.68530597483477396</v>
      </c>
      <c r="G728" s="53">
        <v>0.72677306997029267</v>
      </c>
      <c r="H728" s="53">
        <v>0.76195499740529316</v>
      </c>
      <c r="I728" s="53">
        <v>0.75750543580131247</v>
      </c>
      <c r="J728" s="53">
        <v>0.8431125330553576</v>
      </c>
      <c r="K728" s="53">
        <v>0.87426661259385074</v>
      </c>
      <c r="L728" s="53">
        <v>0.97613362174578844</v>
      </c>
      <c r="M728" s="53">
        <v>1.0082218818906232</v>
      </c>
      <c r="N728" s="53">
        <v>1.1232077052562988</v>
      </c>
      <c r="O728" s="53">
        <v>1.1004759273432869</v>
      </c>
      <c r="P728" s="53">
        <v>1.0155911772465838</v>
      </c>
      <c r="Q728" s="53">
        <v>0.67793645255549317</v>
      </c>
      <c r="R728" s="53">
        <v>0.65786442519160282</v>
      </c>
      <c r="S728" s="53">
        <v>0.64266566828935001</v>
      </c>
      <c r="T728" s="53">
        <v>0.75818918120270806</v>
      </c>
      <c r="U728" s="53">
        <v>1.0060160550603456</v>
      </c>
      <c r="V728" s="53">
        <v>1.0273754579810652</v>
      </c>
      <c r="W728" s="53">
        <v>1.0249926543019856</v>
      </c>
      <c r="X728" s="53">
        <v>1.0926040739760221</v>
      </c>
      <c r="Y728" s="53">
        <v>1.0127251763477743</v>
      </c>
      <c r="Z728" s="53">
        <v>1.0714791739674594</v>
      </c>
      <c r="AA728" s="53">
        <v>1.2097811314390468</v>
      </c>
      <c r="AB728" s="53">
        <v>1.232470474340176</v>
      </c>
      <c r="AC728" s="53">
        <v>1.4050956758139366</v>
      </c>
      <c r="AD728" s="53">
        <v>1.2644587018181819</v>
      </c>
      <c r="AE728" s="53">
        <v>1.4163522333225911</v>
      </c>
      <c r="AF728" s="53">
        <v>0.93621405804094571</v>
      </c>
      <c r="AG728" s="53">
        <v>1.0123256992718781</v>
      </c>
      <c r="AH728" s="53">
        <v>0.98777656599514319</v>
      </c>
      <c r="AI728" s="53">
        <v>1.1837158848832445</v>
      </c>
      <c r="AJ728" s="53">
        <v>1.1272316822813377</v>
      </c>
      <c r="AK728" s="53">
        <v>1.0591383741586289</v>
      </c>
      <c r="AL728" s="53">
        <v>1.101854764955021</v>
      </c>
      <c r="AM728" s="53">
        <v>0.97479909518255381</v>
      </c>
      <c r="AN728" s="53">
        <v>0.54150104924750941</v>
      </c>
      <c r="AO728" s="53">
        <v>0.7120368578694547</v>
      </c>
      <c r="AP728" s="53">
        <v>1.0285373931729314</v>
      </c>
      <c r="AQ728" s="53">
        <v>1.1251144426437429</v>
      </c>
      <c r="AR728" s="53">
        <v>1.2362115076423452</v>
      </c>
      <c r="AS728" s="53">
        <v>1.2537991266375546</v>
      </c>
      <c r="AT728" s="53">
        <v>1.187335092348285</v>
      </c>
      <c r="AU728" s="53">
        <v>1.1835877608159457</v>
      </c>
      <c r="AV728" s="216">
        <v>1.1351747576050377</v>
      </c>
      <c r="AW728" s="53">
        <v>1.1185390525619152</v>
      </c>
      <c r="AX728" s="53">
        <v>1.1514536028176503</v>
      </c>
      <c r="AY728" s="53">
        <v>1.1472133052496138</v>
      </c>
      <c r="AZ728" s="53">
        <v>1.1761466506834537</v>
      </c>
      <c r="BA728" s="53">
        <v>1.1415594023776148</v>
      </c>
      <c r="BB728" s="53">
        <v>1.2010998193280744</v>
      </c>
      <c r="BC728" s="53">
        <v>1.158251715853855</v>
      </c>
      <c r="BD728" s="53">
        <v>1.2480616199049226</v>
      </c>
      <c r="BE728" s="53">
        <v>1.2126040837882439</v>
      </c>
      <c r="BF728" s="53">
        <v>1.3112084566826676</v>
      </c>
      <c r="BG728" s="53">
        <v>1.2820750640234</v>
      </c>
      <c r="BH728" s="53">
        <v>1.2155322282966321</v>
      </c>
      <c r="BI728" s="53">
        <v>0.99578615781551494</v>
      </c>
      <c r="BJ728" s="53">
        <v>1.068157340181553</v>
      </c>
      <c r="BK728" s="53">
        <v>1.1983922377300311</v>
      </c>
      <c r="BL728" s="53">
        <v>1.4455002664998629</v>
      </c>
      <c r="BM728" s="53">
        <v>1.4121010293294407</v>
      </c>
      <c r="BN728" s="53">
        <v>1.5055896400213389</v>
      </c>
      <c r="BO728" s="53">
        <v>1.4533772617589453</v>
      </c>
      <c r="BP728" s="53"/>
      <c r="BQ728" s="53">
        <v>-0.5738762403027996</v>
      </c>
      <c r="BR728" s="53">
        <v>0.12877334969042142</v>
      </c>
      <c r="BS728" s="53">
        <v>0.53213457455287738</v>
      </c>
      <c r="BT728" s="53">
        <v>0.66564482201136443</v>
      </c>
      <c r="BU728" s="53">
        <v>0.72662867165916711</v>
      </c>
      <c r="BV728" s="53">
        <v>0.65306145932132087</v>
      </c>
      <c r="BW728" s="53">
        <v>0.69146237916159958</v>
      </c>
      <c r="BX728" s="53">
        <v>0.86293128249346629</v>
      </c>
      <c r="BY728" s="53">
        <v>1.016823097292086</v>
      </c>
      <c r="BZ728" s="53">
        <v>1.1173083169922928</v>
      </c>
      <c r="CA728" s="53">
        <v>1.4614478728299447</v>
      </c>
      <c r="CB728" s="53">
        <v>1.4122011594499844</v>
      </c>
      <c r="CC728" s="53">
        <v>1.5193606121413679</v>
      </c>
      <c r="CD728" s="53">
        <v>1.7173988085771863</v>
      </c>
      <c r="CE728" s="53">
        <v>1.984388813855652</v>
      </c>
      <c r="CF728" s="53">
        <v>2.2235392469569919</v>
      </c>
      <c r="CG728" s="53">
        <v>1.6902282431940039</v>
      </c>
      <c r="CH728" s="53">
        <v>1.2995004771335974</v>
      </c>
      <c r="CI728" s="53">
        <v>1.7751827760730081</v>
      </c>
      <c r="CJ728" s="53">
        <v>2.0658308967613701</v>
      </c>
      <c r="CK728" s="53">
        <v>2.1047973789944052</v>
      </c>
      <c r="CL728" s="53">
        <v>2.2814953014216965</v>
      </c>
      <c r="CM728" s="53">
        <v>2.637985795329771</v>
      </c>
      <c r="CN728" s="53">
        <v>2.6819327098217505</v>
      </c>
      <c r="CO728" s="53">
        <v>1.948874466313399</v>
      </c>
      <c r="CP728" s="53">
        <v>2.1717136809732094</v>
      </c>
      <c r="CQ728" s="53">
        <v>2.1869425825784448</v>
      </c>
      <c r="CR728" s="53">
        <v>2.0772705701522987</v>
      </c>
      <c r="CS728" s="53">
        <v>1.2535559793705182</v>
      </c>
      <c r="CT728" s="53">
        <v>2.1536087972944409</v>
      </c>
      <c r="CU728" s="53">
        <v>2.5000877963125547</v>
      </c>
      <c r="CV728" s="216">
        <v>2.370879487521687</v>
      </c>
      <c r="CW728" s="53">
        <v>2.2537567016463509</v>
      </c>
      <c r="CX728" s="53">
        <v>2.2986614160506047</v>
      </c>
      <c r="CY728" s="53">
        <v>2.3177060530610682</v>
      </c>
      <c r="CZ728" s="53">
        <v>2.3593515351819292</v>
      </c>
      <c r="DA728" s="53">
        <v>2.4606657036931665</v>
      </c>
      <c r="DB728" s="53">
        <v>2.5932835207060672</v>
      </c>
      <c r="DC728" s="53">
        <v>2.2105513042066085</v>
      </c>
      <c r="DD728" s="53">
        <v>2.2669662092468585</v>
      </c>
      <c r="DE728" s="53">
        <v>2.8576012958293031</v>
      </c>
      <c r="DF728" s="53">
        <v>2.958966901780284</v>
      </c>
    </row>
    <row r="729" spans="1:110" ht="12" outlineLevel="1">
      <c r="A729" s="1" t="s">
        <v>951</v>
      </c>
      <c r="B729" s="15" t="s">
        <v>201</v>
      </c>
      <c r="C729" s="53">
        <v>0.60853971307903731</v>
      </c>
      <c r="D729" s="53">
        <v>0.65490774154830966</v>
      </c>
      <c r="E729" s="53">
        <v>0.79869102173336848</v>
      </c>
      <c r="F729" s="53">
        <v>0.68270288807293</v>
      </c>
      <c r="G729" s="53">
        <v>0.72407284256926951</v>
      </c>
      <c r="H729" s="53">
        <v>0.75135396129607945</v>
      </c>
      <c r="I729" s="53">
        <v>0.74430003798670497</v>
      </c>
      <c r="J729" s="53">
        <v>0.81638925918325489</v>
      </c>
      <c r="K729" s="53">
        <v>0.84261744630318036</v>
      </c>
      <c r="L729" s="53">
        <v>0.9475266391326792</v>
      </c>
      <c r="M729" s="53">
        <v>0.97713970384893201</v>
      </c>
      <c r="N729" s="53">
        <v>1.0917864418508569</v>
      </c>
      <c r="O729" s="53">
        <v>1.0739856076954397</v>
      </c>
      <c r="P729" s="53">
        <v>0.9778131216776399</v>
      </c>
      <c r="Q729" s="53">
        <v>0.65379699057220231</v>
      </c>
      <c r="R729" s="53">
        <v>0.62856964757709244</v>
      </c>
      <c r="S729" s="53">
        <v>0.63292127269779508</v>
      </c>
      <c r="T729" s="53">
        <v>0.74520987179666009</v>
      </c>
      <c r="U729" s="53">
        <v>0.97695460300496717</v>
      </c>
      <c r="V729" s="53">
        <v>0.99807031284312187</v>
      </c>
      <c r="W729" s="53">
        <v>0.97979937735543177</v>
      </c>
      <c r="X729" s="53">
        <v>1.0470880130853994</v>
      </c>
      <c r="Y729" s="53">
        <v>0.978487377099866</v>
      </c>
      <c r="Z729" s="53">
        <v>1.0397706183721251</v>
      </c>
      <c r="AA729" s="53">
        <v>1.1706029498525072</v>
      </c>
      <c r="AB729" s="53">
        <v>1.191332544196245</v>
      </c>
      <c r="AC729" s="53">
        <v>1.3484042706777131</v>
      </c>
      <c r="AD729" s="53">
        <v>1.2311248981823151</v>
      </c>
      <c r="AE729" s="53">
        <v>1.3327105751608501</v>
      </c>
      <c r="AF729" s="53">
        <v>0.88625734943489698</v>
      </c>
      <c r="AG729" s="53">
        <v>0.96983662406815763</v>
      </c>
      <c r="AH729" s="53">
        <v>0.95409679137323944</v>
      </c>
      <c r="AI729" s="53">
        <v>1.1327174702390301</v>
      </c>
      <c r="AJ729" s="53">
        <v>1.0724919339637362</v>
      </c>
      <c r="AK729" s="53">
        <v>1.01827937617725</v>
      </c>
      <c r="AL729" s="53">
        <v>1.0505485507710026</v>
      </c>
      <c r="AM729" s="53">
        <v>0.93902206015282075</v>
      </c>
      <c r="AN729" s="53">
        <v>0.51126768788982901</v>
      </c>
      <c r="AO729" s="53">
        <v>0.65773314962351981</v>
      </c>
      <c r="AP729" s="53">
        <v>0.97619667034107116</v>
      </c>
      <c r="AQ729" s="53">
        <v>1.0586936094026727</v>
      </c>
      <c r="AR729" s="53">
        <v>1.1577213390038017</v>
      </c>
      <c r="AS729" s="53">
        <v>1.1750119217930377</v>
      </c>
      <c r="AT729" s="53">
        <v>1.1301589238324741</v>
      </c>
      <c r="AU729" s="53">
        <v>1.1375548512920526</v>
      </c>
      <c r="AV729" s="216">
        <v>1.115282821443959</v>
      </c>
      <c r="AW729" s="53">
        <v>1.0998284083847059</v>
      </c>
      <c r="AX729" s="53">
        <v>1.1300037955403572</v>
      </c>
      <c r="AY729" s="53">
        <v>1.1259878211560068</v>
      </c>
      <c r="AZ729" s="53">
        <v>1.1526680451598821</v>
      </c>
      <c r="BA729" s="53">
        <v>1.1207742036894051</v>
      </c>
      <c r="BB729" s="53">
        <v>1.1756780399967148</v>
      </c>
      <c r="BC729" s="53">
        <v>1.1361666395108125</v>
      </c>
      <c r="BD729" s="53">
        <v>1.21898279235868</v>
      </c>
      <c r="BE729" s="53">
        <v>1.1862864348502931</v>
      </c>
      <c r="BF729" s="53">
        <v>1.2772122063826772</v>
      </c>
      <c r="BG729" s="53">
        <v>1.2503475133965345</v>
      </c>
      <c r="BH729" s="53">
        <v>1.1889865564652704</v>
      </c>
      <c r="BI729" s="53">
        <v>0.98641499748170791</v>
      </c>
      <c r="BJ729" s="53">
        <v>1.0533699219701074</v>
      </c>
      <c r="BK729" s="53">
        <v>1.1737918613694105</v>
      </c>
      <c r="BL729" s="53">
        <v>1.4021229142869902</v>
      </c>
      <c r="BM729" s="53">
        <v>1.3712615819873839</v>
      </c>
      <c r="BN729" s="53">
        <v>1.4576462819153893</v>
      </c>
      <c r="BO729" s="53">
        <v>1.4094013610063738</v>
      </c>
      <c r="BP729" s="53"/>
      <c r="BQ729" s="53">
        <v>-0.44882972805248172</v>
      </c>
      <c r="BR729" s="53">
        <v>0.11426573364898553</v>
      </c>
      <c r="BS729" s="53">
        <v>0.53213457455287738</v>
      </c>
      <c r="BT729" s="53">
        <v>0.66632964178709631</v>
      </c>
      <c r="BU729" s="53">
        <v>0.72416716540961967</v>
      </c>
      <c r="BV729" s="53">
        <v>0.65119636190200658</v>
      </c>
      <c r="BW729" s="53">
        <v>0.68972361366041191</v>
      </c>
      <c r="BX729" s="53">
        <v>0.86000509751569498</v>
      </c>
      <c r="BY729" s="53">
        <v>1.0119641467598557</v>
      </c>
      <c r="BZ729" s="53">
        <v>1.1205351795269665</v>
      </c>
      <c r="CA729" s="53">
        <v>1.4540653080977819</v>
      </c>
      <c r="CB729" s="53">
        <v>1.4068956591339512</v>
      </c>
      <c r="CC729" s="53">
        <v>1.4954583597668434</v>
      </c>
      <c r="CD729" s="53">
        <v>1.6589085101801859</v>
      </c>
      <c r="CE729" s="53">
        <v>1.9250729269048108</v>
      </c>
      <c r="CF729" s="53">
        <v>2.1653094407709261</v>
      </c>
      <c r="CG729" s="53">
        <v>1.6091048086553912</v>
      </c>
      <c r="CH729" s="53">
        <v>1.2854972627721677</v>
      </c>
      <c r="CI729" s="53">
        <v>1.7229999347423064</v>
      </c>
      <c r="CJ729" s="53">
        <v>1.9720957823177676</v>
      </c>
      <c r="CK729" s="53">
        <v>2.0283892453415078</v>
      </c>
      <c r="CL729" s="53">
        <v>2.2145783123902638</v>
      </c>
      <c r="CM729" s="53">
        <v>2.5383661695747</v>
      </c>
      <c r="CN729" s="53">
        <v>2.5409075509531034</v>
      </c>
      <c r="CO729" s="53">
        <v>1.8696167292124253</v>
      </c>
      <c r="CP729" s="53">
        <v>2.0807167603471508</v>
      </c>
      <c r="CQ729" s="53">
        <v>2.0944281676518002</v>
      </c>
      <c r="CR729" s="53">
        <v>1.9974648864004141</v>
      </c>
      <c r="CS729" s="53">
        <v>1.1749080084970793</v>
      </c>
      <c r="CT729" s="53">
        <v>2.0326429630824836</v>
      </c>
      <c r="CU729" s="53">
        <v>2.3319843217233358</v>
      </c>
      <c r="CV729" s="216">
        <v>2.2742699892982725</v>
      </c>
      <c r="CW729" s="53">
        <v>2.2151480260376073</v>
      </c>
      <c r="CX729" s="53">
        <v>2.2559862868713312</v>
      </c>
      <c r="CY729" s="53">
        <v>2.2734422488492867</v>
      </c>
      <c r="CZ729" s="53">
        <v>2.3118446795075274</v>
      </c>
      <c r="DA729" s="53">
        <v>2.4052692272089731</v>
      </c>
      <c r="DB729" s="53">
        <v>2.5275597197792115</v>
      </c>
      <c r="DC729" s="53">
        <v>2.1747505505839251</v>
      </c>
      <c r="DD729" s="53">
        <v>2.2275186817899781</v>
      </c>
      <c r="DE729" s="53">
        <v>2.7733844962743737</v>
      </c>
      <c r="DF729" s="53">
        <v>2.8670476429217628</v>
      </c>
    </row>
    <row r="730" spans="1:110" ht="12" outlineLevel="1">
      <c r="A730" s="1" t="s">
        <v>952</v>
      </c>
      <c r="B730" s="15" t="s">
        <v>202</v>
      </c>
      <c r="C730" s="53">
        <v>0.6108328443577149</v>
      </c>
      <c r="D730" s="53">
        <v>0.66883696287360939</v>
      </c>
      <c r="E730" s="53">
        <v>0.6904627838827837</v>
      </c>
      <c r="F730" s="53">
        <v>0.68530597483477396</v>
      </c>
      <c r="G730" s="53">
        <v>0.72677306997029267</v>
      </c>
      <c r="H730" s="53">
        <v>0.71390378135270716</v>
      </c>
      <c r="I730" s="53">
        <v>0.75750543580131247</v>
      </c>
      <c r="J730" s="53">
        <v>0.85018836451418245</v>
      </c>
      <c r="K730" s="53">
        <v>0.85414978133391761</v>
      </c>
      <c r="L730" s="53">
        <v>0.93272578976153986</v>
      </c>
      <c r="M730" s="53">
        <v>0.99685095841065385</v>
      </c>
      <c r="N730" s="53">
        <v>1.0337820558210251</v>
      </c>
      <c r="O730" s="53">
        <v>1.0523501579259418</v>
      </c>
      <c r="P730" s="53">
        <v>0.99412765236663014</v>
      </c>
      <c r="Q730" s="53">
        <v>0.67742787307120544</v>
      </c>
      <c r="R730" s="53">
        <v>0.4392059694387585</v>
      </c>
      <c r="S730" s="53">
        <v>1.0252148432829447</v>
      </c>
      <c r="T730" s="53">
        <v>0.93637746714456394</v>
      </c>
      <c r="U730" s="53">
        <v>1.0768402114064841</v>
      </c>
      <c r="V730" s="53">
        <v>1.0501802555810964</v>
      </c>
      <c r="W730" s="53">
        <v>1.0452252839772203</v>
      </c>
      <c r="X730" s="53">
        <v>1.0839743027873379</v>
      </c>
      <c r="Y730" s="53">
        <v>1.1651147938259638</v>
      </c>
      <c r="Z730" s="53">
        <v>1.1598561201501878</v>
      </c>
      <c r="AA730" s="53">
        <v>1.2039613785517873</v>
      </c>
      <c r="AB730" s="53">
        <v>1.277201624633431</v>
      </c>
      <c r="AC730" s="53">
        <v>1.3046799115723315</v>
      </c>
      <c r="AD730" s="53">
        <v>1.3257876545454546</v>
      </c>
      <c r="AE730" s="53">
        <v>1.2575587925663338</v>
      </c>
      <c r="AF730" s="53">
        <v>0.95125913421107045</v>
      </c>
      <c r="AG730" s="53">
        <v>1.0586657514768512</v>
      </c>
      <c r="AH730" s="53">
        <v>1.1384370934090366</v>
      </c>
      <c r="AI730" s="53">
        <v>1.1698296613409804</v>
      </c>
      <c r="AJ730" s="53">
        <v>1.1848992675921495</v>
      </c>
      <c r="AK730" s="53">
        <v>1.0305688307542851</v>
      </c>
      <c r="AL730" s="53">
        <v>1.2376332752283943</v>
      </c>
      <c r="AM730" s="53">
        <v>1.0189806369066552</v>
      </c>
      <c r="AN730" s="53">
        <v>0.49523688193315907</v>
      </c>
      <c r="AO730" s="53">
        <v>0.82171576363379484</v>
      </c>
      <c r="AP730" s="53">
        <v>1.0449632366928525</v>
      </c>
      <c r="AQ730" s="53">
        <v>1.121269689966178</v>
      </c>
      <c r="AR730" s="53">
        <v>1.0901774570228386</v>
      </c>
      <c r="AS730" s="53">
        <v>1.188471615720524</v>
      </c>
      <c r="AT730" s="53">
        <v>1.2788484018569855</v>
      </c>
      <c r="AU730" s="53">
        <v>1.194587027531498</v>
      </c>
      <c r="AV730" s="216">
        <v>1.1834871555659214</v>
      </c>
      <c r="AW730" s="53">
        <v>1.1185390525619152</v>
      </c>
      <c r="AX730" s="53">
        <v>1.1514536028176503</v>
      </c>
      <c r="AY730" s="53">
        <v>1.1472133052496138</v>
      </c>
      <c r="AZ730" s="53">
        <v>1.1761466506834537</v>
      </c>
      <c r="BA730" s="53">
        <v>1.1415594023776148</v>
      </c>
      <c r="BB730" s="53">
        <v>1.2010998193280744</v>
      </c>
      <c r="BC730" s="53">
        <v>1.158251715853855</v>
      </c>
      <c r="BD730" s="53">
        <v>1.2480616199049226</v>
      </c>
      <c r="BE730" s="53">
        <v>1.2126040837882439</v>
      </c>
      <c r="BF730" s="53">
        <v>1.3112084566826676</v>
      </c>
      <c r="BG730" s="53">
        <v>1.2820750640234</v>
      </c>
      <c r="BH730" s="53">
        <v>1.2155322282966321</v>
      </c>
      <c r="BI730" s="53">
        <v>0.99578615781551494</v>
      </c>
      <c r="BJ730" s="53">
        <v>1.068157340181553</v>
      </c>
      <c r="BK730" s="53">
        <v>1.1983922377300311</v>
      </c>
      <c r="BL730" s="53">
        <v>1.4455002664998629</v>
      </c>
      <c r="BM730" s="53">
        <v>1.4121010293294407</v>
      </c>
      <c r="BN730" s="53">
        <v>1.5055896400213389</v>
      </c>
      <c r="BO730" s="53">
        <v>1.4533772617589453</v>
      </c>
      <c r="BP730" s="53"/>
      <c r="BQ730" s="53">
        <v>-0.57309225636795968</v>
      </c>
      <c r="BR730" s="53">
        <v>0.2932699234111994</v>
      </c>
      <c r="BS730" s="53">
        <v>0.51850848706432662</v>
      </c>
      <c r="BT730" s="53">
        <v>0.65263324627245922</v>
      </c>
      <c r="BU730" s="53">
        <v>0.72662867165916711</v>
      </c>
      <c r="BV730" s="53">
        <v>0.74681149303248706</v>
      </c>
      <c r="BW730" s="53">
        <v>0.73460062885612976</v>
      </c>
      <c r="BX730" s="53">
        <v>0.86293128249346629</v>
      </c>
      <c r="BY730" s="53">
        <v>0.99704295193442838</v>
      </c>
      <c r="BZ730" s="53">
        <v>1.1281559705553248</v>
      </c>
      <c r="CA730" s="53">
        <v>1.3593784975846788</v>
      </c>
      <c r="CB730" s="53">
        <v>1.4122011594499844</v>
      </c>
      <c r="CC730" s="53">
        <v>1.4723873727523815</v>
      </c>
      <c r="CD730" s="53">
        <v>1.7043428784517971</v>
      </c>
      <c r="CE730" s="53">
        <v>1.929643315303502</v>
      </c>
      <c r="CF730" s="53">
        <v>2.0861445939951309</v>
      </c>
      <c r="CG730" s="53">
        <v>1.6685387881942635</v>
      </c>
      <c r="CH730" s="53">
        <v>1.4959885217861</v>
      </c>
      <c r="CI730" s="53">
        <v>2.0250526011238192</v>
      </c>
      <c r="CJ730" s="53">
        <v>2.1091348571651269</v>
      </c>
      <c r="CK730" s="53">
        <v>2.2497117472118959</v>
      </c>
      <c r="CL730" s="53">
        <v>2.3638623841886779</v>
      </c>
      <c r="CM730" s="53">
        <v>2.5820670324280801</v>
      </c>
      <c r="CN730" s="53">
        <v>2.5827742260229485</v>
      </c>
      <c r="CO730" s="53">
        <v>2.0103208499070955</v>
      </c>
      <c r="CP730" s="53">
        <v>2.3083356936850734</v>
      </c>
      <c r="CQ730" s="53">
        <v>2.2166713333103707</v>
      </c>
      <c r="CR730" s="53">
        <v>2.2576752207097885</v>
      </c>
      <c r="CS730" s="53">
        <v>1.316987243632767</v>
      </c>
      <c r="CT730" s="53">
        <v>2.1661907376875926</v>
      </c>
      <c r="CU730" s="53">
        <v>2.2879719051799823</v>
      </c>
      <c r="CV730" s="216">
        <v>2.4733084211931136</v>
      </c>
      <c r="CW730" s="53">
        <v>2.3021936624205592</v>
      </c>
      <c r="CX730" s="53">
        <v>2.2986614160506051</v>
      </c>
      <c r="CY730" s="53">
        <v>2.3177060530610691</v>
      </c>
      <c r="CZ730" s="53">
        <v>2.3593515351819296</v>
      </c>
      <c r="DA730" s="53">
        <v>2.4606657036931661</v>
      </c>
      <c r="DB730" s="53">
        <v>2.5932835207060685</v>
      </c>
      <c r="DC730" s="53">
        <v>2.2105513042066081</v>
      </c>
      <c r="DD730" s="53">
        <v>2.2669662092468581</v>
      </c>
      <c r="DE730" s="53">
        <v>2.8576012958293031</v>
      </c>
      <c r="DF730" s="53">
        <v>2.958966901780284</v>
      </c>
    </row>
    <row r="731" spans="1:110" s="84" customFormat="1" ht="12" outlineLevel="1">
      <c r="A731" s="1" t="s">
        <v>953</v>
      </c>
      <c r="B731" s="84" t="s">
        <v>203</v>
      </c>
      <c r="C731" s="207" t="e">
        <v>#VALUE!</v>
      </c>
      <c r="D731" s="207">
        <v>9.4959069492874582E-2</v>
      </c>
      <c r="E731" s="207">
        <v>3.2333471697288507E-2</v>
      </c>
      <c r="F731" s="207">
        <v>-7.4686270837229785E-3</v>
      </c>
      <c r="G731" s="207">
        <v>6.0508877287282381E-2</v>
      </c>
      <c r="H731" s="207">
        <v>-1.7707437368464363E-2</v>
      </c>
      <c r="I731" s="207">
        <v>6.1074973389255272E-2</v>
      </c>
      <c r="J731" s="207">
        <v>0.12235282327027419</v>
      </c>
      <c r="K731" s="207">
        <v>4.6594578155616517E-3</v>
      </c>
      <c r="L731" s="207">
        <v>9.1993243040946249E-2</v>
      </c>
      <c r="M731" s="30">
        <v>6.8750290120645374E-2</v>
      </c>
      <c r="N731" s="30">
        <v>3.7047762354818881E-2</v>
      </c>
      <c r="O731" s="30">
        <v>1.7961331404780401E-2</v>
      </c>
      <c r="P731" s="30">
        <v>-5.5326171731718388E-2</v>
      </c>
      <c r="Q731" s="30">
        <v>-0.31857053622991582</v>
      </c>
      <c r="R731" s="30">
        <v>-0.35165648344588718</v>
      </c>
      <c r="S731" s="30">
        <v>1.3342461501445904</v>
      </c>
      <c r="T731" s="32">
        <v>-8.6652448236025803E-2</v>
      </c>
      <c r="U731" s="30">
        <v>0.15000654030073401</v>
      </c>
      <c r="V731" s="30">
        <v>-2.4757578276694003E-2</v>
      </c>
      <c r="W731" s="30">
        <v>-4.7182105905565486E-3</v>
      </c>
      <c r="X731" s="30">
        <v>3.7072408603313178E-2</v>
      </c>
      <c r="Y731" s="32">
        <v>7.485462600910453E-2</v>
      </c>
      <c r="Z731" s="32">
        <v>-4.5134382497262759E-3</v>
      </c>
      <c r="AA731" s="32">
        <v>3.802649107536582E-2</v>
      </c>
      <c r="AB731" s="32">
        <v>6.0832720539376828E-2</v>
      </c>
      <c r="AC731" s="32">
        <v>2.1514447217201971E-2</v>
      </c>
      <c r="AD731" s="32">
        <v>1.6178483922301812E-2</v>
      </c>
      <c r="AE731" s="32">
        <v>-5.1462888302812648E-2</v>
      </c>
      <c r="AF731" s="32">
        <v>-0.24356686952996409</v>
      </c>
      <c r="AG731" s="32">
        <v>0.11290994577924196</v>
      </c>
      <c r="AH731" s="32">
        <v>7.5350828928680835E-2</v>
      </c>
      <c r="AI731" s="32">
        <v>2.7575145006861312E-2</v>
      </c>
      <c r="AJ731" s="32">
        <v>1.2881880797837475E-2</v>
      </c>
      <c r="AK731" s="32">
        <v>-0.130247727430435</v>
      </c>
      <c r="AL731" s="32">
        <v>0.20092247921233586</v>
      </c>
      <c r="AM731" s="32">
        <v>-0.17666997381060934</v>
      </c>
      <c r="AN731" s="32">
        <v>-0.51398793657496578</v>
      </c>
      <c r="AO731" s="32">
        <v>0.65923781852883057</v>
      </c>
      <c r="AP731" s="32">
        <v>0.27168454463111646</v>
      </c>
      <c r="AQ731" s="32">
        <v>7.3023098415235799E-2</v>
      </c>
      <c r="AR731" s="32">
        <v>-2.7729486689573535E-2</v>
      </c>
      <c r="AS731" s="32">
        <v>9.0163448220729636E-2</v>
      </c>
      <c r="AT731" s="32">
        <v>7.6044547417877917E-2</v>
      </c>
      <c r="AU731" s="32">
        <v>-6.5888477635921094E-2</v>
      </c>
      <c r="AV731" s="31">
        <v>-9.2918068836838064E-3</v>
      </c>
      <c r="AW731" s="30">
        <v>-5.4878587146938052E-2</v>
      </c>
      <c r="AX731" s="30">
        <v>2.9426375574770791E-2</v>
      </c>
      <c r="AY731" s="30">
        <v>-3.6825605110447635E-3</v>
      </c>
      <c r="AZ731" s="30">
        <v>2.522054556152864E-2</v>
      </c>
      <c r="BA731" s="30">
        <v>-2.9407258257922564E-2</v>
      </c>
      <c r="BB731" s="30">
        <v>5.2157090403224027E-2</v>
      </c>
      <c r="BC731" s="30">
        <v>-3.567405704730664E-2</v>
      </c>
      <c r="BD731" s="30">
        <v>7.7539193615491664E-2</v>
      </c>
      <c r="BE731" s="30">
        <v>-2.8410084527220603E-2</v>
      </c>
      <c r="BF731" s="30">
        <v>8.1316213768947598E-2</v>
      </c>
      <c r="BG731" s="30">
        <v>-2.2218734565649934E-2</v>
      </c>
      <c r="BH731" s="30">
        <v>-5.1902449079653357E-2</v>
      </c>
      <c r="BI731" s="30">
        <v>-0.18078177226864234</v>
      </c>
      <c r="BJ731" s="30">
        <v>7.2677433601608499E-2</v>
      </c>
      <c r="BK731" s="30">
        <v>0.12192482572496521</v>
      </c>
      <c r="BL731" s="30">
        <v>0.20619962395442282</v>
      </c>
      <c r="BM731" s="30">
        <v>-2.3105659642177145E-2</v>
      </c>
      <c r="BN731" s="30">
        <v>6.6205327204026387E-2</v>
      </c>
      <c r="BO731" s="30">
        <v>-3.467902333709838E-2</v>
      </c>
      <c r="BP731" s="30"/>
      <c r="BQ731" s="207" t="e">
        <v>#DIV/0!</v>
      </c>
      <c r="BR731" s="207">
        <v>-1.5117324831255483</v>
      </c>
      <c r="BS731" s="207">
        <v>0.76802476378498552</v>
      </c>
      <c r="BT731" s="207">
        <v>0.25867418288081545</v>
      </c>
      <c r="BU731" s="207">
        <v>0.11337979762651651</v>
      </c>
      <c r="BV731" s="207">
        <v>2.7775977140063857E-2</v>
      </c>
      <c r="BW731" s="207">
        <v>-1.635066451210343E-2</v>
      </c>
      <c r="BX731" s="207">
        <v>0.17469445110217818</v>
      </c>
      <c r="BY731" s="207">
        <v>0.15541407776230143</v>
      </c>
      <c r="BZ731" s="207">
        <v>0.13150187598890839</v>
      </c>
      <c r="CA731" s="30">
        <v>0.20495617012560485</v>
      </c>
      <c r="CB731" s="30">
        <v>3.885795012879778E-2</v>
      </c>
      <c r="CC731" s="30">
        <v>4.2618725313777528E-2</v>
      </c>
      <c r="CD731" s="30">
        <v>0.15753701097409833</v>
      </c>
      <c r="CE731" s="30">
        <v>0.13219196659322741</v>
      </c>
      <c r="CF731" s="30">
        <v>8.1103734275893125E-2</v>
      </c>
      <c r="CG731" s="30">
        <v>-0.20018066197469053</v>
      </c>
      <c r="CH731" s="30">
        <v>-0.10341399770208637</v>
      </c>
      <c r="CI731" s="30">
        <v>0.35365517290604331</v>
      </c>
      <c r="CJ731" s="30">
        <v>4.1521023204358132E-2</v>
      </c>
      <c r="CK731" s="32">
        <v>6.6651446951911497E-2</v>
      </c>
      <c r="CL731" s="32">
        <v>5.0740116869750329E-2</v>
      </c>
      <c r="CM731" s="32">
        <v>9.2308524260516167E-2</v>
      </c>
      <c r="CN731" s="32">
        <v>2.738866133167317E-4</v>
      </c>
      <c r="CO731" s="32">
        <v>-0.22164282512503541</v>
      </c>
      <c r="CP731" s="32">
        <v>0.14824242796454623</v>
      </c>
      <c r="CQ731" s="32">
        <v>-3.9710151615065969E-2</v>
      </c>
      <c r="CR731" s="32">
        <v>1.8497955372654529E-2</v>
      </c>
      <c r="CS731" s="32">
        <v>-0.41666222335614755</v>
      </c>
      <c r="CT731" s="32">
        <v>0.6448076837193879</v>
      </c>
      <c r="CU731" s="32">
        <v>5.6219041737012976E-2</v>
      </c>
      <c r="CV731" s="31">
        <v>8.1004716707197444E-2</v>
      </c>
      <c r="CW731" s="30">
        <v>-6.9184561580075576E-2</v>
      </c>
      <c r="CX731" s="30">
        <v>-1.5342959315769455E-3</v>
      </c>
      <c r="CY731" s="30">
        <v>8.2850988307729967E-3</v>
      </c>
      <c r="CZ731" s="30">
        <v>1.7968405469648729E-2</v>
      </c>
      <c r="DA731" s="30">
        <v>4.2941531603269079E-2</v>
      </c>
      <c r="DB731" s="30">
        <v>5.3895097092570898E-2</v>
      </c>
      <c r="DC731" s="30">
        <v>-0.1475859517262712</v>
      </c>
      <c r="DD731" s="30">
        <v>2.5520739976898188E-2</v>
      </c>
      <c r="DE731" s="30">
        <v>0.26053987226332254</v>
      </c>
      <c r="DF731" s="30">
        <v>3.5472270431471609E-2</v>
      </c>
    </row>
    <row r="732" spans="1:110" ht="12" outlineLevel="1">
      <c r="A732" s="1" t="s">
        <v>109</v>
      </c>
      <c r="B732" s="15" t="s">
        <v>204</v>
      </c>
      <c r="C732" s="53">
        <v>0.60853971307903731</v>
      </c>
      <c r="D732" s="53">
        <v>0.66549210908848433</v>
      </c>
      <c r="E732" s="53">
        <v>0.68694001457725928</v>
      </c>
      <c r="F732" s="53">
        <v>0.68270288807293</v>
      </c>
      <c r="G732" s="53">
        <v>0.72407284256926951</v>
      </c>
      <c r="H732" s="53">
        <v>0.70487845853549713</v>
      </c>
      <c r="I732" s="53">
        <v>0.74430003798670497</v>
      </c>
      <c r="J732" s="53">
        <v>0.82300588036117406</v>
      </c>
      <c r="K732" s="53">
        <v>0.8236649566294918</v>
      </c>
      <c r="L732" s="53">
        <v>0.90655251419721194</v>
      </c>
      <c r="M732" s="53">
        <v>0.96639065524713652</v>
      </c>
      <c r="N732" s="53">
        <v>1.0067387884734555</v>
      </c>
      <c r="O732" s="53">
        <v>1.0285419289495112</v>
      </c>
      <c r="P732" s="53">
        <v>0.95797623994147796</v>
      </c>
      <c r="Q732" s="53">
        <v>0.65333396154205203</v>
      </c>
      <c r="R732" s="53">
        <v>0.43018672540381786</v>
      </c>
      <c r="S732" s="53">
        <v>0.99602667882619977</v>
      </c>
      <c r="T732" s="53">
        <v>0.91401431789424614</v>
      </c>
      <c r="U732" s="53">
        <v>1.0426169807041499</v>
      </c>
      <c r="V732" s="53">
        <v>1.0192523806336773</v>
      </c>
      <c r="W732" s="53">
        <v>0.99831252067088194</v>
      </c>
      <c r="X732" s="53">
        <v>1.039230582644628</v>
      </c>
      <c r="Y732" s="53">
        <v>1.118904235116287</v>
      </c>
      <c r="Z732" s="53">
        <v>1.1224330656934307</v>
      </c>
      <c r="AA732" s="53">
        <v>1.1651582849694724</v>
      </c>
      <c r="AB732" s="53">
        <v>1.2331396491708921</v>
      </c>
      <c r="AC732" s="53">
        <v>1.2550972551948936</v>
      </c>
      <c r="AD732" s="53">
        <v>1.2887491362580292</v>
      </c>
      <c r="AE732" s="53">
        <v>1.1886076174692923</v>
      </c>
      <c r="AF732" s="53">
        <v>0.89977392599473605</v>
      </c>
      <c r="AG732" s="53">
        <v>1.0120980085197018</v>
      </c>
      <c r="AH732" s="53">
        <v>1.0925796208501006</v>
      </c>
      <c r="AI732" s="53">
        <v>1.1199412896943808</v>
      </c>
      <c r="AJ732" s="53">
        <v>1.1251257759885154</v>
      </c>
      <c r="AK732" s="53">
        <v>0.99199098170673305</v>
      </c>
      <c r="AL732" s="53">
        <v>1.1746465819950092</v>
      </c>
      <c r="AM732" s="53">
        <v>0.97966678003576657</v>
      </c>
      <c r="AN732" s="53">
        <v>0.47083189711603785</v>
      </c>
      <c r="AO732" s="53">
        <v>0.75475033898834631</v>
      </c>
      <c r="AP732" s="53">
        <v>0.99131404876150953</v>
      </c>
      <c r="AQ732" s="53">
        <v>1.0551795388826275</v>
      </c>
      <c r="AR732" s="53">
        <v>1.0244331561311941</v>
      </c>
      <c r="AS732" s="53">
        <v>1.1155619138451756</v>
      </c>
      <c r="AT732" s="53">
        <v>1.2137388280511241</v>
      </c>
      <c r="AU732" s="53">
        <v>1.1476109215017065</v>
      </c>
      <c r="AV732" s="216">
        <v>1.1599064442666338</v>
      </c>
      <c r="AW732" s="53">
        <v>1.0998284083847059</v>
      </c>
      <c r="AX732" s="53">
        <v>1.1300037955403572</v>
      </c>
      <c r="AY732" s="53">
        <v>1.1259878211560068</v>
      </c>
      <c r="AZ732" s="53">
        <v>1.1526680451598821</v>
      </c>
      <c r="BA732" s="53">
        <v>1.1207742036894051</v>
      </c>
      <c r="BB732" s="53">
        <v>1.1756780399967148</v>
      </c>
      <c r="BC732" s="53">
        <v>1.1361666395108125</v>
      </c>
      <c r="BD732" s="53">
        <v>1.21898279235868</v>
      </c>
      <c r="BE732" s="53">
        <v>1.1862864348502931</v>
      </c>
      <c r="BF732" s="53">
        <v>1.2772122063826772</v>
      </c>
      <c r="BG732" s="53">
        <v>1.2503475133965345</v>
      </c>
      <c r="BH732" s="53">
        <v>1.1889865564652704</v>
      </c>
      <c r="BI732" s="53">
        <v>0.98641499748170791</v>
      </c>
      <c r="BJ732" s="53">
        <v>1.0533699219701074</v>
      </c>
      <c r="BK732" s="53">
        <v>1.1737918613694105</v>
      </c>
      <c r="BL732" s="53">
        <v>1.4021229142869902</v>
      </c>
      <c r="BM732" s="53">
        <v>1.3712615819873839</v>
      </c>
      <c r="BN732" s="53">
        <v>1.4576462819153893</v>
      </c>
      <c r="BO732" s="53">
        <v>1.4094013610063738</v>
      </c>
      <c r="BP732" s="53"/>
      <c r="BQ732" s="53">
        <v>-0.44820788883566026</v>
      </c>
      <c r="BR732" s="53">
        <v>0.25435460319449277</v>
      </c>
      <c r="BS732" s="53">
        <v>0.51850848706432662</v>
      </c>
      <c r="BT732" s="53">
        <v>0.65331806604819098</v>
      </c>
      <c r="BU732" s="53">
        <v>0.72416716540961967</v>
      </c>
      <c r="BV732" s="53">
        <v>0.74449642544937011</v>
      </c>
      <c r="BW732" s="53">
        <v>0.7326757159551488</v>
      </c>
      <c r="BX732" s="53">
        <v>0.86000509751569498</v>
      </c>
      <c r="BY732" s="53">
        <v>0.99233817542875546</v>
      </c>
      <c r="BZ732" s="53">
        <v>1.1313523845536322</v>
      </c>
      <c r="CA732" s="53">
        <v>1.3525115405480956</v>
      </c>
      <c r="CB732" s="53">
        <v>1.4068956591339512</v>
      </c>
      <c r="CC732" s="53">
        <v>1.4502718481767656</v>
      </c>
      <c r="CD732" s="53">
        <v>1.6466543383598331</v>
      </c>
      <c r="CE732" s="53">
        <v>1.8733484348544287</v>
      </c>
      <c r="CF732" s="53">
        <v>2.0351264401045666</v>
      </c>
      <c r="CG732" s="53">
        <v>1.5894187026363034</v>
      </c>
      <c r="CH732" s="53">
        <v>1.471494893689548</v>
      </c>
      <c r="CI732" s="53">
        <v>1.9554798576195773</v>
      </c>
      <c r="CJ732" s="53">
        <v>2.0116436296981779</v>
      </c>
      <c r="CK732" s="53">
        <v>2.1613143491888538</v>
      </c>
      <c r="CL732" s="53">
        <v>2.2917675009467415</v>
      </c>
      <c r="CM732" s="53">
        <v>2.486300587513631</v>
      </c>
      <c r="CN732" s="53">
        <v>2.45027770397731</v>
      </c>
      <c r="CO732" s="53">
        <v>1.9256491986193911</v>
      </c>
      <c r="CP732" s="53">
        <v>2.2059824989817343</v>
      </c>
      <c r="CQ732" s="53">
        <v>2.1217099838796347</v>
      </c>
      <c r="CR732" s="53">
        <v>2.1634654242993072</v>
      </c>
      <c r="CS732" s="53">
        <v>1.2310035900159322</v>
      </c>
      <c r="CT732" s="53">
        <v>2.0441684232606168</v>
      </c>
      <c r="CU732" s="53">
        <v>2.1395111691788027</v>
      </c>
      <c r="CV732" s="216">
        <v>2.3681394282219843</v>
      </c>
      <c r="CW732" s="53">
        <v>2.2598778955448284</v>
      </c>
      <c r="CX732" s="53">
        <v>2.2559862868713316</v>
      </c>
      <c r="CY732" s="53">
        <v>2.2734422488492876</v>
      </c>
      <c r="CZ732" s="53">
        <v>2.3118446795075274</v>
      </c>
      <c r="DA732" s="53">
        <v>2.4052692272089726</v>
      </c>
      <c r="DB732" s="53">
        <v>2.5275597197792123</v>
      </c>
      <c r="DC732" s="53">
        <v>2.1747505505839246</v>
      </c>
      <c r="DD732" s="53">
        <v>2.2275186817899773</v>
      </c>
      <c r="DE732" s="53">
        <v>2.7733844962743737</v>
      </c>
      <c r="DF732" s="53">
        <v>2.8670476429217628</v>
      </c>
    </row>
    <row r="733" spans="1:110" s="84" customFormat="1" ht="12" outlineLevel="1">
      <c r="A733" s="1" t="s">
        <v>108</v>
      </c>
      <c r="B733" s="84" t="s">
        <v>129</v>
      </c>
      <c r="C733" s="207" t="e">
        <v>#VALUE!</v>
      </c>
      <c r="D733" s="207">
        <v>9.3588626650648932E-2</v>
      </c>
      <c r="E733" s="207">
        <v>3.2228639822870164E-2</v>
      </c>
      <c r="F733" s="207">
        <v>-6.1681171782325128E-3</v>
      </c>
      <c r="G733" s="207">
        <v>6.0597304067534719E-2</v>
      </c>
      <c r="H733" s="207">
        <v>-2.650891306137626E-2</v>
      </c>
      <c r="I733" s="207">
        <v>5.5926775706996112E-2</v>
      </c>
      <c r="J733" s="207">
        <v>0.10574477812383898</v>
      </c>
      <c r="K733" s="207">
        <v>8.0081598934444997E-4</v>
      </c>
      <c r="L733" s="207">
        <v>0.10063261390517719</v>
      </c>
      <c r="M733" s="30">
        <v>6.6006260103876668E-2</v>
      </c>
      <c r="N733" s="30">
        <v>4.1751369394192661E-2</v>
      </c>
      <c r="O733" s="30">
        <v>2.1657197205162237E-2</v>
      </c>
      <c r="P733" s="30">
        <v>-6.8607498655990362E-2</v>
      </c>
      <c r="Q733" s="30">
        <v>-0.31800609002373204</v>
      </c>
      <c r="R733" s="30">
        <v>-0.34155156363147554</v>
      </c>
      <c r="S733" s="30">
        <v>1.3153356903126796</v>
      </c>
      <c r="T733" s="32">
        <v>-8.2339522299346268E-2</v>
      </c>
      <c r="U733" s="30">
        <v>0.14070092808413026</v>
      </c>
      <c r="V733" s="30">
        <v>-2.2409571782240567E-2</v>
      </c>
      <c r="W733" s="30">
        <v>-2.0544332650738406E-2</v>
      </c>
      <c r="X733" s="30">
        <v>4.098722707218827E-2</v>
      </c>
      <c r="Y733" s="32">
        <v>7.6666000599121986E-2</v>
      </c>
      <c r="Z733" s="32">
        <v>3.1538271698265952E-3</v>
      </c>
      <c r="AA733" s="32">
        <v>3.8064825940998359E-2</v>
      </c>
      <c r="AB733" s="32">
        <v>5.834517513918791E-2</v>
      </c>
      <c r="AC733" s="32">
        <v>1.7806260660554241E-2</v>
      </c>
      <c r="AD733" s="32">
        <v>2.6812170071959907E-2</v>
      </c>
      <c r="AE733" s="32">
        <v>-7.7704431352330183E-2</v>
      </c>
      <c r="AF733" s="32">
        <v>-0.24300171665525971</v>
      </c>
      <c r="AG733" s="32">
        <v>0.12483589408393558</v>
      </c>
      <c r="AH733" s="32">
        <v>7.9519583728962617E-2</v>
      </c>
      <c r="AI733" s="32">
        <v>2.5043180672719156E-2</v>
      </c>
      <c r="AJ733" s="32">
        <v>4.6292482845680105E-3</v>
      </c>
      <c r="AK733" s="32">
        <v>-0.11832881009664231</v>
      </c>
      <c r="AL733" s="32">
        <v>0.18413030325539337</v>
      </c>
      <c r="AM733" s="32">
        <v>-0.16599018372665819</v>
      </c>
      <c r="AN733" s="32">
        <v>-0.51939587346337468</v>
      </c>
      <c r="AO733" s="32">
        <v>0.60301445932482345</v>
      </c>
      <c r="AP733" s="32">
        <v>0.31343306197152421</v>
      </c>
      <c r="AQ733" s="32">
        <v>6.4425083252787285E-2</v>
      </c>
      <c r="AR733" s="32">
        <v>-2.9138531992377259E-2</v>
      </c>
      <c r="AS733" s="32">
        <v>8.8955299004702448E-2</v>
      </c>
      <c r="AT733" s="32">
        <v>8.8006692400915076E-2</v>
      </c>
      <c r="AU733" s="32">
        <v>-5.4482813782597561E-2</v>
      </c>
      <c r="AV733" s="31">
        <v>1.0714016862821474E-2</v>
      </c>
      <c r="AW733" s="30">
        <v>-5.1795587634581253E-2</v>
      </c>
      <c r="AX733" s="30">
        <v>2.7436450018570868E-2</v>
      </c>
      <c r="AY733" s="30">
        <v>-3.5539476948659443E-3</v>
      </c>
      <c r="AZ733" s="30">
        <v>2.3694949006183519E-2</v>
      </c>
      <c r="BA733" s="30">
        <v>-2.7669580677976646E-2</v>
      </c>
      <c r="BB733" s="30">
        <v>4.8987419702001933E-2</v>
      </c>
      <c r="BC733" s="30">
        <v>-3.360733052903897E-2</v>
      </c>
      <c r="BD733" s="30">
        <v>7.2890850662121753E-2</v>
      </c>
      <c r="BE733" s="30">
        <v>-2.6822657147703377E-2</v>
      </c>
      <c r="BF733" s="30">
        <v>7.664740054442154E-2</v>
      </c>
      <c r="BG733" s="30">
        <v>-2.1033852363679606E-2</v>
      </c>
      <c r="BH733" s="30">
        <v>-4.9075122135108451E-2</v>
      </c>
      <c r="BI733" s="30">
        <v>-0.17037329638594567</v>
      </c>
      <c r="BJ733" s="30">
        <v>6.7877034168512873E-2</v>
      </c>
      <c r="BK733" s="30">
        <v>0.11432065496428745</v>
      </c>
      <c r="BL733" s="30">
        <v>0.19452431085285937</v>
      </c>
      <c r="BM733" s="30">
        <v>-2.2010432883696196E-2</v>
      </c>
      <c r="BN733" s="30">
        <v>6.2996514350534882E-2</v>
      </c>
      <c r="BO733" s="30">
        <v>-3.3097824559755518E-2</v>
      </c>
      <c r="BP733" s="30"/>
      <c r="BQ733" s="207" t="e">
        <v>#DIV/0!</v>
      </c>
      <c r="BR733" s="207">
        <v>-1.5674924728684423</v>
      </c>
      <c r="BS733" s="207">
        <v>1.0385260598875345</v>
      </c>
      <c r="BT733" s="207">
        <v>0.25999493228572712</v>
      </c>
      <c r="BU733" s="207">
        <v>0.1084450331979685</v>
      </c>
      <c r="BV733" s="207">
        <v>2.8072606727828298E-2</v>
      </c>
      <c r="BW733" s="207">
        <v>-1.5877456345188556E-2</v>
      </c>
      <c r="BX733" s="207">
        <v>0.17378681835326559</v>
      </c>
      <c r="BY733" s="207">
        <v>0.15387475992332167</v>
      </c>
      <c r="BZ733" s="207">
        <v>0.14008753524453832</v>
      </c>
      <c r="CA733" s="30">
        <v>0.19548211416173422</v>
      </c>
      <c r="CB733" s="30">
        <v>4.0209726095066678E-2</v>
      </c>
      <c r="CC733" s="30">
        <v>3.0831134321301246E-2</v>
      </c>
      <c r="CD733" s="30">
        <v>0.13541081310373171</v>
      </c>
      <c r="CE733" s="30">
        <v>0.13766951036025965</v>
      </c>
      <c r="CF733" s="30">
        <v>8.635766963592606E-2</v>
      </c>
      <c r="CG733" s="30">
        <v>-0.21900739368575173</v>
      </c>
      <c r="CH733" s="30">
        <v>-7.4193042243154705E-2</v>
      </c>
      <c r="CI733" s="30">
        <v>0.3289069951962329</v>
      </c>
      <c r="CJ733" s="30">
        <v>2.8721222496747689E-2</v>
      </c>
      <c r="CK733" s="32">
        <v>7.4402203889926577E-2</v>
      </c>
      <c r="CL733" s="32">
        <v>6.0358249972683131E-2</v>
      </c>
      <c r="CM733" s="32">
        <v>8.4883430141376337E-2</v>
      </c>
      <c r="CN733" s="32">
        <v>-1.4488547248562966E-2</v>
      </c>
      <c r="CO733" s="32">
        <v>-0.21410981477990754</v>
      </c>
      <c r="CP733" s="32">
        <v>0.14557859269659823</v>
      </c>
      <c r="CQ733" s="32">
        <v>-3.8201805835267999E-2</v>
      </c>
      <c r="CR733" s="32">
        <v>1.9680088578044375E-2</v>
      </c>
      <c r="CS733" s="32">
        <v>-0.43100380704506813</v>
      </c>
      <c r="CT733" s="32">
        <v>0.66057064320515924</v>
      </c>
      <c r="CU733" s="32">
        <v>4.6641335827948271E-2</v>
      </c>
      <c r="CV733" s="31">
        <v>0.10686004463857723</v>
      </c>
      <c r="CW733" s="30">
        <v>-4.5715860893562055E-2</v>
      </c>
      <c r="CX733" s="30">
        <v>-1.7220437799621013E-3</v>
      </c>
      <c r="CY733" s="30">
        <v>7.7376188319675521E-3</v>
      </c>
      <c r="CZ733" s="30">
        <v>1.6891755520808793E-2</v>
      </c>
      <c r="DA733" s="30">
        <v>4.0411256227363301E-2</v>
      </c>
      <c r="DB733" s="30">
        <v>5.0842746078842538E-2</v>
      </c>
      <c r="DC733" s="30">
        <v>-0.13958489939304242</v>
      </c>
      <c r="DD733" s="30">
        <v>2.4263992572336246E-2</v>
      </c>
      <c r="DE733" s="30">
        <v>0.24505554945368746</v>
      </c>
      <c r="DF733" s="30">
        <v>3.3772146189326335E-2</v>
      </c>
    </row>
    <row r="734" spans="1:110" ht="12" outlineLevel="1">
      <c r="A734" s="1" t="s">
        <v>954</v>
      </c>
      <c r="B734" s="15" t="s">
        <v>55</v>
      </c>
      <c r="C734" s="53">
        <v>1.1575783083238007</v>
      </c>
      <c r="D734" s="53">
        <v>1.1940667846133226</v>
      </c>
      <c r="E734" s="53">
        <v>1.2338801203463201</v>
      </c>
      <c r="F734" s="53">
        <v>1.1915623665480428</v>
      </c>
      <c r="G734" s="53">
        <v>1.2636758915744897</v>
      </c>
      <c r="H734" s="53">
        <v>1.253467454177478</v>
      </c>
      <c r="I734" s="53">
        <v>1.2856808865979386</v>
      </c>
      <c r="J734" s="53">
        <v>1.3211938070444946</v>
      </c>
      <c r="K734" s="53">
        <v>1.3927806568093382</v>
      </c>
      <c r="L734" s="53">
        <v>1.454607301750164</v>
      </c>
      <c r="M734" s="53">
        <v>1.5316417338500163</v>
      </c>
      <c r="N734" s="53">
        <v>1.6176561274109469</v>
      </c>
      <c r="O734" s="53">
        <v>1.657649349118741</v>
      </c>
      <c r="P734" s="53">
        <v>1.809244272228379</v>
      </c>
      <c r="Q734" s="53">
        <v>1.6000368297226639</v>
      </c>
      <c r="R734" s="53">
        <v>1.3840088493740181</v>
      </c>
      <c r="S734" s="53">
        <v>2.0890192816380559</v>
      </c>
      <c r="T734" s="53">
        <v>1.7427683576264437</v>
      </c>
      <c r="U734" s="53">
        <v>1.7756907265125819</v>
      </c>
      <c r="V734" s="53">
        <v>1.7323915736159272</v>
      </c>
      <c r="W734" s="53">
        <v>1.6720550561797753</v>
      </c>
      <c r="X734" s="53">
        <v>1.7210765409780264</v>
      </c>
      <c r="Y734" s="53">
        <v>1.8549367273133996</v>
      </c>
      <c r="Z734" s="53">
        <v>1.8434992740926159</v>
      </c>
      <c r="AA734" s="53">
        <v>1.84995394903758</v>
      </c>
      <c r="AB734" s="53">
        <v>1.9572605762463342</v>
      </c>
      <c r="AC734" s="53">
        <v>1.970614059268462</v>
      </c>
      <c r="AD734" s="53">
        <v>2.0173617861818181</v>
      </c>
      <c r="AE734" s="53">
        <v>1.9776355362194293</v>
      </c>
      <c r="AF734" s="53">
        <v>1.6539325780657612</v>
      </c>
      <c r="AG734" s="53">
        <v>1.8120323354856436</v>
      </c>
      <c r="AH734" s="53">
        <v>1.8625577364298664</v>
      </c>
      <c r="AI734" s="53">
        <v>1.8153697118667214</v>
      </c>
      <c r="AJ734" s="53">
        <v>1.8307762230732407</v>
      </c>
      <c r="AK734" s="53">
        <v>1.5727017327041843</v>
      </c>
      <c r="AL734" s="53">
        <v>1.8686039994399521</v>
      </c>
      <c r="AM734" s="53">
        <v>1.6049120354858091</v>
      </c>
      <c r="AN734" s="53">
        <v>1.3928318250547587</v>
      </c>
      <c r="AO734" s="53">
        <v>1.5400600346142979</v>
      </c>
      <c r="AP734" s="53">
        <v>1.3773244534470006</v>
      </c>
      <c r="AQ734" s="53">
        <v>1.5571248344137543</v>
      </c>
      <c r="AR734" s="53">
        <v>1.4557878859119628</v>
      </c>
      <c r="AS734" s="53">
        <v>1.6806986899563319</v>
      </c>
      <c r="AT734" s="53">
        <v>1.8513075715573963</v>
      </c>
      <c r="AU734" s="53">
        <v>1.7408839410705954</v>
      </c>
      <c r="AV734" s="216">
        <v>1.7099256988638256</v>
      </c>
      <c r="AW734" s="53">
        <v>1.6715421180607508</v>
      </c>
      <c r="AX734" s="53">
        <v>1.8536169484721015</v>
      </c>
      <c r="AY734" s="53">
        <v>1.8553296455444017</v>
      </c>
      <c r="AZ734" s="53">
        <v>1.9000221460470696</v>
      </c>
      <c r="BA734" s="53">
        <v>1.8557769481386404</v>
      </c>
      <c r="BB734" s="53">
        <v>1.9406614197179737</v>
      </c>
      <c r="BC734" s="53">
        <v>1.8821626788341732</v>
      </c>
      <c r="BD734" s="53">
        <v>2.0140687690388455</v>
      </c>
      <c r="BE734" s="53">
        <v>1.968828857060402</v>
      </c>
      <c r="BF734" s="53">
        <v>2.113575829177841</v>
      </c>
      <c r="BG734" s="53">
        <v>2.0784177226285419</v>
      </c>
      <c r="BH734" s="53">
        <v>2.2363126142738152</v>
      </c>
      <c r="BI734" s="53">
        <v>2.1951258225648655</v>
      </c>
      <c r="BJ734" s="53">
        <v>2.3028687867908042</v>
      </c>
      <c r="BK734" s="53">
        <v>2.2579748931304389</v>
      </c>
      <c r="BL734" s="53">
        <v>2.4035190470402985</v>
      </c>
      <c r="BM734" s="53">
        <v>2.3646608940074758</v>
      </c>
      <c r="BN734" s="53">
        <v>2.5014197583064006</v>
      </c>
      <c r="BO734" s="53">
        <v>2.4369643668363934</v>
      </c>
      <c r="BP734" s="53"/>
      <c r="BQ734" s="53">
        <v>1.0605560451861848</v>
      </c>
      <c r="BR734" s="53">
        <v>0.99839852905575377</v>
      </c>
      <c r="BS734" s="53">
        <v>1.1374197240442905</v>
      </c>
      <c r="BT734" s="53">
        <v>1.1792596538102569</v>
      </c>
      <c r="BU734" s="53">
        <v>1.1517975987142173</v>
      </c>
      <c r="BV734" s="53">
        <v>1.3042096526485363</v>
      </c>
      <c r="BW734" s="53">
        <v>1.4048064791827435</v>
      </c>
      <c r="BX734" s="53">
        <v>1.6743808691563564</v>
      </c>
      <c r="BY734" s="53">
        <v>1.9050752497593975</v>
      </c>
      <c r="BZ734" s="53">
        <v>2.1255020010858523</v>
      </c>
      <c r="CA734" s="53">
        <v>2.4280912515731794</v>
      </c>
      <c r="CB734" s="53">
        <v>2.4554506188315552</v>
      </c>
      <c r="CC734" s="53">
        <v>2.5398710140240124</v>
      </c>
      <c r="CD734" s="53">
        <v>2.7140177947278548</v>
      </c>
      <c r="CE734" s="53">
        <v>2.9863290035950389</v>
      </c>
      <c r="CF734" s="53">
        <v>3.2753650861022447</v>
      </c>
      <c r="CG734" s="53">
        <v>3.4094480579043256</v>
      </c>
      <c r="CH734" s="53">
        <v>3.5107367409164567</v>
      </c>
      <c r="CI734" s="53">
        <v>3.5381092790818149</v>
      </c>
      <c r="CJ734" s="53">
        <v>3.4264258669472696</v>
      </c>
      <c r="CK734" s="53">
        <v>3.577037952761819</v>
      </c>
      <c r="CL734" s="53">
        <v>3.6933983042503948</v>
      </c>
      <c r="CM734" s="53">
        <v>3.9281115394187833</v>
      </c>
      <c r="CN734" s="53">
        <v>3.9946192083423537</v>
      </c>
      <c r="CO734" s="53">
        <v>3.4666001410776963</v>
      </c>
      <c r="CP734" s="53">
        <v>3.6779459451886272</v>
      </c>
      <c r="CQ734" s="53">
        <v>3.4054796528088724</v>
      </c>
      <c r="CR734" s="53">
        <v>3.4747959579332419</v>
      </c>
      <c r="CS734" s="53">
        <v>2.9329074619378996</v>
      </c>
      <c r="CT734" s="53">
        <v>2.9343880983583457</v>
      </c>
      <c r="CU734" s="53">
        <v>3.1494293239683935</v>
      </c>
      <c r="CV734" s="216">
        <v>3.5920192179367412</v>
      </c>
      <c r="CW734" s="53">
        <v>3.3815667804828369</v>
      </c>
      <c r="CX734" s="53">
        <v>3.7089148973892332</v>
      </c>
      <c r="CY734" s="53">
        <v>3.7557990941857105</v>
      </c>
      <c r="CZ734" s="53">
        <v>3.8228240985521471</v>
      </c>
      <c r="DA734" s="53">
        <v>3.9828976260992475</v>
      </c>
      <c r="DB734" s="53">
        <v>4.1919935518063838</v>
      </c>
      <c r="DC734" s="53">
        <v>4.4313341699069078</v>
      </c>
      <c r="DD734" s="53">
        <v>4.560744751861292</v>
      </c>
      <c r="DE734" s="53">
        <v>4.7681799410477739</v>
      </c>
      <c r="DF734" s="53">
        <v>4.938384125142794</v>
      </c>
    </row>
    <row r="735" spans="1:110" ht="12" outlineLevel="1">
      <c r="A735" s="1" t="s">
        <v>984</v>
      </c>
      <c r="B735" s="15" t="s">
        <v>392</v>
      </c>
      <c r="C735" s="53">
        <v>0.39683440000000003</v>
      </c>
      <c r="D735" s="53">
        <v>0.38691354</v>
      </c>
      <c r="E735" s="53">
        <v>0.45635956000000005</v>
      </c>
      <c r="F735" s="53">
        <v>0.43651783999999999</v>
      </c>
      <c r="G735" s="53">
        <v>0.50596386000000004</v>
      </c>
      <c r="H735" s="53">
        <v>0.46628041999999997</v>
      </c>
      <c r="I735" s="53">
        <v>0.53572644000000003</v>
      </c>
      <c r="J735" s="53">
        <v>0.50596386000000004</v>
      </c>
      <c r="K735" s="53">
        <v>0.58533073999999996</v>
      </c>
      <c r="L735" s="53">
        <v>0.55556816000000009</v>
      </c>
      <c r="M735" s="53">
        <v>0.68453933999999994</v>
      </c>
      <c r="N735" s="53">
        <v>0.61509332000000005</v>
      </c>
      <c r="O735" s="53">
        <v>0.73414363999999999</v>
      </c>
      <c r="P735" s="53">
        <v>0.61509332000000005</v>
      </c>
      <c r="Q735" s="53">
        <v>0.73414363999999999</v>
      </c>
      <c r="R735" s="53">
        <v>0.45635956000000005</v>
      </c>
      <c r="S735" s="53">
        <v>0.55556816000000009</v>
      </c>
      <c r="T735" s="53">
        <v>0.51588472000000007</v>
      </c>
      <c r="U735" s="53">
        <v>0.73414363999999999</v>
      </c>
      <c r="V735" s="53">
        <v>0.63493504000000001</v>
      </c>
      <c r="W735" s="53">
        <v>0.75398536000000005</v>
      </c>
      <c r="X735" s="53">
        <v>0.65477676000000007</v>
      </c>
      <c r="Y735" s="53">
        <v>0.78374794000000003</v>
      </c>
      <c r="Z735" s="53">
        <v>0.72422277999999995</v>
      </c>
      <c r="AA735" s="53">
        <v>0.90279826000000007</v>
      </c>
      <c r="AB735" s="53">
        <v>0.82343137999999994</v>
      </c>
      <c r="AC735" s="53">
        <v>0.94248169999999998</v>
      </c>
      <c r="AD735" s="53">
        <v>0.85319396000000003</v>
      </c>
      <c r="AE735" s="53">
        <v>0.94248169999999998</v>
      </c>
      <c r="AF735" s="53">
        <v>0.79366880000000006</v>
      </c>
      <c r="AG735" s="53">
        <v>0.79366880000000006</v>
      </c>
      <c r="AH735" s="53">
        <v>0.79366880000000006</v>
      </c>
      <c r="AI735" s="53">
        <v>0.79366880000000006</v>
      </c>
      <c r="AJ735" s="53">
        <v>0.79366880000000006</v>
      </c>
      <c r="AK735" s="53">
        <v>0.79366880000000006</v>
      </c>
      <c r="AL735" s="53">
        <v>0.79366880000000006</v>
      </c>
      <c r="AM735" s="53">
        <v>0.79366880000000006</v>
      </c>
      <c r="AN735" s="53">
        <v>0.24802150000000001</v>
      </c>
      <c r="AO735" s="53">
        <v>0.34723009999999999</v>
      </c>
      <c r="AP735" s="53">
        <v>0.69446019999999997</v>
      </c>
      <c r="AQ735" s="53">
        <v>0.71430192000000003</v>
      </c>
      <c r="AR735" s="53">
        <v>0.71430192000000003</v>
      </c>
      <c r="AS735" s="53">
        <v>0.74</v>
      </c>
      <c r="AT735" s="53">
        <v>0.81</v>
      </c>
      <c r="AU735" s="53">
        <v>0.94000000000000006</v>
      </c>
      <c r="AV735" s="216">
        <v>0.83</v>
      </c>
      <c r="AW735" s="53">
        <v>0.83</v>
      </c>
      <c r="AX735" s="53">
        <v>0.83</v>
      </c>
      <c r="AY735" s="53">
        <v>0.83</v>
      </c>
      <c r="AZ735" s="53">
        <v>0.83</v>
      </c>
      <c r="BA735" s="53">
        <v>0.83</v>
      </c>
      <c r="BB735" s="53">
        <v>0.83</v>
      </c>
      <c r="BC735" s="53">
        <v>0.83</v>
      </c>
      <c r="BD735" s="53">
        <v>0.84</v>
      </c>
      <c r="BE735" s="53">
        <v>0.84</v>
      </c>
      <c r="BF735" s="53">
        <v>0.89</v>
      </c>
      <c r="BG735" s="53">
        <v>0.89</v>
      </c>
      <c r="BH735" s="53">
        <v>0.8</v>
      </c>
      <c r="BI735" s="53">
        <v>0.72</v>
      </c>
      <c r="BJ735" s="53">
        <v>0.72</v>
      </c>
      <c r="BK735" s="53">
        <v>0.78</v>
      </c>
      <c r="BL735" s="53">
        <v>1</v>
      </c>
      <c r="BM735" s="53">
        <v>1</v>
      </c>
      <c r="BN735" s="53">
        <v>1.03</v>
      </c>
      <c r="BO735" s="53">
        <v>1.03</v>
      </c>
      <c r="BP735" s="53"/>
      <c r="BQ735" s="53">
        <v>9.5210493420000014E-2</v>
      </c>
      <c r="BR735" s="53">
        <v>0.104731542762</v>
      </c>
      <c r="BS735" s="53">
        <v>0.23802623354999999</v>
      </c>
      <c r="BT735" s="53">
        <v>0.31419462828599998</v>
      </c>
      <c r="BU735" s="53">
        <v>0.39988407236399998</v>
      </c>
      <c r="BV735" s="53">
        <v>0.45701036841600001</v>
      </c>
      <c r="BW735" s="53">
        <v>0.49509456578400007</v>
      </c>
      <c r="BX735" s="53">
        <v>0.53317876315200008</v>
      </c>
      <c r="BY735" s="53">
        <v>0.60934715788799998</v>
      </c>
      <c r="BZ735" s="53">
        <v>0.69503660196599992</v>
      </c>
      <c r="CA735" s="53">
        <v>0.8432731</v>
      </c>
      <c r="CB735" s="53">
        <v>0.94248170000000009</v>
      </c>
      <c r="CC735" s="53">
        <v>1.0020068600000001</v>
      </c>
      <c r="CD735" s="53">
        <v>1.0912945999999999</v>
      </c>
      <c r="CE735" s="53">
        <v>1.2401075000000001</v>
      </c>
      <c r="CF735" s="53">
        <v>1.34923696</v>
      </c>
      <c r="CG735" s="53">
        <v>1.34923696</v>
      </c>
      <c r="CH735" s="53">
        <v>1.0119277200000001</v>
      </c>
      <c r="CI735" s="53">
        <v>1.2500283599999999</v>
      </c>
      <c r="CJ735" s="53">
        <v>1.3889203999999999</v>
      </c>
      <c r="CK735" s="53">
        <v>1.4385247000000001</v>
      </c>
      <c r="CL735" s="53">
        <v>1.62702104</v>
      </c>
      <c r="CM735" s="53">
        <v>1.7659130799999998</v>
      </c>
      <c r="CN735" s="53">
        <v>1.7956756600000001</v>
      </c>
      <c r="CO735" s="53">
        <v>1.5873376000000001</v>
      </c>
      <c r="CP735" s="53">
        <v>1.5873376000000001</v>
      </c>
      <c r="CQ735" s="53">
        <v>1.5873376000000001</v>
      </c>
      <c r="CR735" s="53">
        <v>1.5873376000000001</v>
      </c>
      <c r="CS735" s="53">
        <v>0.59525159999999999</v>
      </c>
      <c r="CT735" s="53">
        <v>1.40876212</v>
      </c>
      <c r="CU735" s="53">
        <v>1.45430192</v>
      </c>
      <c r="CV735" s="216">
        <v>1.75</v>
      </c>
      <c r="CW735" s="53">
        <v>1.66</v>
      </c>
      <c r="CX735" s="53">
        <v>1.66</v>
      </c>
      <c r="CY735" s="53">
        <v>1.66</v>
      </c>
      <c r="CZ735" s="53">
        <v>1.66</v>
      </c>
      <c r="DA735" s="53">
        <v>1.68</v>
      </c>
      <c r="DB735" s="53">
        <v>1.78</v>
      </c>
      <c r="DC735" s="53">
        <v>1.52</v>
      </c>
      <c r="DD735" s="53">
        <v>1.5</v>
      </c>
      <c r="DE735" s="53">
        <v>2</v>
      </c>
      <c r="DF735" s="53">
        <v>2.06</v>
      </c>
    </row>
    <row r="736" spans="1:110" ht="12" outlineLevel="1">
      <c r="A736" s="1" t="s">
        <v>2368</v>
      </c>
      <c r="B736" s="15" t="s">
        <v>2367</v>
      </c>
      <c r="C736" s="333">
        <v>0</v>
      </c>
      <c r="D736" s="333">
        <v>0</v>
      </c>
      <c r="E736" s="333">
        <v>0</v>
      </c>
      <c r="F736" s="333">
        <v>0</v>
      </c>
      <c r="G736" s="333">
        <v>0</v>
      </c>
      <c r="H736" s="333">
        <v>0</v>
      </c>
      <c r="I736" s="333">
        <v>0</v>
      </c>
      <c r="J736" s="333">
        <v>0</v>
      </c>
      <c r="K736" s="333">
        <v>0</v>
      </c>
      <c r="L736" s="333">
        <v>0</v>
      </c>
      <c r="M736" s="351">
        <v>0</v>
      </c>
      <c r="N736" s="351">
        <v>0</v>
      </c>
      <c r="O736" s="351">
        <v>0</v>
      </c>
      <c r="P736" s="351">
        <v>0</v>
      </c>
      <c r="Q736" s="351">
        <v>0</v>
      </c>
      <c r="R736" s="351">
        <v>0</v>
      </c>
      <c r="S736" s="351">
        <v>0</v>
      </c>
      <c r="T736" s="351">
        <v>0</v>
      </c>
      <c r="U736" s="351">
        <v>0</v>
      </c>
      <c r="V736" s="351">
        <v>0</v>
      </c>
      <c r="W736" s="351">
        <v>0</v>
      </c>
      <c r="X736" s="351">
        <v>0</v>
      </c>
      <c r="Y736" s="351">
        <v>0</v>
      </c>
      <c r="Z736" s="351">
        <v>0</v>
      </c>
      <c r="AA736" s="351">
        <v>0</v>
      </c>
      <c r="AB736" s="351">
        <v>0</v>
      </c>
      <c r="AC736" s="351">
        <v>0</v>
      </c>
      <c r="AD736" s="351">
        <v>0</v>
      </c>
      <c r="AE736" s="351">
        <v>0</v>
      </c>
      <c r="AF736" s="351">
        <v>0</v>
      </c>
      <c r="AG736" s="351">
        <v>0</v>
      </c>
      <c r="AH736" s="351">
        <v>0</v>
      </c>
      <c r="AI736" s="351">
        <v>0</v>
      </c>
      <c r="AJ736" s="351">
        <v>0</v>
      </c>
      <c r="AK736" s="351">
        <v>0</v>
      </c>
      <c r="AL736" s="351">
        <v>0</v>
      </c>
      <c r="AM736" s="351">
        <v>0</v>
      </c>
      <c r="AN736" s="351">
        <v>0</v>
      </c>
      <c r="AO736" s="351">
        <v>0</v>
      </c>
      <c r="AP736" s="351">
        <v>0</v>
      </c>
      <c r="AQ736" s="351">
        <v>0</v>
      </c>
      <c r="AR736" s="351">
        <v>0</v>
      </c>
      <c r="AS736" s="351">
        <v>0</v>
      </c>
      <c r="AT736" s="351">
        <v>0</v>
      </c>
      <c r="AU736" s="351">
        <v>0.13</v>
      </c>
      <c r="AV736" s="352">
        <v>0</v>
      </c>
      <c r="AW736" s="353">
        <v>0</v>
      </c>
      <c r="AX736" s="353">
        <v>0</v>
      </c>
      <c r="AY736" s="353">
        <v>0</v>
      </c>
      <c r="AZ736" s="353">
        <v>0</v>
      </c>
      <c r="BA736" s="353">
        <v>0</v>
      </c>
      <c r="BB736" s="353">
        <v>0</v>
      </c>
      <c r="BC736" s="353">
        <v>0</v>
      </c>
      <c r="BD736" s="353">
        <v>0</v>
      </c>
      <c r="BE736" s="353">
        <v>0</v>
      </c>
      <c r="BF736" s="353">
        <v>0</v>
      </c>
      <c r="BG736" s="353">
        <v>0</v>
      </c>
      <c r="BH736" s="353">
        <v>0</v>
      </c>
      <c r="BI736" s="353">
        <v>0</v>
      </c>
      <c r="BJ736" s="353">
        <v>0</v>
      </c>
      <c r="BK736" s="353">
        <v>0</v>
      </c>
      <c r="BL736" s="353">
        <v>0</v>
      </c>
      <c r="BM736" s="353">
        <v>0</v>
      </c>
      <c r="BN736" s="353">
        <v>0</v>
      </c>
      <c r="BO736" s="353">
        <v>0</v>
      </c>
      <c r="BP736" s="41"/>
      <c r="BQ736" s="333">
        <v>0</v>
      </c>
      <c r="BR736" s="333">
        <v>0</v>
      </c>
      <c r="BS736" s="333">
        <v>0</v>
      </c>
      <c r="BT736" s="333">
        <v>0</v>
      </c>
      <c r="BU736" s="333">
        <v>0</v>
      </c>
      <c r="BV736" s="333">
        <v>0</v>
      </c>
      <c r="BW736" s="333">
        <v>0</v>
      </c>
      <c r="BX736" s="333">
        <v>0</v>
      </c>
      <c r="BY736" s="333">
        <v>0</v>
      </c>
      <c r="BZ736" s="333">
        <v>0</v>
      </c>
      <c r="CA736" s="13">
        <v>0</v>
      </c>
      <c r="CB736" s="13">
        <v>0</v>
      </c>
      <c r="CC736" s="13">
        <v>0</v>
      </c>
      <c r="CD736" s="13">
        <v>0</v>
      </c>
      <c r="CE736" s="13">
        <v>0</v>
      </c>
      <c r="CF736" s="13">
        <v>0</v>
      </c>
      <c r="CG736" s="13">
        <v>0</v>
      </c>
      <c r="CH736" s="13">
        <v>0</v>
      </c>
      <c r="CI736" s="13">
        <v>0</v>
      </c>
      <c r="CJ736" s="13">
        <v>0</v>
      </c>
      <c r="CK736" s="13">
        <v>0</v>
      </c>
      <c r="CL736" s="13">
        <v>0</v>
      </c>
      <c r="CM736" s="53">
        <v>0</v>
      </c>
      <c r="CN736" s="53">
        <v>0</v>
      </c>
      <c r="CO736" s="53">
        <v>0</v>
      </c>
      <c r="CP736" s="53">
        <v>0</v>
      </c>
      <c r="CQ736" s="53">
        <v>0</v>
      </c>
      <c r="CR736" s="53">
        <v>0</v>
      </c>
      <c r="CS736" s="53">
        <v>0</v>
      </c>
      <c r="CT736" s="53">
        <v>0</v>
      </c>
      <c r="CU736" s="53">
        <v>0</v>
      </c>
      <c r="CV736" s="216">
        <v>0.13</v>
      </c>
      <c r="CW736" s="53">
        <v>0</v>
      </c>
      <c r="CX736" s="53">
        <v>0</v>
      </c>
      <c r="CY736" s="53">
        <v>0</v>
      </c>
      <c r="CZ736" s="53">
        <v>0</v>
      </c>
      <c r="DA736" s="53">
        <v>0</v>
      </c>
      <c r="DB736" s="53">
        <v>0</v>
      </c>
      <c r="DC736" s="53">
        <v>0</v>
      </c>
      <c r="DD736" s="53">
        <v>0</v>
      </c>
      <c r="DE736" s="53">
        <v>0</v>
      </c>
      <c r="DF736" s="53">
        <v>0</v>
      </c>
    </row>
    <row r="737" spans="1:110" ht="12" outlineLevel="1">
      <c r="A737" s="1" t="s">
        <v>955</v>
      </c>
      <c r="B737" s="15" t="s">
        <v>393</v>
      </c>
      <c r="C737" s="53">
        <v>0.56690628571428581</v>
      </c>
      <c r="D737" s="53">
        <v>0.5527336285714286</v>
      </c>
      <c r="E737" s="53">
        <v>0.65194222857142869</v>
      </c>
      <c r="F737" s="53">
        <v>0.62359691428571429</v>
      </c>
      <c r="G737" s="53">
        <v>0.72280551428571438</v>
      </c>
      <c r="H737" s="53">
        <v>0.66611488571428568</v>
      </c>
      <c r="I737" s="53">
        <v>0.76532348571428577</v>
      </c>
      <c r="J737" s="53">
        <v>0.72280551428571438</v>
      </c>
      <c r="K737" s="53">
        <v>0.83618677142857134</v>
      </c>
      <c r="L737" s="53">
        <v>0.79366880000000017</v>
      </c>
      <c r="M737" s="53">
        <v>0.97791334285714282</v>
      </c>
      <c r="N737" s="53">
        <v>0.87870474285714295</v>
      </c>
      <c r="O737" s="53">
        <v>1.0487766285714286</v>
      </c>
      <c r="P737" s="53">
        <v>0.87870474285714295</v>
      </c>
      <c r="Q737" s="53">
        <v>1.0487766285714286</v>
      </c>
      <c r="R737" s="53">
        <v>0.65194222857142869</v>
      </c>
      <c r="S737" s="53">
        <v>0.79366880000000017</v>
      </c>
      <c r="T737" s="53">
        <v>0.73697817142857158</v>
      </c>
      <c r="U737" s="53">
        <v>1.0487766285714286</v>
      </c>
      <c r="V737" s="53">
        <v>0.90705005714285714</v>
      </c>
      <c r="W737" s="53">
        <v>1.077121942857143</v>
      </c>
      <c r="X737" s="53">
        <v>0.93539537142857154</v>
      </c>
      <c r="Y737" s="53">
        <v>1.1196399142857143</v>
      </c>
      <c r="Z737" s="53">
        <v>1.0346039714285713</v>
      </c>
      <c r="AA737" s="53">
        <v>1.2897118000000001</v>
      </c>
      <c r="AB737" s="53">
        <v>1.1763305428571429</v>
      </c>
      <c r="AC737" s="53">
        <v>1.3464024285714287</v>
      </c>
      <c r="AD737" s="53">
        <v>1.2188485142857144</v>
      </c>
      <c r="AE737" s="53">
        <v>1.3464024285714287</v>
      </c>
      <c r="AF737" s="53">
        <v>1.1338125714285716</v>
      </c>
      <c r="AG737" s="53">
        <v>1.1338125714285716</v>
      </c>
      <c r="AH737" s="53">
        <v>1.1338125714285716</v>
      </c>
      <c r="AI737" s="53">
        <v>1.1338125714285716</v>
      </c>
      <c r="AJ737" s="53">
        <v>1.1338125714285716</v>
      </c>
      <c r="AK737" s="53">
        <v>1.1338125714285716</v>
      </c>
      <c r="AL737" s="53">
        <v>1.1338125714285716</v>
      </c>
      <c r="AM737" s="53">
        <v>1.0317694400000001</v>
      </c>
      <c r="AN737" s="53">
        <v>0.35431642857142859</v>
      </c>
      <c r="AO737" s="53">
        <v>0.49604300000000001</v>
      </c>
      <c r="AP737" s="53">
        <v>0.99208600000000002</v>
      </c>
      <c r="AQ737" s="53">
        <v>1.0204313142857144</v>
      </c>
      <c r="AR737" s="53">
        <v>1.0204313142857144</v>
      </c>
      <c r="AS737" s="53">
        <v>1.0571428571428572</v>
      </c>
      <c r="AT737" s="53">
        <v>1.1571428571428573</v>
      </c>
      <c r="AU737" s="53">
        <v>1.1656428571428572</v>
      </c>
      <c r="AV737" s="216">
        <v>1.0612142857142857</v>
      </c>
      <c r="AW737" s="53">
        <v>1.0612142857142857</v>
      </c>
      <c r="AX737" s="53">
        <v>1.0967857142857143</v>
      </c>
      <c r="AY737" s="53">
        <v>1.0967857142857143</v>
      </c>
      <c r="AZ737" s="53">
        <v>1.0967857142857143</v>
      </c>
      <c r="BA737" s="53">
        <v>1.0967857142857143</v>
      </c>
      <c r="BB737" s="53">
        <v>1.0967857142857143</v>
      </c>
      <c r="BC737" s="53">
        <v>1.0967857142857143</v>
      </c>
      <c r="BD737" s="53">
        <v>1.1099999999999999</v>
      </c>
      <c r="BE737" s="53">
        <v>1.1099999999999999</v>
      </c>
      <c r="BF737" s="53">
        <v>1.1760714285714287</v>
      </c>
      <c r="BG737" s="53">
        <v>1.1760714285714287</v>
      </c>
      <c r="BH737" s="53">
        <v>1.0571428571428572</v>
      </c>
      <c r="BI737" s="53">
        <v>0.9514285714285714</v>
      </c>
      <c r="BJ737" s="53">
        <v>0.9514285714285714</v>
      </c>
      <c r="BK737" s="53">
        <v>1.0307142857142857</v>
      </c>
      <c r="BL737" s="53">
        <v>1.3214285714285714</v>
      </c>
      <c r="BM737" s="53">
        <v>1.3214285714285714</v>
      </c>
      <c r="BN737" s="53">
        <v>1.3610714285714285</v>
      </c>
      <c r="BO737" s="53">
        <v>1.3610714285714285</v>
      </c>
      <c r="BP737" s="53"/>
      <c r="BQ737" s="53">
        <v>0.11865785373985076</v>
      </c>
      <c r="BR737" s="53">
        <v>0.104731542762</v>
      </c>
      <c r="BS737" s="53">
        <v>0.23802623354999999</v>
      </c>
      <c r="BT737" s="53">
        <v>0.34205009234598266</v>
      </c>
      <c r="BU737" s="53">
        <v>0.57758255702075245</v>
      </c>
      <c r="BV737" s="53">
        <v>0.71407870065000001</v>
      </c>
      <c r="BW737" s="53">
        <v>0.67059456578400012</v>
      </c>
      <c r="BX737" s="53">
        <v>0.77786626315200003</v>
      </c>
      <c r="BY737" s="53">
        <v>0.95210493419999997</v>
      </c>
      <c r="BZ737" s="53">
        <v>1.0530857605545454</v>
      </c>
      <c r="CA737" s="53">
        <v>1.2046758571428571</v>
      </c>
      <c r="CB737" s="53">
        <v>1.3464024285714287</v>
      </c>
      <c r="CC737" s="53">
        <v>1.4314383714285714</v>
      </c>
      <c r="CD737" s="53">
        <v>1.5589922857142855</v>
      </c>
      <c r="CE737" s="53">
        <v>1.771582142857143</v>
      </c>
      <c r="CF737" s="53">
        <v>1.9274813714285715</v>
      </c>
      <c r="CG737" s="53">
        <v>1.9274813714285715</v>
      </c>
      <c r="CH737" s="53">
        <v>1.4456110285714288</v>
      </c>
      <c r="CI737" s="53">
        <v>1.7857547999999999</v>
      </c>
      <c r="CJ737" s="53">
        <v>1.984172</v>
      </c>
      <c r="CK737" s="53">
        <v>2.0550352857142857</v>
      </c>
      <c r="CL737" s="53">
        <v>2.3243157714285716</v>
      </c>
      <c r="CM737" s="53">
        <v>2.5227329714285713</v>
      </c>
      <c r="CN737" s="53">
        <v>2.5652509428571433</v>
      </c>
      <c r="CO737" s="53">
        <v>2.2676251428571432</v>
      </c>
      <c r="CP737" s="53">
        <v>2.2676251428571432</v>
      </c>
      <c r="CQ737" s="53">
        <v>2.2676251428571432</v>
      </c>
      <c r="CR737" s="53">
        <v>2.1655820114285715</v>
      </c>
      <c r="CS737" s="53">
        <v>0.85035942857142854</v>
      </c>
      <c r="CT737" s="53">
        <v>2.0125173142857142</v>
      </c>
      <c r="CU737" s="53">
        <v>2.0775741714285716</v>
      </c>
      <c r="CV737" s="216">
        <v>2.3227857142857142</v>
      </c>
      <c r="CW737" s="53">
        <v>2.1224285714285713</v>
      </c>
      <c r="CX737" s="53">
        <v>2.1935714285714285</v>
      </c>
      <c r="CY737" s="53">
        <v>2.1935714285714285</v>
      </c>
      <c r="CZ737" s="53">
        <v>2.1935714285714285</v>
      </c>
      <c r="DA737" s="53">
        <v>2.2199999999999998</v>
      </c>
      <c r="DB737" s="53">
        <v>2.3521428571428573</v>
      </c>
      <c r="DC737" s="53">
        <v>2.0085714285714285</v>
      </c>
      <c r="DD737" s="53">
        <v>1.9821428571428572</v>
      </c>
      <c r="DE737" s="53">
        <v>2.6428571428571428</v>
      </c>
      <c r="DF737" s="53">
        <v>2.722142857142857</v>
      </c>
    </row>
    <row r="738" spans="1:110" ht="12" outlineLevel="1">
      <c r="A738" s="1" t="s">
        <v>956</v>
      </c>
      <c r="B738" s="15" t="s">
        <v>394</v>
      </c>
      <c r="C738" s="53" t="e">
        <v>#VALUE!</v>
      </c>
      <c r="D738" s="53">
        <v>0.31912698029754721</v>
      </c>
      <c r="E738" s="53">
        <v>0.37397314418914418</v>
      </c>
      <c r="F738" s="53">
        <v>0.3366636527707168</v>
      </c>
      <c r="G738" s="53">
        <v>0.40634076733455538</v>
      </c>
      <c r="H738" s="53">
        <v>-1.6325972692152453</v>
      </c>
      <c r="I738" s="53">
        <v>0.45176858481724458</v>
      </c>
      <c r="J738" s="53">
        <v>0.48768807593131069</v>
      </c>
      <c r="K738" s="53">
        <v>0.52466870718474268</v>
      </c>
      <c r="L738" s="53">
        <v>0.53825711660468167</v>
      </c>
      <c r="M738" s="53">
        <v>0.56746322890514134</v>
      </c>
      <c r="N738" s="53">
        <v>0.52901197437011294</v>
      </c>
      <c r="O738" s="53">
        <v>0.4384792324691425</v>
      </c>
      <c r="P738" s="53">
        <v>-0.146580169911878</v>
      </c>
      <c r="Q738" s="53">
        <v>-0.36973728507715181</v>
      </c>
      <c r="R738" s="53">
        <v>-0.27910830961108202</v>
      </c>
      <c r="S738" s="53">
        <v>-1.536551337432744</v>
      </c>
      <c r="T738" s="53">
        <v>0.45277999044205497</v>
      </c>
      <c r="U738" s="53">
        <v>0.50007332491914491</v>
      </c>
      <c r="V738" s="53">
        <v>0.35521371176997707</v>
      </c>
      <c r="W738" s="53">
        <v>0.46535048253039862</v>
      </c>
      <c r="X738" s="53">
        <v>0.32755609772701483</v>
      </c>
      <c r="Y738" s="53">
        <v>0.4590182409961972</v>
      </c>
      <c r="Z738" s="53">
        <v>-0.22094236545682105</v>
      </c>
      <c r="AA738" s="53">
        <v>0.69655167369385884</v>
      </c>
      <c r="AB738" s="53">
        <v>0.93353546994134895</v>
      </c>
      <c r="AC738" s="53">
        <v>0.62968296926955825</v>
      </c>
      <c r="AD738" s="53">
        <v>0.88638374618181814</v>
      </c>
      <c r="AE738" s="53">
        <v>0.46927547033336919</v>
      </c>
      <c r="AF738" s="53">
        <v>0.83876299648445574</v>
      </c>
      <c r="AG738" s="53">
        <v>0.73258170765215003</v>
      </c>
      <c r="AH738" s="53">
        <v>0.68849146424051721</v>
      </c>
      <c r="AI738" s="53">
        <v>0.76441967158268465</v>
      </c>
      <c r="AJ738" s="53">
        <v>1.1747226348902415</v>
      </c>
      <c r="AK738" s="53">
        <v>1.0639573332870724</v>
      </c>
      <c r="AL738" s="53">
        <v>1.1845025538170744</v>
      </c>
      <c r="AM738" s="53">
        <v>0.76791727282366651</v>
      </c>
      <c r="AN738" s="53">
        <v>0.79840737228856073</v>
      </c>
      <c r="AO738" s="53">
        <v>0.21164875105962136</v>
      </c>
      <c r="AP738" s="53">
        <v>0.31069308274914575</v>
      </c>
      <c r="AQ738" s="53">
        <v>0.90386640219842163</v>
      </c>
      <c r="AR738" s="53">
        <v>1.0110319044089096</v>
      </c>
      <c r="AS738" s="53">
        <v>0.61624454148471619</v>
      </c>
      <c r="AT738" s="53">
        <v>0.64326508800641258</v>
      </c>
      <c r="AU738" s="53">
        <v>0.79161389240717295</v>
      </c>
      <c r="AV738" s="216">
        <v>0.94392429947022949</v>
      </c>
      <c r="AW738" s="53">
        <v>1.170928928842744</v>
      </c>
      <c r="AX738" s="53">
        <v>1.1744079489031494</v>
      </c>
      <c r="AY738" s="53">
        <v>0.83141005199746765</v>
      </c>
      <c r="AZ738" s="53">
        <v>0.83141005199746765</v>
      </c>
      <c r="BA738" s="53">
        <v>0.83141005199746765</v>
      </c>
      <c r="BB738" s="53">
        <v>0.83141005199746765</v>
      </c>
      <c r="BC738" s="53">
        <v>0.83141005199746765</v>
      </c>
      <c r="BD738" s="53">
        <v>0.83141005199746765</v>
      </c>
      <c r="BE738" s="53">
        <v>0.84142704057575046</v>
      </c>
      <c r="BF738" s="53">
        <v>0.84142704057575046</v>
      </c>
      <c r="BG738" s="53">
        <v>0.8915119834671642</v>
      </c>
      <c r="BH738" s="53">
        <v>0.8915119834671642</v>
      </c>
      <c r="BI738" s="53">
        <v>0</v>
      </c>
      <c r="BJ738" s="53">
        <v>0</v>
      </c>
      <c r="BK738" s="53">
        <v>0.72122317763635768</v>
      </c>
      <c r="BL738" s="53">
        <v>0.78132510910605413</v>
      </c>
      <c r="BM738" s="53">
        <v>1.0016988578282746</v>
      </c>
      <c r="BN738" s="53">
        <v>1.0016988578282746</v>
      </c>
      <c r="BO738" s="53">
        <v>1.0317498235631228</v>
      </c>
      <c r="BP738" s="53"/>
      <c r="BQ738" s="53">
        <v>5.5662859373632231E-2</v>
      </c>
      <c r="BR738" s="53">
        <v>5.7404057621134534E-2</v>
      </c>
      <c r="BS738" s="53">
        <v>0.19219954983850557</v>
      </c>
      <c r="BT738" s="53">
        <v>0.23146908419736748</v>
      </c>
      <c r="BU738" s="53">
        <v>0.28062451387553855</v>
      </c>
      <c r="BV738" s="53">
        <v>0.30293378240002677</v>
      </c>
      <c r="BW738" s="53">
        <v>0.31322120430376255</v>
      </c>
      <c r="BX738" s="53">
        <v>0.38304833207273897</v>
      </c>
      <c r="BY738" s="53">
        <v>1.0403120199043043</v>
      </c>
      <c r="BZ738" s="53">
        <v>0.86589799323731664</v>
      </c>
      <c r="CA738" s="53">
        <v>0.69327640588667672</v>
      </c>
      <c r="CB738" s="53">
        <v>0.7431975825778635</v>
      </c>
      <c r="CC738" s="53">
        <v>-1.1340682081055182</v>
      </c>
      <c r="CD738" s="53">
        <v>1.0123785818061906</v>
      </c>
      <c r="CE738" s="53">
        <v>1.1057506638256025</v>
      </c>
      <c r="CF738" s="53">
        <v>0.96712954936434947</v>
      </c>
      <c r="CG738" s="53">
        <v>-0.52003050439852172</v>
      </c>
      <c r="CH738" s="53">
        <v>-1.8836058462369463</v>
      </c>
      <c r="CI738" s="53">
        <v>0.95836148089108497</v>
      </c>
      <c r="CJ738" s="53">
        <v>0.82664167270743205</v>
      </c>
      <c r="CK738" s="53">
        <v>0.78752949720250842</v>
      </c>
      <c r="CL738" s="53">
        <v>0.47743751515374161</v>
      </c>
      <c r="CM738" s="53">
        <v>1.5628204904472587</v>
      </c>
      <c r="CN738" s="53">
        <v>1.352421486613264</v>
      </c>
      <c r="CO738" s="53">
        <v>1.5713205760099098</v>
      </c>
      <c r="CP738" s="53">
        <v>1.4530073113723345</v>
      </c>
      <c r="CQ738" s="53">
        <v>2.2395658884717387</v>
      </c>
      <c r="CR738" s="53">
        <v>1.9544418719003904</v>
      </c>
      <c r="CS738" s="53">
        <v>1.009993942562436</v>
      </c>
      <c r="CT738" s="53">
        <v>1.2145067462833792</v>
      </c>
      <c r="CU738" s="53">
        <v>1.6333625987708515</v>
      </c>
      <c r="CV738" s="216">
        <v>1.4350060056052316</v>
      </c>
      <c r="CW738" s="53">
        <v>2.1142679471746773</v>
      </c>
      <c r="CX738" s="53">
        <v>2.0067189202031002</v>
      </c>
      <c r="CY738" s="53">
        <v>1.6628201039949351</v>
      </c>
      <c r="CZ738" s="53">
        <v>1.6628201039949351</v>
      </c>
      <c r="DA738" s="53">
        <v>1.6728370925732179</v>
      </c>
      <c r="DB738" s="53">
        <v>1.7329390240429141</v>
      </c>
      <c r="DC738" s="53">
        <v>0.88832046037204138</v>
      </c>
      <c r="DD738" s="53">
        <v>0.7234314538916139</v>
      </c>
      <c r="DE738" s="53">
        <v>1.7830239669343289</v>
      </c>
      <c r="DF738" s="53">
        <v>2.033448681391397</v>
      </c>
    </row>
    <row r="739" spans="1:110" ht="12" outlineLevel="1">
      <c r="A739" s="1" t="s">
        <v>962</v>
      </c>
      <c r="B739" s="15" t="s">
        <v>492</v>
      </c>
      <c r="C739" s="53" t="e">
        <v>#VALUE!</v>
      </c>
      <c r="D739" s="53">
        <v>0.43301542139123433</v>
      </c>
      <c r="E739" s="53">
        <v>0.50896027026307022</v>
      </c>
      <c r="F739" s="53">
        <v>0.46017003774783932</v>
      </c>
      <c r="G739" s="53">
        <v>0.55025312243221036</v>
      </c>
      <c r="H739" s="53">
        <v>-1.4893016784869977</v>
      </c>
      <c r="I739" s="53">
        <v>0.6107626860356139</v>
      </c>
      <c r="J739" s="53">
        <v>0.63644382498491248</v>
      </c>
      <c r="K739" s="53">
        <v>0.69756471639173556</v>
      </c>
      <c r="L739" s="53">
        <v>0.70217594213520007</v>
      </c>
      <c r="M739" s="53">
        <v>0.74164721184524462</v>
      </c>
      <c r="N739" s="53">
        <v>0.68485271456497454</v>
      </c>
      <c r="O739" s="53">
        <v>0.62438220461842908</v>
      </c>
      <c r="P739" s="53">
        <v>8.8995103160783087E-3</v>
      </c>
      <c r="Q739" s="53">
        <v>-0.17605568661799065</v>
      </c>
      <c r="R739" s="53">
        <v>-0.16276932747587539</v>
      </c>
      <c r="S739" s="53">
        <v>-1.3855651514219829</v>
      </c>
      <c r="T739" s="53">
        <v>0.5837373743642259</v>
      </c>
      <c r="U739" s="53">
        <v>0.68822968660904449</v>
      </c>
      <c r="V739" s="53">
        <v>0.5169234702480674</v>
      </c>
      <c r="W739" s="53">
        <v>0.65853664792541611</v>
      </c>
      <c r="X739" s="53">
        <v>0.493987399223068</v>
      </c>
      <c r="Y739" s="53">
        <v>0.66027398823993111</v>
      </c>
      <c r="Z739" s="53">
        <v>-0.22413520436259612</v>
      </c>
      <c r="AA739" s="53">
        <v>0.88052861184234643</v>
      </c>
      <c r="AB739" s="53">
        <v>1.1631138127356513</v>
      </c>
      <c r="AC739" s="53">
        <v>0.83839653969065975</v>
      </c>
      <c r="AD739" s="53">
        <v>1.1255357396571428</v>
      </c>
      <c r="AE739" s="53">
        <v>0.68193383854846057</v>
      </c>
      <c r="AF739" s="53">
        <v>1.0771297584811272</v>
      </c>
      <c r="AG739" s="53">
        <v>0.933226345455616</v>
      </c>
      <c r="AH739" s="53">
        <v>0.88917826716635973</v>
      </c>
      <c r="AI739" s="53">
        <v>0.96551347745849669</v>
      </c>
      <c r="AJ739" s="53">
        <v>1.3760455058274148</v>
      </c>
      <c r="AK739" s="53">
        <v>1.2654980055711411</v>
      </c>
      <c r="AL739" s="53">
        <v>1.3857742278693688</v>
      </c>
      <c r="AM739" s="53">
        <v>0.90847769199448625</v>
      </c>
      <c r="AN739" s="53">
        <v>0.99920587509967596</v>
      </c>
      <c r="AO739" s="53">
        <v>0.27418224676058611</v>
      </c>
      <c r="AP739" s="53">
        <v>0.39813448804030022</v>
      </c>
      <c r="AQ739" s="53">
        <v>1.0795765927484298</v>
      </c>
      <c r="AR739" s="53">
        <v>1.1905952529815484</v>
      </c>
      <c r="AS739" s="53">
        <v>0.79348222083593267</v>
      </c>
      <c r="AT739" s="53">
        <v>0.83091985667049972</v>
      </c>
      <c r="AU739" s="53">
        <v>0.90687610187689616</v>
      </c>
      <c r="AV739" s="216">
        <v>1.0989656862978423</v>
      </c>
      <c r="AW739" s="53">
        <v>1.3106632704479986</v>
      </c>
      <c r="AX739" s="53">
        <v>1.335605075095055</v>
      </c>
      <c r="AY739" s="53">
        <v>0.99175341916840787</v>
      </c>
      <c r="AZ739" s="53">
        <v>0.99175341916840787</v>
      </c>
      <c r="BA739" s="53">
        <v>0.99175341916840787</v>
      </c>
      <c r="BB739" s="53">
        <v>0.99175341916840787</v>
      </c>
      <c r="BC739" s="53">
        <v>0.99175341916840787</v>
      </c>
      <c r="BD739" s="53">
        <v>0.99175341916840787</v>
      </c>
      <c r="BE739" s="53">
        <v>1.003702255543931</v>
      </c>
      <c r="BF739" s="53">
        <v>1.003702255543931</v>
      </c>
      <c r="BG739" s="53">
        <v>1.0634464374215458</v>
      </c>
      <c r="BH739" s="53">
        <v>1.0634464374215458</v>
      </c>
      <c r="BI739" s="53">
        <v>0.15344223222945524</v>
      </c>
      <c r="BJ739" s="53">
        <v>0.13824101039169798</v>
      </c>
      <c r="BK739" s="53">
        <v>0.86031621903765521</v>
      </c>
      <c r="BL739" s="53">
        <v>0.9320092372907931</v>
      </c>
      <c r="BM739" s="53">
        <v>1.1948836375522989</v>
      </c>
      <c r="BN739" s="53">
        <v>1.1948836375522989</v>
      </c>
      <c r="BO739" s="53">
        <v>1.230730146678868</v>
      </c>
      <c r="BP739" s="53"/>
      <c r="BQ739" s="53">
        <v>8.6116539803696379E-2</v>
      </c>
      <c r="BR739" s="53">
        <v>5.7404057621134534E-2</v>
      </c>
      <c r="BS739" s="53">
        <v>0.19219954983850557</v>
      </c>
      <c r="BT739" s="53">
        <v>0.24948896160120412</v>
      </c>
      <c r="BU739" s="53">
        <v>0.3989038398683164</v>
      </c>
      <c r="BV739" s="53">
        <v>0.47745951479983167</v>
      </c>
      <c r="BW739" s="53">
        <v>0.42910455186433777</v>
      </c>
      <c r="BX739" s="53">
        <v>0.54331195051496606</v>
      </c>
      <c r="BY739" s="53">
        <v>1.2693406053023544</v>
      </c>
      <c r="BZ739" s="53">
        <v>1.1102660435027096</v>
      </c>
      <c r="CA739" s="53">
        <v>0.94221963538097475</v>
      </c>
      <c r="CB739" s="53">
        <v>1.0106732607746682</v>
      </c>
      <c r="CC739" s="53">
        <v>-0.83142633718505166</v>
      </c>
      <c r="CD739" s="53">
        <v>1.3340440602704575</v>
      </c>
      <c r="CE739" s="53">
        <v>1.4438641283630318</v>
      </c>
      <c r="CF739" s="53">
        <v>1.3089754197302832</v>
      </c>
      <c r="CG739" s="53">
        <v>-0.16998925921904862</v>
      </c>
      <c r="CH739" s="53">
        <v>-1.6144427429908945</v>
      </c>
      <c r="CI739" s="53">
        <v>1.2795210195899822</v>
      </c>
      <c r="CJ739" s="53">
        <v>1.1840650499685434</v>
      </c>
      <c r="CK739" s="53">
        <v>1.1554725596270727</v>
      </c>
      <c r="CL739" s="53">
        <v>0.6585930320813238</v>
      </c>
      <c r="CM739" s="53">
        <v>2.001103246949083</v>
      </c>
      <c r="CN739" s="53">
        <v>1.8040195983876119</v>
      </c>
      <c r="CO739" s="53">
        <v>2.0103110965128743</v>
      </c>
      <c r="CP739" s="53">
        <v>1.854795167402171</v>
      </c>
      <c r="CQ739" s="53">
        <v>2.6424417173561117</v>
      </c>
      <c r="CR739" s="53">
        <v>2.2965686488551231</v>
      </c>
      <c r="CS739" s="53">
        <v>1.2733112886664009</v>
      </c>
      <c r="CT739" s="53">
        <v>1.4776490425058633</v>
      </c>
      <c r="CU739" s="53">
        <v>1.9916016555876082</v>
      </c>
      <c r="CV739" s="216">
        <v>1.7378442625477803</v>
      </c>
      <c r="CW739" s="53">
        <v>2.4090831414319926</v>
      </c>
      <c r="CX739" s="53">
        <v>2.3282593410288999</v>
      </c>
      <c r="CY739" s="53">
        <v>1.9835068383368155</v>
      </c>
      <c r="CZ739" s="53">
        <v>1.9835068383368155</v>
      </c>
      <c r="DA739" s="53">
        <v>1.9954556747123386</v>
      </c>
      <c r="DB739" s="53">
        <v>2.0671486929654765</v>
      </c>
      <c r="DC739" s="53">
        <v>1.2136339644392664</v>
      </c>
      <c r="DD739" s="53">
        <v>1.0007704274421925</v>
      </c>
      <c r="DE739" s="53">
        <v>2.126892874843092</v>
      </c>
      <c r="DF739" s="53">
        <v>2.4256137842311665</v>
      </c>
    </row>
    <row r="740" spans="1:110" ht="12" outlineLevel="1">
      <c r="A740" s="1" t="s">
        <v>963</v>
      </c>
      <c r="B740" s="15" t="s">
        <v>493</v>
      </c>
      <c r="C740" s="53">
        <v>0.42507423713881975</v>
      </c>
      <c r="D740" s="53">
        <v>0.48877222363222084</v>
      </c>
      <c r="E740" s="53">
        <v>0.50362157237429217</v>
      </c>
      <c r="F740" s="53">
        <v>0.49793058609811908</v>
      </c>
      <c r="G740" s="53">
        <v>0.5359383893508628</v>
      </c>
      <c r="H740" s="53">
        <v>0.50092591881220083</v>
      </c>
      <c r="I740" s="53">
        <v>0.54238045525773237</v>
      </c>
      <c r="J740" s="53">
        <v>0.62210274750205763</v>
      </c>
      <c r="K740" s="53">
        <v>0.61538691699676618</v>
      </c>
      <c r="L740" s="53">
        <v>0.68242212299496796</v>
      </c>
      <c r="M740" s="53">
        <v>0.73670697103591309</v>
      </c>
      <c r="N740" s="53">
        <v>0.76390514258253672</v>
      </c>
      <c r="O740" s="53">
        <v>0.75822898340106715</v>
      </c>
      <c r="P740" s="53">
        <v>0.71406948573056872</v>
      </c>
      <c r="Q740" s="53">
        <v>0.39726770972061332</v>
      </c>
      <c r="R740" s="53">
        <v>9.4314428707002393E-2</v>
      </c>
      <c r="S740" s="53">
        <v>0.74756827763754363</v>
      </c>
      <c r="T740" s="53">
        <v>0.68063239391493424</v>
      </c>
      <c r="U740" s="53">
        <v>0.80801002646083464</v>
      </c>
      <c r="V740" s="53">
        <v>0.66470586064889547</v>
      </c>
      <c r="W740" s="53">
        <v>0.64747897721638914</v>
      </c>
      <c r="X740" s="53">
        <v>0.6833013505460156</v>
      </c>
      <c r="Y740" s="53">
        <v>0.76247666187550212</v>
      </c>
      <c r="Z740" s="53">
        <v>0.77109959214768475</v>
      </c>
      <c r="AA740" s="53">
        <v>0.79673344549697511</v>
      </c>
      <c r="AB740" s="53">
        <v>0.81803818521260985</v>
      </c>
      <c r="AC740" s="53">
        <v>0.83286922929864438</v>
      </c>
      <c r="AD740" s="53">
        <v>0.82335677513280003</v>
      </c>
      <c r="AE740" s="53">
        <v>0.74353227554151891</v>
      </c>
      <c r="AF740" s="53">
        <v>0.42012007470876117</v>
      </c>
      <c r="AG740" s="53">
        <v>0.50179189235884047</v>
      </c>
      <c r="AH740" s="53">
        <v>0.59953388796388141</v>
      </c>
      <c r="AI740" s="53">
        <v>0.6134748637117301</v>
      </c>
      <c r="AJ740" s="53">
        <v>0.62102446507132603</v>
      </c>
      <c r="AK740" s="53">
        <v>0.46556514878079247</v>
      </c>
      <c r="AL740" s="53">
        <v>0.65964665941783052</v>
      </c>
      <c r="AM740" s="53">
        <v>0.40491464294588758</v>
      </c>
      <c r="AN740" s="53">
        <v>-0.16572750015346563</v>
      </c>
      <c r="AO740" s="53">
        <v>0.18977856700310819</v>
      </c>
      <c r="AP740" s="53">
        <v>0.44584031001542967</v>
      </c>
      <c r="AQ740" s="53">
        <v>0.51045690788359632</v>
      </c>
      <c r="AR740" s="53">
        <v>0.44607904299763501</v>
      </c>
      <c r="AS740" s="53">
        <v>0.52128712663755461</v>
      </c>
      <c r="AT740" s="53">
        <v>0.63883584382619152</v>
      </c>
      <c r="AU740" s="53">
        <v>0.55908312779148051</v>
      </c>
      <c r="AV740" s="216">
        <v>0.54901955819145032</v>
      </c>
      <c r="AW740" s="53">
        <v>0.45496972850407241</v>
      </c>
      <c r="AX740" s="53">
        <v>0.46937838195237608</v>
      </c>
      <c r="AY740" s="53">
        <v>0.45352342210881347</v>
      </c>
      <c r="AZ740" s="53">
        <v>0.47437520518044241</v>
      </c>
      <c r="BA740" s="53">
        <v>0.43028594052595742</v>
      </c>
      <c r="BB740" s="53">
        <v>0.47804269663139015</v>
      </c>
      <c r="BC740" s="53">
        <v>0.42121404857478523</v>
      </c>
      <c r="BD740" s="53">
        <v>0.4967226640908412</v>
      </c>
      <c r="BE740" s="53">
        <v>0.44663543353029483</v>
      </c>
      <c r="BF740" s="53">
        <v>0.53027383298218911</v>
      </c>
      <c r="BG740" s="53">
        <v>0.48583009775747737</v>
      </c>
      <c r="BH740" s="53">
        <v>0.38155879913816032</v>
      </c>
      <c r="BI740" s="53">
        <v>0.12915528277367441</v>
      </c>
      <c r="BJ740" s="53">
        <v>0.21717634810178832</v>
      </c>
      <c r="BK740" s="53">
        <v>0.35593697908251071</v>
      </c>
      <c r="BL740" s="53">
        <v>0.58358975262377366</v>
      </c>
      <c r="BM740" s="53">
        <v>0.5302411135124907</v>
      </c>
      <c r="BN740" s="53">
        <v>0.61491112504621936</v>
      </c>
      <c r="BO740" s="53">
        <v>0.55379196163407451</v>
      </c>
      <c r="BP740" s="53"/>
      <c r="BQ740" s="53">
        <v>-0.71372259772493052</v>
      </c>
      <c r="BR740" s="53">
        <v>0.17466573339075855</v>
      </c>
      <c r="BS740" s="53">
        <v>0.40946106038095292</v>
      </c>
      <c r="BT740" s="53">
        <v>0.53884907089505973</v>
      </c>
      <c r="BU740" s="53">
        <v>0.60485065465638876</v>
      </c>
      <c r="BV740" s="53">
        <v>0.61141986271494753</v>
      </c>
      <c r="BW740" s="53">
        <v>0.58943604228986379</v>
      </c>
      <c r="BX740" s="53">
        <v>0.71824687938028264</v>
      </c>
      <c r="BY740" s="53">
        <v>0.83671498373793474</v>
      </c>
      <c r="BZ740" s="53">
        <v>0.95060030084108071</v>
      </c>
      <c r="CA740" s="53">
        <v>1.1719552642609365</v>
      </c>
      <c r="CB740" s="53">
        <v>1.2208510461583126</v>
      </c>
      <c r="CC740" s="53">
        <v>1.2524362977239163</v>
      </c>
      <c r="CD740" s="53">
        <v>1.4654487329999639</v>
      </c>
      <c r="CE740" s="53">
        <v>1.6692292773490682</v>
      </c>
      <c r="CF740" s="53">
        <v>1.79094144814931</v>
      </c>
      <c r="CG740" s="53">
        <v>1.3840619620800581</v>
      </c>
      <c r="CH740" s="53">
        <v>1.2033198472144402</v>
      </c>
      <c r="CI740" s="53">
        <v>1.7534262308567328</v>
      </c>
      <c r="CJ740" s="53">
        <v>1.7062886425776342</v>
      </c>
      <c r="CK740" s="53">
        <v>1.8441858572650189</v>
      </c>
      <c r="CL740" s="53">
        <v>1.9558266076165458</v>
      </c>
      <c r="CM740" s="53">
        <v>2.1094792664598492</v>
      </c>
      <c r="CN740" s="53">
        <v>2.0647970830283611</v>
      </c>
      <c r="CO740" s="53">
        <v>1.4524122654297709</v>
      </c>
      <c r="CP740" s="53">
        <v>1.7514485718918806</v>
      </c>
      <c r="CQ740" s="53">
        <v>1.65577386760445</v>
      </c>
      <c r="CR740" s="53">
        <v>1.646589815091555</v>
      </c>
      <c r="CS740" s="53">
        <v>0.68498307849065665</v>
      </c>
      <c r="CT740" s="53">
        <v>1.5554209918046924</v>
      </c>
      <c r="CU740" s="53">
        <v>1.6172728358208956</v>
      </c>
      <c r="CV740" s="216">
        <v>1.8371684238622714</v>
      </c>
      <c r="CW740" s="53">
        <v>1.6403352048344557</v>
      </c>
      <c r="CX740" s="53">
        <v>1.6068283215602757</v>
      </c>
      <c r="CY740" s="53">
        <v>1.6064325912094117</v>
      </c>
      <c r="CZ740" s="53">
        <v>1.6223138679028599</v>
      </c>
      <c r="DA740" s="53">
        <v>1.6946970534352173</v>
      </c>
      <c r="DB740" s="53">
        <v>1.7970385544401462</v>
      </c>
      <c r="DC740" s="53">
        <v>1.3408009314960827</v>
      </c>
      <c r="DD740" s="53">
        <v>1.4219314800533633</v>
      </c>
      <c r="DE740" s="53">
        <v>1.9757413800123531</v>
      </c>
      <c r="DF740" s="53">
        <v>2.0593816016554132</v>
      </c>
    </row>
    <row r="741" spans="1:110" ht="12" outlineLevel="1">
      <c r="A741" s="1" t="s">
        <v>964</v>
      </c>
      <c r="B741" s="15" t="s">
        <v>403</v>
      </c>
      <c r="C741" s="53">
        <v>0.59514612285310553</v>
      </c>
      <c r="D741" s="53">
        <v>0.65459231220364944</v>
      </c>
      <c r="E741" s="53">
        <v>0.69920424094572076</v>
      </c>
      <c r="F741" s="53">
        <v>0.68500966038383337</v>
      </c>
      <c r="G741" s="53">
        <v>0.75278004363657713</v>
      </c>
      <c r="H741" s="53">
        <v>0.70076038452648648</v>
      </c>
      <c r="I741" s="53">
        <v>0.77197750097201812</v>
      </c>
      <c r="J741" s="53">
        <v>0.83894440178777197</v>
      </c>
      <c r="K741" s="53">
        <v>0.86624294842533756</v>
      </c>
      <c r="L741" s="53">
        <v>0.92052276299496794</v>
      </c>
      <c r="M741" s="53">
        <v>1.0300809738930559</v>
      </c>
      <c r="N741" s="53">
        <v>1.0275165654396796</v>
      </c>
      <c r="O741" s="53">
        <v>1.0728619719724957</v>
      </c>
      <c r="P741" s="53">
        <v>0.97768090858771162</v>
      </c>
      <c r="Q741" s="53">
        <v>0.71190069829204194</v>
      </c>
      <c r="R741" s="53">
        <v>0.28989709727843099</v>
      </c>
      <c r="S741" s="53">
        <v>0.98566891763754372</v>
      </c>
      <c r="T741" s="53">
        <v>0.90172584534350575</v>
      </c>
      <c r="U741" s="53">
        <v>1.1226430150322633</v>
      </c>
      <c r="V741" s="53">
        <v>0.9368208777917526</v>
      </c>
      <c r="W741" s="53">
        <v>0.970615560073532</v>
      </c>
      <c r="X741" s="53">
        <v>0.96391996197458707</v>
      </c>
      <c r="Y741" s="53">
        <v>1.0983686361612164</v>
      </c>
      <c r="Z741" s="53">
        <v>1.0814807835762563</v>
      </c>
      <c r="AA741" s="53">
        <v>1.1836469854969751</v>
      </c>
      <c r="AB741" s="53">
        <v>1.1709373480697527</v>
      </c>
      <c r="AC741" s="53">
        <v>1.236789957870073</v>
      </c>
      <c r="AD741" s="53">
        <v>1.1890113294185143</v>
      </c>
      <c r="AE741" s="53">
        <v>1.1474530041129474</v>
      </c>
      <c r="AF741" s="53">
        <v>0.76026384613733267</v>
      </c>
      <c r="AG741" s="53">
        <v>0.84193566378741203</v>
      </c>
      <c r="AH741" s="53">
        <v>0.93967765939245296</v>
      </c>
      <c r="AI741" s="53">
        <v>0.95361863514030154</v>
      </c>
      <c r="AJ741" s="53">
        <v>0.96116823649989747</v>
      </c>
      <c r="AK741" s="53">
        <v>0.80570892020936391</v>
      </c>
      <c r="AL741" s="53">
        <v>0.99979043084640207</v>
      </c>
      <c r="AM741" s="53">
        <v>0.64301528294588761</v>
      </c>
      <c r="AN741" s="53">
        <v>-5.9432571582037061E-2</v>
      </c>
      <c r="AO741" s="53">
        <v>0.33859146700310816</v>
      </c>
      <c r="AP741" s="53">
        <v>0.74346611001542962</v>
      </c>
      <c r="AQ741" s="53">
        <v>0.81658630216931072</v>
      </c>
      <c r="AR741" s="53">
        <v>0.7522084372833493</v>
      </c>
      <c r="AS741" s="53">
        <v>0.83842998378041167</v>
      </c>
      <c r="AT741" s="53">
        <v>0.9859787009690486</v>
      </c>
      <c r="AU741" s="53">
        <v>0.78472598493433765</v>
      </c>
      <c r="AV741" s="216">
        <v>0.78023384390573602</v>
      </c>
      <c r="AW741" s="53">
        <v>0.68618401421835817</v>
      </c>
      <c r="AX741" s="53">
        <v>0.73616409623809043</v>
      </c>
      <c r="AY741" s="53">
        <v>0.72030913639452776</v>
      </c>
      <c r="AZ741" s="53">
        <v>0.7411609194661567</v>
      </c>
      <c r="BA741" s="53">
        <v>0.69707165481167177</v>
      </c>
      <c r="BB741" s="53">
        <v>0.74482841091710439</v>
      </c>
      <c r="BC741" s="53">
        <v>0.68799976286049946</v>
      </c>
      <c r="BD741" s="53">
        <v>0.76672266409084122</v>
      </c>
      <c r="BE741" s="53">
        <v>0.71663543353029491</v>
      </c>
      <c r="BF741" s="53">
        <v>0.81634526155361775</v>
      </c>
      <c r="BG741" s="53">
        <v>0.77190152632890596</v>
      </c>
      <c r="BH741" s="53">
        <v>0.63870165628101749</v>
      </c>
      <c r="BI741" s="53">
        <v>0.36058385420224587</v>
      </c>
      <c r="BJ741" s="53">
        <v>0.44860491953035975</v>
      </c>
      <c r="BK741" s="53">
        <v>0.60665126479679643</v>
      </c>
      <c r="BL741" s="53">
        <v>0.90501832405234506</v>
      </c>
      <c r="BM741" s="53">
        <v>0.8516696849410621</v>
      </c>
      <c r="BN741" s="53">
        <v>0.94598255361764794</v>
      </c>
      <c r="BO741" s="53">
        <v>0.88486339020550309</v>
      </c>
      <c r="BP741" s="53"/>
      <c r="BQ741" s="53">
        <v>-0.69027523740507979</v>
      </c>
      <c r="BR741" s="53">
        <v>0.17466573339075855</v>
      </c>
      <c r="BS741" s="53">
        <v>0.40946106038095292</v>
      </c>
      <c r="BT741" s="53">
        <v>0.56670453495504247</v>
      </c>
      <c r="BU741" s="53">
        <v>0.78254913931314118</v>
      </c>
      <c r="BV741" s="53">
        <v>0.86848819494894758</v>
      </c>
      <c r="BW741" s="53">
        <v>0.76493604228986378</v>
      </c>
      <c r="BX741" s="53">
        <v>0.96293437938028259</v>
      </c>
      <c r="BY741" s="53">
        <v>1.1794727600499346</v>
      </c>
      <c r="BZ741" s="53">
        <v>1.3086494594296263</v>
      </c>
      <c r="CA741" s="53">
        <v>1.5333580214037936</v>
      </c>
      <c r="CB741" s="53">
        <v>1.6247717747297412</v>
      </c>
      <c r="CC741" s="53">
        <v>1.6818678091524877</v>
      </c>
      <c r="CD741" s="53">
        <v>1.9331464187142497</v>
      </c>
      <c r="CE741" s="53">
        <v>2.2007039202062111</v>
      </c>
      <c r="CF741" s="53">
        <v>2.3691858595778816</v>
      </c>
      <c r="CG741" s="53">
        <v>1.9623063735086297</v>
      </c>
      <c r="CH741" s="53">
        <v>1.6370031557858689</v>
      </c>
      <c r="CI741" s="53">
        <v>2.2891526708567329</v>
      </c>
      <c r="CJ741" s="53">
        <v>2.3015402425776341</v>
      </c>
      <c r="CK741" s="53">
        <v>2.4606964429793048</v>
      </c>
      <c r="CL741" s="53">
        <v>2.6531213390451174</v>
      </c>
      <c r="CM741" s="53">
        <v>2.8662991578884207</v>
      </c>
      <c r="CN741" s="53">
        <v>2.8343723658855042</v>
      </c>
      <c r="CO741" s="53">
        <v>2.132699808286914</v>
      </c>
      <c r="CP741" s="53">
        <v>2.4317361147490235</v>
      </c>
      <c r="CQ741" s="53">
        <v>2.3360614104615931</v>
      </c>
      <c r="CR741" s="53">
        <v>2.2248342265201266</v>
      </c>
      <c r="CS741" s="53">
        <v>0.94009090706208531</v>
      </c>
      <c r="CT741" s="53">
        <v>2.1591761860904066</v>
      </c>
      <c r="CU741" s="53">
        <v>2.2405450872494672</v>
      </c>
      <c r="CV741" s="216">
        <v>2.4099541381479854</v>
      </c>
      <c r="CW741" s="53">
        <v>2.1027637762630271</v>
      </c>
      <c r="CX741" s="53">
        <v>2.1403997501317042</v>
      </c>
      <c r="CY741" s="53">
        <v>2.1400040197808403</v>
      </c>
      <c r="CZ741" s="53">
        <v>2.1558852964742883</v>
      </c>
      <c r="DA741" s="53">
        <v>2.2346970534352173</v>
      </c>
      <c r="DB741" s="53">
        <v>2.3691814115830034</v>
      </c>
      <c r="DC741" s="53">
        <v>1.8293723600675114</v>
      </c>
      <c r="DD741" s="53">
        <v>1.9040743371962203</v>
      </c>
      <c r="DE741" s="53">
        <v>2.6185985228694957</v>
      </c>
      <c r="DF741" s="53">
        <v>2.7215244587982701</v>
      </c>
    </row>
    <row r="742" spans="1:110" ht="12" outlineLevel="1">
      <c r="A742" s="1" t="s">
        <v>965</v>
      </c>
      <c r="B742" s="15" t="s">
        <v>404</v>
      </c>
      <c r="C742" s="53">
        <v>6.0073097036887724</v>
      </c>
      <c r="D742" s="53">
        <v>6.2210166437119749</v>
      </c>
      <c r="E742" s="53">
        <v>6.6449114156526363</v>
      </c>
      <c r="F742" s="53">
        <v>7.3701750350204831</v>
      </c>
      <c r="G742" s="53">
        <v>7.5353420437668399</v>
      </c>
      <c r="H742" s="53">
        <v>8.6380942285145448</v>
      </c>
      <c r="I742" s="53">
        <v>9.2945320589529263</v>
      </c>
      <c r="J742" s="53">
        <v>9.2807694003401551</v>
      </c>
      <c r="K742" s="53">
        <v>9.5889696441086283</v>
      </c>
      <c r="L742" s="53">
        <v>9.7060264811067967</v>
      </c>
      <c r="M742" s="53">
        <v>10.263871330719809</v>
      </c>
      <c r="N742" s="53">
        <v>10.759833361522197</v>
      </c>
      <c r="O742" s="53">
        <v>11.246691668364884</v>
      </c>
      <c r="P742" s="53">
        <v>11.897390242531486</v>
      </c>
      <c r="Q742" s="53">
        <v>12.454673021022197</v>
      </c>
      <c r="R742" s="53">
        <v>12.606907216533063</v>
      </c>
      <c r="S742" s="53">
        <v>12.475050667997605</v>
      </c>
      <c r="T742" s="53">
        <v>12.392166392737321</v>
      </c>
      <c r="U742" s="53">
        <v>12.875374817361411</v>
      </c>
      <c r="V742" s="53">
        <v>13.063637441842552</v>
      </c>
      <c r="W742" s="53">
        <v>13.975620011411182</v>
      </c>
      <c r="X742" s="53">
        <v>14.263156924052995</v>
      </c>
      <c r="Y742" s="53">
        <v>14.712985132847574</v>
      </c>
      <c r="Z742" s="53">
        <v>15.034422055618327</v>
      </c>
      <c r="AA742" s="53">
        <v>16.152087188832599</v>
      </c>
      <c r="AB742" s="53">
        <v>16.666726649903431</v>
      </c>
      <c r="AC742" s="53">
        <v>17.395874953203222</v>
      </c>
      <c r="AD742" s="53">
        <v>18.6351483065799</v>
      </c>
      <c r="AE742" s="53">
        <v>19.565903208047683</v>
      </c>
      <c r="AF742" s="53">
        <v>19.165390464080069</v>
      </c>
      <c r="AG742" s="53">
        <v>19.593656139368061</v>
      </c>
      <c r="AH742" s="53">
        <v>19.527561079867844</v>
      </c>
      <c r="AI742" s="53">
        <v>19.912879849285268</v>
      </c>
      <c r="AJ742" s="53">
        <v>20.320459414201078</v>
      </c>
      <c r="AK742" s="53">
        <v>20.460609021675165</v>
      </c>
      <c r="AL742" s="53">
        <v>20.947369815656593</v>
      </c>
      <c r="AM742" s="53">
        <v>21.273648515063382</v>
      </c>
      <c r="AN742" s="53">
        <v>21.464935455649361</v>
      </c>
      <c r="AO742" s="53">
        <v>21.406355462693249</v>
      </c>
      <c r="AP742" s="53">
        <v>21.813368784812791</v>
      </c>
      <c r="AQ742" s="53">
        <v>22.369304529494631</v>
      </c>
      <c r="AR742" s="53">
        <v>21.924141129750158</v>
      </c>
      <c r="AS742" s="53">
        <v>22.043037043321579</v>
      </c>
      <c r="AT742" s="53">
        <v>22.992529721599617</v>
      </c>
      <c r="AU742" s="53">
        <v>23.124248245230589</v>
      </c>
      <c r="AV742" s="216">
        <v>23.121447417850199</v>
      </c>
      <c r="AW742" s="53">
        <v>22.602253805478973</v>
      </c>
      <c r="AX742" s="53">
        <v>22.765798697331824</v>
      </c>
      <c r="AY742" s="53">
        <v>22.826150127644624</v>
      </c>
      <c r="AZ742" s="53">
        <v>22.958488533382493</v>
      </c>
      <c r="BA742" s="53">
        <v>23.081814260589145</v>
      </c>
      <c r="BB742" s="53">
        <v>23.323438683601147</v>
      </c>
      <c r="BC742" s="53">
        <v>23.575404928762243</v>
      </c>
      <c r="BD742" s="53">
        <v>23.917086755203229</v>
      </c>
      <c r="BE742" s="53">
        <v>24.213144759019372</v>
      </c>
      <c r="BF742" s="53">
        <v>24.607555171813811</v>
      </c>
      <c r="BG742" s="53">
        <v>24.922495076902855</v>
      </c>
      <c r="BH742" s="53">
        <v>25.170862067409022</v>
      </c>
      <c r="BI742" s="53">
        <v>25.726342501268977</v>
      </c>
      <c r="BJ742" s="53">
        <v>26.435280451077489</v>
      </c>
      <c r="BK742" s="53">
        <v>26.911640243608545</v>
      </c>
      <c r="BL742" s="53">
        <v>27.574688975473698</v>
      </c>
      <c r="BM742" s="53">
        <v>27.984395114493296</v>
      </c>
      <c r="BN742" s="53">
        <v>28.487431309708217</v>
      </c>
      <c r="BO742" s="53">
        <v>28.908343677632775</v>
      </c>
      <c r="BP742" s="53"/>
      <c r="BQ742" s="53">
        <v>3.7089621980085341</v>
      </c>
      <c r="BR742" s="53">
        <v>3.4042761458492592</v>
      </c>
      <c r="BS742" s="53">
        <v>3.5591299892711903</v>
      </c>
      <c r="BT742" s="53">
        <v>3.9105829688929452</v>
      </c>
      <c r="BU742" s="53">
        <v>4.2218149474196878</v>
      </c>
      <c r="BV742" s="53">
        <v>4.5660065616853247</v>
      </c>
      <c r="BW742" s="53">
        <v>4.9557878091589487</v>
      </c>
      <c r="BX742" s="53">
        <v>5.2334848574930319</v>
      </c>
      <c r="BY742" s="53">
        <v>5.54664467268623</v>
      </c>
      <c r="BZ742" s="53">
        <v>6.0073097036887724</v>
      </c>
      <c r="CA742" s="53">
        <v>6.6449114156526363</v>
      </c>
      <c r="CB742" s="53">
        <v>7.5353420437668399</v>
      </c>
      <c r="CC742" s="53">
        <v>9.2945320589529263</v>
      </c>
      <c r="CD742" s="53">
        <v>9.5889696441086283</v>
      </c>
      <c r="CE742" s="53">
        <v>10.263871330719809</v>
      </c>
      <c r="CF742" s="53">
        <v>11.246691668364884</v>
      </c>
      <c r="CG742" s="53">
        <v>12.454673021022197</v>
      </c>
      <c r="CH742" s="53">
        <v>12.475050667997605</v>
      </c>
      <c r="CI742" s="53">
        <v>12.875374817361411</v>
      </c>
      <c r="CJ742" s="53">
        <v>13.975620011411182</v>
      </c>
      <c r="CK742" s="53">
        <v>14.712985132847574</v>
      </c>
      <c r="CL742" s="53">
        <v>16.152087188832599</v>
      </c>
      <c r="CM742" s="53">
        <v>17.395874953203222</v>
      </c>
      <c r="CN742" s="53">
        <v>19.565903208047683</v>
      </c>
      <c r="CO742" s="53">
        <v>19.593656139368061</v>
      </c>
      <c r="CP742" s="53">
        <v>19.912879849285268</v>
      </c>
      <c r="CQ742" s="53">
        <v>20.460609021675165</v>
      </c>
      <c r="CR742" s="53">
        <v>21.273648515063382</v>
      </c>
      <c r="CS742" s="53">
        <v>21.406355462693249</v>
      </c>
      <c r="CT742" s="53">
        <v>22.369304529494631</v>
      </c>
      <c r="CU742" s="53">
        <v>22.043037043321579</v>
      </c>
      <c r="CV742" s="216">
        <v>23.124248245230589</v>
      </c>
      <c r="CW742" s="53">
        <v>22.602253805478973</v>
      </c>
      <c r="CX742" s="53">
        <v>22.826150127644631</v>
      </c>
      <c r="CY742" s="53">
        <v>23.081814260589155</v>
      </c>
      <c r="CZ742" s="53">
        <v>23.575404928762257</v>
      </c>
      <c r="DA742" s="53">
        <v>24.213144759019389</v>
      </c>
      <c r="DB742" s="53">
        <v>24.92249507690288</v>
      </c>
      <c r="DC742" s="53">
        <v>25.726342501269006</v>
      </c>
      <c r="DD742" s="53">
        <v>26.911640243608574</v>
      </c>
      <c r="DE742" s="53">
        <v>27.984395114493328</v>
      </c>
      <c r="DF742" s="53">
        <v>28.908343677632804</v>
      </c>
    </row>
    <row r="743" spans="1:110" ht="12" outlineLevel="1">
      <c r="A743" s="1" t="s">
        <v>966</v>
      </c>
      <c r="B743" s="15" t="s">
        <v>495</v>
      </c>
      <c r="C743" s="53">
        <v>5.9159868642074853</v>
      </c>
      <c r="D743" s="53">
        <v>6.0963177281540419</v>
      </c>
      <c r="E743" s="53">
        <v>6.5261698237914754</v>
      </c>
      <c r="F743" s="53">
        <v>7.2580786256112058</v>
      </c>
      <c r="G743" s="53">
        <v>7.4310286048498391</v>
      </c>
      <c r="H743" s="53">
        <v>6.8812867005862177</v>
      </c>
      <c r="I743" s="53">
        <v>7.5110250560932688</v>
      </c>
      <c r="J743" s="53">
        <v>7.535216208920831</v>
      </c>
      <c r="K743" s="53">
        <v>7.9224563677179152</v>
      </c>
      <c r="L743" s="53">
        <v>8.1425158713840435</v>
      </c>
      <c r="M743" s="53">
        <v>8.6757558782532946</v>
      </c>
      <c r="N743" s="53">
        <v>9.1630949574456544</v>
      </c>
      <c r="O743" s="53">
        <v>9.5361985649166083</v>
      </c>
      <c r="P743" s="53">
        <v>10.241504012699073</v>
      </c>
      <c r="Q743" s="53">
        <v>10.939830086734942</v>
      </c>
      <c r="R743" s="53">
        <v>11.185044467818916</v>
      </c>
      <c r="S743" s="53">
        <v>11.268068818526652</v>
      </c>
      <c r="T743" s="53">
        <v>10.318712526544306</v>
      </c>
      <c r="U743" s="53">
        <v>10.777409619095989</v>
      </c>
      <c r="V743" s="53">
        <v>11.044999967647511</v>
      </c>
      <c r="W743" s="53">
        <v>11.940881437048306</v>
      </c>
      <c r="X743" s="53">
        <v>12.290832937488338</v>
      </c>
      <c r="Y743" s="53">
        <v>12.770725060719805</v>
      </c>
      <c r="Z743" s="53">
        <v>13.123435245835916</v>
      </c>
      <c r="AA743" s="53">
        <v>14.156127455625617</v>
      </c>
      <c r="AB743" s="53">
        <v>14.628758360846909</v>
      </c>
      <c r="AC743" s="53">
        <v>15.446324832765001</v>
      </c>
      <c r="AD743" s="53">
        <v>16.592512814895155</v>
      </c>
      <c r="AE743" s="53">
        <v>17.713795158989907</v>
      </c>
      <c r="AF743" s="53">
        <v>17.350963916232523</v>
      </c>
      <c r="AG743" s="53">
        <v>17.739954885738687</v>
      </c>
      <c r="AH743" s="53">
        <v>17.79210826357809</v>
      </c>
      <c r="AI743" s="53">
        <v>18.185671661404793</v>
      </c>
      <c r="AJ743" s="53">
        <v>19.101040192103891</v>
      </c>
      <c r="AK743" s="53">
        <v>19.249164205053919</v>
      </c>
      <c r="AL743" s="53">
        <v>19.669608620468768</v>
      </c>
      <c r="AM743" s="53">
        <v>20.035371884322974</v>
      </c>
      <c r="AN743" s="53">
        <v>20.172785798306801</v>
      </c>
      <c r="AO743" s="53">
        <v>20.239758513170585</v>
      </c>
      <c r="AP743" s="53">
        <v>20.745466911784604</v>
      </c>
      <c r="AQ743" s="53">
        <v>21.257602973988138</v>
      </c>
      <c r="AR743" s="53">
        <v>20.807819693697645</v>
      </c>
      <c r="AS743" s="53">
        <v>21.046021651540105</v>
      </c>
      <c r="AT743" s="53">
        <v>21.940377177681658</v>
      </c>
      <c r="AU743" s="53">
        <v>22.079755616382776</v>
      </c>
      <c r="AV743" s="216">
        <v>22.093022141549316</v>
      </c>
      <c r="AW743" s="53">
        <v>21.562366683450154</v>
      </c>
      <c r="AX743" s="53">
        <v>21.714778398395538</v>
      </c>
      <c r="AY743" s="53">
        <v>21.775129828708337</v>
      </c>
      <c r="AZ743" s="53">
        <v>21.907468234446206</v>
      </c>
      <c r="BA743" s="53">
        <v>22.030793961652858</v>
      </c>
      <c r="BB743" s="53">
        <v>22.272418384664864</v>
      </c>
      <c r="BC743" s="53">
        <v>22.524384629825956</v>
      </c>
      <c r="BD743" s="53">
        <v>22.866066456266942</v>
      </c>
      <c r="BE743" s="53">
        <v>23.162124460083085</v>
      </c>
      <c r="BF743" s="53">
        <v>23.556534872877524</v>
      </c>
      <c r="BG743" s="53">
        <v>23.871474777966569</v>
      </c>
      <c r="BH743" s="53">
        <v>24.119841768472735</v>
      </c>
      <c r="BI743" s="53">
        <v>24.690252798730832</v>
      </c>
      <c r="BJ743" s="53">
        <v>25.411806849129114</v>
      </c>
      <c r="BK743" s="53">
        <v>25.88816664166017</v>
      </c>
      <c r="BL743" s="53">
        <v>26.551215373525324</v>
      </c>
      <c r="BM743" s="53">
        <v>26.960921512544921</v>
      </c>
      <c r="BN743" s="53">
        <v>27.463957707759842</v>
      </c>
      <c r="BO743" s="53">
        <v>27.884870075684397</v>
      </c>
      <c r="BP743" s="53"/>
      <c r="BQ743" s="53">
        <v>3.4</v>
      </c>
      <c r="BR743" s="53">
        <v>3.4299999999999997</v>
      </c>
      <c r="BS743" s="53">
        <v>3.58</v>
      </c>
      <c r="BT743" s="53">
        <v>3.9400000000000004</v>
      </c>
      <c r="BU743" s="53">
        <v>4.24</v>
      </c>
      <c r="BV743" s="53">
        <v>4.59</v>
      </c>
      <c r="BW743" s="53">
        <v>4.9800000000000004</v>
      </c>
      <c r="BX743" s="53">
        <v>5.1644064063587694</v>
      </c>
      <c r="BY743" s="53">
        <v>5.4511377878103833</v>
      </c>
      <c r="BZ743" s="53">
        <v>4.0475349002217298</v>
      </c>
      <c r="CA743" s="53">
        <v>6.5261698237914754</v>
      </c>
      <c r="CB743" s="53">
        <v>7.4310286048498391</v>
      </c>
      <c r="CC743" s="53">
        <v>7.5110250560932688</v>
      </c>
      <c r="CD743" s="53">
        <v>7.9224563677179152</v>
      </c>
      <c r="CE743" s="53">
        <v>8.6757558782532946</v>
      </c>
      <c r="CF743" s="53">
        <v>9.5361985649166083</v>
      </c>
      <c r="CG743" s="53">
        <v>10.939830086734942</v>
      </c>
      <c r="CH743" s="53">
        <v>11.268068818526652</v>
      </c>
      <c r="CI743" s="53">
        <v>10.777409619095989</v>
      </c>
      <c r="CJ743" s="53">
        <v>11.940881437048306</v>
      </c>
      <c r="CK743" s="53">
        <v>12.770725060719805</v>
      </c>
      <c r="CL743" s="53">
        <v>14.156127455625617</v>
      </c>
      <c r="CM743" s="53">
        <v>15.446324832765001</v>
      </c>
      <c r="CN743" s="53">
        <v>17.713795158989907</v>
      </c>
      <c r="CO743" s="53">
        <v>17.739954885738687</v>
      </c>
      <c r="CP743" s="53">
        <v>18.185671661404793</v>
      </c>
      <c r="CQ743" s="53">
        <v>19.249164205053919</v>
      </c>
      <c r="CR743" s="53">
        <v>20.035371884322974</v>
      </c>
      <c r="CS743" s="53">
        <v>20.239758513170585</v>
      </c>
      <c r="CT743" s="53">
        <v>21.257602973988138</v>
      </c>
      <c r="CU743" s="53">
        <v>21.046021651540105</v>
      </c>
      <c r="CV743" s="216">
        <v>22.079755616382776</v>
      </c>
      <c r="CW743" s="53">
        <v>21.562366683450154</v>
      </c>
      <c r="CX743" s="53">
        <v>21.775129828708344</v>
      </c>
      <c r="CY743" s="53">
        <v>22.030793961652869</v>
      </c>
      <c r="CZ743" s="53">
        <v>22.52438462982597</v>
      </c>
      <c r="DA743" s="53">
        <v>23.162124460083103</v>
      </c>
      <c r="DB743" s="53">
        <v>23.871474777966593</v>
      </c>
      <c r="DC743" s="53">
        <v>24.69025279873086</v>
      </c>
      <c r="DD743" s="53">
        <v>25.888166641660199</v>
      </c>
      <c r="DE743" s="53">
        <v>26.96092151254495</v>
      </c>
      <c r="DF743" s="53">
        <v>27.884870075684429</v>
      </c>
    </row>
    <row r="744" spans="1:110" ht="12" outlineLevel="1">
      <c r="A744" s="1" t="s">
        <v>2299</v>
      </c>
      <c r="B744" s="15" t="s">
        <v>2300</v>
      </c>
      <c r="C744" s="53" t="e">
        <v>#VALUE!</v>
      </c>
      <c r="D744" s="53">
        <v>5.1991511556571721</v>
      </c>
      <c r="E744" s="53">
        <v>5.4386647656930034</v>
      </c>
      <c r="F744" s="53">
        <v>6.3634757709564749</v>
      </c>
      <c r="G744" s="53">
        <v>6.7605495359781989</v>
      </c>
      <c r="H744" s="53">
        <v>6.5421062844766826</v>
      </c>
      <c r="I744" s="53">
        <v>7.1956128452880934</v>
      </c>
      <c r="J744" s="53">
        <v>8.2427888628748125</v>
      </c>
      <c r="K744" s="53">
        <v>7.5878493564689959</v>
      </c>
      <c r="L744" s="53">
        <v>8.2743334070166235</v>
      </c>
      <c r="M744" s="53">
        <v>8.3101931167634699</v>
      </c>
      <c r="N744" s="53">
        <v>8.8879401005175822</v>
      </c>
      <c r="O744" s="53">
        <v>9.3558726113262871</v>
      </c>
      <c r="P744" s="53">
        <v>9.9672848642544345</v>
      </c>
      <c r="Q744" s="53">
        <v>10.410308423478581</v>
      </c>
      <c r="R744" s="53">
        <v>11.212037812875993</v>
      </c>
      <c r="S744" s="53">
        <v>10.629167064918041</v>
      </c>
      <c r="T744" s="53">
        <v>9.2895681940465149</v>
      </c>
      <c r="U744" s="53">
        <v>9.8935082788277402</v>
      </c>
      <c r="V744" s="53">
        <v>11.43127465927595</v>
      </c>
      <c r="W744" s="53">
        <v>12.319548923458038</v>
      </c>
      <c r="X744" s="53">
        <v>12.413442341869624</v>
      </c>
      <c r="Y744" s="53">
        <v>12.881008896477194</v>
      </c>
      <c r="Z744" s="53">
        <v>13.156927886307532</v>
      </c>
      <c r="AA744" s="53">
        <v>14.00858933358662</v>
      </c>
      <c r="AB744" s="53">
        <v>14.920176433664963</v>
      </c>
      <c r="AC744" s="53">
        <v>15.579274592654116</v>
      </c>
      <c r="AD744" s="53">
        <v>16.777199408275337</v>
      </c>
      <c r="AE744" s="53">
        <v>17.372395682263516</v>
      </c>
      <c r="AF744" s="53">
        <v>17.418636667192828</v>
      </c>
      <c r="AG744" s="53">
        <v>17.880590341171839</v>
      </c>
      <c r="AH744" s="53">
        <v>17.751282717518123</v>
      </c>
      <c r="AI744" s="53">
        <v>18.138825134907837</v>
      </c>
      <c r="AJ744" s="53">
        <v>18.832656272197262</v>
      </c>
      <c r="AK744" s="53">
        <v>18.719535355032562</v>
      </c>
      <c r="AL744" s="53">
        <v>19.227131816045489</v>
      </c>
      <c r="AM744" s="53">
        <v>19.732152392254815</v>
      </c>
      <c r="AN744" s="53">
        <v>19.663940319208763</v>
      </c>
      <c r="AO744" s="53">
        <v>20.180842023791513</v>
      </c>
      <c r="AP744" s="53">
        <v>21.704456074081616</v>
      </c>
      <c r="AQ744" s="53">
        <v>20.502522342541784</v>
      </c>
      <c r="AR744" s="53">
        <v>20.28422206136495</v>
      </c>
      <c r="AS744" s="53">
        <v>-14.583923065405793</v>
      </c>
      <c r="AT744" s="53">
        <v>22.463909319458072</v>
      </c>
      <c r="AU744" s="53">
        <v>24.909057257851046</v>
      </c>
      <c r="AV744" s="216">
        <v>21.276890822955536</v>
      </c>
      <c r="AW744" s="53">
        <v>21.005004345538826</v>
      </c>
      <c r="AX744" s="53">
        <v>21.101646933180849</v>
      </c>
      <c r="AY744" s="53">
        <v>21.158693844826907</v>
      </c>
      <c r="AZ744" s="53">
        <v>21.274021064079037</v>
      </c>
      <c r="BA744" s="53">
        <v>21.405671979226213</v>
      </c>
      <c r="BB744" s="53">
        <v>21.640123578675148</v>
      </c>
      <c r="BC744" s="53">
        <v>21.91053046090143</v>
      </c>
      <c r="BD744" s="53">
        <v>22.238133720801322</v>
      </c>
      <c r="BE744" s="53">
        <v>22.548272071683567</v>
      </c>
      <c r="BF744" s="53">
        <v>22.915148858976309</v>
      </c>
      <c r="BG744" s="53">
        <v>23.248991863860141</v>
      </c>
      <c r="BH744" s="53">
        <v>23.868718623731162</v>
      </c>
      <c r="BI744" s="53">
        <v>24.466420368758758</v>
      </c>
      <c r="BJ744" s="53">
        <v>24.534147780225105</v>
      </c>
      <c r="BK744" s="53">
        <v>24.652317343995144</v>
      </c>
      <c r="BL744" s="53">
        <v>25.18946475672427</v>
      </c>
      <c r="BM744" s="53">
        <v>25.632592378908289</v>
      </c>
      <c r="BN744" s="53">
        <v>25.930372238510792</v>
      </c>
      <c r="BO744" s="53">
        <v>26.19316239438913</v>
      </c>
      <c r="BP744" s="53"/>
      <c r="BQ744" s="53">
        <v>1.6243100435466795</v>
      </c>
      <c r="BR744" s="53">
        <v>6.0311534531585727</v>
      </c>
      <c r="BS744" s="53">
        <v>19.269058671454538</v>
      </c>
      <c r="BT744" s="53">
        <v>-945.16250125814292</v>
      </c>
      <c r="BU744" s="53">
        <v>4.0945716536780949</v>
      </c>
      <c r="BV744" s="53">
        <v>4.1255956503355753</v>
      </c>
      <c r="BW744" s="53">
        <v>4.2302573716863847</v>
      </c>
      <c r="BX744" s="53">
        <v>4.2812318415480695</v>
      </c>
      <c r="BY744" s="53">
        <v>4.0499330863277043</v>
      </c>
      <c r="BZ744" s="53">
        <v>2.0470753989956454</v>
      </c>
      <c r="CA744" s="53">
        <v>5.4386647656930034</v>
      </c>
      <c r="CB744" s="53">
        <v>6.7605495359781989</v>
      </c>
      <c r="CC744" s="53">
        <v>7.1956128452880934</v>
      </c>
      <c r="CD744" s="53">
        <v>7.5878493564689959</v>
      </c>
      <c r="CE744" s="53">
        <v>8.3101931167634699</v>
      </c>
      <c r="CF744" s="53">
        <v>9.3558726113262871</v>
      </c>
      <c r="CG744" s="53">
        <v>10.410308423478581</v>
      </c>
      <c r="CH744" s="53">
        <v>10.629167064918041</v>
      </c>
      <c r="CI744" s="53">
        <v>9.8935082788277402</v>
      </c>
      <c r="CJ744" s="53">
        <v>12.319548923458038</v>
      </c>
      <c r="CK744" s="53">
        <v>12.881008896477194</v>
      </c>
      <c r="CL744" s="53">
        <v>14.00858933358662</v>
      </c>
      <c r="CM744" s="53">
        <v>15.579274592654116</v>
      </c>
      <c r="CN744" s="53">
        <v>17.372395682263516</v>
      </c>
      <c r="CO744" s="53">
        <v>17.880590341171839</v>
      </c>
      <c r="CP744" s="53">
        <v>18.138825134907837</v>
      </c>
      <c r="CQ744" s="53">
        <v>18.719535355032562</v>
      </c>
      <c r="CR744" s="53">
        <v>19.732152392254815</v>
      </c>
      <c r="CS744" s="53">
        <v>20.180842023791513</v>
      </c>
      <c r="CT744" s="53">
        <v>20.502522342541784</v>
      </c>
      <c r="CU744" s="53">
        <v>-14.583923065405793</v>
      </c>
      <c r="CV744" s="216">
        <v>24.909057257851046</v>
      </c>
      <c r="CW744" s="53">
        <v>21.005004345538826</v>
      </c>
      <c r="CX744" s="53">
        <v>21.158693844826907</v>
      </c>
      <c r="CY744" s="53">
        <v>21.405671979226213</v>
      </c>
      <c r="CZ744" s="53">
        <v>21.91053046090143</v>
      </c>
      <c r="DA744" s="53">
        <v>22.548272071683567</v>
      </c>
      <c r="DB744" s="53">
        <v>23.248991863860141</v>
      </c>
      <c r="DC744" s="53">
        <v>24.466420368758758</v>
      </c>
      <c r="DD744" s="53">
        <v>24.652317343995144</v>
      </c>
      <c r="DE744" s="53">
        <v>25.632592378908289</v>
      </c>
      <c r="DF744" s="53">
        <v>26.19316239438913</v>
      </c>
    </row>
    <row r="745" spans="1:110" ht="12" hidden="1" outlineLevel="2">
      <c r="A745" s="1" t="s">
        <v>967</v>
      </c>
      <c r="B745" s="15" t="s">
        <v>804</v>
      </c>
      <c r="C745" s="53"/>
      <c r="D745" s="53"/>
      <c r="E745" s="53"/>
      <c r="F745" s="53"/>
      <c r="G745" s="53"/>
      <c r="H745" s="53"/>
      <c r="I745" s="53"/>
      <c r="J745" s="53"/>
      <c r="K745" s="53"/>
      <c r="L745" s="53"/>
      <c r="M745" s="53"/>
      <c r="N745" s="53"/>
      <c r="O745" s="53"/>
      <c r="P745" s="53"/>
      <c r="Q745" s="53"/>
      <c r="R745" s="53"/>
      <c r="S745" s="53"/>
      <c r="T745" s="53"/>
      <c r="U745" s="53"/>
      <c r="V745" s="53"/>
      <c r="W745" s="53"/>
      <c r="X745" s="53"/>
      <c r="Y745" s="53"/>
      <c r="Z745" s="53"/>
      <c r="AA745" s="53"/>
      <c r="AB745" s="53"/>
      <c r="AC745" s="53"/>
      <c r="AD745" s="53"/>
      <c r="AE745" s="53"/>
      <c r="AF745" s="53"/>
      <c r="AG745" s="53"/>
      <c r="AH745" s="53"/>
      <c r="AI745" s="53"/>
      <c r="AJ745" s="53"/>
      <c r="AK745" s="53"/>
      <c r="AL745" s="53"/>
      <c r="AM745" s="53"/>
      <c r="AN745" s="53"/>
      <c r="AO745" s="53"/>
      <c r="AP745" s="53"/>
      <c r="AQ745" s="53"/>
      <c r="AR745" s="53"/>
      <c r="AS745" s="53"/>
      <c r="AT745" s="53"/>
      <c r="AU745" s="53"/>
      <c r="AV745" s="216"/>
      <c r="AW745" s="53"/>
      <c r="AX745" s="53"/>
      <c r="AY745" s="53"/>
      <c r="AZ745" s="53"/>
      <c r="BA745" s="53"/>
      <c r="BB745" s="53"/>
      <c r="BC745" s="53"/>
      <c r="BD745" s="53"/>
      <c r="BE745" s="53"/>
      <c r="BF745" s="53"/>
      <c r="BG745" s="53"/>
      <c r="BH745" s="53"/>
      <c r="BI745" s="53"/>
      <c r="BJ745" s="53"/>
      <c r="BK745" s="53"/>
      <c r="BL745" s="53"/>
      <c r="BM745" s="53"/>
      <c r="BN745" s="53"/>
      <c r="BO745" s="53"/>
      <c r="BP745" s="53"/>
      <c r="BQ745" s="53"/>
      <c r="BR745" s="53"/>
      <c r="BS745" s="53"/>
      <c r="BT745" s="53"/>
      <c r="BU745" s="53"/>
      <c r="BV745" s="53"/>
      <c r="BW745" s="53"/>
      <c r="BX745" s="53"/>
      <c r="BY745" s="53"/>
      <c r="BZ745" s="53"/>
      <c r="CA745" s="53"/>
      <c r="CB745" s="53"/>
      <c r="CC745" s="53"/>
      <c r="CD745" s="53"/>
      <c r="CE745" s="53"/>
      <c r="CF745" s="53"/>
      <c r="CG745" s="53"/>
      <c r="CH745" s="53"/>
      <c r="CI745" s="53"/>
      <c r="CJ745" s="53"/>
      <c r="CK745" s="53"/>
      <c r="CL745" s="53"/>
      <c r="CM745" s="53"/>
      <c r="CN745" s="53"/>
      <c r="CO745" s="53"/>
      <c r="CP745" s="53"/>
      <c r="CQ745" s="53"/>
      <c r="CR745" s="53"/>
      <c r="CS745" s="53"/>
      <c r="CT745" s="53"/>
      <c r="CU745" s="53"/>
      <c r="CV745" s="216"/>
      <c r="CW745" s="53"/>
      <c r="CX745" s="53"/>
      <c r="CY745" s="53"/>
      <c r="CZ745" s="15"/>
      <c r="DA745" s="15"/>
      <c r="DB745" s="15"/>
      <c r="DC745" s="15"/>
      <c r="DD745" s="15"/>
      <c r="DE745" s="15"/>
      <c r="DF745" s="15"/>
    </row>
    <row r="746" spans="1:110" ht="12" hidden="1" outlineLevel="2">
      <c r="A746" s="1" t="s">
        <v>34</v>
      </c>
      <c r="B746" s="15" t="s">
        <v>804</v>
      </c>
      <c r="C746" s="53"/>
      <c r="D746" s="53"/>
      <c r="E746" s="53"/>
      <c r="F746" s="53"/>
      <c r="G746" s="53"/>
      <c r="H746" s="53"/>
      <c r="I746" s="53"/>
      <c r="J746" s="53"/>
      <c r="K746" s="53"/>
      <c r="L746" s="53"/>
      <c r="M746" s="53"/>
      <c r="N746" s="53"/>
      <c r="O746" s="53"/>
      <c r="P746" s="53"/>
      <c r="Q746" s="53"/>
      <c r="R746" s="53"/>
      <c r="S746" s="53"/>
      <c r="T746" s="53"/>
      <c r="U746" s="53"/>
      <c r="V746" s="53"/>
      <c r="W746" s="53"/>
      <c r="X746" s="53"/>
      <c r="Y746" s="53"/>
      <c r="Z746" s="53"/>
      <c r="AA746" s="53"/>
      <c r="AB746" s="53"/>
      <c r="AC746" s="53"/>
      <c r="AD746" s="53"/>
      <c r="AE746" s="53"/>
      <c r="AF746" s="53"/>
      <c r="AG746" s="53"/>
      <c r="AH746" s="53"/>
      <c r="AI746" s="53"/>
      <c r="AJ746" s="53"/>
      <c r="AK746" s="53"/>
      <c r="AL746" s="53"/>
      <c r="AM746" s="53"/>
      <c r="AN746" s="53"/>
      <c r="AO746" s="53"/>
      <c r="AP746" s="53"/>
      <c r="AQ746" s="53"/>
      <c r="AR746" s="53"/>
      <c r="AS746" s="53"/>
      <c r="AT746" s="53"/>
      <c r="AU746" s="53"/>
      <c r="AV746" s="216"/>
      <c r="AW746" s="53"/>
      <c r="AX746" s="53"/>
      <c r="AY746" s="53"/>
      <c r="AZ746" s="53"/>
      <c r="BA746" s="53"/>
      <c r="BB746" s="53"/>
      <c r="BC746" s="53"/>
      <c r="BD746" s="53"/>
      <c r="BE746" s="53"/>
      <c r="BF746" s="53"/>
      <c r="BG746" s="53"/>
      <c r="BH746" s="53"/>
      <c r="BI746" s="53"/>
      <c r="BJ746" s="53"/>
      <c r="BK746" s="53"/>
      <c r="BL746" s="53"/>
      <c r="BM746" s="53"/>
      <c r="BN746" s="53"/>
      <c r="BO746" s="53"/>
      <c r="BP746" s="53"/>
      <c r="BQ746" s="53"/>
      <c r="BR746" s="53"/>
      <c r="BS746" s="53"/>
      <c r="BT746" s="53"/>
      <c r="BU746" s="53"/>
      <c r="BV746" s="53"/>
      <c r="BW746" s="53"/>
      <c r="BX746" s="53"/>
      <c r="BY746" s="53"/>
      <c r="BZ746" s="53"/>
      <c r="CA746" s="53"/>
      <c r="CB746" s="53"/>
      <c r="CC746" s="53"/>
      <c r="CD746" s="53"/>
      <c r="CE746" s="53"/>
      <c r="CF746" s="53"/>
      <c r="CG746" s="53"/>
      <c r="CH746" s="53"/>
      <c r="CI746" s="53"/>
      <c r="CJ746" s="53"/>
      <c r="CK746" s="53"/>
      <c r="CL746" s="53"/>
      <c r="CM746" s="53"/>
      <c r="CN746" s="53"/>
      <c r="CO746" s="53"/>
      <c r="CP746" s="53"/>
      <c r="CQ746" s="53"/>
      <c r="CR746" s="53"/>
      <c r="CS746" s="53"/>
      <c r="CT746" s="53"/>
      <c r="CU746" s="53"/>
      <c r="CV746" s="216"/>
      <c r="CW746" s="53"/>
      <c r="CX746" s="53"/>
      <c r="CY746" s="53"/>
      <c r="CZ746" s="15"/>
      <c r="DA746" s="15"/>
      <c r="DB746" s="15"/>
      <c r="DC746" s="15"/>
      <c r="DD746" s="15"/>
      <c r="DE746" s="15"/>
      <c r="DF746" s="15"/>
    </row>
    <row r="747" spans="1:110" ht="12" hidden="1" outlineLevel="2">
      <c r="A747" s="1" t="s">
        <v>35</v>
      </c>
      <c r="B747" s="15" t="s">
        <v>804</v>
      </c>
      <c r="C747" s="53"/>
      <c r="D747" s="53"/>
      <c r="E747" s="53"/>
      <c r="F747" s="53"/>
      <c r="G747" s="53"/>
      <c r="H747" s="53"/>
      <c r="I747" s="53"/>
      <c r="J747" s="53"/>
      <c r="K747" s="53"/>
      <c r="L747" s="53"/>
      <c r="M747" s="53"/>
      <c r="N747" s="53"/>
      <c r="O747" s="53"/>
      <c r="P747" s="53"/>
      <c r="Q747" s="53"/>
      <c r="R747" s="53"/>
      <c r="S747" s="53"/>
      <c r="T747" s="53"/>
      <c r="U747" s="53"/>
      <c r="V747" s="53"/>
      <c r="W747" s="53"/>
      <c r="X747" s="53"/>
      <c r="Y747" s="53"/>
      <c r="Z747" s="53"/>
      <c r="AA747" s="53"/>
      <c r="AB747" s="53"/>
      <c r="AC747" s="53"/>
      <c r="AD747" s="53"/>
      <c r="AE747" s="53"/>
      <c r="AF747" s="53"/>
      <c r="AG747" s="53"/>
      <c r="AH747" s="53"/>
      <c r="AI747" s="53"/>
      <c r="AJ747" s="53"/>
      <c r="AK747" s="53"/>
      <c r="AL747" s="53"/>
      <c r="AM747" s="53"/>
      <c r="AN747" s="53"/>
      <c r="AO747" s="53"/>
      <c r="AP747" s="53"/>
      <c r="AQ747" s="53"/>
      <c r="AR747" s="53"/>
      <c r="AS747" s="53"/>
      <c r="AT747" s="53"/>
      <c r="AU747" s="53"/>
      <c r="AV747" s="216"/>
      <c r="AW747" s="53"/>
      <c r="AX747" s="53"/>
      <c r="AY747" s="53"/>
      <c r="AZ747" s="53"/>
      <c r="BA747" s="53"/>
      <c r="BB747" s="53"/>
      <c r="BC747" s="53"/>
      <c r="BD747" s="53"/>
      <c r="BE747" s="53"/>
      <c r="BF747" s="53"/>
      <c r="BG747" s="53"/>
      <c r="BH747" s="53"/>
      <c r="BI747" s="53"/>
      <c r="BJ747" s="53"/>
      <c r="BK747" s="53"/>
      <c r="BL747" s="53"/>
      <c r="BM747" s="53"/>
      <c r="BN747" s="53"/>
      <c r="BO747" s="53"/>
      <c r="BP747" s="53"/>
      <c r="BQ747" s="53"/>
      <c r="BR747" s="53"/>
      <c r="BS747" s="53"/>
      <c r="BT747" s="53"/>
      <c r="BU747" s="53"/>
      <c r="BV747" s="53"/>
      <c r="BW747" s="53"/>
      <c r="BX747" s="53"/>
      <c r="BY747" s="53"/>
      <c r="BZ747" s="53"/>
      <c r="CA747" s="53"/>
      <c r="CB747" s="53"/>
      <c r="CC747" s="53"/>
      <c r="CD747" s="53"/>
      <c r="CE747" s="53"/>
      <c r="CF747" s="53"/>
      <c r="CG747" s="53"/>
      <c r="CH747" s="53"/>
      <c r="CI747" s="53"/>
      <c r="CJ747" s="53"/>
      <c r="CK747" s="53"/>
      <c r="CL747" s="53"/>
      <c r="CM747" s="53"/>
      <c r="CN747" s="53"/>
      <c r="CO747" s="53"/>
      <c r="CP747" s="53"/>
      <c r="CQ747" s="53"/>
      <c r="CR747" s="53"/>
      <c r="CS747" s="53"/>
      <c r="CT747" s="53"/>
      <c r="CU747" s="53"/>
      <c r="CV747" s="216"/>
      <c r="CW747" s="53"/>
      <c r="CX747" s="53"/>
      <c r="CY747" s="53"/>
      <c r="CZ747" s="15"/>
      <c r="DA747" s="15"/>
      <c r="DB747" s="15"/>
      <c r="DC747" s="15"/>
      <c r="DD747" s="15"/>
      <c r="DE747" s="15"/>
      <c r="DF747" s="15"/>
    </row>
    <row r="748" spans="1:110" ht="12" hidden="1" outlineLevel="2">
      <c r="A748" s="1" t="s">
        <v>36</v>
      </c>
      <c r="B748" s="15" t="s">
        <v>804</v>
      </c>
      <c r="C748" s="53"/>
      <c r="D748" s="53"/>
      <c r="E748" s="53"/>
      <c r="F748" s="53"/>
      <c r="G748" s="53"/>
      <c r="H748" s="53"/>
      <c r="I748" s="53"/>
      <c r="J748" s="53"/>
      <c r="K748" s="53"/>
      <c r="L748" s="53"/>
      <c r="M748" s="53"/>
      <c r="N748" s="53"/>
      <c r="O748" s="53"/>
      <c r="P748" s="53"/>
      <c r="Q748" s="53"/>
      <c r="R748" s="53"/>
      <c r="S748" s="53"/>
      <c r="T748" s="53"/>
      <c r="U748" s="53"/>
      <c r="V748" s="53"/>
      <c r="W748" s="53"/>
      <c r="X748" s="53"/>
      <c r="Y748" s="53"/>
      <c r="Z748" s="53"/>
      <c r="AA748" s="53"/>
      <c r="AB748" s="53"/>
      <c r="AC748" s="53"/>
      <c r="AD748" s="53"/>
      <c r="AE748" s="53"/>
      <c r="AF748" s="53"/>
      <c r="AG748" s="53"/>
      <c r="AH748" s="53"/>
      <c r="AI748" s="53"/>
      <c r="AJ748" s="53"/>
      <c r="AK748" s="53"/>
      <c r="AL748" s="53"/>
      <c r="AM748" s="53"/>
      <c r="AN748" s="53"/>
      <c r="AO748" s="53"/>
      <c r="AP748" s="53"/>
      <c r="AQ748" s="53"/>
      <c r="AR748" s="53"/>
      <c r="AS748" s="53"/>
      <c r="AT748" s="53"/>
      <c r="AU748" s="53"/>
      <c r="AV748" s="216"/>
      <c r="AW748" s="53"/>
      <c r="AX748" s="53"/>
      <c r="AY748" s="53"/>
      <c r="AZ748" s="53"/>
      <c r="BA748" s="53"/>
      <c r="BB748" s="53"/>
      <c r="BC748" s="53"/>
      <c r="BD748" s="53"/>
      <c r="BE748" s="53"/>
      <c r="BF748" s="53"/>
      <c r="BG748" s="53"/>
      <c r="BH748" s="53"/>
      <c r="BI748" s="53"/>
      <c r="BJ748" s="53"/>
      <c r="BK748" s="53"/>
      <c r="BL748" s="53"/>
      <c r="BM748" s="53"/>
      <c r="BN748" s="53"/>
      <c r="BO748" s="53"/>
      <c r="BP748" s="53"/>
      <c r="BQ748" s="53"/>
      <c r="BR748" s="53"/>
      <c r="BS748" s="53"/>
      <c r="BT748" s="53"/>
      <c r="BU748" s="53"/>
      <c r="BV748" s="53"/>
      <c r="BW748" s="53"/>
      <c r="BX748" s="53"/>
      <c r="BY748" s="53"/>
      <c r="BZ748" s="53"/>
      <c r="CA748" s="53"/>
      <c r="CB748" s="53"/>
      <c r="CC748" s="53"/>
      <c r="CD748" s="53"/>
      <c r="CE748" s="53"/>
      <c r="CF748" s="53"/>
      <c r="CG748" s="53"/>
      <c r="CH748" s="53"/>
      <c r="CI748" s="53"/>
      <c r="CJ748" s="53"/>
      <c r="CK748" s="53"/>
      <c r="CL748" s="53"/>
      <c r="CM748" s="53"/>
      <c r="CN748" s="53"/>
      <c r="CO748" s="53"/>
      <c r="CP748" s="53"/>
      <c r="CQ748" s="53"/>
      <c r="CR748" s="53"/>
      <c r="CS748" s="53"/>
      <c r="CT748" s="53"/>
      <c r="CU748" s="53"/>
      <c r="CV748" s="216"/>
      <c r="CW748" s="53"/>
      <c r="CX748" s="53"/>
      <c r="CY748" s="53"/>
      <c r="CZ748" s="15"/>
      <c r="DA748" s="15"/>
      <c r="DB748" s="15"/>
      <c r="DC748" s="15"/>
      <c r="DD748" s="15"/>
      <c r="DE748" s="15"/>
      <c r="DF748" s="15"/>
    </row>
    <row r="749" spans="1:110" ht="12" hidden="1" outlineLevel="2">
      <c r="A749" s="1" t="s">
        <v>37</v>
      </c>
      <c r="B749" s="15" t="s">
        <v>804</v>
      </c>
      <c r="C749" s="53"/>
      <c r="D749" s="53"/>
      <c r="E749" s="53"/>
      <c r="F749" s="53"/>
      <c r="G749" s="53"/>
      <c r="H749" s="53"/>
      <c r="I749" s="53"/>
      <c r="J749" s="53"/>
      <c r="K749" s="53"/>
      <c r="L749" s="53"/>
      <c r="M749" s="53"/>
      <c r="N749" s="53"/>
      <c r="O749" s="53"/>
      <c r="P749" s="53"/>
      <c r="Q749" s="53"/>
      <c r="R749" s="53"/>
      <c r="S749" s="53"/>
      <c r="T749" s="53"/>
      <c r="U749" s="53"/>
      <c r="V749" s="53"/>
      <c r="W749" s="53"/>
      <c r="X749" s="53"/>
      <c r="Y749" s="53"/>
      <c r="Z749" s="53"/>
      <c r="AA749" s="53"/>
      <c r="AB749" s="53"/>
      <c r="AC749" s="53"/>
      <c r="AD749" s="53"/>
      <c r="AE749" s="53"/>
      <c r="AF749" s="53"/>
      <c r="AG749" s="53"/>
      <c r="AH749" s="53"/>
      <c r="AI749" s="53"/>
      <c r="AJ749" s="53"/>
      <c r="AK749" s="53"/>
      <c r="AL749" s="53"/>
      <c r="AM749" s="53"/>
      <c r="AN749" s="53"/>
      <c r="AO749" s="53"/>
      <c r="AP749" s="53"/>
      <c r="AQ749" s="53"/>
      <c r="AR749" s="53"/>
      <c r="AS749" s="53"/>
      <c r="AT749" s="53"/>
      <c r="AU749" s="53"/>
      <c r="AV749" s="216"/>
      <c r="AW749" s="53"/>
      <c r="AX749" s="53"/>
      <c r="AY749" s="53"/>
      <c r="AZ749" s="53"/>
      <c r="BA749" s="53"/>
      <c r="BB749" s="53"/>
      <c r="BC749" s="53"/>
      <c r="BD749" s="53"/>
      <c r="BE749" s="53"/>
      <c r="BF749" s="53"/>
      <c r="BG749" s="53"/>
      <c r="BH749" s="53"/>
      <c r="BI749" s="53"/>
      <c r="BJ749" s="53"/>
      <c r="BK749" s="53"/>
      <c r="BL749" s="53"/>
      <c r="BM749" s="53"/>
      <c r="BN749" s="53"/>
      <c r="BO749" s="53"/>
      <c r="BP749" s="53"/>
      <c r="BQ749" s="53"/>
      <c r="BR749" s="53"/>
      <c r="BS749" s="53"/>
      <c r="BT749" s="53"/>
      <c r="BU749" s="53"/>
      <c r="BV749" s="53"/>
      <c r="BW749" s="53"/>
      <c r="BX749" s="53"/>
      <c r="BY749" s="53"/>
      <c r="BZ749" s="53"/>
      <c r="CA749" s="53"/>
      <c r="CB749" s="53"/>
      <c r="CC749" s="53"/>
      <c r="CD749" s="53"/>
      <c r="CE749" s="53"/>
      <c r="CF749" s="53"/>
      <c r="CG749" s="53"/>
      <c r="CH749" s="53"/>
      <c r="CI749" s="53"/>
      <c r="CJ749" s="53"/>
      <c r="CK749" s="53"/>
      <c r="CL749" s="53"/>
      <c r="CM749" s="53"/>
      <c r="CN749" s="53"/>
      <c r="CO749" s="53"/>
      <c r="CP749" s="53"/>
      <c r="CQ749" s="53"/>
      <c r="CR749" s="53"/>
      <c r="CS749" s="53"/>
      <c r="CT749" s="53"/>
      <c r="CU749" s="53"/>
      <c r="CV749" s="216"/>
      <c r="CW749" s="53"/>
      <c r="CX749" s="53"/>
      <c r="CY749" s="53"/>
      <c r="CZ749" s="15"/>
      <c r="DA749" s="15"/>
      <c r="DB749" s="15"/>
      <c r="DC749" s="15"/>
      <c r="DD749" s="15"/>
      <c r="DE749" s="15"/>
      <c r="DF749" s="15"/>
    </row>
    <row r="750" spans="1:110" ht="12" hidden="1" outlineLevel="2">
      <c r="A750" s="1" t="s">
        <v>12</v>
      </c>
      <c r="B750" s="15" t="s">
        <v>804</v>
      </c>
      <c r="C750" s="53"/>
      <c r="D750" s="53"/>
      <c r="E750" s="53"/>
      <c r="F750" s="53"/>
      <c r="G750" s="53"/>
      <c r="H750" s="53"/>
      <c r="I750" s="53"/>
      <c r="J750" s="53"/>
      <c r="K750" s="53"/>
      <c r="L750" s="53"/>
      <c r="M750" s="53"/>
      <c r="N750" s="53"/>
      <c r="O750" s="53"/>
      <c r="P750" s="53"/>
      <c r="Q750" s="53"/>
      <c r="R750" s="53"/>
      <c r="S750" s="53"/>
      <c r="T750" s="53"/>
      <c r="U750" s="53"/>
      <c r="V750" s="53"/>
      <c r="W750" s="53"/>
      <c r="X750" s="53"/>
      <c r="Y750" s="53"/>
      <c r="Z750" s="53"/>
      <c r="AA750" s="53"/>
      <c r="AB750" s="53"/>
      <c r="AC750" s="53"/>
      <c r="AD750" s="53"/>
      <c r="AE750" s="53"/>
      <c r="AF750" s="53"/>
      <c r="AG750" s="53"/>
      <c r="AH750" s="53"/>
      <c r="AI750" s="53"/>
      <c r="AJ750" s="53"/>
      <c r="AK750" s="53"/>
      <c r="AL750" s="53"/>
      <c r="AM750" s="53"/>
      <c r="AN750" s="53"/>
      <c r="AO750" s="53"/>
      <c r="AP750" s="53"/>
      <c r="AQ750" s="53"/>
      <c r="AR750" s="53"/>
      <c r="AS750" s="53"/>
      <c r="AT750" s="53"/>
      <c r="AU750" s="53"/>
      <c r="AV750" s="216"/>
      <c r="AW750" s="53"/>
      <c r="AX750" s="53"/>
      <c r="AY750" s="53"/>
      <c r="AZ750" s="53"/>
      <c r="BA750" s="53"/>
      <c r="BB750" s="53"/>
      <c r="BC750" s="53"/>
      <c r="BD750" s="53"/>
      <c r="BE750" s="53"/>
      <c r="BF750" s="53"/>
      <c r="BG750" s="53"/>
      <c r="BH750" s="53"/>
      <c r="BI750" s="53"/>
      <c r="BJ750" s="53"/>
      <c r="BK750" s="53"/>
      <c r="BL750" s="53"/>
      <c r="BM750" s="53"/>
      <c r="BN750" s="53"/>
      <c r="BO750" s="53"/>
      <c r="BP750" s="53"/>
      <c r="BQ750" s="53"/>
      <c r="BR750" s="53"/>
      <c r="BS750" s="53"/>
      <c r="BT750" s="53"/>
      <c r="BU750" s="53"/>
      <c r="BV750" s="53"/>
      <c r="BW750" s="53"/>
      <c r="BX750" s="53"/>
      <c r="BY750" s="53"/>
      <c r="BZ750" s="53"/>
      <c r="CA750" s="53"/>
      <c r="CB750" s="53"/>
      <c r="CC750" s="53"/>
      <c r="CD750" s="53"/>
      <c r="CE750" s="53"/>
      <c r="CF750" s="53"/>
      <c r="CG750" s="53"/>
      <c r="CH750" s="53"/>
      <c r="CI750" s="53"/>
      <c r="CJ750" s="53"/>
      <c r="CK750" s="53"/>
      <c r="CL750" s="53"/>
      <c r="CM750" s="53"/>
      <c r="CN750" s="53"/>
      <c r="CO750" s="53"/>
      <c r="CP750" s="53"/>
      <c r="CQ750" s="53"/>
      <c r="CR750" s="53"/>
      <c r="CS750" s="53"/>
      <c r="CT750" s="53"/>
      <c r="CU750" s="53"/>
      <c r="CV750" s="216"/>
      <c r="CW750" s="53"/>
      <c r="CX750" s="53"/>
      <c r="CY750" s="53"/>
      <c r="CZ750" s="15"/>
      <c r="DA750" s="15"/>
      <c r="DB750" s="15"/>
      <c r="DC750" s="15"/>
      <c r="DD750" s="15"/>
      <c r="DE750" s="15"/>
      <c r="DF750" s="15"/>
    </row>
    <row r="751" spans="1:110" ht="12" hidden="1" outlineLevel="2">
      <c r="A751" s="1" t="s">
        <v>13</v>
      </c>
      <c r="B751" s="15" t="s">
        <v>804</v>
      </c>
      <c r="C751" s="53"/>
      <c r="D751" s="53"/>
      <c r="E751" s="53"/>
      <c r="F751" s="53"/>
      <c r="G751" s="53"/>
      <c r="H751" s="53"/>
      <c r="I751" s="53"/>
      <c r="J751" s="53"/>
      <c r="K751" s="53"/>
      <c r="L751" s="53"/>
      <c r="M751" s="53"/>
      <c r="N751" s="53"/>
      <c r="O751" s="53"/>
      <c r="P751" s="53"/>
      <c r="Q751" s="53"/>
      <c r="R751" s="53"/>
      <c r="S751" s="53"/>
      <c r="T751" s="53"/>
      <c r="U751" s="53"/>
      <c r="V751" s="53"/>
      <c r="W751" s="53"/>
      <c r="X751" s="53"/>
      <c r="Y751" s="53"/>
      <c r="Z751" s="53"/>
      <c r="AA751" s="53"/>
      <c r="AB751" s="53"/>
      <c r="AC751" s="53"/>
      <c r="AD751" s="53"/>
      <c r="AE751" s="53"/>
      <c r="AF751" s="53"/>
      <c r="AG751" s="53"/>
      <c r="AH751" s="53"/>
      <c r="AI751" s="53"/>
      <c r="AJ751" s="53"/>
      <c r="AK751" s="53"/>
      <c r="AL751" s="53"/>
      <c r="AM751" s="53"/>
      <c r="AN751" s="53"/>
      <c r="AO751" s="53"/>
      <c r="AP751" s="53"/>
      <c r="AQ751" s="53"/>
      <c r="AR751" s="53"/>
      <c r="AS751" s="53"/>
      <c r="AT751" s="53"/>
      <c r="AU751" s="53"/>
      <c r="AV751" s="216"/>
      <c r="AW751" s="53"/>
      <c r="AX751" s="53"/>
      <c r="AY751" s="53"/>
      <c r="AZ751" s="53"/>
      <c r="BA751" s="53"/>
      <c r="BB751" s="53"/>
      <c r="BC751" s="53"/>
      <c r="BD751" s="53"/>
      <c r="BE751" s="53"/>
      <c r="BF751" s="53"/>
      <c r="BG751" s="53"/>
      <c r="BH751" s="53"/>
      <c r="BI751" s="53"/>
      <c r="BJ751" s="53"/>
      <c r="BK751" s="53"/>
      <c r="BL751" s="53"/>
      <c r="BM751" s="53"/>
      <c r="BN751" s="53"/>
      <c r="BO751" s="53"/>
      <c r="BP751" s="53"/>
      <c r="BQ751" s="53"/>
      <c r="BR751" s="53"/>
      <c r="BS751" s="53"/>
      <c r="BT751" s="53"/>
      <c r="BU751" s="53"/>
      <c r="BV751" s="53"/>
      <c r="BW751" s="53"/>
      <c r="BX751" s="53"/>
      <c r="BY751" s="53"/>
      <c r="BZ751" s="53"/>
      <c r="CA751" s="53"/>
      <c r="CB751" s="53"/>
      <c r="CC751" s="53"/>
      <c r="CD751" s="53"/>
      <c r="CE751" s="53"/>
      <c r="CF751" s="53"/>
      <c r="CG751" s="53"/>
      <c r="CH751" s="53"/>
      <c r="CI751" s="53"/>
      <c r="CJ751" s="53"/>
      <c r="CK751" s="53"/>
      <c r="CL751" s="53"/>
      <c r="CM751" s="53"/>
      <c r="CN751" s="53"/>
      <c r="CO751" s="53"/>
      <c r="CP751" s="53"/>
      <c r="CQ751" s="53"/>
      <c r="CR751" s="53"/>
      <c r="CS751" s="53"/>
      <c r="CT751" s="53"/>
      <c r="CU751" s="53"/>
      <c r="CV751" s="216"/>
      <c r="CW751" s="53"/>
      <c r="CX751" s="53"/>
      <c r="CY751" s="53"/>
      <c r="CZ751" s="15"/>
      <c r="DA751" s="15"/>
      <c r="DB751" s="15"/>
      <c r="DC751" s="15"/>
      <c r="DD751" s="15"/>
      <c r="DE751" s="15"/>
      <c r="DF751" s="15"/>
    </row>
    <row r="752" spans="1:110" ht="12" hidden="1" outlineLevel="2">
      <c r="A752" s="1" t="s">
        <v>14</v>
      </c>
      <c r="B752" s="15" t="s">
        <v>804</v>
      </c>
      <c r="C752" s="53"/>
      <c r="D752" s="53"/>
      <c r="E752" s="53"/>
      <c r="F752" s="53"/>
      <c r="G752" s="53"/>
      <c r="H752" s="53"/>
      <c r="I752" s="53"/>
      <c r="J752" s="53"/>
      <c r="K752" s="53"/>
      <c r="L752" s="53"/>
      <c r="M752" s="53"/>
      <c r="N752" s="53"/>
      <c r="O752" s="53"/>
      <c r="P752" s="53"/>
      <c r="Q752" s="53"/>
      <c r="R752" s="53"/>
      <c r="S752" s="53"/>
      <c r="T752" s="53"/>
      <c r="U752" s="53"/>
      <c r="V752" s="53"/>
      <c r="W752" s="53"/>
      <c r="X752" s="53"/>
      <c r="Y752" s="53"/>
      <c r="Z752" s="53"/>
      <c r="AA752" s="53"/>
      <c r="AB752" s="53"/>
      <c r="AC752" s="53"/>
      <c r="AD752" s="53"/>
      <c r="AE752" s="53"/>
      <c r="AF752" s="53"/>
      <c r="AG752" s="53"/>
      <c r="AH752" s="53"/>
      <c r="AI752" s="53"/>
      <c r="AJ752" s="53"/>
      <c r="AK752" s="53"/>
      <c r="AL752" s="53"/>
      <c r="AM752" s="53"/>
      <c r="AN752" s="53"/>
      <c r="AO752" s="53"/>
      <c r="AP752" s="53"/>
      <c r="AQ752" s="53"/>
      <c r="AR752" s="53"/>
      <c r="AS752" s="53"/>
      <c r="AT752" s="53"/>
      <c r="AU752" s="53"/>
      <c r="AV752" s="216"/>
      <c r="AW752" s="53"/>
      <c r="AX752" s="53"/>
      <c r="AY752" s="53"/>
      <c r="AZ752" s="53"/>
      <c r="BA752" s="53"/>
      <c r="BB752" s="53"/>
      <c r="BC752" s="53"/>
      <c r="BD752" s="53"/>
      <c r="BE752" s="53"/>
      <c r="BF752" s="53"/>
      <c r="BG752" s="53"/>
      <c r="BH752" s="53"/>
      <c r="BI752" s="53"/>
      <c r="BJ752" s="53"/>
      <c r="BK752" s="53"/>
      <c r="BL752" s="53"/>
      <c r="BM752" s="53"/>
      <c r="BN752" s="53"/>
      <c r="BO752" s="53"/>
      <c r="BP752" s="53"/>
      <c r="BQ752" s="53"/>
      <c r="BR752" s="53"/>
      <c r="BS752" s="53"/>
      <c r="BT752" s="53"/>
      <c r="BU752" s="53"/>
      <c r="BV752" s="53"/>
      <c r="BW752" s="53"/>
      <c r="BX752" s="53"/>
      <c r="BY752" s="53"/>
      <c r="BZ752" s="53"/>
      <c r="CA752" s="53"/>
      <c r="CB752" s="53"/>
      <c r="CC752" s="53"/>
      <c r="CD752" s="53"/>
      <c r="CE752" s="53"/>
      <c r="CF752" s="53"/>
      <c r="CG752" s="53"/>
      <c r="CH752" s="53"/>
      <c r="CI752" s="53"/>
      <c r="CJ752" s="53"/>
      <c r="CK752" s="53"/>
      <c r="CL752" s="53"/>
      <c r="CM752" s="53"/>
      <c r="CN752" s="53"/>
      <c r="CO752" s="53"/>
      <c r="CP752" s="53"/>
      <c r="CQ752" s="53"/>
      <c r="CR752" s="53"/>
      <c r="CS752" s="53"/>
      <c r="CT752" s="53"/>
      <c r="CU752" s="53"/>
      <c r="CV752" s="216"/>
      <c r="CW752" s="53"/>
      <c r="CX752" s="53"/>
      <c r="CY752" s="53"/>
      <c r="CZ752" s="15"/>
      <c r="DA752" s="15"/>
      <c r="DB752" s="15"/>
      <c r="DC752" s="15"/>
      <c r="DD752" s="15"/>
      <c r="DE752" s="15"/>
      <c r="DF752" s="15"/>
    </row>
    <row r="753" spans="1:110" ht="12" hidden="1" outlineLevel="2">
      <c r="A753" s="1" t="s">
        <v>15</v>
      </c>
      <c r="B753" s="15" t="s">
        <v>804</v>
      </c>
      <c r="C753" s="53"/>
      <c r="D753" s="53"/>
      <c r="E753" s="53"/>
      <c r="F753" s="53"/>
      <c r="G753" s="53"/>
      <c r="H753" s="53"/>
      <c r="I753" s="53"/>
      <c r="J753" s="53"/>
      <c r="K753" s="53"/>
      <c r="L753" s="53"/>
      <c r="M753" s="53"/>
      <c r="N753" s="53"/>
      <c r="O753" s="53"/>
      <c r="P753" s="53"/>
      <c r="Q753" s="53"/>
      <c r="R753" s="53"/>
      <c r="S753" s="53"/>
      <c r="T753" s="53"/>
      <c r="U753" s="53"/>
      <c r="V753" s="53"/>
      <c r="W753" s="53"/>
      <c r="X753" s="53"/>
      <c r="Y753" s="53"/>
      <c r="Z753" s="53"/>
      <c r="AA753" s="53"/>
      <c r="AB753" s="53"/>
      <c r="AC753" s="53"/>
      <c r="AD753" s="53"/>
      <c r="AE753" s="53"/>
      <c r="AF753" s="53"/>
      <c r="AG753" s="53"/>
      <c r="AH753" s="53"/>
      <c r="AI753" s="53"/>
      <c r="AJ753" s="53"/>
      <c r="AK753" s="53"/>
      <c r="AL753" s="53"/>
      <c r="AM753" s="53"/>
      <c r="AN753" s="53"/>
      <c r="AO753" s="53"/>
      <c r="AP753" s="53"/>
      <c r="AQ753" s="53"/>
      <c r="AR753" s="53"/>
      <c r="AS753" s="53"/>
      <c r="AT753" s="53"/>
      <c r="AU753" s="53"/>
      <c r="AV753" s="216"/>
      <c r="AW753" s="53"/>
      <c r="AX753" s="53"/>
      <c r="AY753" s="53"/>
      <c r="AZ753" s="53"/>
      <c r="BA753" s="53"/>
      <c r="BB753" s="53"/>
      <c r="BC753" s="53"/>
      <c r="BD753" s="53"/>
      <c r="BE753" s="53"/>
      <c r="BF753" s="53"/>
      <c r="BG753" s="53"/>
      <c r="BH753" s="53"/>
      <c r="BI753" s="53"/>
      <c r="BJ753" s="53"/>
      <c r="BK753" s="53"/>
      <c r="BL753" s="53"/>
      <c r="BM753" s="53"/>
      <c r="BN753" s="53"/>
      <c r="BO753" s="53"/>
      <c r="BP753" s="53"/>
      <c r="BQ753" s="53"/>
      <c r="BR753" s="53"/>
      <c r="BS753" s="53"/>
      <c r="BT753" s="53"/>
      <c r="BU753" s="53"/>
      <c r="BV753" s="53"/>
      <c r="BW753" s="53"/>
      <c r="BX753" s="53"/>
      <c r="BY753" s="53"/>
      <c r="BZ753" s="53"/>
      <c r="CA753" s="53"/>
      <c r="CB753" s="53"/>
      <c r="CC753" s="53"/>
      <c r="CD753" s="53"/>
      <c r="CE753" s="53"/>
      <c r="CF753" s="53"/>
      <c r="CG753" s="53"/>
      <c r="CH753" s="53"/>
      <c r="CI753" s="53"/>
      <c r="CJ753" s="53"/>
      <c r="CK753" s="53"/>
      <c r="CL753" s="53"/>
      <c r="CM753" s="53"/>
      <c r="CN753" s="53"/>
      <c r="CO753" s="53"/>
      <c r="CP753" s="53"/>
      <c r="CQ753" s="53"/>
      <c r="CR753" s="53"/>
      <c r="CS753" s="53"/>
      <c r="CT753" s="53"/>
      <c r="CU753" s="53"/>
      <c r="CV753" s="216"/>
      <c r="CW753" s="53"/>
      <c r="CX753" s="53"/>
      <c r="CY753" s="53"/>
      <c r="CZ753" s="15"/>
      <c r="DA753" s="15"/>
      <c r="DB753" s="15"/>
      <c r="DC753" s="15"/>
      <c r="DD753" s="15"/>
      <c r="DE753" s="15"/>
      <c r="DF753" s="15"/>
    </row>
    <row r="754" spans="1:110" ht="12" hidden="1" outlineLevel="2">
      <c r="A754" s="1" t="s">
        <v>16</v>
      </c>
      <c r="B754" s="15" t="s">
        <v>804</v>
      </c>
      <c r="C754" s="53"/>
      <c r="D754" s="53"/>
      <c r="E754" s="53"/>
      <c r="F754" s="53"/>
      <c r="G754" s="53"/>
      <c r="H754" s="53"/>
      <c r="I754" s="53"/>
      <c r="J754" s="53"/>
      <c r="K754" s="53"/>
      <c r="L754" s="53"/>
      <c r="M754" s="53"/>
      <c r="N754" s="53"/>
      <c r="O754" s="53"/>
      <c r="P754" s="53"/>
      <c r="Q754" s="53"/>
      <c r="R754" s="53"/>
      <c r="S754" s="53"/>
      <c r="T754" s="53"/>
      <c r="U754" s="53"/>
      <c r="V754" s="53"/>
      <c r="W754" s="53"/>
      <c r="X754" s="53"/>
      <c r="Y754" s="53"/>
      <c r="Z754" s="53"/>
      <c r="AA754" s="53"/>
      <c r="AB754" s="53"/>
      <c r="AC754" s="53"/>
      <c r="AD754" s="53"/>
      <c r="AE754" s="53"/>
      <c r="AF754" s="53"/>
      <c r="AG754" s="53"/>
      <c r="AH754" s="53"/>
      <c r="AI754" s="53"/>
      <c r="AJ754" s="53"/>
      <c r="AK754" s="53"/>
      <c r="AL754" s="53"/>
      <c r="AM754" s="53"/>
      <c r="AN754" s="53"/>
      <c r="AO754" s="53"/>
      <c r="AP754" s="53"/>
      <c r="AQ754" s="53"/>
      <c r="AR754" s="53"/>
      <c r="AS754" s="53"/>
      <c r="AT754" s="53"/>
      <c r="AU754" s="53"/>
      <c r="AV754" s="216"/>
      <c r="AW754" s="53"/>
      <c r="AX754" s="53"/>
      <c r="AY754" s="53"/>
      <c r="AZ754" s="53"/>
      <c r="BA754" s="53"/>
      <c r="BB754" s="53"/>
      <c r="BC754" s="53"/>
      <c r="BD754" s="53"/>
      <c r="BE754" s="53"/>
      <c r="BF754" s="53"/>
      <c r="BG754" s="53"/>
      <c r="BH754" s="53"/>
      <c r="BI754" s="53"/>
      <c r="BJ754" s="53"/>
      <c r="BK754" s="53"/>
      <c r="BL754" s="53"/>
      <c r="BM754" s="53"/>
      <c r="BN754" s="53"/>
      <c r="BO754" s="53"/>
      <c r="BP754" s="53"/>
      <c r="BQ754" s="53"/>
      <c r="BR754" s="53"/>
      <c r="BS754" s="53"/>
      <c r="BT754" s="53"/>
      <c r="BU754" s="53"/>
      <c r="BV754" s="53"/>
      <c r="BW754" s="53"/>
      <c r="BX754" s="53"/>
      <c r="BY754" s="53"/>
      <c r="BZ754" s="53"/>
      <c r="CA754" s="53"/>
      <c r="CB754" s="53"/>
      <c r="CC754" s="53"/>
      <c r="CD754" s="53"/>
      <c r="CE754" s="53"/>
      <c r="CF754" s="53"/>
      <c r="CG754" s="53"/>
      <c r="CH754" s="53"/>
      <c r="CI754" s="53"/>
      <c r="CJ754" s="53"/>
      <c r="CK754" s="53"/>
      <c r="CL754" s="53"/>
      <c r="CM754" s="53"/>
      <c r="CN754" s="53"/>
      <c r="CO754" s="53"/>
      <c r="CP754" s="53"/>
      <c r="CQ754" s="53"/>
      <c r="CR754" s="53"/>
      <c r="CS754" s="53"/>
      <c r="CT754" s="53"/>
      <c r="CU754" s="53"/>
      <c r="CV754" s="216"/>
      <c r="CW754" s="53"/>
      <c r="CX754" s="53"/>
      <c r="CY754" s="53"/>
      <c r="CZ754" s="15"/>
      <c r="DA754" s="15"/>
      <c r="DB754" s="15"/>
      <c r="DC754" s="15"/>
      <c r="DD754" s="15"/>
      <c r="DE754" s="15"/>
      <c r="DF754" s="15"/>
    </row>
    <row r="755" spans="1:110" ht="12" outlineLevel="1" collapsed="1">
      <c r="AA755" s="119"/>
      <c r="AV755" s="200"/>
      <c r="CZ755" s="15"/>
      <c r="DA755" s="15"/>
      <c r="DB755" s="15"/>
      <c r="DC755" s="15"/>
      <c r="DD755" s="15"/>
      <c r="DE755" s="15"/>
      <c r="DF755" s="15"/>
    </row>
    <row r="756" spans="1:110" s="17" customFormat="1" ht="12" outlineLevel="1">
      <c r="A756" s="1"/>
      <c r="B756" s="17" t="s">
        <v>346</v>
      </c>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0"/>
      <c r="AH756" s="10"/>
      <c r="AI756" s="10"/>
      <c r="AJ756" s="10"/>
      <c r="AK756" s="10"/>
      <c r="AL756" s="10"/>
      <c r="AM756" s="10"/>
      <c r="AN756" s="10"/>
      <c r="AO756" s="10"/>
      <c r="AP756" s="10"/>
      <c r="AQ756" s="10"/>
      <c r="AR756" s="10"/>
      <c r="AS756" s="10"/>
      <c r="AT756" s="10"/>
      <c r="AU756" s="10"/>
      <c r="AV756" s="201"/>
      <c r="AW756" s="10"/>
      <c r="AX756" s="10"/>
      <c r="AY756" s="10"/>
      <c r="AZ756" s="10"/>
      <c r="BA756" s="10"/>
      <c r="BB756" s="10"/>
      <c r="BC756" s="10"/>
      <c r="BD756" s="10"/>
      <c r="BE756" s="10"/>
      <c r="BF756" s="10"/>
      <c r="BG756" s="10"/>
      <c r="BH756" s="10"/>
      <c r="BI756" s="10"/>
      <c r="BJ756" s="10"/>
      <c r="BK756" s="10"/>
      <c r="BL756" s="10"/>
      <c r="BM756" s="10"/>
      <c r="BN756" s="10"/>
      <c r="BO756" s="10"/>
      <c r="BP756" s="10"/>
      <c r="BQ756" s="10"/>
      <c r="BR756" s="10"/>
      <c r="BS756" s="10"/>
      <c r="BT756" s="10"/>
      <c r="BU756" s="10"/>
      <c r="BV756" s="10"/>
      <c r="BW756" s="10"/>
      <c r="BX756" s="10"/>
      <c r="BY756" s="10"/>
      <c r="BZ756" s="10"/>
      <c r="CA756" s="10"/>
      <c r="CB756" s="10"/>
      <c r="CC756" s="10"/>
      <c r="CD756" s="10"/>
      <c r="CE756" s="10"/>
      <c r="CF756" s="10"/>
      <c r="CG756" s="10"/>
      <c r="CH756" s="10"/>
      <c r="CI756" s="10"/>
      <c r="CJ756" s="10"/>
      <c r="CK756" s="10"/>
      <c r="CL756" s="10"/>
      <c r="CM756" s="10"/>
      <c r="CN756" s="10"/>
      <c r="CO756" s="10"/>
      <c r="CP756" s="10"/>
      <c r="CQ756" s="10"/>
      <c r="CR756" s="10"/>
      <c r="CS756" s="10"/>
      <c r="CT756" s="10"/>
      <c r="CU756" s="10"/>
      <c r="CV756" s="201"/>
      <c r="CW756" s="10"/>
      <c r="CX756" s="10"/>
      <c r="CY756" s="10"/>
    </row>
    <row r="757" spans="1:110" ht="12" outlineLevel="1">
      <c r="A757" s="1" t="s">
        <v>968</v>
      </c>
      <c r="B757" s="15" t="s">
        <v>347</v>
      </c>
      <c r="C757" s="85">
        <v>12.466987100874316</v>
      </c>
      <c r="D757" s="85">
        <v>12.865778545454548</v>
      </c>
      <c r="E757" s="85">
        <v>10.477352688271607</v>
      </c>
      <c r="F757" s="85">
        <v>12.377775462741489</v>
      </c>
      <c r="G757" s="85">
        <v>11.719006471095774</v>
      </c>
      <c r="H757" s="85">
        <v>12.343216216216218</v>
      </c>
      <c r="I757" s="85">
        <v>12.455010108303243</v>
      </c>
      <c r="J757" s="85">
        <v>12.131721755971594</v>
      </c>
      <c r="K757" s="85">
        <v>13.617164179104483</v>
      </c>
      <c r="L757" s="85">
        <v>13.466536964980548</v>
      </c>
      <c r="M757" s="85">
        <v>13.215062298603653</v>
      </c>
      <c r="N757" s="85">
        <v>13.11643165467626</v>
      </c>
      <c r="O757" s="85">
        <v>13.387368804664723</v>
      </c>
      <c r="P757" s="85">
        <v>11.014047680412366</v>
      </c>
      <c r="Q757" s="85">
        <v>13.71928919729932</v>
      </c>
      <c r="R757" s="85">
        <v>11.875816582914572</v>
      </c>
      <c r="S757" s="85">
        <v>18.825478576137115</v>
      </c>
      <c r="T757" s="85">
        <v>16.591704012506515</v>
      </c>
      <c r="U757" s="85">
        <v>11.676054453520029</v>
      </c>
      <c r="V757" s="85">
        <v>11.496073551542512</v>
      </c>
      <c r="W757" s="85">
        <v>9.4466621973929232</v>
      </c>
      <c r="X757" s="85">
        <v>10.560055975274725</v>
      </c>
      <c r="Y757" s="85">
        <v>12.122799488677867</v>
      </c>
      <c r="Z757" s="85">
        <v>13.208009202453988</v>
      </c>
      <c r="AA757" s="85">
        <v>12.620632892363201</v>
      </c>
      <c r="AB757" s="85">
        <v>13.305942755975215</v>
      </c>
      <c r="AC757" s="85">
        <v>10.915733230134158</v>
      </c>
      <c r="AD757" s="85">
        <v>14.373751783166906</v>
      </c>
      <c r="AE757" s="85">
        <v>9.4841128668171564</v>
      </c>
      <c r="AF757" s="85">
        <v>12.430029948867789</v>
      </c>
      <c r="AG757" s="85">
        <v>13.538792998990237</v>
      </c>
      <c r="AH757" s="85">
        <v>15.979411542425284</v>
      </c>
      <c r="AI757" s="85">
        <v>12.404051502145924</v>
      </c>
      <c r="AJ757" s="85">
        <v>11.819854950346071</v>
      </c>
      <c r="AK757" s="85">
        <v>13.19798440038999</v>
      </c>
      <c r="AL757" s="85">
        <v>11.718422155688625</v>
      </c>
      <c r="AM757" s="85">
        <v>14.512884172661874</v>
      </c>
      <c r="AN757" s="85">
        <v>15.536238187702264</v>
      </c>
      <c r="AO757" s="85">
        <v>11.996374015748028</v>
      </c>
      <c r="AP757" s="85">
        <v>13.590650016989466</v>
      </c>
      <c r="AQ757" s="85">
        <v>12.410835663249456</v>
      </c>
      <c r="AR757" s="85">
        <v>11.074793201133147</v>
      </c>
      <c r="AS757" s="85">
        <v>9.0923655614377275</v>
      </c>
      <c r="AT757" s="85">
        <v>9.6560777777777762</v>
      </c>
      <c r="AU757" s="85">
        <v>10.839922838637003</v>
      </c>
      <c r="AV757" s="224">
        <v>12.949547989433519</v>
      </c>
      <c r="AW757" s="85">
        <v>13.827383037855563</v>
      </c>
      <c r="AX757" s="85">
        <v>14.1324843312658</v>
      </c>
      <c r="AY757" s="85">
        <v>14.92432132014344</v>
      </c>
      <c r="AZ757" s="85">
        <v>15.316202524176791</v>
      </c>
      <c r="BA757" s="85">
        <v>16.603049836718355</v>
      </c>
      <c r="BB757" s="85">
        <v>16.60279080156371</v>
      </c>
      <c r="BC757" s="85">
        <v>18.114696227540122</v>
      </c>
      <c r="BD757" s="85">
        <v>17.687717374256238</v>
      </c>
      <c r="BE757" s="85">
        <v>19.154137564707156</v>
      </c>
      <c r="BF757" s="85">
        <v>18.637330107375991</v>
      </c>
      <c r="BG757" s="85">
        <v>20.054682752338309</v>
      </c>
      <c r="BH757" s="85">
        <v>22.255460345376736</v>
      </c>
      <c r="BI757" s="85">
        <v>28.583195878315575</v>
      </c>
      <c r="BJ757" s="85">
        <v>28.035961290093365</v>
      </c>
      <c r="BK757" s="85">
        <v>26.292113838476052</v>
      </c>
      <c r="BL757" s="85">
        <v>22.934016767997303</v>
      </c>
      <c r="BM757" s="85">
        <v>24.700534014782502</v>
      </c>
      <c r="BN757" s="85">
        <v>24.374701446529549</v>
      </c>
      <c r="BO757" s="85">
        <v>26.566930019125525</v>
      </c>
      <c r="BP757" s="85"/>
      <c r="BQ757" s="85">
        <v>-4.3391513450462877</v>
      </c>
      <c r="BR757" s="85">
        <v>34.20631559705128</v>
      </c>
      <c r="BS757" s="85">
        <v>6.9540318501373548</v>
      </c>
      <c r="BT757" s="85">
        <v>9.3448923724878021</v>
      </c>
      <c r="BU757" s="85">
        <v>9.4833740049253734</v>
      </c>
      <c r="BV757" s="85">
        <v>16.462362361773213</v>
      </c>
      <c r="BW757" s="85">
        <v>12.428840945435594</v>
      </c>
      <c r="BX757" s="85">
        <v>11.320999313898403</v>
      </c>
      <c r="BY757" s="85">
        <v>12.447719236476191</v>
      </c>
      <c r="BZ757" s="85">
        <v>13.631412342651577</v>
      </c>
      <c r="CA757" s="85">
        <v>11.510614041919673</v>
      </c>
      <c r="CB757" s="85">
        <v>12.062103550909383</v>
      </c>
      <c r="CC757" s="85">
        <v>12.419352962826643</v>
      </c>
      <c r="CD757" s="85">
        <v>13.864027319155955</v>
      </c>
      <c r="CE757" s="85">
        <v>13.428532641354822</v>
      </c>
      <c r="CF757" s="85">
        <v>13.251375814627083</v>
      </c>
      <c r="CG757" s="85">
        <v>11.005384967919339</v>
      </c>
      <c r="CH757" s="85">
        <v>18.620214432989691</v>
      </c>
      <c r="CI757" s="85">
        <v>13.233902895322942</v>
      </c>
      <c r="CJ757" s="85">
        <v>9.3742032565974185</v>
      </c>
      <c r="CK757" s="85">
        <v>11.66579203539823</v>
      </c>
      <c r="CL757" s="85">
        <v>13.384383067092653</v>
      </c>
      <c r="CM757" s="85">
        <v>11.628303372333104</v>
      </c>
      <c r="CN757" s="85">
        <v>10.017286705819542</v>
      </c>
      <c r="CO757" s="85">
        <v>14.06521387283237</v>
      </c>
      <c r="CP757" s="85">
        <v>13.52192319700281</v>
      </c>
      <c r="CQ757" s="85">
        <v>12.783592812500004</v>
      </c>
      <c r="CR757" s="85">
        <v>13.62089904249958</v>
      </c>
      <c r="CS757" s="85">
        <v>13.628207436399215</v>
      </c>
      <c r="CT757" s="85">
        <v>12.967638753651411</v>
      </c>
      <c r="CU757" s="85">
        <v>9.1196797302992003</v>
      </c>
      <c r="CV757" s="224">
        <v>10.822987897551364</v>
      </c>
      <c r="CW757" s="85">
        <v>13.725055514000717</v>
      </c>
      <c r="CX757" s="85">
        <v>14.896826362279803</v>
      </c>
      <c r="CY757" s="85">
        <v>16.355281658101244</v>
      </c>
      <c r="CZ757" s="85">
        <v>17.785715841706335</v>
      </c>
      <c r="DA757" s="85">
        <v>18.878131554030819</v>
      </c>
      <c r="DB757" s="85">
        <v>19.829385000428086</v>
      </c>
      <c r="DC757" s="85">
        <v>25.751721525388191</v>
      </c>
      <c r="DD757" s="85">
        <v>27.79773691290427</v>
      </c>
      <c r="DE757" s="85">
        <v>24.411837689301457</v>
      </c>
      <c r="DF757" s="85">
        <v>26.098143903743654</v>
      </c>
    </row>
    <row r="758" spans="1:110" ht="12" outlineLevel="1">
      <c r="A758" s="1" t="s">
        <v>969</v>
      </c>
      <c r="B758" s="15" t="s">
        <v>651</v>
      </c>
      <c r="C758" s="85">
        <v>12.513965855846996</v>
      </c>
      <c r="D758" s="85">
        <v>12.930443696969698</v>
      </c>
      <c r="E758" s="85">
        <v>10.531082702057613</v>
      </c>
      <c r="F758" s="85">
        <v>12.424970844526218</v>
      </c>
      <c r="G758" s="85">
        <v>11.762709232096636</v>
      </c>
      <c r="H758" s="85">
        <v>12.517369661266569</v>
      </c>
      <c r="I758" s="85">
        <v>12.675987341772148</v>
      </c>
      <c r="J758" s="85">
        <v>12.52883541147132</v>
      </c>
      <c r="K758" s="85">
        <v>14.128632218844988</v>
      </c>
      <c r="L758" s="85">
        <v>13.873108108108111</v>
      </c>
      <c r="M758" s="85">
        <v>13.635424829753799</v>
      </c>
      <c r="N758" s="85">
        <v>13.493918348193342</v>
      </c>
      <c r="O758" s="85">
        <v>13.717574047954868</v>
      </c>
      <c r="P758" s="85">
        <v>11.439578179119245</v>
      </c>
      <c r="Q758" s="85">
        <v>14.225832152974499</v>
      </c>
      <c r="R758" s="85">
        <v>12.429294478527609</v>
      </c>
      <c r="S758" s="85">
        <v>19.115313850063533</v>
      </c>
      <c r="T758" s="85">
        <v>16.880681477918635</v>
      </c>
      <c r="U758" s="85">
        <v>12.02338184790791</v>
      </c>
      <c r="V758" s="85">
        <v>11.833619012628057</v>
      </c>
      <c r="W758" s="85">
        <v>9.8823897869119435</v>
      </c>
      <c r="X758" s="85">
        <v>11.019092985318109</v>
      </c>
      <c r="Y758" s="85">
        <v>12.54698275862069</v>
      </c>
      <c r="Z758" s="85">
        <v>13.610796977660973</v>
      </c>
      <c r="AA758" s="85">
        <v>13.043025000000004</v>
      </c>
      <c r="AB758" s="85">
        <v>13.765410556348074</v>
      </c>
      <c r="AC758" s="85">
        <v>11.374666999750186</v>
      </c>
      <c r="AD758" s="85">
        <v>14.76293392070485</v>
      </c>
      <c r="AE758" s="85">
        <v>10.079341074020318</v>
      </c>
      <c r="AF758" s="85">
        <v>13.130688041594457</v>
      </c>
      <c r="AG758" s="85">
        <v>14.131934956744633</v>
      </c>
      <c r="AH758" s="85">
        <v>16.543487414187645</v>
      </c>
      <c r="AI758" s="85">
        <v>12.962519944979366</v>
      </c>
      <c r="AJ758" s="85">
        <v>12.423137702078522</v>
      </c>
      <c r="AK758" s="85">
        <v>13.727560497667186</v>
      </c>
      <c r="AL758" s="85">
        <v>12.290721148036255</v>
      </c>
      <c r="AM758" s="85">
        <v>15.065829611817245</v>
      </c>
      <c r="AN758" s="85">
        <v>16.454959856201317</v>
      </c>
      <c r="AO758" s="85">
        <v>12.986817624882185</v>
      </c>
      <c r="AP758" s="85">
        <v>14.319339703459638</v>
      </c>
      <c r="AQ758" s="85">
        <v>13.189472691611345</v>
      </c>
      <c r="AR758" s="85">
        <v>11.825632247377142</v>
      </c>
      <c r="AS758" s="85">
        <v>9.7020292207792203</v>
      </c>
      <c r="AT758" s="85">
        <v>10.144590958164644</v>
      </c>
      <c r="AU758" s="85">
        <v>11.278577015804983</v>
      </c>
      <c r="AV758" s="224">
        <v>13.180513245033112</v>
      </c>
      <c r="AW758" s="85">
        <v>14.062619045537225</v>
      </c>
      <c r="AX758" s="85">
        <v>14.400748089716325</v>
      </c>
      <c r="AY758" s="85">
        <v>15.205652910802533</v>
      </c>
      <c r="AZ758" s="85">
        <v>15.628177058991279</v>
      </c>
      <c r="BA758" s="85">
        <v>16.910959930072067</v>
      </c>
      <c r="BB758" s="85">
        <v>16.961794261425268</v>
      </c>
      <c r="BC758" s="85">
        <v>18.466813984921643</v>
      </c>
      <c r="BD758" s="85">
        <v>18.109657771148512</v>
      </c>
      <c r="BE758" s="85">
        <v>19.579070239757762</v>
      </c>
      <c r="BF758" s="85">
        <v>19.133410035274881</v>
      </c>
      <c r="BG758" s="85">
        <v>20.563570046081217</v>
      </c>
      <c r="BH758" s="85">
        <v>22.752342453565241</v>
      </c>
      <c r="BI758" s="85">
        <v>28.854742551989577</v>
      </c>
      <c r="BJ758" s="85">
        <v>28.429535737122499</v>
      </c>
      <c r="BK758" s="85">
        <v>26.843145002543082</v>
      </c>
      <c r="BL758" s="85">
        <v>23.643524410205142</v>
      </c>
      <c r="BM758" s="85">
        <v>25.436174954095769</v>
      </c>
      <c r="BN758" s="85">
        <v>25.176408317857064</v>
      </c>
      <c r="BO758" s="85">
        <v>27.395866835950617</v>
      </c>
      <c r="BP758" s="85"/>
      <c r="BQ758" s="85">
        <v>-5.5480635625562389</v>
      </c>
      <c r="BR758" s="85">
        <v>38.549280692769678</v>
      </c>
      <c r="BS758" s="85">
        <v>6.9540318501373548</v>
      </c>
      <c r="BT758" s="85">
        <v>9.3352881665551308</v>
      </c>
      <c r="BU758" s="85">
        <v>9.5156088058041401</v>
      </c>
      <c r="BV758" s="85">
        <v>16.509512363451783</v>
      </c>
      <c r="BW758" s="85">
        <v>12.460173553784294</v>
      </c>
      <c r="BX758" s="85">
        <v>11.359519246188786</v>
      </c>
      <c r="BY758" s="85">
        <v>12.507487017975945</v>
      </c>
      <c r="BZ758" s="85">
        <v>13.592157266517546</v>
      </c>
      <c r="CA758" s="85">
        <v>11.569055607644518</v>
      </c>
      <c r="CB758" s="85">
        <v>12.107590573195575</v>
      </c>
      <c r="CC758" s="85">
        <v>12.617854316546758</v>
      </c>
      <c r="CD758" s="85">
        <v>14.352849390961181</v>
      </c>
      <c r="CE758" s="85">
        <v>13.842296355413676</v>
      </c>
      <c r="CF758" s="85">
        <v>13.607733677782997</v>
      </c>
      <c r="CG758" s="85">
        <v>11.560224293620738</v>
      </c>
      <c r="CH758" s="85">
        <v>18.823048668201249</v>
      </c>
      <c r="CI758" s="85">
        <v>13.634705380017078</v>
      </c>
      <c r="CJ758" s="85">
        <v>9.8197658012533573</v>
      </c>
      <c r="CK758" s="85">
        <v>12.105235006738546</v>
      </c>
      <c r="CL758" s="85">
        <v>13.788813386798276</v>
      </c>
      <c r="CM758" s="85">
        <v>12.084662759722963</v>
      </c>
      <c r="CN758" s="85">
        <v>10.573265001287664</v>
      </c>
      <c r="CO758" s="85">
        <v>14.661473526473527</v>
      </c>
      <c r="CP758" s="85">
        <v>14.113283537496264</v>
      </c>
      <c r="CQ758" s="85">
        <v>13.348265608624045</v>
      </c>
      <c r="CR758" s="85">
        <v>14.165101430638163</v>
      </c>
      <c r="CS758" s="85">
        <v>14.540475336322865</v>
      </c>
      <c r="CT758" s="85">
        <v>13.739363679319577</v>
      </c>
      <c r="CU758" s="85">
        <v>9.7770811697185032</v>
      </c>
      <c r="CV758" s="224">
        <v>11.282741328314062</v>
      </c>
      <c r="CW758" s="85">
        <v>13.964274839221131</v>
      </c>
      <c r="CX758" s="85">
        <v>15.178620623650575</v>
      </c>
      <c r="CY758" s="85">
        <v>16.673718154787785</v>
      </c>
      <c r="CZ758" s="85">
        <v>18.151200358485315</v>
      </c>
      <c r="DA758" s="85">
        <v>19.312919460044931</v>
      </c>
      <c r="DB758" s="85">
        <v>20.345005874614177</v>
      </c>
      <c r="DC758" s="85">
        <v>26.175646484249718</v>
      </c>
      <c r="DD758" s="85">
        <v>28.290012016621816</v>
      </c>
      <c r="DE758" s="85">
        <v>25.153129365305688</v>
      </c>
      <c r="DF758" s="85">
        <v>26.934865976059985</v>
      </c>
    </row>
    <row r="759" spans="1:110" ht="12" outlineLevel="1">
      <c r="A759" s="1" t="s">
        <v>970</v>
      </c>
      <c r="B759" s="15" t="s">
        <v>652</v>
      </c>
      <c r="C759" s="85">
        <v>12.466987100874316</v>
      </c>
      <c r="D759" s="85">
        <v>12.661153836978134</v>
      </c>
      <c r="E759" s="85">
        <v>12.181802407894738</v>
      </c>
      <c r="F759" s="85">
        <v>12.377775462741489</v>
      </c>
      <c r="G759" s="85">
        <v>11.719006471095774</v>
      </c>
      <c r="H759" s="85">
        <v>13.174009615384616</v>
      </c>
      <c r="I759" s="85">
        <v>12.455010108303243</v>
      </c>
      <c r="J759" s="85">
        <v>12.030753521126758</v>
      </c>
      <c r="K759" s="85">
        <v>13.937873965626995</v>
      </c>
      <c r="L759" s="85">
        <v>14.093251890634095</v>
      </c>
      <c r="M759" s="85">
        <v>13.365804454101033</v>
      </c>
      <c r="N759" s="85">
        <v>14.251047420531528</v>
      </c>
      <c r="O759" s="85">
        <v>13.999596036585368</v>
      </c>
      <c r="P759" s="85">
        <v>11.251844391785147</v>
      </c>
      <c r="Q759" s="85">
        <v>13.729588963963961</v>
      </c>
      <c r="R759" s="85">
        <v>17.788185483870969</v>
      </c>
      <c r="S759" s="85">
        <v>11.800930165289259</v>
      </c>
      <c r="T759" s="85">
        <v>13.434379746835443</v>
      </c>
      <c r="U759" s="85">
        <v>10.908116279069768</v>
      </c>
      <c r="V759" s="85">
        <v>11.246434854619064</v>
      </c>
      <c r="W759" s="85">
        <v>9.263801314828342</v>
      </c>
      <c r="X759" s="85">
        <v>10.644127033575632</v>
      </c>
      <c r="Y759" s="85">
        <v>10.537214285714285</v>
      </c>
      <c r="Z759" s="85">
        <v>12.201605478589421</v>
      </c>
      <c r="AA759" s="85">
        <v>12.681638972809669</v>
      </c>
      <c r="AB759" s="85">
        <v>12.839931662870161</v>
      </c>
      <c r="AC759" s="85">
        <v>11.755871631008615</v>
      </c>
      <c r="AD759" s="85">
        <v>13.708843537414968</v>
      </c>
      <c r="AE759" s="85">
        <v>10.681683050847456</v>
      </c>
      <c r="AF759" s="85">
        <v>12.233437095614669</v>
      </c>
      <c r="AG759" s="85">
        <v>12.946171226263276</v>
      </c>
      <c r="AH759" s="85">
        <v>13.864699552906108</v>
      </c>
      <c r="AI759" s="85">
        <v>12.551291256514187</v>
      </c>
      <c r="AJ759" s="85">
        <v>11.244597194388776</v>
      </c>
      <c r="AK759" s="85">
        <v>13.563860387441549</v>
      </c>
      <c r="AL759" s="85">
        <v>10.432815235690237</v>
      </c>
      <c r="AM759" s="85">
        <v>13.883626290433588</v>
      </c>
      <c r="AN759" s="85">
        <v>16.987606510969567</v>
      </c>
      <c r="AO759" s="85">
        <v>10.395152238805968</v>
      </c>
      <c r="AP759" s="85">
        <v>13.377017725752507</v>
      </c>
      <c r="AQ759" s="85">
        <v>12.453391521197007</v>
      </c>
      <c r="AR759" s="85">
        <v>12.558310311596534</v>
      </c>
      <c r="AS759" s="85">
        <v>9.5921516754850096</v>
      </c>
      <c r="AT759" s="85">
        <v>8.965097022721336</v>
      </c>
      <c r="AU759" s="85">
        <v>10.740113281249998</v>
      </c>
      <c r="AV759" s="224">
        <v>12.420920608108107</v>
      </c>
      <c r="AW759" s="85">
        <v>13.827383037855563</v>
      </c>
      <c r="AX759" s="85">
        <v>14.1324843312658</v>
      </c>
      <c r="AY759" s="85">
        <v>14.92432132014344</v>
      </c>
      <c r="AZ759" s="85">
        <v>15.316202524176791</v>
      </c>
      <c r="BA759" s="85">
        <v>16.603049836718355</v>
      </c>
      <c r="BB759" s="85">
        <v>16.60279080156371</v>
      </c>
      <c r="BC759" s="85">
        <v>18.114696227540122</v>
      </c>
      <c r="BD759" s="85">
        <v>17.687717374256238</v>
      </c>
      <c r="BE759" s="85">
        <v>19.154137564707156</v>
      </c>
      <c r="BF759" s="85">
        <v>18.637330107375991</v>
      </c>
      <c r="BG759" s="85">
        <v>20.054682752338309</v>
      </c>
      <c r="BH759" s="85">
        <v>22.255460345376736</v>
      </c>
      <c r="BI759" s="85">
        <v>28.583195878315575</v>
      </c>
      <c r="BJ759" s="85">
        <v>28.035961290093365</v>
      </c>
      <c r="BK759" s="85">
        <v>26.292113838476052</v>
      </c>
      <c r="BL759" s="85">
        <v>22.934016767997303</v>
      </c>
      <c r="BM759" s="85">
        <v>24.700534014782502</v>
      </c>
      <c r="BN759" s="85">
        <v>24.374701446529549</v>
      </c>
      <c r="BO759" s="85">
        <v>26.566930019125525</v>
      </c>
      <c r="BP759" s="85"/>
      <c r="BQ759" s="85">
        <v>-4.3450872565990188</v>
      </c>
      <c r="BR759" s="85">
        <v>15.019821292154324</v>
      </c>
      <c r="BS759" s="85">
        <v>7.1367795751063863</v>
      </c>
      <c r="BT759" s="85">
        <v>9.531201874142857</v>
      </c>
      <c r="BU759" s="85">
        <v>9.4833740049253734</v>
      </c>
      <c r="BV759" s="85">
        <v>14.395780579381528</v>
      </c>
      <c r="BW759" s="85">
        <v>11.698977094171715</v>
      </c>
      <c r="BX759" s="85">
        <v>11.320999313898403</v>
      </c>
      <c r="BY759" s="85">
        <v>12.694667169251911</v>
      </c>
      <c r="BZ759" s="85">
        <v>13.500341070126082</v>
      </c>
      <c r="CA759" s="85">
        <v>12.374892229367566</v>
      </c>
      <c r="CB759" s="85">
        <v>12.062103550909383</v>
      </c>
      <c r="CC759" s="85">
        <v>12.815564755032282</v>
      </c>
      <c r="CD759" s="85">
        <v>13.970231167116298</v>
      </c>
      <c r="CE759" s="85">
        <v>13.809510674157305</v>
      </c>
      <c r="CF759" s="85">
        <v>14.124118857730901</v>
      </c>
      <c r="CG759" s="85">
        <v>11.14844475394615</v>
      </c>
      <c r="CH759" s="85">
        <v>16.174574328358212</v>
      </c>
      <c r="CI759" s="85">
        <v>11.600980866848888</v>
      </c>
      <c r="CJ759" s="85">
        <v>9.1817356553620542</v>
      </c>
      <c r="CK759" s="85">
        <v>10.914344262295081</v>
      </c>
      <c r="CL759" s="85">
        <v>12.918013876040705</v>
      </c>
      <c r="CM759" s="85">
        <v>11.880132752074251</v>
      </c>
      <c r="CN759" s="85">
        <v>10.401872765072767</v>
      </c>
      <c r="CO759" s="85">
        <v>13.635304126337237</v>
      </c>
      <c r="CP759" s="85">
        <v>12.721609634307537</v>
      </c>
      <c r="CQ759" s="85">
        <v>12.612146446739635</v>
      </c>
      <c r="CR759" s="85">
        <v>12.532490262751161</v>
      </c>
      <c r="CS759" s="85">
        <v>12.971819584885575</v>
      </c>
      <c r="CT759" s="85">
        <v>12.892318489835429</v>
      </c>
      <c r="CU759" s="85">
        <v>9.9651573292402151</v>
      </c>
      <c r="CV759" s="224">
        <v>10.374767570484284</v>
      </c>
      <c r="CW759" s="85">
        <v>13.436287463594173</v>
      </c>
      <c r="CX759" s="85">
        <v>14.8968263622798</v>
      </c>
      <c r="CY759" s="85">
        <v>16.355281658101237</v>
      </c>
      <c r="CZ759" s="85">
        <v>17.785715841706331</v>
      </c>
      <c r="DA759" s="85">
        <v>18.878131554030823</v>
      </c>
      <c r="DB759" s="85">
        <v>19.829385000428076</v>
      </c>
      <c r="DC759" s="85">
        <v>25.751721525388195</v>
      </c>
      <c r="DD759" s="85">
        <v>27.797736912904277</v>
      </c>
      <c r="DE759" s="85">
        <v>24.411837689301457</v>
      </c>
      <c r="DF759" s="85">
        <v>26.098143903743654</v>
      </c>
    </row>
    <row r="760" spans="1:110" ht="12" outlineLevel="1">
      <c r="A760" s="1" t="s">
        <v>971</v>
      </c>
      <c r="B760" s="15" t="s">
        <v>539</v>
      </c>
      <c r="C760" s="85">
        <v>12.513965855846996</v>
      </c>
      <c r="D760" s="85">
        <v>12.72479051689861</v>
      </c>
      <c r="E760" s="85">
        <v>12.244273189473686</v>
      </c>
      <c r="F760" s="85">
        <v>12.424970844526218</v>
      </c>
      <c r="G760" s="85">
        <v>11.762709232096636</v>
      </c>
      <c r="H760" s="85">
        <v>13.342690737833596</v>
      </c>
      <c r="I760" s="85">
        <v>12.675987341772148</v>
      </c>
      <c r="J760" s="85">
        <v>12.428108843537412</v>
      </c>
      <c r="K760" s="85">
        <v>14.453731343283586</v>
      </c>
      <c r="L760" s="85">
        <v>14.500141242937858</v>
      </c>
      <c r="M760" s="85">
        <v>13.787090042372881</v>
      </c>
      <c r="N760" s="85">
        <v>14.633862595419853</v>
      </c>
      <c r="O760" s="85">
        <v>14.323652430044186</v>
      </c>
      <c r="P760" s="85">
        <v>11.676458333333331</v>
      </c>
      <c r="Q760" s="85">
        <v>14.235914245216152</v>
      </c>
      <c r="R760" s="85">
        <v>18.161130478087653</v>
      </c>
      <c r="S760" s="85">
        <v>12.146751715785225</v>
      </c>
      <c r="T760" s="85">
        <v>13.763078141906632</v>
      </c>
      <c r="U760" s="85">
        <v>11.266168168551149</v>
      </c>
      <c r="V760" s="85">
        <v>11.587693150794646</v>
      </c>
      <c r="W760" s="85">
        <v>9.6991264353701894</v>
      </c>
      <c r="X760" s="85">
        <v>11.102406311637083</v>
      </c>
      <c r="Y760" s="85">
        <v>10.972399482180933</v>
      </c>
      <c r="Z760" s="85">
        <v>12.608419354838711</v>
      </c>
      <c r="AA760" s="85">
        <v>13.103973714953273</v>
      </c>
      <c r="AB760" s="85">
        <v>13.298722160970232</v>
      </c>
      <c r="AC760" s="85">
        <v>12.220287707997851</v>
      </c>
      <c r="AD760" s="85">
        <v>14.102834297738035</v>
      </c>
      <c r="AE760" s="85">
        <v>11.301327908868998</v>
      </c>
      <c r="AF760" s="85">
        <v>12.933436326391261</v>
      </c>
      <c r="AG760" s="85">
        <v>13.54183880871968</v>
      </c>
      <c r="AH760" s="85">
        <v>14.446625178418499</v>
      </c>
      <c r="AI760" s="85">
        <v>13.11039510294936</v>
      </c>
      <c r="AJ760" s="85">
        <v>11.841978260869565</v>
      </c>
      <c r="AK760" s="85">
        <v>14.091349616858238</v>
      </c>
      <c r="AL760" s="85">
        <v>10.992241826533371</v>
      </c>
      <c r="AM760" s="85">
        <v>14.440773789924268</v>
      </c>
      <c r="AN760" s="85">
        <v>17.868137931034482</v>
      </c>
      <c r="AO760" s="85">
        <v>11.317464887063654</v>
      </c>
      <c r="AP760" s="85">
        <v>14.100972096041533</v>
      </c>
      <c r="AQ760" s="85">
        <v>13.233397668785953</v>
      </c>
      <c r="AR760" s="85">
        <v>13.364255850234009</v>
      </c>
      <c r="AS760" s="85">
        <v>10.219065260758052</v>
      </c>
      <c r="AT760" s="85">
        <v>9.446018974616738</v>
      </c>
      <c r="AU760" s="85">
        <v>11.179747211895911</v>
      </c>
      <c r="AV760" s="224">
        <v>12.673435924648448</v>
      </c>
      <c r="AW760" s="85">
        <v>14.062619045537225</v>
      </c>
      <c r="AX760" s="85">
        <v>14.400748089716325</v>
      </c>
      <c r="AY760" s="85">
        <v>15.205652910802533</v>
      </c>
      <c r="AZ760" s="85">
        <v>15.628177058991279</v>
      </c>
      <c r="BA760" s="85">
        <v>16.910959930072067</v>
      </c>
      <c r="BB760" s="85">
        <v>16.961794261425268</v>
      </c>
      <c r="BC760" s="85">
        <v>18.466813984921643</v>
      </c>
      <c r="BD760" s="85">
        <v>18.109657771148512</v>
      </c>
      <c r="BE760" s="85">
        <v>19.579070239757762</v>
      </c>
      <c r="BF760" s="85">
        <v>19.133410035274881</v>
      </c>
      <c r="BG760" s="85">
        <v>20.563570046081217</v>
      </c>
      <c r="BH760" s="85">
        <v>22.752342453565241</v>
      </c>
      <c r="BI760" s="85">
        <v>28.854742551989577</v>
      </c>
      <c r="BJ760" s="85">
        <v>28.429535737122499</v>
      </c>
      <c r="BK760" s="85">
        <v>26.843145002543082</v>
      </c>
      <c r="BL760" s="85">
        <v>23.643524410205142</v>
      </c>
      <c r="BM760" s="85">
        <v>25.436174954095769</v>
      </c>
      <c r="BN760" s="85">
        <v>25.176408317857064</v>
      </c>
      <c r="BO760" s="85">
        <v>27.395866835950617</v>
      </c>
      <c r="BP760" s="85"/>
      <c r="BQ760" s="85">
        <v>-5.5557608913774201</v>
      </c>
      <c r="BR760" s="85">
        <v>17.317798792231073</v>
      </c>
      <c r="BS760" s="85">
        <v>7.1367795751063863</v>
      </c>
      <c r="BT760" s="85">
        <v>9.5212110964970069</v>
      </c>
      <c r="BU760" s="85">
        <v>9.5156088058041401</v>
      </c>
      <c r="BV760" s="85">
        <v>14.440545340922021</v>
      </c>
      <c r="BW760" s="85">
        <v>11.729713082067118</v>
      </c>
      <c r="BX760" s="85">
        <v>11.359519246188786</v>
      </c>
      <c r="BY760" s="85">
        <v>12.754853881125037</v>
      </c>
      <c r="BZ760" s="85">
        <v>13.46219850750135</v>
      </c>
      <c r="CA760" s="85">
        <v>12.437721899003492</v>
      </c>
      <c r="CB760" s="85">
        <v>12.107590573195575</v>
      </c>
      <c r="CC760" s="85">
        <v>13.010992210682494</v>
      </c>
      <c r="CD760" s="85">
        <v>14.459661293405548</v>
      </c>
      <c r="CE760" s="85">
        <v>14.224492072170587</v>
      </c>
      <c r="CF760" s="85">
        <v>14.478193403298356</v>
      </c>
      <c r="CG760" s="85">
        <v>11.70340607490416</v>
      </c>
      <c r="CH760" s="85">
        <v>16.443806664751509</v>
      </c>
      <c r="CI760" s="85">
        <v>12.013724604966139</v>
      </c>
      <c r="CJ760" s="85">
        <v>9.6267144110935572</v>
      </c>
      <c r="CK760" s="85">
        <v>11.360739130434785</v>
      </c>
      <c r="CL760" s="85">
        <v>13.324391356184799</v>
      </c>
      <c r="CM760" s="85">
        <v>12.337727495240689</v>
      </c>
      <c r="CN760" s="85">
        <v>10.964344505274404</v>
      </c>
      <c r="CO760" s="85">
        <v>14.234854510184288</v>
      </c>
      <c r="CP760" s="85">
        <v>13.311866986050441</v>
      </c>
      <c r="CQ760" s="85">
        <v>13.176628140703517</v>
      </c>
      <c r="CR760" s="85">
        <v>13.078227367171269</v>
      </c>
      <c r="CS760" s="85">
        <v>13.877880664652563</v>
      </c>
      <c r="CT760" s="85">
        <v>13.661898198903682</v>
      </c>
      <c r="CU760" s="85">
        <v>10.656639857015191</v>
      </c>
      <c r="CV760" s="224">
        <v>10.835510652033571</v>
      </c>
      <c r="CW760" s="85">
        <v>13.687879290349787</v>
      </c>
      <c r="CX760" s="85">
        <v>15.178620623650573</v>
      </c>
      <c r="CY760" s="85">
        <v>16.673718154787778</v>
      </c>
      <c r="CZ760" s="85">
        <v>18.151200358485315</v>
      </c>
      <c r="DA760" s="85">
        <v>19.312919460044935</v>
      </c>
      <c r="DB760" s="85">
        <v>20.34500587461417</v>
      </c>
      <c r="DC760" s="85">
        <v>26.175646484249725</v>
      </c>
      <c r="DD760" s="85">
        <v>28.290012016621827</v>
      </c>
      <c r="DE760" s="85">
        <v>25.153129365305688</v>
      </c>
      <c r="DF760" s="85">
        <v>26.934865976059985</v>
      </c>
    </row>
    <row r="761" spans="1:110" ht="12" outlineLevel="1">
      <c r="A761" s="1" t="s">
        <v>972</v>
      </c>
      <c r="B761" s="15" t="s">
        <v>431</v>
      </c>
      <c r="C761" s="85">
        <v>6.5786004598039209</v>
      </c>
      <c r="D761" s="85">
        <v>7.0919380623608026</v>
      </c>
      <c r="E761" s="85">
        <v>6.8167734162895934</v>
      </c>
      <c r="F761" s="85">
        <v>7.1188581629629635</v>
      </c>
      <c r="G761" s="85">
        <v>6.7399072553232671</v>
      </c>
      <c r="H761" s="85">
        <v>7.5031667145849594</v>
      </c>
      <c r="I761" s="85">
        <v>7.3383200748713131</v>
      </c>
      <c r="J761" s="85">
        <v>7.7417912538364879</v>
      </c>
      <c r="K761" s="85">
        <v>8.54767184035477</v>
      </c>
      <c r="L761" s="85">
        <v>9.0368991577204003</v>
      </c>
      <c r="M761" s="85">
        <v>8.6989761936747438</v>
      </c>
      <c r="N761" s="85">
        <v>9.1072984241584649</v>
      </c>
      <c r="O761" s="85">
        <v>8.8875714926273481</v>
      </c>
      <c r="P761" s="85">
        <v>6.1825646330348212</v>
      </c>
      <c r="Q761" s="85">
        <v>5.8128701022539087</v>
      </c>
      <c r="R761" s="85">
        <v>5.6449619188010569</v>
      </c>
      <c r="S761" s="85">
        <v>5.7914682149382806</v>
      </c>
      <c r="T761" s="85">
        <v>7.2181999546588074</v>
      </c>
      <c r="U761" s="85">
        <v>6.6150586161304537</v>
      </c>
      <c r="V761" s="85">
        <v>6.8176179161088797</v>
      </c>
      <c r="W761" s="85">
        <v>5.7909333333333333</v>
      </c>
      <c r="X761" s="85">
        <v>6.7039204272945287</v>
      </c>
      <c r="Y761" s="85">
        <v>6.6185892323030906</v>
      </c>
      <c r="Z761" s="85">
        <v>7.6767628763866878</v>
      </c>
      <c r="AA761" s="85">
        <v>8.2532884388517509</v>
      </c>
      <c r="AB761" s="85">
        <v>8.3786399108138241</v>
      </c>
      <c r="AC761" s="85">
        <v>7.7831828550404714</v>
      </c>
      <c r="AD761" s="85">
        <v>9.0092989985693865</v>
      </c>
      <c r="AE761" s="85">
        <v>6.7923761451410094</v>
      </c>
      <c r="AF761" s="85">
        <v>7.0360599545172642</v>
      </c>
      <c r="AG761" s="85">
        <v>7.5636995110943968</v>
      </c>
      <c r="AH761" s="85">
        <v>8.4744155583895058</v>
      </c>
      <c r="AI761" s="85">
        <v>8.0880895522388059</v>
      </c>
      <c r="AJ761" s="85">
        <v>7.2776316472114138</v>
      </c>
      <c r="AK761" s="85">
        <v>8.8882026701685266</v>
      </c>
      <c r="AL761" s="85">
        <v>6.9099709161865839</v>
      </c>
      <c r="AM761" s="85">
        <v>8.814904522613066</v>
      </c>
      <c r="AN761" s="85">
        <v>6.0401328636134881</v>
      </c>
      <c r="AO761" s="85">
        <v>5.5464464163822518</v>
      </c>
      <c r="AP761" s="85">
        <v>10.149018776960162</v>
      </c>
      <c r="AQ761" s="85">
        <v>8.9675600448933768</v>
      </c>
      <c r="AR761" s="85">
        <v>9.4043829684868925</v>
      </c>
      <c r="AS761" s="85">
        <v>6.7828933693618794</v>
      </c>
      <c r="AT761" s="85">
        <v>6.1929201695832576</v>
      </c>
      <c r="AU761" s="85">
        <v>7.3698192609611333</v>
      </c>
      <c r="AV761" s="224">
        <v>8.5968647700701482</v>
      </c>
      <c r="AW761" s="85">
        <v>9.2528137672756756</v>
      </c>
      <c r="AX761" s="85">
        <v>8.7789982786969087</v>
      </c>
      <c r="AY761" s="85">
        <v>9.2282145285643722</v>
      </c>
      <c r="AZ761" s="85">
        <v>9.4809949123370512</v>
      </c>
      <c r="BA761" s="85">
        <v>10.213171183239636</v>
      </c>
      <c r="BB761" s="85">
        <v>10.275676544854484</v>
      </c>
      <c r="BC761" s="85">
        <v>11.147483808740558</v>
      </c>
      <c r="BD761" s="85">
        <v>10.960579667331565</v>
      </c>
      <c r="BE761" s="85">
        <v>11.797056584737543</v>
      </c>
      <c r="BF761" s="85">
        <v>11.562123539368727</v>
      </c>
      <c r="BG761" s="85">
        <v>12.370760888795756</v>
      </c>
      <c r="BH761" s="85">
        <v>12.096801284720039</v>
      </c>
      <c r="BI761" s="85">
        <v>12.966341386526631</v>
      </c>
      <c r="BJ761" s="85">
        <v>13.004135542951158</v>
      </c>
      <c r="BK761" s="85">
        <v>13.954214120539321</v>
      </c>
      <c r="BL761" s="85">
        <v>13.792745845253375</v>
      </c>
      <c r="BM761" s="85">
        <v>14.750381162750756</v>
      </c>
      <c r="BN761" s="85">
        <v>14.670987488063501</v>
      </c>
      <c r="BO761" s="85">
        <v>15.844208692580526</v>
      </c>
      <c r="BP761" s="85"/>
      <c r="BQ761" s="85">
        <v>2.3479531056398311</v>
      </c>
      <c r="BR761" s="85">
        <v>4.4119274135609414</v>
      </c>
      <c r="BS761" s="85">
        <v>3.2533995162685478</v>
      </c>
      <c r="BT761" s="85">
        <v>5.2748172973624516</v>
      </c>
      <c r="BU761" s="85">
        <v>5.9827277498568217</v>
      </c>
      <c r="BV761" s="85">
        <v>8.2432562633035555</v>
      </c>
      <c r="BW761" s="85">
        <v>6.1176226460399494</v>
      </c>
      <c r="BX761" s="85">
        <v>5.8345413740735541</v>
      </c>
      <c r="BY761" s="85">
        <v>6.6438994626876493</v>
      </c>
      <c r="BZ761" s="85">
        <v>7.1655968213698324</v>
      </c>
      <c r="CA761" s="85">
        <v>6.928142587569881</v>
      </c>
      <c r="CB761" s="85">
        <v>6.9372670292615437</v>
      </c>
      <c r="CC761" s="85">
        <v>7.4293047228821223</v>
      </c>
      <c r="CD761" s="85">
        <v>8.7729947999060673</v>
      </c>
      <c r="CE761" s="85">
        <v>8.9231393888352439</v>
      </c>
      <c r="CF761" s="85">
        <v>8.995929743839314</v>
      </c>
      <c r="CG761" s="85">
        <v>5.4559014198426574</v>
      </c>
      <c r="CH761" s="85">
        <v>6.8922791213571672</v>
      </c>
      <c r="CI761" s="85">
        <v>6.6398730584422854</v>
      </c>
      <c r="CJ761" s="85">
        <v>5.6518131347325671</v>
      </c>
      <c r="CK761" s="85">
        <v>6.8643746094563634</v>
      </c>
      <c r="CL761" s="85">
        <v>8.2678348134991122</v>
      </c>
      <c r="CM761" s="85">
        <v>7.8091721205398414</v>
      </c>
      <c r="CN761" s="85">
        <v>6.7254693072856</v>
      </c>
      <c r="CO761" s="85">
        <v>7.9072679468242235</v>
      </c>
      <c r="CP761" s="85">
        <v>7.9842787353673161</v>
      </c>
      <c r="CQ761" s="85">
        <v>8.2094113987557709</v>
      </c>
      <c r="CR761" s="85">
        <v>8.1427206266318546</v>
      </c>
      <c r="CS761" s="85">
        <v>5.8248414386426086</v>
      </c>
      <c r="CT761" s="85">
        <v>9.517221295855169</v>
      </c>
      <c r="CU761" s="85">
        <v>7.2394067796610164</v>
      </c>
      <c r="CV761" s="224">
        <v>7.1436143414452902</v>
      </c>
      <c r="CW761" s="85">
        <v>9.1475158863284545</v>
      </c>
      <c r="CX761" s="85">
        <v>9.2325547843338551</v>
      </c>
      <c r="CY761" s="85">
        <v>10.09285490195221</v>
      </c>
      <c r="CZ761" s="85">
        <v>10.976899510320743</v>
      </c>
      <c r="DA761" s="85">
        <v>11.663059216087891</v>
      </c>
      <c r="DB761" s="85">
        <v>12.267007740311838</v>
      </c>
      <c r="DC761" s="85">
        <v>12.846131530790903</v>
      </c>
      <c r="DD761" s="85">
        <v>13.817157877421291</v>
      </c>
      <c r="DE761" s="85">
        <v>14.630173331754204</v>
      </c>
      <c r="DF761" s="85">
        <v>15.637411358081311</v>
      </c>
    </row>
    <row r="762" spans="1:110" ht="12" outlineLevel="1">
      <c r="A762" s="1" t="s">
        <v>973</v>
      </c>
      <c r="B762" s="15" t="s">
        <v>432</v>
      </c>
      <c r="C762" s="207">
        <v>5.2110521726635238E-2</v>
      </c>
      <c r="D762" s="207">
        <v>4.5689917758148027E-2</v>
      </c>
      <c r="E762" s="207">
        <v>5.4256943783024134E-2</v>
      </c>
      <c r="F762" s="207">
        <v>5.1460603983752476E-2</v>
      </c>
      <c r="G762" s="207">
        <v>5.9405940594059403E-2</v>
      </c>
      <c r="H762" s="207">
        <v>4.9578059071729956E-2</v>
      </c>
      <c r="I762" s="207">
        <v>5.6782334384858045E-2</v>
      </c>
      <c r="J762" s="207">
        <v>4.9466537342386034E-2</v>
      </c>
      <c r="K762" s="207">
        <v>4.9166666666666664E-2</v>
      </c>
      <c r="L762" s="207">
        <v>4.226415094339623E-2</v>
      </c>
      <c r="M762" s="30">
        <v>5.1377513030528663E-2</v>
      </c>
      <c r="N762" s="30">
        <v>4.1750841750841754E-2</v>
      </c>
      <c r="O762" s="30">
        <v>4.9831649831649831E-2</v>
      </c>
      <c r="P762" s="30">
        <v>5.4988913525498888E-2</v>
      </c>
      <c r="Q762" s="30">
        <v>7.8933333333333328E-2</v>
      </c>
      <c r="R762" s="30">
        <v>5.8412698412698416E-2</v>
      </c>
      <c r="S762" s="30">
        <v>4.5920459204592048E-2</v>
      </c>
      <c r="T762" s="32">
        <v>4.1009463722397485E-2</v>
      </c>
      <c r="U762" s="30">
        <v>6.25E-2</v>
      </c>
      <c r="V762" s="30">
        <v>5.3758924821503573E-2</v>
      </c>
      <c r="W762" s="30">
        <v>7.7868852459016397E-2</v>
      </c>
      <c r="X762" s="30">
        <v>5.6749785038693039E-2</v>
      </c>
      <c r="Y762" s="32">
        <v>6.3838383838383833E-2</v>
      </c>
      <c r="Z762" s="32">
        <v>5.1174202593760945E-2</v>
      </c>
      <c r="AA762" s="32">
        <v>5.9129304743339828E-2</v>
      </c>
      <c r="AB762" s="32">
        <v>5.0211736237144582E-2</v>
      </c>
      <c r="AC762" s="32">
        <v>6.1448900388098311E-2</v>
      </c>
      <c r="AD762" s="32">
        <v>4.6943231441048033E-2</v>
      </c>
      <c r="AE762" s="32">
        <v>7.0162481536189064E-2</v>
      </c>
      <c r="AF762" s="32">
        <v>6.8201193520886619E-2</v>
      </c>
      <c r="AG762" s="32">
        <v>5.7908070937386903E-2</v>
      </c>
      <c r="AH762" s="32">
        <v>5.02828409805154E-2</v>
      </c>
      <c r="AI762" s="32">
        <v>5.4054054054054057E-2</v>
      </c>
      <c r="AJ762" s="32">
        <v>5.9568131049888312E-2</v>
      </c>
      <c r="AK762" s="32">
        <v>5.6777856635911998E-2</v>
      </c>
      <c r="AL762" s="32">
        <v>6.1467537456780637E-2</v>
      </c>
      <c r="AM762" s="32">
        <v>5.6100981767180924E-2</v>
      </c>
      <c r="AN762" s="32">
        <v>2.9481132075471699E-2</v>
      </c>
      <c r="AO762" s="32">
        <v>4.0650406504065047E-2</v>
      </c>
      <c r="AP762" s="32">
        <v>4.9680624556422991E-2</v>
      </c>
      <c r="AQ762" s="32">
        <v>5.1154529307282419E-2</v>
      </c>
      <c r="AR762" s="32">
        <v>5.2173913043478258E-2</v>
      </c>
      <c r="AS762" s="32">
        <v>6.491228070175438E-2</v>
      </c>
      <c r="AT762" s="32">
        <v>7.0649803750545137E-2</v>
      </c>
      <c r="AU762" s="32">
        <v>7.3265783320342948E-2</v>
      </c>
      <c r="AV762" s="31">
        <v>5.6462585034013607E-2</v>
      </c>
      <c r="AW762" s="30">
        <v>5.3664482683120962E-2</v>
      </c>
      <c r="AX762" s="30">
        <v>5.1005045197844275E-2</v>
      </c>
      <c r="AY762" s="30">
        <v>4.8477400797760591E-2</v>
      </c>
      <c r="AZ762" s="30">
        <v>4.6075018245568464E-2</v>
      </c>
      <c r="BA762" s="30">
        <v>4.3791689970876783E-2</v>
      </c>
      <c r="BB762" s="30">
        <v>4.1621516030323824E-2</v>
      </c>
      <c r="BC762" s="30">
        <v>3.9558888862580667E-2</v>
      </c>
      <c r="BD762" s="30">
        <v>3.8051472519315219E-2</v>
      </c>
      <c r="BE762" s="30">
        <v>3.6165765114188744E-2</v>
      </c>
      <c r="BF762" s="30">
        <v>3.6419549342055484E-2</v>
      </c>
      <c r="BG762" s="30">
        <v>3.46147147498903E-2</v>
      </c>
      <c r="BH762" s="30">
        <v>2.9572424178764749E-2</v>
      </c>
      <c r="BI762" s="30">
        <v>2.529621978616264E-2</v>
      </c>
      <c r="BJ762" s="30">
        <v>2.4042621283548577E-2</v>
      </c>
      <c r="BK762" s="30">
        <v>2.475540930594056E-2</v>
      </c>
      <c r="BL762" s="30">
        <v>3.0164886685170859E-2</v>
      </c>
      <c r="BM762" s="30">
        <v>2.8670012862136711E-2</v>
      </c>
      <c r="BN762" s="30">
        <v>2.8066696735073164E-2</v>
      </c>
      <c r="BO762" s="30">
        <v>2.6675802392051324E-2</v>
      </c>
      <c r="BP762" s="30"/>
      <c r="BQ762" s="207">
        <v>3.8235059760956189E-2</v>
      </c>
      <c r="BR762" s="207">
        <v>2.3776351351351348E-2</v>
      </c>
      <c r="BS762" s="207">
        <v>6.4323056300268092E-2</v>
      </c>
      <c r="BT762" s="207">
        <v>5.0510526315789471E-2</v>
      </c>
      <c r="BU762" s="207">
        <v>5.8030818641490234E-2</v>
      </c>
      <c r="BV762" s="207">
        <v>4.2508897545894063E-2</v>
      </c>
      <c r="BW762" s="207">
        <v>5.7608819121024661E-2</v>
      </c>
      <c r="BX762" s="207">
        <v>5.4577277239411311E-2</v>
      </c>
      <c r="BY762" s="207">
        <v>4.8142606859205322E-2</v>
      </c>
      <c r="BZ762" s="207">
        <v>4.5634551777209792E-2</v>
      </c>
      <c r="CA762" s="30">
        <v>5.0128698060402731E-2</v>
      </c>
      <c r="CB762" s="30">
        <v>5.5329062317996502E-2</v>
      </c>
      <c r="CC762" s="30">
        <v>5.3101997896950581E-2</v>
      </c>
      <c r="CD762" s="30">
        <v>4.583333333333333E-2</v>
      </c>
      <c r="CE762" s="30">
        <v>4.6537602382725245E-2</v>
      </c>
      <c r="CF762" s="30">
        <v>4.5791245791245792E-2</v>
      </c>
      <c r="CG762" s="30">
        <v>7.2533333333333325E-2</v>
      </c>
      <c r="CH762" s="30">
        <v>4.1820418204182044E-2</v>
      </c>
      <c r="CI762" s="30">
        <v>5.3209459459459457E-2</v>
      </c>
      <c r="CJ762" s="30">
        <v>7.1721311475409832E-2</v>
      </c>
      <c r="CK762" s="32">
        <v>5.8585858585858588E-2</v>
      </c>
      <c r="CL762" s="32">
        <v>5.3281351526965559E-2</v>
      </c>
      <c r="CM762" s="32">
        <v>5.7567917205692098E-2</v>
      </c>
      <c r="CN762" s="32">
        <v>6.6838995568685375E-2</v>
      </c>
      <c r="CO762" s="32">
        <v>5.7908070937386903E-2</v>
      </c>
      <c r="CP762" s="32">
        <v>5.4054054054054057E-2</v>
      </c>
      <c r="CQ762" s="32">
        <v>5.6777856635911998E-2</v>
      </c>
      <c r="CR762" s="32">
        <v>5.6100981767180924E-2</v>
      </c>
      <c r="CS762" s="32">
        <v>3.4843205574912897E-2</v>
      </c>
      <c r="CT762" s="32">
        <v>5.0444049733570161E-2</v>
      </c>
      <c r="CU762" s="32">
        <v>6.3785171929824566E-2</v>
      </c>
      <c r="CV762" s="31">
        <v>6.8199532346063907E-2</v>
      </c>
      <c r="CW762" s="30">
        <v>5.3664482683120962E-2</v>
      </c>
      <c r="CX762" s="30">
        <v>4.8477400797760591E-2</v>
      </c>
      <c r="CY762" s="30">
        <v>4.3791689970876783E-2</v>
      </c>
      <c r="CZ762" s="30">
        <v>3.9558888862580667E-2</v>
      </c>
      <c r="DA762" s="30">
        <v>3.6165765114188744E-2</v>
      </c>
      <c r="DB762" s="30">
        <v>3.46147147498903E-2</v>
      </c>
      <c r="DC762" s="30">
        <v>2.6701565329838344E-2</v>
      </c>
      <c r="DD762" s="30">
        <v>2.3803278178788998E-2</v>
      </c>
      <c r="DE762" s="30">
        <v>2.8670012862136711E-2</v>
      </c>
      <c r="DF762" s="30">
        <v>2.6675802392051324E-2</v>
      </c>
    </row>
    <row r="763" spans="1:110" ht="12" outlineLevel="1">
      <c r="A763" s="1" t="s">
        <v>974</v>
      </c>
      <c r="B763" s="15" t="s">
        <v>366</v>
      </c>
      <c r="C763" s="207">
        <v>7.444360246662178E-2</v>
      </c>
      <c r="D763" s="207">
        <v>6.527131108306862E-2</v>
      </c>
      <c r="E763" s="207">
        <v>7.7509919690034484E-2</v>
      </c>
      <c r="F763" s="207">
        <v>7.3515148548217821E-2</v>
      </c>
      <c r="G763" s="207">
        <v>8.4865629420084868E-2</v>
      </c>
      <c r="H763" s="207">
        <v>7.0825798673899931E-2</v>
      </c>
      <c r="I763" s="207">
        <v>8.1117620549797209E-2</v>
      </c>
      <c r="J763" s="207">
        <v>7.066648191769434E-2</v>
      </c>
      <c r="K763" s="207">
        <v>7.0238095238095224E-2</v>
      </c>
      <c r="L763" s="207">
        <v>6.0377358490566045E-2</v>
      </c>
      <c r="M763" s="30">
        <v>7.3396447186469524E-2</v>
      </c>
      <c r="N763" s="30">
        <v>5.9644059644059645E-2</v>
      </c>
      <c r="O763" s="30">
        <v>7.1188071188071189E-2</v>
      </c>
      <c r="P763" s="30">
        <v>7.8555590750712709E-2</v>
      </c>
      <c r="Q763" s="30">
        <v>0.11276190476190476</v>
      </c>
      <c r="R763" s="30">
        <v>8.3446712018140606E-2</v>
      </c>
      <c r="S763" s="30">
        <v>6.5600656006560079E-2</v>
      </c>
      <c r="T763" s="32">
        <v>5.8584948174853553E-2</v>
      </c>
      <c r="U763" s="30">
        <v>8.9285714285714288E-2</v>
      </c>
      <c r="V763" s="30">
        <v>7.6798464030719382E-2</v>
      </c>
      <c r="W763" s="30">
        <v>0.11124121779859486</v>
      </c>
      <c r="X763" s="30">
        <v>8.1071121483847194E-2</v>
      </c>
      <c r="Y763" s="32">
        <v>9.1197691197691194E-2</v>
      </c>
      <c r="Z763" s="32">
        <v>7.3106003705372777E-2</v>
      </c>
      <c r="AA763" s="32">
        <v>8.4470435347628325E-2</v>
      </c>
      <c r="AB763" s="32">
        <v>7.173105176734941E-2</v>
      </c>
      <c r="AC763" s="32">
        <v>8.7784143411569024E-2</v>
      </c>
      <c r="AD763" s="32">
        <v>6.7061759201497192E-2</v>
      </c>
      <c r="AE763" s="32">
        <v>0.10023211648027011</v>
      </c>
      <c r="AF763" s="32">
        <v>9.7430276458409459E-2</v>
      </c>
      <c r="AG763" s="32">
        <v>8.2725815624838439E-2</v>
      </c>
      <c r="AH763" s="32">
        <v>7.1832629972164858E-2</v>
      </c>
      <c r="AI763" s="32">
        <v>7.7220077220077232E-2</v>
      </c>
      <c r="AJ763" s="32">
        <v>8.5097330071269031E-2</v>
      </c>
      <c r="AK763" s="32">
        <v>8.1111223765588575E-2</v>
      </c>
      <c r="AL763" s="32">
        <v>8.7810767795400924E-2</v>
      </c>
      <c r="AM763" s="32">
        <v>7.2931276297335215E-2</v>
      </c>
      <c r="AN763" s="32">
        <v>4.2115902964959574E-2</v>
      </c>
      <c r="AO763" s="32">
        <v>5.8072009291521495E-2</v>
      </c>
      <c r="AP763" s="32">
        <v>7.0972320794889993E-2</v>
      </c>
      <c r="AQ763" s="32">
        <v>7.3077899010403471E-2</v>
      </c>
      <c r="AR763" s="32">
        <v>7.4534161490683232E-2</v>
      </c>
      <c r="AS763" s="32">
        <v>9.2731829573934832E-2</v>
      </c>
      <c r="AT763" s="32">
        <v>0.10092829107220735</v>
      </c>
      <c r="AU763" s="32">
        <v>9.0852911702483025E-2</v>
      </c>
      <c r="AV763" s="31">
        <v>7.2191448007774536E-2</v>
      </c>
      <c r="AW763" s="30">
        <v>6.8613874287704657E-2</v>
      </c>
      <c r="AX763" s="30">
        <v>6.7399524011437076E-2</v>
      </c>
      <c r="AY763" s="30">
        <v>6.4059422482755077E-2</v>
      </c>
      <c r="AZ763" s="30">
        <v>6.0884845538786897E-2</v>
      </c>
      <c r="BA763" s="30">
        <v>5.786759031865861E-2</v>
      </c>
      <c r="BB763" s="30">
        <v>5.4999860468642199E-2</v>
      </c>
      <c r="BC763" s="30">
        <v>5.2274245996981591E-2</v>
      </c>
      <c r="BD763" s="30">
        <v>5.0282302971952249E-2</v>
      </c>
      <c r="BE763" s="30">
        <v>4.7790475329463698E-2</v>
      </c>
      <c r="BF763" s="30">
        <v>4.8125833059144744E-2</v>
      </c>
      <c r="BG763" s="30">
        <v>4.5740873062355039E-2</v>
      </c>
      <c r="BH763" s="30">
        <v>3.9077846236224845E-2</v>
      </c>
      <c r="BI763" s="30">
        <v>3.3427147574572061E-2</v>
      </c>
      <c r="BJ763" s="30">
        <v>3.1770606696117761E-2</v>
      </c>
      <c r="BK763" s="30">
        <v>3.2712505154278593E-2</v>
      </c>
      <c r="BL763" s="30">
        <v>3.9860743119690067E-2</v>
      </c>
      <c r="BM763" s="30">
        <v>3.7885374139252082E-2</v>
      </c>
      <c r="BN763" s="30">
        <v>3.7088134971346678E-2</v>
      </c>
      <c r="BO763" s="30">
        <v>3.5250167446639245E-2</v>
      </c>
      <c r="BP763" s="30"/>
      <c r="BQ763" s="207">
        <v>4.7651156567758826E-2</v>
      </c>
      <c r="BR763" s="207">
        <v>2.3776351351351348E-2</v>
      </c>
      <c r="BS763" s="207">
        <v>6.4323056300268092E-2</v>
      </c>
      <c r="BT763" s="207">
        <v>5.4988623723487819E-2</v>
      </c>
      <c r="BU763" s="207">
        <v>8.3818263675302457E-2</v>
      </c>
      <c r="BV763" s="207">
        <v>6.6420152415459469E-2</v>
      </c>
      <c r="BW763" s="207">
        <v>7.8029862805335207E-2</v>
      </c>
      <c r="BX763" s="207">
        <v>7.9623994114575658E-2</v>
      </c>
      <c r="BY763" s="207">
        <v>7.5222823217508311E-2</v>
      </c>
      <c r="BZ763" s="207">
        <v>6.9143260268499693E-2</v>
      </c>
      <c r="CA763" s="30">
        <v>7.1612425800575322E-2</v>
      </c>
      <c r="CB763" s="30">
        <v>7.9041517597137859E-2</v>
      </c>
      <c r="CC763" s="30">
        <v>7.5859996995643678E-2</v>
      </c>
      <c r="CD763" s="30">
        <v>6.5476190476190466E-2</v>
      </c>
      <c r="CE763" s="30">
        <v>6.6482289118178925E-2</v>
      </c>
      <c r="CF763" s="30">
        <v>6.5416065416065414E-2</v>
      </c>
      <c r="CG763" s="30">
        <v>0.10361904761904761</v>
      </c>
      <c r="CH763" s="30">
        <v>5.9743454577402919E-2</v>
      </c>
      <c r="CI763" s="30">
        <v>7.6013513513513514E-2</v>
      </c>
      <c r="CJ763" s="30">
        <v>0.10245901639344263</v>
      </c>
      <c r="CK763" s="32">
        <v>8.3694083694083696E-2</v>
      </c>
      <c r="CL763" s="32">
        <v>7.6116216467093656E-2</v>
      </c>
      <c r="CM763" s="32">
        <v>8.2239881722417293E-2</v>
      </c>
      <c r="CN763" s="32">
        <v>9.548427938383626E-2</v>
      </c>
      <c r="CO763" s="32">
        <v>8.2725815624838439E-2</v>
      </c>
      <c r="CP763" s="32">
        <v>7.7220077220077232E-2</v>
      </c>
      <c r="CQ763" s="32">
        <v>8.1111223765588575E-2</v>
      </c>
      <c r="CR763" s="32">
        <v>7.6537767982368263E-2</v>
      </c>
      <c r="CS763" s="32">
        <v>4.9776007964161283E-2</v>
      </c>
      <c r="CT763" s="32">
        <v>7.2062928190814515E-2</v>
      </c>
      <c r="CU763" s="32">
        <v>9.1121674185463658E-2</v>
      </c>
      <c r="CV763" s="31">
        <v>9.0521656831087843E-2</v>
      </c>
      <c r="CW763" s="30">
        <v>6.8613874287704657E-2</v>
      </c>
      <c r="CX763" s="30">
        <v>6.4059422482755077E-2</v>
      </c>
      <c r="CY763" s="30">
        <v>5.786759031865861E-2</v>
      </c>
      <c r="CZ763" s="30">
        <v>5.2274245996981591E-2</v>
      </c>
      <c r="DA763" s="30">
        <v>4.7790475329463698E-2</v>
      </c>
      <c r="DB763" s="30">
        <v>4.5740873062355039E-2</v>
      </c>
      <c r="DC763" s="30">
        <v>3.5284211328714954E-2</v>
      </c>
      <c r="DD763" s="30">
        <v>3.1454331879114034E-2</v>
      </c>
      <c r="DE763" s="30">
        <v>3.7885374139252082E-2</v>
      </c>
      <c r="DF763" s="30">
        <v>3.5250167446639245E-2</v>
      </c>
    </row>
    <row r="764" spans="1:110" ht="12" outlineLevel="1">
      <c r="A764" s="1" t="s">
        <v>17</v>
      </c>
      <c r="B764" s="15" t="s">
        <v>367</v>
      </c>
      <c r="C764" s="207" t="e">
        <v>#VALUE!</v>
      </c>
      <c r="D764" s="207">
        <v>3.7685125943643788E-2</v>
      </c>
      <c r="E764" s="207">
        <v>4.446195859385782E-2</v>
      </c>
      <c r="F764" s="207">
        <v>3.9688904606871071E-2</v>
      </c>
      <c r="G764" s="207">
        <v>4.7709050771375466E-2</v>
      </c>
      <c r="H764" s="207">
        <v>-0.1735886826504498</v>
      </c>
      <c r="I764" s="207">
        <v>4.7883533334040565E-2</v>
      </c>
      <c r="J764" s="207">
        <v>4.7679769894024789E-2</v>
      </c>
      <c r="K764" s="207">
        <v>4.4071171516779008E-2</v>
      </c>
      <c r="L764" s="207">
        <v>4.0947235029699124E-2</v>
      </c>
      <c r="M764" s="30">
        <v>4.2590465929130926E-2</v>
      </c>
      <c r="N764" s="30">
        <v>3.5907876915696205E-2</v>
      </c>
      <c r="O764" s="30">
        <v>2.9762763552447162E-2</v>
      </c>
      <c r="P764" s="30">
        <v>-1.3104164889706806E-2</v>
      </c>
      <c r="Q764" s="30">
        <v>-3.9753250969737357E-2</v>
      </c>
      <c r="R764" s="30">
        <v>-3.5725053100213761E-2</v>
      </c>
      <c r="S764" s="30">
        <v>-0.12700357595428374</v>
      </c>
      <c r="T764" s="32">
        <v>3.5993050137753509E-2</v>
      </c>
      <c r="U764" s="30">
        <v>4.2572844201778495E-2</v>
      </c>
      <c r="V764" s="30">
        <v>3.0075371531880543E-2</v>
      </c>
      <c r="W764" s="30">
        <v>4.8059697161615574E-2</v>
      </c>
      <c r="X764" s="30">
        <v>2.8389428687299805E-2</v>
      </c>
      <c r="Y764" s="32">
        <v>3.7388273910531761E-2</v>
      </c>
      <c r="Z764" s="32">
        <v>-1.5611976982320456E-2</v>
      </c>
      <c r="AA764" s="32">
        <v>4.5621062875472955E-2</v>
      </c>
      <c r="AB764" s="32">
        <v>5.6925735311075747E-2</v>
      </c>
      <c r="AC764" s="32">
        <v>4.1054723985332615E-2</v>
      </c>
      <c r="AD764" s="32">
        <v>4.8769352917824527E-2</v>
      </c>
      <c r="AE764" s="32">
        <v>3.4934929264569758E-2</v>
      </c>
      <c r="AF764" s="32">
        <v>7.207620791115274E-2</v>
      </c>
      <c r="AG764" s="32">
        <v>5.3451003106273973E-2</v>
      </c>
      <c r="AH764" s="32">
        <v>4.3619336948671955E-2</v>
      </c>
      <c r="AI764" s="32">
        <v>5.2061996449542534E-2</v>
      </c>
      <c r="AJ764" s="32">
        <v>8.8167799795597357E-2</v>
      </c>
      <c r="AK764" s="32">
        <v>7.611388646763062E-2</v>
      </c>
      <c r="AL764" s="32">
        <v>9.1736572099600414E-2</v>
      </c>
      <c r="AM764" s="32">
        <v>5.4280718759996377E-2</v>
      </c>
      <c r="AN764" s="32">
        <v>9.4902874115628533E-2</v>
      </c>
      <c r="AO764" s="32">
        <v>2.477782820858928E-2</v>
      </c>
      <c r="AP764" s="32">
        <v>2.2226509735673795E-2</v>
      </c>
      <c r="AQ764" s="32">
        <v>6.4730135908254424E-2</v>
      </c>
      <c r="AR764" s="32">
        <v>7.3847611476128561E-2</v>
      </c>
      <c r="AS764" s="32">
        <v>5.405653872672949E-2</v>
      </c>
      <c r="AT764" s="32">
        <v>5.6106854601518763E-2</v>
      </c>
      <c r="AU764" s="32">
        <v>6.1700225440933197E-2</v>
      </c>
      <c r="AV764" s="31">
        <v>6.4212537378927181E-2</v>
      </c>
      <c r="AW764" s="30">
        <v>7.5707584608490142E-2</v>
      </c>
      <c r="AX764" s="30">
        <v>7.2169554836762323E-2</v>
      </c>
      <c r="AY764" s="30">
        <v>4.855975700960026E-2</v>
      </c>
      <c r="AZ764" s="30">
        <v>4.6153293151002826E-2</v>
      </c>
      <c r="BA764" s="30">
        <v>4.3866085826197172E-2</v>
      </c>
      <c r="BB764" s="30">
        <v>4.1692225068656587E-2</v>
      </c>
      <c r="BC764" s="30">
        <v>3.9626093790602696E-2</v>
      </c>
      <c r="BD764" s="30">
        <v>3.7662353268885805E-2</v>
      </c>
      <c r="BE764" s="30">
        <v>3.6227205607368515E-2</v>
      </c>
      <c r="BF764" s="30">
        <v>3.4431902946054228E-2</v>
      </c>
      <c r="BG764" s="30">
        <v>3.4673520229016631E-2</v>
      </c>
      <c r="BH764" s="30">
        <v>3.2955213169428607E-2</v>
      </c>
      <c r="BI764" s="30">
        <v>0</v>
      </c>
      <c r="BJ764" s="30">
        <v>0</v>
      </c>
      <c r="BK764" s="30">
        <v>2.2889967901691167E-2</v>
      </c>
      <c r="BL764" s="30">
        <v>2.3568583380462881E-2</v>
      </c>
      <c r="BM764" s="30">
        <v>2.8718719137924287E-2</v>
      </c>
      <c r="BN764" s="30">
        <v>2.7295512682073156E-2</v>
      </c>
      <c r="BO764" s="30">
        <v>2.6721120787770569E-2</v>
      </c>
      <c r="BP764" s="30"/>
      <c r="BQ764" s="207">
        <v>2.2353342348811537E-2</v>
      </c>
      <c r="BR764" s="207">
        <v>1.3031976871523064E-2</v>
      </c>
      <c r="BS764" s="207">
        <v>5.1939075289158934E-2</v>
      </c>
      <c r="BT764" s="207">
        <v>3.7211410431881593E-2</v>
      </c>
      <c r="BU764" s="207">
        <v>4.0723978263990997E-2</v>
      </c>
      <c r="BV764" s="207">
        <v>2.817743755763346E-2</v>
      </c>
      <c r="BW764" s="207">
        <v>3.6446176045239281E-2</v>
      </c>
      <c r="BX764" s="207">
        <v>3.9209616849777078E-2</v>
      </c>
      <c r="BY764" s="207">
        <v>8.2191788271808411E-2</v>
      </c>
      <c r="BZ764" s="207">
        <v>5.6852929319689827E-2</v>
      </c>
      <c r="CA764" s="30">
        <v>4.1212086123812587E-2</v>
      </c>
      <c r="CB764" s="30">
        <v>4.3629945664764587E-2</v>
      </c>
      <c r="CC764" s="30">
        <v>-6.0100673963267813E-2</v>
      </c>
      <c r="CD764" s="30">
        <v>4.2518935766245339E-2</v>
      </c>
      <c r="CE764" s="30">
        <v>4.1495583832490635E-2</v>
      </c>
      <c r="CF764" s="30">
        <v>3.2823046077035796E-2</v>
      </c>
      <c r="CG764" s="30">
        <v>-2.7956205646070827E-2</v>
      </c>
      <c r="CH764" s="30">
        <v>-7.7844674737708841E-2</v>
      </c>
      <c r="CI764" s="30">
        <v>4.0794191553367415E-2</v>
      </c>
      <c r="CJ764" s="30">
        <v>4.2686265452507949E-2</v>
      </c>
      <c r="CK764" s="32">
        <v>3.2073200936555676E-2</v>
      </c>
      <c r="CL764" s="32">
        <v>1.563502588575465E-2</v>
      </c>
      <c r="CM764" s="32">
        <v>5.094719645059026E-2</v>
      </c>
      <c r="CN764" s="32">
        <v>5.0340100812381029E-2</v>
      </c>
      <c r="CO764" s="32">
        <v>5.7323749768768473E-2</v>
      </c>
      <c r="CP764" s="32">
        <v>4.9479666927725971E-2</v>
      </c>
      <c r="CQ764" s="32">
        <v>8.0107565613217524E-2</v>
      </c>
      <c r="CR764" s="32">
        <v>6.907548074240713E-2</v>
      </c>
      <c r="CS764" s="32">
        <v>5.9120255317448502E-2</v>
      </c>
      <c r="CT764" s="32">
        <v>4.3488278000600455E-2</v>
      </c>
      <c r="CU764" s="32">
        <v>7.1638710472405762E-2</v>
      </c>
      <c r="CV764" s="31">
        <v>5.5923850569182837E-2</v>
      </c>
      <c r="CW764" s="30">
        <v>6.8350057613634455E-2</v>
      </c>
      <c r="CX764" s="30">
        <v>5.8602721315141597E-2</v>
      </c>
      <c r="CY764" s="30">
        <v>4.3866085826197165E-2</v>
      </c>
      <c r="CZ764" s="30">
        <v>3.9626093790602689E-2</v>
      </c>
      <c r="DA764" s="30">
        <v>3.6011567478753226E-2</v>
      </c>
      <c r="DB764" s="30">
        <v>3.3699544941684693E-2</v>
      </c>
      <c r="DC764" s="30">
        <v>1.5604965004247458E-2</v>
      </c>
      <c r="DD764" s="30">
        <v>1.1480026760178568E-2</v>
      </c>
      <c r="DE764" s="30">
        <v>2.5559660032752615E-2</v>
      </c>
      <c r="DF764" s="30">
        <v>2.6331978252026329E-2</v>
      </c>
    </row>
    <row r="765" spans="1:110" ht="12" outlineLevel="1">
      <c r="A765" s="1" t="s">
        <v>18</v>
      </c>
      <c r="B765" s="15" t="s">
        <v>717</v>
      </c>
      <c r="C765" s="207" t="e">
        <v>#VALUE!</v>
      </c>
      <c r="D765" s="207">
        <v>5.1134005264781665E-2</v>
      </c>
      <c r="E765" s="207">
        <v>6.0510683224114271E-2</v>
      </c>
      <c r="F765" s="207">
        <v>5.4248935341863661E-2</v>
      </c>
      <c r="G765" s="207">
        <v>6.4606006252904274E-2</v>
      </c>
      <c r="H765" s="207">
        <v>-0.15835253513680661</v>
      </c>
      <c r="I765" s="207">
        <v>6.4735522607897222E-2</v>
      </c>
      <c r="J765" s="207">
        <v>6.2223163992280339E-2</v>
      </c>
      <c r="K765" s="207">
        <v>5.859410679381085E-2</v>
      </c>
      <c r="L765" s="207">
        <v>5.3417154084610514E-2</v>
      </c>
      <c r="M765" s="30">
        <v>5.5663695370136525E-2</v>
      </c>
      <c r="N765" s="30">
        <v>4.6485917467672458E-2</v>
      </c>
      <c r="O765" s="30">
        <v>4.2381345674613609E-2</v>
      </c>
      <c r="P765" s="30">
        <v>7.9561001116077053E-4</v>
      </c>
      <c r="Q765" s="30">
        <v>-1.8929077962245546E-2</v>
      </c>
      <c r="R765" s="30">
        <v>-2.0834001235092027E-2</v>
      </c>
      <c r="S765" s="30">
        <v>-0.1145238201036891</v>
      </c>
      <c r="T765" s="32">
        <v>4.640330629951063E-2</v>
      </c>
      <c r="U765" s="30">
        <v>5.8591198056371203E-2</v>
      </c>
      <c r="V765" s="30">
        <v>4.3767075724056102E-2</v>
      </c>
      <c r="W765" s="30">
        <v>6.8011258303688343E-2</v>
      </c>
      <c r="X765" s="30">
        <v>4.2814101584381439E-2</v>
      </c>
      <c r="Y765" s="32">
        <v>5.3781097402005623E-2</v>
      </c>
      <c r="Z765" s="32">
        <v>-1.5837585716988227E-2</v>
      </c>
      <c r="AA765" s="32">
        <v>5.7670740996838082E-2</v>
      </c>
      <c r="AB765" s="32">
        <v>7.0925113369935094E-2</v>
      </c>
      <c r="AC765" s="32">
        <v>5.4662648042055E-2</v>
      </c>
      <c r="AD765" s="32">
        <v>6.1927635683094187E-2</v>
      </c>
      <c r="AE765" s="32">
        <v>5.0766153184787464E-2</v>
      </c>
      <c r="AF765" s="32">
        <v>9.2559434244205152E-2</v>
      </c>
      <c r="AG765" s="32">
        <v>6.8090540302557123E-2</v>
      </c>
      <c r="AH765" s="32">
        <v>5.6333837756071932E-2</v>
      </c>
      <c r="AI765" s="32">
        <v>6.5757804389512703E-2</v>
      </c>
      <c r="AJ765" s="32">
        <v>0.10327791519804898</v>
      </c>
      <c r="AK765" s="32">
        <v>9.0531799074564615E-2</v>
      </c>
      <c r="AL765" s="32">
        <v>0.10732452788644543</v>
      </c>
      <c r="AM765" s="32">
        <v>6.4216321007545318E-2</v>
      </c>
      <c r="AN765" s="32">
        <v>0.11877083387690512</v>
      </c>
      <c r="AO765" s="32">
        <v>3.2098656732281267E-2</v>
      </c>
      <c r="AP765" s="32">
        <v>2.8481934635410114E-2</v>
      </c>
      <c r="AQ765" s="32">
        <v>7.7313571344181251E-2</v>
      </c>
      <c r="AR765" s="32">
        <v>8.6963245456539301E-2</v>
      </c>
      <c r="AS765" s="32">
        <v>6.9603703582099358E-2</v>
      </c>
      <c r="AT765" s="32">
        <v>7.2474475069385064E-2</v>
      </c>
      <c r="AU765" s="32">
        <v>7.0684029764372269E-2</v>
      </c>
      <c r="AV765" s="31">
        <v>7.4759570496451863E-2</v>
      </c>
      <c r="AW765" s="30">
        <v>8.4742248651035315E-2</v>
      </c>
      <c r="AX765" s="30">
        <v>8.2075418339389736E-2</v>
      </c>
      <c r="AY765" s="30">
        <v>5.7924853004308885E-2</v>
      </c>
      <c r="AZ765" s="30">
        <v>5.5054285401553375E-2</v>
      </c>
      <c r="BA765" s="30">
        <v>5.2325973806963771E-2</v>
      </c>
      <c r="BB765" s="30">
        <v>4.9732868474754645E-2</v>
      </c>
      <c r="BC765" s="30">
        <v>4.7268269021647498E-2</v>
      </c>
      <c r="BD765" s="30">
        <v>4.4925807113599503E-2</v>
      </c>
      <c r="BE765" s="30">
        <v>4.3213880974503877E-2</v>
      </c>
      <c r="BF765" s="30">
        <v>4.1072341371364694E-2</v>
      </c>
      <c r="BG765" s="30">
        <v>4.1360556273184121E-2</v>
      </c>
      <c r="BH765" s="30">
        <v>3.9310861423532691E-2</v>
      </c>
      <c r="BI765" s="30">
        <v>5.3909839318829287E-3</v>
      </c>
      <c r="BJ765" s="30">
        <v>4.6162170259759694E-3</v>
      </c>
      <c r="BK765" s="30">
        <v>2.7304461711303032E-2</v>
      </c>
      <c r="BL765" s="30">
        <v>2.8113953032409295E-2</v>
      </c>
      <c r="BM765" s="30">
        <v>3.4257329257381113E-2</v>
      </c>
      <c r="BN765" s="30">
        <v>3.255964727075869E-2</v>
      </c>
      <c r="BO765" s="30">
        <v>3.1874479796840605E-2</v>
      </c>
      <c r="BP765" s="30"/>
      <c r="BQ765" s="207">
        <v>3.458306881444468E-2</v>
      </c>
      <c r="BR765" s="207">
        <v>1.3031976871523064E-2</v>
      </c>
      <c r="BS765" s="207">
        <v>5.1939075289158934E-2</v>
      </c>
      <c r="BT765" s="207">
        <v>4.0108320212863827E-2</v>
      </c>
      <c r="BU765" s="207">
        <v>5.7888568179131905E-2</v>
      </c>
      <c r="BV765" s="207">
        <v>4.4410978392646371E-2</v>
      </c>
      <c r="BW765" s="207">
        <v>4.9930272357596256E-2</v>
      </c>
      <c r="BX765" s="207">
        <v>5.5614531185457602E-2</v>
      </c>
      <c r="BY765" s="207">
        <v>0.10028661812964272</v>
      </c>
      <c r="BZ765" s="207">
        <v>7.2897590005167504E-2</v>
      </c>
      <c r="CA765" s="30">
        <v>5.6010613416455045E-2</v>
      </c>
      <c r="CB765" s="30">
        <v>5.933229666797174E-2</v>
      </c>
      <c r="CC765" s="30">
        <v>-4.4061973396738952E-2</v>
      </c>
      <c r="CD765" s="30">
        <v>5.6028579354950807E-2</v>
      </c>
      <c r="CE765" s="30">
        <v>5.4183991872026362E-2</v>
      </c>
      <c r="CF765" s="30">
        <v>4.4424824516790973E-2</v>
      </c>
      <c r="CG765" s="30">
        <v>-9.1384152432510135E-3</v>
      </c>
      <c r="CH765" s="30">
        <v>-6.672084314340751E-2</v>
      </c>
      <c r="CI765" s="30">
        <v>5.4464861756735976E-2</v>
      </c>
      <c r="CJ765" s="30">
        <v>6.114295553290211E-2</v>
      </c>
      <c r="CK765" s="32">
        <v>4.7058178408859945E-2</v>
      </c>
      <c r="CL765" s="32">
        <v>2.1567469622602493E-2</v>
      </c>
      <c r="CM765" s="32">
        <v>6.5235003548649431E-2</v>
      </c>
      <c r="CN765" s="32">
        <v>6.7149575298275838E-2</v>
      </c>
      <c r="CO765" s="32">
        <v>7.3338675769466788E-2</v>
      </c>
      <c r="CP765" s="32">
        <v>6.3161861873589575E-2</v>
      </c>
      <c r="CQ765" s="32">
        <v>9.4518127080715775E-2</v>
      </c>
      <c r="CR765" s="32">
        <v>8.1167204693255293E-2</v>
      </c>
      <c r="CS765" s="32">
        <v>7.4533603927919995E-2</v>
      </c>
      <c r="CT765" s="32">
        <v>5.2910708437367761E-2</v>
      </c>
      <c r="CU765" s="32">
        <v>8.7350949806474038E-2</v>
      </c>
      <c r="CV765" s="31">
        <v>6.7725809140599391E-2</v>
      </c>
      <c r="CW765" s="30">
        <v>7.7880843690105922E-2</v>
      </c>
      <c r="CX765" s="30">
        <v>6.7992747732643341E-2</v>
      </c>
      <c r="CY765" s="30">
        <v>5.2325973806963764E-2</v>
      </c>
      <c r="CZ765" s="30">
        <v>4.7268269021647498E-2</v>
      </c>
      <c r="DA765" s="30">
        <v>4.2956655492512777E-2</v>
      </c>
      <c r="DB765" s="30">
        <v>4.0198742894723895E-2</v>
      </c>
      <c r="DC765" s="30">
        <v>2.1319688544727485E-2</v>
      </c>
      <c r="DD765" s="30">
        <v>1.5881077918341386E-2</v>
      </c>
      <c r="DE765" s="30">
        <v>3.0489023039069186E-2</v>
      </c>
      <c r="DF765" s="30">
        <v>3.1410288343488552E-2</v>
      </c>
    </row>
    <row r="766" spans="1:110" ht="12" outlineLevel="1">
      <c r="A766" s="1" t="s">
        <v>19</v>
      </c>
      <c r="B766" s="15" t="s">
        <v>718</v>
      </c>
      <c r="C766" s="207">
        <v>5.5818851061942627E-2</v>
      </c>
      <c r="D766" s="207">
        <v>5.7718224852568632E-2</v>
      </c>
      <c r="E766" s="207">
        <v>5.9875961271042923E-2</v>
      </c>
      <c r="F766" s="207">
        <v>5.8700484503893521E-2</v>
      </c>
      <c r="G766" s="207">
        <v>6.2925292964310195E-2</v>
      </c>
      <c r="H766" s="207">
        <v>5.3261800685158296E-2</v>
      </c>
      <c r="I766" s="207">
        <v>5.748760201989675E-2</v>
      </c>
      <c r="J766" s="207">
        <v>6.0821080758834196E-2</v>
      </c>
      <c r="K766" s="207">
        <v>5.1691328254872909E-2</v>
      </c>
      <c r="L766" s="207">
        <v>5.1914407070002409E-2</v>
      </c>
      <c r="M766" s="30">
        <v>5.5292909833463959E-2</v>
      </c>
      <c r="N766" s="30">
        <v>5.1851778719719625E-2</v>
      </c>
      <c r="O766" s="30">
        <v>5.1466496655953882E-2</v>
      </c>
      <c r="P766" s="30">
        <v>6.3837313664917877E-2</v>
      </c>
      <c r="Q766" s="30">
        <v>4.2713255070829292E-2</v>
      </c>
      <c r="R766" s="30">
        <v>1.207197298557321E-2</v>
      </c>
      <c r="S766" s="30">
        <v>6.1790219576121783E-2</v>
      </c>
      <c r="T766" s="32">
        <v>5.4105827105216539E-2</v>
      </c>
      <c r="U766" s="30">
        <v>6.8788482120204927E-2</v>
      </c>
      <c r="V766" s="30">
        <v>5.6279572144950135E-2</v>
      </c>
      <c r="W766" s="30">
        <v>6.6869262484324413E-2</v>
      </c>
      <c r="X766" s="30">
        <v>5.9222023640752033E-2</v>
      </c>
      <c r="Y766" s="32">
        <v>6.2105780856812093E-2</v>
      </c>
      <c r="Z766" s="32">
        <v>5.4486558332964972E-2</v>
      </c>
      <c r="AA766" s="32">
        <v>5.2182527132918675E-2</v>
      </c>
      <c r="AB766" s="32">
        <v>4.9882866484646231E-2</v>
      </c>
      <c r="AC766" s="32">
        <v>5.4302272720504398E-2</v>
      </c>
      <c r="AD766" s="32">
        <v>4.5301572052401741E-2</v>
      </c>
      <c r="AE766" s="32">
        <v>5.5351811663019522E-2</v>
      </c>
      <c r="AF766" s="32">
        <v>3.6101570979256786E-2</v>
      </c>
      <c r="AG766" s="32">
        <v>3.6611997975126834E-2</v>
      </c>
      <c r="AH766" s="32">
        <v>3.7983434841986963E-2</v>
      </c>
      <c r="AI766" s="32">
        <v>4.1781664396883564E-2</v>
      </c>
      <c r="AJ766" s="32">
        <v>4.6610458569815938E-2</v>
      </c>
      <c r="AK766" s="32">
        <v>3.3305821360437589E-2</v>
      </c>
      <c r="AL766" s="32">
        <v>5.1087879158164859E-2</v>
      </c>
      <c r="AM766" s="32">
        <v>2.8621647973527262E-2</v>
      </c>
      <c r="AN766" s="32">
        <v>-1.9699237044216233E-2</v>
      </c>
      <c r="AO766" s="32">
        <v>2.2217474505912056E-2</v>
      </c>
      <c r="AP766" s="32">
        <v>3.1894736449973371E-2</v>
      </c>
      <c r="AQ766" s="32">
        <v>3.6556226608541374E-2</v>
      </c>
      <c r="AR766" s="32">
        <v>3.258242564975411E-2</v>
      </c>
      <c r="AS766" s="32">
        <v>4.5726940933118826E-2</v>
      </c>
      <c r="AT766" s="32">
        <v>5.5720527154486832E-2</v>
      </c>
      <c r="AU766" s="32">
        <v>4.357623755194704E-2</v>
      </c>
      <c r="AV766" s="31">
        <v>3.7348269264724517E-2</v>
      </c>
      <c r="AW766" s="30">
        <v>2.9416524236928965E-2</v>
      </c>
      <c r="AX766" s="30">
        <v>2.884417540526742E-2</v>
      </c>
      <c r="AY766" s="30">
        <v>2.6488718921374589E-2</v>
      </c>
      <c r="AZ766" s="30">
        <v>2.6333549679438756E-2</v>
      </c>
      <c r="BA766" s="30">
        <v>2.2702347597999828E-2</v>
      </c>
      <c r="BB766" s="30">
        <v>2.3972122603641729E-2</v>
      </c>
      <c r="BC766" s="30">
        <v>2.0075614138466969E-2</v>
      </c>
      <c r="BD766" s="30">
        <v>2.2501224764730581E-2</v>
      </c>
      <c r="BE766" s="30">
        <v>1.9229657358012506E-2</v>
      </c>
      <c r="BF766" s="30">
        <v>2.16992517135907E-2</v>
      </c>
      <c r="BG766" s="30">
        <v>1.8895359832344267E-2</v>
      </c>
      <c r="BH766" s="30">
        <v>1.4104523321567218E-2</v>
      </c>
      <c r="BI766" s="30">
        <v>4.5376950272039635E-3</v>
      </c>
      <c r="BJ766" s="30">
        <v>7.2520676238269598E-3</v>
      </c>
      <c r="BK766" s="30">
        <v>1.129662256962507E-2</v>
      </c>
      <c r="BL766" s="30">
        <v>1.7603918758523025E-2</v>
      </c>
      <c r="BM766" s="30">
        <v>1.52020195444368E-2</v>
      </c>
      <c r="BN766" s="30">
        <v>1.6755848607470768E-2</v>
      </c>
      <c r="BO766" s="30">
        <v>1.4342567897919456E-2</v>
      </c>
      <c r="BP766" s="30"/>
      <c r="BQ766" s="207">
        <v>-0.28661994278694924</v>
      </c>
      <c r="BR766" s="207">
        <v>3.9652942529239128E-2</v>
      </c>
      <c r="BS766" s="207">
        <v>0.11065077343300049</v>
      </c>
      <c r="BT766" s="207">
        <v>8.6626401998535996E-2</v>
      </c>
      <c r="BU766" s="207">
        <v>8.777538559625675E-2</v>
      </c>
      <c r="BV766" s="207">
        <v>5.6871323055007465E-2</v>
      </c>
      <c r="BW766" s="207">
        <v>6.8586320049620675E-2</v>
      </c>
      <c r="BX766" s="207">
        <v>7.352123109806695E-2</v>
      </c>
      <c r="BY766" s="207">
        <v>6.6106225316481526E-2</v>
      </c>
      <c r="BZ766" s="207">
        <v>6.2414293758712866E-2</v>
      </c>
      <c r="CA766" s="30">
        <v>6.9667337405208321E-2</v>
      </c>
      <c r="CB766" s="30">
        <v>7.1670933890689334E-2</v>
      </c>
      <c r="CC766" s="30">
        <v>6.6373666990463487E-2</v>
      </c>
      <c r="CD766" s="30">
        <v>6.1547450397443866E-2</v>
      </c>
      <c r="CE766" s="30">
        <v>6.2641285852133563E-2</v>
      </c>
      <c r="CF766" s="30">
        <v>6.078208830710858E-2</v>
      </c>
      <c r="CG766" s="30">
        <v>7.4405482969826298E-2</v>
      </c>
      <c r="CH766" s="30">
        <v>4.9730171680542876E-2</v>
      </c>
      <c r="CI766" s="30">
        <v>7.4637396183494686E-2</v>
      </c>
      <c r="CJ766" s="30">
        <v>8.8109627593679768E-2</v>
      </c>
      <c r="CK766" s="32">
        <v>7.5106956341986192E-2</v>
      </c>
      <c r="CL766" s="32">
        <v>6.4049008859903681E-2</v>
      </c>
      <c r="CM766" s="32">
        <v>6.8768009668224842E-2</v>
      </c>
      <c r="CN766" s="32">
        <v>7.68562865538686E-2</v>
      </c>
      <c r="CO766" s="32">
        <v>5.2985825130607365E-2</v>
      </c>
      <c r="CP766" s="32">
        <v>5.9642571169447191E-2</v>
      </c>
      <c r="CQ766" s="32">
        <v>5.9225769789826049E-2</v>
      </c>
      <c r="CR766" s="32">
        <v>5.8195121941593986E-2</v>
      </c>
      <c r="CS766" s="32">
        <v>4.009566075788229E-2</v>
      </c>
      <c r="CT766" s="32">
        <v>5.569551647742696E-2</v>
      </c>
      <c r="CU766" s="32">
        <v>7.0933019114951562E-2</v>
      </c>
      <c r="CV766" s="31">
        <v>7.1596587056206987E-2</v>
      </c>
      <c r="CW766" s="30">
        <v>5.3028759153224296E-2</v>
      </c>
      <c r="CX766" s="30">
        <v>4.692461479365688E-2</v>
      </c>
      <c r="CY766" s="30">
        <v>4.2378553008045064E-2</v>
      </c>
      <c r="CZ766" s="30">
        <v>3.8660803614814825E-2</v>
      </c>
      <c r="DA766" s="30">
        <v>3.6482152127527284E-2</v>
      </c>
      <c r="DB766" s="30">
        <v>3.494605446994431E-2</v>
      </c>
      <c r="DC766" s="30">
        <v>2.3553607675428131E-2</v>
      </c>
      <c r="DD766" s="30">
        <v>2.2564420380591577E-2</v>
      </c>
      <c r="DE766" s="30">
        <v>2.832226538860495E-2</v>
      </c>
      <c r="DF766" s="30">
        <v>2.6667794493002894E-2</v>
      </c>
    </row>
    <row r="767" spans="1:110" ht="12" outlineLevel="1">
      <c r="A767" s="1" t="s">
        <v>27</v>
      </c>
      <c r="B767" s="15" t="s">
        <v>586</v>
      </c>
      <c r="C767" s="207">
        <v>7.815193180192917E-2</v>
      </c>
      <c r="D767" s="207">
        <v>7.7299618177489218E-2</v>
      </c>
      <c r="E767" s="207">
        <v>8.3128937178053267E-2</v>
      </c>
      <c r="F767" s="207">
        <v>8.0755029068358866E-2</v>
      </c>
      <c r="G767" s="207">
        <v>8.8384981790335659E-2</v>
      </c>
      <c r="H767" s="207">
        <v>7.4509540287328271E-2</v>
      </c>
      <c r="I767" s="207">
        <v>8.1822888184835921E-2</v>
      </c>
      <c r="J767" s="207">
        <v>8.2021025334142503E-2</v>
      </c>
      <c r="K767" s="207">
        <v>7.2762756826301483E-2</v>
      </c>
      <c r="L767" s="207">
        <v>7.0027614617172218E-2</v>
      </c>
      <c r="M767" s="30">
        <v>7.7311843989404813E-2</v>
      </c>
      <c r="N767" s="30">
        <v>6.9744996612937524E-2</v>
      </c>
      <c r="O767" s="30">
        <v>7.2822918012375226E-2</v>
      </c>
      <c r="P767" s="30">
        <v>8.7403990890131691E-2</v>
      </c>
      <c r="Q767" s="30">
        <v>7.6541826499400722E-2</v>
      </c>
      <c r="R767" s="30">
        <v>3.710598659101539E-2</v>
      </c>
      <c r="S767" s="30">
        <v>8.1470416378089813E-2</v>
      </c>
      <c r="T767" s="32">
        <v>7.1681311557672614E-2</v>
      </c>
      <c r="U767" s="30">
        <v>9.5574196405919229E-2</v>
      </c>
      <c r="V767" s="30">
        <v>7.9319111354165944E-2</v>
      </c>
      <c r="W767" s="30">
        <v>0.10024162782390288</v>
      </c>
      <c r="X767" s="30">
        <v>8.3543360085906196E-2</v>
      </c>
      <c r="Y767" s="32">
        <v>8.9465088216119454E-2</v>
      </c>
      <c r="Z767" s="32">
        <v>7.6418359444576825E-2</v>
      </c>
      <c r="AA767" s="32">
        <v>7.752365773720718E-2</v>
      </c>
      <c r="AB767" s="32">
        <v>7.1402182014851046E-2</v>
      </c>
      <c r="AC767" s="32">
        <v>8.0637515743975111E-2</v>
      </c>
      <c r="AD767" s="32">
        <v>6.5420099812850893E-2</v>
      </c>
      <c r="AE767" s="32">
        <v>8.5421446607100535E-2</v>
      </c>
      <c r="AF767" s="32">
        <v>6.5330653916779627E-2</v>
      </c>
      <c r="AG767" s="32">
        <v>6.1429742662578377E-2</v>
      </c>
      <c r="AH767" s="32">
        <v>5.9533223833636427E-2</v>
      </c>
      <c r="AI767" s="32">
        <v>6.4947687562906725E-2</v>
      </c>
      <c r="AJ767" s="32">
        <v>7.2139657591196643E-2</v>
      </c>
      <c r="AK767" s="32">
        <v>5.7639188490114159E-2</v>
      </c>
      <c r="AL767" s="32">
        <v>7.7431109496785139E-2</v>
      </c>
      <c r="AM767" s="32">
        <v>4.5451942503681543E-2</v>
      </c>
      <c r="AN767" s="32">
        <v>-7.0644661547283622E-3</v>
      </c>
      <c r="AO767" s="32">
        <v>3.9639077293368498E-2</v>
      </c>
      <c r="AP767" s="32">
        <v>5.3186432688440359E-2</v>
      </c>
      <c r="AQ767" s="32">
        <v>5.8479596311662413E-2</v>
      </c>
      <c r="AR767" s="32">
        <v>5.4942674096959077E-2</v>
      </c>
      <c r="AS767" s="32">
        <v>7.3546489805299264E-2</v>
      </c>
      <c r="AT767" s="32">
        <v>8.5999014476149035E-2</v>
      </c>
      <c r="AU767" s="32">
        <v>6.1163365934087111E-2</v>
      </c>
      <c r="AV767" s="31">
        <v>5.3077132238485446E-2</v>
      </c>
      <c r="AW767" s="30">
        <v>4.4365915841512671E-2</v>
      </c>
      <c r="AX767" s="30">
        <v>4.5238654218860225E-2</v>
      </c>
      <c r="AY767" s="30">
        <v>4.2070740606369068E-2</v>
      </c>
      <c r="AZ767" s="30">
        <v>4.1143376972657193E-2</v>
      </c>
      <c r="BA767" s="30">
        <v>3.6778247945781654E-2</v>
      </c>
      <c r="BB767" s="30">
        <v>3.73504670419601E-2</v>
      </c>
      <c r="BC767" s="30">
        <v>3.2790971272867897E-2</v>
      </c>
      <c r="BD767" s="30">
        <v>3.4732055217367622E-2</v>
      </c>
      <c r="BE767" s="30">
        <v>3.0854367573287463E-2</v>
      </c>
      <c r="BF767" s="30">
        <v>3.3405535430679964E-2</v>
      </c>
      <c r="BG767" s="30">
        <v>3.0021518144809006E-2</v>
      </c>
      <c r="BH767" s="30">
        <v>2.3609945379027317E-2</v>
      </c>
      <c r="BI767" s="30">
        <v>1.2668622815613385E-2</v>
      </c>
      <c r="BJ767" s="30">
        <v>1.4980053036396145E-2</v>
      </c>
      <c r="BK767" s="30">
        <v>1.9253718417963108E-2</v>
      </c>
      <c r="BL767" s="30">
        <v>2.729977519304223E-2</v>
      </c>
      <c r="BM767" s="30">
        <v>2.4417380821552172E-2</v>
      </c>
      <c r="BN767" s="30">
        <v>2.5777286843744283E-2</v>
      </c>
      <c r="BO767" s="30">
        <v>2.2916932952507383E-2</v>
      </c>
      <c r="BP767" s="30"/>
      <c r="BQ767" s="207">
        <v>-0.27720384598014658</v>
      </c>
      <c r="BR767" s="207">
        <v>3.9652942529239128E-2</v>
      </c>
      <c r="BS767" s="207">
        <v>0.11065077343300049</v>
      </c>
      <c r="BT767" s="207">
        <v>9.1104499406234343E-2</v>
      </c>
      <c r="BU767" s="207">
        <v>0.11356283063006896</v>
      </c>
      <c r="BV767" s="207">
        <v>8.0782577924572871E-2</v>
      </c>
      <c r="BW767" s="207">
        <v>8.9007363733931213E-2</v>
      </c>
      <c r="BX767" s="207">
        <v>9.856794797323129E-2</v>
      </c>
      <c r="BY767" s="207">
        <v>9.3186441674784501E-2</v>
      </c>
      <c r="BZ767" s="207">
        <v>8.5923002250002767E-2</v>
      </c>
      <c r="CA767" s="30">
        <v>9.1151065145380919E-2</v>
      </c>
      <c r="CB767" s="30">
        <v>9.538338916983069E-2</v>
      </c>
      <c r="CC767" s="30">
        <v>8.9131666089156597E-2</v>
      </c>
      <c r="CD767" s="30">
        <v>8.1190307540301015E-2</v>
      </c>
      <c r="CE767" s="30">
        <v>8.258597258758725E-2</v>
      </c>
      <c r="CF767" s="30">
        <v>8.0406907931928215E-2</v>
      </c>
      <c r="CG767" s="30">
        <v>0.10549119725554058</v>
      </c>
      <c r="CH767" s="30">
        <v>6.765320805376375E-2</v>
      </c>
      <c r="CI767" s="30">
        <v>9.7441450237548757E-2</v>
      </c>
      <c r="CJ767" s="30">
        <v>0.11884733251171255</v>
      </c>
      <c r="CK767" s="32">
        <v>0.1002151814502113</v>
      </c>
      <c r="CL767" s="32">
        <v>8.6883873800031777E-2</v>
      </c>
      <c r="CM767" s="32">
        <v>9.3439974184950036E-2</v>
      </c>
      <c r="CN767" s="32">
        <v>0.10550157036901948</v>
      </c>
      <c r="CO767" s="32">
        <v>7.7803569818058901E-2</v>
      </c>
      <c r="CP767" s="32">
        <v>8.2808594335470359E-2</v>
      </c>
      <c r="CQ767" s="32">
        <v>8.3559136919502619E-2</v>
      </c>
      <c r="CR767" s="32">
        <v>7.8631908156781324E-2</v>
      </c>
      <c r="CS767" s="32">
        <v>5.5028463147130682E-2</v>
      </c>
      <c r="CT767" s="32">
        <v>7.7314394934671307E-2</v>
      </c>
      <c r="CU767" s="32">
        <v>9.8269521370590668E-2</v>
      </c>
      <c r="CV767" s="31">
        <v>9.3918711541230923E-2</v>
      </c>
      <c r="CW767" s="30">
        <v>6.7978150757807998E-2</v>
      </c>
      <c r="CX767" s="30">
        <v>6.2506636478651359E-2</v>
      </c>
      <c r="CY767" s="30">
        <v>5.645445335582689E-2</v>
      </c>
      <c r="CZ767" s="30">
        <v>5.1376160749215749E-2</v>
      </c>
      <c r="DA767" s="30">
        <v>4.8106862342802245E-2</v>
      </c>
      <c r="DB767" s="30">
        <v>4.6072212782409049E-2</v>
      </c>
      <c r="DC767" s="30">
        <v>3.2136253674304741E-2</v>
      </c>
      <c r="DD767" s="30">
        <v>3.0215474080916609E-2</v>
      </c>
      <c r="DE767" s="30">
        <v>3.7537626665720317E-2</v>
      </c>
      <c r="DF767" s="30">
        <v>3.5242159547590815E-2</v>
      </c>
    </row>
    <row r="768" spans="1:110" s="86" customFormat="1" ht="12" outlineLevel="1">
      <c r="A768" s="1" t="s">
        <v>975</v>
      </c>
      <c r="B768" s="86" t="s">
        <v>587</v>
      </c>
      <c r="C768" s="85">
        <v>2.5353263164447406</v>
      </c>
      <c r="D768" s="85">
        <v>2.7224642413903402</v>
      </c>
      <c r="E768" s="85">
        <v>2.5315856531817729</v>
      </c>
      <c r="F768" s="85">
        <v>2.3018621510273065</v>
      </c>
      <c r="G768" s="85">
        <v>2.2605631597162144</v>
      </c>
      <c r="H768" s="85">
        <v>2.1775579268292682</v>
      </c>
      <c r="I768" s="85">
        <v>2.0301695233622916</v>
      </c>
      <c r="J768" s="85">
        <v>2.2042152366430123</v>
      </c>
      <c r="K768" s="85">
        <v>2.4830680337619668</v>
      </c>
      <c r="L768" s="85">
        <v>2.7086551897602149</v>
      </c>
      <c r="M768" s="85">
        <v>2.5962357770643649</v>
      </c>
      <c r="N768" s="85">
        <v>2.7384210526315793</v>
      </c>
      <c r="O768" s="85">
        <v>2.6198774776479494</v>
      </c>
      <c r="P768" s="85">
        <v>1.8803736654804275</v>
      </c>
      <c r="Q768" s="85">
        <v>1.493544830008978</v>
      </c>
      <c r="R768" s="85">
        <v>1.2394280557176194</v>
      </c>
      <c r="S768" s="85">
        <v>1.9396296002286222</v>
      </c>
      <c r="T768" s="85">
        <v>2.0302584844846105</v>
      </c>
      <c r="U768" s="85">
        <v>1.8246145695364235</v>
      </c>
      <c r="V768" s="85">
        <v>1.8081922255696277</v>
      </c>
      <c r="W768" s="85">
        <v>1.3856643715404349</v>
      </c>
      <c r="X768" s="85">
        <v>1.6178690652337566</v>
      </c>
      <c r="Y768" s="85">
        <v>1.6688746898263029</v>
      </c>
      <c r="Z768" s="85">
        <v>1.8826273118641621</v>
      </c>
      <c r="AA768" s="85">
        <v>1.8905548690396241</v>
      </c>
      <c r="AB768" s="85">
        <v>1.9678947071583512</v>
      </c>
      <c r="AC768" s="85">
        <v>1.763366269447203</v>
      </c>
      <c r="AD768" s="85">
        <v>1.9506166756486258</v>
      </c>
      <c r="AE768" s="85">
        <v>1.3730870787988889</v>
      </c>
      <c r="AF768" s="85">
        <v>1.2143941238046236</v>
      </c>
      <c r="AG768" s="85">
        <v>1.3989903663219065</v>
      </c>
      <c r="AH768" s="85">
        <v>1.6165959686868199</v>
      </c>
      <c r="AI768" s="85">
        <v>1.4747111328075444</v>
      </c>
      <c r="AJ768" s="85">
        <v>1.3113596211991783</v>
      </c>
      <c r="AK768" s="85">
        <v>1.366380807647684</v>
      </c>
      <c r="AL768" s="85">
        <v>1.2328038702357034</v>
      </c>
      <c r="AM768" s="85">
        <v>1.3300159913785106</v>
      </c>
      <c r="AN768" s="85">
        <v>0.78387277682550027</v>
      </c>
      <c r="AO768" s="85">
        <v>0.79806770235939095</v>
      </c>
      <c r="AP768" s="85">
        <v>1.281644470223444</v>
      </c>
      <c r="AQ768" s="85">
        <v>1.2484617419901043</v>
      </c>
      <c r="AR768" s="85">
        <v>1.2489234327562475</v>
      </c>
      <c r="AS768" s="85">
        <v>1.0343402297601165</v>
      </c>
      <c r="AT768" s="85">
        <v>0.99728043315125625</v>
      </c>
      <c r="AU768" s="85">
        <v>1.1096576947227859</v>
      </c>
      <c r="AV768" s="224">
        <v>1.2715466929333601</v>
      </c>
      <c r="AW768" s="85">
        <v>1.3685774928183896</v>
      </c>
      <c r="AX768" s="85">
        <v>1.4295918378569514</v>
      </c>
      <c r="AY768" s="85">
        <v>1.5001548569991596</v>
      </c>
      <c r="AZ768" s="85">
        <v>1.5692758060973242</v>
      </c>
      <c r="BA768" s="85">
        <v>1.6422771135119765</v>
      </c>
      <c r="BB768" s="85">
        <v>1.7100059131607428</v>
      </c>
      <c r="BC768" s="85">
        <v>1.7799378675462068</v>
      </c>
      <c r="BD768" s="85">
        <v>1.8459908118811441</v>
      </c>
      <c r="BE768" s="85">
        <v>1.9184939142408506</v>
      </c>
      <c r="BF768" s="85">
        <v>1.9861725129661973</v>
      </c>
      <c r="BG768" s="85">
        <v>2.0633254089797433</v>
      </c>
      <c r="BH768" s="85">
        <v>2.1494877078850685</v>
      </c>
      <c r="BI768" s="85">
        <v>2.2127320119719447</v>
      </c>
      <c r="BJ768" s="85">
        <v>2.2656705228817415</v>
      </c>
      <c r="BK768" s="85">
        <v>2.3416086758239998</v>
      </c>
      <c r="BL768" s="85">
        <v>2.4044606544457268</v>
      </c>
      <c r="BM768" s="85">
        <v>2.4927928128914134</v>
      </c>
      <c r="BN768" s="85">
        <v>2.5764553902760361</v>
      </c>
      <c r="BO768" s="85">
        <v>2.6713237143650836</v>
      </c>
      <c r="BP768" s="85"/>
      <c r="BQ768" s="85">
        <v>0.6713834563579637</v>
      </c>
      <c r="BR768" s="85">
        <v>1.2939202494987747</v>
      </c>
      <c r="BS768" s="85">
        <v>1.0397149840424216</v>
      </c>
      <c r="BT768" s="85">
        <v>1.5906526646999999</v>
      </c>
      <c r="BU768" s="85">
        <v>1.6322106823411606</v>
      </c>
      <c r="BV768" s="85">
        <v>2.354559557156616</v>
      </c>
      <c r="BW768" s="85">
        <v>1.7341492939768357</v>
      </c>
      <c r="BX768" s="85">
        <v>1.8666805623910239</v>
      </c>
      <c r="BY768" s="85">
        <v>2.2819432603253773</v>
      </c>
      <c r="BZ768" s="85">
        <v>2.5353263164447406</v>
      </c>
      <c r="CA768" s="85">
        <v>2.5315856531817729</v>
      </c>
      <c r="CB768" s="85">
        <v>2.2605631597162144</v>
      </c>
      <c r="CC768" s="85">
        <v>2.0301695233622916</v>
      </c>
      <c r="CD768" s="85">
        <v>2.4830680337619668</v>
      </c>
      <c r="CE768" s="85">
        <v>2.5962357770643649</v>
      </c>
      <c r="CF768" s="85">
        <v>2.6198774776479494</v>
      </c>
      <c r="CG768" s="85">
        <v>1.493544830008978</v>
      </c>
      <c r="CH768" s="85">
        <v>1.9396296002286222</v>
      </c>
      <c r="CI768" s="85">
        <v>1.8246145695364235</v>
      </c>
      <c r="CJ768" s="85">
        <v>1.3856643715404349</v>
      </c>
      <c r="CK768" s="85">
        <v>1.6688746898263029</v>
      </c>
      <c r="CL768" s="85">
        <v>1.8905548690396241</v>
      </c>
      <c r="CM768" s="85">
        <v>1.763366269447203</v>
      </c>
      <c r="CN768" s="85">
        <v>1.3730870787988889</v>
      </c>
      <c r="CO768" s="85">
        <v>1.3989903663219065</v>
      </c>
      <c r="CP768" s="85">
        <v>1.4747111328075444</v>
      </c>
      <c r="CQ768" s="85">
        <v>1.366380807647684</v>
      </c>
      <c r="CR768" s="85">
        <v>1.3300159913785106</v>
      </c>
      <c r="CS768" s="85">
        <v>0.79806770235939095</v>
      </c>
      <c r="CT768" s="85">
        <v>1.2484617419901043</v>
      </c>
      <c r="CU768" s="85">
        <v>1.0343402297601165</v>
      </c>
      <c r="CV768" s="224">
        <v>1.1096576947227859</v>
      </c>
      <c r="CW768" s="85">
        <v>1.3685774928183896</v>
      </c>
      <c r="CX768" s="85">
        <v>1.5001548569991592</v>
      </c>
      <c r="CY768" s="85">
        <v>1.6422771135119758</v>
      </c>
      <c r="CZ768" s="85">
        <v>1.7799378675462056</v>
      </c>
      <c r="DA768" s="85">
        <v>1.9184939142408493</v>
      </c>
      <c r="DB768" s="85">
        <v>2.0633254089797415</v>
      </c>
      <c r="DC768" s="85">
        <v>2.2127320119719425</v>
      </c>
      <c r="DD768" s="85">
        <v>2.3416086758239971</v>
      </c>
      <c r="DE768" s="85">
        <v>2.4927928128914103</v>
      </c>
      <c r="DF768" s="85">
        <v>2.671323714365081</v>
      </c>
    </row>
    <row r="769" spans="1:110" s="86" customFormat="1" ht="12" outlineLevel="1">
      <c r="A769" s="1" t="s">
        <v>976</v>
      </c>
      <c r="B769" s="86" t="s">
        <v>588</v>
      </c>
      <c r="C769" s="85">
        <v>2.5744631846535211</v>
      </c>
      <c r="D769" s="85">
        <v>2.7781516831683168</v>
      </c>
      <c r="E769" s="85">
        <v>2.5776470519053873</v>
      </c>
      <c r="F769" s="85">
        <v>2.3374129483381507</v>
      </c>
      <c r="G769" s="85">
        <v>2.2922959291103706</v>
      </c>
      <c r="H769" s="85">
        <v>2.7334932227714881</v>
      </c>
      <c r="I769" s="85">
        <v>2.5122370886903465</v>
      </c>
      <c r="J769" s="85">
        <v>2.714827650967929</v>
      </c>
      <c r="K769" s="85">
        <v>3.0053890983887555</v>
      </c>
      <c r="L769" s="85">
        <v>3.2287660736891199</v>
      </c>
      <c r="M769" s="85">
        <v>3.0714822240209201</v>
      </c>
      <c r="N769" s="85">
        <v>3.215611574128419</v>
      </c>
      <c r="O769" s="85">
        <v>3.0898008257085472</v>
      </c>
      <c r="P769" s="85">
        <v>2.1843997983362744</v>
      </c>
      <c r="Q769" s="85">
        <v>1.7003566191174515</v>
      </c>
      <c r="R769" s="85">
        <v>1.3969863548559449</v>
      </c>
      <c r="S769" s="85">
        <v>2.1473934823876819</v>
      </c>
      <c r="T769" s="85">
        <v>2.4382209403817692</v>
      </c>
      <c r="U769" s="85">
        <v>2.1797999064983635</v>
      </c>
      <c r="V769" s="85">
        <v>2.1386661592748912</v>
      </c>
      <c r="W769" s="85">
        <v>1.6217830167809628</v>
      </c>
      <c r="X769" s="85">
        <v>1.8774903602843718</v>
      </c>
      <c r="Y769" s="85">
        <v>1.9226886792452833</v>
      </c>
      <c r="Z769" s="85">
        <v>2.1567686394445365</v>
      </c>
      <c r="AA769" s="85">
        <v>2.1571158620689657</v>
      </c>
      <c r="AB769" s="85">
        <v>2.2420469564787582</v>
      </c>
      <c r="AC769" s="85">
        <v>1.985928656306065</v>
      </c>
      <c r="AD769" s="85">
        <v>2.1907490110460217</v>
      </c>
      <c r="AE769" s="85">
        <v>1.5166534691672455</v>
      </c>
      <c r="AF769" s="85">
        <v>1.3413858545475923</v>
      </c>
      <c r="AG769" s="85">
        <v>1.5451750783219986</v>
      </c>
      <c r="AH769" s="85">
        <v>1.7742797004345268</v>
      </c>
      <c r="AI769" s="85">
        <v>1.6147737706230849</v>
      </c>
      <c r="AJ769" s="85">
        <v>1.3950774246847395</v>
      </c>
      <c r="AK769" s="85">
        <v>1.4523738891821507</v>
      </c>
      <c r="AL769" s="85">
        <v>1.3128882774579864</v>
      </c>
      <c r="AM769" s="85">
        <v>1.4122169971868286</v>
      </c>
      <c r="AN769" s="85">
        <v>0.83408304277995493</v>
      </c>
      <c r="AO769" s="85">
        <v>0.84406742841734672</v>
      </c>
      <c r="AP769" s="85">
        <v>1.3476189086936794</v>
      </c>
      <c r="AQ769" s="85">
        <v>1.3137521165567509</v>
      </c>
      <c r="AR769" s="85">
        <v>1.3159270890978281</v>
      </c>
      <c r="AS769" s="85">
        <v>1.0833401379842988</v>
      </c>
      <c r="AT769" s="85">
        <v>1.0451050961569162</v>
      </c>
      <c r="AU769" s="85">
        <v>1.1621505439562361</v>
      </c>
      <c r="AV769" s="224">
        <v>1.3307369092211605</v>
      </c>
      <c r="AW769" s="85">
        <v>1.4345798074609959</v>
      </c>
      <c r="AX769" s="85">
        <v>1.498785730293464</v>
      </c>
      <c r="AY769" s="85">
        <v>1.5725628388875279</v>
      </c>
      <c r="AZ769" s="85">
        <v>1.6445624941430268</v>
      </c>
      <c r="BA769" s="85">
        <v>1.7206250198917465</v>
      </c>
      <c r="BB769" s="85">
        <v>1.790699930981029</v>
      </c>
      <c r="BC769" s="85">
        <v>1.8629923376407749</v>
      </c>
      <c r="BD769" s="85">
        <v>1.9308402904150967</v>
      </c>
      <c r="BE769" s="85">
        <v>2.0055487977740012</v>
      </c>
      <c r="BF769" s="85">
        <v>2.0747894355985781</v>
      </c>
      <c r="BG769" s="85">
        <v>2.1541701057703388</v>
      </c>
      <c r="BH769" s="85">
        <v>2.243151473799744</v>
      </c>
      <c r="BI769" s="85">
        <v>2.3055860167798055</v>
      </c>
      <c r="BJ769" s="85">
        <v>2.3569215694778833</v>
      </c>
      <c r="BK769" s="85">
        <v>2.4341828120682596</v>
      </c>
      <c r="BL769" s="85">
        <v>2.4971457527407948</v>
      </c>
      <c r="BM769" s="85">
        <v>2.5874226510419334</v>
      </c>
      <c r="BN769" s="85">
        <v>2.6724697413977636</v>
      </c>
      <c r="BO769" s="85">
        <v>2.7693707662785663</v>
      </c>
      <c r="BP769" s="85"/>
      <c r="BQ769" s="85">
        <v>0.7323928999999999</v>
      </c>
      <c r="BR769" s="85">
        <v>1.2842162798833823</v>
      </c>
      <c r="BS769" s="85">
        <v>1.0336538491620111</v>
      </c>
      <c r="BT769" s="85">
        <v>1.5787764517766496</v>
      </c>
      <c r="BU769" s="85">
        <v>1.6252102490674527</v>
      </c>
      <c r="BV769" s="85">
        <v>2.3422515006222224</v>
      </c>
      <c r="BW769" s="85">
        <v>1.7257180583036142</v>
      </c>
      <c r="BX769" s="85">
        <v>1.8916490470272518</v>
      </c>
      <c r="BY769" s="85">
        <v>2.3219241415176417</v>
      </c>
      <c r="BZ769" s="85">
        <v>3.7629052641304348</v>
      </c>
      <c r="CA769" s="85">
        <v>2.5776470519053873</v>
      </c>
      <c r="CB769" s="85">
        <v>2.2922959291103706</v>
      </c>
      <c r="CC769" s="85">
        <v>2.5122370886903465</v>
      </c>
      <c r="CD769" s="85">
        <v>3.0053890983887555</v>
      </c>
      <c r="CE769" s="85">
        <v>3.0714822240209201</v>
      </c>
      <c r="CF769" s="85">
        <v>3.0898008257085472</v>
      </c>
      <c r="CG769" s="85">
        <v>1.7003566191174515</v>
      </c>
      <c r="CH769" s="85">
        <v>2.1473934823876819</v>
      </c>
      <c r="CI769" s="85">
        <v>2.1797999064983635</v>
      </c>
      <c r="CJ769" s="85">
        <v>1.6217830167809628</v>
      </c>
      <c r="CK769" s="85">
        <v>1.9226886792452833</v>
      </c>
      <c r="CL769" s="85">
        <v>2.1571158620689657</v>
      </c>
      <c r="CM769" s="85">
        <v>1.985928656306065</v>
      </c>
      <c r="CN769" s="85">
        <v>1.5166534691672455</v>
      </c>
      <c r="CO769" s="85">
        <v>1.5451750783219986</v>
      </c>
      <c r="CP769" s="85">
        <v>1.6147737706230849</v>
      </c>
      <c r="CQ769" s="85">
        <v>1.4523738891821507</v>
      </c>
      <c r="CR769" s="85">
        <v>1.4122169971868286</v>
      </c>
      <c r="CS769" s="85">
        <v>0.84406742841734672</v>
      </c>
      <c r="CT769" s="85">
        <v>1.3137521165567509</v>
      </c>
      <c r="CU769" s="85">
        <v>1.0833401379842988</v>
      </c>
      <c r="CV769" s="224">
        <v>1.1621505439562361</v>
      </c>
      <c r="CW769" s="85">
        <v>1.4345798074609959</v>
      </c>
      <c r="CX769" s="85">
        <v>1.5725628388875275</v>
      </c>
      <c r="CY769" s="85">
        <v>1.7206250198917457</v>
      </c>
      <c r="CZ769" s="85">
        <v>1.8629923376407738</v>
      </c>
      <c r="DA769" s="85">
        <v>2.0055487977739994</v>
      </c>
      <c r="DB769" s="85">
        <v>2.1541701057703366</v>
      </c>
      <c r="DC769" s="85">
        <v>2.3055860167798028</v>
      </c>
      <c r="DD769" s="85">
        <v>2.4341828120682569</v>
      </c>
      <c r="DE769" s="85">
        <v>2.5874226510419307</v>
      </c>
      <c r="DF769" s="85">
        <v>2.7693707662785632</v>
      </c>
    </row>
    <row r="770" spans="1:110" ht="12" hidden="1" outlineLevel="2">
      <c r="A770" s="1" t="s">
        <v>977</v>
      </c>
      <c r="B770" s="15" t="s">
        <v>804</v>
      </c>
      <c r="AV770" s="200"/>
      <c r="CZ770" s="15"/>
      <c r="DA770" s="15"/>
      <c r="DB770" s="15"/>
      <c r="DC770" s="15"/>
      <c r="DD770" s="15"/>
      <c r="DE770" s="15"/>
      <c r="DF770" s="15"/>
    </row>
    <row r="771" spans="1:110" ht="12" hidden="1" outlineLevel="2">
      <c r="A771" s="1" t="s">
        <v>28</v>
      </c>
      <c r="B771" s="15" t="s">
        <v>804</v>
      </c>
      <c r="AV771" s="200"/>
      <c r="CZ771" s="15"/>
      <c r="DA771" s="15"/>
      <c r="DB771" s="15"/>
      <c r="DC771" s="15"/>
      <c r="DD771" s="15"/>
      <c r="DE771" s="15"/>
      <c r="DF771" s="15"/>
    </row>
    <row r="772" spans="1:110" ht="12" hidden="1" outlineLevel="2">
      <c r="A772" s="1" t="s">
        <v>29</v>
      </c>
      <c r="B772" s="15" t="s">
        <v>804</v>
      </c>
      <c r="AV772" s="200"/>
      <c r="CZ772" s="15"/>
      <c r="DA772" s="15"/>
      <c r="DB772" s="15"/>
      <c r="DC772" s="15"/>
      <c r="DD772" s="15"/>
      <c r="DE772" s="15"/>
      <c r="DF772" s="15"/>
    </row>
    <row r="773" spans="1:110" ht="12" hidden="1" outlineLevel="2">
      <c r="A773" s="1" t="s">
        <v>30</v>
      </c>
      <c r="B773" s="15" t="s">
        <v>804</v>
      </c>
      <c r="AV773" s="200"/>
      <c r="CZ773" s="15"/>
      <c r="DA773" s="15"/>
      <c r="DB773" s="15"/>
      <c r="DC773" s="15"/>
      <c r="DD773" s="15"/>
      <c r="DE773" s="15"/>
      <c r="DF773" s="15"/>
    </row>
    <row r="774" spans="1:110" ht="12" hidden="1" outlineLevel="2">
      <c r="A774" s="1" t="s">
        <v>31</v>
      </c>
      <c r="B774" s="15" t="s">
        <v>804</v>
      </c>
      <c r="AV774" s="200"/>
      <c r="CZ774" s="15"/>
      <c r="DA774" s="15"/>
      <c r="DB774" s="15"/>
      <c r="DC774" s="15"/>
      <c r="DD774" s="15"/>
      <c r="DE774" s="15"/>
      <c r="DF774" s="15"/>
    </row>
    <row r="775" spans="1:110" ht="12" hidden="1" outlineLevel="2">
      <c r="A775" s="1" t="s">
        <v>32</v>
      </c>
      <c r="B775" s="15" t="s">
        <v>804</v>
      </c>
      <c r="AV775" s="200"/>
      <c r="CZ775" s="15"/>
      <c r="DA775" s="15"/>
      <c r="DB775" s="15"/>
      <c r="DC775" s="15"/>
      <c r="DD775" s="15"/>
      <c r="DE775" s="15"/>
      <c r="DF775" s="15"/>
    </row>
    <row r="776" spans="1:110" ht="12" hidden="1" outlineLevel="2">
      <c r="A776" s="1" t="s">
        <v>33</v>
      </c>
      <c r="B776" s="15" t="s">
        <v>804</v>
      </c>
      <c r="AV776" s="200"/>
      <c r="CZ776" s="15"/>
      <c r="DA776" s="15"/>
      <c r="DB776" s="15"/>
      <c r="DC776" s="15"/>
      <c r="DD776" s="15"/>
      <c r="DE776" s="15"/>
      <c r="DF776" s="15"/>
    </row>
    <row r="777" spans="1:110" ht="12" hidden="1" outlineLevel="2">
      <c r="A777" s="1" t="s">
        <v>40</v>
      </c>
      <c r="B777" s="15" t="s">
        <v>804</v>
      </c>
      <c r="AV777" s="200"/>
      <c r="CZ777" s="15"/>
      <c r="DA777" s="15"/>
      <c r="DB777" s="15"/>
      <c r="DC777" s="15"/>
      <c r="DD777" s="15"/>
      <c r="DE777" s="15"/>
      <c r="DF777" s="15"/>
    </row>
    <row r="778" spans="1:110" ht="12" hidden="1" outlineLevel="2">
      <c r="A778" s="1" t="s">
        <v>41</v>
      </c>
      <c r="B778" s="15" t="s">
        <v>804</v>
      </c>
      <c r="AV778" s="200"/>
      <c r="CZ778" s="15"/>
      <c r="DA778" s="15"/>
      <c r="DB778" s="15"/>
      <c r="DC778" s="15"/>
      <c r="DD778" s="15"/>
      <c r="DE778" s="15"/>
      <c r="DF778" s="15"/>
    </row>
    <row r="779" spans="1:110" ht="12" hidden="1" outlineLevel="2">
      <c r="A779" s="1" t="s">
        <v>42</v>
      </c>
      <c r="B779" s="15" t="s">
        <v>804</v>
      </c>
      <c r="AV779" s="200"/>
      <c r="CZ779" s="15"/>
      <c r="DA779" s="15"/>
      <c r="DB779" s="15"/>
      <c r="DC779" s="15"/>
      <c r="DD779" s="15"/>
      <c r="DE779" s="15"/>
      <c r="DF779" s="15"/>
    </row>
    <row r="780" spans="1:110" ht="12" outlineLevel="1" collapsed="1">
      <c r="AA780" s="361"/>
      <c r="AV780" s="200"/>
      <c r="CZ780" s="15"/>
      <c r="DA780" s="15"/>
      <c r="DB780" s="15"/>
      <c r="DC780" s="15"/>
      <c r="DD780" s="15"/>
      <c r="DE780" s="15"/>
      <c r="DF780" s="15"/>
    </row>
    <row r="781" spans="1:110" s="17" customFormat="1" ht="12" outlineLevel="1">
      <c r="A781" s="1"/>
      <c r="B781" s="17" t="s">
        <v>724</v>
      </c>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c r="AA781" s="150"/>
      <c r="AB781" s="10"/>
      <c r="AC781" s="10"/>
      <c r="AD781" s="10"/>
      <c r="AE781" s="10"/>
      <c r="AF781" s="10"/>
      <c r="AG781" s="10"/>
      <c r="AH781" s="10"/>
      <c r="AI781" s="10"/>
      <c r="AJ781" s="10"/>
      <c r="AK781" s="10"/>
      <c r="AL781" s="10"/>
      <c r="AM781" s="10"/>
      <c r="AN781" s="10"/>
      <c r="AO781" s="10"/>
      <c r="AP781" s="10"/>
      <c r="AQ781" s="10"/>
      <c r="AR781" s="10"/>
      <c r="AS781" s="10"/>
      <c r="AT781" s="10"/>
      <c r="AU781" s="10"/>
      <c r="AV781" s="201"/>
      <c r="AW781" s="10"/>
      <c r="AX781" s="10"/>
      <c r="AY781" s="10"/>
      <c r="AZ781" s="10"/>
      <c r="BA781" s="10"/>
      <c r="BB781" s="10"/>
      <c r="BC781" s="10"/>
      <c r="BD781" s="10"/>
      <c r="BE781" s="10"/>
      <c r="BF781" s="10"/>
      <c r="BG781" s="10"/>
      <c r="BH781" s="10"/>
      <c r="BI781" s="10"/>
      <c r="BJ781" s="10"/>
      <c r="BK781" s="10"/>
      <c r="BL781" s="10"/>
      <c r="BM781" s="10"/>
      <c r="BN781" s="10"/>
      <c r="BO781" s="10"/>
      <c r="BP781" s="10"/>
      <c r="BQ781" s="10"/>
      <c r="BR781" s="10"/>
      <c r="BS781" s="10"/>
      <c r="BT781" s="10"/>
      <c r="BU781" s="10"/>
      <c r="BV781" s="10"/>
      <c r="BW781" s="10"/>
      <c r="BX781" s="10"/>
      <c r="BY781" s="10"/>
      <c r="BZ781" s="10"/>
      <c r="CA781" s="10"/>
      <c r="CB781" s="10"/>
      <c r="CC781" s="10"/>
      <c r="CD781" s="10"/>
      <c r="CE781" s="10"/>
      <c r="CF781" s="10"/>
      <c r="CG781" s="10"/>
      <c r="CH781" s="10"/>
      <c r="CI781" s="10"/>
      <c r="CJ781" s="10"/>
      <c r="CK781" s="10"/>
      <c r="CL781" s="10"/>
      <c r="CM781" s="10"/>
      <c r="CN781" s="10"/>
      <c r="CO781" s="150"/>
      <c r="CP781" s="10"/>
      <c r="CQ781" s="10"/>
      <c r="CR781" s="10"/>
      <c r="CS781" s="10"/>
      <c r="CT781" s="10"/>
      <c r="CU781" s="10"/>
      <c r="CV781" s="201"/>
      <c r="CW781" s="10"/>
      <c r="CX781" s="10"/>
      <c r="CY781" s="10"/>
    </row>
    <row r="782" spans="1:110" ht="12" outlineLevel="1">
      <c r="A782" s="1" t="s">
        <v>1001</v>
      </c>
      <c r="B782" s="15" t="s">
        <v>725</v>
      </c>
      <c r="C782" s="207">
        <v>0.22252799303667936</v>
      </c>
      <c r="D782" s="207">
        <v>0.22909962800078668</v>
      </c>
      <c r="E782" s="207">
        <v>0.25910730534932019</v>
      </c>
      <c r="F782" s="207">
        <v>0.21298112721232607</v>
      </c>
      <c r="G782" s="207">
        <v>0.21729437418401476</v>
      </c>
      <c r="H782" s="207">
        <v>0.20015771739909671</v>
      </c>
      <c r="I782" s="207">
        <v>0.17719227047107677</v>
      </c>
      <c r="J782" s="207">
        <v>0.18719874878707946</v>
      </c>
      <c r="K782" s="207">
        <v>0.18790657677785499</v>
      </c>
      <c r="L782" s="207">
        <v>0.21076167413030891</v>
      </c>
      <c r="M782" s="30">
        <v>0.20580194433505067</v>
      </c>
      <c r="N782" s="30">
        <v>0.21503516887112067</v>
      </c>
      <c r="O782" s="30">
        <v>0.20678764699611682</v>
      </c>
      <c r="P782" s="30">
        <v>0.17939637643080725</v>
      </c>
      <c r="Q782" s="30">
        <v>0.11635739568808327</v>
      </c>
      <c r="R782" s="30">
        <v>0.10570546474801794</v>
      </c>
      <c r="S782" s="30">
        <v>0.10367929426824697</v>
      </c>
      <c r="T782" s="32">
        <v>0.12248994758711583</v>
      </c>
      <c r="U782" s="30">
        <v>0.15513990872841837</v>
      </c>
      <c r="V782" s="30">
        <v>0.15827926239871315</v>
      </c>
      <c r="W782" s="30">
        <v>0.14865588572287358</v>
      </c>
      <c r="X782" s="30">
        <v>0.1560899963905191</v>
      </c>
      <c r="Y782" s="32">
        <v>0.13749185177756607</v>
      </c>
      <c r="Z782" s="32">
        <v>0.14427063861261819</v>
      </c>
      <c r="AA782" s="32">
        <v>0.1526620930292894</v>
      </c>
      <c r="AB782" s="32">
        <v>0.15035612546857255</v>
      </c>
      <c r="AC782" s="32">
        <v>0.16605432861196182</v>
      </c>
      <c r="AD782" s="32">
        <v>0.13947875932363443</v>
      </c>
      <c r="AE782" s="32">
        <v>0.1504263374240577</v>
      </c>
      <c r="AF782" s="32">
        <v>9.5464728084167949E-2</v>
      </c>
      <c r="AG782" s="32">
        <v>0.10478054629776579</v>
      </c>
      <c r="AH782" s="32">
        <v>0.10120296961991654</v>
      </c>
      <c r="AI782" s="32">
        <v>0.11893808408780594</v>
      </c>
      <c r="AJ782" s="32">
        <v>0.11072403538509738</v>
      </c>
      <c r="AK782" s="32">
        <v>0.10148134453915152</v>
      </c>
      <c r="AL782" s="32">
        <v>0.10280516439843074</v>
      </c>
      <c r="AM782" s="32">
        <v>8.3822383285881208E-2</v>
      </c>
      <c r="AN782" s="32">
        <v>5.1148778388399659E-2</v>
      </c>
      <c r="AO782" s="32">
        <v>6.6474201172785491E-2</v>
      </c>
      <c r="AP782" s="32">
        <v>9.5367033393176967E-2</v>
      </c>
      <c r="AQ782" s="32">
        <v>0.10223501144203588</v>
      </c>
      <c r="AR782" s="32">
        <v>0.11320874411353192</v>
      </c>
      <c r="AS782" s="32">
        <v>0.1138628721560412</v>
      </c>
      <c r="AT782" s="32">
        <v>0.10624997901735382</v>
      </c>
      <c r="AU782" s="32">
        <v>0.10389226782669406</v>
      </c>
      <c r="AV782" s="31">
        <v>9.7013012899000536E-2</v>
      </c>
      <c r="AW782" s="30">
        <v>9.6676522521847871E-2</v>
      </c>
      <c r="AX782" s="30">
        <v>0.10058534208197104</v>
      </c>
      <c r="AY782" s="30">
        <v>9.9175950653480519E-2</v>
      </c>
      <c r="AZ782" s="30">
        <v>0.10180561697962412</v>
      </c>
      <c r="BA782" s="30">
        <v>9.772612926483748E-2</v>
      </c>
      <c r="BB782" s="30">
        <v>0.10257511498598632</v>
      </c>
      <c r="BC782" s="30">
        <v>9.7339961731913172E-2</v>
      </c>
      <c r="BD782" s="30">
        <v>0.10386031776528817</v>
      </c>
      <c r="BE782" s="30">
        <v>9.9572554760449031E-2</v>
      </c>
      <c r="BF782" s="30">
        <v>0.10643826707033649</v>
      </c>
      <c r="BG782" s="30">
        <v>0.10202228309940942</v>
      </c>
      <c r="BH782" s="30">
        <v>9.6164858096654579E-2</v>
      </c>
      <c r="BI782" s="30">
        <v>7.7106076046878788E-2</v>
      </c>
      <c r="BJ782" s="30">
        <v>8.1148039768197788E-2</v>
      </c>
      <c r="BK782" s="30">
        <v>8.8540095211216224E-2</v>
      </c>
      <c r="BL782" s="30">
        <v>0.10485018478289404</v>
      </c>
      <c r="BM782" s="30">
        <v>0.10044984391358308</v>
      </c>
      <c r="BN782" s="30">
        <v>0.10565859681203886</v>
      </c>
      <c r="BO782" s="30">
        <v>9.9804193684606288E-2</v>
      </c>
      <c r="BP782" s="30"/>
      <c r="BQ782" s="207">
        <v>-0.11321492076518755</v>
      </c>
      <c r="BR782" s="207">
        <v>5.0187464341022184E-2</v>
      </c>
      <c r="BS782" s="207">
        <v>0.15427927927927929</v>
      </c>
      <c r="BT782" s="207">
        <v>0.17737312426235036</v>
      </c>
      <c r="BU782" s="207">
        <v>0.18140442132639792</v>
      </c>
      <c r="BV782" s="207">
        <v>0.14706304753698118</v>
      </c>
      <c r="BW782" s="207">
        <v>0.14514435695538058</v>
      </c>
      <c r="BX782" s="207">
        <v>0.17967706689328639</v>
      </c>
      <c r="BY782" s="207">
        <v>0.20672109809490002</v>
      </c>
      <c r="BZ782" s="207">
        <v>0.21578582967920609</v>
      </c>
      <c r="CA782" s="30">
        <v>0.24466112746537877</v>
      </c>
      <c r="CB782" s="30">
        <v>0.21519486356662726</v>
      </c>
      <c r="CC782" s="30">
        <v>0.18788273180824622</v>
      </c>
      <c r="CD782" s="30">
        <v>0.18757552793072652</v>
      </c>
      <c r="CE782" s="30">
        <v>0.20819102994721836</v>
      </c>
      <c r="CF782" s="30">
        <v>0.21087680355160932</v>
      </c>
      <c r="CG782" s="30">
        <v>0.14684541191045045</v>
      </c>
      <c r="CH782" s="30">
        <v>0.10462326027835546</v>
      </c>
      <c r="CI782" s="30">
        <v>0.13926145944524373</v>
      </c>
      <c r="CJ782" s="30">
        <v>0.15326273611906124</v>
      </c>
      <c r="CK782" s="32">
        <v>0.14648915110817839</v>
      </c>
      <c r="CL782" s="32">
        <v>0.14856262225120029</v>
      </c>
      <c r="CM782" s="32">
        <v>0.15835611068157812</v>
      </c>
      <c r="CN782" s="32">
        <v>0.14560399521972736</v>
      </c>
      <c r="CO782" s="32">
        <v>0.10009906458484925</v>
      </c>
      <c r="CP782" s="32">
        <v>0.11016052896313938</v>
      </c>
      <c r="CQ782" s="32">
        <v>0.10539663718854471</v>
      </c>
      <c r="CR782" s="32">
        <v>9.3202758663879823E-2</v>
      </c>
      <c r="CS782" s="32">
        <v>5.8856921899809955E-2</v>
      </c>
      <c r="CT782" s="32">
        <v>9.8836323391423606E-2</v>
      </c>
      <c r="CU782" s="32">
        <v>0.11375929817272429</v>
      </c>
      <c r="CV782" s="31">
        <v>0.10504686160305118</v>
      </c>
      <c r="CW782" s="30">
        <v>9.6846151094278785E-2</v>
      </c>
      <c r="CX782" s="30">
        <v>9.9878746910975008E-2</v>
      </c>
      <c r="CY782" s="30">
        <v>9.9756127587505308E-2</v>
      </c>
      <c r="CZ782" s="30">
        <v>9.9939416806314366E-2</v>
      </c>
      <c r="DA782" s="30">
        <v>0.10170213800216533</v>
      </c>
      <c r="DB782" s="30">
        <v>0.10421241960868198</v>
      </c>
      <c r="DC782" s="30">
        <v>8.6504429147270565E-2</v>
      </c>
      <c r="DD782" s="30">
        <v>8.4913470743029171E-2</v>
      </c>
      <c r="DE782" s="30">
        <v>0.10262856644341833</v>
      </c>
      <c r="DF782" s="30">
        <v>0.10270419050831663</v>
      </c>
    </row>
    <row r="783" spans="1:110" ht="12" outlineLevel="1">
      <c r="A783" s="1" t="s">
        <v>1002</v>
      </c>
      <c r="B783" s="15" t="s">
        <v>595</v>
      </c>
      <c r="C783" s="207">
        <v>0.20883396269596063</v>
      </c>
      <c r="D783" s="207">
        <v>0.21949926263694416</v>
      </c>
      <c r="E783" s="207">
        <v>0.21286724378147764</v>
      </c>
      <c r="F783" s="207">
        <v>0.20290138937756216</v>
      </c>
      <c r="G783" s="207">
        <v>0.20865300719078134</v>
      </c>
      <c r="H783" s="207">
        <v>0.17893755824790308</v>
      </c>
      <c r="I783" s="207">
        <v>0.17294664876845761</v>
      </c>
      <c r="J783" s="207">
        <v>0.18804144411923995</v>
      </c>
      <c r="K783" s="207">
        <v>0.1822229827888952</v>
      </c>
      <c r="L783" s="207">
        <v>0.20005484143014965</v>
      </c>
      <c r="M783" s="30">
        <v>0.20185475733661606</v>
      </c>
      <c r="N783" s="30">
        <v>0.19631421934523335</v>
      </c>
      <c r="O783" s="30">
        <v>0.19584123642365633</v>
      </c>
      <c r="P783" s="30">
        <v>0.17354748794809119</v>
      </c>
      <c r="Q783" s="30">
        <v>0.11429797275555083</v>
      </c>
      <c r="R783" s="30">
        <v>6.9376204809920031E-2</v>
      </c>
      <c r="S783" s="30">
        <v>0.16441932642801946</v>
      </c>
      <c r="T783" s="32">
        <v>0.15080580560076079</v>
      </c>
      <c r="U783" s="30">
        <v>0.16573952982166434</v>
      </c>
      <c r="V783" s="30">
        <v>0.161428211688177</v>
      </c>
      <c r="W783" s="30">
        <v>0.15125225384958302</v>
      </c>
      <c r="X783" s="30">
        <v>0.15448578265577584</v>
      </c>
      <c r="Y783" s="32">
        <v>0.15795015795015796</v>
      </c>
      <c r="Z783" s="32">
        <v>0.15601074165259629</v>
      </c>
      <c r="AA783" s="32">
        <v>0.15179078640040491</v>
      </c>
      <c r="AB783" s="32">
        <v>0.15567532802052678</v>
      </c>
      <c r="AC783" s="32">
        <v>0.15406793727106227</v>
      </c>
      <c r="AD783" s="32">
        <v>0.14620206517808232</v>
      </c>
      <c r="AE783" s="32">
        <v>0.13356138311541618</v>
      </c>
      <c r="AF783" s="32">
        <v>9.6998858119121706E-2</v>
      </c>
      <c r="AG783" s="32">
        <v>0.10957696309227812</v>
      </c>
      <c r="AH783" s="32">
        <v>0.11663894300062522</v>
      </c>
      <c r="AI783" s="32">
        <v>0.11754281614857846</v>
      </c>
      <c r="AJ783" s="32">
        <v>0.11638852109543942</v>
      </c>
      <c r="AK783" s="32">
        <v>9.8743953704978751E-2</v>
      </c>
      <c r="AL783" s="32">
        <v>0.11547356001134798</v>
      </c>
      <c r="AM783" s="32">
        <v>8.7621527276536257E-2</v>
      </c>
      <c r="AN783" s="32">
        <v>4.6778785671720849E-2</v>
      </c>
      <c r="AO783" s="32">
        <v>7.6713583538475377E-2</v>
      </c>
      <c r="AP783" s="32">
        <v>9.6890054313829133E-2</v>
      </c>
      <c r="AQ783" s="32">
        <v>0.10188565290650857</v>
      </c>
      <c r="AR783" s="32">
        <v>9.9835359893888045E-2</v>
      </c>
      <c r="AS783" s="32">
        <v>0.10793020091246927</v>
      </c>
      <c r="AT783" s="32">
        <v>0.11443914758296703</v>
      </c>
      <c r="AU783" s="32">
        <v>0.10485775496786018</v>
      </c>
      <c r="AV783" s="31">
        <v>0.10114183205672143</v>
      </c>
      <c r="AW783" s="30">
        <v>9.6676522521847871E-2</v>
      </c>
      <c r="AX783" s="30">
        <v>0.10058534208197104</v>
      </c>
      <c r="AY783" s="30">
        <v>9.9175950653480519E-2</v>
      </c>
      <c r="AZ783" s="30">
        <v>0.10180561697962412</v>
      </c>
      <c r="BA783" s="30">
        <v>9.772612926483748E-2</v>
      </c>
      <c r="BB783" s="30">
        <v>0.10257511498598632</v>
      </c>
      <c r="BC783" s="30">
        <v>9.7339961731913172E-2</v>
      </c>
      <c r="BD783" s="30">
        <v>0.10386031776528817</v>
      </c>
      <c r="BE783" s="30">
        <v>9.9572554760449031E-2</v>
      </c>
      <c r="BF783" s="30">
        <v>0.10643826707033649</v>
      </c>
      <c r="BG783" s="30">
        <v>0.10202228309940942</v>
      </c>
      <c r="BH783" s="30">
        <v>9.6164858096654579E-2</v>
      </c>
      <c r="BI783" s="30">
        <v>7.7106076046878788E-2</v>
      </c>
      <c r="BJ783" s="30">
        <v>8.1148039768197788E-2</v>
      </c>
      <c r="BK783" s="30">
        <v>8.8540095211216224E-2</v>
      </c>
      <c r="BL783" s="30">
        <v>0.10485018478289404</v>
      </c>
      <c r="BM783" s="30">
        <v>0.10044984391358308</v>
      </c>
      <c r="BN783" s="30">
        <v>0.10565859681203886</v>
      </c>
      <c r="BO783" s="30">
        <v>9.9804193684606288E-2</v>
      </c>
      <c r="BP783" s="30"/>
      <c r="BQ783" s="207">
        <v>-0.12855384254645649</v>
      </c>
      <c r="BR783" s="207">
        <v>7.7451300024452011E-2</v>
      </c>
      <c r="BS783" s="207">
        <v>0.1356981981981982</v>
      </c>
      <c r="BT783" s="207">
        <v>0.1606811667509695</v>
      </c>
      <c r="BU783" s="207">
        <v>0.18140442132639792</v>
      </c>
      <c r="BV783" s="207">
        <v>0.16817463736895016</v>
      </c>
      <c r="BW783" s="207">
        <v>0.15419947506561679</v>
      </c>
      <c r="BX783" s="207">
        <v>0.17093602039577516</v>
      </c>
      <c r="BY783" s="207">
        <v>0.19086498639214294</v>
      </c>
      <c r="BZ783" s="207">
        <v>0.20401569351488577</v>
      </c>
      <c r="CA783" s="30">
        <v>0.21610679260615498</v>
      </c>
      <c r="CB783" s="30">
        <v>0.20584653474047906</v>
      </c>
      <c r="CC783" s="30">
        <v>0.17573542907677162</v>
      </c>
      <c r="CD783" s="30">
        <v>0.18509421386046171</v>
      </c>
      <c r="CE783" s="30">
        <v>0.20096531090349712</v>
      </c>
      <c r="CF783" s="30">
        <v>0.19609524770457065</v>
      </c>
      <c r="CG783" s="30">
        <v>0.14295195115476506</v>
      </c>
      <c r="CH783" s="30">
        <v>0.11909205638208997</v>
      </c>
      <c r="CI783" s="30">
        <v>0.15847527111276125</v>
      </c>
      <c r="CJ783" s="30">
        <v>0.15612478534630794</v>
      </c>
      <c r="CK783" s="32">
        <v>0.15627062065753211</v>
      </c>
      <c r="CL783" s="32">
        <v>0.15377867346333945</v>
      </c>
      <c r="CM783" s="32">
        <v>0.15487144863934837</v>
      </c>
      <c r="CN783" s="32">
        <v>0.1402018985066506</v>
      </c>
      <c r="CO783" s="32">
        <v>0.10325510445615296</v>
      </c>
      <c r="CP783" s="32">
        <v>0.11709070273337747</v>
      </c>
      <c r="CQ783" s="32">
        <v>0.10682937272532649</v>
      </c>
      <c r="CR783" s="32">
        <v>0.10129713565518267</v>
      </c>
      <c r="CS783" s="32">
        <v>6.183514467416433E-2</v>
      </c>
      <c r="CT783" s="32">
        <v>9.9413750791957717E-2</v>
      </c>
      <c r="CU783" s="32">
        <v>0.1041075751643909</v>
      </c>
      <c r="CV783" s="31">
        <v>0.10958519350737664</v>
      </c>
      <c r="CW783" s="30">
        <v>9.8927535131100489E-2</v>
      </c>
      <c r="CX783" s="30">
        <v>9.9878746910975036E-2</v>
      </c>
      <c r="CY783" s="30">
        <v>9.9756127587505336E-2</v>
      </c>
      <c r="CZ783" s="30">
        <v>9.993941680631438E-2</v>
      </c>
      <c r="DA783" s="30">
        <v>0.10170213800216532</v>
      </c>
      <c r="DB783" s="30">
        <v>0.10421241960868204</v>
      </c>
      <c r="DC783" s="30">
        <v>8.6504429147270551E-2</v>
      </c>
      <c r="DD783" s="30">
        <v>8.4913470743029143E-2</v>
      </c>
      <c r="DE783" s="30">
        <v>0.10262856644341833</v>
      </c>
      <c r="DF783" s="30">
        <v>0.10270419050831663</v>
      </c>
    </row>
    <row r="784" spans="1:110" ht="12" outlineLevel="1">
      <c r="A784" s="1" t="s">
        <v>1118</v>
      </c>
      <c r="B784" s="15" t="s">
        <v>1115</v>
      </c>
      <c r="C784" s="207">
        <v>0.27135424487876275</v>
      </c>
      <c r="D784" s="207">
        <v>0.28463690790858237</v>
      </c>
      <c r="E784" s="207">
        <v>0.28083606560901719</v>
      </c>
      <c r="F784" s="207">
        <v>0.26211117817385743</v>
      </c>
      <c r="G784" s="207">
        <v>0.24681970584730623</v>
      </c>
      <c r="H784" s="207">
        <v>0.19295988506629633</v>
      </c>
      <c r="I784" s="207">
        <v>0.1837959991971809</v>
      </c>
      <c r="J784" s="207">
        <v>0.19689078365898877</v>
      </c>
      <c r="K784" s="207">
        <v>0.18984158890985417</v>
      </c>
      <c r="L784" s="207">
        <v>0.20858255267120701</v>
      </c>
      <c r="M784" s="30">
        <v>0.21115659276149995</v>
      </c>
      <c r="N784" s="30">
        <v>0.2047840396626609</v>
      </c>
      <c r="O784" s="30">
        <v>0.19984336837446295</v>
      </c>
      <c r="P784" s="30">
        <v>0.17863049532238209</v>
      </c>
      <c r="Q784" s="30">
        <v>0.12091074545920234</v>
      </c>
      <c r="R784" s="30">
        <v>6.876028250477205E-2</v>
      </c>
      <c r="S784" s="30">
        <v>0.2021625671235113</v>
      </c>
      <c r="T784" s="30">
        <v>0.17349434378300937</v>
      </c>
      <c r="U784" s="30">
        <v>0.18418446373675432</v>
      </c>
      <c r="V784" s="30">
        <v>0.15269447057930291</v>
      </c>
      <c r="W784" s="30">
        <v>0.14464243632150278</v>
      </c>
      <c r="X784" s="30">
        <v>0.15044598847911661</v>
      </c>
      <c r="Y784" s="32">
        <v>0.15571806109546094</v>
      </c>
      <c r="Z784" s="32">
        <v>0.15523468012148126</v>
      </c>
      <c r="AA784" s="32">
        <v>0.15422021429570781</v>
      </c>
      <c r="AB784" s="32">
        <v>0.15116111737929333</v>
      </c>
      <c r="AC784" s="32">
        <v>0.15190191014828544</v>
      </c>
      <c r="AD784" s="32">
        <v>0.1435267595166177</v>
      </c>
      <c r="AE784" s="32">
        <v>0.1390458577989393</v>
      </c>
      <c r="AF784" s="32">
        <v>9.5980536592637181E-2</v>
      </c>
      <c r="AG784" s="32">
        <v>0.10697264680481369</v>
      </c>
      <c r="AH784" s="32">
        <v>0.11757340041267428</v>
      </c>
      <c r="AI784" s="32">
        <v>0.11802871085815027</v>
      </c>
      <c r="AJ784" s="32">
        <v>0.12023755438428022</v>
      </c>
      <c r="AK784" s="32">
        <v>0.10422997134170757</v>
      </c>
      <c r="AL784" s="32">
        <v>0.1223258662372759</v>
      </c>
      <c r="AM784" s="32">
        <v>9.2121871698602462E-2</v>
      </c>
      <c r="AN784" s="32">
        <v>4.7403125830307286E-2</v>
      </c>
      <c r="AO784" s="32">
        <v>8.093891696146148E-2</v>
      </c>
      <c r="AP784" s="32">
        <v>0.11109221495184146</v>
      </c>
      <c r="AQ784" s="32">
        <v>0.11602258021998127</v>
      </c>
      <c r="AR784" s="32">
        <v>0.10758568060587952</v>
      </c>
      <c r="AS784" s="32">
        <v>0.1221340429299743</v>
      </c>
      <c r="AT784" s="32">
        <v>0.12941740021651271</v>
      </c>
      <c r="AU784" s="32">
        <v>0.1181432611602924</v>
      </c>
      <c r="AV784" s="31">
        <v>0.1139732129779107</v>
      </c>
      <c r="AW784" s="30">
        <v>0.10223667527565596</v>
      </c>
      <c r="AX784" s="30">
        <v>0.10654120839527551</v>
      </c>
      <c r="AY784" s="30">
        <v>0.10478452697620265</v>
      </c>
      <c r="AZ784" s="30">
        <v>0.10756069279801601</v>
      </c>
      <c r="BA784" s="30">
        <v>0.10270950085815413</v>
      </c>
      <c r="BB784" s="30">
        <v>0.10761897989003019</v>
      </c>
      <c r="BC784" s="30">
        <v>0.10163271384261599</v>
      </c>
      <c r="BD784" s="30">
        <v>0.10839282556207958</v>
      </c>
      <c r="BE784" s="30">
        <v>0.10353745675142763</v>
      </c>
      <c r="BF784" s="30">
        <v>0.11075018807025225</v>
      </c>
      <c r="BG784" s="30">
        <v>0.10578488383262773</v>
      </c>
      <c r="BH784" s="30">
        <v>9.7484524599595002E-2</v>
      </c>
      <c r="BI784" s="30">
        <v>7.7941315154864119E-2</v>
      </c>
      <c r="BJ784" s="30">
        <v>8.461194676601988E-2</v>
      </c>
      <c r="BK784" s="30">
        <v>9.3837558611325561E-2</v>
      </c>
      <c r="BL784" s="30">
        <v>0.11192260135592509</v>
      </c>
      <c r="BM784" s="30">
        <v>0.10667837286636862</v>
      </c>
      <c r="BN784" s="30">
        <v>0.11311490231050109</v>
      </c>
      <c r="BO784" s="30">
        <v>0.10718713892868796</v>
      </c>
      <c r="BP784" s="30"/>
      <c r="BQ784" s="207">
        <v>-0.1227548167342478</v>
      </c>
      <c r="BR784" s="207">
        <v>8.0925926514751015E-2</v>
      </c>
      <c r="BS784" s="207">
        <v>0.16359578625850318</v>
      </c>
      <c r="BT784" s="207">
        <v>0.19308769841287338</v>
      </c>
      <c r="BU784" s="207">
        <v>0.22678394717850006</v>
      </c>
      <c r="BV784" s="207">
        <v>0.20819130469982869</v>
      </c>
      <c r="BW784" s="207">
        <v>0.21300967901581197</v>
      </c>
      <c r="BX784" s="207">
        <v>0.26945690194878319</v>
      </c>
      <c r="BY784" s="207">
        <v>0.28089185867644395</v>
      </c>
      <c r="BZ784" s="207">
        <v>0.31375128513843803</v>
      </c>
      <c r="CA784" s="30">
        <v>0.28925361356578722</v>
      </c>
      <c r="CB784" s="30">
        <v>0.24408012322121697</v>
      </c>
      <c r="CC784" s="30">
        <v>0.18764765266641711</v>
      </c>
      <c r="CD784" s="30">
        <v>0.19300559219069602</v>
      </c>
      <c r="CE784" s="30">
        <v>0.20362791407982805</v>
      </c>
      <c r="CF784" s="30">
        <v>0.19466285916560044</v>
      </c>
      <c r="CG784" s="30">
        <v>0.15390438555347172</v>
      </c>
      <c r="CH784" s="30">
        <v>0.14516412213615579</v>
      </c>
      <c r="CI784" s="30">
        <v>0.17675941626488334</v>
      </c>
      <c r="CJ784" s="30">
        <v>0.14864890656655802</v>
      </c>
      <c r="CK784" s="32">
        <v>0.15404385572535745</v>
      </c>
      <c r="CL784" s="32">
        <v>0.15630123435124058</v>
      </c>
      <c r="CM784" s="32">
        <v>0.15265736661570337</v>
      </c>
      <c r="CN784" s="32">
        <v>0.14609562523180047</v>
      </c>
      <c r="CO784" s="32">
        <v>0.10086801906270861</v>
      </c>
      <c r="CP784" s="32">
        <v>0.11757773782520123</v>
      </c>
      <c r="CQ784" s="32">
        <v>0.11285850689106976</v>
      </c>
      <c r="CR784" s="32">
        <v>0.10659666787394843</v>
      </c>
      <c r="CS784" s="32">
        <v>6.5182236683128378E-2</v>
      </c>
      <c r="CT784" s="32">
        <v>0.11332422974390928</v>
      </c>
      <c r="CU784" s="32">
        <v>0.11875492777086274</v>
      </c>
      <c r="CV784" s="31">
        <v>0.12431033961738984</v>
      </c>
      <c r="CW784" s="30">
        <v>0.10468601819809173</v>
      </c>
      <c r="CX784" s="30">
        <v>0.10540338518118184</v>
      </c>
      <c r="CY784" s="30">
        <v>0.10489322302652743</v>
      </c>
      <c r="CZ784" s="30">
        <v>0.1044106816327804</v>
      </c>
      <c r="DA784" s="30">
        <v>0.1058083912910058</v>
      </c>
      <c r="DB784" s="30">
        <v>0.10811088898297298</v>
      </c>
      <c r="DC784" s="30">
        <v>8.7500961822660747E-2</v>
      </c>
      <c r="DD784" s="30">
        <v>8.9987591507732348E-2</v>
      </c>
      <c r="DE784" s="30">
        <v>0.10910378753576717</v>
      </c>
      <c r="DF784" s="30">
        <v>0.1104406224232843</v>
      </c>
    </row>
    <row r="785" spans="1:110" ht="12" outlineLevel="1">
      <c r="A785" s="1" t="s">
        <v>1003</v>
      </c>
      <c r="B785" s="15" t="s">
        <v>596</v>
      </c>
      <c r="C785" s="207">
        <v>0.21215996279934898</v>
      </c>
      <c r="D785" s="207">
        <v>0.22344971453399851</v>
      </c>
      <c r="E785" s="207">
        <v>0.21694401431031365</v>
      </c>
      <c r="F785" s="207">
        <v>0.20627076003903372</v>
      </c>
      <c r="G785" s="207">
        <v>0.21181716833890746</v>
      </c>
      <c r="H785" s="207">
        <v>0.20345614607107923</v>
      </c>
      <c r="I785" s="207">
        <v>0.21672795555903304</v>
      </c>
      <c r="J785" s="207">
        <v>0.23340901703169797</v>
      </c>
      <c r="K785" s="207">
        <v>0.22289196902450187</v>
      </c>
      <c r="L785" s="207">
        <v>0.24179870629107864</v>
      </c>
      <c r="M785" s="30">
        <v>0.24031020227162186</v>
      </c>
      <c r="N785" s="30">
        <v>0.23115072260692243</v>
      </c>
      <c r="O785" s="30">
        <v>0.2315642676915429</v>
      </c>
      <c r="P785" s="30">
        <v>0.20338983050847464</v>
      </c>
      <c r="Q785" s="30">
        <v>0.13223468678645889</v>
      </c>
      <c r="R785" s="30">
        <v>7.8433520053402719E-2</v>
      </c>
      <c r="S785" s="30">
        <v>0.18362185746615764</v>
      </c>
      <c r="T785" s="32">
        <v>0.17380732371681853</v>
      </c>
      <c r="U785" s="30">
        <v>0.19770068248933437</v>
      </c>
      <c r="V785" s="30">
        <v>0.19181977967819239</v>
      </c>
      <c r="W785" s="30">
        <v>0.17749084280311103</v>
      </c>
      <c r="X785" s="30">
        <v>0.18032582235815492</v>
      </c>
      <c r="Y785" s="32">
        <v>0.18227848101265823</v>
      </c>
      <c r="Z785" s="32">
        <v>0.17929740177766187</v>
      </c>
      <c r="AA785" s="32">
        <v>0.17331948671092937</v>
      </c>
      <c r="AB785" s="32">
        <v>0.17756956266977697</v>
      </c>
      <c r="AC785" s="32">
        <v>0.17480417224725031</v>
      </c>
      <c r="AD785" s="32">
        <v>0.16431149944693585</v>
      </c>
      <c r="AE785" s="32">
        <v>0.1492502401882348</v>
      </c>
      <c r="AF785" s="32">
        <v>0.10703293321021853</v>
      </c>
      <c r="AG785" s="32">
        <v>0.12111643862316299</v>
      </c>
      <c r="AH785" s="32">
        <v>0.12844690197075515</v>
      </c>
      <c r="AI785" s="32">
        <v>0.12880602198880253</v>
      </c>
      <c r="AJ785" s="32">
        <v>0.12542981240104761</v>
      </c>
      <c r="AK785" s="32">
        <v>0.10487599831862127</v>
      </c>
      <c r="AL785" s="32">
        <v>0.12256009906861259</v>
      </c>
      <c r="AM785" s="32">
        <v>9.2654904702654181E-2</v>
      </c>
      <c r="AN785" s="32">
        <v>4.975702514261568E-2</v>
      </c>
      <c r="AO785" s="32">
        <v>8.1396055154938862E-2</v>
      </c>
      <c r="AP785" s="32">
        <v>0.10217556671230793</v>
      </c>
      <c r="AQ785" s="32">
        <v>0.10720039448045958</v>
      </c>
      <c r="AR785" s="32">
        <v>0.10513816765921852</v>
      </c>
      <c r="AS785" s="32">
        <v>0.11345700826113723</v>
      </c>
      <c r="AT785" s="32">
        <v>0.11992688637595011</v>
      </c>
      <c r="AU785" s="32">
        <v>0.10993671932310795</v>
      </c>
      <c r="AV785" s="31">
        <v>0.10583713238580496</v>
      </c>
      <c r="AW785" s="30">
        <v>0.10120717942800284</v>
      </c>
      <c r="AX785" s="30">
        <v>0.10539270608880177</v>
      </c>
      <c r="AY785" s="30">
        <v>0.1039179246649224</v>
      </c>
      <c r="AZ785" s="30">
        <v>0.10665186368735836</v>
      </c>
      <c r="BA785" s="30">
        <v>0.10235112470867289</v>
      </c>
      <c r="BB785" s="30">
        <v>0.10738962440001538</v>
      </c>
      <c r="BC785" s="30">
        <v>0.10185843509324469</v>
      </c>
      <c r="BD785" s="30">
        <v>0.1086184385340825</v>
      </c>
      <c r="BE785" s="30">
        <v>0.10407106712077245</v>
      </c>
      <c r="BF785" s="30">
        <v>0.11117592398238096</v>
      </c>
      <c r="BG785" s="30">
        <v>0.10649549346672349</v>
      </c>
      <c r="BH785" s="30">
        <v>0.10033177879070067</v>
      </c>
      <c r="BI785" s="30">
        <v>8.0367376653338263E-2</v>
      </c>
      <c r="BJ785" s="30">
        <v>8.4447747144901511E-2</v>
      </c>
      <c r="BK785" s="30">
        <v>9.2035256936034648E-2</v>
      </c>
      <c r="BL785" s="30">
        <v>0.10889929812111671</v>
      </c>
      <c r="BM785" s="30">
        <v>0.1042512893386445</v>
      </c>
      <c r="BN785" s="30">
        <v>0.10959013060790131</v>
      </c>
      <c r="BO785" s="30">
        <v>0.10345591655152903</v>
      </c>
      <c r="BP785" s="30"/>
      <c r="BQ785" s="207">
        <v>-0.13736870606920801</v>
      </c>
      <c r="BR785" s="207">
        <v>7.9846895627397954E-2</v>
      </c>
      <c r="BS785" s="207">
        <v>0.13490825839550635</v>
      </c>
      <c r="BT785" s="207">
        <v>0.15972041571157161</v>
      </c>
      <c r="BU785" s="207">
        <v>0.18037863036394047</v>
      </c>
      <c r="BV785" s="207">
        <v>0.16741034395746149</v>
      </c>
      <c r="BW785" s="207">
        <v>0.15345380815647072</v>
      </c>
      <c r="BX785" s="207">
        <v>0.17168040758343966</v>
      </c>
      <c r="BY785" s="207">
        <v>0.19377703027390678</v>
      </c>
      <c r="BZ785" s="207">
        <v>0.24819260195128798</v>
      </c>
      <c r="CA785" s="30">
        <v>0.25861596937158371</v>
      </c>
      <c r="CB785" s="30">
        <v>0.20910449740848061</v>
      </c>
      <c r="CC785" s="30">
        <v>0.19844365308160458</v>
      </c>
      <c r="CD785" s="30">
        <v>0.22772180321090035</v>
      </c>
      <c r="CE785" s="30">
        <v>0.24200401074062741</v>
      </c>
      <c r="CF785" s="30">
        <v>0.2321359252291797</v>
      </c>
      <c r="CG785" s="30">
        <v>0.16623363259846163</v>
      </c>
      <c r="CH785" s="30">
        <v>0.13374321303098052</v>
      </c>
      <c r="CI785" s="30">
        <v>0.18233922500489488</v>
      </c>
      <c r="CJ785" s="30">
        <v>0.18468049090139654</v>
      </c>
      <c r="CK785" s="32">
        <v>0.18141400183246467</v>
      </c>
      <c r="CL785" s="32">
        <v>0.1764537849418486</v>
      </c>
      <c r="CM785" s="32">
        <v>0.1758103196776028</v>
      </c>
      <c r="CN785" s="32">
        <v>0.15669964272915829</v>
      </c>
      <c r="CO785" s="32">
        <v>0.11415224175696369</v>
      </c>
      <c r="CP785" s="32">
        <v>0.12881317454762153</v>
      </c>
      <c r="CQ785" s="32">
        <v>0.11499428308057755</v>
      </c>
      <c r="CR785" s="32">
        <v>0.10723727282521318</v>
      </c>
      <c r="CS785" s="32">
        <v>6.5431056246680996E-2</v>
      </c>
      <c r="CT785" s="32">
        <v>0.10472867365646359</v>
      </c>
      <c r="CU785" s="32">
        <v>0.1093148317491212</v>
      </c>
      <c r="CV785" s="31">
        <v>0.11491776086316213</v>
      </c>
      <c r="CW785" s="30">
        <v>0.10352379218578667</v>
      </c>
      <c r="CX785" s="30">
        <v>0.10465332919448503</v>
      </c>
      <c r="CY785" s="30">
        <v>0.10449100130305602</v>
      </c>
      <c r="CZ785" s="30">
        <v>0.10460431352546176</v>
      </c>
      <c r="DA785" s="30">
        <v>0.10632889900096885</v>
      </c>
      <c r="DB785" s="30">
        <v>0.10881616367822024</v>
      </c>
      <c r="DC785" s="30">
        <v>9.0207581212006338E-2</v>
      </c>
      <c r="DD785" s="30">
        <v>8.8315271641078594E-2</v>
      </c>
      <c r="DE785" s="30">
        <v>0.10655177261461707</v>
      </c>
      <c r="DF785" s="30">
        <v>0.10649372531474802</v>
      </c>
    </row>
    <row r="786" spans="1:110" ht="12" outlineLevel="1">
      <c r="A786" s="1" t="s">
        <v>1117</v>
      </c>
      <c r="B786" s="15" t="s">
        <v>1116</v>
      </c>
      <c r="C786" s="207">
        <v>0.27724441774686609</v>
      </c>
      <c r="D786" s="207">
        <v>0.29156949046155001</v>
      </c>
      <c r="E786" s="207">
        <v>0.28832394215909091</v>
      </c>
      <c r="F786" s="207">
        <v>0.2680301930252097</v>
      </c>
      <c r="G786" s="207">
        <v>0.25139776644754264</v>
      </c>
      <c r="H786" s="207">
        <v>0.22244538544094411</v>
      </c>
      <c r="I786" s="207">
        <v>0.2351351762296485</v>
      </c>
      <c r="J786" s="207">
        <v>0.2479742885297285</v>
      </c>
      <c r="K786" s="207">
        <v>0.23503116493263509</v>
      </c>
      <c r="L786" s="207">
        <v>0.25493890563280092</v>
      </c>
      <c r="M786" s="30">
        <v>0.25421340099693968</v>
      </c>
      <c r="N786" s="30">
        <v>0.24354159104125142</v>
      </c>
      <c r="O786" s="30">
        <v>0.23746174514613691</v>
      </c>
      <c r="P786" s="30">
        <v>0.21086727202307948</v>
      </c>
      <c r="Q786" s="30">
        <v>0.14259220573980766</v>
      </c>
      <c r="R786" s="30">
        <v>7.758527722489969E-2</v>
      </c>
      <c r="S786" s="30">
        <v>0.23307860920619181</v>
      </c>
      <c r="T786" s="32">
        <v>0.20582595130357034</v>
      </c>
      <c r="U786" s="30">
        <v>0.22582515547872511</v>
      </c>
      <c r="V786" s="30">
        <v>0.17910766860185362</v>
      </c>
      <c r="W786" s="30">
        <v>0.16807153266637637</v>
      </c>
      <c r="X786" s="30">
        <v>0.17464239449275412</v>
      </c>
      <c r="Y786" s="32">
        <v>0.17923295116613036</v>
      </c>
      <c r="Z786" s="32">
        <v>0.17825129098747192</v>
      </c>
      <c r="AA786" s="32">
        <v>0.1765565219234134</v>
      </c>
      <c r="AB786" s="32">
        <v>0.1716235636038006</v>
      </c>
      <c r="AC786" s="32">
        <v>0.17197434387862059</v>
      </c>
      <c r="AD786" s="32">
        <v>0.16088619536328067</v>
      </c>
      <c r="AE786" s="32">
        <v>0.15623334675840694</v>
      </c>
      <c r="AF786" s="32">
        <v>0.10577149628242304</v>
      </c>
      <c r="AG786" s="32">
        <v>0.11789899471522121</v>
      </c>
      <c r="AH786" s="32">
        <v>0.12959367691910212</v>
      </c>
      <c r="AI786" s="32">
        <v>0.12939567495109636</v>
      </c>
      <c r="AJ786" s="32">
        <v>0.12995188433415178</v>
      </c>
      <c r="AK786" s="32">
        <v>0.11114953063630888</v>
      </c>
      <c r="AL786" s="32">
        <v>0.13037350890600496</v>
      </c>
      <c r="AM786" s="32">
        <v>9.7734439586142335E-2</v>
      </c>
      <c r="AN786" s="32">
        <v>5.046925537038869E-2</v>
      </c>
      <c r="AO786" s="32">
        <v>8.6171983360443252E-2</v>
      </c>
      <c r="AP786" s="32">
        <v>0.11809909484801578</v>
      </c>
      <c r="AQ786" s="32">
        <v>0.12296715786147505</v>
      </c>
      <c r="AR786" s="32">
        <v>0.11377215317732164</v>
      </c>
      <c r="AS786" s="32">
        <v>0.1293716575084948</v>
      </c>
      <c r="AT786" s="32">
        <v>0.13670114891767307</v>
      </c>
      <c r="AU786" s="32">
        <v>0.12492151791176419</v>
      </c>
      <c r="AV786" s="31">
        <v>0.12027945785636589</v>
      </c>
      <c r="AW786" s="30">
        <v>0.10745991065256172</v>
      </c>
      <c r="AX786" s="30">
        <v>0.11209526094883747</v>
      </c>
      <c r="AY786" s="30">
        <v>0.11020991637930214</v>
      </c>
      <c r="AZ786" s="30">
        <v>0.11308245555440805</v>
      </c>
      <c r="BA786" s="30">
        <v>0.10791866276361023</v>
      </c>
      <c r="BB786" s="30">
        <v>0.11301359973616354</v>
      </c>
      <c r="BC786" s="30">
        <v>0.10664282342233898</v>
      </c>
      <c r="BD786" s="30">
        <v>0.11365656198040405</v>
      </c>
      <c r="BE786" s="30">
        <v>0.10847446233526421</v>
      </c>
      <c r="BF786" s="30">
        <v>0.11595188985182778</v>
      </c>
      <c r="BG786" s="30">
        <v>0.11065903281103021</v>
      </c>
      <c r="BH786" s="30">
        <v>0.10179002508074145</v>
      </c>
      <c r="BI786" s="30">
        <v>8.1292697876380368E-2</v>
      </c>
      <c r="BJ786" s="30">
        <v>8.8272598353193177E-2</v>
      </c>
      <c r="BK786" s="30">
        <v>9.7862186110184865E-2</v>
      </c>
      <c r="BL786" s="30">
        <v>0.1166420956693953</v>
      </c>
      <c r="BM786" s="30">
        <v>0.11106092532076957</v>
      </c>
      <c r="BN786" s="30">
        <v>0.11772712015511784</v>
      </c>
      <c r="BO786" s="30">
        <v>0.11150983891669808</v>
      </c>
      <c r="BP786" s="30"/>
      <c r="BQ786" s="207">
        <v>-0.13089150015380718</v>
      </c>
      <c r="BR786" s="207">
        <v>8.3639817219368112E-2</v>
      </c>
      <c r="BS786" s="207">
        <v>0.16238278077475365</v>
      </c>
      <c r="BT786" s="207">
        <v>0.19159583763164553</v>
      </c>
      <c r="BU786" s="207">
        <v>0.22505530428893009</v>
      </c>
      <c r="BV786" s="207">
        <v>0.20694965728069603</v>
      </c>
      <c r="BW786" s="207">
        <v>0.2114790289256567</v>
      </c>
      <c r="BX786" s="207">
        <v>0.27147267581654994</v>
      </c>
      <c r="BY786" s="207">
        <v>0.28779404621067284</v>
      </c>
      <c r="BZ786" s="207">
        <v>0.44480135549575145</v>
      </c>
      <c r="CA786" s="30">
        <v>0.37562808818425469</v>
      </c>
      <c r="CB786" s="30">
        <v>0.24882212066938952</v>
      </c>
      <c r="CC786" s="30">
        <v>0.21430133173360782</v>
      </c>
      <c r="CD786" s="30">
        <v>0.24048281604554791</v>
      </c>
      <c r="CE786" s="30">
        <v>0.24604083656496778</v>
      </c>
      <c r="CF786" s="30">
        <v>0.23003698372611481</v>
      </c>
      <c r="CG786" s="30">
        <v>0.18269574387732079</v>
      </c>
      <c r="CH786" s="30">
        <v>0.16891182465934756</v>
      </c>
      <c r="CI786" s="30">
        <v>0.20790258387034433</v>
      </c>
      <c r="CJ786" s="30">
        <v>0.17396557906462612</v>
      </c>
      <c r="CK786" s="32">
        <v>0.17832545277619552</v>
      </c>
      <c r="CL786" s="32">
        <v>0.17985427952271063</v>
      </c>
      <c r="CM786" s="32">
        <v>0.1729154342704477</v>
      </c>
      <c r="CN786" s="32">
        <v>0.16421219525200551</v>
      </c>
      <c r="CO786" s="32">
        <v>0.11119471828134481</v>
      </c>
      <c r="CP786" s="32">
        <v>0.12940920901903996</v>
      </c>
      <c r="CQ786" s="32">
        <v>0.12208564528712941</v>
      </c>
      <c r="CR786" s="32">
        <v>0.11324118803651936</v>
      </c>
      <c r="CS786" s="32">
        <v>6.9198126032012974E-2</v>
      </c>
      <c r="CT786" s="32">
        <v>0.12028495995149055</v>
      </c>
      <c r="CU786" s="32">
        <v>0.12563263208063147</v>
      </c>
      <c r="CV786" s="31">
        <v>0.13148609443692738</v>
      </c>
      <c r="CW786" s="30">
        <v>0.10998425930993914</v>
      </c>
      <c r="CX786" s="30">
        <v>0.11085958562475008</v>
      </c>
      <c r="CY786" s="30">
        <v>0.11022981372382275</v>
      </c>
      <c r="CZ786" s="30">
        <v>0.10958809406081156</v>
      </c>
      <c r="DA786" s="30">
        <v>0.11089082699933328</v>
      </c>
      <c r="DB786" s="30">
        <v>0.11313175832265708</v>
      </c>
      <c r="DC786" s="30">
        <v>9.1309756073885001E-2</v>
      </c>
      <c r="DD786" s="30">
        <v>9.3909477764360358E-2</v>
      </c>
      <c r="DE786" s="30">
        <v>0.11363526843296602</v>
      </c>
      <c r="DF786" s="30">
        <v>0.11493598407420107</v>
      </c>
    </row>
    <row r="787" spans="1:110" ht="12" outlineLevel="1">
      <c r="A787" s="1" t="s">
        <v>890</v>
      </c>
      <c r="B787" s="15" t="s">
        <v>597</v>
      </c>
      <c r="C787" s="345">
        <v>1.3117322772391089E-2</v>
      </c>
      <c r="D787" s="345">
        <v>1.4697137266314856E-2</v>
      </c>
      <c r="E787" s="345">
        <v>1.5059460835570779E-2</v>
      </c>
      <c r="F787" s="345">
        <v>1.5034656198408429E-2</v>
      </c>
      <c r="G787" s="345">
        <v>1.5371810515559664E-2</v>
      </c>
      <c r="H787" s="345">
        <v>1.4755217677885795E-2</v>
      </c>
      <c r="I787" s="345">
        <v>1.4471515407984418E-2</v>
      </c>
      <c r="J787" s="345">
        <v>1.5424298194837949E-2</v>
      </c>
      <c r="K787" s="345">
        <v>1.4604694512179982E-2</v>
      </c>
      <c r="L787" s="345">
        <v>1.5314286846806066E-2</v>
      </c>
      <c r="M787" s="35">
        <v>1.5596339942533777E-2</v>
      </c>
      <c r="N787" s="35">
        <v>1.5685806335566675E-2</v>
      </c>
      <c r="O787" s="35">
        <v>1.4939004731235954E-2</v>
      </c>
      <c r="P787" s="35">
        <v>1.4001740079335825E-2</v>
      </c>
      <c r="Q787" s="35">
        <v>9.8136005304648964E-3</v>
      </c>
      <c r="R787" s="35">
        <v>6.7052175026779386E-3</v>
      </c>
      <c r="S787" s="35">
        <v>1.8113394876017319E-2</v>
      </c>
      <c r="T787" s="37">
        <v>1.8973003524826768E-2</v>
      </c>
      <c r="U787" s="35">
        <v>2.1390996345048176E-2</v>
      </c>
      <c r="V787" s="35">
        <v>2.0621212506210559E-2</v>
      </c>
      <c r="W787" s="35">
        <v>2.006996784772554E-2</v>
      </c>
      <c r="X787" s="35">
        <v>2.0460339943342776E-2</v>
      </c>
      <c r="Y787" s="37">
        <v>2.1540118470651588E-2</v>
      </c>
      <c r="Z787" s="37">
        <v>2.0457492599017989E-2</v>
      </c>
      <c r="AA787" s="37">
        <v>1.9949965983999358E-2</v>
      </c>
      <c r="AB787" s="37">
        <v>2.0123561126839672E-2</v>
      </c>
      <c r="AC787" s="37">
        <v>1.9877174109184621E-2</v>
      </c>
      <c r="AD787" s="37">
        <v>1.9696074537654887E-2</v>
      </c>
      <c r="AE787" s="37">
        <v>1.790227114022545E-2</v>
      </c>
      <c r="AF787" s="37">
        <v>1.4081227729186912E-2</v>
      </c>
      <c r="AG787" s="37">
        <v>1.5595099615141854E-2</v>
      </c>
      <c r="AH787" s="37">
        <v>1.6703699913691694E-2</v>
      </c>
      <c r="AI787" s="37">
        <v>1.7481696277398196E-2</v>
      </c>
      <c r="AJ787" s="37">
        <v>1.7804756211649172E-2</v>
      </c>
      <c r="AK787" s="37">
        <v>1.5183478564658383E-2</v>
      </c>
      <c r="AL787" s="37">
        <v>1.8161561501700313E-2</v>
      </c>
      <c r="AM787" s="37">
        <v>1.4254180053855963E-2</v>
      </c>
      <c r="AN787" s="37">
        <v>6.5267623817370753E-3</v>
      </c>
      <c r="AO787" s="37">
        <v>1.0678555002527334E-2</v>
      </c>
      <c r="AP787" s="37">
        <v>1.431897456015419E-2</v>
      </c>
      <c r="AQ787" s="37">
        <v>1.5525518762114478E-2</v>
      </c>
      <c r="AR787" s="37">
        <v>1.4620921867560024E-2</v>
      </c>
      <c r="AS787" s="37">
        <v>1.5203219787113049E-2</v>
      </c>
      <c r="AT787" s="37">
        <v>1.7251769115328278E-2</v>
      </c>
      <c r="AU787" s="37">
        <v>1.64550597878011E-2</v>
      </c>
      <c r="AV787" s="36">
        <v>1.6404458576663828E-2</v>
      </c>
      <c r="AW787" s="35">
        <v>1.5127971599500545E-2</v>
      </c>
      <c r="AX787" s="35">
        <v>1.5020570674234447E-2</v>
      </c>
      <c r="AY787" s="35">
        <v>1.4597324698827947E-2</v>
      </c>
      <c r="AZ787" s="35">
        <v>1.487468642464315E-2</v>
      </c>
      <c r="BA787" s="35">
        <v>1.4179698548696202E-2</v>
      </c>
      <c r="BB787" s="35">
        <v>1.4778623704066367E-2</v>
      </c>
      <c r="BC787" s="35">
        <v>1.3923433593715423E-2</v>
      </c>
      <c r="BD787" s="35">
        <v>1.4758283736462506E-2</v>
      </c>
      <c r="BE787" s="35">
        <v>1.4065593416434732E-2</v>
      </c>
      <c r="BF787" s="35">
        <v>1.4959350282201338E-2</v>
      </c>
      <c r="BG787" s="35">
        <v>1.4267791425213304E-2</v>
      </c>
      <c r="BH787" s="35">
        <v>1.3159059096065956E-2</v>
      </c>
      <c r="BI787" s="35">
        <v>1.0313676756934984E-2</v>
      </c>
      <c r="BJ787" s="35">
        <v>1.1048750725412377E-2</v>
      </c>
      <c r="BK787" s="35">
        <v>1.2459061728468323E-2</v>
      </c>
      <c r="BL787" s="35">
        <v>1.4926845575365E-2</v>
      </c>
      <c r="BM787" s="35">
        <v>1.4252436956723194E-2</v>
      </c>
      <c r="BN787" s="35">
        <v>1.499046505487516E-2</v>
      </c>
      <c r="BO787" s="35">
        <v>1.424904553842655E-2</v>
      </c>
      <c r="BP787" s="35"/>
      <c r="BQ787" s="345">
        <v>-8.1503358498326312E-3</v>
      </c>
      <c r="BR787" s="345">
        <v>4.8241979025336872E-3</v>
      </c>
      <c r="BS787" s="345">
        <v>9.4579656870760753E-3</v>
      </c>
      <c r="BT787" s="345">
        <v>1.1979660974337379E-2</v>
      </c>
      <c r="BU787" s="345">
        <v>1.2639232585663079E-2</v>
      </c>
      <c r="BV787" s="345">
        <v>1.1729705905921949E-2</v>
      </c>
      <c r="BW787" s="345">
        <v>1.0574011329940651E-2</v>
      </c>
      <c r="BX787" s="345">
        <v>1.2027351975159417E-2</v>
      </c>
      <c r="BY787" s="345">
        <v>1.3022504793621961E-2</v>
      </c>
      <c r="BZ787" s="345">
        <v>1.3153929996986797E-2</v>
      </c>
      <c r="CA787" s="35">
        <v>1.4879872629570337E-2</v>
      </c>
      <c r="CB787" s="35">
        <v>1.5208289178961552E-2</v>
      </c>
      <c r="CC787" s="35">
        <v>1.4604613238446798E-2</v>
      </c>
      <c r="CD787" s="35">
        <v>1.5004389808600718E-2</v>
      </c>
      <c r="CE787" s="35">
        <v>1.5460759363632096E-2</v>
      </c>
      <c r="CF787" s="35">
        <v>1.5301467946748897E-2</v>
      </c>
      <c r="CG787" s="35">
        <v>1.1906867730951221E-2</v>
      </c>
      <c r="CH787" s="35">
        <v>1.230112778530254E-2</v>
      </c>
      <c r="CI787" s="35">
        <v>2.0201150743678922E-2</v>
      </c>
      <c r="CJ787" s="35">
        <v>2.0342429162559895E-2</v>
      </c>
      <c r="CK787" s="37">
        <v>2.1009693369456971E-2</v>
      </c>
      <c r="CL787" s="37">
        <v>2.0198674003581159E-2</v>
      </c>
      <c r="CM787" s="37">
        <v>1.9999817147787268E-2</v>
      </c>
      <c r="CN787" s="37">
        <v>1.8775844926746343E-2</v>
      </c>
      <c r="CO787" s="37">
        <v>1.4841332695728108E-2</v>
      </c>
      <c r="CP787" s="37">
        <v>1.708924378216236E-2</v>
      </c>
      <c r="CQ787" s="37">
        <v>1.6490753823969813E-2</v>
      </c>
      <c r="CR787" s="37">
        <v>1.6172054858352047E-2</v>
      </c>
      <c r="CS787" s="37">
        <v>8.6174427543713513E-3</v>
      </c>
      <c r="CT787" s="37">
        <v>1.4918417765248096E-2</v>
      </c>
      <c r="CU787" s="37">
        <v>1.4921115974168802E-2</v>
      </c>
      <c r="CV787" s="36">
        <v>1.6856044145667166E-2</v>
      </c>
      <c r="CW787" s="35">
        <v>1.576002136577619E-2</v>
      </c>
      <c r="CX787" s="35">
        <v>1.4807449660631591E-2</v>
      </c>
      <c r="CY787" s="35">
        <v>1.4524563171714945E-2</v>
      </c>
      <c r="CZ787" s="35">
        <v>1.4346750853158067E-2</v>
      </c>
      <c r="DA787" s="35">
        <v>1.4408604857679376E-2</v>
      </c>
      <c r="DB787" s="35">
        <v>1.4610048400965941E-2</v>
      </c>
      <c r="DC787" s="35">
        <v>1.1701274936916455E-2</v>
      </c>
      <c r="DD787" s="35">
        <v>1.1754122976495411E-2</v>
      </c>
      <c r="DE787" s="35">
        <v>1.4585787758112388E-2</v>
      </c>
      <c r="DF787" s="35">
        <v>1.4617293841269991E-2</v>
      </c>
    </row>
    <row r="788" spans="1:110" ht="12" outlineLevel="1">
      <c r="A788" s="1" t="s">
        <v>891</v>
      </c>
      <c r="B788" s="15" t="s">
        <v>501</v>
      </c>
      <c r="C788" s="345">
        <v>1.0372146949167955E-2</v>
      </c>
      <c r="D788" s="345">
        <v>1.1313957181545028E-2</v>
      </c>
      <c r="E788" s="345">
        <v>1.1713901398202348E-2</v>
      </c>
      <c r="F788" s="345">
        <v>1.1635021468873406E-2</v>
      </c>
      <c r="G788" s="345">
        <v>1.1909791273823876E-2</v>
      </c>
      <c r="H788" s="345">
        <v>1.0856894301870378E-2</v>
      </c>
      <c r="I788" s="345">
        <v>1.0817777083496061E-2</v>
      </c>
      <c r="J788" s="345">
        <v>1.1406805004596897E-2</v>
      </c>
      <c r="K788" s="345">
        <v>1.0646576763932315E-2</v>
      </c>
      <c r="L788" s="345">
        <v>1.0928865519537713E-2</v>
      </c>
      <c r="M788" s="35">
        <v>1.1048877914852385E-2</v>
      </c>
      <c r="N788" s="35">
        <v>1.1022451220930403E-2</v>
      </c>
      <c r="O788" s="35">
        <v>1.0399765527504911E-2</v>
      </c>
      <c r="P788" s="35">
        <v>8.9166441676742335E-3</v>
      </c>
      <c r="Q788" s="35">
        <v>5.9816643127709899E-3</v>
      </c>
      <c r="R788" s="35">
        <v>3.5512982707431966E-3</v>
      </c>
      <c r="S788" s="35">
        <v>9.9267152631805061E-3</v>
      </c>
      <c r="T788" s="37">
        <v>9.3931198689790902E-3</v>
      </c>
      <c r="U788" s="35">
        <v>1.007846115319015E-2</v>
      </c>
      <c r="V788" s="35">
        <v>9.881361486718419E-3</v>
      </c>
      <c r="W788" s="35">
        <v>9.4787476049296073E-3</v>
      </c>
      <c r="X788" s="35">
        <v>9.4368589534200038E-3</v>
      </c>
      <c r="Y788" s="37">
        <v>9.809126847580181E-3</v>
      </c>
      <c r="Z788" s="37">
        <v>9.73179569327157E-3</v>
      </c>
      <c r="AA788" s="37">
        <v>9.4856019648272474E-3</v>
      </c>
      <c r="AB788" s="37">
        <v>9.5886785433891598E-3</v>
      </c>
      <c r="AC788" s="37">
        <v>9.3951339880914992E-3</v>
      </c>
      <c r="AD788" s="37">
        <v>8.875974805525249E-3</v>
      </c>
      <c r="AE788" s="37">
        <v>8.1007517599198248E-3</v>
      </c>
      <c r="AF788" s="37">
        <v>6.1770883754390798E-3</v>
      </c>
      <c r="AG788" s="37">
        <v>6.7907373206421368E-3</v>
      </c>
      <c r="AH788" s="37">
        <v>7.3302952911055803E-3</v>
      </c>
      <c r="AI788" s="37">
        <v>7.4859912515363542E-3</v>
      </c>
      <c r="AJ788" s="37">
        <v>7.8557148422309705E-3</v>
      </c>
      <c r="AK788" s="37">
        <v>6.5527503508789418E-3</v>
      </c>
      <c r="AL788" s="37">
        <v>7.6721503537171181E-3</v>
      </c>
      <c r="AM788" s="37">
        <v>5.9215505012977232E-3</v>
      </c>
      <c r="AN788" s="37">
        <v>2.7652393947785315E-3</v>
      </c>
      <c r="AO788" s="37">
        <v>4.3347499061882483E-3</v>
      </c>
      <c r="AP788" s="37">
        <v>5.735091903566838E-3</v>
      </c>
      <c r="AQ788" s="37">
        <v>6.2315698111043826E-3</v>
      </c>
      <c r="AR788" s="37">
        <v>6.18266268519394E-3</v>
      </c>
      <c r="AS788" s="37">
        <v>6.3891544754953516E-3</v>
      </c>
      <c r="AT788" s="37">
        <v>6.9036482991689969E-3</v>
      </c>
      <c r="AU788" s="37">
        <v>6.409237894207497E-3</v>
      </c>
      <c r="AV788" s="36">
        <v>6.1083615076922022E-3</v>
      </c>
      <c r="AW788" s="35">
        <v>5.5215851304913745E-3</v>
      </c>
      <c r="AX788" s="35">
        <v>5.2516008143875265E-3</v>
      </c>
      <c r="AY788" s="35">
        <v>5.0938523504030497E-3</v>
      </c>
      <c r="AZ788" s="35">
        <v>5.1813695371897492E-3</v>
      </c>
      <c r="BA788" s="35">
        <v>4.9411668553527612E-3</v>
      </c>
      <c r="BB788" s="35">
        <v>5.1554057918801891E-3</v>
      </c>
      <c r="BC788" s="35">
        <v>4.8633716797226749E-3</v>
      </c>
      <c r="BD788" s="35">
        <v>5.1622310637421225E-3</v>
      </c>
      <c r="BE788" s="35">
        <v>4.9268793476329748E-3</v>
      </c>
      <c r="BF788" s="35">
        <v>5.247358224515458E-3</v>
      </c>
      <c r="BG788" s="35">
        <v>5.0118803657226369E-3</v>
      </c>
      <c r="BH788" s="35">
        <v>4.6925082297795337E-3</v>
      </c>
      <c r="BI788" s="35">
        <v>3.7817120458397279E-3</v>
      </c>
      <c r="BJ788" s="35">
        <v>4.0558055796577766E-3</v>
      </c>
      <c r="BK788" s="35">
        <v>4.4605103653445853E-3</v>
      </c>
      <c r="BL788" s="35">
        <v>5.2808969320255047E-3</v>
      </c>
      <c r="BM788" s="35">
        <v>5.049563290331213E-3</v>
      </c>
      <c r="BN788" s="35">
        <v>5.3148378601501432E-3</v>
      </c>
      <c r="BO788" s="35">
        <v>5.0519691298038646E-3</v>
      </c>
      <c r="BP788" s="35"/>
      <c r="BQ788" s="345">
        <v>-6.4364393058154931E-3</v>
      </c>
      <c r="BR788" s="345">
        <v>3.7109645774225739E-3</v>
      </c>
      <c r="BS788" s="345">
        <v>6.9612270245809306E-3</v>
      </c>
      <c r="BT788" s="345">
        <v>8.5220159530707881E-3</v>
      </c>
      <c r="BU788" s="345">
        <v>9.2367284103888371E-3</v>
      </c>
      <c r="BV788" s="345">
        <v>8.5068977791984187E-3</v>
      </c>
      <c r="BW788" s="345">
        <v>7.6648597167589712E-3</v>
      </c>
      <c r="BX788" s="345">
        <v>9.2753012167245269E-3</v>
      </c>
      <c r="BY788" s="345">
        <v>9.7385151330366907E-3</v>
      </c>
      <c r="BZ788" s="345">
        <v>1.0153450335385464E-2</v>
      </c>
      <c r="CA788" s="35">
        <v>1.1514189916527947E-2</v>
      </c>
      <c r="CB788" s="35">
        <v>1.1776347510779732E-2</v>
      </c>
      <c r="CC788" s="35">
        <v>1.083628282163141E-2</v>
      </c>
      <c r="CD788" s="35">
        <v>1.1014585337745231E-2</v>
      </c>
      <c r="CE788" s="35">
        <v>1.0990605502094696E-2</v>
      </c>
      <c r="CF788" s="35">
        <v>1.0698174952454084E-2</v>
      </c>
      <c r="CG788" s="35">
        <v>7.4164700265349397E-3</v>
      </c>
      <c r="CH788" s="35">
        <v>6.6249656391707519E-3</v>
      </c>
      <c r="CI788" s="35">
        <v>9.749987626919256E-3</v>
      </c>
      <c r="CJ788" s="35">
        <v>9.5316641709024767E-3</v>
      </c>
      <c r="CK788" s="37">
        <v>9.6274331627528818E-3</v>
      </c>
      <c r="CL788" s="37">
        <v>9.605103766515714E-3</v>
      </c>
      <c r="CM788" s="37">
        <v>9.4897602404268328E-3</v>
      </c>
      <c r="CN788" s="37">
        <v>8.4779022274028368E-3</v>
      </c>
      <c r="CO788" s="37">
        <v>6.4863328813790809E-3</v>
      </c>
      <c r="CP788" s="37">
        <v>7.408463209021156E-3</v>
      </c>
      <c r="CQ788" s="37">
        <v>7.1933032531206649E-3</v>
      </c>
      <c r="CR788" s="37">
        <v>6.7746066382768418E-3</v>
      </c>
      <c r="CS788" s="37">
        <v>3.5723689901641029E-3</v>
      </c>
      <c r="CT788" s="37">
        <v>5.9817651708393288E-3</v>
      </c>
      <c r="CU788" s="37">
        <v>6.2887982169350628E-3</v>
      </c>
      <c r="CV788" s="36">
        <v>6.6554261519731952E-3</v>
      </c>
      <c r="CW788" s="35">
        <v>5.8091950316604881E-3</v>
      </c>
      <c r="CX788" s="35">
        <v>5.1721064683586055E-3</v>
      </c>
      <c r="CY788" s="35">
        <v>5.0603784622622848E-3</v>
      </c>
      <c r="CZ788" s="35">
        <v>5.0080099883982997E-3</v>
      </c>
      <c r="DA788" s="35">
        <v>5.0435054703702638E-3</v>
      </c>
      <c r="DB788" s="35">
        <v>5.1284916098190934E-3</v>
      </c>
      <c r="DC788" s="35">
        <v>4.231954323255958E-3</v>
      </c>
      <c r="DD788" s="35">
        <v>4.2610323349668144E-3</v>
      </c>
      <c r="DE788" s="35">
        <v>5.1639915163960264E-3</v>
      </c>
      <c r="DF788" s="35">
        <v>5.1825307911481768E-3</v>
      </c>
    </row>
    <row r="789" spans="1:110" ht="12" outlineLevel="1">
      <c r="A789" s="1" t="s">
        <v>892</v>
      </c>
      <c r="B789" s="15" t="s">
        <v>502</v>
      </c>
      <c r="C789" s="345">
        <v>1.0380229218212326E-2</v>
      </c>
      <c r="D789" s="345">
        <v>1.132427668761684E-2</v>
      </c>
      <c r="E789" s="345">
        <v>1.1726027249021588E-2</v>
      </c>
      <c r="F789" s="345">
        <v>1.1645930029903322E-2</v>
      </c>
      <c r="G789" s="345">
        <v>1.1919954967149224E-2</v>
      </c>
      <c r="H789" s="345">
        <v>1.0936863276063781E-2</v>
      </c>
      <c r="I789" s="345">
        <v>1.095621666412868E-2</v>
      </c>
      <c r="J789" s="345">
        <v>1.1542903530699514E-2</v>
      </c>
      <c r="K789" s="345">
        <v>1.076129709348328E-2</v>
      </c>
      <c r="L789" s="345">
        <v>1.1032918641353395E-2</v>
      </c>
      <c r="M789" s="35">
        <v>1.1146512531563733E-2</v>
      </c>
      <c r="N789" s="35">
        <v>1.1116517613475298E-2</v>
      </c>
      <c r="O789" s="35">
        <v>1.0485665328252472E-2</v>
      </c>
      <c r="P789" s="35">
        <v>8.9843731519111333E-3</v>
      </c>
      <c r="Q789" s="35">
        <v>6.0244301497401082E-3</v>
      </c>
      <c r="R789" s="35">
        <v>3.5724154715930981E-3</v>
      </c>
      <c r="S789" s="35">
        <v>9.9897882039363967E-3</v>
      </c>
      <c r="T789" s="37">
        <v>9.4711899769288569E-3</v>
      </c>
      <c r="U789" s="35">
        <v>1.0178522682805575E-2</v>
      </c>
      <c r="V789" s="35">
        <v>9.9781327360449357E-3</v>
      </c>
      <c r="W789" s="35">
        <v>9.5673829184012207E-3</v>
      </c>
      <c r="X789" s="35">
        <v>9.5201925128579439E-3</v>
      </c>
      <c r="Y789" s="37">
        <v>9.8911114233701837E-3</v>
      </c>
      <c r="Z789" s="37">
        <v>9.8112829466125429E-3</v>
      </c>
      <c r="AA789" s="37">
        <v>9.5598079734748893E-3</v>
      </c>
      <c r="AB789" s="37">
        <v>9.6620572103260222E-3</v>
      </c>
      <c r="AC789" s="37">
        <v>9.4635920868813561E-3</v>
      </c>
      <c r="AD789" s="37">
        <v>8.9357651733606071E-3</v>
      </c>
      <c r="AE789" s="37">
        <v>8.1527302617232737E-3</v>
      </c>
      <c r="AF789" s="37">
        <v>6.214187311286222E-3</v>
      </c>
      <c r="AG789" s="37">
        <v>6.8310711502121103E-3</v>
      </c>
      <c r="AH789" s="37">
        <v>7.3728911044860903E-3</v>
      </c>
      <c r="AI789" s="37">
        <v>7.5279143862169336E-3</v>
      </c>
      <c r="AJ789" s="37">
        <v>7.8941217258096975E-3</v>
      </c>
      <c r="AK789" s="37">
        <v>6.5782746785707303E-3</v>
      </c>
      <c r="AL789" s="37">
        <v>7.7017378600917376E-3</v>
      </c>
      <c r="AM789" s="37">
        <v>5.9433701866382915E-3</v>
      </c>
      <c r="AN789" s="37">
        <v>2.7750582556019155E-3</v>
      </c>
      <c r="AO789" s="37">
        <v>4.3488863976291611E-3</v>
      </c>
      <c r="AP789" s="37">
        <v>5.7527065302161676E-3</v>
      </c>
      <c r="AQ789" s="37">
        <v>6.2505231867855705E-3</v>
      </c>
      <c r="AR789" s="37">
        <v>6.2020345229931353E-3</v>
      </c>
      <c r="AS789" s="37">
        <v>6.4076318795282848E-3</v>
      </c>
      <c r="AT789" s="37">
        <v>6.9227582726623287E-3</v>
      </c>
      <c r="AU789" s="37">
        <v>6.4273877311699385E-3</v>
      </c>
      <c r="AV789" s="36">
        <v>6.1247715280891126E-3</v>
      </c>
      <c r="AW789" s="35">
        <v>5.5357387720831232E-3</v>
      </c>
      <c r="AX789" s="35">
        <v>5.26413744071518E-3</v>
      </c>
      <c r="AY789" s="35">
        <v>5.1058190421367916E-3</v>
      </c>
      <c r="AZ789" s="35">
        <v>5.1933800070841571E-3</v>
      </c>
      <c r="BA789" s="35">
        <v>4.9524820080295876E-3</v>
      </c>
      <c r="BB789" s="35">
        <v>5.1670484754837735E-3</v>
      </c>
      <c r="BC789" s="35">
        <v>4.8741746231356197E-3</v>
      </c>
      <c r="BD789" s="35">
        <v>5.1734953521584675E-3</v>
      </c>
      <c r="BE789" s="35">
        <v>4.9374395679884124E-3</v>
      </c>
      <c r="BF789" s="35">
        <v>5.2584053640656638E-3</v>
      </c>
      <c r="BG789" s="35">
        <v>5.0222435093266685E-3</v>
      </c>
      <c r="BH789" s="35">
        <v>4.7020373200839204E-3</v>
      </c>
      <c r="BI789" s="35">
        <v>3.7892536645715339E-3</v>
      </c>
      <c r="BJ789" s="35">
        <v>4.0637417788254061E-3</v>
      </c>
      <c r="BK789" s="35">
        <v>4.4690605176443635E-3</v>
      </c>
      <c r="BL789" s="35">
        <v>5.2908051399238243E-3</v>
      </c>
      <c r="BM789" s="35">
        <v>5.0588363383415411E-3</v>
      </c>
      <c r="BN789" s="35">
        <v>5.3244462407226753E-3</v>
      </c>
      <c r="BO789" s="35">
        <v>5.0610116964269342E-3</v>
      </c>
      <c r="BP789" s="35"/>
      <c r="BQ789" s="345">
        <v>-6.4571851753331602E-3</v>
      </c>
      <c r="BR789" s="345">
        <v>3.7163068388046858E-3</v>
      </c>
      <c r="BS789" s="345">
        <v>6.9591366575714785E-3</v>
      </c>
      <c r="BT789" s="345">
        <v>8.5192980647305211E-3</v>
      </c>
      <c r="BU789" s="345">
        <v>9.2340545635525642E-3</v>
      </c>
      <c r="BV789" s="345">
        <v>8.5049336978394018E-3</v>
      </c>
      <c r="BW789" s="345">
        <v>7.6630087959429572E-3</v>
      </c>
      <c r="BX789" s="345">
        <v>9.27748396070633E-3</v>
      </c>
      <c r="BY789" s="345">
        <v>9.7459880123743226E-3</v>
      </c>
      <c r="BZ789" s="345">
        <v>1.0244197803407587E-2</v>
      </c>
      <c r="CA789" s="35">
        <v>1.1615919181883276E-2</v>
      </c>
      <c r="CB789" s="35">
        <v>1.1786853759492195E-2</v>
      </c>
      <c r="CC789" s="35">
        <v>1.0913288472657715E-2</v>
      </c>
      <c r="CD789" s="35">
        <v>1.1138663268944729E-2</v>
      </c>
      <c r="CE789" s="35">
        <v>1.1093487561894492E-2</v>
      </c>
      <c r="CF789" s="35">
        <v>1.0789564628437316E-2</v>
      </c>
      <c r="CG789" s="35">
        <v>7.4707534223611592E-3</v>
      </c>
      <c r="CH789" s="35">
        <v>6.6655855816419828E-3</v>
      </c>
      <c r="CI789" s="35">
        <v>9.8291319966839624E-3</v>
      </c>
      <c r="CJ789" s="35">
        <v>9.6224998919563487E-3</v>
      </c>
      <c r="CK789" s="37">
        <v>9.7103458034390605E-3</v>
      </c>
      <c r="CL789" s="37">
        <v>9.6828226189303208E-3</v>
      </c>
      <c r="CM789" s="37">
        <v>9.5595238655375205E-3</v>
      </c>
      <c r="CN789" s="37">
        <v>8.5322214049369811E-3</v>
      </c>
      <c r="CO789" s="37">
        <v>6.5254644365512439E-3</v>
      </c>
      <c r="CP789" s="37">
        <v>7.4513674884437598E-3</v>
      </c>
      <c r="CQ789" s="37">
        <v>7.227859179865838E-3</v>
      </c>
      <c r="CR789" s="37">
        <v>6.799796951967369E-3</v>
      </c>
      <c r="CS789" s="37">
        <v>3.5837474478435053E-3</v>
      </c>
      <c r="CT789" s="37">
        <v>6.0000871261441354E-3</v>
      </c>
      <c r="CU789" s="37">
        <v>6.3069464504911963E-3</v>
      </c>
      <c r="CV789" s="36">
        <v>6.6742355420824368E-3</v>
      </c>
      <c r="CW789" s="35">
        <v>5.8243799550306294E-3</v>
      </c>
      <c r="CX789" s="35">
        <v>5.1843546440528045E-3</v>
      </c>
      <c r="CY789" s="35">
        <v>5.0720373028730198E-3</v>
      </c>
      <c r="CZ789" s="35">
        <v>5.0192264948021063E-3</v>
      </c>
      <c r="DA789" s="35">
        <v>5.054412307516E-3</v>
      </c>
      <c r="DB789" s="35">
        <v>5.1391915842431751E-3</v>
      </c>
      <c r="DC789" s="35">
        <v>4.2404705101246045E-3</v>
      </c>
      <c r="DD789" s="35">
        <v>4.2692844716635554E-3</v>
      </c>
      <c r="DE789" s="35">
        <v>5.1735764383328249E-3</v>
      </c>
      <c r="DF789" s="35">
        <v>5.1918534121709594E-3</v>
      </c>
    </row>
    <row r="790" spans="1:110" ht="12" outlineLevel="1">
      <c r="A790" s="1" t="s">
        <v>1012</v>
      </c>
      <c r="B790" s="15" t="s">
        <v>566</v>
      </c>
      <c r="C790" s="391">
        <v>9.9502634351949411</v>
      </c>
      <c r="D790" s="391">
        <v>7.1054794520547944</v>
      </c>
      <c r="E790" s="391">
        <v>7.7133825079030558</v>
      </c>
      <c r="F790" s="391">
        <v>5.8622732321362463</v>
      </c>
      <c r="G790" s="391">
        <v>4.9918999404407387</v>
      </c>
      <c r="H790" s="391">
        <v>3.6190476190476191</v>
      </c>
      <c r="I790" s="391">
        <v>3.3219696969696968</v>
      </c>
      <c r="J790" s="391">
        <v>3.6347512617159334</v>
      </c>
      <c r="K790" s="391">
        <v>3.0826412671232877</v>
      </c>
      <c r="L790" s="391">
        <v>3.3941840903628933</v>
      </c>
      <c r="M790" s="87">
        <v>3.461211247296323</v>
      </c>
      <c r="N790" s="87">
        <v>3.5333963155408599</v>
      </c>
      <c r="O790" s="87">
        <v>3.4743364726027397</v>
      </c>
      <c r="P790" s="87">
        <v>3.9153225806451615</v>
      </c>
      <c r="Q790" s="87">
        <v>4.8050847457627119</v>
      </c>
      <c r="R790" s="87">
        <v>4.0491170160092427</v>
      </c>
      <c r="S790" s="87">
        <v>5.1178793808930791</v>
      </c>
      <c r="T790" s="88">
        <v>5.458840395030264</v>
      </c>
      <c r="U790" s="87">
        <v>4.6635684365447752</v>
      </c>
      <c r="V790" s="87">
        <v>5.2437907028969235</v>
      </c>
      <c r="W790" s="87">
        <v>5.7657534246575342</v>
      </c>
      <c r="X790" s="87">
        <v>5.5250000000000004</v>
      </c>
      <c r="Y790" s="88">
        <v>5.1544117647058822</v>
      </c>
      <c r="Z790" s="88">
        <v>4.9849239385453714</v>
      </c>
      <c r="AA790" s="88">
        <v>4.997565441475655</v>
      </c>
      <c r="AB790" s="88">
        <v>5.4752021383227536</v>
      </c>
      <c r="AC790" s="88">
        <v>5.5184714560218184</v>
      </c>
      <c r="AD790" s="88">
        <v>4.8761171822892617</v>
      </c>
      <c r="AE790" s="88">
        <v>5.0884483188044829</v>
      </c>
      <c r="AF790" s="88">
        <v>5.2469387755102037</v>
      </c>
      <c r="AG790" s="88">
        <v>4.363725490196078</v>
      </c>
      <c r="AH790" s="88">
        <v>3.4929549902152641</v>
      </c>
      <c r="AI790" s="88">
        <v>3.4901632714957285</v>
      </c>
      <c r="AJ790" s="88">
        <v>3.2215765612050893</v>
      </c>
      <c r="AK790" s="88">
        <v>2.7819063926940641</v>
      </c>
      <c r="AL790" s="88">
        <v>2.7592846270928466</v>
      </c>
      <c r="AM790" s="88">
        <v>2.545634530886534</v>
      </c>
      <c r="AN790" s="88">
        <v>2.6825726141078836</v>
      </c>
      <c r="AO790" s="88">
        <v>2.627853881278539</v>
      </c>
      <c r="AP790" s="88">
        <v>2.1400435063789756</v>
      </c>
      <c r="AQ790" s="88">
        <v>2.3958495195256591</v>
      </c>
      <c r="AR790" s="88">
        <v>2.4852359208523591</v>
      </c>
      <c r="AS790" s="88">
        <v>2.4529385771100309</v>
      </c>
      <c r="AT790" s="88">
        <v>2.7118749474745778</v>
      </c>
      <c r="AU790" s="88">
        <v>2.867707878893639</v>
      </c>
      <c r="AV790" s="89">
        <v>3.0198675496688741</v>
      </c>
      <c r="AW790" s="87">
        <v>3.0198675496688736</v>
      </c>
      <c r="AX790" s="87">
        <v>3.0198675496688745</v>
      </c>
      <c r="AY790" s="87">
        <v>3.0198675496688736</v>
      </c>
      <c r="AZ790" s="87">
        <v>3.0198675496688741</v>
      </c>
      <c r="BA790" s="87">
        <v>3.0198675496688741</v>
      </c>
      <c r="BB790" s="87">
        <v>3.0198675496688741</v>
      </c>
      <c r="BC790" s="87">
        <v>3.0198675496688741</v>
      </c>
      <c r="BD790" s="87">
        <v>3.0198675496688736</v>
      </c>
      <c r="BE790" s="87">
        <v>3.0198675496688741</v>
      </c>
      <c r="BF790" s="87">
        <v>3.0198675496688741</v>
      </c>
      <c r="BG790" s="87">
        <v>3.0198675496688736</v>
      </c>
      <c r="BH790" s="87">
        <v>3.0198675496688741</v>
      </c>
      <c r="BI790" s="87">
        <v>3.0198675496688741</v>
      </c>
      <c r="BJ790" s="87">
        <v>3.0198675496688741</v>
      </c>
      <c r="BK790" s="87">
        <v>3.0198675496688736</v>
      </c>
      <c r="BL790" s="87">
        <v>3.0198675496688736</v>
      </c>
      <c r="BM790" s="87">
        <v>3.0198675496688736</v>
      </c>
      <c r="BN790" s="87">
        <v>3.0198675496688741</v>
      </c>
      <c r="BO790" s="87">
        <v>3.0198675496688741</v>
      </c>
      <c r="BP790" s="35"/>
      <c r="BQ790" s="391" t="e">
        <v>#DIV/0!</v>
      </c>
      <c r="BR790" s="391" t="e">
        <v>#DIV/0!</v>
      </c>
      <c r="BS790" s="391" t="e">
        <v>#DIV/0!</v>
      </c>
      <c r="BT790" s="391" t="e">
        <v>#DIV/0!</v>
      </c>
      <c r="BU790" s="391" t="e">
        <v>#DIV/0!</v>
      </c>
      <c r="BV790" s="391" t="e">
        <v>#DIV/0!</v>
      </c>
      <c r="BW790" s="391" t="e">
        <v>#DIV/0!</v>
      </c>
      <c r="BX790" s="391" t="e">
        <v>#DIV/0!</v>
      </c>
      <c r="BY790" s="391" t="e">
        <v>#DIV/0!</v>
      </c>
      <c r="BZ790" s="391">
        <v>12.431818181818182</v>
      </c>
      <c r="CA790" s="87">
        <v>8</v>
      </c>
      <c r="CB790" s="87">
        <v>5.5180722891566267</v>
      </c>
      <c r="CC790" s="87">
        <v>3.3992248062015502</v>
      </c>
      <c r="CD790" s="87">
        <v>3.2520661157024793</v>
      </c>
      <c r="CE790" s="87">
        <v>3.4517543859649122</v>
      </c>
      <c r="CF790" s="87">
        <v>3.6352459016393444</v>
      </c>
      <c r="CG790" s="87">
        <v>4.4917355371900829</v>
      </c>
      <c r="CH790" s="87">
        <v>4.6062500000000002</v>
      </c>
      <c r="CI790" s="87">
        <v>4.9903381642512077</v>
      </c>
      <c r="CJ790" s="87">
        <v>5.6004016064257032</v>
      </c>
      <c r="CK790" s="88">
        <v>5.2093749999999996</v>
      </c>
      <c r="CL790" s="88">
        <v>5.1331592689295036</v>
      </c>
      <c r="CM790" s="88">
        <v>5.5199530516431921</v>
      </c>
      <c r="CN790" s="88">
        <v>5.0055350553505535</v>
      </c>
      <c r="CO790" s="88">
        <v>5.0949999999999998</v>
      </c>
      <c r="CP790" s="88">
        <v>3.591150442477876</v>
      </c>
      <c r="CQ790" s="88">
        <v>2.8796133567662565</v>
      </c>
      <c r="CR790" s="88">
        <v>2.653771760154739</v>
      </c>
      <c r="CS790" s="88">
        <v>2.5673913043478263</v>
      </c>
      <c r="CT790" s="88">
        <v>2.302995391705069</v>
      </c>
      <c r="CU790" s="88">
        <v>2.4746666666666668</v>
      </c>
      <c r="CV790" s="89">
        <v>2.8359375</v>
      </c>
      <c r="CW790" s="87">
        <v>3.0706327014143215</v>
      </c>
      <c r="CX790" s="87">
        <v>3.0268427716087971</v>
      </c>
      <c r="CY790" s="87">
        <v>3.0184347268837866</v>
      </c>
      <c r="CZ790" s="87">
        <v>3.0190510926785117</v>
      </c>
      <c r="DA790" s="87">
        <v>3.0199330038123726</v>
      </c>
      <c r="DB790" s="87">
        <v>3.0192493108878171</v>
      </c>
      <c r="DC790" s="87">
        <v>3.0180857903418747</v>
      </c>
      <c r="DD790" s="87">
        <v>3.020430587416072</v>
      </c>
      <c r="DE790" s="87">
        <v>3.0214347346790631</v>
      </c>
      <c r="DF790" s="87">
        <v>3.0195806905557201</v>
      </c>
    </row>
    <row r="791" spans="1:110" ht="12" outlineLevel="1">
      <c r="A791" s="1" t="s">
        <v>677</v>
      </c>
      <c r="B791" s="15" t="s">
        <v>776</v>
      </c>
      <c r="C791" s="345"/>
      <c r="D791" s="345"/>
      <c r="E791" s="345"/>
      <c r="F791" s="345"/>
      <c r="G791" s="345"/>
      <c r="H791" s="345"/>
      <c r="I791" s="345"/>
      <c r="J791" s="345"/>
      <c r="K791" s="345"/>
      <c r="L791" s="345"/>
      <c r="M791" s="35"/>
      <c r="N791" s="35"/>
      <c r="O791" s="35"/>
      <c r="P791" s="30">
        <v>8.4660062405609859E-2</v>
      </c>
      <c r="Q791" s="30">
        <v>9.8466133951753174E-2</v>
      </c>
      <c r="R791" s="30">
        <v>0.10283634207225241</v>
      </c>
      <c r="S791" s="30">
        <v>0.11721966957930892</v>
      </c>
      <c r="T791" s="32">
        <v>0.13827429726901871</v>
      </c>
      <c r="U791" s="30">
        <v>0.14261234730122505</v>
      </c>
      <c r="V791" s="30">
        <v>0.14503628299555058</v>
      </c>
      <c r="W791" s="30">
        <v>0.16692933489618994</v>
      </c>
      <c r="X791" s="30">
        <v>0.17679277817222841</v>
      </c>
      <c r="Y791" s="32">
        <v>0.17946628641271134</v>
      </c>
      <c r="Z791" s="32">
        <v>0.18975662121889267</v>
      </c>
      <c r="AA791" s="32">
        <v>0.20923773729654369</v>
      </c>
      <c r="AB791" s="32">
        <v>0.2174855906008904</v>
      </c>
      <c r="AC791" s="32">
        <v>0.22544508892051285</v>
      </c>
      <c r="AD791" s="32">
        <v>0.23075026203510871</v>
      </c>
      <c r="AE791" s="32">
        <v>0.23826570037655789</v>
      </c>
      <c r="AF791" s="32">
        <v>0.17326656394453005</v>
      </c>
      <c r="AG791" s="32">
        <v>0.1858384673812136</v>
      </c>
      <c r="AH791" s="32">
        <v>0.18048036847803653</v>
      </c>
      <c r="AI791" s="32">
        <v>0.17641714993598251</v>
      </c>
      <c r="AJ791" s="32">
        <v>0.16961985305738406</v>
      </c>
      <c r="AK791" s="32">
        <v>0.12962878958196145</v>
      </c>
      <c r="AL791" s="32">
        <v>0.13860205518229596</v>
      </c>
      <c r="AM791" s="32">
        <v>0.12667215681021962</v>
      </c>
      <c r="AN791" s="32">
        <v>0.12343627834245505</v>
      </c>
      <c r="AO791" s="32">
        <v>0.10013492675404781</v>
      </c>
      <c r="AP791" s="32">
        <v>9.890263997475722E-2</v>
      </c>
      <c r="AQ791" s="32">
        <v>9.7244409608863588E-2</v>
      </c>
      <c r="AR791" s="32">
        <v>8.9332982732930138E-2</v>
      </c>
      <c r="AS791" s="32">
        <v>8.7330830071103302E-2</v>
      </c>
      <c r="AT791" s="32">
        <v>8.1691918481073031E-2</v>
      </c>
      <c r="AU791" s="32">
        <v>8.3409711765651137E-2</v>
      </c>
      <c r="AV791" s="31">
        <v>8.091917024320458E-2</v>
      </c>
      <c r="AW791" s="30">
        <v>8.1818037966624652E-2</v>
      </c>
      <c r="AX791" s="30">
        <v>7.7021047977094886E-2</v>
      </c>
      <c r="AY791" s="30">
        <v>7.8092082056168272E-2</v>
      </c>
      <c r="AZ791" s="30">
        <v>7.8203287134966812E-2</v>
      </c>
      <c r="BA791" s="30">
        <v>7.8711653509810131E-2</v>
      </c>
      <c r="BB791" s="30">
        <v>7.8448681265199466E-2</v>
      </c>
      <c r="BC791" s="30">
        <v>7.8796918218074691E-2</v>
      </c>
      <c r="BD791" s="30">
        <v>7.8615201967084436E-2</v>
      </c>
      <c r="BE791" s="30">
        <v>7.8494179984099022E-2</v>
      </c>
      <c r="BF791" s="30">
        <v>7.8318114167484798E-2</v>
      </c>
      <c r="BG791" s="30">
        <v>7.7947888297363252E-2</v>
      </c>
      <c r="BH791" s="30">
        <v>7.8264194630795522E-2</v>
      </c>
      <c r="BI791" s="30">
        <v>7.7687163389768776E-2</v>
      </c>
      <c r="BJ791" s="30">
        <v>7.6657803016149412E-2</v>
      </c>
      <c r="BK791" s="30">
        <v>7.6391820692525272E-2</v>
      </c>
      <c r="BL791" s="30">
        <v>7.545339924879188E-2</v>
      </c>
      <c r="BM791" s="30">
        <v>7.5466029777185931E-2</v>
      </c>
      <c r="BN791" s="30">
        <v>7.5188833057141288E-2</v>
      </c>
      <c r="BO791" s="30">
        <v>7.5996905517664984E-2</v>
      </c>
      <c r="BP791" s="35"/>
      <c r="BQ791" s="207">
        <v>0</v>
      </c>
      <c r="BR791" s="207">
        <v>0</v>
      </c>
      <c r="BS791" s="207">
        <v>0</v>
      </c>
      <c r="BT791" s="207">
        <v>0</v>
      </c>
      <c r="BU791" s="207">
        <v>0</v>
      </c>
      <c r="BV791" s="207">
        <v>0</v>
      </c>
      <c r="BW791" s="207">
        <v>0</v>
      </c>
      <c r="BX791" s="207">
        <v>0</v>
      </c>
      <c r="BY791" s="207">
        <v>4.3453070683661645E-2</v>
      </c>
      <c r="BZ791" s="207">
        <v>0.11507246376811595</v>
      </c>
      <c r="CA791" s="30">
        <v>0.11593416931369185</v>
      </c>
      <c r="CB791" s="30">
        <v>0.12212834244261937</v>
      </c>
      <c r="CC791" s="30">
        <v>9.5006418456874811E-2</v>
      </c>
      <c r="CD791" s="30">
        <v>8.0605586008874963E-2</v>
      </c>
      <c r="CE791" s="30">
        <v>7.7780760135499172E-2</v>
      </c>
      <c r="CF791" s="30">
        <v>8.3615974632867948E-2</v>
      </c>
      <c r="CG791" s="30">
        <v>0.10117656200423485</v>
      </c>
      <c r="CH791" s="30">
        <v>0.11924475512689243</v>
      </c>
      <c r="CI791" s="30">
        <v>0.15222013758599123</v>
      </c>
      <c r="CJ791" s="30">
        <v>0.16820029959340896</v>
      </c>
      <c r="CK791" s="32">
        <v>0.18187448389760527</v>
      </c>
      <c r="CL791" s="32">
        <v>0.21604938271604937</v>
      </c>
      <c r="CM791" s="32">
        <v>0.23309100947823685</v>
      </c>
      <c r="CN791" s="32">
        <v>0.24665359365674824</v>
      </c>
      <c r="CO791" s="32">
        <v>0.18136891524586113</v>
      </c>
      <c r="CP791" s="32">
        <v>0.18093195554689023</v>
      </c>
      <c r="CQ791" s="32">
        <v>0.13859358236613675</v>
      </c>
      <c r="CR791" s="32">
        <v>0.13394755492558469</v>
      </c>
      <c r="CS791" s="32">
        <v>0.10429632603894801</v>
      </c>
      <c r="CT791" s="32">
        <v>0.10024015871358463</v>
      </c>
      <c r="CU791" s="32">
        <v>8.8712871287128708E-2</v>
      </c>
      <c r="CV791" s="31">
        <v>8.5583907617805918E-2</v>
      </c>
      <c r="CW791" s="30">
        <v>8.4425561095803445E-2</v>
      </c>
      <c r="CX791" s="30">
        <v>7.9081249556845229E-2</v>
      </c>
      <c r="CY791" s="30">
        <v>7.9911718443473154E-2</v>
      </c>
      <c r="CZ791" s="30">
        <v>8.0062540133867821E-2</v>
      </c>
      <c r="DA791" s="30">
        <v>8.0010287744215786E-2</v>
      </c>
      <c r="DB791" s="30">
        <v>7.9564792523501307E-2</v>
      </c>
      <c r="DC791" s="30">
        <v>7.9404832593736832E-2</v>
      </c>
      <c r="DD791" s="30">
        <v>7.8039975674928527E-2</v>
      </c>
      <c r="DE791" s="30">
        <v>7.7073198240098326E-2</v>
      </c>
      <c r="DF791" s="30">
        <v>7.7202305308092842E-2</v>
      </c>
    </row>
    <row r="792" spans="1:110" ht="12" outlineLevel="1">
      <c r="A792" s="1" t="s">
        <v>814</v>
      </c>
      <c r="B792" s="15" t="s">
        <v>503</v>
      </c>
      <c r="C792" s="207">
        <v>0.40553696379677517</v>
      </c>
      <c r="D792" s="207">
        <v>0.4176052163604031</v>
      </c>
      <c r="E792" s="207">
        <v>0.41916555620627122</v>
      </c>
      <c r="F792" s="207">
        <v>0.40446871095304487</v>
      </c>
      <c r="G792" s="207">
        <v>0.41909157803197539</v>
      </c>
      <c r="H792" s="207">
        <v>0.4017063421036931</v>
      </c>
      <c r="I792" s="207">
        <v>0.40022155750116345</v>
      </c>
      <c r="J792" s="207">
        <v>0.32421816992254332</v>
      </c>
      <c r="K792" s="207">
        <v>0.33604723085869992</v>
      </c>
      <c r="L792" s="207">
        <v>0.3330138348139845</v>
      </c>
      <c r="M792" s="30">
        <v>0.32304359599241811</v>
      </c>
      <c r="N792" s="30">
        <v>0.34515476181840604</v>
      </c>
      <c r="O792" s="30">
        <v>0.36073185896958498</v>
      </c>
      <c r="P792" s="30">
        <v>0.39410356981994615</v>
      </c>
      <c r="Q792" s="30">
        <v>0.32579839881261002</v>
      </c>
      <c r="R792" s="30">
        <v>0.21188402385436284</v>
      </c>
      <c r="S792" s="30">
        <v>0.37996614216377017</v>
      </c>
      <c r="T792" s="32">
        <v>0.3165514542845963</v>
      </c>
      <c r="U792" s="30">
        <v>0.31873714769565742</v>
      </c>
      <c r="V792" s="30">
        <v>0.33568406205923834</v>
      </c>
      <c r="W792" s="30">
        <v>0.3018980541960129</v>
      </c>
      <c r="X792" s="30">
        <v>0.31376146788990827</v>
      </c>
      <c r="Y792" s="32">
        <v>0.32887817703768624</v>
      </c>
      <c r="Z792" s="32">
        <v>0.31412230532336122</v>
      </c>
      <c r="AA792" s="32">
        <v>0.29712872351865793</v>
      </c>
      <c r="AB792" s="32">
        <v>0.30037236243276788</v>
      </c>
      <c r="AC792" s="32">
        <v>0.29031281533804237</v>
      </c>
      <c r="AD792" s="32">
        <v>0.29985286905345759</v>
      </c>
      <c r="AE792" s="32">
        <v>0.27692902726745311</v>
      </c>
      <c r="AF792" s="32">
        <v>0.26702179176755447</v>
      </c>
      <c r="AG792" s="32">
        <v>0.26701723634238972</v>
      </c>
      <c r="AH792" s="32">
        <v>0.25631515637530072</v>
      </c>
      <c r="AI792" s="32">
        <v>0.24227642276422764</v>
      </c>
      <c r="AJ792" s="32">
        <v>0.25531914893617019</v>
      </c>
      <c r="AK792" s="32">
        <v>0.24565652311256186</v>
      </c>
      <c r="AL792" s="32">
        <v>0.25107736507285039</v>
      </c>
      <c r="AM792" s="32">
        <v>0.2416244748464936</v>
      </c>
      <c r="AN792" s="32">
        <v>0.1581769436997319</v>
      </c>
      <c r="AO792" s="32">
        <v>0.25575057233184345</v>
      </c>
      <c r="AP792" s="32">
        <v>0.17060429775614389</v>
      </c>
      <c r="AQ792" s="32">
        <v>0.20489804964539007</v>
      </c>
      <c r="AR792" s="32">
        <v>0.20652659812248547</v>
      </c>
      <c r="AS792" s="32">
        <v>0.19012397124700489</v>
      </c>
      <c r="AT792" s="32">
        <v>0.19354838709677419</v>
      </c>
      <c r="AU792" s="32">
        <v>0.22103232030873129</v>
      </c>
      <c r="AV792" s="31">
        <v>0.23659031603363292</v>
      </c>
      <c r="AW792" s="30">
        <v>0.20465802795451438</v>
      </c>
      <c r="AX792" s="30">
        <v>0.21393105722929692</v>
      </c>
      <c r="AY792" s="30">
        <v>0.19540232535619367</v>
      </c>
      <c r="AZ792" s="30">
        <v>0.21548642086218209</v>
      </c>
      <c r="BA792" s="30">
        <v>0.19793503584652211</v>
      </c>
      <c r="BB792" s="30">
        <v>0.21711093143141402</v>
      </c>
      <c r="BC792" s="30">
        <v>0.20126977750049385</v>
      </c>
      <c r="BD792" s="30">
        <v>0.21997028142951255</v>
      </c>
      <c r="BE792" s="30">
        <v>0.2022155098321102</v>
      </c>
      <c r="BF792" s="30">
        <v>0.22063316367621183</v>
      </c>
      <c r="BG792" s="30">
        <v>0.20244629976744721</v>
      </c>
      <c r="BH792" s="30">
        <v>0.22092946780828931</v>
      </c>
      <c r="BI792" s="30">
        <v>0.20190411411083634</v>
      </c>
      <c r="BJ792" s="30">
        <v>0.21978146436596008</v>
      </c>
      <c r="BK792" s="30">
        <v>0.20161680694896972</v>
      </c>
      <c r="BL792" s="30">
        <v>0.22012992855999261</v>
      </c>
      <c r="BM792" s="30">
        <v>0.20181032097613108</v>
      </c>
      <c r="BN792" s="30">
        <v>0.22033644773501365</v>
      </c>
      <c r="BO792" s="30">
        <v>0.20186473750770192</v>
      </c>
      <c r="BP792" s="30"/>
      <c r="BQ792" s="207">
        <v>0.46380732431540744</v>
      </c>
      <c r="BR792" s="207">
        <v>0.42440018107741057</v>
      </c>
      <c r="BS792" s="207">
        <v>0.39088729016786572</v>
      </c>
      <c r="BT792" s="207">
        <v>0.36254650682100042</v>
      </c>
      <c r="BU792" s="207">
        <v>0.35598141695702673</v>
      </c>
      <c r="BV792" s="207">
        <v>0.38038579412294932</v>
      </c>
      <c r="BW792" s="207">
        <v>0.37651608367024081</v>
      </c>
      <c r="BX792" s="207">
        <v>0.39406498673740054</v>
      </c>
      <c r="BY792" s="207">
        <v>0.40460526315789475</v>
      </c>
      <c r="BZ792" s="207">
        <v>0.40165469871995002</v>
      </c>
      <c r="CA792" s="30">
        <v>0.4184035191074274</v>
      </c>
      <c r="CB792" s="30">
        <v>0.41192358689780484</v>
      </c>
      <c r="CC792" s="30">
        <v>0.40093122571843764</v>
      </c>
      <c r="CD792" s="30">
        <v>0.33026938497473923</v>
      </c>
      <c r="CE792" s="30">
        <v>0.32791704620364603</v>
      </c>
      <c r="CF792" s="30">
        <v>0.35312236724258439</v>
      </c>
      <c r="CG792" s="30">
        <v>0.36051276286183981</v>
      </c>
      <c r="CH792" s="30">
        <v>0.30802771807272072</v>
      </c>
      <c r="CI792" s="30">
        <v>0.31768545249152758</v>
      </c>
      <c r="CJ792" s="30">
        <v>0.31892212022505184</v>
      </c>
      <c r="CK792" s="32">
        <v>0.32149260421335724</v>
      </c>
      <c r="CL792" s="32">
        <v>0.30552987874503834</v>
      </c>
      <c r="CM792" s="32">
        <v>0.29528041679436101</v>
      </c>
      <c r="CN792" s="32">
        <v>0.28830890587719726</v>
      </c>
      <c r="CO792" s="32">
        <v>0.26701952024861608</v>
      </c>
      <c r="CP792" s="32">
        <v>0.24934396447315302</v>
      </c>
      <c r="CQ792" s="32">
        <v>0.25058088501058501</v>
      </c>
      <c r="CR792" s="32">
        <v>0.2464659204372274</v>
      </c>
      <c r="CS792" s="32">
        <v>0.20859621451104102</v>
      </c>
      <c r="CT792" s="32">
        <v>0.1883418352725397</v>
      </c>
      <c r="CU792" s="32">
        <v>0.19803741845042325</v>
      </c>
      <c r="CV792" s="31">
        <v>0.20717531690983018</v>
      </c>
      <c r="CW792" s="30">
        <v>0.22057210617144388</v>
      </c>
      <c r="CX792" s="30">
        <v>0.20466437206215626</v>
      </c>
      <c r="CY792" s="30">
        <v>0.2067372291398587</v>
      </c>
      <c r="CZ792" s="30">
        <v>0.2092242276098519</v>
      </c>
      <c r="DA792" s="30">
        <v>0.21111160505436025</v>
      </c>
      <c r="DB792" s="30">
        <v>0.21152622155948567</v>
      </c>
      <c r="DC792" s="30">
        <v>0.2113842801329637</v>
      </c>
      <c r="DD792" s="30">
        <v>0.21067435856728628</v>
      </c>
      <c r="DE792" s="30">
        <v>0.21096444818621099</v>
      </c>
      <c r="DF792" s="30">
        <v>0.21113111119182129</v>
      </c>
    </row>
    <row r="793" spans="1:110" ht="12" outlineLevel="1">
      <c r="A793" s="1" t="s">
        <v>815</v>
      </c>
      <c r="B793" s="15" t="s">
        <v>474</v>
      </c>
      <c r="C793" s="207">
        <v>0.4724672954061454</v>
      </c>
      <c r="D793" s="207">
        <v>0.46769413159454654</v>
      </c>
      <c r="E793" s="207">
        <v>0.47166133362756996</v>
      </c>
      <c r="F793" s="207">
        <v>0.47404012322488537</v>
      </c>
      <c r="G793" s="207">
        <v>0.46077730951903134</v>
      </c>
      <c r="H793" s="207">
        <v>0.47706461428315733</v>
      </c>
      <c r="I793" s="207">
        <v>0.48637552466957551</v>
      </c>
      <c r="J793" s="207">
        <v>0.47759266712149218</v>
      </c>
      <c r="K793" s="207">
        <v>0.47358881781062045</v>
      </c>
      <c r="L793" s="207">
        <v>0.4691004004293427</v>
      </c>
      <c r="M793" s="30">
        <v>0.46436937013703872</v>
      </c>
      <c r="N793" s="30">
        <v>0.45544295900824772</v>
      </c>
      <c r="O793" s="30">
        <v>0.46309616387156444</v>
      </c>
      <c r="P793" s="30">
        <v>0.4460295350466203</v>
      </c>
      <c r="Q793" s="30">
        <v>0.47884547531212879</v>
      </c>
      <c r="R793" s="30">
        <v>0.52092161016949157</v>
      </c>
      <c r="S793" s="30">
        <v>0.3968351240801628</v>
      </c>
      <c r="T793" s="32">
        <v>0.42467718794835008</v>
      </c>
      <c r="U793" s="30">
        <v>0.45107052134994557</v>
      </c>
      <c r="V793" s="30">
        <v>0.47320169252468264</v>
      </c>
      <c r="W793" s="30">
        <v>0.47713978751342961</v>
      </c>
      <c r="X793" s="30">
        <v>0.47396788990825689</v>
      </c>
      <c r="Y793" s="32">
        <v>0.45059158632778262</v>
      </c>
      <c r="Z793" s="32">
        <v>0.44478662560492743</v>
      </c>
      <c r="AA793" s="32">
        <v>0.45305946876008174</v>
      </c>
      <c r="AB793" s="32">
        <v>0.44331816301199833</v>
      </c>
      <c r="AC793" s="32">
        <v>0.45146316851664986</v>
      </c>
      <c r="AD793" s="32">
        <v>0.45149583128984794</v>
      </c>
      <c r="AE793" s="32">
        <v>0.46170953393927672</v>
      </c>
      <c r="AF793" s="32">
        <v>0.53152542372881351</v>
      </c>
      <c r="AG793" s="32">
        <v>0.48213068458467234</v>
      </c>
      <c r="AH793" s="32">
        <v>0.44977947072975138</v>
      </c>
      <c r="AI793" s="32">
        <v>0.45528455284552843</v>
      </c>
      <c r="AJ793" s="32">
        <v>0.45319148936170212</v>
      </c>
      <c r="AK793" s="32">
        <v>0.51890070548594291</v>
      </c>
      <c r="AL793" s="32">
        <v>0.44787605171352352</v>
      </c>
      <c r="AM793" s="32">
        <v>0.50694818485403426</v>
      </c>
      <c r="AN793" s="32">
        <v>0.53677584800093248</v>
      </c>
      <c r="AO793" s="32">
        <v>0.52087648533740327</v>
      </c>
      <c r="AP793" s="32">
        <v>0.53211444853377654</v>
      </c>
      <c r="AQ793" s="32">
        <v>0.50631648936170215</v>
      </c>
      <c r="AR793" s="32">
        <v>0.53542691104157358</v>
      </c>
      <c r="AS793" s="32">
        <v>0.49880195853734766</v>
      </c>
      <c r="AT793" s="32">
        <v>0.47409867172675524</v>
      </c>
      <c r="AU793" s="32">
        <v>0.49609261939218524</v>
      </c>
      <c r="AV793" s="31">
        <v>0.50401082439354405</v>
      </c>
      <c r="AW793" s="30">
        <v>0.52077405435479529</v>
      </c>
      <c r="AX793" s="30">
        <v>0.51451326163229072</v>
      </c>
      <c r="AY793" s="30">
        <v>0.5168940198225912</v>
      </c>
      <c r="AZ793" s="30">
        <v>0.51260291237023381</v>
      </c>
      <c r="BA793" s="30">
        <v>0.52106893192441983</v>
      </c>
      <c r="BB793" s="30">
        <v>0.51248220807035005</v>
      </c>
      <c r="BC793" s="30">
        <v>0.52311629167544149</v>
      </c>
      <c r="BD793" s="30">
        <v>0.50904934636413768</v>
      </c>
      <c r="BE793" s="30">
        <v>0.51804987181716755</v>
      </c>
      <c r="BF793" s="30">
        <v>0.50331316551223682</v>
      </c>
      <c r="BG793" s="30">
        <v>0.51302442024115946</v>
      </c>
      <c r="BH793" s="30">
        <v>0.49575191666025431</v>
      </c>
      <c r="BI793" s="30">
        <v>0.50486842946219135</v>
      </c>
      <c r="BJ793" s="30">
        <v>0.49539577400341483</v>
      </c>
      <c r="BK793" s="30">
        <v>0.5049108119524216</v>
      </c>
      <c r="BL793" s="30">
        <v>0.49619227046116748</v>
      </c>
      <c r="BM793" s="30">
        <v>0.50495139748324047</v>
      </c>
      <c r="BN793" s="30">
        <v>0.49600977016292319</v>
      </c>
      <c r="BO793" s="30">
        <v>0.50574068865259869</v>
      </c>
      <c r="BP793" s="30"/>
      <c r="BQ793" s="207">
        <v>0.73221159133399316</v>
      </c>
      <c r="BR793" s="207">
        <v>0.70710728836577641</v>
      </c>
      <c r="BS793" s="207">
        <v>0.65424024416830173</v>
      </c>
      <c r="BT793" s="207">
        <v>0.64406779661016944</v>
      </c>
      <c r="BU793" s="207">
        <v>0.6575687185443283</v>
      </c>
      <c r="BV793" s="207">
        <v>0.63133225166756801</v>
      </c>
      <c r="BW793" s="207">
        <v>0.60502724556161014</v>
      </c>
      <c r="BX793" s="207">
        <v>0.54708222811671092</v>
      </c>
      <c r="BY793" s="207">
        <v>0.51723057644110271</v>
      </c>
      <c r="BZ793" s="207">
        <v>0.48001873243833904</v>
      </c>
      <c r="CA793" s="30">
        <v>0.469723835757617</v>
      </c>
      <c r="CB793" s="30">
        <v>0.46727861535355519</v>
      </c>
      <c r="CC793" s="30">
        <v>0.48192527837535104</v>
      </c>
      <c r="CD793" s="30">
        <v>0.47554447806004141</v>
      </c>
      <c r="CE793" s="30">
        <v>0.46668189654588277</v>
      </c>
      <c r="CF793" s="30">
        <v>0.45935753410459013</v>
      </c>
      <c r="CG793" s="30">
        <v>0.46216760919753719</v>
      </c>
      <c r="CH793" s="30">
        <v>0.44994360670786315</v>
      </c>
      <c r="CI793" s="30">
        <v>0.43837077946529435</v>
      </c>
      <c r="CJ793" s="30">
        <v>0.47515546342907905</v>
      </c>
      <c r="CK793" s="32">
        <v>0.46201255042581801</v>
      </c>
      <c r="CL793" s="32">
        <v>0.44896960469795011</v>
      </c>
      <c r="CM793" s="32">
        <v>0.44744100520992952</v>
      </c>
      <c r="CN793" s="32">
        <v>0.45663923649997568</v>
      </c>
      <c r="CO793" s="32">
        <v>0.50689521219772748</v>
      </c>
      <c r="CP793" s="32">
        <v>0.45251312071053695</v>
      </c>
      <c r="CQ793" s="32">
        <v>0.48541333195642072</v>
      </c>
      <c r="CR793" s="32">
        <v>0.47669346786483791</v>
      </c>
      <c r="CS793" s="32">
        <v>0.52856016223524105</v>
      </c>
      <c r="CT793" s="32">
        <v>0.51877113543875741</v>
      </c>
      <c r="CU793" s="32">
        <v>0.51647166657680488</v>
      </c>
      <c r="CV793" s="31">
        <v>0.48500358765845492</v>
      </c>
      <c r="CW793" s="30">
        <v>0.51241977193974408</v>
      </c>
      <c r="CX793" s="30">
        <v>0.51570393872555853</v>
      </c>
      <c r="CY793" s="30">
        <v>0.51682313932887114</v>
      </c>
      <c r="CZ793" s="30">
        <v>0.5177765110089374</v>
      </c>
      <c r="DA793" s="30">
        <v>0.51354012461815801</v>
      </c>
      <c r="DB793" s="30">
        <v>0.50817600690923326</v>
      </c>
      <c r="DC793" s="30">
        <v>0.50032575150310654</v>
      </c>
      <c r="DD793" s="30">
        <v>0.50016627175026196</v>
      </c>
      <c r="DE793" s="30">
        <v>0.50057454810793289</v>
      </c>
      <c r="DF793" s="30">
        <v>0.5008591521892497</v>
      </c>
    </row>
    <row r="794" spans="1:110" ht="12" outlineLevel="1">
      <c r="A794" s="1" t="s">
        <v>816</v>
      </c>
      <c r="B794" s="15" t="s">
        <v>410</v>
      </c>
      <c r="C794" s="207"/>
      <c r="D794" s="207"/>
      <c r="E794" s="207">
        <v>-8.8861554435131218E-3</v>
      </c>
      <c r="F794" s="207">
        <v>-5.1274136850862906E-3</v>
      </c>
      <c r="G794" s="207">
        <v>2.9098026054609427E-2</v>
      </c>
      <c r="H794" s="207">
        <v>-3.9631993907156104E-2</v>
      </c>
      <c r="I794" s="207">
        <v>-2.131702056828666E-2</v>
      </c>
      <c r="J794" s="207">
        <v>1.8333094089120983E-2</v>
      </c>
      <c r="K794" s="207">
        <v>8.7800443148582374E-3</v>
      </c>
      <c r="L794" s="207">
        <v>9.8343867085617376E-3</v>
      </c>
      <c r="M794" s="30">
        <v>1.0547511636195495E-2</v>
      </c>
      <c r="N794" s="30">
        <v>2.0071821638715015E-2</v>
      </c>
      <c r="O794" s="30">
        <v>-1.7594685800882859E-2</v>
      </c>
      <c r="P794" s="30">
        <v>3.9820708418626172E-2</v>
      </c>
      <c r="Q794" s="30">
        <v>-7.1192207298325982E-2</v>
      </c>
      <c r="R794" s="30">
        <v>-8.9039522208847366E-2</v>
      </c>
      <c r="S794" s="30">
        <v>0.31835523637401542</v>
      </c>
      <c r="T794" s="32">
        <v>-6.5797576551085979E-2</v>
      </c>
      <c r="U794" s="30">
        <v>-6.7012803203620797E-2</v>
      </c>
      <c r="V794" s="30">
        <v>-5.0493967378563376E-2</v>
      </c>
      <c r="W794" s="30">
        <v>-8.1940938203510783E-3</v>
      </c>
      <c r="X794" s="30">
        <v>6.919926724319847E-3</v>
      </c>
      <c r="Y794" s="32">
        <v>5.1628090753101485E-2</v>
      </c>
      <c r="Z794" s="32">
        <v>1.2832167005154327E-2</v>
      </c>
      <c r="AA794" s="32">
        <v>-1.902303869925337E-2</v>
      </c>
      <c r="AB794" s="32">
        <v>2.2354366003434656E-2</v>
      </c>
      <c r="AC794" s="32">
        <v>-1.8832712214441605E-2</v>
      </c>
      <c r="AD794" s="32">
        <v>-7.4429363601913323E-5</v>
      </c>
      <c r="AE794" s="32">
        <v>-2.2948101846707036E-2</v>
      </c>
      <c r="AF794" s="32">
        <v>-0.15096315436166874</v>
      </c>
      <c r="AG794" s="32">
        <v>9.2426125413845872E-2</v>
      </c>
      <c r="AH794" s="32">
        <v>6.5185964333809521E-2</v>
      </c>
      <c r="AI794" s="32">
        <v>-1.2072656121962622E-2</v>
      </c>
      <c r="AJ794" s="32">
        <v>4.6112804878047919E-3</v>
      </c>
      <c r="AK794" s="32">
        <v>-0.13951272647706559</v>
      </c>
      <c r="AL794" s="32">
        <v>0.14046393580884731</v>
      </c>
      <c r="AM794" s="32">
        <v>-0.12562808979229345</v>
      </c>
      <c r="AN794" s="32">
        <v>-5.4375589064436847E-2</v>
      </c>
      <c r="AO794" s="32">
        <v>3.1670978004897599E-2</v>
      </c>
      <c r="AP794" s="32">
        <v>-1.9811084973430759E-2</v>
      </c>
      <c r="AQ794" s="32">
        <v>5.1941272549933082E-2</v>
      </c>
      <c r="AR794" s="32">
        <v>-5.7010298356640177E-2</v>
      </c>
      <c r="AS794" s="32">
        <v>7.3379862051359601E-2</v>
      </c>
      <c r="AT794" s="32">
        <v>5.4380251249716682E-2</v>
      </c>
      <c r="AU794" s="32">
        <v>-4.5620826006040005E-2</v>
      </c>
      <c r="AV794" s="31">
        <v>-1.5933424183014355E-2</v>
      </c>
      <c r="AW794" s="30">
        <v>-3.3477292750281551E-2</v>
      </c>
      <c r="AX794" s="30">
        <v>1.3017449850265983E-2</v>
      </c>
      <c r="AY794" s="30">
        <v>-4.6295220334864329E-3</v>
      </c>
      <c r="AZ794" s="30">
        <v>8.4268438149008862E-3</v>
      </c>
      <c r="BA794" s="30">
        <v>-1.6416298109793948E-2</v>
      </c>
      <c r="BB794" s="30">
        <v>1.6929294255699556E-2</v>
      </c>
      <c r="BC794" s="30">
        <v>-2.0573427344301787E-2</v>
      </c>
      <c r="BD794" s="30">
        <v>2.7950741540648583E-2</v>
      </c>
      <c r="BE794" s="30">
        <v>-1.7606676866276816E-2</v>
      </c>
      <c r="BF794" s="30">
        <v>2.9631809771676343E-2</v>
      </c>
      <c r="BG794" s="30">
        <v>-1.9352074338553571E-2</v>
      </c>
      <c r="BH794" s="30">
        <v>3.4984837165723759E-2</v>
      </c>
      <c r="BI794" s="30">
        <v>-1.8515390373382123E-2</v>
      </c>
      <c r="BJ794" s="30">
        <v>1.9572094394769701E-2</v>
      </c>
      <c r="BK794" s="30">
        <v>-1.9312023951473245E-2</v>
      </c>
      <c r="BL794" s="30">
        <v>1.8062432763490843E-2</v>
      </c>
      <c r="BM794" s="30">
        <v>-1.7674580640096416E-2</v>
      </c>
      <c r="BN794" s="30">
        <v>1.8399686124055847E-2</v>
      </c>
      <c r="BO794" s="30">
        <v>-1.9489175409038384E-2</v>
      </c>
      <c r="BP794" s="30"/>
      <c r="BQ794" s="207"/>
      <c r="BR794" s="207"/>
      <c r="BS794" s="207">
        <v>7.7625202219531397E-2</v>
      </c>
      <c r="BT794" s="207">
        <v>1.6399300661860572E-2</v>
      </c>
      <c r="BU794" s="207">
        <v>-2.2383107417157877E-2</v>
      </c>
      <c r="BV794" s="207">
        <v>4.2841825659519772E-2</v>
      </c>
      <c r="BW794" s="207">
        <v>4.2732489930552453E-2</v>
      </c>
      <c r="BX794" s="207">
        <v>0.10154687542929464</v>
      </c>
      <c r="BY794" s="207">
        <v>5.774937705972194E-2</v>
      </c>
      <c r="BZ794" s="207">
        <v>7.2192329703726354E-2</v>
      </c>
      <c r="CA794" s="30">
        <v>2.312943556472713E-2</v>
      </c>
      <c r="CB794" s="30">
        <v>5.5237181711762506E-3</v>
      </c>
      <c r="CC794" s="30">
        <v>-3.7485780319869155E-2</v>
      </c>
      <c r="CD794" s="30">
        <v>1.4366628628919464E-2</v>
      </c>
      <c r="CE794" s="30">
        <v>2.0238854647741666E-2</v>
      </c>
      <c r="CF794" s="30">
        <v>1.7149216451608051E-2</v>
      </c>
      <c r="CG794" s="30">
        <v>-6.65250429109987E-3</v>
      </c>
      <c r="CH794" s="30">
        <v>3.0795250594646051E-2</v>
      </c>
      <c r="CI794" s="30">
        <v>2.867468161601594E-2</v>
      </c>
      <c r="CJ794" s="30">
        <v>-8.8920456510880985E-2</v>
      </c>
      <c r="CK794" s="32">
        <v>2.9237780291936133E-2</v>
      </c>
      <c r="CL794" s="32">
        <v>2.9089596759788838E-2</v>
      </c>
      <c r="CM794" s="32">
        <v>3.6244302744903312E-3</v>
      </c>
      <c r="CN794" s="32">
        <v>-2.1564392237862551E-2</v>
      </c>
      <c r="CO794" s="32">
        <v>-0.1103616510470784</v>
      </c>
      <c r="CP794" s="32">
        <v>0.10323168166588448</v>
      </c>
      <c r="CQ794" s="32">
        <v>-7.1058145555819241E-2</v>
      </c>
      <c r="CR794" s="32">
        <v>1.7650281225266462E-2</v>
      </c>
      <c r="CS794" s="32">
        <v>-0.10150342392937917</v>
      </c>
      <c r="CT794" s="32">
        <v>1.8201977034877026E-2</v>
      </c>
      <c r="CU794" s="32">
        <v>4.7119930375243424E-3</v>
      </c>
      <c r="CV794" s="31">
        <v>6.8675246872127227E-2</v>
      </c>
      <c r="CW794" s="30">
        <v>-5.6140320414616141E-2</v>
      </c>
      <c r="CX794" s="30">
        <v>-6.9641468911738613E-3</v>
      </c>
      <c r="CY794" s="30">
        <v>-2.1968669396397189E-3</v>
      </c>
      <c r="CZ794" s="30">
        <v>-1.8813085373776683E-3</v>
      </c>
      <c r="DA794" s="30">
        <v>8.4502466366400686E-3</v>
      </c>
      <c r="DB794" s="30">
        <v>1.0873833833565438E-2</v>
      </c>
      <c r="DC794" s="30">
        <v>1.613109279940339E-2</v>
      </c>
      <c r="DD794" s="30">
        <v>3.3455274548788161E-4</v>
      </c>
      <c r="DE794" s="30">
        <v>-8.5672077525456025E-4</v>
      </c>
      <c r="DF794" s="30">
        <v>-5.8918563555421244E-4</v>
      </c>
    </row>
    <row r="795" spans="1:110" ht="12" outlineLevel="1">
      <c r="A795" s="1" t="s">
        <v>2102</v>
      </c>
      <c r="B795" s="15" t="s">
        <v>2101</v>
      </c>
      <c r="C795" s="212">
        <v>1.5832489783676378</v>
      </c>
      <c r="D795" s="212">
        <v>1.5413133433283359</v>
      </c>
      <c r="E795" s="212">
        <v>1.560560814472334</v>
      </c>
      <c r="F795" s="212">
        <v>1.6245779953942809</v>
      </c>
      <c r="G795" s="212">
        <v>1.6575392993913882</v>
      </c>
      <c r="H795" s="212">
        <v>1.7904935555441857</v>
      </c>
      <c r="I795" s="212">
        <v>1.7002459003045256</v>
      </c>
      <c r="J795" s="212">
        <v>1.7601814393508364</v>
      </c>
      <c r="K795" s="212">
        <v>1.7911948923407832</v>
      </c>
      <c r="L795" s="212">
        <v>1.8072128784591739</v>
      </c>
      <c r="M795" s="42">
        <v>1.7414546819894601</v>
      </c>
      <c r="N795" s="42">
        <v>1.7056405299725725</v>
      </c>
      <c r="O795" s="42">
        <v>1.68467074342321</v>
      </c>
      <c r="P795" s="42">
        <v>1.7183440605420175</v>
      </c>
      <c r="Q795" s="42">
        <v>1.7247588228730257</v>
      </c>
      <c r="R795" s="42">
        <v>1.5741319067274966</v>
      </c>
      <c r="S795" s="42">
        <v>1.4720892794987817</v>
      </c>
      <c r="T795" s="42">
        <v>1.4465676316234974</v>
      </c>
      <c r="U795" s="42">
        <v>1.3928088683114785</v>
      </c>
      <c r="V795" s="42">
        <v>1.4384441341407865</v>
      </c>
      <c r="W795" s="42">
        <v>1.3546407215836096</v>
      </c>
      <c r="X795" s="42">
        <v>1.3620365123716107</v>
      </c>
      <c r="Y795" s="43">
        <v>1.3203874583904445</v>
      </c>
      <c r="Z795" s="43">
        <v>1.333340132466541</v>
      </c>
      <c r="AA795" s="43">
        <v>1.3236060207288822</v>
      </c>
      <c r="AB795" s="43">
        <v>1.3236494796349694</v>
      </c>
      <c r="AC795" s="43">
        <v>1.3025592492405218</v>
      </c>
      <c r="AD795" s="43">
        <v>1.2863391941173365</v>
      </c>
      <c r="AE795" s="43">
        <v>1.289705474775743</v>
      </c>
      <c r="AF795" s="43">
        <v>1.2650851543352317</v>
      </c>
      <c r="AG795" s="43">
        <v>1.2904968782112296</v>
      </c>
      <c r="AH795" s="43">
        <v>1.2306043274297176</v>
      </c>
      <c r="AI795" s="43">
        <v>1.2502121386143705</v>
      </c>
      <c r="AJ795" s="43">
        <v>1.2608112403840042</v>
      </c>
      <c r="AK795" s="43">
        <v>1.2495641626577854</v>
      </c>
      <c r="AL795" s="43">
        <v>1.2449053332873212</v>
      </c>
      <c r="AM795" s="43">
        <v>1.2083319490397562</v>
      </c>
      <c r="AN795" s="43">
        <v>1.1664354205501892</v>
      </c>
      <c r="AO795" s="43">
        <v>1.1247531062000895</v>
      </c>
      <c r="AP795" s="43">
        <v>1.0999830817862073</v>
      </c>
      <c r="AQ795" s="43">
        <v>1.0660094140320966</v>
      </c>
      <c r="AR795" s="43">
        <v>1.0702376549372068</v>
      </c>
      <c r="AS795" s="43">
        <v>1.0857389230050127</v>
      </c>
      <c r="AT795" s="43">
        <v>1.0654906440835796</v>
      </c>
      <c r="AU795" s="43">
        <v>1.0935083037277533</v>
      </c>
      <c r="AV795" s="44">
        <v>1.1160866648988441</v>
      </c>
      <c r="AW795" s="42">
        <v>1.1342011203816398</v>
      </c>
      <c r="AX795" s="42">
        <v>1.1351491596997785</v>
      </c>
      <c r="AY795" s="42">
        <v>1.1413324806166976</v>
      </c>
      <c r="AZ795" s="42">
        <v>1.1443945761614271</v>
      </c>
      <c r="BA795" s="42">
        <v>1.145422864470601</v>
      </c>
      <c r="BB795" s="42">
        <v>1.1453730701809681</v>
      </c>
      <c r="BC795" s="42">
        <v>1.1442966595490387</v>
      </c>
      <c r="BD795" s="42">
        <v>1.1432016673391217</v>
      </c>
      <c r="BE795" s="42">
        <v>1.1420880649141549</v>
      </c>
      <c r="BF795" s="42">
        <v>1.1409558236879613</v>
      </c>
      <c r="BG795" s="42">
        <v>1.1398049152620549</v>
      </c>
      <c r="BH795" s="42">
        <v>1.1386353115613024</v>
      </c>
      <c r="BI795" s="42">
        <v>1.1374469849684947</v>
      </c>
      <c r="BJ795" s="42">
        <v>1.1358314831273293</v>
      </c>
      <c r="BK795" s="42">
        <v>1.1337843008949737</v>
      </c>
      <c r="BL795" s="42">
        <v>1.1317123230621549</v>
      </c>
      <c r="BM795" s="42">
        <v>1.129615505148045</v>
      </c>
      <c r="BN795" s="42">
        <v>1.1296155051480452</v>
      </c>
      <c r="BO795" s="42">
        <v>1.129615505148045</v>
      </c>
      <c r="BP795" s="30"/>
      <c r="BQ795" s="212">
        <v>1.3738354488044091</v>
      </c>
      <c r="BR795" s="212">
        <v>1.2674050468667282</v>
      </c>
      <c r="BS795" s="212">
        <v>1.2684004418114267</v>
      </c>
      <c r="BT795" s="212">
        <v>1.281321327797847</v>
      </c>
      <c r="BU795" s="212">
        <v>1.2300726331868201</v>
      </c>
      <c r="BV795" s="212">
        <v>1.24426651415499</v>
      </c>
      <c r="BW795" s="212">
        <v>1.3523618784530387</v>
      </c>
      <c r="BX795" s="212">
        <v>1.543986333228057</v>
      </c>
      <c r="BY795" s="212">
        <v>1.7609774048723044</v>
      </c>
      <c r="BZ795" s="212">
        <v>1.5832489783676378</v>
      </c>
      <c r="CA795" s="42">
        <v>1.560560814472334</v>
      </c>
      <c r="CB795" s="42">
        <v>1.6575392993913882</v>
      </c>
      <c r="CC795" s="42">
        <v>1.7002459003045256</v>
      </c>
      <c r="CD795" s="42">
        <v>1.7911948923407832</v>
      </c>
      <c r="CE795" s="42">
        <v>1.7414546819894601</v>
      </c>
      <c r="CF795" s="42">
        <v>1.68467074342321</v>
      </c>
      <c r="CG795" s="42">
        <v>1.7247588228730257</v>
      </c>
      <c r="CH795" s="42">
        <v>1.4720892794987817</v>
      </c>
      <c r="CI795" s="42">
        <v>1.3928088683114785</v>
      </c>
      <c r="CJ795" s="42">
        <v>1.3546407215836096</v>
      </c>
      <c r="CK795" s="43">
        <v>1.3203874583904445</v>
      </c>
      <c r="CL795" s="43">
        <v>1.3236060207288822</v>
      </c>
      <c r="CM795" s="43">
        <v>1.3025592492405218</v>
      </c>
      <c r="CN795" s="43">
        <v>1.289705474775743</v>
      </c>
      <c r="CO795" s="43">
        <v>1.2904968782112296</v>
      </c>
      <c r="CP795" s="43">
        <v>1.2502121386143705</v>
      </c>
      <c r="CQ795" s="43">
        <v>1.2495641626577854</v>
      </c>
      <c r="CR795" s="43">
        <v>1.2083319490397562</v>
      </c>
      <c r="CS795" s="43">
        <v>1.1247531062000895</v>
      </c>
      <c r="CT795" s="43">
        <v>1.0660094140320966</v>
      </c>
      <c r="CU795" s="43">
        <v>1.0857389230050127</v>
      </c>
      <c r="CV795" s="44">
        <v>1.0935083037277533</v>
      </c>
      <c r="CW795" s="42">
        <v>1.1342011203816398</v>
      </c>
      <c r="CX795" s="42">
        <v>1.1413324806166976</v>
      </c>
      <c r="CY795" s="42">
        <v>1.145422864470601</v>
      </c>
      <c r="CZ795" s="42">
        <v>1.1442966595490387</v>
      </c>
      <c r="DA795" s="42">
        <v>1.1420880649141549</v>
      </c>
      <c r="DB795" s="42">
        <v>1.1398049152620549</v>
      </c>
      <c r="DC795" s="42">
        <v>1.1374469849684947</v>
      </c>
      <c r="DD795" s="42">
        <v>1.1337843008949737</v>
      </c>
      <c r="DE795" s="42">
        <v>1.129615505148045</v>
      </c>
      <c r="DF795" s="42">
        <v>1.129615505148045</v>
      </c>
    </row>
    <row r="796" spans="1:110" ht="12" hidden="1" outlineLevel="2">
      <c r="A796" s="1" t="s">
        <v>817</v>
      </c>
      <c r="B796" s="15" t="s">
        <v>804</v>
      </c>
      <c r="AV796" s="200"/>
      <c r="CZ796" s="15"/>
      <c r="DA796" s="15"/>
      <c r="DB796" s="15"/>
      <c r="DC796" s="15"/>
      <c r="DD796" s="15"/>
      <c r="DE796" s="15"/>
      <c r="DF796" s="15"/>
    </row>
    <row r="797" spans="1:110" ht="12" hidden="1" outlineLevel="2">
      <c r="A797" s="1" t="s">
        <v>43</v>
      </c>
      <c r="B797" s="15" t="s">
        <v>804</v>
      </c>
      <c r="AV797" s="200"/>
      <c r="CZ797" s="15"/>
      <c r="DA797" s="15"/>
      <c r="DB797" s="15"/>
      <c r="DC797" s="15"/>
      <c r="DD797" s="15"/>
      <c r="DE797" s="15"/>
      <c r="DF797" s="15"/>
    </row>
    <row r="798" spans="1:110" ht="12" hidden="1" outlineLevel="2">
      <c r="A798" s="1" t="s">
        <v>44</v>
      </c>
      <c r="B798" s="15" t="s">
        <v>804</v>
      </c>
      <c r="AV798" s="200"/>
      <c r="CZ798" s="15"/>
      <c r="DA798" s="15"/>
      <c r="DB798" s="15"/>
      <c r="DC798" s="15"/>
      <c r="DD798" s="15"/>
      <c r="DE798" s="15"/>
      <c r="DF798" s="15"/>
    </row>
    <row r="799" spans="1:110" ht="12" hidden="1" outlineLevel="2">
      <c r="A799" s="1" t="s">
        <v>45</v>
      </c>
      <c r="B799" s="15" t="s">
        <v>804</v>
      </c>
      <c r="AV799" s="200"/>
      <c r="CZ799" s="15"/>
      <c r="DA799" s="15"/>
      <c r="DB799" s="15"/>
      <c r="DC799" s="15"/>
      <c r="DD799" s="15"/>
      <c r="DE799" s="15"/>
      <c r="DF799" s="15"/>
    </row>
    <row r="800" spans="1:110" ht="12" hidden="1" outlineLevel="2">
      <c r="A800" s="1" t="s">
        <v>46</v>
      </c>
      <c r="B800" s="15" t="s">
        <v>804</v>
      </c>
      <c r="AV800" s="200"/>
      <c r="CZ800" s="15"/>
      <c r="DA800" s="15"/>
      <c r="DB800" s="15"/>
      <c r="DC800" s="15"/>
      <c r="DD800" s="15"/>
      <c r="DE800" s="15"/>
      <c r="DF800" s="15"/>
    </row>
    <row r="801" spans="1:110" ht="12" hidden="1" outlineLevel="2">
      <c r="A801" s="1" t="s">
        <v>47</v>
      </c>
      <c r="B801" s="15" t="s">
        <v>804</v>
      </c>
      <c r="AV801" s="200"/>
      <c r="CZ801" s="15"/>
      <c r="DA801" s="15"/>
      <c r="DB801" s="15"/>
      <c r="DC801" s="15"/>
      <c r="DD801" s="15"/>
      <c r="DE801" s="15"/>
      <c r="DF801" s="15"/>
    </row>
    <row r="802" spans="1:110" ht="12" hidden="1" outlineLevel="2">
      <c r="A802" s="1" t="s">
        <v>48</v>
      </c>
      <c r="B802" s="15" t="s">
        <v>804</v>
      </c>
      <c r="AV802" s="200"/>
      <c r="CZ802" s="15"/>
      <c r="DA802" s="15"/>
      <c r="DB802" s="15"/>
      <c r="DC802" s="15"/>
      <c r="DD802" s="15"/>
      <c r="DE802" s="15"/>
      <c r="DF802" s="15"/>
    </row>
    <row r="803" spans="1:110" ht="12" hidden="1" outlineLevel="2">
      <c r="A803" s="1" t="s">
        <v>141</v>
      </c>
      <c r="B803" s="15" t="s">
        <v>804</v>
      </c>
      <c r="AV803" s="200"/>
      <c r="CZ803" s="15"/>
      <c r="DA803" s="15"/>
      <c r="DB803" s="15"/>
      <c r="DC803" s="15"/>
      <c r="DD803" s="15"/>
      <c r="DE803" s="15"/>
      <c r="DF803" s="15"/>
    </row>
    <row r="804" spans="1:110" ht="12" hidden="1" outlineLevel="2">
      <c r="A804" s="1" t="s">
        <v>142</v>
      </c>
      <c r="B804" s="15" t="s">
        <v>804</v>
      </c>
      <c r="AV804" s="200"/>
      <c r="CZ804" s="15"/>
      <c r="DA804" s="15"/>
      <c r="DB804" s="15"/>
      <c r="DC804" s="15"/>
      <c r="DD804" s="15"/>
      <c r="DE804" s="15"/>
      <c r="DF804" s="15"/>
    </row>
    <row r="805" spans="1:110" ht="12" hidden="1" outlineLevel="2">
      <c r="A805" s="1" t="s">
        <v>143</v>
      </c>
      <c r="B805" s="15" t="s">
        <v>804</v>
      </c>
      <c r="AV805" s="200"/>
      <c r="CZ805" s="15"/>
      <c r="DA805" s="15"/>
      <c r="DB805" s="15"/>
      <c r="DC805" s="15"/>
      <c r="DD805" s="15"/>
      <c r="DE805" s="15"/>
      <c r="DF805" s="15"/>
    </row>
    <row r="806" spans="1:110" ht="12" outlineLevel="1" collapsed="1">
      <c r="AV806" s="200"/>
      <c r="CL806" s="32"/>
      <c r="CM806" s="32"/>
      <c r="CN806" s="32"/>
      <c r="CO806" s="32"/>
      <c r="CP806" s="32"/>
      <c r="CQ806" s="32"/>
      <c r="CR806" s="32"/>
      <c r="CS806" s="32"/>
      <c r="CT806" s="32"/>
      <c r="CU806" s="32"/>
      <c r="CV806" s="31"/>
      <c r="CW806" s="30"/>
      <c r="CX806" s="30"/>
      <c r="CY806" s="30"/>
      <c r="CZ806" s="15"/>
      <c r="DA806" s="15"/>
      <c r="DB806" s="15"/>
      <c r="DC806" s="15"/>
      <c r="DD806" s="15"/>
      <c r="DE806" s="15"/>
      <c r="DF806" s="15"/>
    </row>
    <row r="807" spans="1:110" s="17" customFormat="1" ht="12" outlineLevel="1">
      <c r="A807" s="1"/>
      <c r="B807" s="17" t="s">
        <v>573</v>
      </c>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10"/>
      <c r="AH807" s="10"/>
      <c r="AI807" s="10"/>
      <c r="AJ807" s="10"/>
      <c r="AK807" s="10"/>
      <c r="AL807" s="10"/>
      <c r="AM807" s="10"/>
      <c r="AN807" s="10"/>
      <c r="AO807" s="10"/>
      <c r="AP807" s="10"/>
      <c r="AQ807" s="10"/>
      <c r="AR807" s="10"/>
      <c r="AS807" s="10"/>
      <c r="AT807" s="10"/>
      <c r="AU807" s="10"/>
      <c r="AV807" s="201"/>
      <c r="AW807" s="10"/>
      <c r="AX807" s="10"/>
      <c r="AY807" s="10"/>
      <c r="AZ807" s="10"/>
      <c r="BA807" s="10"/>
      <c r="BB807" s="10"/>
      <c r="BC807" s="10"/>
      <c r="BD807" s="10"/>
      <c r="BE807" s="10"/>
      <c r="BF807" s="10"/>
      <c r="BG807" s="10"/>
      <c r="BH807" s="10"/>
      <c r="BI807" s="10"/>
      <c r="BJ807" s="10"/>
      <c r="BK807" s="10"/>
      <c r="BL807" s="10"/>
      <c r="BM807" s="10"/>
      <c r="BN807" s="10"/>
      <c r="BO807" s="10"/>
      <c r="BP807" s="10"/>
      <c r="BQ807" s="10"/>
      <c r="BR807" s="10"/>
      <c r="BS807" s="10"/>
      <c r="BT807" s="10"/>
      <c r="BU807" s="10"/>
      <c r="BV807" s="10"/>
      <c r="BW807" s="10"/>
      <c r="BX807" s="10"/>
      <c r="BY807" s="10"/>
      <c r="BZ807" s="10"/>
      <c r="CA807" s="10"/>
      <c r="CB807" s="10"/>
      <c r="CC807" s="10"/>
      <c r="CD807" s="10"/>
      <c r="CE807" s="10"/>
      <c r="CF807" s="10"/>
      <c r="CG807" s="10"/>
      <c r="CH807" s="10"/>
      <c r="CI807" s="10"/>
      <c r="CJ807" s="10"/>
      <c r="CK807" s="10"/>
      <c r="CL807" s="10"/>
      <c r="CM807" s="10"/>
      <c r="CN807" s="10"/>
      <c r="CO807" s="10"/>
      <c r="CP807" s="10"/>
      <c r="CQ807" s="404"/>
      <c r="CR807" s="10"/>
      <c r="CS807" s="10"/>
      <c r="CT807" s="10"/>
      <c r="CU807" s="10"/>
      <c r="CV807" s="201"/>
      <c r="CW807" s="10"/>
      <c r="CX807" s="10"/>
      <c r="CY807" s="10"/>
    </row>
    <row r="808" spans="1:110" ht="12" outlineLevel="1">
      <c r="A808" s="1" t="s">
        <v>818</v>
      </c>
      <c r="B808" s="15" t="s">
        <v>424</v>
      </c>
      <c r="C808" s="345">
        <v>1.6068060831201457E-2</v>
      </c>
      <c r="D808" s="345">
        <v>5.8357791640149276E-3</v>
      </c>
      <c r="E808" s="345">
        <v>8.1595427776899269E-3</v>
      </c>
      <c r="F808" s="345">
        <v>5.5729503487343419E-3</v>
      </c>
      <c r="G808" s="345">
        <v>6.9064022627590193E-3</v>
      </c>
      <c r="H808" s="345">
        <v>5.8413852415011265E-3</v>
      </c>
      <c r="I808" s="345">
        <v>5.5657139390622723E-3</v>
      </c>
      <c r="J808" s="345">
        <v>4.1432667974587306E-3</v>
      </c>
      <c r="K808" s="345">
        <v>4.6704553198857772E-3</v>
      </c>
      <c r="L808" s="345">
        <v>2.057068537409678E-3</v>
      </c>
      <c r="M808" s="35">
        <v>2.5748539607420794E-3</v>
      </c>
      <c r="N808" s="35">
        <v>2.3218915688662995E-3</v>
      </c>
      <c r="O808" s="35">
        <v>3.8763961929650253E-3</v>
      </c>
      <c r="P808" s="35">
        <v>3.4446283656310648E-3</v>
      </c>
      <c r="Q808" s="35">
        <v>3.7560430342969387E-3</v>
      </c>
      <c r="R808" s="35">
        <v>9.222335404066943E-3</v>
      </c>
      <c r="S808" s="35">
        <v>1.2549782649273457E-2</v>
      </c>
      <c r="T808" s="37">
        <v>1.1508505705611374E-2</v>
      </c>
      <c r="U808" s="35">
        <v>7.9340664870936502E-3</v>
      </c>
      <c r="V808" s="35">
        <v>6.9597137622918201E-3</v>
      </c>
      <c r="W808" s="35">
        <v>6.419637979577235E-3</v>
      </c>
      <c r="X808" s="35">
        <v>5.7397766510724349E-3</v>
      </c>
      <c r="Y808" s="37">
        <v>7.4578416298385812E-3</v>
      </c>
      <c r="Z808" s="37">
        <v>7.0172379258678051E-3</v>
      </c>
      <c r="AA808" s="37">
        <v>5.6979803939380342E-3</v>
      </c>
      <c r="AB808" s="37">
        <v>4.7673791899275749E-3</v>
      </c>
      <c r="AC808" s="37">
        <v>6.2114552623128644E-3</v>
      </c>
      <c r="AD808" s="37">
        <v>3.7850357944470155E-3</v>
      </c>
      <c r="AE808" s="37">
        <v>4.9814122073448324E-3</v>
      </c>
      <c r="AF808" s="37">
        <v>4.3432269882379458E-3</v>
      </c>
      <c r="AG808" s="37">
        <v>7.644459469554144E-3</v>
      </c>
      <c r="AH808" s="37">
        <v>6.4755102607569216E-3</v>
      </c>
      <c r="AI808" s="37">
        <v>5.623290071808465E-3</v>
      </c>
      <c r="AJ808" s="37">
        <v>4.5740480545214393E-3</v>
      </c>
      <c r="AK808" s="37">
        <v>3.523154933597253E-3</v>
      </c>
      <c r="AL808" s="37">
        <v>3.2039072843350145E-3</v>
      </c>
      <c r="AM808" s="37">
        <v>3.521152248686041E-3</v>
      </c>
      <c r="AN808" s="37">
        <v>2.6419626273151546E-3</v>
      </c>
      <c r="AO808" s="37">
        <v>3.8474936976154498E-3</v>
      </c>
      <c r="AP808" s="37">
        <v>2.078151631113999E-3</v>
      </c>
      <c r="AQ808" s="37">
        <v>1.5914147757570855E-3</v>
      </c>
      <c r="AR808" s="37">
        <v>9.5837542178055842E-4</v>
      </c>
      <c r="AS808" s="37">
        <v>7.1217864272469166E-4</v>
      </c>
      <c r="AT808" s="37">
        <v>5.8756899654790052E-4</v>
      </c>
      <c r="AU808" s="37">
        <v>1.1170718564776228E-3</v>
      </c>
      <c r="AV808" s="36">
        <v>4.8184728196468178E-4</v>
      </c>
      <c r="AW808" s="35">
        <v>4.5735682973494185E-4</v>
      </c>
      <c r="AX808" s="35">
        <v>3.7026498147234434E-3</v>
      </c>
      <c r="AY808" s="35">
        <v>3.7031269515830361E-3</v>
      </c>
      <c r="AZ808" s="35">
        <v>3.7078015487260526E-3</v>
      </c>
      <c r="BA808" s="35">
        <v>3.7062677731657953E-3</v>
      </c>
      <c r="BB808" s="35">
        <v>3.7020981449876348E-3</v>
      </c>
      <c r="BC808" s="35">
        <v>3.6966049148028819E-3</v>
      </c>
      <c r="BD808" s="35">
        <v>3.6904985300129658E-3</v>
      </c>
      <c r="BE808" s="35">
        <v>3.6844203449713803E-3</v>
      </c>
      <c r="BF808" s="35">
        <v>3.678370658344489E-3</v>
      </c>
      <c r="BG808" s="35">
        <v>3.6723497521739031E-3</v>
      </c>
      <c r="BH808" s="35">
        <v>3.8133685420265783E-3</v>
      </c>
      <c r="BI808" s="35">
        <v>7.2666430055082099E-3</v>
      </c>
      <c r="BJ808" s="35">
        <v>1.2157226111010493E-2</v>
      </c>
      <c r="BK808" s="35">
        <v>1.2143935002369544E-2</v>
      </c>
      <c r="BL808" s="35">
        <v>4.5187823784049608E-3</v>
      </c>
      <c r="BM808" s="35">
        <v>4.5121873409922847E-3</v>
      </c>
      <c r="BN808" s="35">
        <v>4.5089409448960723E-3</v>
      </c>
      <c r="BO808" s="35">
        <v>4.5089409448960732E-3</v>
      </c>
      <c r="BP808" s="35"/>
      <c r="BQ808" s="345">
        <v>1.6490837066919246E-2</v>
      </c>
      <c r="BR808" s="345">
        <v>2.4566057932410748E-2</v>
      </c>
      <c r="BS808" s="345">
        <v>2.4415765781397831E-2</v>
      </c>
      <c r="BT808" s="345">
        <v>7.5679577353174113E-3</v>
      </c>
      <c r="BU808" s="345">
        <v>4.665700655819607E-3</v>
      </c>
      <c r="BV808" s="345">
        <v>2.1000466675109536E-3</v>
      </c>
      <c r="BW808" s="345">
        <v>2.3084654742170883E-3</v>
      </c>
      <c r="BX808" s="345">
        <v>4.0869730136846201E-3</v>
      </c>
      <c r="BY808" s="345">
        <v>5.4117439033305971E-3</v>
      </c>
      <c r="BZ808" s="345">
        <v>8.246652879948033E-3</v>
      </c>
      <c r="CA808" s="35">
        <v>7.0050925936227942E-3</v>
      </c>
      <c r="CB808" s="35">
        <v>6.2392277445860239E-3</v>
      </c>
      <c r="CC808" s="35">
        <v>5.7126463036368293E-3</v>
      </c>
      <c r="CD808" s="35">
        <v>4.4136870624069402E-3</v>
      </c>
      <c r="CE808" s="35">
        <v>2.3144449370703E-3</v>
      </c>
      <c r="CF808" s="35">
        <v>3.1083215019220029E-3</v>
      </c>
      <c r="CG808" s="35">
        <v>3.6197974954661071E-3</v>
      </c>
      <c r="CH808" s="35">
        <v>1.0851054540975803E-2</v>
      </c>
      <c r="CI808" s="35">
        <v>9.6014636358332656E-3</v>
      </c>
      <c r="CJ808" s="35">
        <v>6.7152682062466794E-3</v>
      </c>
      <c r="CK808" s="37">
        <v>6.6100287460476113E-3</v>
      </c>
      <c r="CL808" s="37">
        <v>6.3620778199625543E-3</v>
      </c>
      <c r="CM808" s="37">
        <v>5.5161290296440709E-3</v>
      </c>
      <c r="CN808" s="37">
        <v>4.4138781561126519E-3</v>
      </c>
      <c r="CO808" s="37">
        <v>5.9060927886244122E-3</v>
      </c>
      <c r="CP808" s="37">
        <v>6.0297171886314668E-3</v>
      </c>
      <c r="CQ808" s="37">
        <v>4.0211049455974937E-3</v>
      </c>
      <c r="CR808" s="37">
        <v>3.3372216919809916E-3</v>
      </c>
      <c r="CS808" s="37">
        <v>3.3227044418645451E-3</v>
      </c>
      <c r="CT808" s="37">
        <v>1.8143885860682201E-3</v>
      </c>
      <c r="CU808" s="37">
        <v>8.3161978339390695E-4</v>
      </c>
      <c r="CV808" s="36">
        <v>8.5090478595976926E-4</v>
      </c>
      <c r="CW808" s="35">
        <v>4.694528432504433E-4</v>
      </c>
      <c r="CX808" s="35">
        <v>3.7028905595407262E-3</v>
      </c>
      <c r="CY808" s="35">
        <v>3.7070279419644985E-3</v>
      </c>
      <c r="CZ808" s="35">
        <v>3.6993167923308132E-3</v>
      </c>
      <c r="DA808" s="35">
        <v>3.6874264892388813E-3</v>
      </c>
      <c r="DB808" s="35">
        <v>3.6753190987174932E-3</v>
      </c>
      <c r="DC808" s="35">
        <v>5.5637072970536839E-3</v>
      </c>
      <c r="DD808" s="35">
        <v>1.2150479890171794E-2</v>
      </c>
      <c r="DE808" s="35">
        <v>4.5154422750198547E-3</v>
      </c>
      <c r="DF808" s="35">
        <v>4.5089409448960715E-3</v>
      </c>
    </row>
    <row r="809" spans="1:110" ht="12" outlineLevel="1">
      <c r="A809" s="1" t="s">
        <v>819</v>
      </c>
      <c r="B809" s="15" t="s">
        <v>862</v>
      </c>
      <c r="C809" s="345">
        <v>5.9290900662211168E-3</v>
      </c>
      <c r="D809" s="345">
        <v>3.7705005653723605E-3</v>
      </c>
      <c r="E809" s="345">
        <v>5.0944057717344157E-3</v>
      </c>
      <c r="F809" s="345">
        <v>3.4058746102673134E-3</v>
      </c>
      <c r="G809" s="345">
        <v>4.1258361503037312E-3</v>
      </c>
      <c r="H809" s="345">
        <v>3.3353174700780702E-3</v>
      </c>
      <c r="I809" s="345">
        <v>3.0267525873852764E-3</v>
      </c>
      <c r="J809" s="345">
        <v>2.1678238102762655E-3</v>
      </c>
      <c r="K809" s="345">
        <v>2.4282480336368256E-3</v>
      </c>
      <c r="L809" s="345">
        <v>1.0104996799795963E-3</v>
      </c>
      <c r="M809" s="35">
        <v>1.2564098624213574E-3</v>
      </c>
      <c r="N809" s="35">
        <v>1.1225185420585659E-3</v>
      </c>
      <c r="O809" s="35">
        <v>1.8771110420952618E-3</v>
      </c>
      <c r="P809" s="35">
        <v>1.7161053701087899E-3</v>
      </c>
      <c r="Q809" s="35">
        <v>1.8917196142536961E-3</v>
      </c>
      <c r="R809" s="35">
        <v>4.6209039545618384E-3</v>
      </c>
      <c r="S809" s="35">
        <v>5.9989543094279502E-3</v>
      </c>
      <c r="T809" s="37">
        <v>5.3054953505144165E-3</v>
      </c>
      <c r="U809" s="35">
        <v>3.6227169465535233E-3</v>
      </c>
      <c r="V809" s="35">
        <v>3.1857361519135974E-3</v>
      </c>
      <c r="W809" s="35">
        <v>2.9822479129266981E-3</v>
      </c>
      <c r="X809" s="35">
        <v>2.6699587993513716E-3</v>
      </c>
      <c r="Y809" s="37">
        <v>3.4792449477294889E-3</v>
      </c>
      <c r="Z809" s="37">
        <v>3.3595787396660361E-3</v>
      </c>
      <c r="AA809" s="37">
        <v>2.7559957517636511E-3</v>
      </c>
      <c r="AB809" s="37">
        <v>2.314320644457293E-3</v>
      </c>
      <c r="AC809" s="37">
        <v>3.0064725959206961E-3</v>
      </c>
      <c r="AD809" s="37">
        <v>1.8443322019657605E-3</v>
      </c>
      <c r="AE809" s="37">
        <v>2.4000108517709222E-3</v>
      </c>
      <c r="AF809" s="37">
        <v>2.0220281268831723E-3</v>
      </c>
      <c r="AG809" s="37">
        <v>3.422463774690826E-3</v>
      </c>
      <c r="AH809" s="37">
        <v>2.84343953882855E-3</v>
      </c>
      <c r="AI809" s="37">
        <v>2.4183505620931581E-3</v>
      </c>
      <c r="AJ809" s="37">
        <v>1.9431805626357185E-3</v>
      </c>
      <c r="AK809" s="37">
        <v>1.5120014939617058E-3</v>
      </c>
      <c r="AL809" s="37">
        <v>1.3862604981392647E-3</v>
      </c>
      <c r="AM809" s="37">
        <v>1.5518677726958472E-3</v>
      </c>
      <c r="AN809" s="37">
        <v>1.2073319782547934E-3</v>
      </c>
      <c r="AO809" s="37">
        <v>1.7286966944026448E-3</v>
      </c>
      <c r="AP809" s="37">
        <v>8.6176343819739556E-4</v>
      </c>
      <c r="AQ809" s="37">
        <v>6.5203428416363079E-4</v>
      </c>
      <c r="AR809" s="37">
        <v>4.0632697484186645E-4</v>
      </c>
      <c r="AS809" s="37">
        <v>3.1230519516891518E-4</v>
      </c>
      <c r="AT809" s="37">
        <v>2.5946978829753344E-4</v>
      </c>
      <c r="AU809" s="37">
        <v>4.8469953507758429E-4</v>
      </c>
      <c r="AV809" s="36">
        <v>2.0482482958875391E-4</v>
      </c>
      <c r="AW809" s="35">
        <v>1.8881716249548064E-4</v>
      </c>
      <c r="AX809" s="35">
        <v>1.4750379066507733E-3</v>
      </c>
      <c r="AY809" s="35">
        <v>1.470478766460995E-3</v>
      </c>
      <c r="AZ809" s="35">
        <v>1.4622390533557857E-3</v>
      </c>
      <c r="BA809" s="35">
        <v>1.4614932724855388E-3</v>
      </c>
      <c r="BB809" s="35">
        <v>1.4631251739066842E-3</v>
      </c>
      <c r="BC809" s="35">
        <v>1.4657953265701518E-3</v>
      </c>
      <c r="BD809" s="35">
        <v>1.4689892451440936E-3</v>
      </c>
      <c r="BE809" s="35">
        <v>1.4722155374223762E-3</v>
      </c>
      <c r="BF809" s="35">
        <v>1.475474407462271E-3</v>
      </c>
      <c r="BG809" s="35">
        <v>1.4787660552366927E-3</v>
      </c>
      <c r="BH809" s="35">
        <v>1.5415183483124273E-3</v>
      </c>
      <c r="BI809" s="35">
        <v>2.948922920793406E-3</v>
      </c>
      <c r="BJ809" s="35">
        <v>4.9534649065008087E-3</v>
      </c>
      <c r="BK809" s="35">
        <v>4.9691697992847624E-3</v>
      </c>
      <c r="BL809" s="35">
        <v>1.857173093948779E-3</v>
      </c>
      <c r="BM809" s="35">
        <v>1.8626631960122545E-3</v>
      </c>
      <c r="BN809" s="35">
        <v>1.8653954300582394E-3</v>
      </c>
      <c r="BO809" s="35">
        <v>1.8653954300582387E-3</v>
      </c>
      <c r="BP809" s="35"/>
      <c r="BQ809" s="345">
        <v>1.0025704827465254E-2</v>
      </c>
      <c r="BR809" s="345">
        <v>1.8862478204468437E-2</v>
      </c>
      <c r="BS809" s="345">
        <v>1.8529140498349465E-2</v>
      </c>
      <c r="BT809" s="345">
        <v>5.6562164360752214E-3</v>
      </c>
      <c r="BU809" s="345">
        <v>3.4811870847959153E-3</v>
      </c>
      <c r="BV809" s="345">
        <v>1.5687012722167318E-3</v>
      </c>
      <c r="BW809" s="345">
        <v>1.7319277108433734E-3</v>
      </c>
      <c r="BX809" s="345">
        <v>2.990317881929569E-3</v>
      </c>
      <c r="BY809" s="345">
        <v>3.783982929861996E-3</v>
      </c>
      <c r="BZ809" s="345">
        <v>5.5290072554561613E-3</v>
      </c>
      <c r="CA809" s="35">
        <v>4.4457640896758696E-3</v>
      </c>
      <c r="CB809" s="35">
        <v>3.771107101152877E-3</v>
      </c>
      <c r="CC809" s="35">
        <v>3.1770727479576797E-3</v>
      </c>
      <c r="CD809" s="35">
        <v>2.302014404260205E-3</v>
      </c>
      <c r="CE809" s="35">
        <v>1.1337387541984969E-3</v>
      </c>
      <c r="CF809" s="35">
        <v>1.5111328261324772E-3</v>
      </c>
      <c r="CG809" s="35">
        <v>1.8062352809917106E-3</v>
      </c>
      <c r="CH809" s="35">
        <v>5.3007605439041256E-3</v>
      </c>
      <c r="CI809" s="35">
        <v>4.41709169090397E-3</v>
      </c>
      <c r="CJ809" s="35">
        <v>3.0821732160696354E-3</v>
      </c>
      <c r="CK809" s="37">
        <v>3.0840124221819211E-3</v>
      </c>
      <c r="CL809" s="37">
        <v>3.0540700356741371E-3</v>
      </c>
      <c r="CM809" s="37">
        <v>2.6696851907223101E-3</v>
      </c>
      <c r="CN809" s="37">
        <v>2.1327027012434468E-3</v>
      </c>
      <c r="CO809" s="37">
        <v>2.7222835240141704E-3</v>
      </c>
      <c r="CP809" s="37">
        <v>2.6298216388545826E-3</v>
      </c>
      <c r="CQ809" s="37">
        <v>1.7248281785426436E-3</v>
      </c>
      <c r="CR809" s="37">
        <v>1.4695777005191146E-3</v>
      </c>
      <c r="CS809" s="37">
        <v>1.4686056661776816E-3</v>
      </c>
      <c r="CT809" s="37">
        <v>7.5653662983378347E-4</v>
      </c>
      <c r="CU809" s="37">
        <v>3.5871193628575563E-4</v>
      </c>
      <c r="CV809" s="36">
        <v>3.7247258030639343E-4</v>
      </c>
      <c r="CW809" s="35">
        <v>1.9660660626973932E-4</v>
      </c>
      <c r="CX809" s="35">
        <v>1.4727338658492922E-3</v>
      </c>
      <c r="CY809" s="35">
        <v>1.4618628779188953E-3</v>
      </c>
      <c r="CZ809" s="35">
        <v>1.4644749274411899E-3</v>
      </c>
      <c r="DA809" s="35">
        <v>1.4706167814606444E-3</v>
      </c>
      <c r="DB809" s="35">
        <v>1.477139523059127E-3</v>
      </c>
      <c r="DC809" s="35">
        <v>2.2535116470866249E-3</v>
      </c>
      <c r="DD809" s="35">
        <v>4.9614195815653392E-3</v>
      </c>
      <c r="DE809" s="35">
        <v>1.8599475398048948E-3</v>
      </c>
      <c r="DF809" s="35">
        <v>1.865395430058239E-3</v>
      </c>
    </row>
    <row r="810" spans="1:110" ht="12" outlineLevel="1">
      <c r="A810" s="1" t="s">
        <v>820</v>
      </c>
      <c r="B810" s="15" t="s">
        <v>353</v>
      </c>
      <c r="C810" s="345">
        <v>1.0196362453060005E-2</v>
      </c>
      <c r="D810" s="345">
        <v>5.9951178442610685E-3</v>
      </c>
      <c r="E810" s="345">
        <v>6.2408384116489782E-3</v>
      </c>
      <c r="F810" s="345">
        <v>5.9667984299169811E-3</v>
      </c>
      <c r="G810" s="345">
        <v>6.0165016910869885E-3</v>
      </c>
      <c r="H810" s="345">
        <v>5.3933733940703613E-3</v>
      </c>
      <c r="I810" s="345">
        <v>5.2066356204130936E-3</v>
      </c>
      <c r="J810" s="345">
        <v>3.8099005034103262E-3</v>
      </c>
      <c r="K810" s="345">
        <v>4.8964450934286365E-3</v>
      </c>
      <c r="L810" s="345">
        <v>3.599869940466936E-3</v>
      </c>
      <c r="M810" s="35">
        <v>2.8385438241915694E-3</v>
      </c>
      <c r="N810" s="35">
        <v>3.5721408751789221E-3</v>
      </c>
      <c r="O810" s="35">
        <v>3.9463672433795562E-3</v>
      </c>
      <c r="P810" s="35">
        <v>9.0281595431341271E-3</v>
      </c>
      <c r="Q810" s="35">
        <v>1.607399783000367E-2</v>
      </c>
      <c r="R810" s="35">
        <v>1.6219353381702366E-2</v>
      </c>
      <c r="S810" s="35">
        <v>1.9331194166307263E-2</v>
      </c>
      <c r="T810" s="37">
        <v>1.3717839230441325E-2</v>
      </c>
      <c r="U810" s="35">
        <v>8.6531661687033468E-3</v>
      </c>
      <c r="V810" s="35">
        <v>7.5798862757633688E-3</v>
      </c>
      <c r="W810" s="35">
        <v>6.1139409329306997E-3</v>
      </c>
      <c r="X810" s="35">
        <v>6.0030691580023627E-3</v>
      </c>
      <c r="Y810" s="37">
        <v>6.8964987114636337E-3</v>
      </c>
      <c r="Z810" s="37">
        <v>5.5821056010555321E-3</v>
      </c>
      <c r="AA810" s="37">
        <v>5.1862896127472516E-3</v>
      </c>
      <c r="AB810" s="37">
        <v>4.3399589866926899E-3</v>
      </c>
      <c r="AC810" s="37">
        <v>3.6018627370141263E-3</v>
      </c>
      <c r="AD810" s="37">
        <v>3.8453550899760517E-3</v>
      </c>
      <c r="AE810" s="37">
        <v>5.0689333588648001E-3</v>
      </c>
      <c r="AF810" s="37">
        <v>7.158137118855358E-3</v>
      </c>
      <c r="AG810" s="37">
        <v>8.4145799887563114E-3</v>
      </c>
      <c r="AH810" s="37">
        <v>5.9167098829251063E-3</v>
      </c>
      <c r="AI810" s="37">
        <v>3.9786646150609378E-3</v>
      </c>
      <c r="AJ810" s="37">
        <v>3.4305360408910792E-3</v>
      </c>
      <c r="AK810" s="37">
        <v>2.2730031829659696E-3</v>
      </c>
      <c r="AL810" s="37">
        <v>3.1089766981324952E-3</v>
      </c>
      <c r="AM810" s="37">
        <v>3.0838849759733953E-3</v>
      </c>
      <c r="AN810" s="37">
        <v>1.211683681678238E-2</v>
      </c>
      <c r="AO810" s="37">
        <v>7.7975872271673118E-3</v>
      </c>
      <c r="AP810" s="37">
        <v>-4.0490970272895775E-3</v>
      </c>
      <c r="AQ810" s="37">
        <v>-6.2993501540384636E-4</v>
      </c>
      <c r="AR810" s="37">
        <v>-2.212834307200639E-3</v>
      </c>
      <c r="AS810" s="37">
        <v>3.8178648888333985E-4</v>
      </c>
      <c r="AT810" s="37">
        <v>9.3031757786750933E-4</v>
      </c>
      <c r="AU810" s="37">
        <v>7.9184840459173278E-4</v>
      </c>
      <c r="AV810" s="36">
        <v>4.9601926084599595E-4</v>
      </c>
      <c r="AW810" s="35">
        <v>1.5919976765298028E-3</v>
      </c>
      <c r="AX810" s="35">
        <v>4.1351346379973862E-3</v>
      </c>
      <c r="AY810" s="35">
        <v>4.1850992017108219E-3</v>
      </c>
      <c r="AZ810" s="35">
        <v>4.2497425859891235E-3</v>
      </c>
      <c r="BA810" s="35">
        <v>4.2664986243505735E-3</v>
      </c>
      <c r="BB810" s="35">
        <v>4.2281012154339308E-3</v>
      </c>
      <c r="BC810" s="35">
        <v>4.1643566699399942E-3</v>
      </c>
      <c r="BD810" s="35">
        <v>4.1645997138373796E-3</v>
      </c>
      <c r="BE810" s="35">
        <v>4.1633356696356887E-3</v>
      </c>
      <c r="BF810" s="35">
        <v>4.165961446439193E-3</v>
      </c>
      <c r="BG810" s="35">
        <v>4.15604320320894E-3</v>
      </c>
      <c r="BH810" s="35">
        <v>8.1868875965208435E-3</v>
      </c>
      <c r="BI810" s="35">
        <v>1.2332342349407764E-2</v>
      </c>
      <c r="BJ810" s="35">
        <v>1.236143168027028E-2</v>
      </c>
      <c r="BK810" s="35">
        <v>8.5122055463648875E-3</v>
      </c>
      <c r="BL810" s="35">
        <v>5.2158253284624694E-3</v>
      </c>
      <c r="BM810" s="35">
        <v>5.2088249044391442E-3</v>
      </c>
      <c r="BN810" s="35">
        <v>5.1895833316965637E-3</v>
      </c>
      <c r="BO810" s="35">
        <v>5.2481716901236391E-3</v>
      </c>
      <c r="BP810" s="35"/>
      <c r="BQ810" s="345">
        <v>4.3655530133418857E-2</v>
      </c>
      <c r="BR810" s="345">
        <v>1.1376830335389639E-2</v>
      </c>
      <c r="BS810" s="345">
        <v>7.0749194347889156E-3</v>
      </c>
      <c r="BT810" s="345">
        <v>4.0305752433038794E-3</v>
      </c>
      <c r="BU810" s="345">
        <v>2.7216587158947706E-3</v>
      </c>
      <c r="BV810" s="345">
        <v>5.6001244466958771E-3</v>
      </c>
      <c r="BW810" s="345">
        <v>6.1099059018680539E-3</v>
      </c>
      <c r="BX810" s="345">
        <v>5.9723674412010203E-3</v>
      </c>
      <c r="BY810" s="345">
        <v>5.510538416778823E-3</v>
      </c>
      <c r="BZ810" s="345">
        <v>5.7693974693707583E-3</v>
      </c>
      <c r="CA810" s="35">
        <v>6.1307123129266923E-3</v>
      </c>
      <c r="CB810" s="35">
        <v>5.9857591174622164E-3</v>
      </c>
      <c r="CC810" s="35">
        <v>5.3094006822036414E-3</v>
      </c>
      <c r="CD810" s="35">
        <v>4.3673085643781461E-3</v>
      </c>
      <c r="CE810" s="35">
        <v>3.2040105081211296E-3</v>
      </c>
      <c r="CF810" s="35">
        <v>3.7472143741415368E-3</v>
      </c>
      <c r="CG810" s="35">
        <v>1.2714614241169766E-2</v>
      </c>
      <c r="CH810" s="35">
        <v>1.7760978455987435E-2</v>
      </c>
      <c r="CI810" s="35">
        <v>1.103804626316438E-2</v>
      </c>
      <c r="CJ810" s="35">
        <v>6.8614968271532243E-3</v>
      </c>
      <c r="CK810" s="37">
        <v>6.4510598623179951E-3</v>
      </c>
      <c r="CL810" s="37">
        <v>5.4009979790745942E-3</v>
      </c>
      <c r="CM810" s="37">
        <v>3.9676011711403539E-3</v>
      </c>
      <c r="CN810" s="37">
        <v>4.4883739899710933E-3</v>
      </c>
      <c r="CO810" s="37">
        <v>7.7015449963662337E-3</v>
      </c>
      <c r="CP810" s="37">
        <v>4.9349016444840462E-3</v>
      </c>
      <c r="CQ810" s="37">
        <v>2.828752763365108E-3</v>
      </c>
      <c r="CR810" s="37">
        <v>3.0707074596352875E-3</v>
      </c>
      <c r="CS810" s="37">
        <v>1.0221982878455197E-2</v>
      </c>
      <c r="CT810" s="37">
        <v>-2.3170232619384701E-3</v>
      </c>
      <c r="CU810" s="37">
        <v>-8.7698086248812006E-4</v>
      </c>
      <c r="CV810" s="36">
        <v>8.6145319239728699E-4</v>
      </c>
      <c r="CW810" s="35">
        <v>1.0506859194234627E-3</v>
      </c>
      <c r="CX810" s="35">
        <v>4.1603448256405176E-3</v>
      </c>
      <c r="CY810" s="35">
        <v>4.2581940080284111E-3</v>
      </c>
      <c r="CZ810" s="35">
        <v>4.1958258410176941E-3</v>
      </c>
      <c r="DA810" s="35">
        <v>4.1639608396831264E-3</v>
      </c>
      <c r="DB810" s="35">
        <v>4.1609346099872281E-3</v>
      </c>
      <c r="DC810" s="35">
        <v>1.0288067270456685E-2</v>
      </c>
      <c r="DD810" s="35">
        <v>1.0407664672646789E-2</v>
      </c>
      <c r="DE810" s="35">
        <v>5.2122799141585954E-3</v>
      </c>
      <c r="DF810" s="35">
        <v>5.2191035080400364E-3</v>
      </c>
    </row>
    <row r="811" spans="1:110" ht="12" outlineLevel="1">
      <c r="A811" s="1" t="s">
        <v>821</v>
      </c>
      <c r="B811" s="15" t="s">
        <v>352</v>
      </c>
      <c r="C811" s="345">
        <v>3.7624422739696364E-3</v>
      </c>
      <c r="D811" s="345">
        <v>3.873449386269899E-3</v>
      </c>
      <c r="E811" s="345">
        <v>3.8964638204602334E-3</v>
      </c>
      <c r="F811" s="345">
        <v>3.6465724625830242E-3</v>
      </c>
      <c r="G811" s="345">
        <v>3.5942158060068919E-3</v>
      </c>
      <c r="H811" s="345">
        <v>3.0795114104260647E-3</v>
      </c>
      <c r="I811" s="345">
        <v>2.831478226908807E-3</v>
      </c>
      <c r="J811" s="345">
        <v>1.9934012048517381E-3</v>
      </c>
      <c r="K811" s="345">
        <v>2.5457439062321558E-3</v>
      </c>
      <c r="L811" s="345">
        <v>1.7683744399642934E-3</v>
      </c>
      <c r="M811" s="35">
        <v>1.385078342307882E-3</v>
      </c>
      <c r="N811" s="35">
        <v>1.7269516031670241E-3</v>
      </c>
      <c r="O811" s="35">
        <v>1.9109939128912051E-3</v>
      </c>
      <c r="P811" s="35">
        <v>4.4978068545089584E-3</v>
      </c>
      <c r="Q811" s="35">
        <v>8.095619964104326E-3</v>
      </c>
      <c r="R811" s="35">
        <v>8.1267998720685377E-3</v>
      </c>
      <c r="S811" s="35">
        <v>9.240554501322067E-3</v>
      </c>
      <c r="T811" s="37">
        <v>6.3240123538127382E-3</v>
      </c>
      <c r="U811" s="35">
        <v>3.9510598722230263E-3</v>
      </c>
      <c r="V811" s="35">
        <v>3.4696136307969874E-3</v>
      </c>
      <c r="W811" s="35">
        <v>2.8402361075492363E-3</v>
      </c>
      <c r="X811" s="35">
        <v>2.7924339736335444E-3</v>
      </c>
      <c r="Y811" s="37">
        <v>3.2173662957498497E-3</v>
      </c>
      <c r="Z811" s="37">
        <v>2.6724935790968869E-3</v>
      </c>
      <c r="AA811" s="37">
        <v>2.5085014605093813E-3</v>
      </c>
      <c r="AB811" s="37">
        <v>2.1068298280576734E-3</v>
      </c>
      <c r="AC811" s="37">
        <v>1.7433759329804287E-3</v>
      </c>
      <c r="AD811" s="37">
        <v>1.8737239502042585E-3</v>
      </c>
      <c r="AE811" s="37">
        <v>2.4421779531197526E-3</v>
      </c>
      <c r="AF811" s="37">
        <v>3.3325346866763957E-3</v>
      </c>
      <c r="AG811" s="37">
        <v>3.7672506873054901E-3</v>
      </c>
      <c r="AH811" s="37">
        <v>2.5980665837012132E-3</v>
      </c>
      <c r="AI811" s="37">
        <v>1.7110633962224857E-3</v>
      </c>
      <c r="AJ811" s="37">
        <v>1.4573854219767889E-3</v>
      </c>
      <c r="AK811" s="37">
        <v>9.7548483481400383E-4</v>
      </c>
      <c r="AL811" s="37">
        <v>1.3451861130092124E-3</v>
      </c>
      <c r="AM811" s="37">
        <v>1.3591521669362324E-3</v>
      </c>
      <c r="AN811" s="37">
        <v>5.5371883057493809E-3</v>
      </c>
      <c r="AO811" s="37">
        <v>3.5034919673226934E-3</v>
      </c>
      <c r="AP811" s="37">
        <v>-1.679070826011592E-3</v>
      </c>
      <c r="AQ811" s="37">
        <v>-2.5809690414810386E-4</v>
      </c>
      <c r="AR811" s="37">
        <v>-9.3818586061048838E-4</v>
      </c>
      <c r="AS811" s="37">
        <v>1.6742134174003699E-4</v>
      </c>
      <c r="AT811" s="37">
        <v>4.1082716480442792E-4</v>
      </c>
      <c r="AU811" s="37">
        <v>3.4358448056132556E-4</v>
      </c>
      <c r="AV811" s="36">
        <v>2.1084908928254079E-4</v>
      </c>
      <c r="AW811" s="35">
        <v>6.5724717428176178E-4</v>
      </c>
      <c r="AX811" s="35">
        <v>1.6473284391887184E-3</v>
      </c>
      <c r="AY811" s="35">
        <v>1.6618656589717595E-3</v>
      </c>
      <c r="AZ811" s="35">
        <v>1.6759633692039408E-3</v>
      </c>
      <c r="BA811" s="35">
        <v>1.6824092100692998E-3</v>
      </c>
      <c r="BB811" s="35">
        <v>1.6710095421166894E-3</v>
      </c>
      <c r="BC811" s="35">
        <v>1.6512704726777052E-3</v>
      </c>
      <c r="BD811" s="35">
        <v>1.657703462067437E-3</v>
      </c>
      <c r="BE811" s="35">
        <v>1.6635798542117932E-3</v>
      </c>
      <c r="BF811" s="35">
        <v>1.6710576686314665E-3</v>
      </c>
      <c r="BG811" s="35">
        <v>1.673537660557643E-3</v>
      </c>
      <c r="BH811" s="35">
        <v>3.3094722701261401E-3</v>
      </c>
      <c r="BI811" s="35">
        <v>5.0046668033193603E-3</v>
      </c>
      <c r="BJ811" s="35">
        <v>5.0366685182296625E-3</v>
      </c>
      <c r="BK811" s="35">
        <v>3.4831045059156929E-3</v>
      </c>
      <c r="BL811" s="35">
        <v>2.1436505792023245E-3</v>
      </c>
      <c r="BM811" s="35">
        <v>2.1502401630862232E-3</v>
      </c>
      <c r="BN811" s="35">
        <v>2.1469842140672151E-3</v>
      </c>
      <c r="BO811" s="35">
        <v>2.1712228229556706E-3</v>
      </c>
      <c r="BP811" s="35"/>
      <c r="BQ811" s="345">
        <v>2.6540645415881092E-2</v>
      </c>
      <c r="BR811" s="345">
        <v>8.7354354869488594E-3</v>
      </c>
      <c r="BS811" s="345">
        <v>5.3691609509780381E-3</v>
      </c>
      <c r="BT811" s="345">
        <v>3.0124118996625337E-3</v>
      </c>
      <c r="BU811" s="345">
        <v>2.0306924661309509E-3</v>
      </c>
      <c r="BV811" s="345">
        <v>4.183203392577951E-3</v>
      </c>
      <c r="BW811" s="345">
        <v>4.5839608433734941E-3</v>
      </c>
      <c r="BX811" s="345">
        <v>4.3698055008139832E-3</v>
      </c>
      <c r="BY811" s="345">
        <v>3.8530617257418296E-3</v>
      </c>
      <c r="BZ811" s="345">
        <v>3.8681197004574726E-3</v>
      </c>
      <c r="CA811" s="35">
        <v>3.8908408819257967E-3</v>
      </c>
      <c r="CB811" s="35">
        <v>3.6179058751685412E-3</v>
      </c>
      <c r="CC811" s="35">
        <v>2.9528087892783141E-3</v>
      </c>
      <c r="CD811" s="35">
        <v>2.2778251110455619E-3</v>
      </c>
      <c r="CE811" s="35">
        <v>1.5694954862543818E-3</v>
      </c>
      <c r="CF811" s="35">
        <v>1.8217351853144412E-3</v>
      </c>
      <c r="CG811" s="35">
        <v>6.3444391172062754E-3</v>
      </c>
      <c r="CH811" s="35">
        <v>8.6762713674613124E-3</v>
      </c>
      <c r="CI811" s="35">
        <v>5.0779823037475566E-3</v>
      </c>
      <c r="CJ811" s="35">
        <v>3.1492892157495437E-3</v>
      </c>
      <c r="CK811" s="37">
        <v>3.0098430000813471E-3</v>
      </c>
      <c r="CL811" s="37">
        <v>2.5927105196467677E-3</v>
      </c>
      <c r="CM811" s="37">
        <v>1.9202317480904469E-3</v>
      </c>
      <c r="CN811" s="37">
        <v>2.1686976835429139E-3</v>
      </c>
      <c r="CO811" s="37">
        <v>3.5498577153144782E-3</v>
      </c>
      <c r="CP811" s="37">
        <v>2.1523250136427606E-3</v>
      </c>
      <c r="CQ811" s="37">
        <v>1.2133760601608782E-3</v>
      </c>
      <c r="CR811" s="37">
        <v>1.3522155924915464E-3</v>
      </c>
      <c r="CS811" s="37">
        <v>4.5180250719039231E-3</v>
      </c>
      <c r="CT811" s="37">
        <v>-9.6611772323368296E-4</v>
      </c>
      <c r="CU811" s="37">
        <v>-3.7827804190134233E-4</v>
      </c>
      <c r="CV811" s="36">
        <v>3.7709000898787762E-4</v>
      </c>
      <c r="CW811" s="35">
        <v>4.4002671587409264E-4</v>
      </c>
      <c r="CX811" s="35">
        <v>1.6546750760820781E-3</v>
      </c>
      <c r="CY811" s="35">
        <v>1.6792146821571013E-3</v>
      </c>
      <c r="CZ811" s="35">
        <v>1.661031506363288E-3</v>
      </c>
      <c r="DA811" s="35">
        <v>1.6606678685130685E-3</v>
      </c>
      <c r="DB811" s="35">
        <v>1.6723121993465818E-3</v>
      </c>
      <c r="DC811" s="35">
        <v>4.1670559183194815E-3</v>
      </c>
      <c r="DD811" s="35">
        <v>4.2497738173290795E-3</v>
      </c>
      <c r="DE811" s="35">
        <v>2.146980652758122E-3</v>
      </c>
      <c r="DF811" s="35">
        <v>2.1591970158578357E-3</v>
      </c>
    </row>
    <row r="812" spans="1:110" ht="12" outlineLevel="1">
      <c r="A812" s="1" t="s">
        <v>822</v>
      </c>
      <c r="B812" s="15" t="s">
        <v>625</v>
      </c>
      <c r="C812" s="345">
        <v>1.4908795273156153E-2</v>
      </c>
      <c r="D812" s="345">
        <v>1.7561910997825222E-2</v>
      </c>
      <c r="E812" s="345">
        <v>1.451901436897686E-2</v>
      </c>
      <c r="F812" s="345">
        <v>1.3319073398238089E-2</v>
      </c>
      <c r="G812" s="345">
        <v>1.1299435028248588E-2</v>
      </c>
      <c r="H812" s="345">
        <v>8.9077703165684526E-3</v>
      </c>
      <c r="I812" s="345">
        <v>8.0443251353525501E-3</v>
      </c>
      <c r="J812" s="345">
        <v>6.3763860317026747E-3</v>
      </c>
      <c r="K812" s="345">
        <v>5.7823625776523445E-3</v>
      </c>
      <c r="L812" s="345">
        <v>6.3181943514397133E-3</v>
      </c>
      <c r="M812" s="35">
        <v>5.2635547847070356E-3</v>
      </c>
      <c r="N812" s="35">
        <v>5.4619703930576828E-3</v>
      </c>
      <c r="O812" s="35">
        <v>4.6800000000000001E-3</v>
      </c>
      <c r="P812" s="35">
        <v>6.5422042647654728E-3</v>
      </c>
      <c r="Q812" s="35">
        <v>1.488962294104868E-2</v>
      </c>
      <c r="R812" s="35">
        <v>2.3368346512451316E-2</v>
      </c>
      <c r="S812" s="35">
        <v>3.4112317625611982E-2</v>
      </c>
      <c r="T812" s="37">
        <v>4.0633186555933336E-2</v>
      </c>
      <c r="U812" s="35">
        <v>3.9187930045871559E-2</v>
      </c>
      <c r="V812" s="35">
        <v>3.4935307066804436E-2</v>
      </c>
      <c r="W812" s="35">
        <v>2.9625500968760782E-2</v>
      </c>
      <c r="X812" s="35">
        <v>2.7487254412725523E-2</v>
      </c>
      <c r="Y812" s="37">
        <v>2.5710171747509884E-2</v>
      </c>
      <c r="Z812" s="37">
        <v>2.124100034457119E-2</v>
      </c>
      <c r="AA812" s="37">
        <v>1.8194852188161397E-2</v>
      </c>
      <c r="AB812" s="37">
        <v>1.4551476854308363E-2</v>
      </c>
      <c r="AC812" s="37">
        <v>1.1367481683756581E-2</v>
      </c>
      <c r="AD812" s="37">
        <v>9.9045389707764896E-3</v>
      </c>
      <c r="AE812" s="37">
        <v>9.949757202504456E-3</v>
      </c>
      <c r="AF812" s="37">
        <v>1.1433670434265318E-2</v>
      </c>
      <c r="AG812" s="37">
        <v>1.2376594856672557E-2</v>
      </c>
      <c r="AH812" s="37">
        <v>1.1809031097115223E-2</v>
      </c>
      <c r="AI812" s="37">
        <v>9.6857415645885386E-3</v>
      </c>
      <c r="AJ812" s="37">
        <v>8.1416014217781836E-3</v>
      </c>
      <c r="AK812" s="37">
        <v>8.1747618083077601E-3</v>
      </c>
      <c r="AL812" s="37">
        <v>8.0507560825202502E-3</v>
      </c>
      <c r="AM812" s="37">
        <v>7.3919712044650566E-3</v>
      </c>
      <c r="AN812" s="37">
        <v>8.3474384380429929E-3</v>
      </c>
      <c r="AO812" s="37">
        <v>9.3525836559892293E-3</v>
      </c>
      <c r="AP812" s="37">
        <v>9.928138423862861E-3</v>
      </c>
      <c r="AQ812" s="37">
        <v>7.5521153609642106E-3</v>
      </c>
      <c r="AR812" s="37">
        <v>6.1074758506330833E-3</v>
      </c>
      <c r="AS812" s="37">
        <v>4.8327759197324413E-3</v>
      </c>
      <c r="AT812" s="37">
        <v>4.0320565154367783E-3</v>
      </c>
      <c r="AU812" s="37">
        <v>5.0175002226701283E-3</v>
      </c>
      <c r="AV812" s="36">
        <v>5.0503874292596425E-3</v>
      </c>
      <c r="AW812" s="35">
        <v>5.3029068007226249E-3</v>
      </c>
      <c r="AX812" s="35">
        <v>5.1438195967009465E-3</v>
      </c>
      <c r="AY812" s="35">
        <v>5.5296060664535174E-3</v>
      </c>
      <c r="AZ812" s="35">
        <v>5.944326521437531E-3</v>
      </c>
      <c r="BA812" s="35">
        <v>6.2415428475094074E-3</v>
      </c>
      <c r="BB812" s="35">
        <v>6.2415428475094065E-3</v>
      </c>
      <c r="BC812" s="35">
        <v>5.9294657051339366E-3</v>
      </c>
      <c r="BD812" s="35">
        <v>5.6329924198772396E-3</v>
      </c>
      <c r="BE812" s="35">
        <v>5.3513427988833772E-3</v>
      </c>
      <c r="BF812" s="35">
        <v>5.3513427988833772E-3</v>
      </c>
      <c r="BG812" s="35">
        <v>5.3513427988833772E-3</v>
      </c>
      <c r="BH812" s="35">
        <v>6.8229620685763053E-3</v>
      </c>
      <c r="BI812" s="35">
        <v>7.8464063788627504E-3</v>
      </c>
      <c r="BJ812" s="35">
        <v>8.6310470167490268E-3</v>
      </c>
      <c r="BK812" s="35">
        <v>8.1994946659115758E-3</v>
      </c>
      <c r="BL812" s="35">
        <v>8.0355047725933441E-3</v>
      </c>
      <c r="BM812" s="35">
        <v>7.8747946771414775E-3</v>
      </c>
      <c r="BN812" s="35">
        <v>7.8747946771414775E-3</v>
      </c>
      <c r="BO812" s="35">
        <v>7.8747946771414775E-3</v>
      </c>
      <c r="BP812" s="35"/>
      <c r="BQ812" s="345">
        <v>8.3287551167524607E-2</v>
      </c>
      <c r="BR812" s="345">
        <v>8.1401809341905482E-2</v>
      </c>
      <c r="BS812" s="345">
        <v>5.2650867334473495E-2</v>
      </c>
      <c r="BT812" s="345">
        <v>3.2000594367161371E-2</v>
      </c>
      <c r="BU812" s="345">
        <v>2.0490046528850676E-2</v>
      </c>
      <c r="BV812" s="345">
        <v>1.3556179734357439E-2</v>
      </c>
      <c r="BW812" s="345">
        <v>2.2182373228890585E-2</v>
      </c>
      <c r="BX812" s="345">
        <v>1.9945062958821529E-2</v>
      </c>
      <c r="BY812" s="345">
        <v>1.7097308778563594E-2</v>
      </c>
      <c r="BZ812" s="345">
        <v>1.4908795273156153E-2</v>
      </c>
      <c r="CA812" s="35">
        <v>1.451901436897686E-2</v>
      </c>
      <c r="CB812" s="35">
        <v>1.1299435028248588E-2</v>
      </c>
      <c r="CC812" s="35">
        <v>8.0443251353525501E-3</v>
      </c>
      <c r="CD812" s="35">
        <v>5.7823625776523445E-3</v>
      </c>
      <c r="CE812" s="35">
        <v>5.2635547847070356E-3</v>
      </c>
      <c r="CF812" s="35">
        <v>4.6800000000000001E-3</v>
      </c>
      <c r="CG812" s="35">
        <v>1.488962294104868E-2</v>
      </c>
      <c r="CH812" s="35">
        <v>3.4112317625611982E-2</v>
      </c>
      <c r="CI812" s="35">
        <v>3.9187930045871559E-2</v>
      </c>
      <c r="CJ812" s="35">
        <v>2.9625500968760782E-2</v>
      </c>
      <c r="CK812" s="37">
        <v>2.5710171747509884E-2</v>
      </c>
      <c r="CL812" s="37">
        <v>1.8194852188161397E-2</v>
      </c>
      <c r="CM812" s="37">
        <v>1.1367481683756581E-2</v>
      </c>
      <c r="CN812" s="37">
        <v>9.949757202504456E-3</v>
      </c>
      <c r="CO812" s="37">
        <v>1.2376594856672557E-2</v>
      </c>
      <c r="CP812" s="37">
        <v>9.6857415645885386E-3</v>
      </c>
      <c r="CQ812" s="37">
        <v>8.1747618083077601E-3</v>
      </c>
      <c r="CR812" s="37">
        <v>7.3919712044650566E-3</v>
      </c>
      <c r="CS812" s="37">
        <v>9.3525836559892293E-3</v>
      </c>
      <c r="CT812" s="37">
        <v>7.5521153609642106E-3</v>
      </c>
      <c r="CU812" s="37">
        <v>4.8327759197324413E-3</v>
      </c>
      <c r="CV812" s="36">
        <v>5.0175002226701283E-3</v>
      </c>
      <c r="CW812" s="35">
        <v>5.3029068007226249E-3</v>
      </c>
      <c r="CX812" s="35">
        <v>5.5296060664535174E-3</v>
      </c>
      <c r="CY812" s="35">
        <v>6.2415428475094074E-3</v>
      </c>
      <c r="CZ812" s="35">
        <v>5.9294657051339366E-3</v>
      </c>
      <c r="DA812" s="35">
        <v>5.3513427988833772E-3</v>
      </c>
      <c r="DB812" s="35">
        <v>5.3513427988833772E-3</v>
      </c>
      <c r="DC812" s="35">
        <v>7.8464063788627504E-3</v>
      </c>
      <c r="DD812" s="35">
        <v>8.1994946659115758E-3</v>
      </c>
      <c r="DE812" s="35">
        <v>7.8747946771414775E-3</v>
      </c>
      <c r="DF812" s="35">
        <v>7.8747946771414775E-3</v>
      </c>
    </row>
    <row r="813" spans="1:110" ht="12" outlineLevel="1">
      <c r="A813" s="1" t="s">
        <v>823</v>
      </c>
      <c r="B813" s="15" t="s">
        <v>348</v>
      </c>
      <c r="C813" s="345">
        <v>1.1722240344930291E-2</v>
      </c>
      <c r="D813" s="345">
        <v>1.244589879666338E-2</v>
      </c>
      <c r="E813" s="345">
        <v>9.8829997653290414E-3</v>
      </c>
      <c r="F813" s="345">
        <v>9.1490904505186158E-3</v>
      </c>
      <c r="G813" s="345">
        <v>7.585936793902329E-3</v>
      </c>
      <c r="H813" s="345">
        <v>5.980721767689527E-3</v>
      </c>
      <c r="I813" s="345">
        <v>5.3461677512653648E-3</v>
      </c>
      <c r="J813" s="345">
        <v>4.7678467544074125E-3</v>
      </c>
      <c r="K813" s="345">
        <v>4.3768228426944262E-3</v>
      </c>
      <c r="L813" s="345">
        <v>4.7410719448031302E-3</v>
      </c>
      <c r="M813" s="35">
        <v>4.3819509016495466E-3</v>
      </c>
      <c r="N813" s="35">
        <v>4.6680733874325947E-3</v>
      </c>
      <c r="O813" s="35">
        <v>4.1088670848189891E-3</v>
      </c>
      <c r="P813" s="35">
        <v>5.385975145752956E-3</v>
      </c>
      <c r="Q813" s="35">
        <v>1.0505224470728611E-2</v>
      </c>
      <c r="R813" s="35">
        <v>1.5831890896662735E-2</v>
      </c>
      <c r="S813" s="35">
        <v>2.0425609260821286E-2</v>
      </c>
      <c r="T813" s="37">
        <v>2.2816499908271122E-2</v>
      </c>
      <c r="U813" s="35">
        <v>2.1930274912046518E-2</v>
      </c>
      <c r="V813" s="35">
        <v>2.118974619473522E-2</v>
      </c>
      <c r="W813" s="35">
        <v>1.836455183311167E-2</v>
      </c>
      <c r="X813" s="35">
        <v>1.72323248719332E-2</v>
      </c>
      <c r="Y813" s="37">
        <v>1.5963309111493629E-2</v>
      </c>
      <c r="Z813" s="37">
        <v>1.3906626624183278E-2</v>
      </c>
      <c r="AA813" s="37">
        <v>1.2472596994846492E-2</v>
      </c>
      <c r="AB813" s="37">
        <v>1.1063614321742602E-2</v>
      </c>
      <c r="AC813" s="37">
        <v>9.268667678970343E-3</v>
      </c>
      <c r="AD813" s="37">
        <v>8.8199648696314515E-3</v>
      </c>
      <c r="AE813" s="37">
        <v>8.8837994844363569E-3</v>
      </c>
      <c r="AF813" s="37">
        <v>9.6489350978245687E-3</v>
      </c>
      <c r="AG813" s="37">
        <v>1.0139513213635541E-2</v>
      </c>
      <c r="AH813" s="37">
        <v>9.8503559995584498E-3</v>
      </c>
      <c r="AI813" s="37">
        <v>9.147407463269825E-3</v>
      </c>
      <c r="AJ813" s="37">
        <v>8.5252437644867795E-3</v>
      </c>
      <c r="AK813" s="37">
        <v>8.3084764557520164E-3</v>
      </c>
      <c r="AL813" s="37">
        <v>8.896585348354474E-3</v>
      </c>
      <c r="AM813" s="37">
        <v>9.3369669817805409E-3</v>
      </c>
      <c r="AN813" s="37">
        <v>9.4131035850001741E-3</v>
      </c>
      <c r="AO813" s="37">
        <v>1.0145314773561339E-2</v>
      </c>
      <c r="AP813" s="37">
        <v>9.3302550884941417E-3</v>
      </c>
      <c r="AQ813" s="37">
        <v>7.9492512216244923E-3</v>
      </c>
      <c r="AR813" s="37">
        <v>6.9299497074038225E-3</v>
      </c>
      <c r="AS813" s="37">
        <v>5.7108925589163112E-3</v>
      </c>
      <c r="AT813" s="37">
        <v>5.3711008152150319E-3</v>
      </c>
      <c r="AU813" s="37">
        <v>6.1642383731611156E-3</v>
      </c>
      <c r="AV813" s="36">
        <v>6.9991838012500142E-3</v>
      </c>
      <c r="AW813" s="35">
        <v>7.5937562863592498E-3</v>
      </c>
      <c r="AX813" s="35">
        <v>7.3553875799660315E-3</v>
      </c>
      <c r="AY813" s="35">
        <v>7.8140223124577805E-3</v>
      </c>
      <c r="AZ813" s="35">
        <v>8.3843293620567919E-3</v>
      </c>
      <c r="BA813" s="35">
        <v>8.8180056431340862E-3</v>
      </c>
      <c r="BB813" s="35">
        <v>8.842035454075331E-3</v>
      </c>
      <c r="BC813" s="35">
        <v>8.4315713660299326E-3</v>
      </c>
      <c r="BD813" s="35">
        <v>8.0402585741462997E-3</v>
      </c>
      <c r="BE813" s="35">
        <v>7.6671983941378379E-3</v>
      </c>
      <c r="BF813" s="35">
        <v>7.6963521895877891E-3</v>
      </c>
      <c r="BG813" s="35">
        <v>7.7257078184385201E-3</v>
      </c>
      <c r="BH813" s="35">
        <v>9.8879642361817347E-3</v>
      </c>
      <c r="BI813" s="35">
        <v>1.1414796899517127E-2</v>
      </c>
      <c r="BJ813" s="35">
        <v>1.2607601651116495E-2</v>
      </c>
      <c r="BK813" s="35">
        <v>1.2029269948247779E-2</v>
      </c>
      <c r="BL813" s="35">
        <v>1.1840174616950408E-2</v>
      </c>
      <c r="BM813" s="35">
        <v>1.1654308001652897E-2</v>
      </c>
      <c r="BN813" s="35">
        <v>1.1654308001652897E-2</v>
      </c>
      <c r="BO813" s="35">
        <v>1.1654308001652895E-2</v>
      </c>
      <c r="BP813" s="35"/>
      <c r="BQ813" s="345">
        <v>7.4925526424036951E-2</v>
      </c>
      <c r="BR813" s="345">
        <v>6.9829510158065475E-2</v>
      </c>
      <c r="BS813" s="345">
        <v>4.2067291752317548E-2</v>
      </c>
      <c r="BT813" s="345">
        <v>2.4279247081248512E-2</v>
      </c>
      <c r="BU813" s="345">
        <v>1.6700383075797357E-2</v>
      </c>
      <c r="BV813" s="345">
        <v>1.1903348373308004E-2</v>
      </c>
      <c r="BW813" s="345">
        <v>1.8078707984395776E-2</v>
      </c>
      <c r="BX813" s="345">
        <v>1.6297821238634415E-2</v>
      </c>
      <c r="BY813" s="345">
        <v>1.3847565759284752E-2</v>
      </c>
      <c r="BZ813" s="345">
        <v>1.1722240344930291E-2</v>
      </c>
      <c r="CA813" s="35">
        <v>9.8829997653290414E-3</v>
      </c>
      <c r="CB813" s="35">
        <v>7.585936793902329E-3</v>
      </c>
      <c r="CC813" s="35">
        <v>5.3461677512653648E-3</v>
      </c>
      <c r="CD813" s="35">
        <v>4.3768228426944262E-3</v>
      </c>
      <c r="CE813" s="35">
        <v>4.3819509016495466E-3</v>
      </c>
      <c r="CF813" s="35">
        <v>4.1088670848189891E-3</v>
      </c>
      <c r="CG813" s="35">
        <v>1.0505224470728611E-2</v>
      </c>
      <c r="CH813" s="35">
        <v>2.0425609260821286E-2</v>
      </c>
      <c r="CI813" s="35">
        <v>2.1930274912046518E-2</v>
      </c>
      <c r="CJ813" s="35">
        <v>1.836455183311167E-2</v>
      </c>
      <c r="CK813" s="37">
        <v>1.5963309111493629E-2</v>
      </c>
      <c r="CL813" s="37">
        <v>1.2472596994846492E-2</v>
      </c>
      <c r="CM813" s="37">
        <v>9.268667678970343E-3</v>
      </c>
      <c r="CN813" s="37">
        <v>8.8837994844363569E-3</v>
      </c>
      <c r="CO813" s="37">
        <v>1.0139513213635541E-2</v>
      </c>
      <c r="CP813" s="37">
        <v>9.147407463269825E-3</v>
      </c>
      <c r="CQ813" s="37">
        <v>8.3084764557520164E-3</v>
      </c>
      <c r="CR813" s="37">
        <v>9.3369669817805409E-3</v>
      </c>
      <c r="CS813" s="37">
        <v>1.0145314773561339E-2</v>
      </c>
      <c r="CT813" s="37">
        <v>7.9492512216244923E-3</v>
      </c>
      <c r="CU813" s="37">
        <v>5.7108925589163112E-3</v>
      </c>
      <c r="CV813" s="36">
        <v>6.1642383731611156E-3</v>
      </c>
      <c r="CW813" s="35">
        <v>7.5937562863592498E-3</v>
      </c>
      <c r="CX813" s="35">
        <v>7.8140223124577805E-3</v>
      </c>
      <c r="CY813" s="35">
        <v>8.8180056431340862E-3</v>
      </c>
      <c r="CZ813" s="35">
        <v>8.4315713660299326E-3</v>
      </c>
      <c r="DA813" s="35">
        <v>7.6671983941378379E-3</v>
      </c>
      <c r="DB813" s="35">
        <v>7.7257078184385201E-3</v>
      </c>
      <c r="DC813" s="35">
        <v>1.1414796899517127E-2</v>
      </c>
      <c r="DD813" s="35">
        <v>1.2029269948247779E-2</v>
      </c>
      <c r="DE813" s="35">
        <v>1.1654308001652897E-2</v>
      </c>
      <c r="DF813" s="35">
        <v>1.1654308001652895E-2</v>
      </c>
    </row>
    <row r="814" spans="1:110" ht="12" outlineLevel="1">
      <c r="A814" s="1" t="s">
        <v>824</v>
      </c>
      <c r="B814" s="15" t="s">
        <v>296</v>
      </c>
      <c r="C814" s="345">
        <v>1.1881060023431492E-2</v>
      </c>
      <c r="D814" s="345">
        <v>1.3144485961984375E-2</v>
      </c>
      <c r="E814" s="345">
        <v>1.0425065421882736E-2</v>
      </c>
      <c r="F814" s="345">
        <v>9.7642712462063345E-3</v>
      </c>
      <c r="G814" s="345">
        <v>8.2739675613154231E-3</v>
      </c>
      <c r="H814" s="345">
        <v>6.6126978840441129E-3</v>
      </c>
      <c r="I814" s="345">
        <v>6.0153358011634057E-3</v>
      </c>
      <c r="J814" s="345">
        <v>5.3979496382276018E-3</v>
      </c>
      <c r="K814" s="345">
        <v>4.9823976536277226E-3</v>
      </c>
      <c r="L814" s="345">
        <v>5.3326858961296837E-3</v>
      </c>
      <c r="M814" s="35">
        <v>4.982953055337005E-3</v>
      </c>
      <c r="N814" s="35">
        <v>5.3256682036848515E-3</v>
      </c>
      <c r="O814" s="35">
        <v>4.5924266775265619E-3</v>
      </c>
      <c r="P814" s="35">
        <v>6.8003559064773482E-3</v>
      </c>
      <c r="Q814" s="35">
        <v>1.3553156109993683E-2</v>
      </c>
      <c r="R814" s="35">
        <v>2.0449868628107177E-2</v>
      </c>
      <c r="S814" s="35">
        <v>2.8531870241878216E-2</v>
      </c>
      <c r="T814" s="37">
        <v>3.2470949265145946E-2</v>
      </c>
      <c r="U814" s="35">
        <v>3.0714269495386803E-2</v>
      </c>
      <c r="V814" s="35">
        <v>3.0942036664194129E-2</v>
      </c>
      <c r="W814" s="35">
        <v>2.6485548141903958E-2</v>
      </c>
      <c r="X814" s="35">
        <v>2.5344408712381861E-2</v>
      </c>
      <c r="Y814" s="37">
        <v>2.3020868388872413E-2</v>
      </c>
      <c r="Z814" s="37">
        <v>1.9781016919728937E-2</v>
      </c>
      <c r="AA814" s="37">
        <v>1.7926989226710682E-2</v>
      </c>
      <c r="AB814" s="37">
        <v>1.5748184287852747E-2</v>
      </c>
      <c r="AC814" s="37">
        <v>1.3473331323351654E-2</v>
      </c>
      <c r="AD814" s="37">
        <v>1.2810736617355498E-2</v>
      </c>
      <c r="AE814" s="37">
        <v>1.2681091812896051E-2</v>
      </c>
      <c r="AF814" s="37">
        <v>1.4049725108475929E-2</v>
      </c>
      <c r="AG814" s="37">
        <v>1.4381446074472198E-2</v>
      </c>
      <c r="AH814" s="37">
        <v>1.4383941164618174E-2</v>
      </c>
      <c r="AI814" s="37">
        <v>1.3645672733966909E-2</v>
      </c>
      <c r="AJ814" s="37">
        <v>1.2815297503392062E-2</v>
      </c>
      <c r="AK814" s="37">
        <v>1.2921549562458421E-2</v>
      </c>
      <c r="AL814" s="37">
        <v>1.3767660633221547E-2</v>
      </c>
      <c r="AM814" s="37">
        <v>1.384541959559767E-2</v>
      </c>
      <c r="AN814" s="37">
        <v>1.3852636455150419E-2</v>
      </c>
      <c r="AO814" s="37">
        <v>1.4679168296909061E-2</v>
      </c>
      <c r="AP814" s="37">
        <v>1.4119255400988814E-2</v>
      </c>
      <c r="AQ814" s="37">
        <v>1.2088847017203174E-2</v>
      </c>
      <c r="AR814" s="37">
        <v>1.0349158502888721E-2</v>
      </c>
      <c r="AS814" s="37">
        <v>8.4601885124406771E-3</v>
      </c>
      <c r="AT814" s="37">
        <v>8.5232621683803498E-3</v>
      </c>
      <c r="AU814" s="37">
        <v>1.0066300969014163E-2</v>
      </c>
      <c r="AV814" s="36">
        <v>1.1571725984856012E-2</v>
      </c>
      <c r="AW814" s="35">
        <v>1.3606283490858004E-2</v>
      </c>
      <c r="AX814" s="35">
        <v>1.3185586599413475E-2</v>
      </c>
      <c r="AY814" s="35">
        <v>1.4063787346530993E-2</v>
      </c>
      <c r="AZ814" s="35">
        <v>1.5099744202348416E-2</v>
      </c>
      <c r="BA814" s="35">
        <v>1.5872023614300138E-2</v>
      </c>
      <c r="BB814" s="35">
        <v>1.5900718282380755E-2</v>
      </c>
      <c r="BC814" s="35">
        <v>1.5143379464719317E-2</v>
      </c>
      <c r="BD814" s="35">
        <v>1.442218140557527E-2</v>
      </c>
      <c r="BE814" s="35">
        <v>1.3735394891080062E-2</v>
      </c>
      <c r="BF814" s="35">
        <v>1.3769867074973099E-2</v>
      </c>
      <c r="BG814" s="35">
        <v>1.380448831900356E-2</v>
      </c>
      <c r="BH814" s="35">
        <v>1.7178197594527635E-2</v>
      </c>
      <c r="BI814" s="35">
        <v>1.9295581256592063E-2</v>
      </c>
      <c r="BJ814" s="35">
        <v>2.1845276460746219E-2</v>
      </c>
      <c r="BK814" s="35">
        <v>2.1376220933224992E-2</v>
      </c>
      <c r="BL814" s="35">
        <v>2.1008589829056103E-2</v>
      </c>
      <c r="BM814" s="35">
        <v>2.0647489301310856E-2</v>
      </c>
      <c r="BN814" s="35">
        <v>2.0647489301310853E-2</v>
      </c>
      <c r="BO814" s="35">
        <v>2.0647489301310849E-2</v>
      </c>
      <c r="BP814" s="35"/>
      <c r="BQ814" s="345">
        <v>7.085551891338765E-2</v>
      </c>
      <c r="BR814" s="345">
        <v>6.7128545407233925E-2</v>
      </c>
      <c r="BS814" s="345">
        <v>4.1722019808752155E-2</v>
      </c>
      <c r="BT814" s="345">
        <v>2.4531754056526554E-2</v>
      </c>
      <c r="BU814" s="345">
        <v>1.6595913042548413E-2</v>
      </c>
      <c r="BV814" s="345">
        <v>1.1333339613931624E-2</v>
      </c>
      <c r="BW814" s="345">
        <v>1.7683641124586549E-2</v>
      </c>
      <c r="BX814" s="345">
        <v>1.6901480044392861E-2</v>
      </c>
      <c r="BY814" s="345">
        <v>1.4426932329899451E-2</v>
      </c>
      <c r="BZ814" s="345">
        <v>1.1881060023431492E-2</v>
      </c>
      <c r="CA814" s="35">
        <v>1.0425065421882736E-2</v>
      </c>
      <c r="CB814" s="35">
        <v>8.2739675613154231E-3</v>
      </c>
      <c r="CC814" s="35">
        <v>6.0153358011634057E-3</v>
      </c>
      <c r="CD814" s="35">
        <v>4.9823976536277226E-3</v>
      </c>
      <c r="CE814" s="35">
        <v>4.982953055337005E-3</v>
      </c>
      <c r="CF814" s="35">
        <v>4.5924266775265619E-3</v>
      </c>
      <c r="CG814" s="35">
        <v>1.3553156109993683E-2</v>
      </c>
      <c r="CH814" s="35">
        <v>2.8531870241878216E-2</v>
      </c>
      <c r="CI814" s="35">
        <v>3.0714269495386803E-2</v>
      </c>
      <c r="CJ814" s="35">
        <v>2.6485548141903958E-2</v>
      </c>
      <c r="CK814" s="37">
        <v>2.3020868388872413E-2</v>
      </c>
      <c r="CL814" s="37">
        <v>1.7926989226710682E-2</v>
      </c>
      <c r="CM814" s="37">
        <v>1.3473331323351654E-2</v>
      </c>
      <c r="CN814" s="37">
        <v>1.2681091812896051E-2</v>
      </c>
      <c r="CO814" s="37">
        <v>1.4381446074472198E-2</v>
      </c>
      <c r="CP814" s="37">
        <v>1.3645672733966909E-2</v>
      </c>
      <c r="CQ814" s="37">
        <v>1.2921549562458421E-2</v>
      </c>
      <c r="CR814" s="37">
        <v>1.384541959559767E-2</v>
      </c>
      <c r="CS814" s="37">
        <v>1.4679168296909061E-2</v>
      </c>
      <c r="CT814" s="37">
        <v>1.2088847017203174E-2</v>
      </c>
      <c r="CU814" s="37">
        <v>8.4601885124406771E-3</v>
      </c>
      <c r="CV814" s="36">
        <v>1.0066300969014163E-2</v>
      </c>
      <c r="CW814" s="35">
        <v>1.3606283490858004E-2</v>
      </c>
      <c r="CX814" s="35">
        <v>1.4063787346530993E-2</v>
      </c>
      <c r="CY814" s="35">
        <v>1.5872023614300138E-2</v>
      </c>
      <c r="CZ814" s="35">
        <v>1.5143379464719317E-2</v>
      </c>
      <c r="DA814" s="35">
        <v>1.3735394891080062E-2</v>
      </c>
      <c r="DB814" s="35">
        <v>1.380448831900356E-2</v>
      </c>
      <c r="DC814" s="35">
        <v>1.9295581256592063E-2</v>
      </c>
      <c r="DD814" s="35">
        <v>2.1376220933224992E-2</v>
      </c>
      <c r="DE814" s="35">
        <v>2.0647489301310856E-2</v>
      </c>
      <c r="DF814" s="35">
        <v>2.0647489301310849E-2</v>
      </c>
    </row>
    <row r="815" spans="1:110" ht="12" outlineLevel="1">
      <c r="A815" s="1" t="s">
        <v>825</v>
      </c>
      <c r="B815" s="15" t="s">
        <v>515</v>
      </c>
      <c r="C815" s="207">
        <v>0.38402457757296465</v>
      </c>
      <c r="D815" s="207">
        <v>0.39214380825565914</v>
      </c>
      <c r="E815" s="207">
        <v>0.46502384737678853</v>
      </c>
      <c r="F815" s="207">
        <v>0.46192052980132453</v>
      </c>
      <c r="G815" s="207">
        <v>0.4627151051625239</v>
      </c>
      <c r="H815" s="207">
        <v>0.42974358974358973</v>
      </c>
      <c r="I815" s="207">
        <v>0.43146067415730338</v>
      </c>
      <c r="J815" s="207">
        <v>0.42971887550200805</v>
      </c>
      <c r="K815" s="207">
        <v>0.38288920056100983</v>
      </c>
      <c r="L815" s="207">
        <v>0.3940149625935162</v>
      </c>
      <c r="M815" s="30">
        <v>0.40974212034383956</v>
      </c>
      <c r="N815" s="30">
        <v>0.40320427236315087</v>
      </c>
      <c r="O815" s="30">
        <v>0.38461538461538464</v>
      </c>
      <c r="P815" s="30">
        <v>0.28366247755834828</v>
      </c>
      <c r="Q815" s="30">
        <v>0.25252525252525254</v>
      </c>
      <c r="R815" s="30">
        <v>0.32251082251082253</v>
      </c>
      <c r="S815" s="30">
        <v>0.27274352100089366</v>
      </c>
      <c r="T815" s="32">
        <v>0.24279835390946503</v>
      </c>
      <c r="U815" s="30">
        <v>0.28577960676726111</v>
      </c>
      <c r="V815" s="30">
        <v>0.27600064298344318</v>
      </c>
      <c r="W815" s="30">
        <v>0.30406737143881024</v>
      </c>
      <c r="X815" s="30">
        <v>0.32079356166947409</v>
      </c>
      <c r="Y815" s="32">
        <v>0.34122401847575057</v>
      </c>
      <c r="Z815" s="32">
        <v>0.32934898612593383</v>
      </c>
      <c r="AA815" s="32">
        <v>0.34404315196998125</v>
      </c>
      <c r="AB815" s="32">
        <v>0.40607734806629836</v>
      </c>
      <c r="AC815" s="32">
        <v>0.40706126687435101</v>
      </c>
      <c r="AD815" s="32">
        <v>0.41137370753323488</v>
      </c>
      <c r="AE815" s="32">
        <v>0.3902169915410077</v>
      </c>
      <c r="AF815" s="32">
        <v>0.42941380506416926</v>
      </c>
      <c r="AG815" s="32">
        <v>0.41191301607311692</v>
      </c>
      <c r="AH815" s="32">
        <v>0.4316326530612245</v>
      </c>
      <c r="AI815" s="32">
        <v>0.47651006711409394</v>
      </c>
      <c r="AJ815" s="32">
        <v>0.49950835791543757</v>
      </c>
      <c r="AK815" s="32">
        <v>0.43010752688172044</v>
      </c>
      <c r="AL815" s="32">
        <v>0.41870300751879697</v>
      </c>
      <c r="AM815" s="32">
        <v>0.40118284869393789</v>
      </c>
      <c r="AN815" s="32">
        <v>0.42054636398614853</v>
      </c>
      <c r="AO815" s="32">
        <v>0.36234241561610409</v>
      </c>
      <c r="AP815" s="32">
        <v>0.32713303679741207</v>
      </c>
      <c r="AQ815" s="32">
        <v>0.34961832061068704</v>
      </c>
      <c r="AR815" s="32">
        <v>0.37214745465184318</v>
      </c>
      <c r="AS815" s="32">
        <v>0.37508650519031139</v>
      </c>
      <c r="AT815" s="32">
        <v>0.34793388429752065</v>
      </c>
      <c r="AU815" s="32">
        <v>0.24720578566732412</v>
      </c>
      <c r="AV815" s="31">
        <v>0.21409749670619235</v>
      </c>
      <c r="AW815" s="30">
        <v>0.21400000000000002</v>
      </c>
      <c r="AX815" s="30">
        <v>0.21399999999999997</v>
      </c>
      <c r="AY815" s="30">
        <v>0.214</v>
      </c>
      <c r="AZ815" s="30">
        <v>0.214</v>
      </c>
      <c r="BA815" s="30">
        <v>0.214</v>
      </c>
      <c r="BB815" s="30">
        <v>0.214</v>
      </c>
      <c r="BC815" s="30">
        <v>0.214</v>
      </c>
      <c r="BD815" s="30">
        <v>0.214</v>
      </c>
      <c r="BE815" s="30">
        <v>0.21400000000000002</v>
      </c>
      <c r="BF815" s="30">
        <v>0.214</v>
      </c>
      <c r="BG815" s="30">
        <v>0.214</v>
      </c>
      <c r="BH815" s="30">
        <v>0.214</v>
      </c>
      <c r="BI815" s="30">
        <v>0.214</v>
      </c>
      <c r="BJ815" s="30">
        <v>0.214</v>
      </c>
      <c r="BK815" s="30">
        <v>0.214</v>
      </c>
      <c r="BL815" s="30">
        <v>0.214</v>
      </c>
      <c r="BM815" s="30">
        <v>0.21399999999999997</v>
      </c>
      <c r="BN815" s="30">
        <v>0.214</v>
      </c>
      <c r="BO815" s="30">
        <v>0.214</v>
      </c>
      <c r="BP815" s="30"/>
      <c r="BQ815" s="207">
        <v>0.45845884012658716</v>
      </c>
      <c r="BR815" s="207">
        <v>0.44087382266296005</v>
      </c>
      <c r="BS815" s="207">
        <v>0.35962877030162416</v>
      </c>
      <c r="BT815" s="207">
        <v>0.3724137931034483</v>
      </c>
      <c r="BU815" s="207">
        <v>0.37985074626865672</v>
      </c>
      <c r="BV815" s="207">
        <v>0.47187499999999999</v>
      </c>
      <c r="BW815" s="207">
        <v>0.46271186440677964</v>
      </c>
      <c r="BX815" s="207">
        <v>0.55271176112126752</v>
      </c>
      <c r="BY815" s="207">
        <v>0.48395904436860065</v>
      </c>
      <c r="BZ815" s="207">
        <v>0.38402457757296465</v>
      </c>
      <c r="CA815" s="30">
        <v>0.46502384737678853</v>
      </c>
      <c r="CB815" s="30">
        <v>0.4627151051625239</v>
      </c>
      <c r="CC815" s="30">
        <v>0.43146067415730338</v>
      </c>
      <c r="CD815" s="30">
        <v>0.38288920056100983</v>
      </c>
      <c r="CE815" s="30">
        <v>0.40974212034383956</v>
      </c>
      <c r="CF815" s="30">
        <v>0.38461538461538464</v>
      </c>
      <c r="CG815" s="30">
        <v>0.25252525252525254</v>
      </c>
      <c r="CH815" s="30">
        <v>0.27274352100089366</v>
      </c>
      <c r="CI815" s="30">
        <v>0.28577960676726111</v>
      </c>
      <c r="CJ815" s="30">
        <v>0.30406737143881024</v>
      </c>
      <c r="CK815" s="32">
        <v>0.34122401847575057</v>
      </c>
      <c r="CL815" s="32">
        <v>0.34404315196998125</v>
      </c>
      <c r="CM815" s="32">
        <v>0.40706126687435101</v>
      </c>
      <c r="CN815" s="32">
        <v>0.3902169915410077</v>
      </c>
      <c r="CO815" s="32">
        <v>0.41191301607311692</v>
      </c>
      <c r="CP815" s="32">
        <v>0.47651006711409394</v>
      </c>
      <c r="CQ815" s="32">
        <v>0.43010752688172044</v>
      </c>
      <c r="CR815" s="32">
        <v>0.40118284869393789</v>
      </c>
      <c r="CS815" s="32">
        <v>0.36234241561610409</v>
      </c>
      <c r="CT815" s="32">
        <v>0.34961832061068704</v>
      </c>
      <c r="CU815" s="32">
        <v>0.37508650519031139</v>
      </c>
      <c r="CV815" s="31">
        <v>0.24720578566732412</v>
      </c>
      <c r="CW815" s="30">
        <v>0.21400000000000002</v>
      </c>
      <c r="CX815" s="30">
        <v>0.214</v>
      </c>
      <c r="CY815" s="30">
        <v>0.214</v>
      </c>
      <c r="CZ815" s="30">
        <v>0.214</v>
      </c>
      <c r="DA815" s="30">
        <v>0.21400000000000002</v>
      </c>
      <c r="DB815" s="30">
        <v>0.214</v>
      </c>
      <c r="DC815" s="30">
        <v>0.214</v>
      </c>
      <c r="DD815" s="30">
        <v>0.214</v>
      </c>
      <c r="DE815" s="30">
        <v>0.21399999999999997</v>
      </c>
      <c r="DF815" s="30">
        <v>0.214</v>
      </c>
    </row>
    <row r="816" spans="1:110" ht="12" outlineLevel="1">
      <c r="A816" s="1" t="s">
        <v>826</v>
      </c>
      <c r="B816" s="15" t="s">
        <v>351</v>
      </c>
      <c r="C816" s="345">
        <v>1.5870653032714614E-2</v>
      </c>
      <c r="D816" s="345">
        <v>1.8076374435844072E-2</v>
      </c>
      <c r="E816" s="345">
        <v>1.7265854925269778E-2</v>
      </c>
      <c r="F816" s="345">
        <v>1.6869356208033343E-2</v>
      </c>
      <c r="G816" s="345">
        <v>1.6571064372211598E-2</v>
      </c>
      <c r="H816" s="345">
        <v>1.6700927321730393E-2</v>
      </c>
      <c r="I816" s="345">
        <v>1.8004826595081212E-2</v>
      </c>
      <c r="J816" s="345">
        <v>1.7754863381447876E-2</v>
      </c>
      <c r="K816" s="345">
        <v>1.7574165085235106E-2</v>
      </c>
      <c r="L816" s="345">
        <v>1.4991925000984755E-2</v>
      </c>
      <c r="M816" s="35">
        <v>1.4629364301334741E-2</v>
      </c>
      <c r="N816" s="35">
        <v>1.4701378254211332E-2</v>
      </c>
      <c r="O816" s="35">
        <v>1.328E-2</v>
      </c>
      <c r="P816" s="35">
        <v>1.3742152584875411E-2</v>
      </c>
      <c r="Q816" s="35">
        <v>1.5714039026074943E-2</v>
      </c>
      <c r="R816" s="35">
        <v>1.5410294886277419E-2</v>
      </c>
      <c r="S816" s="35">
        <v>1.8290786930623044E-2</v>
      </c>
      <c r="T816" s="37">
        <v>1.8808563872941556E-2</v>
      </c>
      <c r="U816" s="35">
        <v>1.8832425458715597E-2</v>
      </c>
      <c r="V816" s="35">
        <v>1.7841097982838401E-2</v>
      </c>
      <c r="W816" s="35">
        <v>1.6859091753589722E-2</v>
      </c>
      <c r="X816" s="35">
        <v>1.540273997973053E-2</v>
      </c>
      <c r="Y816" s="37">
        <v>1.3681413564639113E-2</v>
      </c>
      <c r="Z816" s="37">
        <v>1.255417928583087E-2</v>
      </c>
      <c r="AA816" s="37">
        <v>1.2319075578616782E-2</v>
      </c>
      <c r="AB816" s="37">
        <v>1.1428134999115656E-2</v>
      </c>
      <c r="AC816" s="37">
        <v>1.0848095189379334E-2</v>
      </c>
      <c r="AD816" s="37">
        <v>1.0657986174609561E-2</v>
      </c>
      <c r="AE816" s="37">
        <v>1.0817021806032796E-2</v>
      </c>
      <c r="AF816" s="37">
        <v>1.1350386674598454E-2</v>
      </c>
      <c r="AG816" s="37">
        <v>1.12181174937883E-2</v>
      </c>
      <c r="AH816" s="37">
        <v>1.1186446124308127E-2</v>
      </c>
      <c r="AI816" s="37">
        <v>1.0815203038982672E-2</v>
      </c>
      <c r="AJ816" s="37">
        <v>1.0323102294378533E-2</v>
      </c>
      <c r="AK816" s="37">
        <v>9.6423207304163049E-3</v>
      </c>
      <c r="AL816" s="37">
        <v>1.2779818630993141E-2</v>
      </c>
      <c r="AM816" s="37">
        <v>1.2299307435324806E-2</v>
      </c>
      <c r="AN816" s="37">
        <v>1.4456260257649678E-2</v>
      </c>
      <c r="AO816" s="37">
        <v>1.9047474155833289E-2</v>
      </c>
      <c r="AP816" s="37">
        <v>1.7202617527801195E-2</v>
      </c>
      <c r="AQ816" s="37">
        <v>1.6122709383839626E-2</v>
      </c>
      <c r="AR816" s="37">
        <v>1.3426440474446164E-2</v>
      </c>
      <c r="AS816" s="37">
        <v>1.2886287625418061E-2</v>
      </c>
      <c r="AT816" s="37">
        <v>1.3462403572202136E-2</v>
      </c>
      <c r="AU816" s="37">
        <v>1.330082899264034E-2</v>
      </c>
      <c r="AV816" s="36">
        <v>1.3461045809475963E-2</v>
      </c>
      <c r="AW816" s="35">
        <v>1.3222597779696638E-2</v>
      </c>
      <c r="AX816" s="35">
        <v>1.3233563719687985E-2</v>
      </c>
      <c r="AY816" s="35">
        <v>1.3324654144646031E-2</v>
      </c>
      <c r="AZ816" s="35">
        <v>1.3339194582284613E-2</v>
      </c>
      <c r="BA816" s="35">
        <v>1.3326473601294572E-2</v>
      </c>
      <c r="BB816" s="35">
        <v>1.3305425464420014E-2</v>
      </c>
      <c r="BC816" s="35">
        <v>1.3276443364429244E-2</v>
      </c>
      <c r="BD816" s="35">
        <v>1.3247477745129868E-2</v>
      </c>
      <c r="BE816" s="35">
        <v>1.3218529901086499E-2</v>
      </c>
      <c r="BF816" s="35">
        <v>1.313362532005063E-2</v>
      </c>
      <c r="BG816" s="35">
        <v>1.304898643886568E-2</v>
      </c>
      <c r="BH816" s="35">
        <v>1.4448738674849849E-2</v>
      </c>
      <c r="BI816" s="35">
        <v>1.6238949460925127E-2</v>
      </c>
      <c r="BJ816" s="35">
        <v>1.5743171258516573E-2</v>
      </c>
      <c r="BK816" s="35">
        <v>1.3703997804110704E-2</v>
      </c>
      <c r="BL816" s="35">
        <v>1.3669911510500741E-2</v>
      </c>
      <c r="BM816" s="35">
        <v>1.3635802628245168E-2</v>
      </c>
      <c r="BN816" s="35">
        <v>1.3800998021609546E-2</v>
      </c>
      <c r="BO816" s="35">
        <v>1.399372598053465E-2</v>
      </c>
      <c r="BP816" s="35"/>
      <c r="BQ816" s="345">
        <v>1.4811192231110489E-2</v>
      </c>
      <c r="BR816" s="345">
        <v>9.5364511296987739E-3</v>
      </c>
      <c r="BS816" s="345">
        <v>9.8949425849010498E-3</v>
      </c>
      <c r="BT816" s="345">
        <v>1.1510028106597034E-2</v>
      </c>
      <c r="BU816" s="345">
        <v>1.0841375364891888E-2</v>
      </c>
      <c r="BV816" s="345">
        <v>2.0193059395969937E-2</v>
      </c>
      <c r="BW816" s="345">
        <v>1.7557912369308312E-2</v>
      </c>
      <c r="BX816" s="345">
        <v>1.6955126646895816E-2</v>
      </c>
      <c r="BY816" s="345">
        <v>1.6023621128305673E-2</v>
      </c>
      <c r="BZ816" s="345">
        <v>1.5870653032714614E-2</v>
      </c>
      <c r="CA816" s="35">
        <v>1.7265854925269778E-2</v>
      </c>
      <c r="CB816" s="35">
        <v>1.6571064372211598E-2</v>
      </c>
      <c r="CC816" s="35">
        <v>1.8004826595081212E-2</v>
      </c>
      <c r="CD816" s="35">
        <v>1.7574165085235106E-2</v>
      </c>
      <c r="CE816" s="35">
        <v>1.4629364301334741E-2</v>
      </c>
      <c r="CF816" s="35">
        <v>1.328E-2</v>
      </c>
      <c r="CG816" s="35">
        <v>1.5714039026074943E-2</v>
      </c>
      <c r="CH816" s="35">
        <v>1.8290786930623044E-2</v>
      </c>
      <c r="CI816" s="35">
        <v>1.8832425458715597E-2</v>
      </c>
      <c r="CJ816" s="35">
        <v>1.6859091753589722E-2</v>
      </c>
      <c r="CK816" s="37">
        <v>1.3681413564639113E-2</v>
      </c>
      <c r="CL816" s="37">
        <v>1.2319075578616782E-2</v>
      </c>
      <c r="CM816" s="37">
        <v>1.0848095189379334E-2</v>
      </c>
      <c r="CN816" s="37">
        <v>1.0817021806032796E-2</v>
      </c>
      <c r="CO816" s="37">
        <v>1.12181174937883E-2</v>
      </c>
      <c r="CP816" s="37">
        <v>1.0815203038982672E-2</v>
      </c>
      <c r="CQ816" s="37">
        <v>9.6423207304163049E-3</v>
      </c>
      <c r="CR816" s="37">
        <v>1.2299307435324806E-2</v>
      </c>
      <c r="CS816" s="37">
        <v>1.9047474155833289E-2</v>
      </c>
      <c r="CT816" s="37">
        <v>1.6122709383839626E-2</v>
      </c>
      <c r="CU816" s="37">
        <v>1.2886287625418061E-2</v>
      </c>
      <c r="CV816" s="36">
        <v>1.330082899264034E-2</v>
      </c>
      <c r="CW816" s="35">
        <v>1.3222597779696638E-2</v>
      </c>
      <c r="CX816" s="35">
        <v>1.3324654144646031E-2</v>
      </c>
      <c r="CY816" s="35">
        <v>1.3326473601294572E-2</v>
      </c>
      <c r="CZ816" s="35">
        <v>1.3276443364429244E-2</v>
      </c>
      <c r="DA816" s="35">
        <v>1.3218529901086499E-2</v>
      </c>
      <c r="DB816" s="35">
        <v>1.304898643886568E-2</v>
      </c>
      <c r="DC816" s="35">
        <v>1.6238949460925127E-2</v>
      </c>
      <c r="DD816" s="35">
        <v>1.3703997804110704E-2</v>
      </c>
      <c r="DE816" s="35">
        <v>1.3635802628245168E-2</v>
      </c>
      <c r="DF816" s="35">
        <v>1.399372598053465E-2</v>
      </c>
    </row>
    <row r="817" spans="1:110" ht="12" outlineLevel="1">
      <c r="A817" s="1" t="s">
        <v>827</v>
      </c>
      <c r="B817" s="15" t="s">
        <v>297</v>
      </c>
      <c r="C817" s="345">
        <v>9.9619777328953697E-3</v>
      </c>
      <c r="D817" s="345">
        <v>1.1416502975970699E-2</v>
      </c>
      <c r="E817" s="345">
        <v>1.0580663413254119E-2</v>
      </c>
      <c r="F817" s="345">
        <v>1.0295889046654509E-2</v>
      </c>
      <c r="G817" s="345">
        <v>1.0125880403715024E-2</v>
      </c>
      <c r="H817" s="345">
        <v>9.8657225508397735E-3</v>
      </c>
      <c r="I817" s="345">
        <v>1.0180197675725953E-2</v>
      </c>
      <c r="J817" s="345">
        <v>9.9824826626352791E-3</v>
      </c>
      <c r="K817" s="345">
        <v>9.9365837777359994E-3</v>
      </c>
      <c r="L817" s="345">
        <v>8.3100436681222706E-3</v>
      </c>
      <c r="M817" s="35">
        <v>8.132705633785103E-3</v>
      </c>
      <c r="N817" s="35">
        <v>8.119374131577357E-3</v>
      </c>
      <c r="O817" s="35">
        <v>7.2948061126959654E-3</v>
      </c>
      <c r="P817" s="35">
        <v>9.3905757145264987E-3</v>
      </c>
      <c r="Q817" s="35">
        <v>1.125024925224327E-2</v>
      </c>
      <c r="R817" s="35">
        <v>1.0637389921247624E-2</v>
      </c>
      <c r="S817" s="35">
        <v>1.3054205412273564E-2</v>
      </c>
      <c r="T817" s="37">
        <v>1.3781055019852525E-2</v>
      </c>
      <c r="U817" s="35">
        <v>1.3502228959775948E-2</v>
      </c>
      <c r="V817" s="35">
        <v>1.3620812361198048E-2</v>
      </c>
      <c r="W817" s="35">
        <v>1.2763836867233591E-2</v>
      </c>
      <c r="X817" s="35">
        <v>1.1968101053304819E-2</v>
      </c>
      <c r="Y817" s="37">
        <v>1.0848455125061305E-2</v>
      </c>
      <c r="Z817" s="37">
        <v>1.0069896500810974E-2</v>
      </c>
      <c r="AA817" s="37">
        <v>1.0036467802997382E-2</v>
      </c>
      <c r="AB817" s="37">
        <v>9.3112980139391077E-3</v>
      </c>
      <c r="AC817" s="37">
        <v>8.9256519416611359E-3</v>
      </c>
      <c r="AD817" s="37">
        <v>8.5782329546625381E-3</v>
      </c>
      <c r="AE817" s="37">
        <v>8.4517270858410695E-3</v>
      </c>
      <c r="AF817" s="37">
        <v>8.5609677303564377E-3</v>
      </c>
      <c r="AG817" s="37">
        <v>8.1696886371448139E-3</v>
      </c>
      <c r="AH817" s="37">
        <v>8.1478252474335086E-3</v>
      </c>
      <c r="AI817" s="37">
        <v>7.9030026660016506E-3</v>
      </c>
      <c r="AJ817" s="37">
        <v>7.5228544259119895E-3</v>
      </c>
      <c r="AK817" s="37">
        <v>7.4737839919426508E-3</v>
      </c>
      <c r="AL817" s="37">
        <v>9.7764837651907396E-3</v>
      </c>
      <c r="AM817" s="37">
        <v>9.4273762517243492E-3</v>
      </c>
      <c r="AN817" s="37">
        <v>1.1660712388956392E-2</v>
      </c>
      <c r="AO817" s="37">
        <v>1.3909681504956434E-2</v>
      </c>
      <c r="AP817" s="37">
        <v>1.2534297465059E-2</v>
      </c>
      <c r="AQ817" s="37">
        <v>1.2248246705090249E-2</v>
      </c>
      <c r="AR817" s="37">
        <v>1.0770690648678246E-2</v>
      </c>
      <c r="AS817" s="37">
        <v>1.0719392836674623E-2</v>
      </c>
      <c r="AT817" s="37">
        <v>1.1700174344182059E-2</v>
      </c>
      <c r="AU817" s="37">
        <v>1.155165152517899E-2</v>
      </c>
      <c r="AV817" s="36">
        <v>1.16115219818222E-2</v>
      </c>
      <c r="AW817" s="35">
        <v>1.17815219818222E-2</v>
      </c>
      <c r="AX817" s="35">
        <v>1.17815219818222E-2</v>
      </c>
      <c r="AY817" s="35">
        <v>1.1781521981822198E-2</v>
      </c>
      <c r="AZ817" s="35">
        <v>1.17815219818222E-2</v>
      </c>
      <c r="BA817" s="35">
        <v>1.1781521981822198E-2</v>
      </c>
      <c r="BB817" s="35">
        <v>1.17815219818222E-2</v>
      </c>
      <c r="BC817" s="35">
        <v>1.17815219818222E-2</v>
      </c>
      <c r="BD817" s="35">
        <v>1.1781521981822198E-2</v>
      </c>
      <c r="BE817" s="35">
        <v>1.17815219818222E-2</v>
      </c>
      <c r="BF817" s="35">
        <v>1.17315219818222E-2</v>
      </c>
      <c r="BG817" s="35">
        <v>1.16815219818222E-2</v>
      </c>
      <c r="BH817" s="35">
        <v>1.2681521981822201E-2</v>
      </c>
      <c r="BI817" s="35">
        <v>1.39815219818222E-2</v>
      </c>
      <c r="BJ817" s="35">
        <v>1.3881521981822201E-2</v>
      </c>
      <c r="BK817" s="35">
        <v>1.2381521981822201E-2</v>
      </c>
      <c r="BL817" s="35">
        <v>1.2381521981822201E-2</v>
      </c>
      <c r="BM817" s="35">
        <v>1.2381521981822201E-2</v>
      </c>
      <c r="BN817" s="35">
        <v>1.2531521981822202E-2</v>
      </c>
      <c r="BO817" s="35">
        <v>1.27065219818222E-2</v>
      </c>
      <c r="BP817" s="35"/>
      <c r="BQ817" s="345">
        <v>1.155591013941918E-2</v>
      </c>
      <c r="BR817" s="345">
        <v>7.34712464220661E-3</v>
      </c>
      <c r="BS817" s="345">
        <v>7.4578768069238563E-3</v>
      </c>
      <c r="BT817" s="345">
        <v>8.161201791131013E-3</v>
      </c>
      <c r="BU817" s="345">
        <v>7.5815092443085215E-3</v>
      </c>
      <c r="BV817" s="345">
        <v>1.3471883331606168E-2</v>
      </c>
      <c r="BW817" s="345">
        <v>1.2067599228224918E-2</v>
      </c>
      <c r="BX817" s="345">
        <v>1.1818328151342376E-2</v>
      </c>
      <c r="BY817" s="345">
        <v>1.0586947134661649E-2</v>
      </c>
      <c r="BZ817" s="345">
        <v>9.9619777328953697E-3</v>
      </c>
      <c r="CA817" s="35">
        <v>1.0580663413254119E-2</v>
      </c>
      <c r="CB817" s="35">
        <v>1.0125880403715024E-2</v>
      </c>
      <c r="CC817" s="35">
        <v>1.0180197675725953E-2</v>
      </c>
      <c r="CD817" s="35">
        <v>9.9365837777359994E-3</v>
      </c>
      <c r="CE817" s="35">
        <v>8.132705633785103E-3</v>
      </c>
      <c r="CF817" s="35">
        <v>7.2948061126959654E-3</v>
      </c>
      <c r="CG817" s="35">
        <v>1.125024925224327E-2</v>
      </c>
      <c r="CH817" s="35">
        <v>1.3054205412273564E-2</v>
      </c>
      <c r="CI817" s="35">
        <v>1.3502228959775948E-2</v>
      </c>
      <c r="CJ817" s="35">
        <v>1.2763836867233591E-2</v>
      </c>
      <c r="CK817" s="37">
        <v>1.0848455125061305E-2</v>
      </c>
      <c r="CL817" s="37">
        <v>1.0036467802997382E-2</v>
      </c>
      <c r="CM817" s="37">
        <v>8.9256519416611359E-3</v>
      </c>
      <c r="CN817" s="37">
        <v>8.4517270858410695E-3</v>
      </c>
      <c r="CO817" s="37">
        <v>8.1696886371448139E-3</v>
      </c>
      <c r="CP817" s="37">
        <v>7.9030026660016506E-3</v>
      </c>
      <c r="CQ817" s="37">
        <v>7.4737839919426508E-3</v>
      </c>
      <c r="CR817" s="37">
        <v>9.4273762517243492E-3</v>
      </c>
      <c r="CS817" s="37">
        <v>1.3909681504956434E-2</v>
      </c>
      <c r="CT817" s="37">
        <v>1.2248246705090249E-2</v>
      </c>
      <c r="CU817" s="37">
        <v>1.0719392836674623E-2</v>
      </c>
      <c r="CV817" s="36">
        <v>1.155165152517899E-2</v>
      </c>
      <c r="CW817" s="35">
        <v>1.17815219818222E-2</v>
      </c>
      <c r="CX817" s="35">
        <v>1.1781521981822198E-2</v>
      </c>
      <c r="CY817" s="35">
        <v>1.1781521981822198E-2</v>
      </c>
      <c r="CZ817" s="35">
        <v>1.17815219818222E-2</v>
      </c>
      <c r="DA817" s="35">
        <v>1.17815219818222E-2</v>
      </c>
      <c r="DB817" s="35">
        <v>1.16815219818222E-2</v>
      </c>
      <c r="DC817" s="35">
        <v>1.39815219818222E-2</v>
      </c>
      <c r="DD817" s="35">
        <v>1.2381521981822201E-2</v>
      </c>
      <c r="DE817" s="35">
        <v>1.2381521981822201E-2</v>
      </c>
      <c r="DF817" s="35">
        <v>1.27065219818222E-2</v>
      </c>
    </row>
    <row r="818" spans="1:110" ht="12" outlineLevel="1">
      <c r="A818" s="1" t="s">
        <v>828</v>
      </c>
      <c r="B818" s="15" t="s">
        <v>263</v>
      </c>
      <c r="C818" s="345">
        <v>9.9619777328953697E-3</v>
      </c>
      <c r="D818" s="345">
        <v>1.1416502975970699E-2</v>
      </c>
      <c r="E818" s="345">
        <v>1.0580663413254119E-2</v>
      </c>
      <c r="F818" s="345">
        <v>1.0295889046654509E-2</v>
      </c>
      <c r="G818" s="345">
        <v>1.0081228148576536E-2</v>
      </c>
      <c r="H818" s="345">
        <v>9.8196683444619331E-3</v>
      </c>
      <c r="I818" s="345">
        <v>1.0128950901029167E-2</v>
      </c>
      <c r="J818" s="345">
        <v>9.9272637024875425E-3</v>
      </c>
      <c r="K818" s="345">
        <v>9.8691551329170707E-3</v>
      </c>
      <c r="L818" s="345">
        <v>8.2504888295404782E-3</v>
      </c>
      <c r="M818" s="35">
        <v>8.0759640161685801E-3</v>
      </c>
      <c r="N818" s="35">
        <v>8.0483861309060423E-3</v>
      </c>
      <c r="O818" s="35">
        <v>7.2431622657426059E-3</v>
      </c>
      <c r="P818" s="35">
        <v>8.7481213970076934E-3</v>
      </c>
      <c r="Q818" s="35">
        <v>1.0242018051511433E-2</v>
      </c>
      <c r="R818" s="35">
        <v>9.7621065073589617E-3</v>
      </c>
      <c r="S818" s="35">
        <v>1.190150315984909E-2</v>
      </c>
      <c r="T818" s="37">
        <v>1.2198697788006956E-2</v>
      </c>
      <c r="U818" s="35">
        <v>1.1932243927914563E-2</v>
      </c>
      <c r="V818" s="35">
        <v>1.2023342769342558E-2</v>
      </c>
      <c r="W818" s="35">
        <v>1.1344315697732565E-2</v>
      </c>
      <c r="X818" s="35">
        <v>1.0511311772388322E-2</v>
      </c>
      <c r="Y818" s="37">
        <v>9.2130121718385048E-3</v>
      </c>
      <c r="Z818" s="37">
        <v>8.5838639477714192E-3</v>
      </c>
      <c r="AA818" s="37">
        <v>8.5095721633531313E-3</v>
      </c>
      <c r="AB818" s="37">
        <v>7.88102234296169E-3</v>
      </c>
      <c r="AC818" s="37">
        <v>7.6259442534347176E-3</v>
      </c>
      <c r="AD818" s="37">
        <v>7.5323822645225833E-3</v>
      </c>
      <c r="AE818" s="37">
        <v>7.3543863839357912E-3</v>
      </c>
      <c r="AF818" s="37">
        <v>7.3699254509637302E-3</v>
      </c>
      <c r="AG818" s="37">
        <v>7.038978711739626E-3</v>
      </c>
      <c r="AH818" s="37">
        <v>7.0144066089059039E-3</v>
      </c>
      <c r="AI818" s="37">
        <v>6.8062171290650016E-3</v>
      </c>
      <c r="AJ818" s="37">
        <v>6.5162957928328324E-3</v>
      </c>
      <c r="AK818" s="37">
        <v>6.4556573358579396E-3</v>
      </c>
      <c r="AL818" s="37">
        <v>8.5240391530466246E-3</v>
      </c>
      <c r="AM818" s="37">
        <v>8.0966805048913442E-3</v>
      </c>
      <c r="AN818" s="37">
        <v>1.0024230978236662E-2</v>
      </c>
      <c r="AO818" s="37">
        <v>1.1663219868462728E-2</v>
      </c>
      <c r="AP818" s="37">
        <v>1.0498179662196263E-2</v>
      </c>
      <c r="AQ818" s="37">
        <v>1.0082050345361296E-2</v>
      </c>
      <c r="AR818" s="37">
        <v>8.5793884588157392E-3</v>
      </c>
      <c r="AS818" s="37">
        <v>8.4733835036220253E-3</v>
      </c>
      <c r="AT818" s="37">
        <v>9.27639524791396E-3</v>
      </c>
      <c r="AU818" s="37">
        <v>9.304751377135512E-3</v>
      </c>
      <c r="AV818" s="36">
        <v>9.3488824550174571E-3</v>
      </c>
      <c r="AW818" s="35">
        <v>9.461271316147199E-3</v>
      </c>
      <c r="AX818" s="35">
        <v>9.4601435839285503E-3</v>
      </c>
      <c r="AY818" s="35">
        <v>9.4508578672525771E-3</v>
      </c>
      <c r="AZ818" s="35">
        <v>9.4493890309940484E-3</v>
      </c>
      <c r="BA818" s="35">
        <v>9.4506738701303772E-3</v>
      </c>
      <c r="BB818" s="35">
        <v>9.4528059313280927E-3</v>
      </c>
      <c r="BC818" s="35">
        <v>9.4557543065746704E-3</v>
      </c>
      <c r="BD818" s="35">
        <v>9.4587157451181455E-3</v>
      </c>
      <c r="BE818" s="35">
        <v>9.461690199169908E-3</v>
      </c>
      <c r="BF818" s="35">
        <v>9.4245101544835567E-3</v>
      </c>
      <c r="BG818" s="35">
        <v>9.387317561135481E-3</v>
      </c>
      <c r="BH818" s="35">
        <v>1.0144759643565749E-2</v>
      </c>
      <c r="BI818" s="35">
        <v>1.1136588871693135E-2</v>
      </c>
      <c r="BJ818" s="35">
        <v>1.1112031687603255E-2</v>
      </c>
      <c r="BK818" s="35">
        <v>9.9631876632257331E-3</v>
      </c>
      <c r="BL818" s="35">
        <v>9.9668203523728249E-3</v>
      </c>
      <c r="BM818" s="35">
        <v>9.970476301237088E-3</v>
      </c>
      <c r="BN818" s="35">
        <v>1.0091266899305829E-2</v>
      </c>
      <c r="BO818" s="35">
        <v>1.023218926371936E-2</v>
      </c>
      <c r="BP818" s="35"/>
      <c r="BQ818" s="345">
        <v>1.155591013941918E-2</v>
      </c>
      <c r="BR818" s="345">
        <v>7.34712464220661E-3</v>
      </c>
      <c r="BS818" s="345">
        <v>7.4578768069238563E-3</v>
      </c>
      <c r="BT818" s="345">
        <v>8.161201791131013E-3</v>
      </c>
      <c r="BU818" s="345">
        <v>7.5815092443085215E-3</v>
      </c>
      <c r="BV818" s="345">
        <v>1.3471883331606168E-2</v>
      </c>
      <c r="BW818" s="345">
        <v>1.2067599228224918E-2</v>
      </c>
      <c r="BX818" s="345">
        <v>1.1818328151342376E-2</v>
      </c>
      <c r="BY818" s="345">
        <v>1.0586947134661649E-2</v>
      </c>
      <c r="BZ818" s="345">
        <v>9.9619777328953697E-3</v>
      </c>
      <c r="CA818" s="35">
        <v>1.0580663413254119E-2</v>
      </c>
      <c r="CB818" s="35">
        <v>1.0081228148576536E-2</v>
      </c>
      <c r="CC818" s="35">
        <v>1.0128950901029167E-2</v>
      </c>
      <c r="CD818" s="35">
        <v>9.8691551329170707E-3</v>
      </c>
      <c r="CE818" s="35">
        <v>8.0759640161685801E-3</v>
      </c>
      <c r="CF818" s="35">
        <v>7.2431622657426059E-3</v>
      </c>
      <c r="CG818" s="35">
        <v>1.0242018051511433E-2</v>
      </c>
      <c r="CH818" s="35">
        <v>1.190150315984909E-2</v>
      </c>
      <c r="CI818" s="35">
        <v>1.1932243927914563E-2</v>
      </c>
      <c r="CJ818" s="35">
        <v>1.1344315697732565E-2</v>
      </c>
      <c r="CK818" s="37">
        <v>9.2130121718385048E-3</v>
      </c>
      <c r="CL818" s="37">
        <v>8.5095721633531313E-3</v>
      </c>
      <c r="CM818" s="37">
        <v>7.6259442534347176E-3</v>
      </c>
      <c r="CN818" s="37">
        <v>7.3543863839357912E-3</v>
      </c>
      <c r="CO818" s="37">
        <v>7.038978711739626E-3</v>
      </c>
      <c r="CP818" s="37">
        <v>6.8062171290650016E-3</v>
      </c>
      <c r="CQ818" s="37">
        <v>6.4556573358579396E-3</v>
      </c>
      <c r="CR818" s="37">
        <v>8.0966805048913442E-3</v>
      </c>
      <c r="CS818" s="37">
        <v>1.1663219868462728E-2</v>
      </c>
      <c r="CT818" s="37">
        <v>1.0082050345361296E-2</v>
      </c>
      <c r="CU818" s="37">
        <v>8.4733835036220253E-3</v>
      </c>
      <c r="CV818" s="36">
        <v>9.304751377135512E-3</v>
      </c>
      <c r="CW818" s="35">
        <v>9.461271316147199E-3</v>
      </c>
      <c r="CX818" s="35">
        <v>9.4508578672525771E-3</v>
      </c>
      <c r="CY818" s="35">
        <v>9.4506738701303772E-3</v>
      </c>
      <c r="CZ818" s="35">
        <v>9.4557543065746704E-3</v>
      </c>
      <c r="DA818" s="35">
        <v>9.461690199169908E-3</v>
      </c>
      <c r="DB818" s="35">
        <v>9.387317561135481E-3</v>
      </c>
      <c r="DC818" s="35">
        <v>1.1136588871693135E-2</v>
      </c>
      <c r="DD818" s="35">
        <v>9.9631876632257331E-3</v>
      </c>
      <c r="DE818" s="35">
        <v>9.970476301237088E-3</v>
      </c>
      <c r="DF818" s="35">
        <v>1.023218926371936E-2</v>
      </c>
    </row>
    <row r="819" spans="1:110" ht="12" outlineLevel="1">
      <c r="A819" s="1" t="s">
        <v>2198</v>
      </c>
      <c r="B819" s="15" t="s">
        <v>2201</v>
      </c>
      <c r="C819" s="189">
        <v>1.5870653032714614E-2</v>
      </c>
      <c r="D819" s="189">
        <v>1.8076374435844072E-2</v>
      </c>
      <c r="E819" s="189">
        <v>1.7265854925269778E-2</v>
      </c>
      <c r="F819" s="189">
        <v>1.6869356208033343E-2</v>
      </c>
      <c r="G819" s="189">
        <v>1.6571064372211598E-2</v>
      </c>
      <c r="H819" s="189">
        <v>1.6700927321730393E-2</v>
      </c>
      <c r="I819" s="189">
        <v>1.8004826595081212E-2</v>
      </c>
      <c r="J819" s="189">
        <v>1.7754863381447876E-2</v>
      </c>
      <c r="K819" s="189">
        <v>1.7574165085235106E-2</v>
      </c>
      <c r="L819" s="189">
        <v>1.4991925000984755E-2</v>
      </c>
      <c r="M819" s="189">
        <v>1.4629364301334741E-2</v>
      </c>
      <c r="N819" s="189">
        <v>1.4701378254211332E-2</v>
      </c>
      <c r="O819" s="189">
        <v>1.328E-2</v>
      </c>
      <c r="P819" s="189">
        <v>1.3742152584875411E-2</v>
      </c>
      <c r="Q819" s="189">
        <v>1.5714039026074943E-2</v>
      </c>
      <c r="R819" s="189">
        <v>1.5410294886277419E-2</v>
      </c>
      <c r="S819" s="189">
        <v>1.8290786930623044E-2</v>
      </c>
      <c r="T819" s="189">
        <v>1.8808563872941556E-2</v>
      </c>
      <c r="U819" s="189">
        <v>1.8832425458715597E-2</v>
      </c>
      <c r="V819" s="189">
        <v>1.7841097982838401E-2</v>
      </c>
      <c r="W819" s="189">
        <v>1.6859091753589722E-2</v>
      </c>
      <c r="X819" s="189">
        <v>1.540273997973053E-2</v>
      </c>
      <c r="Y819" s="189">
        <v>1.3681413564639113E-2</v>
      </c>
      <c r="Z819" s="189">
        <v>1.255417928583087E-2</v>
      </c>
      <c r="AA819" s="189">
        <v>1.2319075578616782E-2</v>
      </c>
      <c r="AB819" s="189">
        <v>1.1428134999115656E-2</v>
      </c>
      <c r="AC819" s="189">
        <v>1.0848095189379334E-2</v>
      </c>
      <c r="AD819" s="189">
        <v>1.0657986174609561E-2</v>
      </c>
      <c r="AE819" s="189">
        <v>1.0817021806032796E-2</v>
      </c>
      <c r="AF819" s="189">
        <v>1.1350386674598454E-2</v>
      </c>
      <c r="AG819" s="189">
        <v>1.12181174937883E-2</v>
      </c>
      <c r="AH819" s="189">
        <v>1.1186446124308127E-2</v>
      </c>
      <c r="AI819" s="189">
        <v>1.0815203038982672E-2</v>
      </c>
      <c r="AJ819" s="189">
        <v>1.0323102294378533E-2</v>
      </c>
      <c r="AK819" s="189">
        <v>9.6423207304163049E-3</v>
      </c>
      <c r="AL819" s="189">
        <v>1.2779818630993141E-2</v>
      </c>
      <c r="AM819" s="189">
        <v>1.2299307435324806E-2</v>
      </c>
      <c r="AN819" s="189">
        <v>1.4456260257649678E-2</v>
      </c>
      <c r="AO819" s="189">
        <v>1.9047474155833289E-2</v>
      </c>
      <c r="AP819" s="189">
        <v>1.7202617527801195E-2</v>
      </c>
      <c r="AQ819" s="189">
        <v>1.6122709383839626E-2</v>
      </c>
      <c r="AR819" s="189">
        <v>1.3426440474446164E-2</v>
      </c>
      <c r="AS819" s="189">
        <v>1.2886287625418061E-2</v>
      </c>
      <c r="AT819" s="189">
        <v>1.3462403572202136E-2</v>
      </c>
      <c r="AU819" s="189">
        <v>1.330082899264034E-2</v>
      </c>
      <c r="AV819" s="235">
        <v>1.3461045809475963E-2</v>
      </c>
      <c r="AW819" s="189">
        <v>1.387435075396406E-2</v>
      </c>
      <c r="AX819" s="189">
        <v>1.3875169898606467E-2</v>
      </c>
      <c r="AY819" s="189">
        <v>1.3963887879625332E-2</v>
      </c>
      <c r="AZ819" s="189">
        <v>1.3971854789179679E-2</v>
      </c>
      <c r="BA819" s="189">
        <v>1.3950001938351888E-2</v>
      </c>
      <c r="BB819" s="189">
        <v>1.3917685270617616E-2</v>
      </c>
      <c r="BC819" s="189">
        <v>1.3875594267189633E-2</v>
      </c>
      <c r="BD819" s="189">
        <v>1.3833758247274421E-2</v>
      </c>
      <c r="BE819" s="189">
        <v>1.3792175640529774E-2</v>
      </c>
      <c r="BF819" s="189">
        <v>1.3694869035719055E-2</v>
      </c>
      <c r="BG819" s="189">
        <v>1.3598057941409121E-2</v>
      </c>
      <c r="BH819" s="189">
        <v>1.4985864821856935E-2</v>
      </c>
      <c r="BI819" s="189">
        <v>1.6764354136368811E-2</v>
      </c>
      <c r="BJ819" s="189">
        <v>1.6256194419353151E-2</v>
      </c>
      <c r="BK819" s="189">
        <v>1.4204041549662233E-2</v>
      </c>
      <c r="BL819" s="189">
        <v>1.4157274751585803E-2</v>
      </c>
      <c r="BM819" s="189">
        <v>1.4110777980623894E-2</v>
      </c>
      <c r="BN819" s="189">
        <v>1.4271270647727097E-2</v>
      </c>
      <c r="BO819" s="189">
        <v>1.4459342442037176E-2</v>
      </c>
      <c r="BQ819" s="189">
        <v>1.4811192231110489E-2</v>
      </c>
      <c r="BR819" s="189">
        <v>9.5364511296987739E-3</v>
      </c>
      <c r="BS819" s="189">
        <v>9.8949425849010498E-3</v>
      </c>
      <c r="BT819" s="189">
        <v>1.1510028106597034E-2</v>
      </c>
      <c r="BU819" s="189">
        <v>1.0841375364891888E-2</v>
      </c>
      <c r="BV819" s="189">
        <v>2.0193059395969937E-2</v>
      </c>
      <c r="BW819" s="189">
        <v>1.7557912369308312E-2</v>
      </c>
      <c r="BX819" s="189">
        <v>1.6955126646895816E-2</v>
      </c>
      <c r="BY819" s="189">
        <v>1.6023621128305673E-2</v>
      </c>
      <c r="BZ819" s="189">
        <v>1.5870653032714614E-2</v>
      </c>
      <c r="CA819" s="189">
        <v>1.7265854925269778E-2</v>
      </c>
      <c r="CB819" s="189">
        <v>1.6571064372211598E-2</v>
      </c>
      <c r="CC819" s="189">
        <v>1.8004826595081212E-2</v>
      </c>
      <c r="CD819" s="189">
        <v>1.7574165085235106E-2</v>
      </c>
      <c r="CE819" s="189">
        <v>1.4629364301334741E-2</v>
      </c>
      <c r="CF819" s="189">
        <v>1.328E-2</v>
      </c>
      <c r="CG819" s="189">
        <v>1.5714039026074943E-2</v>
      </c>
      <c r="CH819" s="189">
        <v>1.8290786930623044E-2</v>
      </c>
      <c r="CI819" s="189">
        <v>1.8832425458715597E-2</v>
      </c>
      <c r="CJ819" s="189">
        <v>1.6859091753589722E-2</v>
      </c>
      <c r="CK819" s="189">
        <v>1.3681413564639113E-2</v>
      </c>
      <c r="CL819" s="189">
        <v>1.2319075578616782E-2</v>
      </c>
      <c r="CM819" s="189">
        <v>1.0848095189379334E-2</v>
      </c>
      <c r="CN819" s="189">
        <v>1.0817021806032796E-2</v>
      </c>
      <c r="CO819" s="189">
        <v>1.12181174937883E-2</v>
      </c>
      <c r="CP819" s="189">
        <v>1.0815203038982672E-2</v>
      </c>
      <c r="CQ819" s="189">
        <v>9.6423207304163049E-3</v>
      </c>
      <c r="CR819" s="189">
        <v>1.2299307435324806E-2</v>
      </c>
      <c r="CS819" s="189">
        <v>1.9047474155833289E-2</v>
      </c>
      <c r="CT819" s="189">
        <v>1.6122709383839626E-2</v>
      </c>
      <c r="CU819" s="189">
        <v>1.2886287625418061E-2</v>
      </c>
      <c r="CV819" s="235">
        <v>1.330082899264034E-2</v>
      </c>
      <c r="CW819" s="189">
        <v>1.387435075396406E-2</v>
      </c>
      <c r="CX819" s="189">
        <v>1.3963887879625332E-2</v>
      </c>
      <c r="CY819" s="189">
        <v>1.3950001938351888E-2</v>
      </c>
      <c r="CZ819" s="189">
        <v>1.3875594267189633E-2</v>
      </c>
      <c r="DA819" s="189">
        <v>1.3792175640529774E-2</v>
      </c>
      <c r="DB819" s="189">
        <v>1.3598057941409121E-2</v>
      </c>
      <c r="DC819" s="189">
        <v>1.6764354136368811E-2</v>
      </c>
      <c r="DD819" s="189">
        <v>1.4204041549662233E-2</v>
      </c>
      <c r="DE819" s="189">
        <v>1.4110777980623894E-2</v>
      </c>
      <c r="DF819" s="189">
        <v>1.4459342442037176E-2</v>
      </c>
    </row>
    <row r="820" spans="1:110" ht="12" outlineLevel="1">
      <c r="A820" s="1" t="s">
        <v>2199</v>
      </c>
      <c r="B820" s="15" t="s">
        <v>2202</v>
      </c>
      <c r="C820" s="189">
        <v>9.9619777328953697E-3</v>
      </c>
      <c r="D820" s="189">
        <v>1.1416502975970699E-2</v>
      </c>
      <c r="E820" s="189">
        <v>1.0580663413254119E-2</v>
      </c>
      <c r="F820" s="189">
        <v>1.0295889046654509E-2</v>
      </c>
      <c r="G820" s="189">
        <v>1.0125880403715024E-2</v>
      </c>
      <c r="H820" s="189">
        <v>9.8657225508397735E-3</v>
      </c>
      <c r="I820" s="189">
        <v>1.0180197675725953E-2</v>
      </c>
      <c r="J820" s="189">
        <v>9.9824826626352791E-3</v>
      </c>
      <c r="K820" s="189">
        <v>9.9365837777359994E-3</v>
      </c>
      <c r="L820" s="189">
        <v>8.3100436681222706E-3</v>
      </c>
      <c r="M820" s="189">
        <v>8.132705633785103E-3</v>
      </c>
      <c r="N820" s="189">
        <v>8.119374131577357E-3</v>
      </c>
      <c r="O820" s="189">
        <v>7.2948061126959654E-3</v>
      </c>
      <c r="P820" s="189">
        <v>9.3905757145264987E-3</v>
      </c>
      <c r="Q820" s="189">
        <v>1.125024925224327E-2</v>
      </c>
      <c r="R820" s="189">
        <v>1.0637389921247624E-2</v>
      </c>
      <c r="S820" s="189">
        <v>1.3054205412273564E-2</v>
      </c>
      <c r="T820" s="189">
        <v>1.3781055019852525E-2</v>
      </c>
      <c r="U820" s="189">
        <v>1.3502228959775948E-2</v>
      </c>
      <c r="V820" s="189">
        <v>1.3620812361198048E-2</v>
      </c>
      <c r="W820" s="189">
        <v>1.2763836867233591E-2</v>
      </c>
      <c r="X820" s="189">
        <v>1.1968101053304819E-2</v>
      </c>
      <c r="Y820" s="189">
        <v>1.0848455125061305E-2</v>
      </c>
      <c r="Z820" s="189">
        <v>1.0069896500810974E-2</v>
      </c>
      <c r="AA820" s="189">
        <v>1.0036467802997382E-2</v>
      </c>
      <c r="AB820" s="189">
        <v>9.3112980139391077E-3</v>
      </c>
      <c r="AC820" s="189">
        <v>8.9256519416611359E-3</v>
      </c>
      <c r="AD820" s="189">
        <v>8.5782329546625381E-3</v>
      </c>
      <c r="AE820" s="189">
        <v>8.4517270858410695E-3</v>
      </c>
      <c r="AF820" s="189">
        <v>8.5609677303564377E-3</v>
      </c>
      <c r="AG820" s="189">
        <v>8.1696886371448139E-3</v>
      </c>
      <c r="AH820" s="189">
        <v>8.1478252474335086E-3</v>
      </c>
      <c r="AI820" s="189">
        <v>7.9030026660016506E-3</v>
      </c>
      <c r="AJ820" s="189">
        <v>7.5228544259119895E-3</v>
      </c>
      <c r="AK820" s="189">
        <v>7.4737839919426508E-3</v>
      </c>
      <c r="AL820" s="189">
        <v>9.7764837651907396E-3</v>
      </c>
      <c r="AM820" s="189">
        <v>9.4273762517243492E-3</v>
      </c>
      <c r="AN820" s="189">
        <v>1.1660712388956392E-2</v>
      </c>
      <c r="AO820" s="189">
        <v>1.3909681504956434E-2</v>
      </c>
      <c r="AP820" s="189">
        <v>1.2534297465059E-2</v>
      </c>
      <c r="AQ820" s="189">
        <v>1.2248246705090249E-2</v>
      </c>
      <c r="AR820" s="189">
        <v>1.0770690648678246E-2</v>
      </c>
      <c r="AS820" s="189">
        <v>1.0719392836674623E-2</v>
      </c>
      <c r="AT820" s="189">
        <v>1.1700174344182059E-2</v>
      </c>
      <c r="AU820" s="189">
        <v>1.155165152517899E-2</v>
      </c>
      <c r="AV820" s="235">
        <v>1.16115219818222E-2</v>
      </c>
      <c r="AW820" s="189">
        <v>1.2362243117032122E-2</v>
      </c>
      <c r="AX820" s="189">
        <v>1.2352728458075845E-2</v>
      </c>
      <c r="AY820" s="189">
        <v>1.2346725867673677E-2</v>
      </c>
      <c r="AZ820" s="189">
        <v>1.2340303854938995E-2</v>
      </c>
      <c r="BA820" s="189">
        <v>1.2332764045485327E-2</v>
      </c>
      <c r="BB820" s="189">
        <v>1.2323658149101665E-2</v>
      </c>
      <c r="BC820" s="189">
        <v>1.2313208770033314E-2</v>
      </c>
      <c r="BD820" s="189">
        <v>1.2302925131645879E-2</v>
      </c>
      <c r="BE820" s="189">
        <v>1.229280575842992E-2</v>
      </c>
      <c r="BF820" s="189">
        <v>1.2232849134613118E-2</v>
      </c>
      <c r="BG820" s="189">
        <v>1.2173053707799754E-2</v>
      </c>
      <c r="BH820" s="189">
        <v>1.3152952547047828E-2</v>
      </c>
      <c r="BI820" s="189">
        <v>1.4433888499542096E-2</v>
      </c>
      <c r="BJ820" s="189">
        <v>1.4333879525762677E-2</v>
      </c>
      <c r="BK820" s="189">
        <v>1.2833310045124559E-2</v>
      </c>
      <c r="BL820" s="189">
        <v>1.282295122428595E-2</v>
      </c>
      <c r="BM820" s="189">
        <v>1.2812807028007838E-2</v>
      </c>
      <c r="BN820" s="189">
        <v>1.2958536879035705E-2</v>
      </c>
      <c r="BO820" s="189">
        <v>1.3129309008766262E-2</v>
      </c>
      <c r="BQ820" s="189">
        <v>1.155591013941918E-2</v>
      </c>
      <c r="BR820" s="189">
        <v>7.34712464220661E-3</v>
      </c>
      <c r="BS820" s="189">
        <v>7.4578768069238563E-3</v>
      </c>
      <c r="BT820" s="189">
        <v>8.161201791131013E-3</v>
      </c>
      <c r="BU820" s="189">
        <v>7.5815092443085215E-3</v>
      </c>
      <c r="BV820" s="189">
        <v>1.3471883331606168E-2</v>
      </c>
      <c r="BW820" s="189">
        <v>1.2067599228224918E-2</v>
      </c>
      <c r="BX820" s="189">
        <v>1.1818328151342376E-2</v>
      </c>
      <c r="BY820" s="189">
        <v>1.0586947134661649E-2</v>
      </c>
      <c r="BZ820" s="189">
        <v>9.9619777328953697E-3</v>
      </c>
      <c r="CA820" s="189">
        <v>1.0580663413254119E-2</v>
      </c>
      <c r="CB820" s="189">
        <v>1.0125880403715024E-2</v>
      </c>
      <c r="CC820" s="189">
        <v>1.0180197675725953E-2</v>
      </c>
      <c r="CD820" s="189">
        <v>9.9365837777359994E-3</v>
      </c>
      <c r="CE820" s="189">
        <v>8.132705633785103E-3</v>
      </c>
      <c r="CF820" s="189">
        <v>7.2948061126959654E-3</v>
      </c>
      <c r="CG820" s="189">
        <v>1.125024925224327E-2</v>
      </c>
      <c r="CH820" s="189">
        <v>1.3054205412273564E-2</v>
      </c>
      <c r="CI820" s="189">
        <v>1.3502228959775948E-2</v>
      </c>
      <c r="CJ820" s="189">
        <v>1.2763836867233591E-2</v>
      </c>
      <c r="CK820" s="189">
        <v>1.0848455125061305E-2</v>
      </c>
      <c r="CL820" s="189">
        <v>1.0036467802997382E-2</v>
      </c>
      <c r="CM820" s="189">
        <v>8.9256519416611359E-3</v>
      </c>
      <c r="CN820" s="189">
        <v>8.4517270858410695E-3</v>
      </c>
      <c r="CO820" s="189">
        <v>8.1696886371448139E-3</v>
      </c>
      <c r="CP820" s="189">
        <v>7.9030026660016506E-3</v>
      </c>
      <c r="CQ820" s="189">
        <v>7.4737839919426508E-3</v>
      </c>
      <c r="CR820" s="189">
        <v>9.4273762517243492E-3</v>
      </c>
      <c r="CS820" s="189">
        <v>1.3909681504956434E-2</v>
      </c>
      <c r="CT820" s="189">
        <v>1.2248246705090249E-2</v>
      </c>
      <c r="CU820" s="189">
        <v>1.0719392836674623E-2</v>
      </c>
      <c r="CV820" s="235">
        <v>1.155165152517899E-2</v>
      </c>
      <c r="CW820" s="189">
        <v>1.2362243117032122E-2</v>
      </c>
      <c r="CX820" s="189">
        <v>1.2346725867673677E-2</v>
      </c>
      <c r="CY820" s="189">
        <v>1.2332764045485327E-2</v>
      </c>
      <c r="CZ820" s="189">
        <v>1.2313208770033314E-2</v>
      </c>
      <c r="DA820" s="189">
        <v>1.229280575842992E-2</v>
      </c>
      <c r="DB820" s="189">
        <v>1.2173053707799754E-2</v>
      </c>
      <c r="DC820" s="189">
        <v>1.4433888499542096E-2</v>
      </c>
      <c r="DD820" s="189">
        <v>1.2833310045124559E-2</v>
      </c>
      <c r="DE820" s="189">
        <v>1.2812807028007838E-2</v>
      </c>
      <c r="DF820" s="189">
        <v>1.3129309008766262E-2</v>
      </c>
    </row>
    <row r="821" spans="1:110" ht="12" outlineLevel="1">
      <c r="A821" s="1" t="s">
        <v>2200</v>
      </c>
      <c r="B821" s="15" t="s">
        <v>2203</v>
      </c>
      <c r="C821" s="189">
        <v>9.9619777328953697E-3</v>
      </c>
      <c r="D821" s="189">
        <v>1.1416502975970699E-2</v>
      </c>
      <c r="E821" s="189">
        <v>1.0580663413254119E-2</v>
      </c>
      <c r="F821" s="189">
        <v>1.0295889046654509E-2</v>
      </c>
      <c r="G821" s="189">
        <v>1.0081228148576536E-2</v>
      </c>
      <c r="H821" s="189">
        <v>9.8196683444619331E-3</v>
      </c>
      <c r="I821" s="189">
        <v>1.0128950901029167E-2</v>
      </c>
      <c r="J821" s="189">
        <v>9.9272637024875425E-3</v>
      </c>
      <c r="K821" s="189">
        <v>9.8691551329170707E-3</v>
      </c>
      <c r="L821" s="189">
        <v>8.2504888295404782E-3</v>
      </c>
      <c r="M821" s="189">
        <v>8.0759640161685801E-3</v>
      </c>
      <c r="N821" s="189">
        <v>8.0483861309060423E-3</v>
      </c>
      <c r="O821" s="189">
        <v>7.2431622657426059E-3</v>
      </c>
      <c r="P821" s="189">
        <v>8.7481213970076934E-3</v>
      </c>
      <c r="Q821" s="189">
        <v>1.0242018051511433E-2</v>
      </c>
      <c r="R821" s="189">
        <v>9.7621065073589617E-3</v>
      </c>
      <c r="S821" s="189">
        <v>1.190150315984909E-2</v>
      </c>
      <c r="T821" s="189">
        <v>1.2198697788006956E-2</v>
      </c>
      <c r="U821" s="189">
        <v>1.1932243927914563E-2</v>
      </c>
      <c r="V821" s="189">
        <v>1.2023342769342558E-2</v>
      </c>
      <c r="W821" s="189">
        <v>1.1344315697732565E-2</v>
      </c>
      <c r="X821" s="189">
        <v>1.0511311772388322E-2</v>
      </c>
      <c r="Y821" s="189">
        <v>9.2130121718385048E-3</v>
      </c>
      <c r="Z821" s="189">
        <v>8.5838639477714192E-3</v>
      </c>
      <c r="AA821" s="189">
        <v>8.5095721633531313E-3</v>
      </c>
      <c r="AB821" s="189">
        <v>7.88102234296169E-3</v>
      </c>
      <c r="AC821" s="189">
        <v>7.6259442534347176E-3</v>
      </c>
      <c r="AD821" s="189">
        <v>7.5323822645225833E-3</v>
      </c>
      <c r="AE821" s="189">
        <v>7.3543863839357912E-3</v>
      </c>
      <c r="AF821" s="189">
        <v>7.3699254509637302E-3</v>
      </c>
      <c r="AG821" s="189">
        <v>7.038978711739626E-3</v>
      </c>
      <c r="AH821" s="189">
        <v>7.0144066089059039E-3</v>
      </c>
      <c r="AI821" s="189">
        <v>6.8062171290650016E-3</v>
      </c>
      <c r="AJ821" s="189">
        <v>6.5162957928328324E-3</v>
      </c>
      <c r="AK821" s="189">
        <v>6.4556573358579396E-3</v>
      </c>
      <c r="AL821" s="189">
        <v>8.5240391530466246E-3</v>
      </c>
      <c r="AM821" s="189">
        <v>8.0966805048913442E-3</v>
      </c>
      <c r="AN821" s="189">
        <v>1.0024230978236662E-2</v>
      </c>
      <c r="AO821" s="189">
        <v>1.1663219868462728E-2</v>
      </c>
      <c r="AP821" s="189">
        <v>1.0498179662196263E-2</v>
      </c>
      <c r="AQ821" s="189">
        <v>1.0082050345361296E-2</v>
      </c>
      <c r="AR821" s="189">
        <v>8.5793884588157392E-3</v>
      </c>
      <c r="AS821" s="189">
        <v>8.4733835036220253E-3</v>
      </c>
      <c r="AT821" s="189">
        <v>9.27639524791396E-3</v>
      </c>
      <c r="AU821" s="189">
        <v>9.304751377135512E-3</v>
      </c>
      <c r="AV821" s="235">
        <v>9.3488824550174571E-3</v>
      </c>
      <c r="AW821" s="189">
        <v>9.9276253430479154E-3</v>
      </c>
      <c r="AX821" s="189">
        <v>9.9188020908486888E-3</v>
      </c>
      <c r="AY821" s="189">
        <v>9.9042510366107346E-3</v>
      </c>
      <c r="AZ821" s="189">
        <v>9.8975609489088071E-3</v>
      </c>
      <c r="BA821" s="189">
        <v>9.8928585874543205E-3</v>
      </c>
      <c r="BB821" s="189">
        <v>9.8877843649764572E-3</v>
      </c>
      <c r="BC821" s="189">
        <v>9.8824818248981136E-3</v>
      </c>
      <c r="BD821" s="189">
        <v>9.8773207598522993E-3</v>
      </c>
      <c r="BE821" s="189">
        <v>9.8723000257770165E-3</v>
      </c>
      <c r="BF821" s="189">
        <v>9.827250979545921E-3</v>
      </c>
      <c r="BG821" s="189">
        <v>9.7823144125992276E-3</v>
      </c>
      <c r="BH821" s="189">
        <v>1.0521887071937491E-2</v>
      </c>
      <c r="BI821" s="189">
        <v>1.1496908723402826E-2</v>
      </c>
      <c r="BJ821" s="189">
        <v>1.1474139774092279E-2</v>
      </c>
      <c r="BK821" s="189">
        <v>1.0326733377984806E-2</v>
      </c>
      <c r="BL821" s="189">
        <v>1.0322160024214422E-2</v>
      </c>
      <c r="BM821" s="189">
        <v>1.0317777492349538E-2</v>
      </c>
      <c r="BN821" s="189">
        <v>1.0435129464763701E-2</v>
      </c>
      <c r="BO821" s="189">
        <v>1.0572647249321212E-2</v>
      </c>
      <c r="BQ821" s="189">
        <v>1.155591013941918E-2</v>
      </c>
      <c r="BR821" s="189">
        <v>7.34712464220661E-3</v>
      </c>
      <c r="BS821" s="189">
        <v>7.4578768069238563E-3</v>
      </c>
      <c r="BT821" s="189">
        <v>8.161201791131013E-3</v>
      </c>
      <c r="BU821" s="189">
        <v>7.5815092443085215E-3</v>
      </c>
      <c r="BV821" s="189">
        <v>1.3471883331606168E-2</v>
      </c>
      <c r="BW821" s="189">
        <v>1.2067599228224918E-2</v>
      </c>
      <c r="BX821" s="189">
        <v>1.1818328151342376E-2</v>
      </c>
      <c r="BY821" s="189">
        <v>1.0586947134661649E-2</v>
      </c>
      <c r="BZ821" s="189">
        <v>9.9619777328953697E-3</v>
      </c>
      <c r="CA821" s="189">
        <v>1.0580663413254119E-2</v>
      </c>
      <c r="CB821" s="189">
        <v>1.0081228148576536E-2</v>
      </c>
      <c r="CC821" s="189">
        <v>1.0128950901029167E-2</v>
      </c>
      <c r="CD821" s="189">
        <v>9.8691551329170707E-3</v>
      </c>
      <c r="CE821" s="189">
        <v>8.0759640161685801E-3</v>
      </c>
      <c r="CF821" s="189">
        <v>7.2431622657426059E-3</v>
      </c>
      <c r="CG821" s="189">
        <v>1.0242018051511433E-2</v>
      </c>
      <c r="CH821" s="189">
        <v>1.190150315984909E-2</v>
      </c>
      <c r="CI821" s="189">
        <v>1.1932243927914563E-2</v>
      </c>
      <c r="CJ821" s="189">
        <v>1.1344315697732565E-2</v>
      </c>
      <c r="CK821" s="189">
        <v>9.2130121718385048E-3</v>
      </c>
      <c r="CL821" s="189">
        <v>8.5095721633531313E-3</v>
      </c>
      <c r="CM821" s="189">
        <v>7.6259442534347176E-3</v>
      </c>
      <c r="CN821" s="189">
        <v>7.3543863839357912E-3</v>
      </c>
      <c r="CO821" s="189">
        <v>7.038978711739626E-3</v>
      </c>
      <c r="CP821" s="189">
        <v>6.8062171290650016E-3</v>
      </c>
      <c r="CQ821" s="189">
        <v>6.4556573358579396E-3</v>
      </c>
      <c r="CR821" s="189">
        <v>8.0966805048913442E-3</v>
      </c>
      <c r="CS821" s="189">
        <v>1.1663219868462728E-2</v>
      </c>
      <c r="CT821" s="189">
        <v>1.0082050345361296E-2</v>
      </c>
      <c r="CU821" s="189">
        <v>8.4733835036220253E-3</v>
      </c>
      <c r="CV821" s="235">
        <v>9.304751377135512E-3</v>
      </c>
      <c r="CW821" s="189">
        <v>9.9276253430479154E-3</v>
      </c>
      <c r="CX821" s="189">
        <v>9.9042510366107346E-3</v>
      </c>
      <c r="CY821" s="189">
        <v>9.8928585874543205E-3</v>
      </c>
      <c r="CZ821" s="189">
        <v>9.8824818248981136E-3</v>
      </c>
      <c r="DA821" s="189">
        <v>9.8723000257770165E-3</v>
      </c>
      <c r="DB821" s="189">
        <v>9.7823144125992276E-3</v>
      </c>
      <c r="DC821" s="189">
        <v>1.1496908723402826E-2</v>
      </c>
      <c r="DD821" s="189">
        <v>1.0326733377984806E-2</v>
      </c>
      <c r="DE821" s="189">
        <v>1.0317777492349538E-2</v>
      </c>
      <c r="DF821" s="189">
        <v>1.0572647249321212E-2</v>
      </c>
    </row>
    <row r="822" spans="1:110" ht="12" outlineLevel="1">
      <c r="A822" s="1" t="s">
        <v>829</v>
      </c>
      <c r="B822" s="15" t="s">
        <v>264</v>
      </c>
      <c r="C822" s="345">
        <v>2.1595996839610217E-2</v>
      </c>
      <c r="D822" s="345">
        <v>2.4963169094778196E-2</v>
      </c>
      <c r="E822" s="345">
        <v>2.4017542847250273E-2</v>
      </c>
      <c r="F822" s="345">
        <v>2.3021709648610209E-2</v>
      </c>
      <c r="G822" s="345">
        <v>2.1799483639584751E-2</v>
      </c>
      <c r="H822" s="345">
        <v>2.0528984514183911E-2</v>
      </c>
      <c r="I822" s="345">
        <v>2.1475636541120963E-2</v>
      </c>
      <c r="J822" s="345">
        <v>2.0494916816757861E-2</v>
      </c>
      <c r="K822" s="345">
        <v>1.9788169269946313E-2</v>
      </c>
      <c r="L822" s="345">
        <v>1.748138811202584E-2</v>
      </c>
      <c r="M822" s="35">
        <v>1.6786064399366564E-2</v>
      </c>
      <c r="N822" s="35">
        <v>1.6903668052213227E-2</v>
      </c>
      <c r="O822" s="35">
        <v>1.508E-2</v>
      </c>
      <c r="P822" s="35">
        <v>1.5597930455311576E-2</v>
      </c>
      <c r="Q822" s="35">
        <v>1.9474044819269055E-2</v>
      </c>
      <c r="R822" s="35">
        <v>2.2946839540726002E-2</v>
      </c>
      <c r="S822" s="35">
        <v>2.7594700549333301E-2</v>
      </c>
      <c r="T822" s="37">
        <v>2.8674234682818375E-2</v>
      </c>
      <c r="U822" s="35">
        <v>3.0031536697247705E-2</v>
      </c>
      <c r="V822" s="35">
        <v>2.7483265196100455E-2</v>
      </c>
      <c r="W822" s="35">
        <v>2.5867239960718741E-2</v>
      </c>
      <c r="X822" s="35">
        <v>2.4220474223303718E-2</v>
      </c>
      <c r="Y822" s="37">
        <v>2.2454341684026144E-2</v>
      </c>
      <c r="Z822" s="37">
        <v>1.9549881213616001E-2</v>
      </c>
      <c r="AA822" s="37">
        <v>1.8578889875059738E-2</v>
      </c>
      <c r="AB822" s="37">
        <v>1.7337160130561316E-2</v>
      </c>
      <c r="AC822" s="37">
        <v>1.5475356684740267E-2</v>
      </c>
      <c r="AD822" s="37">
        <v>1.4732453092425296E-2</v>
      </c>
      <c r="AE822" s="37">
        <v>1.4699586128157556E-2</v>
      </c>
      <c r="AF822" s="37">
        <v>1.6260162601626018E-2</v>
      </c>
      <c r="AG822" s="37">
        <v>1.6316198009915319E-2</v>
      </c>
      <c r="AH822" s="37">
        <v>1.6283609546838475E-2</v>
      </c>
      <c r="AI822" s="37">
        <v>1.5430556401974526E-2</v>
      </c>
      <c r="AJ822" s="37">
        <v>1.4389900251372944E-2</v>
      </c>
      <c r="AK822" s="37">
        <v>1.3158347314634696E-2</v>
      </c>
      <c r="AL822" s="37">
        <v>1.6150694415544616E-2</v>
      </c>
      <c r="AM822" s="37">
        <v>1.5264839500595657E-2</v>
      </c>
      <c r="AN822" s="37">
        <v>1.7966745141366872E-2</v>
      </c>
      <c r="AO822" s="37">
        <v>2.2436311909996121E-2</v>
      </c>
      <c r="AP822" s="37">
        <v>2.0450439600144525E-2</v>
      </c>
      <c r="AQ822" s="37">
        <v>1.8763067273398108E-2</v>
      </c>
      <c r="AR822" s="37">
        <v>1.5699322066606868E-2</v>
      </c>
      <c r="AS822" s="37">
        <v>1.4698996655518395E-2</v>
      </c>
      <c r="AT822" s="37">
        <v>1.4865292657325181E-2</v>
      </c>
      <c r="AU822" s="37">
        <v>1.4541184077271483E-2</v>
      </c>
      <c r="AV822" s="36">
        <v>1.4542321115476875E-2</v>
      </c>
      <c r="AW822" s="35">
        <v>1.4357419835051281E-2</v>
      </c>
      <c r="AX822" s="35">
        <v>1.4334341113381985E-2</v>
      </c>
      <c r="AY822" s="35">
        <v>1.4507989842867086E-2</v>
      </c>
      <c r="AZ822" s="35">
        <v>1.4611280457872243E-2</v>
      </c>
      <c r="BA822" s="35">
        <v>1.4662163770661586E-2</v>
      </c>
      <c r="BB822" s="35">
        <v>1.4641115633787026E-2</v>
      </c>
      <c r="BC822" s="35">
        <v>1.4545349025327907E-2</v>
      </c>
      <c r="BD822" s="35">
        <v>1.4452938122983598E-2</v>
      </c>
      <c r="BE822" s="35">
        <v>1.4363717260047541E-2</v>
      </c>
      <c r="BF822" s="35">
        <v>1.4278812679011673E-2</v>
      </c>
      <c r="BG822" s="35">
        <v>1.4194173797826722E-2</v>
      </c>
      <c r="BH822" s="35">
        <v>1.590885255752518E-2</v>
      </c>
      <c r="BI822" s="35">
        <v>1.7918080426001754E-2</v>
      </c>
      <c r="BJ822" s="35">
        <v>1.7590215320100865E-2</v>
      </c>
      <c r="BK822" s="35">
        <v>1.5458689662615781E-2</v>
      </c>
      <c r="BL822" s="35">
        <v>1.5389509531835715E-2</v>
      </c>
      <c r="BM822" s="35">
        <v>1.5321008689153443E-2</v>
      </c>
      <c r="BN822" s="35">
        <v>1.5486204082517822E-2</v>
      </c>
      <c r="BO822" s="35">
        <v>1.5678932041442925E-2</v>
      </c>
      <c r="BP822" s="35"/>
      <c r="BQ822" s="345">
        <v>5.2995106336357609E-2</v>
      </c>
      <c r="BR822" s="345">
        <v>4.5424377985946104E-2</v>
      </c>
      <c r="BS822" s="345">
        <v>2.8829709259711702E-2</v>
      </c>
      <c r="BT822" s="345">
        <v>2.342749083643644E-2</v>
      </c>
      <c r="BU822" s="345">
        <v>1.8624534829955314E-2</v>
      </c>
      <c r="BV822" s="345">
        <v>2.6589881708119854E-2</v>
      </c>
      <c r="BW822" s="345">
        <v>2.7821959643015311E-2</v>
      </c>
      <c r="BX822" s="345">
        <v>2.797899752054062E-2</v>
      </c>
      <c r="BY822" s="345">
        <v>2.4298018346054197E-2</v>
      </c>
      <c r="BZ822" s="345">
        <v>2.1595996839610217E-2</v>
      </c>
      <c r="CA822" s="35">
        <v>2.4017542847250273E-2</v>
      </c>
      <c r="CB822" s="35">
        <v>2.1799483639584751E-2</v>
      </c>
      <c r="CC822" s="35">
        <v>2.1475636541120963E-2</v>
      </c>
      <c r="CD822" s="35">
        <v>1.9788169269946313E-2</v>
      </c>
      <c r="CE822" s="35">
        <v>1.6786064399366564E-2</v>
      </c>
      <c r="CF822" s="35">
        <v>1.508E-2</v>
      </c>
      <c r="CG822" s="35">
        <v>1.9474044819269055E-2</v>
      </c>
      <c r="CH822" s="35">
        <v>2.7594700549333301E-2</v>
      </c>
      <c r="CI822" s="35">
        <v>3.0031536697247705E-2</v>
      </c>
      <c r="CJ822" s="35">
        <v>2.5867239960718741E-2</v>
      </c>
      <c r="CK822" s="35">
        <v>2.2454341684026144E-2</v>
      </c>
      <c r="CL822" s="37">
        <v>1.8578889875059738E-2</v>
      </c>
      <c r="CM822" s="37">
        <v>1.5475356684740267E-2</v>
      </c>
      <c r="CN822" s="37">
        <v>1.4699586128157556E-2</v>
      </c>
      <c r="CO822" s="37">
        <v>1.6316198009915319E-2</v>
      </c>
      <c r="CP822" s="37">
        <v>1.5430556401974526E-2</v>
      </c>
      <c r="CQ822" s="37">
        <v>1.3158347314634696E-2</v>
      </c>
      <c r="CR822" s="37">
        <v>1.5264839500595657E-2</v>
      </c>
      <c r="CS822" s="37">
        <v>2.2436311909996121E-2</v>
      </c>
      <c r="CT822" s="37">
        <v>1.8763067273398108E-2</v>
      </c>
      <c r="CU822" s="37">
        <v>1.4698996655518395E-2</v>
      </c>
      <c r="CV822" s="36">
        <v>1.4541184077271483E-2</v>
      </c>
      <c r="CW822" s="35">
        <v>1.4357419835051281E-2</v>
      </c>
      <c r="CX822" s="35">
        <v>1.4507989842867086E-2</v>
      </c>
      <c r="CY822" s="35">
        <v>1.4662163770661586E-2</v>
      </c>
      <c r="CZ822" s="35">
        <v>1.4545349025327907E-2</v>
      </c>
      <c r="DA822" s="35">
        <v>1.4363717260047541E-2</v>
      </c>
      <c r="DB822" s="35">
        <v>1.4194173797826722E-2</v>
      </c>
      <c r="DC822" s="35">
        <v>1.7918080426001754E-2</v>
      </c>
      <c r="DD822" s="35">
        <v>1.5458689662615781E-2</v>
      </c>
      <c r="DE822" s="35">
        <v>1.5321008689153443E-2</v>
      </c>
      <c r="DF822" s="35">
        <v>1.5678932041442925E-2</v>
      </c>
    </row>
    <row r="823" spans="1:110" ht="12" outlineLevel="1">
      <c r="A823" s="1" t="s">
        <v>830</v>
      </c>
      <c r="B823" s="15" t="s">
        <v>372</v>
      </c>
      <c r="C823" s="345">
        <v>1.3555764793824436E-2</v>
      </c>
      <c r="D823" s="345">
        <v>1.5765998611705977E-2</v>
      </c>
      <c r="E823" s="345">
        <v>1.4718155456538652E-2</v>
      </c>
      <c r="F823" s="345">
        <v>1.4050860346022624E-2</v>
      </c>
      <c r="G823" s="345">
        <v>1.3320747493283517E-2</v>
      </c>
      <c r="H823" s="345">
        <v>1.2127067052372523E-2</v>
      </c>
      <c r="I823" s="345">
        <v>1.2142645420444208E-2</v>
      </c>
      <c r="J823" s="345">
        <v>1.1523048496628512E-2</v>
      </c>
      <c r="K823" s="345">
        <v>1.1188400746504771E-2</v>
      </c>
      <c r="L823" s="345">
        <v>9.6899563318777297E-3</v>
      </c>
      <c r="M823" s="35">
        <v>9.3316508973224944E-3</v>
      </c>
      <c r="N823" s="35">
        <v>9.3356692643830931E-3</v>
      </c>
      <c r="O823" s="35">
        <v>8.2835599532722261E-3</v>
      </c>
      <c r="P823" s="35">
        <v>1.0658704742642043E-2</v>
      </c>
      <c r="Q823" s="35">
        <v>1.3942173479561316E-2</v>
      </c>
      <c r="R823" s="35">
        <v>1.5839702059975948E-2</v>
      </c>
      <c r="S823" s="35">
        <v>1.9694444565316716E-2</v>
      </c>
      <c r="T823" s="37">
        <v>2.100964265456608E-2</v>
      </c>
      <c r="U823" s="35">
        <v>2.1531622965351559E-2</v>
      </c>
      <c r="V823" s="35">
        <v>2.0982139029179493E-2</v>
      </c>
      <c r="W823" s="35">
        <v>1.9583808896104941E-2</v>
      </c>
      <c r="X823" s="35">
        <v>1.8819579077808648E-2</v>
      </c>
      <c r="Y823" s="37">
        <v>1.7804806277587053E-2</v>
      </c>
      <c r="Z823" s="37">
        <v>1.568125450036003E-2</v>
      </c>
      <c r="AA823" s="37">
        <v>1.5136397926654175E-2</v>
      </c>
      <c r="AB823" s="37">
        <v>1.4125792590263586E-2</v>
      </c>
      <c r="AC823" s="37">
        <v>1.2732894119170566E-2</v>
      </c>
      <c r="AD823" s="37">
        <v>1.1857626060871894E-2</v>
      </c>
      <c r="AE823" s="37">
        <v>1.1485313837558721E-2</v>
      </c>
      <c r="AF823" s="37">
        <v>1.2264139655646888E-2</v>
      </c>
      <c r="AG823" s="37">
        <v>1.1882408751452279E-2</v>
      </c>
      <c r="AH823" s="37">
        <v>1.1860424974181487E-2</v>
      </c>
      <c r="AI823" s="37">
        <v>1.1275583818735639E-2</v>
      </c>
      <c r="AJ823" s="37">
        <v>1.0486491532048701E-2</v>
      </c>
      <c r="AK823" s="37">
        <v>1.0199063925588009E-2</v>
      </c>
      <c r="AL823" s="37">
        <v>1.2355183301835189E-2</v>
      </c>
      <c r="AM823" s="37">
        <v>1.1700446236589166E-2</v>
      </c>
      <c r="AN823" s="37">
        <v>1.4492340614046223E-2</v>
      </c>
      <c r="AO823" s="37">
        <v>1.6384427156097846E-2</v>
      </c>
      <c r="AP823" s="37">
        <v>1.4900749425206663E-2</v>
      </c>
      <c r="AQ823" s="37">
        <v>1.4254097834147937E-2</v>
      </c>
      <c r="AR823" s="37">
        <v>1.2593996278851088E-2</v>
      </c>
      <c r="AS823" s="37">
        <v>1.2227285626053717E-2</v>
      </c>
      <c r="AT823" s="37">
        <v>1.2919425185494101E-2</v>
      </c>
      <c r="AU823" s="37">
        <v>1.2628888869788937E-2</v>
      </c>
      <c r="AV823" s="36">
        <v>1.2544231977890468E-2</v>
      </c>
      <c r="AW823" s="35">
        <v>1.2792664513219998E-2</v>
      </c>
      <c r="AX823" s="35">
        <v>1.2761517494414525E-2</v>
      </c>
      <c r="AY823" s="35">
        <v>1.2827815220590282E-2</v>
      </c>
      <c r="AZ823" s="35">
        <v>1.2905061159060467E-2</v>
      </c>
      <c r="BA823" s="35">
        <v>1.2962364233276671E-2</v>
      </c>
      <c r="BB823" s="35">
        <v>1.2964232232868442E-2</v>
      </c>
      <c r="BC823" s="35">
        <v>1.2907549452160367E-2</v>
      </c>
      <c r="BD823" s="35">
        <v>1.2853587035497832E-2</v>
      </c>
      <c r="BE823" s="35">
        <v>1.2802214157416964E-2</v>
      </c>
      <c r="BF823" s="35">
        <v>1.2754452844212951E-2</v>
      </c>
      <c r="BG823" s="35">
        <v>1.2706699789285014E-2</v>
      </c>
      <c r="BH823" s="35">
        <v>1.3963050197938504E-2</v>
      </c>
      <c r="BI823" s="35">
        <v>1.5427231666125864E-2</v>
      </c>
      <c r="BJ823" s="35">
        <v>1.5510150821669582E-2</v>
      </c>
      <c r="BK823" s="35">
        <v>1.3966880949910193E-2</v>
      </c>
      <c r="BL823" s="35">
        <v>1.3939047843251645E-2</v>
      </c>
      <c r="BM823" s="35">
        <v>1.3911715433274427E-2</v>
      </c>
      <c r="BN823" s="35">
        <v>1.4061715433274429E-2</v>
      </c>
      <c r="BO823" s="35">
        <v>1.4236715433274427E-2</v>
      </c>
      <c r="BP823" s="35"/>
      <c r="BQ823" s="345">
        <v>4.1347561836755427E-2</v>
      </c>
      <c r="BR823" s="345">
        <v>3.4996096799375494E-2</v>
      </c>
      <c r="BS823" s="345">
        <v>2.1729122548568271E-2</v>
      </c>
      <c r="BT823" s="345">
        <v>1.6611295681063124E-2</v>
      </c>
      <c r="BU823" s="345">
        <v>1.3024369900659773E-2</v>
      </c>
      <c r="BV823" s="345">
        <v>1.773954986952057E-2</v>
      </c>
      <c r="BW823" s="345">
        <v>1.9122105843439912E-2</v>
      </c>
      <c r="BX823" s="345">
        <v>1.9502359429670359E-2</v>
      </c>
      <c r="BY823" s="345">
        <v>1.6053914009006229E-2</v>
      </c>
      <c r="BZ823" s="345">
        <v>1.3555764793824436E-2</v>
      </c>
      <c r="CA823" s="35">
        <v>1.4718155456538652E-2</v>
      </c>
      <c r="CB823" s="35">
        <v>1.3320747493283517E-2</v>
      </c>
      <c r="CC823" s="35">
        <v>1.2142645420444208E-2</v>
      </c>
      <c r="CD823" s="35">
        <v>1.1188400746504771E-2</v>
      </c>
      <c r="CE823" s="35">
        <v>9.3316508973224944E-3</v>
      </c>
      <c r="CF823" s="35">
        <v>8.2835599532722261E-3</v>
      </c>
      <c r="CG823" s="35">
        <v>1.3942173479561316E-2</v>
      </c>
      <c r="CH823" s="35">
        <v>1.9694444565316716E-2</v>
      </c>
      <c r="CI823" s="35">
        <v>2.1531622965351559E-2</v>
      </c>
      <c r="CJ823" s="35">
        <v>1.9583808896104941E-2</v>
      </c>
      <c r="CK823" s="35">
        <v>1.7804806277587053E-2</v>
      </c>
      <c r="CL823" s="37">
        <v>1.5136397926654175E-2</v>
      </c>
      <c r="CM823" s="37">
        <v>1.2732894119170566E-2</v>
      </c>
      <c r="CN823" s="37">
        <v>1.1485313837558721E-2</v>
      </c>
      <c r="CO823" s="37">
        <v>1.1882408751452279E-2</v>
      </c>
      <c r="CP823" s="37">
        <v>1.1275583818735639E-2</v>
      </c>
      <c r="CQ823" s="37">
        <v>1.0199063925588009E-2</v>
      </c>
      <c r="CR823" s="37">
        <v>1.1700446236589166E-2</v>
      </c>
      <c r="CS823" s="37">
        <v>1.6384427156097846E-2</v>
      </c>
      <c r="CT823" s="37">
        <v>1.4254097834147937E-2</v>
      </c>
      <c r="CU823" s="37">
        <v>1.2227285626053717E-2</v>
      </c>
      <c r="CV823" s="36">
        <v>1.2628888869788937E-2</v>
      </c>
      <c r="CW823" s="35">
        <v>1.2792664513219998E-2</v>
      </c>
      <c r="CX823" s="35">
        <v>1.2827815220590282E-2</v>
      </c>
      <c r="CY823" s="35">
        <v>1.2962364233276671E-2</v>
      </c>
      <c r="CZ823" s="35">
        <v>1.2907549452160367E-2</v>
      </c>
      <c r="DA823" s="35">
        <v>1.2802214157416964E-2</v>
      </c>
      <c r="DB823" s="35">
        <v>1.2706699789285014E-2</v>
      </c>
      <c r="DC823" s="35">
        <v>1.5427231666125864E-2</v>
      </c>
      <c r="DD823" s="35">
        <v>1.3966880949910193E-2</v>
      </c>
      <c r="DE823" s="35">
        <v>1.3911715433274427E-2</v>
      </c>
      <c r="DF823" s="35">
        <v>1.4236715433274427E-2</v>
      </c>
    </row>
    <row r="824" spans="1:110" ht="12" outlineLevel="1">
      <c r="A824" s="1" t="s">
        <v>831</v>
      </c>
      <c r="B824" s="15" t="s">
        <v>373</v>
      </c>
      <c r="C824" s="345">
        <v>1.3555764793824436E-2</v>
      </c>
      <c r="D824" s="345">
        <v>1.5765998611705977E-2</v>
      </c>
      <c r="E824" s="345">
        <v>1.4718155456538652E-2</v>
      </c>
      <c r="F824" s="345">
        <v>1.4050860346022624E-2</v>
      </c>
      <c r="G824" s="345">
        <v>1.3262006782156095E-2</v>
      </c>
      <c r="H824" s="345">
        <v>1.2070456657552495E-2</v>
      </c>
      <c r="I824" s="345">
        <v>1.2081519749420332E-2</v>
      </c>
      <c r="J824" s="345">
        <v>1.1459307764265668E-2</v>
      </c>
      <c r="K824" s="345">
        <v>1.1112477399315946E-2</v>
      </c>
      <c r="L824" s="345">
        <v>9.6205121979770474E-3</v>
      </c>
      <c r="M824" s="35">
        <v>9.2665442783460093E-3</v>
      </c>
      <c r="N824" s="35">
        <v>9.2540471485318479E-3</v>
      </c>
      <c r="O824" s="35">
        <v>8.2249161873041033E-3</v>
      </c>
      <c r="P824" s="35">
        <v>9.9294916369454846E-3</v>
      </c>
      <c r="Q824" s="35">
        <v>1.2692695890848624E-2</v>
      </c>
      <c r="R824" s="35">
        <v>1.4536353344108913E-2</v>
      </c>
      <c r="S824" s="35">
        <v>1.7955401100492326E-2</v>
      </c>
      <c r="T824" s="37">
        <v>1.8597290338647418E-2</v>
      </c>
      <c r="U824" s="35">
        <v>1.9028012200937021E-2</v>
      </c>
      <c r="V824" s="35">
        <v>1.8521321848650449E-2</v>
      </c>
      <c r="W824" s="35">
        <v>1.7405809318340931E-2</v>
      </c>
      <c r="X824" s="35">
        <v>1.6528809560589251E-2</v>
      </c>
      <c r="Y824" s="37">
        <v>1.5120668801375454E-2</v>
      </c>
      <c r="Z824" s="37">
        <v>1.3367143857995796E-2</v>
      </c>
      <c r="AA824" s="37">
        <v>1.2833625631880683E-2</v>
      </c>
      <c r="AB824" s="37">
        <v>1.1955979375727671E-2</v>
      </c>
      <c r="AC824" s="37">
        <v>1.0878795338686523E-2</v>
      </c>
      <c r="AD824" s="37">
        <v>1.0411954619594016E-2</v>
      </c>
      <c r="AE824" s="37">
        <v>9.9941035535419734E-3</v>
      </c>
      <c r="AF824" s="37">
        <v>1.0557894601310723E-2</v>
      </c>
      <c r="AG824" s="37">
        <v>1.0237846992770118E-2</v>
      </c>
      <c r="AH824" s="37">
        <v>1.0210558130163208E-2</v>
      </c>
      <c r="AI824" s="37">
        <v>9.7107485560439053E-3</v>
      </c>
      <c r="AJ824" s="37">
        <v>9.0833979741116837E-3</v>
      </c>
      <c r="AK824" s="37">
        <v>8.8096822066424437E-3</v>
      </c>
      <c r="AL824" s="37">
        <v>1.0772386958068692E-2</v>
      </c>
      <c r="AM824" s="37">
        <v>1.0048901456011474E-2</v>
      </c>
      <c r="AN824" s="37">
        <v>1.2458464361754252E-2</v>
      </c>
      <c r="AO824" s="37">
        <v>1.3738285543942019E-2</v>
      </c>
      <c r="AP824" s="37">
        <v>1.2480216382550237E-2</v>
      </c>
      <c r="AQ824" s="37">
        <v>1.1733151319679105E-2</v>
      </c>
      <c r="AR824" s="37">
        <v>1.0031741682080793E-2</v>
      </c>
      <c r="AS824" s="37">
        <v>9.6653310403370888E-3</v>
      </c>
      <c r="AT824" s="37">
        <v>1.0243069109144597E-2</v>
      </c>
      <c r="AU824" s="37">
        <v>1.0172456366669974E-2</v>
      </c>
      <c r="AV824" s="36">
        <v>1.0099843106989942E-2</v>
      </c>
      <c r="AW824" s="35">
        <v>1.0273279632526951E-2</v>
      </c>
      <c r="AX824" s="35">
        <v>1.0247045163795158E-2</v>
      </c>
      <c r="AY824" s="35">
        <v>1.029016952005273E-2</v>
      </c>
      <c r="AZ824" s="35">
        <v>1.035052547106249E-2</v>
      </c>
      <c r="BA824" s="35">
        <v>1.0397899112147935E-2</v>
      </c>
      <c r="BB824" s="35">
        <v>1.0401743640172677E-2</v>
      </c>
      <c r="BC824" s="35">
        <v>1.0359494852015193E-2</v>
      </c>
      <c r="BD824" s="35">
        <v>1.0319415968623926E-2</v>
      </c>
      <c r="BE824" s="35">
        <v>1.0281403744592561E-2</v>
      </c>
      <c r="BF824" s="35">
        <v>1.0246280962642485E-2</v>
      </c>
      <c r="BG824" s="35">
        <v>1.0211154527778833E-2</v>
      </c>
      <c r="BH824" s="35">
        <v>1.1169935939248784E-2</v>
      </c>
      <c r="BI824" s="35">
        <v>1.2288128339488389E-2</v>
      </c>
      <c r="BJ824" s="35">
        <v>1.2415734213841161E-2</v>
      </c>
      <c r="BK824" s="35">
        <v>1.1238897461732587E-2</v>
      </c>
      <c r="BL824" s="35">
        <v>1.1220590323288581E-2</v>
      </c>
      <c r="BM824" s="35">
        <v>1.1202696182315655E-2</v>
      </c>
      <c r="BN824" s="35">
        <v>1.1323486780384397E-2</v>
      </c>
      <c r="BO824" s="35">
        <v>1.1464409144797925E-2</v>
      </c>
      <c r="BP824" s="35"/>
      <c r="BQ824" s="345">
        <v>4.1347561836755427E-2</v>
      </c>
      <c r="BR824" s="345">
        <v>3.4996096799375494E-2</v>
      </c>
      <c r="BS824" s="345">
        <v>2.1729122548568271E-2</v>
      </c>
      <c r="BT824" s="345">
        <v>1.6611295681063124E-2</v>
      </c>
      <c r="BU824" s="345">
        <v>1.3024369900659773E-2</v>
      </c>
      <c r="BV824" s="345">
        <v>1.773954986952057E-2</v>
      </c>
      <c r="BW824" s="345">
        <v>1.9122105843439912E-2</v>
      </c>
      <c r="BX824" s="345">
        <v>1.9502359429670359E-2</v>
      </c>
      <c r="BY824" s="345">
        <v>1.6053914009006229E-2</v>
      </c>
      <c r="BZ824" s="345">
        <v>1.3555764793824436E-2</v>
      </c>
      <c r="CA824" s="35">
        <v>1.4718155456538652E-2</v>
      </c>
      <c r="CB824" s="35">
        <v>1.3262006782156095E-2</v>
      </c>
      <c r="CC824" s="35">
        <v>1.2081519749420332E-2</v>
      </c>
      <c r="CD824" s="35">
        <v>1.1112477399315946E-2</v>
      </c>
      <c r="CE824" s="35">
        <v>9.2665442783460093E-3</v>
      </c>
      <c r="CF824" s="35">
        <v>8.2249161873041033E-3</v>
      </c>
      <c r="CG824" s="35">
        <v>1.2692695890848624E-2</v>
      </c>
      <c r="CH824" s="35">
        <v>1.7955401100492326E-2</v>
      </c>
      <c r="CI824" s="35">
        <v>1.9028012200937021E-2</v>
      </c>
      <c r="CJ824" s="35">
        <v>1.7405809318340931E-2</v>
      </c>
      <c r="CK824" s="35">
        <v>1.5120668801375454E-2</v>
      </c>
      <c r="CL824" s="37">
        <v>1.2833625631880683E-2</v>
      </c>
      <c r="CM824" s="37">
        <v>1.0878795338686523E-2</v>
      </c>
      <c r="CN824" s="37">
        <v>9.9941035535419734E-3</v>
      </c>
      <c r="CO824" s="37">
        <v>1.0237846992770118E-2</v>
      </c>
      <c r="CP824" s="37">
        <v>9.7107485560439053E-3</v>
      </c>
      <c r="CQ824" s="37">
        <v>8.8096822066424437E-3</v>
      </c>
      <c r="CR824" s="37">
        <v>1.0048901456011474E-2</v>
      </c>
      <c r="CS824" s="37">
        <v>1.3738285543942019E-2</v>
      </c>
      <c r="CT824" s="37">
        <v>1.1733151319679105E-2</v>
      </c>
      <c r="CU824" s="37">
        <v>9.6653310403370888E-3</v>
      </c>
      <c r="CV824" s="36">
        <v>1.0172456366669974E-2</v>
      </c>
      <c r="CW824" s="35">
        <v>1.0273279632526951E-2</v>
      </c>
      <c r="CX824" s="35">
        <v>1.029016952005273E-2</v>
      </c>
      <c r="CY824" s="35">
        <v>1.0397899112147935E-2</v>
      </c>
      <c r="CZ824" s="35">
        <v>1.0359494852015193E-2</v>
      </c>
      <c r="DA824" s="35">
        <v>1.0281403744592561E-2</v>
      </c>
      <c r="DB824" s="35">
        <v>1.0211154527778833E-2</v>
      </c>
      <c r="DC824" s="35">
        <v>1.2288128339488389E-2</v>
      </c>
      <c r="DD824" s="35">
        <v>1.1238897461732587E-2</v>
      </c>
      <c r="DE824" s="35">
        <v>1.1202696182315655E-2</v>
      </c>
      <c r="DF824" s="35">
        <v>1.1464409144797925E-2</v>
      </c>
    </row>
    <row r="825" spans="1:110" ht="12" outlineLevel="1">
      <c r="A825" s="1" t="s">
        <v>2207</v>
      </c>
      <c r="B825" s="15" t="s">
        <v>2204</v>
      </c>
      <c r="C825" s="189">
        <v>2.1595996839610217E-2</v>
      </c>
      <c r="D825" s="189">
        <v>2.4963169094778196E-2</v>
      </c>
      <c r="E825" s="189">
        <v>2.4017542847250273E-2</v>
      </c>
      <c r="F825" s="189">
        <v>2.3021709648610209E-2</v>
      </c>
      <c r="G825" s="189">
        <v>2.1799483639584751E-2</v>
      </c>
      <c r="H825" s="189">
        <v>2.0528984514183911E-2</v>
      </c>
      <c r="I825" s="189">
        <v>2.1475636541120963E-2</v>
      </c>
      <c r="J825" s="189">
        <v>2.0494916816757861E-2</v>
      </c>
      <c r="K825" s="189">
        <v>1.9788169269946313E-2</v>
      </c>
      <c r="L825" s="189">
        <v>1.748138811202584E-2</v>
      </c>
      <c r="M825" s="189">
        <v>1.6786064399366564E-2</v>
      </c>
      <c r="N825" s="189">
        <v>1.6903668052213227E-2</v>
      </c>
      <c r="O825" s="189">
        <v>1.508E-2</v>
      </c>
      <c r="P825" s="189">
        <v>1.5597930455311576E-2</v>
      </c>
      <c r="Q825" s="189">
        <v>1.9474044819269055E-2</v>
      </c>
      <c r="R825" s="189">
        <v>2.2946839540726002E-2</v>
      </c>
      <c r="S825" s="189">
        <v>2.7594700549333301E-2</v>
      </c>
      <c r="T825" s="189">
        <v>2.8674234682818375E-2</v>
      </c>
      <c r="U825" s="189">
        <v>3.0031536697247705E-2</v>
      </c>
      <c r="V825" s="189">
        <v>2.7483265196100455E-2</v>
      </c>
      <c r="W825" s="189">
        <v>2.5867239960718741E-2</v>
      </c>
      <c r="X825" s="189">
        <v>2.4220474223303718E-2</v>
      </c>
      <c r="Y825" s="189">
        <v>2.2454341684026144E-2</v>
      </c>
      <c r="Z825" s="189">
        <v>1.9549881213616001E-2</v>
      </c>
      <c r="AA825" s="189">
        <v>1.8578889875059738E-2</v>
      </c>
      <c r="AB825" s="189">
        <v>1.7337160130561316E-2</v>
      </c>
      <c r="AC825" s="189">
        <v>1.5475356684740267E-2</v>
      </c>
      <c r="AD825" s="189">
        <v>1.4732453092425296E-2</v>
      </c>
      <c r="AE825" s="189">
        <v>1.4699586128157556E-2</v>
      </c>
      <c r="AF825" s="189">
        <v>1.6260162601626018E-2</v>
      </c>
      <c r="AG825" s="189">
        <v>1.6316198009915319E-2</v>
      </c>
      <c r="AH825" s="189">
        <v>1.6283609546838475E-2</v>
      </c>
      <c r="AI825" s="189">
        <v>1.5430556401974526E-2</v>
      </c>
      <c r="AJ825" s="189">
        <v>1.4389900251372944E-2</v>
      </c>
      <c r="AK825" s="189">
        <v>1.3158347314634696E-2</v>
      </c>
      <c r="AL825" s="189">
        <v>1.6150694415544616E-2</v>
      </c>
      <c r="AM825" s="189">
        <v>1.5264839500595657E-2</v>
      </c>
      <c r="AN825" s="189">
        <v>1.7966745141366872E-2</v>
      </c>
      <c r="AO825" s="189">
        <v>2.2436311909996121E-2</v>
      </c>
      <c r="AP825" s="189">
        <v>2.0450439600144525E-2</v>
      </c>
      <c r="AQ825" s="189">
        <v>1.8763067273398108E-2</v>
      </c>
      <c r="AR825" s="189">
        <v>1.5699322066606868E-2</v>
      </c>
      <c r="AS825" s="189">
        <v>1.4698996655518395E-2</v>
      </c>
      <c r="AT825" s="189">
        <v>1.4865292657325181E-2</v>
      </c>
      <c r="AU825" s="189">
        <v>1.4541184077271483E-2</v>
      </c>
      <c r="AV825" s="235">
        <v>1.4542321115476875E-2</v>
      </c>
      <c r="AW825" s="189">
        <v>1.5009172809318704E-2</v>
      </c>
      <c r="AX825" s="189">
        <v>1.4975947292300468E-2</v>
      </c>
      <c r="AY825" s="189">
        <v>1.5147223577846387E-2</v>
      </c>
      <c r="AZ825" s="189">
        <v>1.524394066476731E-2</v>
      </c>
      <c r="BA825" s="189">
        <v>1.5285692107718902E-2</v>
      </c>
      <c r="BB825" s="189">
        <v>1.5253375439984628E-2</v>
      </c>
      <c r="BC825" s="189">
        <v>1.5144499928088294E-2</v>
      </c>
      <c r="BD825" s="189">
        <v>1.5039218625128151E-2</v>
      </c>
      <c r="BE825" s="189">
        <v>1.4937362999490816E-2</v>
      </c>
      <c r="BF825" s="189">
        <v>1.4840056394680097E-2</v>
      </c>
      <c r="BG825" s="189">
        <v>1.4743245300370163E-2</v>
      </c>
      <c r="BH825" s="189">
        <v>1.6445978704532266E-2</v>
      </c>
      <c r="BI825" s="189">
        <v>1.8443485101445441E-2</v>
      </c>
      <c r="BJ825" s="189">
        <v>1.8103238480937443E-2</v>
      </c>
      <c r="BK825" s="189">
        <v>1.5958733408167312E-2</v>
      </c>
      <c r="BL825" s="189">
        <v>1.587687277292078E-2</v>
      </c>
      <c r="BM825" s="189">
        <v>1.5795984041532169E-2</v>
      </c>
      <c r="BN825" s="189">
        <v>1.5956476708635373E-2</v>
      </c>
      <c r="BO825" s="189">
        <v>1.6144548502945451E-2</v>
      </c>
      <c r="BQ825" s="189">
        <v>5.2995106336357609E-2</v>
      </c>
      <c r="BR825" s="189">
        <v>4.5424377985946104E-2</v>
      </c>
      <c r="BS825" s="189">
        <v>2.8829709259711702E-2</v>
      </c>
      <c r="BT825" s="189">
        <v>2.342749083643644E-2</v>
      </c>
      <c r="BU825" s="189">
        <v>1.8624534829955314E-2</v>
      </c>
      <c r="BV825" s="189">
        <v>2.6589881708119854E-2</v>
      </c>
      <c r="BW825" s="189">
        <v>2.7821959643015311E-2</v>
      </c>
      <c r="BX825" s="189">
        <v>2.797899752054062E-2</v>
      </c>
      <c r="BY825" s="189">
        <v>2.4298018346054197E-2</v>
      </c>
      <c r="BZ825" s="189">
        <v>2.1595996839610217E-2</v>
      </c>
      <c r="CA825" s="189">
        <v>2.4017542847250273E-2</v>
      </c>
      <c r="CB825" s="189">
        <v>2.1799483639584751E-2</v>
      </c>
      <c r="CC825" s="189">
        <v>2.1475636541120963E-2</v>
      </c>
      <c r="CD825" s="189">
        <v>1.9788169269946313E-2</v>
      </c>
      <c r="CE825" s="189">
        <v>1.6786064399366564E-2</v>
      </c>
      <c r="CF825" s="189">
        <v>1.508E-2</v>
      </c>
      <c r="CG825" s="189">
        <v>1.9474044819269055E-2</v>
      </c>
      <c r="CH825" s="189">
        <v>2.7594700549333301E-2</v>
      </c>
      <c r="CI825" s="189">
        <v>3.0031536697247705E-2</v>
      </c>
      <c r="CJ825" s="189">
        <v>2.5867239960718741E-2</v>
      </c>
      <c r="CK825" s="189">
        <v>2.2454341684026144E-2</v>
      </c>
      <c r="CL825" s="189">
        <v>1.8578889875059738E-2</v>
      </c>
      <c r="CM825" s="189">
        <v>1.5475356684740267E-2</v>
      </c>
      <c r="CN825" s="189">
        <v>1.4699586128157556E-2</v>
      </c>
      <c r="CO825" s="189">
        <v>1.6316198009915319E-2</v>
      </c>
      <c r="CP825" s="189">
        <v>1.5430556401974526E-2</v>
      </c>
      <c r="CQ825" s="189">
        <v>1.3158347314634696E-2</v>
      </c>
      <c r="CR825" s="189">
        <v>1.5264839500595657E-2</v>
      </c>
      <c r="CS825" s="189">
        <v>2.2436311909996121E-2</v>
      </c>
      <c r="CT825" s="189">
        <v>1.8763067273398108E-2</v>
      </c>
      <c r="CU825" s="189">
        <v>1.4698996655518395E-2</v>
      </c>
      <c r="CV825" s="235">
        <v>1.4541184077271483E-2</v>
      </c>
      <c r="CW825" s="189">
        <v>1.5009172809318704E-2</v>
      </c>
      <c r="CX825" s="189">
        <v>1.5147223577846387E-2</v>
      </c>
      <c r="CY825" s="189">
        <v>1.5285692107718902E-2</v>
      </c>
      <c r="CZ825" s="189">
        <v>1.5144499928088294E-2</v>
      </c>
      <c r="DA825" s="189">
        <v>1.4937362999490816E-2</v>
      </c>
      <c r="DB825" s="189">
        <v>1.4743245300370163E-2</v>
      </c>
      <c r="DC825" s="189">
        <v>1.8443485101445441E-2</v>
      </c>
      <c r="DD825" s="189">
        <v>1.5958733408167312E-2</v>
      </c>
      <c r="DE825" s="189">
        <v>1.5795984041532169E-2</v>
      </c>
      <c r="DF825" s="189">
        <v>1.6144548502945451E-2</v>
      </c>
    </row>
    <row r="826" spans="1:110" ht="12" outlineLevel="1">
      <c r="A826" s="1" t="s">
        <v>2208</v>
      </c>
      <c r="B826" s="15" t="s">
        <v>2205</v>
      </c>
      <c r="C826" s="189">
        <v>1.3555764793824436E-2</v>
      </c>
      <c r="D826" s="189">
        <v>1.5765998611705977E-2</v>
      </c>
      <c r="E826" s="189">
        <v>1.4718155456538652E-2</v>
      </c>
      <c r="F826" s="189">
        <v>1.4050860346022624E-2</v>
      </c>
      <c r="G826" s="189">
        <v>1.3320747493283517E-2</v>
      </c>
      <c r="H826" s="189">
        <v>1.2127067052372523E-2</v>
      </c>
      <c r="I826" s="189">
        <v>1.2142645420444208E-2</v>
      </c>
      <c r="J826" s="189">
        <v>1.1523048496628512E-2</v>
      </c>
      <c r="K826" s="189">
        <v>1.1188400746504771E-2</v>
      </c>
      <c r="L826" s="189">
        <v>9.6899563318777297E-3</v>
      </c>
      <c r="M826" s="189">
        <v>9.3316508973224944E-3</v>
      </c>
      <c r="N826" s="189">
        <v>9.3356692643830931E-3</v>
      </c>
      <c r="O826" s="189">
        <v>8.2835599532722261E-3</v>
      </c>
      <c r="P826" s="189">
        <v>1.0658704742642043E-2</v>
      </c>
      <c r="Q826" s="189">
        <v>1.3942173479561316E-2</v>
      </c>
      <c r="R826" s="189">
        <v>1.5839702059975948E-2</v>
      </c>
      <c r="S826" s="189">
        <v>1.9694444565316716E-2</v>
      </c>
      <c r="T826" s="189">
        <v>2.100964265456608E-2</v>
      </c>
      <c r="U826" s="189">
        <v>2.1531622965351559E-2</v>
      </c>
      <c r="V826" s="189">
        <v>2.0982139029179493E-2</v>
      </c>
      <c r="W826" s="189">
        <v>1.9583808896104941E-2</v>
      </c>
      <c r="X826" s="189">
        <v>1.8819579077808648E-2</v>
      </c>
      <c r="Y826" s="189">
        <v>1.7804806277587053E-2</v>
      </c>
      <c r="Z826" s="189">
        <v>1.568125450036003E-2</v>
      </c>
      <c r="AA826" s="189">
        <v>1.5136397926654175E-2</v>
      </c>
      <c r="AB826" s="189">
        <v>1.4125792590263586E-2</v>
      </c>
      <c r="AC826" s="189">
        <v>1.2732894119170566E-2</v>
      </c>
      <c r="AD826" s="189">
        <v>1.1857626060871894E-2</v>
      </c>
      <c r="AE826" s="189">
        <v>1.1485313837558721E-2</v>
      </c>
      <c r="AF826" s="189">
        <v>1.2264139655646888E-2</v>
      </c>
      <c r="AG826" s="189">
        <v>1.1882408751452279E-2</v>
      </c>
      <c r="AH826" s="189">
        <v>1.1860424974181487E-2</v>
      </c>
      <c r="AI826" s="189">
        <v>1.1275583818735639E-2</v>
      </c>
      <c r="AJ826" s="189">
        <v>1.0486491532048701E-2</v>
      </c>
      <c r="AK826" s="189">
        <v>1.0199063925588009E-2</v>
      </c>
      <c r="AL826" s="189">
        <v>1.2355183301835189E-2</v>
      </c>
      <c r="AM826" s="189">
        <v>1.1700446236589166E-2</v>
      </c>
      <c r="AN826" s="189">
        <v>1.4492340614046223E-2</v>
      </c>
      <c r="AO826" s="189">
        <v>1.6384427156097846E-2</v>
      </c>
      <c r="AP826" s="189">
        <v>1.4900749425206663E-2</v>
      </c>
      <c r="AQ826" s="189">
        <v>1.4254097834147937E-2</v>
      </c>
      <c r="AR826" s="189">
        <v>1.2593996278851088E-2</v>
      </c>
      <c r="AS826" s="189">
        <v>1.2227285626053717E-2</v>
      </c>
      <c r="AT826" s="189">
        <v>1.2919425185494101E-2</v>
      </c>
      <c r="AU826" s="189">
        <v>1.2628888869788937E-2</v>
      </c>
      <c r="AV826" s="235">
        <v>1.2544231977890468E-2</v>
      </c>
      <c r="AW826" s="189">
        <v>1.3373385648429921E-2</v>
      </c>
      <c r="AX826" s="189">
        <v>1.333272397066817E-2</v>
      </c>
      <c r="AY826" s="189">
        <v>1.3393019106441761E-2</v>
      </c>
      <c r="AZ826" s="189">
        <v>1.3463843032177262E-2</v>
      </c>
      <c r="BA826" s="189">
        <v>1.35136062969398E-2</v>
      </c>
      <c r="BB826" s="189">
        <v>1.3506368400147907E-2</v>
      </c>
      <c r="BC826" s="189">
        <v>1.343923624037148E-2</v>
      </c>
      <c r="BD826" s="189">
        <v>1.3374990185321513E-2</v>
      </c>
      <c r="BE826" s="189">
        <v>1.3313497934024685E-2</v>
      </c>
      <c r="BF826" s="189">
        <v>1.3255779997003867E-2</v>
      </c>
      <c r="BG826" s="189">
        <v>1.319823151526257E-2</v>
      </c>
      <c r="BH826" s="189">
        <v>1.443448076316413E-2</v>
      </c>
      <c r="BI826" s="189">
        <v>1.587959818384576E-2</v>
      </c>
      <c r="BJ826" s="189">
        <v>1.596250836561006E-2</v>
      </c>
      <c r="BK826" s="189">
        <v>1.4418669013212553E-2</v>
      </c>
      <c r="BL826" s="189">
        <v>1.4380477085715396E-2</v>
      </c>
      <c r="BM826" s="189">
        <v>1.4343000479460064E-2</v>
      </c>
      <c r="BN826" s="189">
        <v>1.4488730330487932E-2</v>
      </c>
      <c r="BO826" s="189">
        <v>1.4659502460218488E-2</v>
      </c>
      <c r="BQ826" s="189">
        <v>4.1347561836755427E-2</v>
      </c>
      <c r="BR826" s="189">
        <v>3.4996096799375494E-2</v>
      </c>
      <c r="BS826" s="189">
        <v>2.1729122548568271E-2</v>
      </c>
      <c r="BT826" s="189">
        <v>1.6611295681063124E-2</v>
      </c>
      <c r="BU826" s="189">
        <v>1.3024369900659773E-2</v>
      </c>
      <c r="BV826" s="189">
        <v>1.773954986952057E-2</v>
      </c>
      <c r="BW826" s="189">
        <v>1.9122105843439912E-2</v>
      </c>
      <c r="BX826" s="189">
        <v>1.9502359429670359E-2</v>
      </c>
      <c r="BY826" s="189">
        <v>1.6053914009006229E-2</v>
      </c>
      <c r="BZ826" s="189">
        <v>1.3555764793824436E-2</v>
      </c>
      <c r="CA826" s="189">
        <v>1.4718155456538652E-2</v>
      </c>
      <c r="CB826" s="189">
        <v>1.3320747493283517E-2</v>
      </c>
      <c r="CC826" s="189">
        <v>1.2142645420444208E-2</v>
      </c>
      <c r="CD826" s="189">
        <v>1.1188400746504771E-2</v>
      </c>
      <c r="CE826" s="189">
        <v>9.3316508973224944E-3</v>
      </c>
      <c r="CF826" s="189">
        <v>8.2835599532722261E-3</v>
      </c>
      <c r="CG826" s="189">
        <v>1.3942173479561316E-2</v>
      </c>
      <c r="CH826" s="189">
        <v>1.9694444565316716E-2</v>
      </c>
      <c r="CI826" s="189">
        <v>2.1531622965351559E-2</v>
      </c>
      <c r="CJ826" s="189">
        <v>1.9583808896104941E-2</v>
      </c>
      <c r="CK826" s="189">
        <v>1.7804806277587053E-2</v>
      </c>
      <c r="CL826" s="189">
        <v>1.5136397926654175E-2</v>
      </c>
      <c r="CM826" s="189">
        <v>1.2732894119170566E-2</v>
      </c>
      <c r="CN826" s="189">
        <v>1.1485313837558721E-2</v>
      </c>
      <c r="CO826" s="189">
        <v>1.1882408751452279E-2</v>
      </c>
      <c r="CP826" s="189">
        <v>1.1275583818735639E-2</v>
      </c>
      <c r="CQ826" s="189">
        <v>1.0199063925588009E-2</v>
      </c>
      <c r="CR826" s="189">
        <v>1.1700446236589166E-2</v>
      </c>
      <c r="CS826" s="189">
        <v>1.6384427156097846E-2</v>
      </c>
      <c r="CT826" s="189">
        <v>1.4254097834147937E-2</v>
      </c>
      <c r="CU826" s="189">
        <v>1.2227285626053717E-2</v>
      </c>
      <c r="CV826" s="235">
        <v>1.2628888869788937E-2</v>
      </c>
      <c r="CW826" s="189">
        <v>1.3373385648429921E-2</v>
      </c>
      <c r="CX826" s="189">
        <v>1.3393019106441761E-2</v>
      </c>
      <c r="CY826" s="189">
        <v>1.35136062969398E-2</v>
      </c>
      <c r="CZ826" s="189">
        <v>1.343923624037148E-2</v>
      </c>
      <c r="DA826" s="189">
        <v>1.3313497934024685E-2</v>
      </c>
      <c r="DB826" s="189">
        <v>1.319823151526257E-2</v>
      </c>
      <c r="DC826" s="189">
        <v>1.587959818384576E-2</v>
      </c>
      <c r="DD826" s="189">
        <v>1.4418669013212553E-2</v>
      </c>
      <c r="DE826" s="189">
        <v>1.4343000479460064E-2</v>
      </c>
      <c r="DF826" s="189">
        <v>1.4659502460218488E-2</v>
      </c>
    </row>
    <row r="827" spans="1:110" ht="12" outlineLevel="1">
      <c r="A827" s="1" t="s">
        <v>2209</v>
      </c>
      <c r="B827" s="15" t="s">
        <v>2206</v>
      </c>
      <c r="C827" s="189">
        <v>1.3555764793824436E-2</v>
      </c>
      <c r="D827" s="189">
        <v>1.5765998611705977E-2</v>
      </c>
      <c r="E827" s="189">
        <v>1.4718155456538652E-2</v>
      </c>
      <c r="F827" s="189">
        <v>1.4050860346022624E-2</v>
      </c>
      <c r="G827" s="189">
        <v>1.3262006782156095E-2</v>
      </c>
      <c r="H827" s="189">
        <v>1.2070456657552495E-2</v>
      </c>
      <c r="I827" s="189">
        <v>1.2081519749420332E-2</v>
      </c>
      <c r="J827" s="189">
        <v>1.1459307764265668E-2</v>
      </c>
      <c r="K827" s="189">
        <v>1.1112477399315946E-2</v>
      </c>
      <c r="L827" s="189">
        <v>9.6205121979770474E-3</v>
      </c>
      <c r="M827" s="189">
        <v>9.2665442783460093E-3</v>
      </c>
      <c r="N827" s="189">
        <v>9.2540471485318479E-3</v>
      </c>
      <c r="O827" s="189">
        <v>8.2249161873041033E-3</v>
      </c>
      <c r="P827" s="189">
        <v>9.9294916369454846E-3</v>
      </c>
      <c r="Q827" s="189">
        <v>1.2692695890848624E-2</v>
      </c>
      <c r="R827" s="189">
        <v>1.4536353344108913E-2</v>
      </c>
      <c r="S827" s="189">
        <v>1.7955401100492326E-2</v>
      </c>
      <c r="T827" s="189">
        <v>1.8597290338647418E-2</v>
      </c>
      <c r="U827" s="189">
        <v>1.9028012200937021E-2</v>
      </c>
      <c r="V827" s="189">
        <v>1.8521321848650449E-2</v>
      </c>
      <c r="W827" s="189">
        <v>1.7405809318340931E-2</v>
      </c>
      <c r="X827" s="189">
        <v>1.6528809560589251E-2</v>
      </c>
      <c r="Y827" s="189">
        <v>1.5120668801375454E-2</v>
      </c>
      <c r="Z827" s="189">
        <v>1.3367143857995796E-2</v>
      </c>
      <c r="AA827" s="189">
        <v>1.2833625631880683E-2</v>
      </c>
      <c r="AB827" s="189">
        <v>1.1955979375727671E-2</v>
      </c>
      <c r="AC827" s="189">
        <v>1.0878795338686523E-2</v>
      </c>
      <c r="AD827" s="189">
        <v>1.0411954619594016E-2</v>
      </c>
      <c r="AE827" s="189">
        <v>9.9941035535419734E-3</v>
      </c>
      <c r="AF827" s="189">
        <v>1.0557894601310723E-2</v>
      </c>
      <c r="AG827" s="189">
        <v>1.0237846992770118E-2</v>
      </c>
      <c r="AH827" s="189">
        <v>1.0210558130163208E-2</v>
      </c>
      <c r="AI827" s="189">
        <v>9.7107485560439053E-3</v>
      </c>
      <c r="AJ827" s="189">
        <v>9.0833979741116837E-3</v>
      </c>
      <c r="AK827" s="189">
        <v>8.8096822066424437E-3</v>
      </c>
      <c r="AL827" s="189">
        <v>1.0772386958068692E-2</v>
      </c>
      <c r="AM827" s="189">
        <v>1.0048901456011474E-2</v>
      </c>
      <c r="AN827" s="189">
        <v>1.2458464361754252E-2</v>
      </c>
      <c r="AO827" s="189">
        <v>1.3738285543942019E-2</v>
      </c>
      <c r="AP827" s="189">
        <v>1.2480216382550237E-2</v>
      </c>
      <c r="AQ827" s="189">
        <v>1.1733151319679105E-2</v>
      </c>
      <c r="AR827" s="189">
        <v>1.0031741682080793E-2</v>
      </c>
      <c r="AS827" s="189">
        <v>9.6653310403370888E-3</v>
      </c>
      <c r="AT827" s="189">
        <v>1.0243069109144597E-2</v>
      </c>
      <c r="AU827" s="189">
        <v>1.0172456366669974E-2</v>
      </c>
      <c r="AV827" s="235">
        <v>1.0099843106989942E-2</v>
      </c>
      <c r="AW827" s="189">
        <v>1.0739633659427665E-2</v>
      </c>
      <c r="AX827" s="189">
        <v>1.0705703670715296E-2</v>
      </c>
      <c r="AY827" s="189">
        <v>1.0743562689410888E-2</v>
      </c>
      <c r="AZ827" s="189">
        <v>1.0798697388977249E-2</v>
      </c>
      <c r="BA827" s="189">
        <v>1.0840083829471879E-2</v>
      </c>
      <c r="BB827" s="189">
        <v>1.0836722073821041E-2</v>
      </c>
      <c r="BC827" s="189">
        <v>1.0786222370338636E-2</v>
      </c>
      <c r="BD827" s="189">
        <v>1.073802098335808E-2</v>
      </c>
      <c r="BE827" s="189">
        <v>1.0692013571199669E-2</v>
      </c>
      <c r="BF827" s="189">
        <v>1.0649021787704849E-2</v>
      </c>
      <c r="BG827" s="189">
        <v>1.0606151379242581E-2</v>
      </c>
      <c r="BH827" s="189">
        <v>1.1547063367620526E-2</v>
      </c>
      <c r="BI827" s="189">
        <v>1.264844819119808E-2</v>
      </c>
      <c r="BJ827" s="189">
        <v>1.2777842300330185E-2</v>
      </c>
      <c r="BK827" s="189">
        <v>1.1602443176491659E-2</v>
      </c>
      <c r="BL827" s="189">
        <v>1.1575929995130178E-2</v>
      </c>
      <c r="BM827" s="189">
        <v>1.1549997373428105E-2</v>
      </c>
      <c r="BN827" s="189">
        <v>1.1667349345842268E-2</v>
      </c>
      <c r="BO827" s="189">
        <v>1.1804867130399778E-2</v>
      </c>
      <c r="BQ827" s="189">
        <v>4.1347561836755427E-2</v>
      </c>
      <c r="BR827" s="189">
        <v>3.4996096799375494E-2</v>
      </c>
      <c r="BS827" s="189">
        <v>2.1729122548568271E-2</v>
      </c>
      <c r="BT827" s="189">
        <v>1.6611295681063124E-2</v>
      </c>
      <c r="BU827" s="189">
        <v>1.3024369900659773E-2</v>
      </c>
      <c r="BV827" s="189">
        <v>1.773954986952057E-2</v>
      </c>
      <c r="BW827" s="189">
        <v>1.9122105843439912E-2</v>
      </c>
      <c r="BX827" s="189">
        <v>1.9502359429670359E-2</v>
      </c>
      <c r="BY827" s="189">
        <v>1.6053914009006229E-2</v>
      </c>
      <c r="BZ827" s="189">
        <v>1.3555764793824436E-2</v>
      </c>
      <c r="CA827" s="189">
        <v>1.4718155456538652E-2</v>
      </c>
      <c r="CB827" s="189">
        <v>1.3262006782156095E-2</v>
      </c>
      <c r="CC827" s="189">
        <v>1.2081519749420332E-2</v>
      </c>
      <c r="CD827" s="189">
        <v>1.1112477399315946E-2</v>
      </c>
      <c r="CE827" s="189">
        <v>9.2665442783460093E-3</v>
      </c>
      <c r="CF827" s="189">
        <v>8.2249161873041033E-3</v>
      </c>
      <c r="CG827" s="189">
        <v>1.2692695890848624E-2</v>
      </c>
      <c r="CH827" s="189">
        <v>1.7955401100492326E-2</v>
      </c>
      <c r="CI827" s="189">
        <v>1.9028012200937021E-2</v>
      </c>
      <c r="CJ827" s="189">
        <v>1.7405809318340931E-2</v>
      </c>
      <c r="CK827" s="189">
        <v>1.5120668801375454E-2</v>
      </c>
      <c r="CL827" s="189">
        <v>1.2833625631880683E-2</v>
      </c>
      <c r="CM827" s="189">
        <v>1.0878795338686523E-2</v>
      </c>
      <c r="CN827" s="189">
        <v>9.9941035535419734E-3</v>
      </c>
      <c r="CO827" s="189">
        <v>1.0237846992770118E-2</v>
      </c>
      <c r="CP827" s="189">
        <v>9.7107485560439053E-3</v>
      </c>
      <c r="CQ827" s="189">
        <v>8.8096822066424437E-3</v>
      </c>
      <c r="CR827" s="189">
        <v>1.0048901456011474E-2</v>
      </c>
      <c r="CS827" s="189">
        <v>1.3738285543942019E-2</v>
      </c>
      <c r="CT827" s="189">
        <v>1.1733151319679105E-2</v>
      </c>
      <c r="CU827" s="189">
        <v>9.6653310403370888E-3</v>
      </c>
      <c r="CV827" s="235">
        <v>1.0172456366669974E-2</v>
      </c>
      <c r="CW827" s="189">
        <v>1.0739633659427665E-2</v>
      </c>
      <c r="CX827" s="189">
        <v>1.0743562689410888E-2</v>
      </c>
      <c r="CY827" s="189">
        <v>1.0840083829471879E-2</v>
      </c>
      <c r="CZ827" s="189">
        <v>1.0786222370338636E-2</v>
      </c>
      <c r="DA827" s="189">
        <v>1.0692013571199669E-2</v>
      </c>
      <c r="DB827" s="189">
        <v>1.0606151379242581E-2</v>
      </c>
      <c r="DC827" s="189">
        <v>1.264844819119808E-2</v>
      </c>
      <c r="DD827" s="189">
        <v>1.1602443176491659E-2</v>
      </c>
      <c r="DE827" s="189">
        <v>1.1549997373428105E-2</v>
      </c>
      <c r="DF827" s="189">
        <v>1.1804867130399778E-2</v>
      </c>
    </row>
    <row r="828" spans="1:110" ht="12" hidden="1" outlineLevel="2">
      <c r="A828" s="1" t="s">
        <v>182</v>
      </c>
      <c r="B828" s="15" t="s">
        <v>804</v>
      </c>
      <c r="AV828" s="200"/>
      <c r="CZ828" s="15"/>
      <c r="DA828" s="15"/>
      <c r="DB828" s="15"/>
      <c r="DC828" s="15"/>
      <c r="DD828" s="15"/>
      <c r="DE828" s="15"/>
      <c r="DF828" s="15"/>
    </row>
    <row r="829" spans="1:110" ht="12" hidden="1" outlineLevel="2">
      <c r="A829" s="1" t="s">
        <v>183</v>
      </c>
      <c r="B829" s="15" t="s">
        <v>804</v>
      </c>
      <c r="AV829" s="200"/>
      <c r="CZ829" s="15"/>
      <c r="DA829" s="15"/>
      <c r="DB829" s="15"/>
      <c r="DC829" s="15"/>
      <c r="DD829" s="15"/>
      <c r="DE829" s="15"/>
      <c r="DF829" s="15"/>
    </row>
    <row r="830" spans="1:110" ht="12" hidden="1" outlineLevel="2">
      <c r="A830" s="1" t="s">
        <v>184</v>
      </c>
      <c r="B830" s="15" t="s">
        <v>804</v>
      </c>
      <c r="AV830" s="200"/>
      <c r="CZ830" s="15"/>
      <c r="DA830" s="15"/>
      <c r="DB830" s="15"/>
      <c r="DC830" s="15"/>
      <c r="DD830" s="15"/>
      <c r="DE830" s="15"/>
      <c r="DF830" s="15"/>
    </row>
    <row r="831" spans="1:110" ht="12" hidden="1" outlineLevel="2">
      <c r="A831" s="1" t="s">
        <v>185</v>
      </c>
      <c r="B831" s="15" t="s">
        <v>804</v>
      </c>
      <c r="AV831" s="200"/>
      <c r="CZ831" s="15"/>
      <c r="DA831" s="15"/>
      <c r="DB831" s="15"/>
      <c r="DC831" s="15"/>
      <c r="DD831" s="15"/>
      <c r="DE831" s="15"/>
      <c r="DF831" s="15"/>
    </row>
    <row r="832" spans="1:110" ht="12" outlineLevel="1" collapsed="1">
      <c r="AJ832" s="15"/>
      <c r="AK832" s="15"/>
      <c r="AL832" s="15"/>
      <c r="AM832" s="15"/>
      <c r="AN832" s="15"/>
      <c r="AO832" s="15"/>
      <c r="AP832" s="15"/>
      <c r="AQ832" s="15"/>
      <c r="AR832" s="15"/>
      <c r="AS832" s="15"/>
      <c r="AT832" s="15"/>
      <c r="AU832" s="15"/>
      <c r="AV832" s="247"/>
      <c r="CZ832" s="15"/>
      <c r="DA832" s="15"/>
      <c r="DB832" s="15"/>
      <c r="DC832" s="15"/>
      <c r="DD832" s="15"/>
      <c r="DE832" s="15"/>
      <c r="DF832" s="15"/>
    </row>
    <row r="833" spans="1:110" s="17" customFormat="1" ht="12" outlineLevel="1">
      <c r="A833" s="1"/>
      <c r="B833" s="17" t="s">
        <v>623</v>
      </c>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411"/>
      <c r="AG833" s="411"/>
      <c r="AH833" s="411"/>
      <c r="AI833" s="411"/>
      <c r="AJ833" s="490"/>
      <c r="AK833" s="495"/>
      <c r="AL833" s="503"/>
      <c r="AM833" s="503"/>
      <c r="AN833" s="503"/>
      <c r="AO833" s="503"/>
      <c r="AP833" s="503"/>
      <c r="AQ833" s="503"/>
      <c r="AR833" s="503"/>
      <c r="AS833" s="503"/>
      <c r="AT833" s="503"/>
      <c r="AU833" s="503"/>
      <c r="AV833" s="499"/>
      <c r="AW833" s="70"/>
      <c r="AX833" s="70"/>
      <c r="AY833" s="70"/>
      <c r="AZ833" s="70"/>
      <c r="BA833" s="70"/>
      <c r="BB833" s="70"/>
      <c r="BC833" s="70"/>
      <c r="BD833" s="70"/>
      <c r="BE833" s="70"/>
      <c r="BF833" s="70"/>
      <c r="BG833" s="70"/>
      <c r="BH833" s="70"/>
      <c r="BI833" s="70"/>
      <c r="BJ833" s="70"/>
      <c r="BK833" s="70"/>
      <c r="BL833" s="70"/>
      <c r="BM833" s="70"/>
      <c r="BN833" s="70"/>
      <c r="BO833" s="70"/>
      <c r="BP833" s="70"/>
      <c r="BQ833" s="10"/>
      <c r="BR833" s="10"/>
      <c r="BS833" s="10"/>
      <c r="BT833" s="10"/>
      <c r="BU833" s="10"/>
      <c r="BV833" s="10"/>
      <c r="BW833" s="10"/>
      <c r="BX833" s="10"/>
      <c r="BY833" s="10"/>
      <c r="BZ833" s="10"/>
      <c r="CA833" s="10"/>
      <c r="CB833" s="10"/>
      <c r="CC833" s="10"/>
      <c r="CD833" s="10"/>
      <c r="CE833" s="10"/>
      <c r="CF833" s="10"/>
      <c r="CG833" s="10"/>
      <c r="CH833" s="10"/>
      <c r="CI833" s="10"/>
      <c r="CJ833" s="10"/>
      <c r="CK833" s="10"/>
      <c r="CL833" s="10"/>
      <c r="CM833" s="10"/>
      <c r="CN833" s="10"/>
      <c r="CO833" s="411"/>
      <c r="CP833" s="10"/>
      <c r="CQ833" s="10"/>
      <c r="CR833" s="10"/>
      <c r="CS833" s="10"/>
      <c r="CT833" s="10"/>
      <c r="CU833" s="10"/>
      <c r="CV833" s="201"/>
      <c r="CW833" s="10"/>
      <c r="CX833" s="10"/>
      <c r="CY833" s="10"/>
    </row>
    <row r="834" spans="1:110" ht="12" outlineLevel="1">
      <c r="A834" s="1" t="s">
        <v>957</v>
      </c>
      <c r="B834" s="15" t="s">
        <v>546</v>
      </c>
      <c r="C834" s="207">
        <v>6.6463497904822144E-2</v>
      </c>
      <c r="D834" s="207">
        <v>6.7406105539883909E-2</v>
      </c>
      <c r="E834" s="207">
        <v>6.9142089256665956E-2</v>
      </c>
      <c r="F834" s="207">
        <v>6.8820952470676905E-2</v>
      </c>
      <c r="G834" s="207">
        <v>6.3083252280434265E-2</v>
      </c>
      <c r="H834" s="207">
        <v>5.6806888808908607E-2</v>
      </c>
      <c r="I834" s="207">
        <v>5.6090591058861813E-2</v>
      </c>
      <c r="J834" s="207">
        <v>5.4490177736202058E-2</v>
      </c>
      <c r="K834" s="207">
        <v>5.3995709855036822E-2</v>
      </c>
      <c r="L834" s="207">
        <v>5.3777752728124066E-2</v>
      </c>
      <c r="M834" s="30">
        <v>5.4179727665172199E-2</v>
      </c>
      <c r="N834" s="30">
        <v>5.4146954907479491E-2</v>
      </c>
      <c r="O834" s="30">
        <v>5.1909329571155342E-2</v>
      </c>
      <c r="P834" s="30">
        <v>5.3292508766813962E-2</v>
      </c>
      <c r="Q834" s="30">
        <v>5.9132133287829389E-2</v>
      </c>
      <c r="R834" s="30">
        <v>6.3542697645274523E-2</v>
      </c>
      <c r="S834" s="30">
        <v>8.9642121799983335E-2</v>
      </c>
      <c r="T834" s="32">
        <v>8.4941014857748798E-2</v>
      </c>
      <c r="U834" s="30">
        <v>8.044898237221941E-2</v>
      </c>
      <c r="V834" s="30">
        <v>8.4855962094491283E-2</v>
      </c>
      <c r="W834" s="30">
        <v>8.5239530796816732E-2</v>
      </c>
      <c r="X834" s="30">
        <v>8.9226783131345758E-2</v>
      </c>
      <c r="Y834" s="32">
        <v>8.8378276616941948E-2</v>
      </c>
      <c r="Z834" s="32">
        <v>8.1762156598942287E-2</v>
      </c>
      <c r="AA834" s="32">
        <v>8.482749473125728E-2</v>
      </c>
      <c r="AB834" s="32">
        <v>8.3217830016078062E-2</v>
      </c>
      <c r="AC834" s="32">
        <v>8.7893364017824299E-2</v>
      </c>
      <c r="AD834" s="32">
        <v>8.7203997280691101E-2</v>
      </c>
      <c r="AE834" s="32">
        <v>9.5850842296180738E-2</v>
      </c>
      <c r="AF834" s="32">
        <v>9.811631709735151E-2</v>
      </c>
      <c r="AG834" s="32">
        <v>9.610555531080664E-2</v>
      </c>
      <c r="AH834" s="32">
        <v>0.10129206125327422</v>
      </c>
      <c r="AI834" s="32">
        <v>0.10568812593802814</v>
      </c>
      <c r="AJ834" s="32">
        <v>0.11043340062712083</v>
      </c>
      <c r="AK834" s="32">
        <v>0.11440816744281254</v>
      </c>
      <c r="AL834" s="32">
        <v>0.11488527370038684</v>
      </c>
      <c r="AM834" s="32">
        <v>0.11357177289962371</v>
      </c>
      <c r="AN834" s="32">
        <v>0.10698600482837875</v>
      </c>
      <c r="AO834" s="32">
        <v>0.11250535651072234</v>
      </c>
      <c r="AP834" s="32">
        <v>0.12442486635339543</v>
      </c>
      <c r="AQ834" s="32">
        <v>0.12343361708877491</v>
      </c>
      <c r="AR834" s="32">
        <v>0.11534561896280057</v>
      </c>
      <c r="AS834" s="32">
        <v>0.12287175788070848</v>
      </c>
      <c r="AT834" s="32">
        <v>0.13175466230706706</v>
      </c>
      <c r="AU834" s="32">
        <v>0.13337271852434765</v>
      </c>
      <c r="AV834" s="31">
        <v>0.1349695803169747</v>
      </c>
      <c r="AW834" s="30">
        <v>0.12212236565180917</v>
      </c>
      <c r="AX834" s="30">
        <v>0.12175823828181304</v>
      </c>
      <c r="AY834" s="30">
        <v>0.12068955882921238</v>
      </c>
      <c r="AZ834" s="30">
        <v>0.12008420126977067</v>
      </c>
      <c r="BA834" s="30">
        <v>0.11920191058850958</v>
      </c>
      <c r="BB834" s="30">
        <v>0.11868798594901797</v>
      </c>
      <c r="BC834" s="30">
        <v>0.11790122578297375</v>
      </c>
      <c r="BD834" s="30">
        <v>0.11761827374303047</v>
      </c>
      <c r="BE834" s="30">
        <v>0.11703250471299884</v>
      </c>
      <c r="BF834" s="30">
        <v>0.11697158786440359</v>
      </c>
      <c r="BG834" s="30">
        <v>0.11642362538654587</v>
      </c>
      <c r="BH834" s="30">
        <v>0.11242346229767258</v>
      </c>
      <c r="BI834" s="30">
        <v>0.11204994966243784</v>
      </c>
      <c r="BJ834" s="30">
        <v>0.11788582885487449</v>
      </c>
      <c r="BK834" s="30">
        <v>0.1207965718185805</v>
      </c>
      <c r="BL834" s="30">
        <v>0.12140750179930355</v>
      </c>
      <c r="BM834" s="30">
        <v>0.12065256322574316</v>
      </c>
      <c r="BN834" s="30">
        <v>0.1218997651723369</v>
      </c>
      <c r="BO834" s="30">
        <v>0.12270851663220257</v>
      </c>
      <c r="BP834" s="30"/>
      <c r="BQ834" s="207">
        <v>4.7954301628085012E-2</v>
      </c>
      <c r="BR834" s="207">
        <v>5.4811345303148587E-2</v>
      </c>
      <c r="BS834" s="207">
        <v>6.5147907980059719E-2</v>
      </c>
      <c r="BT834" s="207">
        <v>6.6240550820935051E-2</v>
      </c>
      <c r="BU834" s="207">
        <v>6.7078712961279763E-2</v>
      </c>
      <c r="BV834" s="207">
        <v>6.5682496914656094E-2</v>
      </c>
      <c r="BW834" s="207">
        <v>7.1570079933847855E-2</v>
      </c>
      <c r="BX834" s="207">
        <v>7.9034540017113283E-2</v>
      </c>
      <c r="BY834" s="207">
        <v>7.4332243538338172E-2</v>
      </c>
      <c r="BZ834" s="207">
        <v>7.4657332403740409E-2</v>
      </c>
      <c r="CA834" s="30">
        <v>6.9142089256665956E-2</v>
      </c>
      <c r="CB834" s="30">
        <v>6.3083252280434265E-2</v>
      </c>
      <c r="CC834" s="30">
        <v>5.6090591058861813E-2</v>
      </c>
      <c r="CD834" s="30">
        <v>5.3995709855036822E-2</v>
      </c>
      <c r="CE834" s="30">
        <v>5.1199114141679054E-2</v>
      </c>
      <c r="CF834" s="30">
        <v>4.9305863616199666E-2</v>
      </c>
      <c r="CG834" s="30">
        <v>5.9132133287829389E-2</v>
      </c>
      <c r="CH834" s="30">
        <v>8.9642121799983335E-2</v>
      </c>
      <c r="CI834" s="30">
        <v>8.044898237221941E-2</v>
      </c>
      <c r="CJ834" s="30">
        <v>8.5239530796816732E-2</v>
      </c>
      <c r="CK834" s="32">
        <v>8.8378276616941948E-2</v>
      </c>
      <c r="CL834" s="32">
        <v>8.482749473125728E-2</v>
      </c>
      <c r="CM834" s="32">
        <v>8.7893364017824299E-2</v>
      </c>
      <c r="CN834" s="32">
        <v>9.5850842296180738E-2</v>
      </c>
      <c r="CO834" s="32">
        <v>9.610555531080664E-2</v>
      </c>
      <c r="CP834" s="32">
        <v>0.10568812593802814</v>
      </c>
      <c r="CQ834" s="32">
        <v>0.11440816744281254</v>
      </c>
      <c r="CR834" s="32">
        <v>0.11357177289962371</v>
      </c>
      <c r="CS834" s="32">
        <v>0.11250535651072234</v>
      </c>
      <c r="CT834" s="32">
        <v>0.12343361708877491</v>
      </c>
      <c r="CU834" s="32">
        <v>0.12287175788070848</v>
      </c>
      <c r="CV834" s="31">
        <v>0.13337271852434765</v>
      </c>
      <c r="CW834" s="30">
        <v>0.12212236565180917</v>
      </c>
      <c r="CX834" s="30">
        <v>0.12068955882921241</v>
      </c>
      <c r="CY834" s="30">
        <v>0.11920191058850964</v>
      </c>
      <c r="CZ834" s="30">
        <v>0.11790122578297384</v>
      </c>
      <c r="DA834" s="30">
        <v>0.11703250471299896</v>
      </c>
      <c r="DB834" s="30">
        <v>0.11642362538654601</v>
      </c>
      <c r="DC834" s="30">
        <v>0.11204994966243799</v>
      </c>
      <c r="DD834" s="30">
        <v>0.12079657181858065</v>
      </c>
      <c r="DE834" s="30">
        <v>0.12065256322574332</v>
      </c>
      <c r="DF834" s="30">
        <v>0.12270851663220271</v>
      </c>
    </row>
    <row r="835" spans="1:110" ht="12" outlineLevel="1">
      <c r="A835" s="1" t="s">
        <v>2301</v>
      </c>
      <c r="B835" s="15" t="s">
        <v>2302</v>
      </c>
      <c r="C835" s="207"/>
      <c r="D835" s="207"/>
      <c r="E835" s="207"/>
      <c r="F835" s="207"/>
      <c r="G835" s="207"/>
      <c r="H835" s="207"/>
      <c r="I835" s="207"/>
      <c r="J835" s="207"/>
      <c r="K835" s="207"/>
      <c r="L835" s="207"/>
      <c r="M835" s="207"/>
      <c r="N835" s="207"/>
      <c r="O835" s="207"/>
      <c r="P835" s="207"/>
      <c r="Q835" s="207"/>
      <c r="R835" s="207"/>
      <c r="S835" s="207"/>
      <c r="T835" s="209"/>
      <c r="U835" s="207"/>
      <c r="V835" s="207"/>
      <c r="W835" s="207"/>
      <c r="X835" s="207"/>
      <c r="Y835" s="209"/>
      <c r="Z835" s="209">
        <v>0.1029621565989423</v>
      </c>
      <c r="AA835" s="209">
        <v>0.10782749473125727</v>
      </c>
      <c r="AB835" s="209">
        <v>0.10521783001607805</v>
      </c>
      <c r="AC835" s="209">
        <v>0.12689336401782431</v>
      </c>
      <c r="AD835" s="209">
        <v>0.12420399728069108</v>
      </c>
      <c r="AE835" s="209">
        <v>0.13185084229618074</v>
      </c>
      <c r="AF835" s="209">
        <v>0.14011631709735153</v>
      </c>
      <c r="AG835" s="209">
        <v>0.14510555531080666</v>
      </c>
      <c r="AH835" s="209">
        <v>0.15229206125327421</v>
      </c>
      <c r="AI835" s="209">
        <v>0.15768812593802817</v>
      </c>
      <c r="AJ835" s="209">
        <v>0.16343340062712083</v>
      </c>
      <c r="AK835" s="209">
        <v>0.16940816744281256</v>
      </c>
      <c r="AL835" s="209">
        <v>0.16888527370038683</v>
      </c>
      <c r="AM835" s="209">
        <v>0.16357177289962371</v>
      </c>
      <c r="AN835" s="209">
        <v>0.15398600482837876</v>
      </c>
      <c r="AO835" s="209">
        <v>0.16650535651072235</v>
      </c>
      <c r="AP835" s="209">
        <v>0.18142486635339544</v>
      </c>
      <c r="AQ835" s="209">
        <v>0.18343361708877493</v>
      </c>
      <c r="AR835" s="209">
        <v>0.1803456189628006</v>
      </c>
      <c r="AS835" s="209">
        <v>0.19187175788070848</v>
      </c>
      <c r="AT835" s="209">
        <v>0.18875466230706706</v>
      </c>
      <c r="AU835" s="209">
        <v>0.19737271852434768</v>
      </c>
      <c r="AV835" s="208">
        <v>0.19676958031697472</v>
      </c>
      <c r="AW835" s="207">
        <v>0.18656493134870719</v>
      </c>
      <c r="AX835" s="207">
        <v>0.18581833613553797</v>
      </c>
      <c r="AY835" s="207">
        <v>0.18480731605871181</v>
      </c>
      <c r="AZ835" s="207">
        <v>0.18385888200657122</v>
      </c>
      <c r="BA835" s="207">
        <v>0.18229878589324311</v>
      </c>
      <c r="BB835" s="207">
        <v>0.18113069586909969</v>
      </c>
      <c r="BC835" s="207">
        <v>0.17948897918976894</v>
      </c>
      <c r="BD835" s="207">
        <v>0.17854285886333771</v>
      </c>
      <c r="BE835" s="207">
        <v>0.17719099403218919</v>
      </c>
      <c r="BF835" s="207">
        <v>0.17656101552317921</v>
      </c>
      <c r="BG835" s="207">
        <v>0.17527504819889714</v>
      </c>
      <c r="BH835" s="207">
        <v>0.16966619085419088</v>
      </c>
      <c r="BI835" s="207">
        <v>0.16898510300469197</v>
      </c>
      <c r="BJ835" s="207">
        <v>0.1760337973256928</v>
      </c>
      <c r="BK835" s="207">
        <v>0.17897280095117593</v>
      </c>
      <c r="BL835" s="207">
        <v>0.17920571320559112</v>
      </c>
      <c r="BM835" s="207">
        <v>0.17760137935744436</v>
      </c>
      <c r="BN835" s="207">
        <v>0.17913646218265517</v>
      </c>
      <c r="BO835" s="207">
        <v>0.18008163012692063</v>
      </c>
      <c r="BP835" s="207"/>
      <c r="BQ835" s="207"/>
      <c r="BR835" s="207"/>
      <c r="BS835" s="207"/>
      <c r="BT835" s="207"/>
      <c r="BU835" s="207"/>
      <c r="BV835" s="207"/>
      <c r="BW835" s="207"/>
      <c r="BX835" s="207"/>
      <c r="BY835" s="207"/>
      <c r="BZ835" s="207"/>
      <c r="CA835" s="207"/>
      <c r="CB835" s="207"/>
      <c r="CC835" s="207"/>
      <c r="CD835" s="207"/>
      <c r="CE835" s="207"/>
      <c r="CF835" s="207"/>
      <c r="CG835" s="207"/>
      <c r="CH835" s="207"/>
      <c r="CI835" s="207"/>
      <c r="CJ835" s="207"/>
      <c r="CK835" s="209"/>
      <c r="CL835" s="209">
        <v>0.10782749473125727</v>
      </c>
      <c r="CM835" s="209">
        <v>0.12689336401782431</v>
      </c>
      <c r="CN835" s="209">
        <v>0.13185084229618071</v>
      </c>
      <c r="CO835" s="209">
        <v>0.14510555531080666</v>
      </c>
      <c r="CP835" s="209">
        <v>0.15768812593802817</v>
      </c>
      <c r="CQ835" s="209">
        <v>0.16940816744281256</v>
      </c>
      <c r="CR835" s="209">
        <v>0.16357177289962371</v>
      </c>
      <c r="CS835" s="209">
        <v>0.16650535651072235</v>
      </c>
      <c r="CT835" s="209">
        <v>0.18343361708877493</v>
      </c>
      <c r="CU835" s="209">
        <v>0.19187175788070848</v>
      </c>
      <c r="CV835" s="208">
        <v>0.19737271852434768</v>
      </c>
      <c r="CW835" s="207">
        <v>0.18656493134870719</v>
      </c>
      <c r="CX835" s="207">
        <v>0.18480731605871187</v>
      </c>
      <c r="CY835" s="207">
        <v>0.18229878589324319</v>
      </c>
      <c r="CZ835" s="207">
        <v>0.17948897918976905</v>
      </c>
      <c r="DA835" s="207">
        <v>0.17719099403218933</v>
      </c>
      <c r="DB835" s="207">
        <v>0.1752750481988973</v>
      </c>
      <c r="DC835" s="207">
        <v>0.16898510300469219</v>
      </c>
      <c r="DD835" s="207">
        <v>0.17897280095117613</v>
      </c>
      <c r="DE835" s="207">
        <v>0.17760137935744455</v>
      </c>
      <c r="DF835" s="207">
        <v>0.18008163012692083</v>
      </c>
    </row>
    <row r="836" spans="1:110" ht="12" outlineLevel="1">
      <c r="A836" s="1" t="s">
        <v>958</v>
      </c>
      <c r="B836" s="15" t="s">
        <v>547</v>
      </c>
      <c r="C836" s="207">
        <v>7.4657332403740409E-2</v>
      </c>
      <c r="D836" s="207">
        <v>7.8194922388456489E-2</v>
      </c>
      <c r="E836" s="207">
        <v>7.9220595515948788E-2</v>
      </c>
      <c r="F836" s="207">
        <v>7.7461424062771275E-2</v>
      </c>
      <c r="G836" s="207">
        <v>7.7153597434347146E-2</v>
      </c>
      <c r="H836" s="207">
        <v>6.9967822859199488E-2</v>
      </c>
      <c r="I836" s="207">
        <v>6.8980596347069115E-2</v>
      </c>
      <c r="J836" s="207">
        <v>7.0063572669479393E-2</v>
      </c>
      <c r="K836" s="207">
        <v>6.9029434402226142E-2</v>
      </c>
      <c r="L836" s="207">
        <v>6.84534777349525E-2</v>
      </c>
      <c r="M836" s="30">
        <v>6.8092032686839929E-2</v>
      </c>
      <c r="N836" s="30">
        <v>6.6874263927979724E-2</v>
      </c>
      <c r="O836" s="30">
        <v>6.7006523209389934E-2</v>
      </c>
      <c r="P836" s="30">
        <v>6.8444703648041394E-2</v>
      </c>
      <c r="Q836" s="30">
        <v>7.7074725705613689E-2</v>
      </c>
      <c r="R836" s="30">
        <v>8.1681987453806226E-2</v>
      </c>
      <c r="S836" s="30">
        <v>0.10560203753734097</v>
      </c>
      <c r="T836" s="32">
        <v>0.10695651126079989</v>
      </c>
      <c r="U836" s="30">
        <v>0.10100968052012928</v>
      </c>
      <c r="V836" s="30">
        <v>0.10509544498100183</v>
      </c>
      <c r="W836" s="30">
        <v>0.10935691731794088</v>
      </c>
      <c r="X836" s="30">
        <v>0.11265429931609769</v>
      </c>
      <c r="Y836" s="32">
        <v>0.10829371016163589</v>
      </c>
      <c r="Z836" s="32">
        <v>9.8393586746935657E-2</v>
      </c>
      <c r="AA836" s="32">
        <v>0.1036947518901154</v>
      </c>
      <c r="AB836" s="32">
        <v>0.10339579752730499</v>
      </c>
      <c r="AC836" s="32">
        <v>0.10677151763758924</v>
      </c>
      <c r="AD836" s="32">
        <v>0.1062081408664049</v>
      </c>
      <c r="AE836" s="32">
        <v>0.1131620129522786</v>
      </c>
      <c r="AF836" s="32">
        <v>0.11603898695713752</v>
      </c>
      <c r="AG836" s="32">
        <v>0.11817701220318076</v>
      </c>
      <c r="AH836" s="32">
        <v>0.12112381624017732</v>
      </c>
      <c r="AI836" s="32">
        <v>0.12611189093689038</v>
      </c>
      <c r="AJ836" s="32">
        <v>0.12917627856090677</v>
      </c>
      <c r="AK836" s="32">
        <v>0.13366767309758967</v>
      </c>
      <c r="AL836" s="32">
        <v>0.13392935999051203</v>
      </c>
      <c r="AM836" s="32">
        <v>0.13243684661155361</v>
      </c>
      <c r="AN836" s="32">
        <v>0.12472272455969996</v>
      </c>
      <c r="AO836" s="32">
        <v>0.13062200734074861</v>
      </c>
      <c r="AP836" s="32">
        <v>0.14315499086156122</v>
      </c>
      <c r="AQ836" s="32">
        <v>0.14293439337060126</v>
      </c>
      <c r="AR836" s="32">
        <v>0.13244959009842205</v>
      </c>
      <c r="AS836" s="32">
        <v>0.1397745415840147</v>
      </c>
      <c r="AT836" s="32">
        <v>0.15054625109640563</v>
      </c>
      <c r="AU836" s="32">
        <v>0.15236991925266599</v>
      </c>
      <c r="AV836" s="31">
        <v>0.15414102809979227</v>
      </c>
      <c r="AW836" s="30">
        <v>0.14054779118131028</v>
      </c>
      <c r="AX836" s="30">
        <v>0.13987961748141489</v>
      </c>
      <c r="AY836" s="30">
        <v>0.13860290704904396</v>
      </c>
      <c r="AZ836" s="30">
        <v>0.13779126033138381</v>
      </c>
      <c r="BA836" s="30">
        <v>0.13667241820582746</v>
      </c>
      <c r="BB836" s="30">
        <v>0.13587377672987744</v>
      </c>
      <c r="BC836" s="30">
        <v>0.13476102682835286</v>
      </c>
      <c r="BD836" s="30">
        <v>0.13415715853945559</v>
      </c>
      <c r="BE836" s="30">
        <v>0.13325550343375683</v>
      </c>
      <c r="BF836" s="30">
        <v>0.13288368608127232</v>
      </c>
      <c r="BG836" s="30">
        <v>0.13202976289413976</v>
      </c>
      <c r="BH836" s="30">
        <v>0.12732358740815039</v>
      </c>
      <c r="BI836" s="30">
        <v>0.12628601542260595</v>
      </c>
      <c r="BJ836" s="30">
        <v>0.1321925469196337</v>
      </c>
      <c r="BK836" s="30">
        <v>0.13516008989170442</v>
      </c>
      <c r="BL836" s="30">
        <v>0.13544680302439752</v>
      </c>
      <c r="BM836" s="30">
        <v>0.13437426790507651</v>
      </c>
      <c r="BN836" s="30">
        <v>0.13548561138949861</v>
      </c>
      <c r="BO836" s="30">
        <v>0.13615984952048149</v>
      </c>
      <c r="BP836" s="30"/>
      <c r="BQ836" s="207">
        <v>4.7950585104669687E-2</v>
      </c>
      <c r="BR836" s="207">
        <v>5.9143897996357019E-2</v>
      </c>
      <c r="BS836" s="207">
        <v>6.7923237797098399E-2</v>
      </c>
      <c r="BT836" s="207">
        <v>6.6240550820935051E-2</v>
      </c>
      <c r="BU836" s="207">
        <v>6.7078712961279763E-2</v>
      </c>
      <c r="BV836" s="207">
        <v>6.5682496914656094E-2</v>
      </c>
      <c r="BW836" s="207">
        <v>7.1570079933847855E-2</v>
      </c>
      <c r="BX836" s="207">
        <v>7.9034540017113283E-2</v>
      </c>
      <c r="BY836" s="207">
        <v>7.4332243538338172E-2</v>
      </c>
      <c r="BZ836" s="207">
        <v>7.4657332403740409E-2</v>
      </c>
      <c r="CA836" s="30">
        <v>7.9220595515948788E-2</v>
      </c>
      <c r="CB836" s="30">
        <v>7.7153597434347146E-2</v>
      </c>
      <c r="CC836" s="30">
        <v>6.8980596347069115E-2</v>
      </c>
      <c r="CD836" s="30">
        <v>6.9029434402226142E-2</v>
      </c>
      <c r="CE836" s="30">
        <v>6.5111419163346784E-2</v>
      </c>
      <c r="CF836" s="30">
        <v>6.4403057254434251E-2</v>
      </c>
      <c r="CG836" s="30">
        <v>7.7074725705613689E-2</v>
      </c>
      <c r="CH836" s="30">
        <v>0.10560203753734097</v>
      </c>
      <c r="CI836" s="30">
        <v>0.10100968052012928</v>
      </c>
      <c r="CJ836" s="30">
        <v>0.10935691731794088</v>
      </c>
      <c r="CK836" s="32">
        <v>0.10829371016163589</v>
      </c>
      <c r="CL836" s="32">
        <v>0.1036947518901154</v>
      </c>
      <c r="CM836" s="32">
        <v>0.10677151763758924</v>
      </c>
      <c r="CN836" s="32">
        <v>0.1131620129522786</v>
      </c>
      <c r="CO836" s="32">
        <v>0.11817701220318076</v>
      </c>
      <c r="CP836" s="32">
        <v>0.12611189093689038</v>
      </c>
      <c r="CQ836" s="32">
        <v>0.13366767309758967</v>
      </c>
      <c r="CR836" s="32">
        <v>0.13243684661155361</v>
      </c>
      <c r="CS836" s="32">
        <v>0.13062200734074861</v>
      </c>
      <c r="CT836" s="32">
        <v>0.14293439337060126</v>
      </c>
      <c r="CU836" s="32">
        <v>0.1397745415840147</v>
      </c>
      <c r="CV836" s="31">
        <v>0.15236991925266599</v>
      </c>
      <c r="CW836" s="30">
        <v>0.14054779118131028</v>
      </c>
      <c r="CX836" s="30">
        <v>0.13860290704904399</v>
      </c>
      <c r="CY836" s="30">
        <v>0.13667241820582751</v>
      </c>
      <c r="CZ836" s="30">
        <v>0.13476102682835295</v>
      </c>
      <c r="DA836" s="30">
        <v>0.13325550343375694</v>
      </c>
      <c r="DB836" s="30">
        <v>0.1320297628941399</v>
      </c>
      <c r="DC836" s="30">
        <v>0.12628601542260609</v>
      </c>
      <c r="DD836" s="30">
        <v>0.13516008989170458</v>
      </c>
      <c r="DE836" s="30">
        <v>0.13437426790507664</v>
      </c>
      <c r="DF836" s="30">
        <v>0.13615984952048163</v>
      </c>
    </row>
    <row r="837" spans="1:110" ht="12" outlineLevel="1">
      <c r="A837" s="1" t="s">
        <v>959</v>
      </c>
      <c r="B837" s="15" t="s">
        <v>655</v>
      </c>
      <c r="C837" s="207">
        <v>0.1030698129074456</v>
      </c>
      <c r="D837" s="207">
        <v>0.10395959178248092</v>
      </c>
      <c r="E837" s="207">
        <v>9.502086427611571E-2</v>
      </c>
      <c r="F837" s="207">
        <v>9.939234066607E-2</v>
      </c>
      <c r="G837" s="207">
        <v>0.11096580005783234</v>
      </c>
      <c r="H837" s="207">
        <v>0.10155943638971406</v>
      </c>
      <c r="I837" s="207">
        <v>0.10368445673839645</v>
      </c>
      <c r="J837" s="207">
        <v>0.10257536129512609</v>
      </c>
      <c r="K837" s="207">
        <v>0.10450738478774713</v>
      </c>
      <c r="L837" s="207">
        <v>0.10403940117839351</v>
      </c>
      <c r="M837" s="30">
        <v>0.10576598853546139</v>
      </c>
      <c r="N837" s="30">
        <v>0.10243727169291575</v>
      </c>
      <c r="O837" s="30">
        <v>0.10076794973419921</v>
      </c>
      <c r="P837" s="30">
        <v>0.10084639943772758</v>
      </c>
      <c r="Q837" s="30">
        <v>0.1109775844666962</v>
      </c>
      <c r="R837" s="30">
        <v>0.11033814911599889</v>
      </c>
      <c r="S837" s="30">
        <v>0.13658958459786805</v>
      </c>
      <c r="T837" s="32">
        <v>0.12957852836388029</v>
      </c>
      <c r="U837" s="30">
        <v>0.11923539785499655</v>
      </c>
      <c r="V837" s="30">
        <v>0.12131957795304198</v>
      </c>
      <c r="W837" s="30">
        <v>0.12069408924004515</v>
      </c>
      <c r="X837" s="30">
        <v>0.12568987066241627</v>
      </c>
      <c r="Y837" s="32">
        <v>0.12186499355255749</v>
      </c>
      <c r="Z837" s="32">
        <v>0.11718570782002716</v>
      </c>
      <c r="AA837" s="32">
        <v>0.12194007634150296</v>
      </c>
      <c r="AB837" s="32">
        <v>0.12095692188279647</v>
      </c>
      <c r="AC837" s="32">
        <v>0.1265154385955207</v>
      </c>
      <c r="AD837" s="32">
        <v>0.12615318601158548</v>
      </c>
      <c r="AE837" s="32">
        <v>0.13294372003572699</v>
      </c>
      <c r="AF837" s="32">
        <v>0.13683546422547543</v>
      </c>
      <c r="AG837" s="32">
        <v>0.14345467984394811</v>
      </c>
      <c r="AH837" s="32">
        <v>0.14542363489824703</v>
      </c>
      <c r="AI837" s="32">
        <v>0.14827684070843977</v>
      </c>
      <c r="AJ837" s="32">
        <v>0.14949074857811342</v>
      </c>
      <c r="AK837" s="32">
        <v>0.15232332019855688</v>
      </c>
      <c r="AL837" s="32">
        <v>0.15302896104125505</v>
      </c>
      <c r="AM837" s="32">
        <v>0.15293996320998846</v>
      </c>
      <c r="AN837" s="32">
        <v>0.1539246167140299</v>
      </c>
      <c r="AO837" s="32">
        <v>0.16312671175451343</v>
      </c>
      <c r="AP837" s="32">
        <v>0.18349152060681193</v>
      </c>
      <c r="AQ837" s="32">
        <v>0.18409175026316674</v>
      </c>
      <c r="AR837" s="32">
        <v>0.16620081751958166</v>
      </c>
      <c r="AS837" s="32">
        <v>0.18216784908448752</v>
      </c>
      <c r="AT837" s="32">
        <v>0.20580968694462176</v>
      </c>
      <c r="AU837" s="32">
        <v>0.20996845338508793</v>
      </c>
      <c r="AV837" s="31">
        <v>0.21935445111708285</v>
      </c>
      <c r="AW837" s="30">
        <v>0.20341291884656998</v>
      </c>
      <c r="AX837" s="30">
        <v>0.20176901777495559</v>
      </c>
      <c r="AY837" s="30">
        <v>0.19982132084890006</v>
      </c>
      <c r="AZ837" s="30">
        <v>0.19834738340966429</v>
      </c>
      <c r="BA837" s="30">
        <v>0.1964702743465091</v>
      </c>
      <c r="BB837" s="30">
        <v>0.19475920439050662</v>
      </c>
      <c r="BC837" s="30">
        <v>0.19260196098699442</v>
      </c>
      <c r="BD837" s="30">
        <v>0.19096987843837432</v>
      </c>
      <c r="BE837" s="30">
        <v>0.18905614936183238</v>
      </c>
      <c r="BF837" s="30">
        <v>0.18767228157544072</v>
      </c>
      <c r="BG837" s="30">
        <v>0.18582214817246306</v>
      </c>
      <c r="BH837" s="30">
        <v>0.17915253821450366</v>
      </c>
      <c r="BI837" s="30">
        <v>0.17637931340532806</v>
      </c>
      <c r="BJ837" s="30">
        <v>0.18250270803635746</v>
      </c>
      <c r="BK837" s="30">
        <v>0.18519557791036911</v>
      </c>
      <c r="BL837" s="30">
        <v>0.18444375650655079</v>
      </c>
      <c r="BM837" s="30">
        <v>0.18235393181523382</v>
      </c>
      <c r="BN837" s="30">
        <v>0.1830775224169402</v>
      </c>
      <c r="BO837" s="30">
        <v>0.1833763283375073</v>
      </c>
      <c r="BP837" s="30"/>
      <c r="BQ837" s="207">
        <v>0.15686206494996319</v>
      </c>
      <c r="BR837" s="207">
        <v>0.10771012230028625</v>
      </c>
      <c r="BS837" s="207">
        <v>0.11264419219487813</v>
      </c>
      <c r="BT837" s="207">
        <v>0.10875583802782994</v>
      </c>
      <c r="BU837" s="207">
        <v>0.10500764566870195</v>
      </c>
      <c r="BV837" s="207">
        <v>9.8118646782292485E-2</v>
      </c>
      <c r="BW837" s="207">
        <v>0.10677370452039692</v>
      </c>
      <c r="BX837" s="207">
        <v>0.10727144878300872</v>
      </c>
      <c r="BY837" s="207">
        <v>0.10225309974708531</v>
      </c>
      <c r="BZ837" s="207">
        <v>0.1030698129074456</v>
      </c>
      <c r="CA837" s="30">
        <v>9.502086427611571E-2</v>
      </c>
      <c r="CB837" s="30">
        <v>0.11096580005783234</v>
      </c>
      <c r="CC837" s="30">
        <v>0.10368445673839645</v>
      </c>
      <c r="CD837" s="30">
        <v>0.10450738478774713</v>
      </c>
      <c r="CE837" s="30">
        <v>0.10278537501196824</v>
      </c>
      <c r="CF837" s="30">
        <v>9.8164483779243542E-2</v>
      </c>
      <c r="CG837" s="30">
        <v>0.1109775844666962</v>
      </c>
      <c r="CH837" s="30">
        <v>0.13658958459786805</v>
      </c>
      <c r="CI837" s="30">
        <v>0.11923539785499655</v>
      </c>
      <c r="CJ837" s="30">
        <v>0.12069408924004515</v>
      </c>
      <c r="CK837" s="32">
        <v>0.12186499355255749</v>
      </c>
      <c r="CL837" s="32">
        <v>0.12194007634150296</v>
      </c>
      <c r="CM837" s="32">
        <v>0.1265154385955207</v>
      </c>
      <c r="CN837" s="32">
        <v>0.13294372003572699</v>
      </c>
      <c r="CO837" s="32">
        <v>0.14345467984394811</v>
      </c>
      <c r="CP837" s="32">
        <v>0.14827684070843977</v>
      </c>
      <c r="CQ837" s="32">
        <v>0.15232332019855688</v>
      </c>
      <c r="CR837" s="32">
        <v>0.15293996320998846</v>
      </c>
      <c r="CS837" s="32">
        <v>0.16312671175451343</v>
      </c>
      <c r="CT837" s="32">
        <v>0.18409175026316674</v>
      </c>
      <c r="CU837" s="32">
        <v>0.18216784908448752</v>
      </c>
      <c r="CV837" s="31">
        <v>0.20996845338508793</v>
      </c>
      <c r="CW837" s="30">
        <v>0.20341291884656998</v>
      </c>
      <c r="CX837" s="30">
        <v>0.19982132084890006</v>
      </c>
      <c r="CY837" s="30">
        <v>0.19647027434650916</v>
      </c>
      <c r="CZ837" s="30">
        <v>0.1926019609869945</v>
      </c>
      <c r="DA837" s="30">
        <v>0.18905614936183249</v>
      </c>
      <c r="DB837" s="30">
        <v>0.1858221481724632</v>
      </c>
      <c r="DC837" s="30">
        <v>0.17637931340532823</v>
      </c>
      <c r="DD837" s="30">
        <v>0.18519557791036928</v>
      </c>
      <c r="DE837" s="30">
        <v>0.18235393181523399</v>
      </c>
      <c r="DF837" s="30">
        <v>0.18337632833750744</v>
      </c>
    </row>
    <row r="838" spans="1:110" ht="12" outlineLevel="1">
      <c r="A838" s="1" t="s">
        <v>1013</v>
      </c>
      <c r="B838" s="15" t="s">
        <v>656</v>
      </c>
      <c r="C838" s="207">
        <v>0.65062295081967214</v>
      </c>
      <c r="D838" s="207">
        <v>0.57984393638170972</v>
      </c>
      <c r="E838" s="207">
        <v>0.66200382775119637</v>
      </c>
      <c r="F838" s="207">
        <v>0.61259981600735969</v>
      </c>
      <c r="G838" s="207">
        <v>0.66960051768766193</v>
      </c>
      <c r="H838" s="207">
        <v>0.68097275641025645</v>
      </c>
      <c r="I838" s="207">
        <v>0.70897906137184086</v>
      </c>
      <c r="J838" s="207">
        <v>0.5951197183098591</v>
      </c>
      <c r="K838" s="207">
        <v>0.68591725015913452</v>
      </c>
      <c r="L838" s="207">
        <v>0.59573705642815611</v>
      </c>
      <c r="M838" s="30">
        <v>0.68835089625203694</v>
      </c>
      <c r="N838" s="30">
        <v>0.59599478895257973</v>
      </c>
      <c r="O838" s="30">
        <v>0.70115752032520329</v>
      </c>
      <c r="P838" s="30">
        <v>0.62731332280147434</v>
      </c>
      <c r="Q838" s="30">
        <v>1.1337222222222219</v>
      </c>
      <c r="R838" s="30">
        <v>1.067447311827957</v>
      </c>
      <c r="S838" s="30">
        <v>0.57955371900826458</v>
      </c>
      <c r="T838" s="32">
        <v>0.55587341772151899</v>
      </c>
      <c r="U838" s="30">
        <v>0.68829142441860458</v>
      </c>
      <c r="V838" s="30">
        <v>0.61159219727640779</v>
      </c>
      <c r="W838" s="30">
        <v>0.72974433893352819</v>
      </c>
      <c r="X838" s="30">
        <v>0.61213914849428874</v>
      </c>
      <c r="Y838" s="32">
        <v>0.73267781569965873</v>
      </c>
      <c r="Z838" s="32">
        <v>0.63063633501259431</v>
      </c>
      <c r="AA838" s="32">
        <v>0.75431027190332323</v>
      </c>
      <c r="AB838" s="32">
        <v>0.64852021640091106</v>
      </c>
      <c r="AC838" s="32">
        <v>0.72763823284245621</v>
      </c>
      <c r="AD838" s="32">
        <v>0.64728163265306127</v>
      </c>
      <c r="AE838" s="32">
        <v>0.77897316384180781</v>
      </c>
      <c r="AF838" s="32">
        <v>0.83899352983465125</v>
      </c>
      <c r="AG838" s="32">
        <v>0.75378178307048604</v>
      </c>
      <c r="AH838" s="32">
        <v>0.70009824357675121</v>
      </c>
      <c r="AI838" s="32">
        <v>0.68035097324840776</v>
      </c>
      <c r="AJ838" s="32">
        <v>0.66390128325221875</v>
      </c>
      <c r="AK838" s="32">
        <v>0.76783383246492987</v>
      </c>
      <c r="AL838" s="32">
        <v>0.63595411425364767</v>
      </c>
      <c r="AM838" s="32">
        <v>0.78033996503785286</v>
      </c>
      <c r="AN838" s="32">
        <v>0.50180067622080682</v>
      </c>
      <c r="AO838" s="32">
        <v>0.4239358544776119</v>
      </c>
      <c r="AP838" s="32">
        <v>0.6661803545150502</v>
      </c>
      <c r="AQ838" s="32">
        <v>0.63371752788029923</v>
      </c>
      <c r="AR838" s="32">
        <v>0.64624317548345656</v>
      </c>
      <c r="AS838" s="32">
        <v>0.65036554254556145</v>
      </c>
      <c r="AT838" s="32">
        <v>0.63534267260903632</v>
      </c>
      <c r="AU838" s="32">
        <v>0.78821698460937495</v>
      </c>
      <c r="AV838" s="31">
        <v>0.70276854243806308</v>
      </c>
      <c r="AW838" s="30">
        <v>0.73918087499377982</v>
      </c>
      <c r="AX838" s="30">
        <v>0.71820796890693617</v>
      </c>
      <c r="AY838" s="30">
        <v>0.72472141683936209</v>
      </c>
      <c r="AZ838" s="30">
        <v>0.70689318505846099</v>
      </c>
      <c r="BA838" s="30">
        <v>0.72831080911411628</v>
      </c>
      <c r="BB838" s="30">
        <v>0.69220729086661548</v>
      </c>
      <c r="BC838" s="30">
        <v>0.71781465170078163</v>
      </c>
      <c r="BD838" s="30">
        <v>0.674187097140164</v>
      </c>
      <c r="BE838" s="30">
        <v>0.69390087978846704</v>
      </c>
      <c r="BF838" s="30">
        <v>0.67991628556352701</v>
      </c>
      <c r="BG838" s="30">
        <v>0.69536644809971337</v>
      </c>
      <c r="BH838" s="30">
        <v>0.65926601336238699</v>
      </c>
      <c r="BI838" s="30">
        <v>0.72945641909913395</v>
      </c>
      <c r="BJ838" s="30">
        <v>0.67933916559644236</v>
      </c>
      <c r="BK838" s="30">
        <v>0.65197777864952089</v>
      </c>
      <c r="BL838" s="30">
        <v>0.69297729031471589</v>
      </c>
      <c r="BM838" s="30">
        <v>0.70936769892728413</v>
      </c>
      <c r="BN838" s="30">
        <v>0.68527957162915898</v>
      </c>
      <c r="BO838" s="30">
        <v>0.70989814600130097</v>
      </c>
      <c r="BP838" s="30"/>
      <c r="BQ838" s="207">
        <v>-0.15382332421340633</v>
      </c>
      <c r="BR838" s="207">
        <v>0.36333267403314912</v>
      </c>
      <c r="BS838" s="207">
        <v>0.44918097694118253</v>
      </c>
      <c r="BT838" s="207">
        <v>0.4805506911791993</v>
      </c>
      <c r="BU838" s="207">
        <v>0.53385260211149999</v>
      </c>
      <c r="BV838" s="207">
        <v>0.5934440667807207</v>
      </c>
      <c r="BW838" s="207">
        <v>0.65382862401088349</v>
      </c>
      <c r="BX838" s="207">
        <v>0.59752226772131245</v>
      </c>
      <c r="BY838" s="207">
        <v>0.57354004314941109</v>
      </c>
      <c r="BZ838" s="207">
        <v>0.58974813478506771</v>
      </c>
      <c r="CA838" s="30">
        <v>0.62170502194051691</v>
      </c>
      <c r="CB838" s="30">
        <v>0.6420138023152272</v>
      </c>
      <c r="CC838" s="30">
        <v>0.69570451955943768</v>
      </c>
      <c r="CD838" s="30">
        <v>0.64064889881902343</v>
      </c>
      <c r="CE838" s="30">
        <v>0.64363089887640457</v>
      </c>
      <c r="CF838" s="30">
        <v>0.6492390018008749</v>
      </c>
      <c r="CG838" s="30">
        <v>0.83608356545960993</v>
      </c>
      <c r="CH838" s="30">
        <v>0.71499880597014931</v>
      </c>
      <c r="CI838" s="30">
        <v>0.62702030456852786</v>
      </c>
      <c r="CJ838" s="30">
        <v>0.67089569202566446</v>
      </c>
      <c r="CK838" s="32">
        <v>0.67283313284069435</v>
      </c>
      <c r="CL838" s="32">
        <v>0.6937508479802651</v>
      </c>
      <c r="CM838" s="32">
        <v>0.68856321192518632</v>
      </c>
      <c r="CN838" s="32">
        <v>0.71189535689535688</v>
      </c>
      <c r="CO838" s="32">
        <v>0.79403633893700121</v>
      </c>
      <c r="CP838" s="32">
        <v>0.69008104990453811</v>
      </c>
      <c r="CQ838" s="32">
        <v>0.7118701521196239</v>
      </c>
      <c r="CR838" s="32">
        <v>0.70080500797527057</v>
      </c>
      <c r="CS838" s="32">
        <v>0.45321286169505054</v>
      </c>
      <c r="CT838" s="32">
        <v>0.64937803959987095</v>
      </c>
      <c r="CU838" s="32">
        <v>0.64839579140752124</v>
      </c>
      <c r="CV838" s="31">
        <v>0.70925357699446923</v>
      </c>
      <c r="CW838" s="30">
        <v>0.72041415015115229</v>
      </c>
      <c r="CX838" s="30">
        <v>0.72144999187516967</v>
      </c>
      <c r="CY838" s="30">
        <v>0.71744218892589751</v>
      </c>
      <c r="CZ838" s="30">
        <v>0.70477844407646328</v>
      </c>
      <c r="DA838" s="30">
        <v>0.68390195329082581</v>
      </c>
      <c r="DB838" s="30">
        <v>0.68755458194130215</v>
      </c>
      <c r="DC838" s="30">
        <v>0.69099847072402865</v>
      </c>
      <c r="DD838" s="30">
        <v>0.66483075756780119</v>
      </c>
      <c r="DE838" s="30">
        <v>0.70107671023964313</v>
      </c>
      <c r="DF838" s="30">
        <v>0.69737165558855219</v>
      </c>
    </row>
    <row r="839" spans="1:110" ht="12" outlineLevel="1">
      <c r="A839" s="1" t="s">
        <v>1075</v>
      </c>
      <c r="B839" s="15" t="s">
        <v>772</v>
      </c>
      <c r="C839" s="392">
        <v>0</v>
      </c>
      <c r="D839" s="392">
        <v>0</v>
      </c>
      <c r="E839" s="392">
        <v>0</v>
      </c>
      <c r="F839" s="392">
        <v>12.410550883562451</v>
      </c>
      <c r="G839" s="392">
        <v>0</v>
      </c>
      <c r="H839" s="392">
        <v>63.689610798135448</v>
      </c>
      <c r="I839" s="392">
        <v>111</v>
      </c>
      <c r="J839" s="392">
        <v>116.99520889299248</v>
      </c>
      <c r="K839" s="392">
        <v>78</v>
      </c>
      <c r="L839" s="392">
        <v>250.06756336374167</v>
      </c>
      <c r="M839" s="90">
        <v>341</v>
      </c>
      <c r="N839" s="90">
        <v>556.13925369300296</v>
      </c>
      <c r="O839" s="90">
        <v>580</v>
      </c>
      <c r="P839" s="90">
        <v>484.62629529472594</v>
      </c>
      <c r="Q839" s="90">
        <v>35</v>
      </c>
      <c r="R839" s="90">
        <v>97.557105393779921</v>
      </c>
      <c r="S839" s="90">
        <v>49</v>
      </c>
      <c r="T839" s="90">
        <v>163.21150812701455</v>
      </c>
      <c r="U839" s="90">
        <v>397</v>
      </c>
      <c r="V839" s="90">
        <v>506.00945332421168</v>
      </c>
      <c r="W839" s="90">
        <v>363</v>
      </c>
      <c r="X839" s="90">
        <v>498.5556377991611</v>
      </c>
      <c r="Y839" s="233">
        <v>386</v>
      </c>
      <c r="Z839" s="233">
        <v>478.9138571428573</v>
      </c>
      <c r="AA839" s="233">
        <v>265</v>
      </c>
      <c r="AB839" s="233">
        <v>212.88442857142866</v>
      </c>
      <c r="AC839" s="233">
        <v>0</v>
      </c>
      <c r="AD839" s="233">
        <v>0</v>
      </c>
      <c r="AE839" s="233">
        <v>0</v>
      </c>
      <c r="AF839" s="233">
        <v>0</v>
      </c>
      <c r="AG839" s="233">
        <v>0</v>
      </c>
      <c r="AH839" s="233">
        <v>0</v>
      </c>
      <c r="AI839" s="233">
        <v>0</v>
      </c>
      <c r="AJ839" s="233">
        <v>0</v>
      </c>
      <c r="AK839" s="233">
        <v>0</v>
      </c>
      <c r="AL839" s="233">
        <v>0</v>
      </c>
      <c r="AM839" s="233">
        <v>0</v>
      </c>
      <c r="AN839" s="233">
        <v>0</v>
      </c>
      <c r="AO839" s="233">
        <v>0</v>
      </c>
      <c r="AP839" s="233">
        <v>0</v>
      </c>
      <c r="AQ839" s="233">
        <v>0</v>
      </c>
      <c r="AR839" s="233">
        <v>0</v>
      </c>
      <c r="AS839" s="233">
        <v>0</v>
      </c>
      <c r="AT839" s="233">
        <v>0</v>
      </c>
      <c r="AU839" s="233">
        <v>-137</v>
      </c>
      <c r="AV839" s="91">
        <v>0</v>
      </c>
      <c r="AW839" s="90">
        <v>156.47341002835515</v>
      </c>
      <c r="AX839" s="90">
        <v>230.93392389294877</v>
      </c>
      <c r="AY839" s="90">
        <v>297.70068822074597</v>
      </c>
      <c r="AZ839" s="90">
        <v>385.86341340591696</v>
      </c>
      <c r="BA839" s="90">
        <v>448.44916503964794</v>
      </c>
      <c r="BB839" s="90">
        <v>555.06454447486351</v>
      </c>
      <c r="BC839" s="90">
        <v>629.99411879488969</v>
      </c>
      <c r="BD839" s="90">
        <v>761.87817133918713</v>
      </c>
      <c r="BE839" s="90">
        <v>867.54167995827117</v>
      </c>
      <c r="BF839" s="90">
        <v>998.82639814121944</v>
      </c>
      <c r="BG839" s="90">
        <v>1108.5672222589087</v>
      </c>
      <c r="BH839" s="90">
        <v>1254.2327715956644</v>
      </c>
      <c r="BI839" s="90">
        <v>1308.5627279571595</v>
      </c>
      <c r="BJ839" s="90">
        <v>1418.9098716152366</v>
      </c>
      <c r="BK839" s="90">
        <v>1574.8126669323751</v>
      </c>
      <c r="BL839" s="90">
        <v>1704.6650978515324</v>
      </c>
      <c r="BM839" s="90">
        <v>1809.1543227915656</v>
      </c>
      <c r="BN839" s="90">
        <v>1955.4970038735487</v>
      </c>
      <c r="BO839" s="90">
        <v>2062.1898780521042</v>
      </c>
      <c r="BP839" s="90"/>
      <c r="BQ839" s="392">
        <v>0</v>
      </c>
      <c r="BR839" s="392">
        <v>0</v>
      </c>
      <c r="BS839" s="392">
        <v>0</v>
      </c>
      <c r="BT839" s="392">
        <v>0</v>
      </c>
      <c r="BU839" s="392">
        <v>0</v>
      </c>
      <c r="BV839" s="392">
        <v>0</v>
      </c>
      <c r="BW839" s="392">
        <v>0</v>
      </c>
      <c r="BX839" s="392">
        <v>0</v>
      </c>
      <c r="BY839" s="392">
        <v>0</v>
      </c>
      <c r="BZ839" s="392">
        <v>0</v>
      </c>
      <c r="CA839" s="90">
        <v>0</v>
      </c>
      <c r="CB839" s="90">
        <v>0</v>
      </c>
      <c r="CC839" s="90">
        <v>111</v>
      </c>
      <c r="CD839" s="90">
        <v>78</v>
      </c>
      <c r="CE839" s="90">
        <v>341</v>
      </c>
      <c r="CF839" s="90">
        <v>580</v>
      </c>
      <c r="CG839" s="90">
        <v>35</v>
      </c>
      <c r="CH839" s="90">
        <v>49</v>
      </c>
      <c r="CI839" s="90">
        <v>397</v>
      </c>
      <c r="CJ839" s="90">
        <v>363</v>
      </c>
      <c r="CK839" s="233">
        <v>386</v>
      </c>
      <c r="CL839" s="233">
        <v>265</v>
      </c>
      <c r="CM839" s="233">
        <v>0</v>
      </c>
      <c r="CN839" s="233">
        <v>0</v>
      </c>
      <c r="CO839" s="233">
        <v>0</v>
      </c>
      <c r="CP839" s="233">
        <v>0</v>
      </c>
      <c r="CQ839" s="233">
        <v>0</v>
      </c>
      <c r="CR839" s="233">
        <v>0</v>
      </c>
      <c r="CS839" s="233">
        <v>0</v>
      </c>
      <c r="CT839" s="233">
        <v>0</v>
      </c>
      <c r="CU839" s="233">
        <v>0</v>
      </c>
      <c r="CV839" s="91">
        <v>-137</v>
      </c>
      <c r="CW839" s="90">
        <v>156.47341002835515</v>
      </c>
      <c r="CX839" s="90">
        <v>297.70068822074597</v>
      </c>
      <c r="CY839" s="90">
        <v>448.44916503964794</v>
      </c>
      <c r="CZ839" s="90">
        <v>629.99411879488969</v>
      </c>
      <c r="DA839" s="90">
        <v>867.54167995827117</v>
      </c>
      <c r="DB839" s="90">
        <v>1108.5672222589087</v>
      </c>
      <c r="DC839" s="90">
        <v>1308.5627279571595</v>
      </c>
      <c r="DD839" s="90">
        <v>1574.8126669323751</v>
      </c>
      <c r="DE839" s="90">
        <v>1809.1543227915656</v>
      </c>
      <c r="DF839" s="90">
        <v>2062.1898780521042</v>
      </c>
    </row>
    <row r="840" spans="1:110" ht="12" outlineLevel="1">
      <c r="A840" s="1" t="s">
        <v>1014</v>
      </c>
      <c r="B840" s="15" t="s">
        <v>657</v>
      </c>
      <c r="C840" s="207" t="e">
        <v>#VALUE!</v>
      </c>
      <c r="D840" s="207">
        <v>0.47713717693836977</v>
      </c>
      <c r="E840" s="207">
        <v>0.54162679425837335</v>
      </c>
      <c r="F840" s="207">
        <v>0.49126034958601639</v>
      </c>
      <c r="G840" s="207">
        <v>0.55910267471958586</v>
      </c>
      <c r="H840" s="207">
        <v>-2.2868589743589745</v>
      </c>
      <c r="I840" s="207">
        <v>0.59638989169675061</v>
      </c>
      <c r="J840" s="207">
        <v>0.57362355953905242</v>
      </c>
      <c r="K840" s="207">
        <v>0.61425843411839609</v>
      </c>
      <c r="L840" s="207">
        <v>0.57707969749854582</v>
      </c>
      <c r="M840" s="30">
        <v>0.56925583921781642</v>
      </c>
      <c r="N840" s="30">
        <v>0.51172485669619594</v>
      </c>
      <c r="O840" s="30">
        <v>0.41666666666666674</v>
      </c>
      <c r="P840" s="30">
        <v>-0.14744602422327535</v>
      </c>
      <c r="Q840" s="30">
        <v>-0.54579579579579562</v>
      </c>
      <c r="R840" s="30">
        <v>-0.63548387096774195</v>
      </c>
      <c r="S840" s="30">
        <v>-1.4987603305785124</v>
      </c>
      <c r="T840" s="32">
        <v>0.48354430379746838</v>
      </c>
      <c r="U840" s="30">
        <v>0.46438953488372098</v>
      </c>
      <c r="V840" s="30">
        <v>0.33824070666175932</v>
      </c>
      <c r="W840" s="30">
        <v>0.44521548575602626</v>
      </c>
      <c r="X840" s="30">
        <v>0.30218068535825543</v>
      </c>
      <c r="Y840" s="32">
        <v>0.39396825396825397</v>
      </c>
      <c r="Z840" s="32">
        <v>-0.19049118387909322</v>
      </c>
      <c r="AA840" s="32">
        <v>0.5785498489425982</v>
      </c>
      <c r="AB840" s="32">
        <v>0.73092255125284744</v>
      </c>
      <c r="AC840" s="32">
        <v>0.48263406501806061</v>
      </c>
      <c r="AD840" s="32">
        <v>0.66857142857142859</v>
      </c>
      <c r="AE840" s="32">
        <v>0.37316384180790957</v>
      </c>
      <c r="AF840" s="32">
        <v>0.88173975557153128</v>
      </c>
      <c r="AG840" s="32">
        <v>0.69198583842935313</v>
      </c>
      <c r="AH840" s="32">
        <v>0.60476900149031299</v>
      </c>
      <c r="AI840" s="32">
        <v>0.65344528083381581</v>
      </c>
      <c r="AJ840" s="32">
        <v>0.99141139421700542</v>
      </c>
      <c r="AK840" s="32">
        <v>1.0323981295925182</v>
      </c>
      <c r="AL840" s="32">
        <v>0.95707070707070707</v>
      </c>
      <c r="AM840" s="32">
        <v>0.75361321403991743</v>
      </c>
      <c r="AN840" s="32">
        <v>1.6121726822363764</v>
      </c>
      <c r="AO840" s="32">
        <v>0.25756929637526654</v>
      </c>
      <c r="AP840" s="32">
        <v>0.29732441471571902</v>
      </c>
      <c r="AQ840" s="32">
        <v>0.80610972568578554</v>
      </c>
      <c r="AR840" s="32">
        <v>0.92740122068743991</v>
      </c>
      <c r="AS840" s="32">
        <v>0.5185185185185186</v>
      </c>
      <c r="AT840" s="32">
        <v>0.50300339514233472</v>
      </c>
      <c r="AU840" s="32">
        <v>0.6626674107142857</v>
      </c>
      <c r="AV840" s="31">
        <v>0.7975788288288288</v>
      </c>
      <c r="AW840" s="30">
        <v>1.0468377712524515</v>
      </c>
      <c r="AX840" s="30">
        <v>1.0199351029249715</v>
      </c>
      <c r="AY840" s="30">
        <v>0.72472141683936198</v>
      </c>
      <c r="AZ840" s="30">
        <v>0.70689318505846088</v>
      </c>
      <c r="BA840" s="30">
        <v>0.72831080911411628</v>
      </c>
      <c r="BB840" s="30">
        <v>0.69220729086661548</v>
      </c>
      <c r="BC840" s="30">
        <v>0.71781465170078163</v>
      </c>
      <c r="BD840" s="30">
        <v>0.66616106026944766</v>
      </c>
      <c r="BE840" s="30">
        <v>0.69390087978846704</v>
      </c>
      <c r="BF840" s="30">
        <v>0.64171874143074459</v>
      </c>
      <c r="BG840" s="30">
        <v>0.69536644809971337</v>
      </c>
      <c r="BH840" s="30">
        <v>0.73343343986565557</v>
      </c>
      <c r="BI840" s="30">
        <v>0</v>
      </c>
      <c r="BJ840" s="30">
        <v>0</v>
      </c>
      <c r="BK840" s="30">
        <v>0.60182564183032694</v>
      </c>
      <c r="BL840" s="30">
        <v>0.54052228644547828</v>
      </c>
      <c r="BM840" s="30">
        <v>0.70936769892728402</v>
      </c>
      <c r="BN840" s="30">
        <v>0.66531997245549424</v>
      </c>
      <c r="BO840" s="30">
        <v>0.70989814600130097</v>
      </c>
      <c r="BP840" s="30"/>
      <c r="BQ840" s="207">
        <v>-9.7127222982216196E-2</v>
      </c>
      <c r="BR840" s="207">
        <v>0.19573796369376481</v>
      </c>
      <c r="BS840" s="207">
        <v>0.37067773167358226</v>
      </c>
      <c r="BT840" s="207">
        <v>0.35466946484784889</v>
      </c>
      <c r="BU840" s="207">
        <v>0.38620071684587814</v>
      </c>
      <c r="BV840" s="207">
        <v>0.40563620836891545</v>
      </c>
      <c r="BW840" s="207">
        <v>0.42638297872340425</v>
      </c>
      <c r="BX840" s="207">
        <v>0.44389204545454547</v>
      </c>
      <c r="BY840" s="207">
        <v>1.0433973961562306</v>
      </c>
      <c r="BZ840" s="207">
        <v>0.76753393665158376</v>
      </c>
      <c r="CA840" s="30">
        <v>0.50999512432959526</v>
      </c>
      <c r="CB840" s="30">
        <v>0.52626892252894031</v>
      </c>
      <c r="CC840" s="30">
        <v>-0.77022407899734135</v>
      </c>
      <c r="CD840" s="30">
        <v>0.59399936163421652</v>
      </c>
      <c r="CE840" s="30">
        <v>0.57303370786516872</v>
      </c>
      <c r="CF840" s="30">
        <v>0.46359660406483155</v>
      </c>
      <c r="CG840" s="30">
        <v>-0.31166821417517804</v>
      </c>
      <c r="CH840" s="30">
        <v>-1.2591044776119404</v>
      </c>
      <c r="CI840" s="30">
        <v>0.47325263568918385</v>
      </c>
      <c r="CJ840" s="30">
        <v>0.39193400549954172</v>
      </c>
      <c r="CK840" s="32">
        <v>0.35005795661533368</v>
      </c>
      <c r="CL840" s="32">
        <v>0.20197348134443416</v>
      </c>
      <c r="CM840" s="32">
        <v>0.60525945717901841</v>
      </c>
      <c r="CN840" s="32">
        <v>0.5236313236313237</v>
      </c>
      <c r="CO840" s="32">
        <v>0.78162676175921197</v>
      </c>
      <c r="CP840" s="32">
        <v>0.62946100749008671</v>
      </c>
      <c r="CQ840" s="32">
        <v>1.0103283490057036</v>
      </c>
      <c r="CR840" s="32">
        <v>0.86568778979907268</v>
      </c>
      <c r="CS840" s="32">
        <v>0.76689728579031402</v>
      </c>
      <c r="CT840" s="32">
        <v>0.56066473055824462</v>
      </c>
      <c r="CU840" s="32">
        <v>0.7138910207214122</v>
      </c>
      <c r="CV840" s="31">
        <v>0.58019695130176718</v>
      </c>
      <c r="CW840" s="30">
        <v>0.91837102225001599</v>
      </c>
      <c r="CX840" s="30">
        <v>0.87299456378873774</v>
      </c>
      <c r="CY840" s="30">
        <v>0.71744218892589717</v>
      </c>
      <c r="CZ840" s="30">
        <v>0.70477844407646317</v>
      </c>
      <c r="DA840" s="30">
        <v>0.67983110833076132</v>
      </c>
      <c r="DB840" s="30">
        <v>0.66824125098789433</v>
      </c>
      <c r="DC840" s="30">
        <v>0.4018547132028088</v>
      </c>
      <c r="DD840" s="30">
        <v>0.31911876363254466</v>
      </c>
      <c r="DE840" s="30">
        <v>0.62395827211328247</v>
      </c>
      <c r="DF840" s="30">
        <v>0.68721575769163146</v>
      </c>
    </row>
    <row r="841" spans="1:110" ht="12" outlineLevel="1">
      <c r="A841" s="1" t="s">
        <v>1015</v>
      </c>
      <c r="B841" s="15" t="s">
        <v>548</v>
      </c>
      <c r="C841" s="207">
        <v>0.51258680977736781</v>
      </c>
      <c r="D841" s="207">
        <v>0.45027797432294669</v>
      </c>
      <c r="E841" s="207">
        <v>0.51838605987005848</v>
      </c>
      <c r="F841" s="207">
        <v>0.48623838635974942</v>
      </c>
      <c r="G841" s="207">
        <v>0.52776763211279487</v>
      </c>
      <c r="H841" s="207">
        <v>0.54242466381162591</v>
      </c>
      <c r="I841" s="207">
        <v>0.55532347886655964</v>
      </c>
      <c r="J841" s="207">
        <v>0.45621340984297387</v>
      </c>
      <c r="K841" s="207">
        <v>0.53303180368329317</v>
      </c>
      <c r="L841" s="207">
        <v>0.45168860689417262</v>
      </c>
      <c r="M841" s="30">
        <v>0.52293315313985766</v>
      </c>
      <c r="N841" s="30">
        <v>0.45823016281623069</v>
      </c>
      <c r="O841" s="30">
        <v>0.53879449259467949</v>
      </c>
      <c r="P841" s="30">
        <v>0.49972417240117439</v>
      </c>
      <c r="Q841" s="30">
        <v>0.98380481926381824</v>
      </c>
      <c r="R841" s="30">
        <v>0.98372366168974812</v>
      </c>
      <c r="S841" s="30">
        <v>0.47313498862254744</v>
      </c>
      <c r="T841" s="32">
        <v>0.45925854666202065</v>
      </c>
      <c r="U841" s="30">
        <v>0.55221574005949037</v>
      </c>
      <c r="V841" s="30">
        <v>0.49427671674194568</v>
      </c>
      <c r="W841" s="30">
        <v>0.60022140118541722</v>
      </c>
      <c r="X841" s="30">
        <v>0.50175465314443535</v>
      </c>
      <c r="Y841" s="32">
        <v>0.59912641638225261</v>
      </c>
      <c r="Z841" s="32">
        <v>0.51756487867824907</v>
      </c>
      <c r="AA841" s="32">
        <v>0.62357360275625773</v>
      </c>
      <c r="AB841" s="32">
        <v>0.53336276519209214</v>
      </c>
      <c r="AC841" s="32">
        <v>0.60044403385497869</v>
      </c>
      <c r="AD841" s="32">
        <v>0.54092581702737608</v>
      </c>
      <c r="AE841" s="32">
        <v>0.6627112320382289</v>
      </c>
      <c r="AF841" s="32">
        <v>0.74919359139205355</v>
      </c>
      <c r="AG841" s="32">
        <v>0.66248641800597119</v>
      </c>
      <c r="AH841" s="32">
        <v>0.6101727931141504</v>
      </c>
      <c r="AI841" s="32">
        <v>0.59271767082807014</v>
      </c>
      <c r="AJ841" s="32">
        <v>0.58062826984107818</v>
      </c>
      <c r="AK841" s="32">
        <v>0.68730649274235733</v>
      </c>
      <c r="AL841" s="32">
        <v>0.5580115150076288</v>
      </c>
      <c r="AM841" s="32">
        <v>0.70803763994159818</v>
      </c>
      <c r="AN841" s="32">
        <v>0.47683256735750656</v>
      </c>
      <c r="AO841" s="32">
        <v>0.38942914828439607</v>
      </c>
      <c r="AP841" s="32">
        <v>0.59811299925986883</v>
      </c>
      <c r="AQ841" s="32">
        <v>0.56578275890234953</v>
      </c>
      <c r="AR841" s="32">
        <v>0.57829835215085112</v>
      </c>
      <c r="AS841" s="32">
        <v>0.57657701381221071</v>
      </c>
      <c r="AT841" s="32">
        <v>0.55914800410125987</v>
      </c>
      <c r="AU841" s="32">
        <v>0.70156299520666754</v>
      </c>
      <c r="AV841" s="31">
        <v>0.62838953517546658</v>
      </c>
      <c r="AW841" s="30">
        <v>0.66437046354853624</v>
      </c>
      <c r="AX841" s="30">
        <v>0.64251408752929218</v>
      </c>
      <c r="AY841" s="30">
        <v>0.64940987124119343</v>
      </c>
      <c r="AZ841" s="30">
        <v>0.63150170944408346</v>
      </c>
      <c r="BA841" s="30">
        <v>0.65376737866380286</v>
      </c>
      <c r="BB841" s="30">
        <v>0.61787140989349743</v>
      </c>
      <c r="BC841" s="30">
        <v>0.64469917459153758</v>
      </c>
      <c r="BD841" s="30">
        <v>0.60095794736897357</v>
      </c>
      <c r="BE841" s="30">
        <v>0.62168587475283843</v>
      </c>
      <c r="BF841" s="30">
        <v>0.60432596428533347</v>
      </c>
      <c r="BG841" s="30">
        <v>0.62131305506913159</v>
      </c>
      <c r="BH841" s="30">
        <v>0.59312068154548492</v>
      </c>
      <c r="BI841" s="30">
        <v>0.67083192031319849</v>
      </c>
      <c r="BJ841" s="30">
        <v>0.62197050351452554</v>
      </c>
      <c r="BK841" s="30">
        <v>0.59197283627492714</v>
      </c>
      <c r="BL841" s="30">
        <v>0.61751254978556991</v>
      </c>
      <c r="BM841" s="30">
        <v>0.6354152016989274</v>
      </c>
      <c r="BN841" s="30">
        <v>0.61017969387139281</v>
      </c>
      <c r="BO841" s="30">
        <v>0.6364549826485052</v>
      </c>
      <c r="BP841" s="30"/>
      <c r="BQ841" s="207">
        <v>-0.17495383522386623</v>
      </c>
      <c r="BR841" s="207">
        <v>0.33432168793160083</v>
      </c>
      <c r="BS841" s="207">
        <v>0.38858275363765549</v>
      </c>
      <c r="BT841" s="207">
        <v>0.40379693501357455</v>
      </c>
      <c r="BU841" s="207">
        <v>0.43755700092640193</v>
      </c>
      <c r="BV841" s="207">
        <v>0.49409539144144554</v>
      </c>
      <c r="BW841" s="207">
        <v>0.55349613177470813</v>
      </c>
      <c r="BX841" s="207">
        <v>0.49493940125873637</v>
      </c>
      <c r="BY841" s="207">
        <v>0.46240115684474986</v>
      </c>
      <c r="BZ841" s="207">
        <v>0.44337701071684288</v>
      </c>
      <c r="CA841" s="30">
        <v>0.46092217502818839</v>
      </c>
      <c r="CB841" s="30">
        <v>0.50776582885279398</v>
      </c>
      <c r="CC841" s="30">
        <v>0.55764637323268018</v>
      </c>
      <c r="CD841" s="30">
        <v>0.49475917635487782</v>
      </c>
      <c r="CE841" s="30">
        <v>0.4878696399117195</v>
      </c>
      <c r="CF841" s="30">
        <v>0.49852730542295975</v>
      </c>
      <c r="CG841" s="30">
        <v>0.69709835721738522</v>
      </c>
      <c r="CH841" s="30">
        <v>0.61937256834638688</v>
      </c>
      <c r="CI841" s="30">
        <v>0.51268990817116933</v>
      </c>
      <c r="CJ841" s="30">
        <v>0.54699434627873256</v>
      </c>
      <c r="CK841" s="32">
        <v>0.55077178164658969</v>
      </c>
      <c r="CL841" s="32">
        <v>0.5713358850475303</v>
      </c>
      <c r="CM841" s="32">
        <v>0.56750669351838234</v>
      </c>
      <c r="CN841" s="32">
        <v>0.60034160880930787</v>
      </c>
      <c r="CO841" s="32">
        <v>0.70339531081085027</v>
      </c>
      <c r="CP841" s="32">
        <v>0.60118951917117891</v>
      </c>
      <c r="CQ841" s="32">
        <v>0.63000915433016602</v>
      </c>
      <c r="CR841" s="32">
        <v>0.62565259013775076</v>
      </c>
      <c r="CS841" s="32">
        <v>0.42355866544976245</v>
      </c>
      <c r="CT841" s="32">
        <v>0.581369538810942</v>
      </c>
      <c r="CU841" s="32">
        <v>0.57751651456296982</v>
      </c>
      <c r="CV841" s="31">
        <v>0.62774774404207645</v>
      </c>
      <c r="CW841" s="30">
        <v>0.64583414538320427</v>
      </c>
      <c r="CX841" s="30">
        <v>0.64594784837809904</v>
      </c>
      <c r="CY841" s="30">
        <v>0.64247593622797416</v>
      </c>
      <c r="CZ841" s="30">
        <v>0.6310555787463018</v>
      </c>
      <c r="DA841" s="30">
        <v>0.61118341157280032</v>
      </c>
      <c r="DB841" s="30">
        <v>0.61273753001506714</v>
      </c>
      <c r="DC841" s="30">
        <v>0.62866517005881861</v>
      </c>
      <c r="DD841" s="30">
        <v>0.60611604861785684</v>
      </c>
      <c r="DE841" s="30">
        <v>0.62637574402478491</v>
      </c>
      <c r="DF841" s="30">
        <v>0.62310595005601388</v>
      </c>
    </row>
    <row r="842" spans="1:110" ht="12" hidden="1" outlineLevel="2">
      <c r="A842" s="1" t="s">
        <v>1016</v>
      </c>
      <c r="B842" s="15" t="s">
        <v>804</v>
      </c>
      <c r="AV842" s="200"/>
      <c r="CZ842" s="15"/>
      <c r="DA842" s="15"/>
      <c r="DB842" s="15"/>
      <c r="DC842" s="15"/>
      <c r="DD842" s="15"/>
      <c r="DE842" s="15"/>
      <c r="DF842" s="15"/>
    </row>
    <row r="843" spans="1:110" ht="12" hidden="1" outlineLevel="2">
      <c r="A843" s="1" t="s">
        <v>186</v>
      </c>
      <c r="B843" s="15" t="s">
        <v>804</v>
      </c>
      <c r="AV843" s="200"/>
      <c r="CZ843" s="15"/>
      <c r="DA843" s="15"/>
      <c r="DB843" s="15"/>
      <c r="DC843" s="15"/>
      <c r="DD843" s="15"/>
      <c r="DE843" s="15"/>
      <c r="DF843" s="15"/>
    </row>
    <row r="844" spans="1:110" ht="12" hidden="1" outlineLevel="2">
      <c r="A844" s="1" t="s">
        <v>187</v>
      </c>
      <c r="B844" s="15" t="s">
        <v>804</v>
      </c>
      <c r="AV844" s="200"/>
      <c r="CZ844" s="15"/>
      <c r="DA844" s="15"/>
      <c r="DB844" s="15"/>
      <c r="DC844" s="15"/>
      <c r="DD844" s="15"/>
      <c r="DE844" s="15"/>
      <c r="DF844" s="15"/>
    </row>
    <row r="845" spans="1:110" ht="12" hidden="1" outlineLevel="2">
      <c r="A845" s="1" t="s">
        <v>188</v>
      </c>
      <c r="B845" s="15" t="s">
        <v>804</v>
      </c>
      <c r="AV845" s="200"/>
      <c r="CZ845" s="15"/>
      <c r="DA845" s="15"/>
      <c r="DB845" s="15"/>
      <c r="DC845" s="15"/>
      <c r="DD845" s="15"/>
      <c r="DE845" s="15"/>
      <c r="DF845" s="15"/>
    </row>
    <row r="846" spans="1:110" ht="12" hidden="1" outlineLevel="2">
      <c r="A846" s="1" t="s">
        <v>189</v>
      </c>
      <c r="B846" s="15" t="s">
        <v>804</v>
      </c>
      <c r="AV846" s="200"/>
      <c r="CZ846" s="15"/>
      <c r="DA846" s="15"/>
      <c r="DB846" s="15"/>
      <c r="DC846" s="15"/>
      <c r="DD846" s="15"/>
      <c r="DE846" s="15"/>
      <c r="DF846" s="15"/>
    </row>
    <row r="847" spans="1:110" ht="12" hidden="1" outlineLevel="2">
      <c r="A847" s="1" t="s">
        <v>190</v>
      </c>
      <c r="B847" s="15" t="s">
        <v>804</v>
      </c>
      <c r="AV847" s="200"/>
      <c r="CZ847" s="15"/>
      <c r="DA847" s="15"/>
      <c r="DB847" s="15"/>
      <c r="DC847" s="15"/>
      <c r="DD847" s="15"/>
      <c r="DE847" s="15"/>
      <c r="DF847" s="15"/>
    </row>
    <row r="848" spans="1:110" ht="12" hidden="1" outlineLevel="2">
      <c r="A848" s="1" t="s">
        <v>7</v>
      </c>
      <c r="B848" s="15" t="s">
        <v>804</v>
      </c>
      <c r="AV848" s="200"/>
      <c r="CZ848" s="15"/>
      <c r="DA848" s="15"/>
      <c r="DB848" s="15"/>
      <c r="DC848" s="15"/>
      <c r="DD848" s="15"/>
      <c r="DE848" s="15"/>
      <c r="DF848" s="15"/>
    </row>
    <row r="849" spans="1:110" ht="12" hidden="1" outlineLevel="2">
      <c r="A849" s="1" t="s">
        <v>8</v>
      </c>
      <c r="B849" s="15" t="s">
        <v>804</v>
      </c>
      <c r="AV849" s="200"/>
      <c r="CZ849" s="15"/>
      <c r="DA849" s="15"/>
      <c r="DB849" s="15"/>
      <c r="DC849" s="15"/>
      <c r="DD849" s="15"/>
      <c r="DE849" s="15"/>
      <c r="DF849" s="15"/>
    </row>
    <row r="850" spans="1:110" ht="12" hidden="1" outlineLevel="2">
      <c r="A850" s="1" t="s">
        <v>9</v>
      </c>
      <c r="B850" s="15" t="s">
        <v>804</v>
      </c>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247"/>
      <c r="AW850" s="15"/>
      <c r="AX850" s="15"/>
      <c r="AY850" s="15"/>
      <c r="AZ850" s="15"/>
      <c r="BA850" s="15"/>
      <c r="BB850" s="15"/>
      <c r="BC850" s="15"/>
      <c r="BD850" s="15"/>
      <c r="BE850" s="15"/>
      <c r="BF850" s="15"/>
      <c r="BG850" s="15"/>
      <c r="BH850" s="15"/>
      <c r="BI850" s="15"/>
      <c r="BJ850" s="15"/>
      <c r="BK850" s="15"/>
      <c r="BL850" s="15"/>
      <c r="BM850" s="15"/>
      <c r="BN850" s="15"/>
      <c r="BO850" s="15"/>
      <c r="BP850" s="15"/>
      <c r="BQ850" s="15"/>
      <c r="BR850" s="15"/>
      <c r="BS850" s="15"/>
      <c r="BT850" s="15"/>
      <c r="BU850" s="15"/>
      <c r="BV850" s="15"/>
      <c r="BW850" s="15"/>
      <c r="BX850" s="15"/>
      <c r="BY850" s="15"/>
      <c r="BZ850" s="15"/>
      <c r="CA850" s="15"/>
      <c r="CB850" s="15"/>
      <c r="CC850" s="15"/>
      <c r="CD850" s="15"/>
      <c r="CE850" s="15"/>
      <c r="CF850" s="15"/>
      <c r="CG850" s="15"/>
      <c r="CH850" s="15"/>
      <c r="CI850" s="15"/>
      <c r="CJ850" s="15"/>
      <c r="CK850" s="15"/>
      <c r="CL850" s="15"/>
      <c r="CM850" s="15"/>
      <c r="CN850" s="15"/>
      <c r="CO850" s="15"/>
      <c r="CP850" s="15"/>
      <c r="CQ850" s="15"/>
      <c r="CR850" s="15"/>
      <c r="CS850" s="15"/>
      <c r="CT850" s="15"/>
      <c r="CU850" s="15"/>
      <c r="CV850" s="247"/>
      <c r="CW850" s="15"/>
      <c r="CX850" s="15"/>
      <c r="CY850" s="15"/>
      <c r="CZ850" s="15"/>
      <c r="DA850" s="15"/>
      <c r="DB850" s="15"/>
      <c r="DC850" s="15"/>
      <c r="DD850" s="15"/>
      <c r="DE850" s="15"/>
      <c r="DF850" s="15"/>
    </row>
    <row r="851" spans="1:110" ht="12" hidden="1" outlineLevel="2">
      <c r="A851" s="1" t="s">
        <v>10</v>
      </c>
      <c r="B851" s="15" t="s">
        <v>804</v>
      </c>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c r="AA851" s="15"/>
      <c r="AB851" s="15"/>
      <c r="AC851" s="15"/>
      <c r="AD851" s="15"/>
      <c r="AE851" s="15"/>
      <c r="AF851" s="15"/>
      <c r="AG851" s="15"/>
      <c r="AH851" s="15"/>
      <c r="AI851" s="15"/>
      <c r="AJ851" s="15"/>
      <c r="AK851" s="15"/>
      <c r="AL851" s="15"/>
      <c r="AM851" s="15"/>
      <c r="AN851" s="15"/>
      <c r="AO851" s="15"/>
      <c r="AP851" s="15"/>
      <c r="AQ851" s="15"/>
      <c r="AR851" s="15"/>
      <c r="AS851" s="15"/>
      <c r="AT851" s="15"/>
      <c r="AU851" s="15"/>
      <c r="AV851" s="247"/>
      <c r="AW851" s="15"/>
      <c r="AX851" s="15"/>
      <c r="AY851" s="15"/>
      <c r="AZ851" s="15"/>
      <c r="BA851" s="15"/>
      <c r="BB851" s="15"/>
      <c r="BC851" s="15"/>
      <c r="BD851" s="15"/>
      <c r="BE851" s="15"/>
      <c r="BF851" s="15"/>
      <c r="BG851" s="15"/>
      <c r="BH851" s="15"/>
      <c r="BI851" s="15"/>
      <c r="BJ851" s="15"/>
      <c r="BK851" s="15"/>
      <c r="BL851" s="15"/>
      <c r="BM851" s="15"/>
      <c r="BN851" s="15"/>
      <c r="BO851" s="15"/>
      <c r="BP851" s="15"/>
      <c r="BQ851" s="15"/>
      <c r="BR851" s="15"/>
      <c r="BS851" s="15"/>
      <c r="BT851" s="15"/>
      <c r="BU851" s="15"/>
      <c r="BV851" s="15"/>
      <c r="BW851" s="15"/>
      <c r="BX851" s="15"/>
      <c r="BY851" s="15"/>
      <c r="BZ851" s="15"/>
      <c r="CA851" s="15"/>
      <c r="CB851" s="15"/>
      <c r="CC851" s="15"/>
      <c r="CD851" s="15"/>
      <c r="CE851" s="15"/>
      <c r="CF851" s="15"/>
      <c r="CG851" s="15"/>
      <c r="CH851" s="15"/>
      <c r="CI851" s="15"/>
      <c r="CJ851" s="15"/>
      <c r="CK851" s="15"/>
      <c r="CL851" s="15"/>
      <c r="CM851" s="15"/>
      <c r="CN851" s="15"/>
      <c r="CO851" s="15"/>
      <c r="CP851" s="15"/>
      <c r="CQ851" s="15"/>
      <c r="CR851" s="15"/>
      <c r="CS851" s="15"/>
      <c r="CT851" s="15"/>
      <c r="CU851" s="15"/>
      <c r="CV851" s="247"/>
      <c r="CW851" s="15"/>
      <c r="CX851" s="15"/>
      <c r="CY851" s="15"/>
      <c r="CZ851" s="15"/>
      <c r="DA851" s="15"/>
      <c r="DB851" s="15"/>
      <c r="DC851" s="15"/>
      <c r="DD851" s="15"/>
      <c r="DE851" s="15"/>
      <c r="DF851" s="15"/>
    </row>
    <row r="852" spans="1:110" ht="12" outlineLevel="1" collapsed="1">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c r="AA852" s="15"/>
      <c r="AB852" s="403"/>
      <c r="AC852" s="403"/>
      <c r="AD852" s="403"/>
      <c r="AE852" s="403"/>
      <c r="AF852" s="403"/>
      <c r="AG852" s="403"/>
      <c r="AH852" s="403"/>
      <c r="AI852" s="403"/>
      <c r="AJ852" s="403"/>
      <c r="AK852" s="403"/>
      <c r="AL852" s="403"/>
      <c r="AM852" s="403"/>
      <c r="AN852" s="403"/>
      <c r="AO852" s="403"/>
      <c r="AP852" s="403"/>
      <c r="AQ852" s="403"/>
      <c r="AR852" s="403"/>
      <c r="AS852" s="403"/>
      <c r="AT852" s="403"/>
      <c r="AU852" s="403"/>
      <c r="AV852" s="363"/>
      <c r="AW852" s="84"/>
      <c r="AX852" s="84"/>
      <c r="AY852" s="84"/>
      <c r="AZ852" s="84"/>
      <c r="BA852" s="84"/>
      <c r="BB852" s="84"/>
      <c r="BC852" s="84"/>
      <c r="BD852" s="84"/>
      <c r="BE852" s="84"/>
      <c r="BF852" s="84"/>
      <c r="BG852" s="84"/>
      <c r="BH852" s="84"/>
      <c r="BI852" s="84"/>
      <c r="BJ852" s="84"/>
      <c r="BK852" s="84"/>
      <c r="BL852" s="84"/>
      <c r="BM852" s="84"/>
      <c r="BN852" s="84"/>
      <c r="BO852" s="84"/>
      <c r="BP852" s="15"/>
      <c r="BQ852" s="15"/>
      <c r="BR852" s="15"/>
      <c r="BS852" s="15"/>
      <c r="BT852" s="15"/>
      <c r="BU852" s="15"/>
      <c r="BV852" s="15"/>
      <c r="BW852" s="15"/>
      <c r="BX852" s="15"/>
      <c r="BY852" s="15"/>
      <c r="BZ852" s="15"/>
      <c r="CA852" s="15"/>
      <c r="CB852" s="15"/>
      <c r="CC852" s="15"/>
      <c r="CD852" s="15"/>
      <c r="CE852" s="15"/>
      <c r="CF852" s="15"/>
      <c r="CG852" s="15"/>
      <c r="CH852" s="15"/>
      <c r="CI852" s="15"/>
      <c r="CJ852" s="15"/>
      <c r="CK852" s="15"/>
      <c r="CL852" s="15"/>
      <c r="CM852" s="15"/>
      <c r="CN852" s="15"/>
      <c r="CO852" s="15"/>
      <c r="CP852" s="15"/>
      <c r="CQ852" s="15"/>
      <c r="CR852" s="15"/>
      <c r="CS852" s="15"/>
      <c r="CT852" s="15"/>
      <c r="CU852" s="15"/>
      <c r="CV852" s="247"/>
      <c r="CW852" s="15"/>
      <c r="CX852" s="15"/>
      <c r="CY852" s="15"/>
      <c r="CZ852" s="15"/>
      <c r="DA852" s="15"/>
      <c r="DB852" s="15"/>
      <c r="DC852" s="15"/>
      <c r="DD852" s="15"/>
      <c r="DE852" s="15"/>
      <c r="DF852" s="15"/>
    </row>
    <row r="853" spans="1:110" ht="12">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c r="AA853" s="15"/>
      <c r="AB853" s="15"/>
      <c r="AC853" s="15"/>
      <c r="AD853" s="15"/>
      <c r="AE853" s="15"/>
      <c r="AF853" s="15"/>
      <c r="AG853" s="15"/>
      <c r="AH853" s="15"/>
      <c r="AI853" s="15"/>
      <c r="AJ853" s="15"/>
      <c r="AK853" s="15"/>
      <c r="AL853" s="15"/>
      <c r="AM853" s="15"/>
      <c r="AN853" s="15"/>
      <c r="AO853" s="15"/>
      <c r="AP853" s="15"/>
      <c r="AQ853" s="15"/>
      <c r="AR853" s="15"/>
      <c r="AS853" s="15"/>
      <c r="AT853" s="15"/>
      <c r="AU853" s="15"/>
      <c r="AV853" s="247"/>
      <c r="AW853" s="15"/>
      <c r="AX853" s="15"/>
      <c r="AY853" s="15"/>
      <c r="AZ853" s="15"/>
      <c r="BA853" s="15"/>
      <c r="BB853" s="15"/>
      <c r="BC853" s="15"/>
      <c r="BD853" s="15"/>
      <c r="BE853" s="15"/>
      <c r="BF853" s="15"/>
      <c r="BG853" s="15"/>
      <c r="BH853" s="15"/>
      <c r="BI853" s="15"/>
      <c r="BJ853" s="15"/>
      <c r="BK853" s="15"/>
      <c r="BL853" s="15"/>
      <c r="BM853" s="15"/>
      <c r="BN853" s="15"/>
      <c r="BO853" s="15"/>
      <c r="BP853" s="15"/>
      <c r="BQ853" s="15"/>
      <c r="BR853" s="15"/>
      <c r="BS853" s="15"/>
      <c r="BT853" s="15"/>
      <c r="BU853" s="15"/>
      <c r="BV853" s="15"/>
      <c r="BW853" s="15"/>
      <c r="BX853" s="15"/>
      <c r="BY853" s="15"/>
      <c r="BZ853" s="15"/>
      <c r="CA853" s="15"/>
      <c r="CB853" s="15"/>
      <c r="CC853" s="15"/>
      <c r="CD853" s="15"/>
      <c r="CE853" s="15"/>
      <c r="CF853" s="15"/>
      <c r="CG853" s="15"/>
      <c r="CH853" s="15"/>
      <c r="CI853" s="15"/>
      <c r="CJ853" s="15"/>
      <c r="CK853" s="15"/>
      <c r="CL853" s="15"/>
      <c r="CM853" s="15"/>
      <c r="CN853" s="15"/>
      <c r="CO853" s="15"/>
      <c r="CP853" s="15"/>
      <c r="CQ853" s="15"/>
      <c r="CR853" s="15"/>
      <c r="CS853" s="15"/>
      <c r="CT853" s="15"/>
      <c r="CU853" s="15"/>
      <c r="CV853" s="247"/>
      <c r="CW853" s="15"/>
      <c r="CX853" s="15"/>
      <c r="CY853" s="15"/>
      <c r="CZ853" s="15"/>
      <c r="DA853" s="15"/>
      <c r="DB853" s="15"/>
      <c r="DC853" s="15"/>
      <c r="DD853" s="15"/>
      <c r="DE853" s="15"/>
      <c r="DF853" s="15"/>
    </row>
    <row r="854" spans="1:110">
      <c r="AV854" s="200"/>
    </row>
    <row r="855" spans="1:110">
      <c r="AV855" s="200"/>
    </row>
    <row r="856" spans="1:110">
      <c r="AV856" s="200"/>
    </row>
    <row r="857" spans="1:110" ht="12">
      <c r="B857" s="510" t="s">
        <v>2448</v>
      </c>
      <c r="C857" s="329">
        <v>0.99208600000000002</v>
      </c>
      <c r="D857" s="329">
        <v>0.99208600000000002</v>
      </c>
      <c r="E857" s="329">
        <v>0.99208600000000002</v>
      </c>
      <c r="F857" s="329">
        <v>0.99208600000000002</v>
      </c>
      <c r="G857" s="329">
        <v>0.99208600000000002</v>
      </c>
      <c r="H857" s="329">
        <v>0.99208600000000002</v>
      </c>
      <c r="I857" s="329">
        <v>0.99208600000000002</v>
      </c>
      <c r="J857" s="329">
        <v>0.99208600000000002</v>
      </c>
      <c r="K857" s="329">
        <v>0.99208600000000002</v>
      </c>
      <c r="L857" s="329">
        <v>0.99208600000000002</v>
      </c>
      <c r="M857" s="329">
        <v>0.99208600000000002</v>
      </c>
      <c r="N857" s="329">
        <v>0.99208600000000002</v>
      </c>
      <c r="O857" s="329">
        <v>0.99208600000000002</v>
      </c>
      <c r="P857" s="329">
        <v>0.99208600000000002</v>
      </c>
      <c r="Q857" s="329">
        <v>0.99208600000000002</v>
      </c>
      <c r="R857" s="329">
        <v>0.99208600000000002</v>
      </c>
      <c r="S857" s="329">
        <v>0.99208600000000002</v>
      </c>
      <c r="T857" s="329">
        <v>0.99208600000000002</v>
      </c>
      <c r="U857" s="329">
        <v>0.99208600000000002</v>
      </c>
      <c r="V857" s="329">
        <v>0.99208600000000002</v>
      </c>
      <c r="W857" s="329">
        <v>0.99208600000000002</v>
      </c>
      <c r="X857" s="329">
        <v>0.99208600000000002</v>
      </c>
      <c r="Y857" s="329">
        <v>0.99208600000000002</v>
      </c>
      <c r="Z857" s="329">
        <v>0.99208600000000002</v>
      </c>
      <c r="AA857" s="329">
        <v>0.99208600000000002</v>
      </c>
      <c r="AB857" s="329">
        <v>0.99208600000000002</v>
      </c>
      <c r="AC857" s="329">
        <v>0.99208600000000002</v>
      </c>
      <c r="AD857" s="329">
        <v>0.99208600000000002</v>
      </c>
      <c r="AE857" s="329">
        <v>0.99208600000000002</v>
      </c>
      <c r="AF857" s="329">
        <v>0.99208600000000002</v>
      </c>
      <c r="AG857" s="329">
        <v>0.99208600000000002</v>
      </c>
      <c r="AH857" s="329">
        <v>0.99208600000000002</v>
      </c>
      <c r="AI857" s="329">
        <v>0.99208600000000002</v>
      </c>
      <c r="AJ857" s="329">
        <v>0.99208600000000002</v>
      </c>
      <c r="AK857" s="329">
        <v>0.99208600000000002</v>
      </c>
      <c r="AL857" s="329">
        <v>0.99208600000000002</v>
      </c>
      <c r="AM857" s="329">
        <v>0.99208600000000002</v>
      </c>
      <c r="AN857" s="329">
        <v>0.99208600000000002</v>
      </c>
      <c r="AO857" s="329">
        <v>0.99208600000000002</v>
      </c>
      <c r="AP857" s="329">
        <v>0.99208600000000002</v>
      </c>
      <c r="AQ857" s="329">
        <v>0.99208600000000002</v>
      </c>
      <c r="AR857" s="329">
        <v>0.99208600000000002</v>
      </c>
      <c r="AS857" s="546">
        <v>1</v>
      </c>
      <c r="AT857" s="546">
        <v>1</v>
      </c>
      <c r="AU857" s="546">
        <v>1</v>
      </c>
      <c r="AV857" s="537">
        <v>1</v>
      </c>
      <c r="AW857" s="527">
        <v>1</v>
      </c>
      <c r="AX857" s="527">
        <v>1</v>
      </c>
      <c r="AY857" s="527">
        <v>1</v>
      </c>
      <c r="AZ857" s="527">
        <v>1</v>
      </c>
      <c r="BA857" s="527">
        <v>1</v>
      </c>
      <c r="BB857" s="527">
        <v>1</v>
      </c>
      <c r="BC857" s="527">
        <v>1</v>
      </c>
      <c r="BD857" s="527">
        <v>1</v>
      </c>
      <c r="BE857" s="527">
        <v>1</v>
      </c>
      <c r="BF857" s="527">
        <v>1</v>
      </c>
      <c r="BG857" s="527">
        <v>1</v>
      </c>
      <c r="BH857" s="527">
        <v>1</v>
      </c>
      <c r="BI857" s="527">
        <v>1</v>
      </c>
      <c r="BJ857" s="527">
        <v>1</v>
      </c>
      <c r="BK857" s="527">
        <v>1</v>
      </c>
      <c r="BL857" s="527">
        <v>1</v>
      </c>
      <c r="BM857" s="527">
        <v>1</v>
      </c>
      <c r="BN857" s="527">
        <v>1</v>
      </c>
      <c r="BO857" s="527">
        <v>1</v>
      </c>
      <c r="BP857" s="15"/>
      <c r="BQ857" s="528">
        <v>0.99208600000000002</v>
      </c>
      <c r="BR857" s="528">
        <v>0.99208600000000002</v>
      </c>
      <c r="BS857" s="528">
        <v>0.99208600000000002</v>
      </c>
      <c r="BT857" s="528">
        <v>0.99208600000000002</v>
      </c>
      <c r="BU857" s="528">
        <v>0.99208600000000002</v>
      </c>
      <c r="BV857" s="528">
        <v>0.99208600000000002</v>
      </c>
      <c r="BW857" s="528">
        <v>0.99208600000000002</v>
      </c>
      <c r="BX857" s="528">
        <v>0.99208600000000002</v>
      </c>
      <c r="BY857" s="528">
        <v>0.99208600000000002</v>
      </c>
      <c r="BZ857" s="528">
        <v>0.99208600000000002</v>
      </c>
      <c r="CA857" s="529">
        <v>0.99208600000000002</v>
      </c>
      <c r="CB857" s="529">
        <v>0.99208600000000002</v>
      </c>
      <c r="CC857" s="529">
        <v>0.99208600000000002</v>
      </c>
      <c r="CD857" s="529">
        <v>0.99208600000000002</v>
      </c>
      <c r="CE857" s="529">
        <v>0.99208600000000002</v>
      </c>
      <c r="CF857" s="529">
        <v>0.99208600000000002</v>
      </c>
      <c r="CG857" s="529">
        <v>0.99208600000000002</v>
      </c>
      <c r="CH857" s="529">
        <v>0.99208600000000002</v>
      </c>
      <c r="CI857" s="529">
        <v>0.99208600000000002</v>
      </c>
      <c r="CJ857" s="529">
        <v>0.99208600000000002</v>
      </c>
      <c r="CK857" s="529">
        <v>0.99208600000000002</v>
      </c>
      <c r="CL857" s="529">
        <v>0.99208600000000002</v>
      </c>
      <c r="CM857" s="529">
        <v>0.99208600000000002</v>
      </c>
      <c r="CN857" s="529">
        <v>0.99208600000000002</v>
      </c>
      <c r="CO857" s="529">
        <v>0.99208600000000002</v>
      </c>
      <c r="CP857" s="529">
        <v>0.99208600000000002</v>
      </c>
      <c r="CQ857" s="529">
        <v>0.99208600000000002</v>
      </c>
      <c r="CR857" s="529">
        <v>0.99208600000000002</v>
      </c>
      <c r="CS857" s="529">
        <v>0.99208600000000002</v>
      </c>
      <c r="CT857" s="529">
        <v>0.99208600000000002</v>
      </c>
      <c r="CU857" s="529">
        <v>1</v>
      </c>
      <c r="CV857" s="530">
        <v>1</v>
      </c>
      <c r="CW857" s="529">
        <v>1</v>
      </c>
      <c r="CX857" s="529">
        <v>1</v>
      </c>
      <c r="CY857" s="529">
        <v>1</v>
      </c>
      <c r="CZ857" s="529">
        <v>1</v>
      </c>
      <c r="DA857" s="529">
        <v>1</v>
      </c>
      <c r="DB857" s="529">
        <v>1</v>
      </c>
      <c r="DC857" s="529">
        <v>1</v>
      </c>
      <c r="DD857" s="529">
        <v>1</v>
      </c>
      <c r="DE857" s="529">
        <v>1</v>
      </c>
      <c r="DF857" s="529">
        <v>1</v>
      </c>
    </row>
  </sheetData>
  <phoneticPr fontId="12" type="noConversion"/>
  <pageMargins left="0.75" right="0.75" top="1" bottom="1" header="0.5" footer="0.5"/>
  <pageSetup paperSize="123" orientation="portrait" r:id="rId1"/>
  <headerFooter alignWithMargins="0"/>
  <customProperties>
    <customPr name="Qube.Worksheet.Visibility" r:id="rId2"/>
    <customPr name="SHEET_UNIQUE_ID" r:id="rId3"/>
  </customProperties>
  <legacy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B8F46-DE75-4005-A15A-BD7169DC6C01}">
  <sheetPr>
    <pageSetUpPr autoPageBreaks="0"/>
  </sheetPr>
  <dimension ref="B2:BG78"/>
  <sheetViews>
    <sheetView zoomScaleNormal="100" workbookViewId="0">
      <pane xSplit="2" ySplit="4" topLeftCell="AS17" activePane="bottomRight" state="frozen"/>
      <selection pane="topRight" activeCell="C1" sqref="C1"/>
      <selection pane="bottomLeft" activeCell="A5" sqref="A5"/>
      <selection pane="bottomRight" activeCell="AW50" sqref="AW50"/>
    </sheetView>
  </sheetViews>
  <sheetFormatPr defaultColWidth="9" defaultRowHeight="12.75" outlineLevelRow="1" outlineLevelCol="1"/>
  <cols>
    <col min="1" max="1" width="9" style="579"/>
    <col min="2" max="2" width="34.75" style="579" bestFit="1" customWidth="1"/>
    <col min="3" max="12" width="10.625" style="579" hidden="1" customWidth="1" outlineLevel="1"/>
    <col min="13" max="13" width="10.625" style="579" customWidth="1" collapsed="1"/>
    <col min="14" max="30" width="10.625" style="579" customWidth="1"/>
    <col min="31" max="38" width="10.625" style="579" hidden="1" customWidth="1" outlineLevel="1"/>
    <col min="39" max="39" width="10.625" style="579" customWidth="1" collapsed="1"/>
    <col min="40" max="44" width="10.625" style="579" hidden="1" customWidth="1" outlineLevel="1"/>
    <col min="45" max="45" width="10.625" style="579" customWidth="1" collapsed="1"/>
    <col min="46" max="47" width="10.625" style="579" customWidth="1"/>
    <col min="48" max="48" width="10.625" style="587" customWidth="1"/>
    <col min="49" max="53" width="10.625" style="579" customWidth="1"/>
    <col min="54" max="57" width="10.625" style="579" hidden="1" customWidth="1" outlineLevel="1"/>
    <col min="58" max="58" width="9" style="579" collapsed="1"/>
    <col min="59" max="16384" width="9" style="579"/>
  </cols>
  <sheetData>
    <row r="2" spans="2:57">
      <c r="C2" s="3" t="str">
        <f>Model!AH1</f>
        <v>1H17A</v>
      </c>
      <c r="D2" s="3" t="str">
        <f>Model!AI1</f>
        <v>2H17A</v>
      </c>
      <c r="E2" s="3" t="str">
        <f>Model!AJ1</f>
        <v>1H18A</v>
      </c>
      <c r="F2" s="3" t="str">
        <f>Model!AK1</f>
        <v>2H18A</v>
      </c>
      <c r="G2" s="3" t="str">
        <f>Model!AL1</f>
        <v>1H19A</v>
      </c>
      <c r="H2" s="3" t="str">
        <f>Model!AM1</f>
        <v>2H19A</v>
      </c>
      <c r="I2" s="3" t="str">
        <f>Model!AN1</f>
        <v>1H20A</v>
      </c>
      <c r="J2" s="3" t="str">
        <f>Model!AO1</f>
        <v>2H20A</v>
      </c>
      <c r="K2" s="3" t="str">
        <f>Model!AP1</f>
        <v>1H21A</v>
      </c>
      <c r="L2" s="3" t="str">
        <f>Model!AQ1</f>
        <v>2H21A</v>
      </c>
      <c r="M2" s="3" t="str">
        <f>Model!AR1</f>
        <v>1H22A</v>
      </c>
      <c r="N2" s="3" t="str">
        <f>Model!AS1</f>
        <v>2H22A</v>
      </c>
      <c r="O2" s="3" t="str">
        <f>Model!AT1</f>
        <v>1H23A</v>
      </c>
      <c r="P2" s="3" t="str">
        <f>Model!AU1</f>
        <v>2H23A</v>
      </c>
      <c r="Q2" s="3" t="str">
        <f>Model!AV1</f>
        <v>1H24A</v>
      </c>
      <c r="R2" s="3" t="str">
        <f>Model!AW1</f>
        <v>2H24A</v>
      </c>
      <c r="S2" s="3" t="str">
        <f>Model!AX1</f>
        <v>1H25A</v>
      </c>
      <c r="T2" s="195" t="str">
        <f>Model!AY1</f>
        <v>2H25A</v>
      </c>
      <c r="U2" s="3" t="str">
        <f>Model!AZ1</f>
        <v>1H26E</v>
      </c>
      <c r="V2" s="3" t="str">
        <f>Model!BA1</f>
        <v>2H26E</v>
      </c>
      <c r="W2" s="3" t="str">
        <f>Model!BB1</f>
        <v>1H27E</v>
      </c>
      <c r="X2" s="3" t="str">
        <f>Model!BC1</f>
        <v>2H27E</v>
      </c>
      <c r="Y2" s="3" t="str">
        <f>Model!BD1</f>
        <v>1H28E</v>
      </c>
      <c r="Z2" s="3" t="str">
        <f>Model!BE1</f>
        <v>2H28E</v>
      </c>
      <c r="AA2" s="3" t="str">
        <f>Model!BF1</f>
        <v>1H29E</v>
      </c>
      <c r="AB2" s="3" t="str">
        <f>Model!BG1</f>
        <v>2H29E</v>
      </c>
      <c r="AC2" s="3" t="str">
        <f>Model!BH1</f>
        <v>1H30E</v>
      </c>
      <c r="AD2" s="3" t="str">
        <f>Model!BI1</f>
        <v>2H30E</v>
      </c>
      <c r="AE2" s="3" t="str">
        <f>Model!BJ1</f>
        <v>1H31E</v>
      </c>
      <c r="AF2" s="3" t="str">
        <f>Model!BK1</f>
        <v>2H31E</v>
      </c>
      <c r="AG2" s="3" t="str">
        <f>Model!BL1</f>
        <v>1H32E</v>
      </c>
      <c r="AH2" s="3" t="str">
        <f>Model!BM1</f>
        <v>2H32E</v>
      </c>
      <c r="AI2" s="3" t="str">
        <f>Model!BN1</f>
        <v>1H33E</v>
      </c>
      <c r="AJ2" s="3" t="str">
        <f>Model!BO1</f>
        <v>2H33E</v>
      </c>
      <c r="AK2" s="3" t="str">
        <f>Model!BP1</f>
        <v>1H34E</v>
      </c>
      <c r="AL2" s="3" t="str">
        <f>Model!BQ1</f>
        <v>2H34E</v>
      </c>
      <c r="AN2" s="3" t="str">
        <f>Model!CR1</f>
        <v>FY17A</v>
      </c>
      <c r="AO2" s="3" t="str">
        <f>Model!CS1</f>
        <v>FY18A</v>
      </c>
      <c r="AP2" s="3" t="str">
        <f>Model!CT1</f>
        <v>FY19A</v>
      </c>
      <c r="AQ2" s="3" t="str">
        <f>Model!CU1</f>
        <v>FY20A</v>
      </c>
      <c r="AR2" s="3" t="str">
        <f>Model!CV1</f>
        <v>FY21A</v>
      </c>
      <c r="AS2" s="3" t="str">
        <f>Model!CW1</f>
        <v>FY22A</v>
      </c>
      <c r="AT2" s="3" t="str">
        <f>Model!CX1</f>
        <v>FY23A</v>
      </c>
      <c r="AU2" s="3" t="str">
        <f>Model!CY1</f>
        <v>FY24A</v>
      </c>
      <c r="AV2" s="195" t="str">
        <f>Model!CZ1</f>
        <v>FY25A</v>
      </c>
      <c r="AW2" s="3" t="str">
        <f>Model!DA1</f>
        <v>FY26E</v>
      </c>
      <c r="AX2" s="3" t="str">
        <f>Model!DB1</f>
        <v>FY27E</v>
      </c>
      <c r="AY2" s="3" t="str">
        <f>Model!DC1</f>
        <v>FY28E</v>
      </c>
      <c r="AZ2" s="3" t="str">
        <f>Model!DD1</f>
        <v>FY29E</v>
      </c>
      <c r="BA2" s="3" t="str">
        <f>Model!DE1</f>
        <v>FY30E</v>
      </c>
      <c r="BB2" s="3" t="str">
        <f>Model!DF1</f>
        <v>FY31E</v>
      </c>
      <c r="BC2" s="3" t="str">
        <f>Model!DG1</f>
        <v>FY32E</v>
      </c>
      <c r="BD2" s="3" t="str">
        <f>Model!DH1</f>
        <v>FY33E</v>
      </c>
      <c r="BE2" s="3" t="str">
        <f>Model!DI1</f>
        <v>FY34E</v>
      </c>
    </row>
    <row r="3" spans="2:57">
      <c r="C3" s="6">
        <f>Model!AH3</f>
        <v>42825</v>
      </c>
      <c r="D3" s="6">
        <f>Model!AI3</f>
        <v>43008</v>
      </c>
      <c r="E3" s="6">
        <f>Model!AJ3</f>
        <v>43190</v>
      </c>
      <c r="F3" s="6">
        <f>Model!AK3</f>
        <v>43373</v>
      </c>
      <c r="G3" s="6">
        <f>Model!AL3</f>
        <v>43555</v>
      </c>
      <c r="H3" s="6">
        <f>Model!AM3</f>
        <v>43738</v>
      </c>
      <c r="I3" s="6">
        <f>Model!AN3</f>
        <v>43921</v>
      </c>
      <c r="J3" s="6">
        <f>Model!AO3</f>
        <v>44104</v>
      </c>
      <c r="K3" s="6">
        <f>Model!AP3</f>
        <v>44286</v>
      </c>
      <c r="L3" s="6">
        <f>Model!AQ3</f>
        <v>44469</v>
      </c>
      <c r="M3" s="6">
        <f>Model!AR3</f>
        <v>44651</v>
      </c>
      <c r="N3" s="6">
        <f>Model!AS3</f>
        <v>44834</v>
      </c>
      <c r="O3" s="6">
        <f>Model!AT3</f>
        <v>45016</v>
      </c>
      <c r="P3" s="6">
        <f>Model!AU3</f>
        <v>45199</v>
      </c>
      <c r="Q3" s="6">
        <f>Model!AV3</f>
        <v>45382</v>
      </c>
      <c r="R3" s="6">
        <f>Model!AW3</f>
        <v>45565</v>
      </c>
      <c r="S3" s="6">
        <f>Model!AX3</f>
        <v>45747</v>
      </c>
      <c r="T3" s="196">
        <f>Model!AY3</f>
        <v>45930</v>
      </c>
      <c r="U3" s="6">
        <f>Model!AZ3</f>
        <v>46112</v>
      </c>
      <c r="V3" s="6">
        <f>Model!BA3</f>
        <v>46295</v>
      </c>
      <c r="W3" s="6">
        <f>Model!BB3</f>
        <v>46477</v>
      </c>
      <c r="X3" s="6">
        <f>Model!BC3</f>
        <v>46660</v>
      </c>
      <c r="Y3" s="6">
        <f>Model!BD3</f>
        <v>46843</v>
      </c>
      <c r="Z3" s="6">
        <f>Model!BE3</f>
        <v>47026</v>
      </c>
      <c r="AA3" s="6">
        <f>Model!BF3</f>
        <v>47208</v>
      </c>
      <c r="AB3" s="6">
        <f>Model!BG3</f>
        <v>47391</v>
      </c>
      <c r="AC3" s="6">
        <f>Model!BH3</f>
        <v>47573</v>
      </c>
      <c r="AD3" s="6">
        <f>Model!BI3</f>
        <v>47756</v>
      </c>
      <c r="AE3" s="6">
        <f>Model!BJ3</f>
        <v>47938</v>
      </c>
      <c r="AF3" s="6">
        <f>Model!BK3</f>
        <v>48121</v>
      </c>
      <c r="AG3" s="6">
        <f>Model!BL3</f>
        <v>48304</v>
      </c>
      <c r="AH3" s="6">
        <f>Model!BM3</f>
        <v>48487</v>
      </c>
      <c r="AI3" s="6">
        <f>Model!BN3</f>
        <v>48669</v>
      </c>
      <c r="AJ3" s="6">
        <f>Model!BO3</f>
        <v>48852</v>
      </c>
      <c r="AK3" s="6">
        <f>Model!BP3</f>
        <v>49034</v>
      </c>
      <c r="AL3" s="6">
        <f>Model!BQ3</f>
        <v>49217</v>
      </c>
      <c r="AN3" s="6">
        <f>Model!CR3</f>
        <v>43008</v>
      </c>
      <c r="AO3" s="6">
        <f>Model!CS3</f>
        <v>43373</v>
      </c>
      <c r="AP3" s="6">
        <f>Model!CT3</f>
        <v>43738</v>
      </c>
      <c r="AQ3" s="6">
        <f>Model!CU3</f>
        <v>44104</v>
      </c>
      <c r="AR3" s="6">
        <f>Model!CV3</f>
        <v>44469</v>
      </c>
      <c r="AS3" s="6">
        <f>Model!CW3</f>
        <v>44834</v>
      </c>
      <c r="AT3" s="6">
        <f>Model!CX3</f>
        <v>45199</v>
      </c>
      <c r="AU3" s="6">
        <f>Model!CY3</f>
        <v>45565</v>
      </c>
      <c r="AV3" s="196">
        <f>Model!CZ3</f>
        <v>45930</v>
      </c>
      <c r="AW3" s="6">
        <f>Model!DA3</f>
        <v>46295</v>
      </c>
      <c r="AX3" s="6">
        <f>Model!DB3</f>
        <v>46660</v>
      </c>
      <c r="AY3" s="6">
        <f>Model!DC3</f>
        <v>47026</v>
      </c>
      <c r="AZ3" s="6">
        <f>Model!DD3</f>
        <v>47391</v>
      </c>
      <c r="BA3" s="6">
        <f>Model!DE3</f>
        <v>47756</v>
      </c>
      <c r="BB3" s="6">
        <f>Model!DF3</f>
        <v>48121</v>
      </c>
      <c r="BC3" s="6">
        <f>Model!DG3</f>
        <v>48487</v>
      </c>
      <c r="BD3" s="6">
        <f>Model!DH3</f>
        <v>48852</v>
      </c>
      <c r="BE3" s="6">
        <f>Model!DI3</f>
        <v>49217</v>
      </c>
    </row>
    <row r="4" spans="2:57">
      <c r="C4" s="11">
        <f>Model!AH5</f>
        <v>2.0054945054945055</v>
      </c>
      <c r="D4" s="11">
        <f>Model!AI5</f>
        <v>1.9945355191256831</v>
      </c>
      <c r="E4" s="11">
        <f>Model!AJ5</f>
        <v>2.0054945054945055</v>
      </c>
      <c r="F4" s="11">
        <f>Model!AK5</f>
        <v>1.9945355191256831</v>
      </c>
      <c r="G4" s="11">
        <f>Model!AL5</f>
        <v>2.0054945054945055</v>
      </c>
      <c r="H4" s="11">
        <f>Model!AM5</f>
        <v>1.9945355191256831</v>
      </c>
      <c r="I4" s="11">
        <f>Model!AN5</f>
        <v>2</v>
      </c>
      <c r="J4" s="11">
        <f>Model!AO5</f>
        <v>2</v>
      </c>
      <c r="K4" s="11">
        <f>Model!AP5</f>
        <v>2.0054945054945055</v>
      </c>
      <c r="L4" s="11">
        <f>Model!AQ5</f>
        <v>1.9945355191256831</v>
      </c>
      <c r="M4" s="11">
        <f>Model!AR5</f>
        <v>2.0054945054945055</v>
      </c>
      <c r="N4" s="11">
        <f>Model!AS5</f>
        <v>1.9945355191256831</v>
      </c>
      <c r="O4" s="11">
        <f>Model!AT5</f>
        <v>2.0054945054945055</v>
      </c>
      <c r="P4" s="11">
        <f>Model!AU5</f>
        <v>1.9945355191256831</v>
      </c>
      <c r="Q4" s="11">
        <f>Model!AV5</f>
        <v>2</v>
      </c>
      <c r="R4" s="11">
        <f>Model!AW5</f>
        <v>2</v>
      </c>
      <c r="S4" s="11">
        <f>Model!AX5</f>
        <v>2.0054945054945055</v>
      </c>
      <c r="T4" s="198">
        <f>Model!AY5</f>
        <v>1.9945355191256831</v>
      </c>
      <c r="U4" s="11">
        <f>Model!AZ5</f>
        <v>2.0054945054945055</v>
      </c>
      <c r="V4" s="11">
        <f>Model!BA5</f>
        <v>1.9945355191256831</v>
      </c>
      <c r="W4" s="11">
        <f>Model!BB5</f>
        <v>2.0054945054945055</v>
      </c>
      <c r="X4" s="11">
        <f>Model!BC5</f>
        <v>1.9945355191256831</v>
      </c>
      <c r="Y4" s="11">
        <f>Model!BD5</f>
        <v>2</v>
      </c>
      <c r="Z4" s="11">
        <f>Model!BE5</f>
        <v>2</v>
      </c>
      <c r="AA4" s="11">
        <f>Model!BF5</f>
        <v>2.0054945054945055</v>
      </c>
      <c r="AB4" s="11">
        <f>Model!BG5</f>
        <v>1.9945355191256831</v>
      </c>
      <c r="AC4" s="11">
        <f>Model!BH5</f>
        <v>2.0054945054945055</v>
      </c>
      <c r="AD4" s="11">
        <f>Model!BI5</f>
        <v>1.9945355191256831</v>
      </c>
      <c r="AE4" s="11">
        <f>Model!BJ5</f>
        <v>2.0054945054945055</v>
      </c>
      <c r="AF4" s="11">
        <f>Model!BK5</f>
        <v>1.9945355191256831</v>
      </c>
      <c r="AG4" s="11">
        <f>Model!BL5</f>
        <v>2</v>
      </c>
      <c r="AH4" s="11">
        <f>Model!BM5</f>
        <v>2</v>
      </c>
      <c r="AI4" s="11">
        <f>Model!BN5</f>
        <v>2.0054945054945055</v>
      </c>
      <c r="AJ4" s="11">
        <f>Model!BO5</f>
        <v>1.9945355191256831</v>
      </c>
      <c r="AK4" s="11">
        <f>Model!BP5</f>
        <v>2.0054945054945055</v>
      </c>
      <c r="AL4" s="11">
        <f>Model!BQ5</f>
        <v>1.9945355191256831</v>
      </c>
      <c r="AN4" s="11">
        <f>Model!CR5</f>
        <v>1</v>
      </c>
      <c r="AO4" s="11">
        <f>Model!CS5</f>
        <v>1</v>
      </c>
      <c r="AP4" s="11">
        <f>Model!CT5</f>
        <v>1</v>
      </c>
      <c r="AQ4" s="11">
        <f>Model!CU5</f>
        <v>1</v>
      </c>
      <c r="AR4" s="11">
        <f>Model!CV5</f>
        <v>1</v>
      </c>
      <c r="AS4" s="11">
        <f>Model!CW5</f>
        <v>1</v>
      </c>
      <c r="AT4" s="11">
        <f>Model!CX5</f>
        <v>1</v>
      </c>
      <c r="AU4" s="11">
        <f>Model!CY5</f>
        <v>1</v>
      </c>
      <c r="AV4" s="198">
        <f>Model!CZ5</f>
        <v>1</v>
      </c>
      <c r="AW4" s="11">
        <f>Model!DA5</f>
        <v>1</v>
      </c>
      <c r="AX4" s="11">
        <f>Model!DB5</f>
        <v>1</v>
      </c>
      <c r="AY4" s="11">
        <f>Model!DC5</f>
        <v>1</v>
      </c>
      <c r="AZ4" s="11">
        <f>Model!DD5</f>
        <v>1</v>
      </c>
      <c r="BA4" s="11">
        <f>Model!DE5</f>
        <v>1</v>
      </c>
      <c r="BB4" s="11">
        <f>Model!DF5</f>
        <v>1</v>
      </c>
      <c r="BC4" s="11">
        <f>Model!DG5</f>
        <v>1</v>
      </c>
      <c r="BD4" s="11">
        <f>Model!DH5</f>
        <v>1</v>
      </c>
      <c r="BE4" s="11">
        <f>Model!DI5</f>
        <v>1</v>
      </c>
    </row>
    <row r="5" spans="2:57" ht="15.95" customHeight="1">
      <c r="B5" s="578" t="s">
        <v>2527</v>
      </c>
      <c r="T5" s="587"/>
    </row>
    <row r="6" spans="2:57" ht="15.95" customHeight="1">
      <c r="B6" s="579" t="s">
        <v>585</v>
      </c>
      <c r="C6" s="582">
        <f>Model!AH379</f>
        <v>14426</v>
      </c>
      <c r="D6" s="582">
        <f>Model!AI379</f>
        <v>14694</v>
      </c>
      <c r="E6" s="582">
        <f>Model!AJ379</f>
        <v>14849</v>
      </c>
      <c r="F6" s="582">
        <f>Model!AK379</f>
        <v>15478.000000000002</v>
      </c>
      <c r="G6" s="582">
        <f>Model!AL379</f>
        <v>15971</v>
      </c>
      <c r="H6" s="582">
        <f>Model!AM379</f>
        <v>15107</v>
      </c>
      <c r="I6" s="582">
        <f>Model!AN379</f>
        <v>13800</v>
      </c>
      <c r="J6" s="582">
        <f>Model!AO379</f>
        <v>10626</v>
      </c>
      <c r="K6" s="582">
        <f>Model!AP379</f>
        <v>9879</v>
      </c>
      <c r="L6" s="582">
        <f>Model!AQ379</f>
        <v>9650</v>
      </c>
      <c r="M6" s="582">
        <f>Model!AR379</f>
        <v>9707</v>
      </c>
      <c r="N6" s="582">
        <f>Model!AS379</f>
        <v>13902</v>
      </c>
      <c r="O6" s="582">
        <f>Model!AT379</f>
        <v>22830</v>
      </c>
      <c r="P6" s="582">
        <f>Model!AU379</f>
        <v>27072</v>
      </c>
      <c r="Q6" s="582">
        <f>Model!AV379</f>
        <v>29811</v>
      </c>
      <c r="R6" s="582">
        <f>Model!AW379</f>
        <v>30828</v>
      </c>
      <c r="S6" s="582">
        <f>Model!AX379</f>
        <v>32734</v>
      </c>
      <c r="T6" s="588">
        <f>Model!AY379</f>
        <v>31189</v>
      </c>
      <c r="U6" s="582">
        <f>Model!AZ379</f>
        <v>32407.351549588209</v>
      </c>
      <c r="V6" s="582">
        <f>Model!BA379</f>
        <v>35723.478665056893</v>
      </c>
      <c r="W6" s="582">
        <f>Model!BB379</f>
        <v>35614.137110144628</v>
      </c>
      <c r="X6" s="582">
        <f>Model!BC379</f>
        <v>33938.077387252277</v>
      </c>
      <c r="Y6" s="582">
        <f>Model!BD379</f>
        <v>34347.831510416217</v>
      </c>
      <c r="Z6" s="582">
        <f>Model!BE379</f>
        <v>34851.161267817421</v>
      </c>
      <c r="AA6" s="582">
        <f>Model!BF379</f>
        <v>35278.725290171024</v>
      </c>
      <c r="AB6" s="582">
        <f>Model!BG379</f>
        <v>35972.805971649133</v>
      </c>
      <c r="AC6" s="582">
        <f>Model!BH379</f>
        <v>36331.85070113634</v>
      </c>
      <c r="AD6" s="582">
        <f>Model!BI379</f>
        <v>37139.96465239855</v>
      </c>
      <c r="AE6" s="582">
        <f>Model!BJ379</f>
        <v>37548.90096493985</v>
      </c>
      <c r="AF6" s="582">
        <f>Model!BK379</f>
        <v>38397.108537058099</v>
      </c>
      <c r="AG6" s="582">
        <f>Model!BL379</f>
        <v>38930.953365980495</v>
      </c>
      <c r="AH6" s="582">
        <f>Model!BM379</f>
        <v>39581.391857387753</v>
      </c>
      <c r="AI6" s="582">
        <f>Model!BN379</f>
        <v>40155.637195409581</v>
      </c>
      <c r="AJ6" s="582">
        <f>Model!BO379</f>
        <v>41097.346021095073</v>
      </c>
      <c r="AK6" s="582">
        <f>Model!BP379</f>
        <v>41621.06778322687</v>
      </c>
      <c r="AL6" s="582">
        <f>Model!BQ379</f>
        <v>42634.728938718967</v>
      </c>
      <c r="AN6" s="582">
        <f>Model!CR379</f>
        <v>29120</v>
      </c>
      <c r="AO6" s="582">
        <f>Model!CS379</f>
        <v>30327</v>
      </c>
      <c r="AP6" s="582">
        <f>Model!CT379</f>
        <v>31078</v>
      </c>
      <c r="AQ6" s="582">
        <f>Model!CU379</f>
        <v>24426</v>
      </c>
      <c r="AR6" s="582">
        <f>Model!CV379</f>
        <v>19529</v>
      </c>
      <c r="AS6" s="582">
        <f>Model!CW379</f>
        <v>23609</v>
      </c>
      <c r="AT6" s="582">
        <f>Model!CX379</f>
        <v>49902</v>
      </c>
      <c r="AU6" s="582">
        <f>Model!CY379</f>
        <v>60639</v>
      </c>
      <c r="AV6" s="588">
        <f>Model!CZ379</f>
        <v>63923</v>
      </c>
      <c r="AW6" s="582">
        <f>Model!DA379</f>
        <v>68130.830214645102</v>
      </c>
      <c r="AX6" s="582">
        <f>Model!DB379</f>
        <v>69552.214497396897</v>
      </c>
      <c r="AY6" s="582">
        <f>Model!DC379</f>
        <v>69198.992778233631</v>
      </c>
      <c r="AZ6" s="582">
        <f>Model!DD379</f>
        <v>71251.531261820157</v>
      </c>
      <c r="BA6" s="582">
        <f>Model!DE379</f>
        <v>73471.815353534883</v>
      </c>
      <c r="BB6" s="582">
        <f>Model!DF379</f>
        <v>75946.009501997949</v>
      </c>
      <c r="BC6" s="582">
        <f>Model!DG379</f>
        <v>78512.345223368247</v>
      </c>
      <c r="BD6" s="582">
        <f>Model!DH379</f>
        <v>81252.983216504654</v>
      </c>
      <c r="BE6" s="582">
        <f>Model!DI379</f>
        <v>84255.796721945837</v>
      </c>
    </row>
    <row r="7" spans="2:57" ht="15.95" customHeight="1">
      <c r="B7" s="579" t="s">
        <v>484</v>
      </c>
      <c r="C7" s="582">
        <f>Model!AH380</f>
        <v>-7007</v>
      </c>
      <c r="D7" s="582">
        <f>Model!AI380</f>
        <v>-7238</v>
      </c>
      <c r="E7" s="582">
        <f>Model!AJ380</f>
        <v>-7499</v>
      </c>
      <c r="F7" s="582">
        <f>Model!AK380</f>
        <v>-8314.0000000000018</v>
      </c>
      <c r="G7" s="582">
        <f>Model!AL380</f>
        <v>-8672</v>
      </c>
      <c r="H7" s="582">
        <f>Model!AM380</f>
        <v>-8067</v>
      </c>
      <c r="I7" s="582">
        <f>Model!AN380</f>
        <v>-6578</v>
      </c>
      <c r="J7" s="582">
        <f>Model!AO380</f>
        <v>-3798.9999999999995</v>
      </c>
      <c r="K7" s="582">
        <f>Model!AP380</f>
        <v>-2893.0000000000005</v>
      </c>
      <c r="L7" s="582">
        <f>Model!AQ380</f>
        <v>-2474.9999999999995</v>
      </c>
      <c r="M7" s="582">
        <f>Model!AR380</f>
        <v>-2607</v>
      </c>
      <c r="N7" s="582">
        <f>Model!AS380</f>
        <v>-6127.9999999999991</v>
      </c>
      <c r="O7" s="582">
        <f>Model!AT380</f>
        <v>-14329.999999999998</v>
      </c>
      <c r="P7" s="582">
        <f>Model!AU380</f>
        <v>-18997.999999999996</v>
      </c>
      <c r="Q7" s="582">
        <f>Model!AV380</f>
        <v>-21912</v>
      </c>
      <c r="R7" s="582">
        <f>Model!AW380</f>
        <v>-22658</v>
      </c>
      <c r="S7" s="582">
        <f>Model!AX380</f>
        <v>-23864.999999999996</v>
      </c>
      <c r="T7" s="588">
        <f>Model!AY380</f>
        <v>-22097</v>
      </c>
      <c r="U7" s="582">
        <f>Model!AZ380</f>
        <v>-23136.133412642404</v>
      </c>
      <c r="V7" s="582">
        <f>Model!BA380</f>
        <v>-26199.661553090587</v>
      </c>
      <c r="W7" s="582">
        <f>Model!BB380</f>
        <v>-26087.761716073663</v>
      </c>
      <c r="X7" s="582">
        <f>Model!BC380</f>
        <v>-24277.394585089663</v>
      </c>
      <c r="Y7" s="582">
        <f>Model!BD380</f>
        <v>-24587.477937730211</v>
      </c>
      <c r="Z7" s="582">
        <f>Model!BE380</f>
        <v>-24958.930120507688</v>
      </c>
      <c r="AA7" s="582">
        <f>Model!BF380</f>
        <v>-25275.353785294195</v>
      </c>
      <c r="AB7" s="582">
        <f>Model!BG380</f>
        <v>-25787.648618483712</v>
      </c>
      <c r="AC7" s="582">
        <f>Model!BH380</f>
        <v>-26092.958205362862</v>
      </c>
      <c r="AD7" s="582">
        <f>Model!BI380</f>
        <v>-26711.84606154338</v>
      </c>
      <c r="AE7" s="582">
        <f>Model!BJ380</f>
        <v>-27056.433124602525</v>
      </c>
      <c r="AF7" s="582">
        <f>Model!BK380</f>
        <v>-27719.426859326253</v>
      </c>
      <c r="AG7" s="582">
        <f>Model!BL380</f>
        <v>-28157.539302777652</v>
      </c>
      <c r="AH7" s="582">
        <f>Model!BM380</f>
        <v>-28681.785590776053</v>
      </c>
      <c r="AI7" s="582">
        <f>Model!BN380</f>
        <v>-29152.6905093229</v>
      </c>
      <c r="AJ7" s="582">
        <f>Model!BO380</f>
        <v>-29892.651186702627</v>
      </c>
      <c r="AK7" s="582">
        <f>Model!BP380</f>
        <v>-30330.806472557822</v>
      </c>
      <c r="AL7" s="582">
        <f>Model!BQ380</f>
        <v>-31128.334213669936</v>
      </c>
      <c r="AN7" s="582">
        <f>Model!CR380</f>
        <v>-14245</v>
      </c>
      <c r="AO7" s="582">
        <f>Model!CS380</f>
        <v>-15813.000000000002</v>
      </c>
      <c r="AP7" s="582">
        <f>Model!CT380</f>
        <v>-16739</v>
      </c>
      <c r="AQ7" s="582">
        <f>Model!CU380</f>
        <v>-10377</v>
      </c>
      <c r="AR7" s="582">
        <f>Model!CV380</f>
        <v>-5368</v>
      </c>
      <c r="AS7" s="582">
        <f>Model!CW380</f>
        <v>-8735</v>
      </c>
      <c r="AT7" s="582">
        <f>Model!CX380</f>
        <v>-33327.999999999993</v>
      </c>
      <c r="AU7" s="582">
        <f>Model!CY380</f>
        <v>-44570</v>
      </c>
      <c r="AV7" s="588">
        <f>Model!CZ380</f>
        <v>-45962</v>
      </c>
      <c r="AW7" s="582">
        <f>Model!DA380</f>
        <v>-49335.794965732988</v>
      </c>
      <c r="AX7" s="582">
        <f>Model!DB380</f>
        <v>-50365.156301163326</v>
      </c>
      <c r="AY7" s="582">
        <f>Model!DC380</f>
        <v>-49546.408058237896</v>
      </c>
      <c r="AZ7" s="582">
        <f>Model!DD380</f>
        <v>-51063.002403777908</v>
      </c>
      <c r="BA7" s="582">
        <f>Model!DE380</f>
        <v>-52804.804266906242</v>
      </c>
      <c r="BB7" s="582">
        <f>Model!DF380</f>
        <v>-54775.859983928778</v>
      </c>
      <c r="BC7" s="582">
        <f>Model!DG380</f>
        <v>-56839.324893553705</v>
      </c>
      <c r="BD7" s="582">
        <f>Model!DH380</f>
        <v>-59045.341696025527</v>
      </c>
      <c r="BE7" s="582">
        <f>Model!DI380</f>
        <v>-61459.140686227758</v>
      </c>
    </row>
    <row r="8" spans="2:57" ht="15.95" customHeight="1">
      <c r="B8" s="580" t="s">
        <v>2528</v>
      </c>
      <c r="C8" s="583">
        <f>Model!AH381</f>
        <v>7419</v>
      </c>
      <c r="D8" s="583">
        <f>Model!AI381</f>
        <v>7456</v>
      </c>
      <c r="E8" s="583">
        <f>Model!AJ381</f>
        <v>7350</v>
      </c>
      <c r="F8" s="583">
        <f>Model!AK381</f>
        <v>7164</v>
      </c>
      <c r="G8" s="583">
        <f>Model!AL381</f>
        <v>7299</v>
      </c>
      <c r="H8" s="583">
        <f>Model!AM381</f>
        <v>7040</v>
      </c>
      <c r="I8" s="583">
        <f>Model!AN381</f>
        <v>7222</v>
      </c>
      <c r="J8" s="583">
        <f>Model!AO381</f>
        <v>6827</v>
      </c>
      <c r="K8" s="583">
        <f>Model!AP381</f>
        <v>6986</v>
      </c>
      <c r="L8" s="583">
        <f>Model!AQ381</f>
        <v>7175</v>
      </c>
      <c r="M8" s="583">
        <f>Model!AR381</f>
        <v>7100</v>
      </c>
      <c r="N8" s="583">
        <f>Model!AS381</f>
        <v>7774</v>
      </c>
      <c r="O8" s="583">
        <f>Model!AT381</f>
        <v>8500</v>
      </c>
      <c r="P8" s="583">
        <f>Model!AU381</f>
        <v>8074</v>
      </c>
      <c r="Q8" s="583">
        <f>Model!AV381</f>
        <v>7899</v>
      </c>
      <c r="R8" s="583">
        <f>Model!AW381</f>
        <v>8170</v>
      </c>
      <c r="S8" s="583">
        <f>Model!AX381</f>
        <v>8869</v>
      </c>
      <c r="T8" s="589">
        <f>Model!AY381</f>
        <v>9092</v>
      </c>
      <c r="U8" s="583">
        <f>Model!AZ381</f>
        <v>9271.2181369458049</v>
      </c>
      <c r="V8" s="583">
        <f>Model!BA381</f>
        <v>9523.8171119663057</v>
      </c>
      <c r="W8" s="583">
        <f>Model!BB381</f>
        <v>9526.3753940709648</v>
      </c>
      <c r="X8" s="583">
        <f>Model!BC381</f>
        <v>9660.6828021626116</v>
      </c>
      <c r="Y8" s="583">
        <f>Model!BD381</f>
        <v>9760.3535726860082</v>
      </c>
      <c r="Z8" s="583">
        <f>Model!BE381</f>
        <v>9892.2311473097325</v>
      </c>
      <c r="AA8" s="583">
        <f>Model!BF381</f>
        <v>10003.37150487683</v>
      </c>
      <c r="AB8" s="583">
        <f>Model!BG381</f>
        <v>10185.157353165423</v>
      </c>
      <c r="AC8" s="583">
        <f>Model!BH381</f>
        <v>10238.892495773478</v>
      </c>
      <c r="AD8" s="583">
        <f>Model!BI381</f>
        <v>10428.118590855171</v>
      </c>
      <c r="AE8" s="583">
        <f>Model!BJ381</f>
        <v>10492.467840337327</v>
      </c>
      <c r="AF8" s="583">
        <f>Model!BK381</f>
        <v>10677.681677731845</v>
      </c>
      <c r="AG8" s="583">
        <f>Model!BL381</f>
        <v>10773.414063202845</v>
      </c>
      <c r="AH8" s="583">
        <f>Model!BM381</f>
        <v>10899.606266611698</v>
      </c>
      <c r="AI8" s="583">
        <f>Model!BN381</f>
        <v>11002.946686086683</v>
      </c>
      <c r="AJ8" s="583">
        <f>Model!BO381</f>
        <v>11204.694834392447</v>
      </c>
      <c r="AK8" s="583">
        <f>Model!BP381</f>
        <v>11290.261310669048</v>
      </c>
      <c r="AL8" s="583">
        <f>Model!BQ381</f>
        <v>11506.394725049029</v>
      </c>
      <c r="AN8" s="583">
        <f>Model!CR381</f>
        <v>14875</v>
      </c>
      <c r="AO8" s="583">
        <f>Model!CS381</f>
        <v>14514</v>
      </c>
      <c r="AP8" s="583">
        <f>Model!CT381</f>
        <v>14339</v>
      </c>
      <c r="AQ8" s="583">
        <f>Model!CU381</f>
        <v>14049</v>
      </c>
      <c r="AR8" s="583">
        <f>Model!CV381</f>
        <v>14161</v>
      </c>
      <c r="AS8" s="583">
        <f>Model!CW381</f>
        <v>14874</v>
      </c>
      <c r="AT8" s="583">
        <f>Model!CX381</f>
        <v>16574</v>
      </c>
      <c r="AU8" s="583">
        <f>Model!CY381</f>
        <v>16069</v>
      </c>
      <c r="AV8" s="589">
        <f>Model!CZ381</f>
        <v>17961</v>
      </c>
      <c r="AW8" s="583">
        <f>Model!DA381</f>
        <v>18795.035248912111</v>
      </c>
      <c r="AX8" s="583">
        <f>Model!DB381</f>
        <v>19187.058196233578</v>
      </c>
      <c r="AY8" s="583">
        <f>Model!DC381</f>
        <v>19652.584719995742</v>
      </c>
      <c r="AZ8" s="583">
        <f>Model!DD381</f>
        <v>20188.528858042253</v>
      </c>
      <c r="BA8" s="583">
        <f>Model!DE381</f>
        <v>20667.011086628649</v>
      </c>
      <c r="BB8" s="583">
        <f>Model!DF381</f>
        <v>21170.149518069171</v>
      </c>
      <c r="BC8" s="583">
        <f>Model!DG381</f>
        <v>21673.020329814542</v>
      </c>
      <c r="BD8" s="583">
        <f>Model!DH381</f>
        <v>22207.64152047913</v>
      </c>
      <c r="BE8" s="583">
        <f>Model!DI381</f>
        <v>22796.656035718079</v>
      </c>
    </row>
    <row r="9" spans="2:57" ht="15.95" customHeight="1" outlineLevel="1">
      <c r="B9" s="608" t="s">
        <v>2554</v>
      </c>
      <c r="C9" s="609"/>
      <c r="D9" s="610">
        <f t="shared" ref="D9:M9" si="0">D8/C8-1</f>
        <v>4.9871950397628595E-3</v>
      </c>
      <c r="E9" s="610">
        <f t="shared" si="0"/>
        <v>-1.4216738197424861E-2</v>
      </c>
      <c r="F9" s="610">
        <f t="shared" si="0"/>
        <v>-2.5306122448979562E-2</v>
      </c>
      <c r="G9" s="610">
        <f t="shared" si="0"/>
        <v>1.8844221105527748E-2</v>
      </c>
      <c r="H9" s="610">
        <f t="shared" si="0"/>
        <v>-3.5484312919577987E-2</v>
      </c>
      <c r="I9" s="610">
        <f t="shared" si="0"/>
        <v>2.5852272727272751E-2</v>
      </c>
      <c r="J9" s="610">
        <f t="shared" si="0"/>
        <v>-5.4693990584325669E-2</v>
      </c>
      <c r="K9" s="610">
        <f t="shared" si="0"/>
        <v>2.3289878423905064E-2</v>
      </c>
      <c r="L9" s="610">
        <f t="shared" si="0"/>
        <v>2.7054108216432837E-2</v>
      </c>
      <c r="M9" s="610">
        <f t="shared" si="0"/>
        <v>-1.0452961672473893E-2</v>
      </c>
      <c r="N9" s="610">
        <f>N8/M8-1</f>
        <v>9.4929577464788695E-2</v>
      </c>
      <c r="O9" s="610">
        <f t="shared" ref="O9:AL9" si="1">O8/N8-1</f>
        <v>9.3388217134036555E-2</v>
      </c>
      <c r="P9" s="610">
        <f t="shared" si="1"/>
        <v>-5.0117647058823489E-2</v>
      </c>
      <c r="Q9" s="610">
        <f t="shared" si="1"/>
        <v>-2.1674510775328226E-2</v>
      </c>
      <c r="R9" s="610">
        <f t="shared" si="1"/>
        <v>3.430814027092044E-2</v>
      </c>
      <c r="S9" s="610">
        <f t="shared" si="1"/>
        <v>8.5556915544675594E-2</v>
      </c>
      <c r="T9" s="611">
        <f t="shared" si="1"/>
        <v>2.5143759161122992E-2</v>
      </c>
      <c r="U9" s="610">
        <f t="shared" si="1"/>
        <v>1.9711629668478281E-2</v>
      </c>
      <c r="V9" s="610">
        <f t="shared" si="1"/>
        <v>2.7245500137020207E-2</v>
      </c>
      <c r="W9" s="610">
        <f t="shared" si="1"/>
        <v>2.6861940696498721E-4</v>
      </c>
      <c r="X9" s="610">
        <f t="shared" si="1"/>
        <v>1.4098479488351634E-2</v>
      </c>
      <c r="Y9" s="610">
        <f t="shared" si="1"/>
        <v>1.0317155895138708E-2</v>
      </c>
      <c r="Z9" s="610">
        <f t="shared" si="1"/>
        <v>1.3511557101043792E-2</v>
      </c>
      <c r="AA9" s="610">
        <f t="shared" si="1"/>
        <v>1.1235115305339605E-2</v>
      </c>
      <c r="AB9" s="610">
        <f t="shared" si="1"/>
        <v>1.8172457975790479E-2</v>
      </c>
      <c r="AC9" s="610">
        <f t="shared" si="1"/>
        <v>5.2758284182379267E-3</v>
      </c>
      <c r="AD9" s="610">
        <f t="shared" si="1"/>
        <v>1.8481109666871109E-2</v>
      </c>
      <c r="AE9" s="610">
        <f t="shared" si="1"/>
        <v>6.1707439286877719E-3</v>
      </c>
      <c r="AF9" s="610">
        <f t="shared" si="1"/>
        <v>1.7652075775965725E-2</v>
      </c>
      <c r="AG9" s="610">
        <f t="shared" si="1"/>
        <v>8.9656526913186596E-3</v>
      </c>
      <c r="AH9" s="610">
        <f t="shared" si="1"/>
        <v>1.1713297443924464E-2</v>
      </c>
      <c r="AI9" s="610">
        <f t="shared" si="1"/>
        <v>9.4811149088516178E-3</v>
      </c>
      <c r="AJ9" s="610">
        <f t="shared" si="1"/>
        <v>1.8335828943066401E-2</v>
      </c>
      <c r="AK9" s="610">
        <f t="shared" si="1"/>
        <v>7.6366628044128859E-3</v>
      </c>
      <c r="AL9" s="610">
        <f t="shared" si="1"/>
        <v>1.9143349160195333E-2</v>
      </c>
      <c r="AM9" s="610"/>
      <c r="AN9" s="610" t="e">
        <f t="shared" ref="AN9:BA9" si="2">AN8/AM8-1</f>
        <v>#DIV/0!</v>
      </c>
      <c r="AO9" s="610">
        <f t="shared" si="2"/>
        <v>-2.4268907563025244E-2</v>
      </c>
      <c r="AP9" s="610">
        <f t="shared" si="2"/>
        <v>-1.2057323963070132E-2</v>
      </c>
      <c r="AQ9" s="610">
        <f t="shared" si="2"/>
        <v>-2.022456238231396E-2</v>
      </c>
      <c r="AR9" s="610">
        <f t="shared" si="2"/>
        <v>7.9720976581962866E-3</v>
      </c>
      <c r="AS9" s="610">
        <f t="shared" si="2"/>
        <v>5.0349551585340047E-2</v>
      </c>
      <c r="AT9" s="610">
        <f t="shared" si="2"/>
        <v>0.11429339787548742</v>
      </c>
      <c r="AU9" s="610">
        <f t="shared" si="2"/>
        <v>-3.0469409919150481E-2</v>
      </c>
      <c r="AV9" s="611">
        <f t="shared" si="2"/>
        <v>0.11774223660464256</v>
      </c>
      <c r="AW9" s="610">
        <f t="shared" si="2"/>
        <v>4.6435902728807488E-2</v>
      </c>
      <c r="AX9" s="610">
        <f t="shared" si="2"/>
        <v>2.0857792610107451E-2</v>
      </c>
      <c r="AY9" s="610">
        <f t="shared" si="2"/>
        <v>2.4262527324462324E-2</v>
      </c>
      <c r="AZ9" s="610">
        <f t="shared" si="2"/>
        <v>2.7270923681667503E-2</v>
      </c>
      <c r="BA9" s="610">
        <f t="shared" si="2"/>
        <v>2.3700698151454924E-2</v>
      </c>
      <c r="BB9" s="609"/>
      <c r="BC9" s="609"/>
      <c r="BD9" s="609"/>
      <c r="BE9" s="609"/>
    </row>
    <row r="10" spans="2:57" ht="15.95" customHeight="1">
      <c r="T10" s="587"/>
      <c r="AW10" s="612"/>
    </row>
    <row r="11" spans="2:57" ht="15.95" customHeight="1">
      <c r="B11" s="579" t="s">
        <v>2529</v>
      </c>
      <c r="C11" s="582">
        <f>SUM(Model!AH395:AH396)</f>
        <v>1177</v>
      </c>
      <c r="D11" s="582">
        <f>SUM(Model!AI395:AI396)</f>
        <v>1185</v>
      </c>
      <c r="E11" s="582">
        <f>SUM(Model!AJ395:AJ396)</f>
        <v>1322</v>
      </c>
      <c r="F11" s="582">
        <f>SUM(Model!AK395:AK396)</f>
        <v>1363</v>
      </c>
      <c r="G11" s="582">
        <f>SUM(Model!AL395:AL396)</f>
        <v>1162.4692849949647</v>
      </c>
      <c r="H11" s="582">
        <f>SUM(Model!AM395:AM396)</f>
        <v>1212.4778373112517</v>
      </c>
      <c r="I11" s="582">
        <f>SUM(Model!AN395:AN396)</f>
        <v>1079.1876620010369</v>
      </c>
      <c r="J11" s="582">
        <f>SUM(Model!AO395:AO396)</f>
        <v>995.90882862088858</v>
      </c>
      <c r="K11" s="582">
        <f>SUM(Model!AP395:AP396)</f>
        <v>861.32547169811323</v>
      </c>
      <c r="L11" s="582">
        <f>SUM(Model!AQ395:AQ396)</f>
        <v>1012</v>
      </c>
      <c r="M11" s="582">
        <f>SUM(Model!AR395:AR396)</f>
        <v>869</v>
      </c>
      <c r="N11" s="582">
        <f>SUM(Model!AS395:AS396)</f>
        <v>953</v>
      </c>
      <c r="O11" s="582">
        <f>SUM(Model!AT395:AT396)</f>
        <v>890</v>
      </c>
      <c r="P11" s="582">
        <f>SUM(Model!AU395:AU396)</f>
        <v>972</v>
      </c>
      <c r="Q11" s="582">
        <f>SUM(Model!AV395:AV396)</f>
        <v>919</v>
      </c>
      <c r="R11" s="582">
        <f>SUM(Model!AW395:AW396)</f>
        <v>956</v>
      </c>
      <c r="S11" s="582">
        <f>SUM(Model!AX395:AX396)</f>
        <v>855</v>
      </c>
      <c r="T11" s="588">
        <f>SUM(Model!AY395:AY396)</f>
        <v>948</v>
      </c>
      <c r="U11" s="582">
        <f>SUM(Model!AZ395:AZ396)</f>
        <v>941.57712105478481</v>
      </c>
      <c r="V11" s="582">
        <f>SUM(Model!BA395:BA396)</f>
        <v>942.74787777218694</v>
      </c>
      <c r="W11" s="582">
        <f>SUM(Model!BB395:BB396)</f>
        <v>940.88794765221883</v>
      </c>
      <c r="X11" s="582">
        <f>SUM(Model!BC395:BC396)</f>
        <v>950.8157054538525</v>
      </c>
      <c r="Y11" s="582">
        <f>SUM(Model!BD395:BD396)</f>
        <v>954.33250781412994</v>
      </c>
      <c r="Z11" s="582">
        <f>SUM(Model!BE395:BE396)</f>
        <v>960.12264050913632</v>
      </c>
      <c r="AA11" s="582">
        <f>SUM(Model!BF395:BF396)</f>
        <v>962.61522791773564</v>
      </c>
      <c r="AB11" s="582">
        <f>SUM(Model!BG395:BG396)</f>
        <v>971.986503434121</v>
      </c>
      <c r="AC11" s="582">
        <f>SUM(Model!BH395:BH396)</f>
        <v>971.7076180840802</v>
      </c>
      <c r="AD11" s="582">
        <f>SUM(Model!BI395:BI396)</f>
        <v>982.80881296508153</v>
      </c>
      <c r="AE11" s="582">
        <f>SUM(Model!BJ395:BJ396)</f>
        <v>994.81852078899408</v>
      </c>
      <c r="AF11" s="582">
        <f>SUM(Model!BK395:BK396)</f>
        <v>1017.4851728893078</v>
      </c>
      <c r="AG11" s="582">
        <f>SUM(Model!BL395:BL396)</f>
        <v>1027.2680195762346</v>
      </c>
      <c r="AH11" s="582">
        <f>SUM(Model!BM395:BM396)</f>
        <v>1037.5979227892772</v>
      </c>
      <c r="AI11" s="582">
        <f>SUM(Model!BN395:BN396)</f>
        <v>1047.5447942243773</v>
      </c>
      <c r="AJ11" s="582">
        <f>SUM(Model!BO395:BO396)</f>
        <v>1068.6644892548602</v>
      </c>
      <c r="AK11" s="582">
        <f>SUM(Model!BP395:BP396)</f>
        <v>1080.2180958117387</v>
      </c>
      <c r="AL11" s="582">
        <f>SUM(Model!BQ395:BQ396)</f>
        <v>1105.8553697972147</v>
      </c>
      <c r="AN11" s="582">
        <f>SUM(Model!CR395:CR396)</f>
        <v>2362</v>
      </c>
      <c r="AO11" s="582">
        <f>SUM(Model!CS395:CS396)</f>
        <v>2685</v>
      </c>
      <c r="AP11" s="582">
        <f>SUM(Model!CT395:CT396)</f>
        <v>2374.9471223062164</v>
      </c>
      <c r="AQ11" s="582">
        <f>SUM(Model!CU395:CU396)</f>
        <v>2075.0964906219256</v>
      </c>
      <c r="AR11" s="582">
        <f>SUM(Model!CV395:CV396)</f>
        <v>1873.3254716981132</v>
      </c>
      <c r="AS11" s="582">
        <f>SUM(Model!CW395:CW396)</f>
        <v>1822</v>
      </c>
      <c r="AT11" s="582">
        <f>SUM(Model!CX395:CX396)</f>
        <v>1862</v>
      </c>
      <c r="AU11" s="582">
        <f>SUM(Model!CY395:CY396)</f>
        <v>1875</v>
      </c>
      <c r="AV11" s="588">
        <f>SUM(Model!CZ395:CZ396)</f>
        <v>1803</v>
      </c>
      <c r="AW11" s="582">
        <f>SUM(Model!DA395:DA396)</f>
        <v>1884.3249988269718</v>
      </c>
      <c r="AX11" s="582">
        <f>SUM(Model!DB395:DB396)</f>
        <v>1891.7036531060712</v>
      </c>
      <c r="AY11" s="582">
        <f>SUM(Model!DC395:DC396)</f>
        <v>1914.4551483232663</v>
      </c>
      <c r="AZ11" s="582">
        <f>SUM(Model!DD395:DD396)</f>
        <v>1934.6017313518569</v>
      </c>
      <c r="BA11" s="582">
        <f>SUM(Model!DE395:DE396)</f>
        <v>1954.5164310491618</v>
      </c>
      <c r="BB11" s="582">
        <f>SUM(Model!DF395:DF396)</f>
        <v>2012.3036936783019</v>
      </c>
      <c r="BC11" s="582">
        <f>SUM(Model!DG395:DG396)</f>
        <v>2064.8659423655117</v>
      </c>
      <c r="BD11" s="582">
        <f>SUM(Model!DH395:DH396)</f>
        <v>2116.2092834792375</v>
      </c>
      <c r="BE11" s="582">
        <f>SUM(Model!DI395:DI396)</f>
        <v>2186.0734656089535</v>
      </c>
    </row>
    <row r="12" spans="2:57" ht="15.95" customHeight="1">
      <c r="B12" s="579" t="s">
        <v>2530</v>
      </c>
      <c r="C12" s="582">
        <f>Model!AH397</f>
        <v>886</v>
      </c>
      <c r="D12" s="582">
        <f>Model!AI397</f>
        <v>550</v>
      </c>
      <c r="E12" s="582">
        <f>Model!AJ397</f>
        <v>547</v>
      </c>
      <c r="F12" s="582">
        <f>Model!AK397</f>
        <v>588</v>
      </c>
      <c r="G12" s="582">
        <f>Model!AL397</f>
        <v>665</v>
      </c>
      <c r="H12" s="582">
        <f>Model!AM397</f>
        <v>618</v>
      </c>
      <c r="I12" s="582">
        <f>Model!AN397</f>
        <v>764</v>
      </c>
      <c r="J12" s="582">
        <f>Model!AO397</f>
        <v>1138</v>
      </c>
      <c r="K12" s="582">
        <f>Model!AP397</f>
        <v>610</v>
      </c>
      <c r="L12" s="582">
        <f>Model!AQ397</f>
        <v>491</v>
      </c>
      <c r="M12" s="582">
        <f>Model!AR397</f>
        <v>396</v>
      </c>
      <c r="N12" s="582">
        <f>Model!AS397</f>
        <v>464</v>
      </c>
      <c r="O12" s="582">
        <f>Model!AT397</f>
        <v>985</v>
      </c>
      <c r="P12" s="582">
        <f>Model!AU397</f>
        <v>938</v>
      </c>
      <c r="Q12" s="582">
        <f>Model!AV397</f>
        <v>1276</v>
      </c>
      <c r="R12" s="582">
        <f>Model!AW397</f>
        <v>1039</v>
      </c>
      <c r="S12" s="582">
        <f>Model!AX397</f>
        <v>991</v>
      </c>
      <c r="T12" s="588">
        <f>Model!AY397</f>
        <v>870</v>
      </c>
      <c r="U12" s="582">
        <f>Model!AZ397</f>
        <v>943.8</v>
      </c>
      <c r="V12" s="582">
        <f>Model!BA397</f>
        <v>869.92000000000007</v>
      </c>
      <c r="W12" s="582">
        <f>Model!BB397</f>
        <v>924.92399999999998</v>
      </c>
      <c r="X12" s="582">
        <f>Model!BC397</f>
        <v>852.52160000000003</v>
      </c>
      <c r="Y12" s="582">
        <f>Model!BD397</f>
        <v>952.67172000000005</v>
      </c>
      <c r="Z12" s="582">
        <f>Model!BE397</f>
        <v>878.09724800000004</v>
      </c>
      <c r="AA12" s="582">
        <f>Model!BF397</f>
        <v>962.19843720000017</v>
      </c>
      <c r="AB12" s="582">
        <f>Model!BG397</f>
        <v>886.8782204800001</v>
      </c>
      <c r="AC12" s="582">
        <f>Model!BH397</f>
        <v>971.8204215720001</v>
      </c>
      <c r="AD12" s="582">
        <f>Model!BI397</f>
        <v>895.74700268480001</v>
      </c>
      <c r="AE12" s="582">
        <f>Model!BJ397</f>
        <v>1005.7667279988061</v>
      </c>
      <c r="AF12" s="582">
        <f>Model!BK397</f>
        <v>1029.0611206373442</v>
      </c>
      <c r="AG12" s="582">
        <f>Model!BL397</f>
        <v>1042.5691257690942</v>
      </c>
      <c r="AH12" s="582">
        <f>Model!BM397</f>
        <v>1059.2224445025529</v>
      </c>
      <c r="AI12" s="582">
        <f>Model!BN397</f>
        <v>1074.913097048729</v>
      </c>
      <c r="AJ12" s="582">
        <f>Model!BO397</f>
        <v>1101.5413080641795</v>
      </c>
      <c r="AK12" s="582">
        <f>Model!BP397</f>
        <v>1117.9030474115791</v>
      </c>
      <c r="AL12" s="582">
        <f>Model!BQ397</f>
        <v>1148.4220343838019</v>
      </c>
      <c r="AN12" s="582">
        <f>Model!CR397</f>
        <v>1436</v>
      </c>
      <c r="AO12" s="582">
        <f>Model!CS397</f>
        <v>1135</v>
      </c>
      <c r="AP12" s="582">
        <f>Model!CT397</f>
        <v>1283</v>
      </c>
      <c r="AQ12" s="582">
        <f>Model!CU397</f>
        <v>1902</v>
      </c>
      <c r="AR12" s="582">
        <f>Model!CV397</f>
        <v>1101</v>
      </c>
      <c r="AS12" s="582">
        <f>Model!CW397</f>
        <v>860</v>
      </c>
      <c r="AT12" s="582">
        <f>Model!CX397</f>
        <v>1923</v>
      </c>
      <c r="AU12" s="582">
        <f>Model!CY397</f>
        <v>2315</v>
      </c>
      <c r="AV12" s="588">
        <f>Model!CZ397</f>
        <v>1861</v>
      </c>
      <c r="AW12" s="582">
        <f>Model!DA397</f>
        <v>1813.72</v>
      </c>
      <c r="AX12" s="582">
        <f>Model!DB397</f>
        <v>1777.4456</v>
      </c>
      <c r="AY12" s="582">
        <f>Model!DC397</f>
        <v>1830.7689680000001</v>
      </c>
      <c r="AZ12" s="582">
        <f>Model!DD397</f>
        <v>1849.0766576800002</v>
      </c>
      <c r="BA12" s="582">
        <f>Model!DE397</f>
        <v>1867.5674242568002</v>
      </c>
      <c r="BB12" s="582">
        <f>Model!DF397</f>
        <v>2034.8278486361503</v>
      </c>
      <c r="BC12" s="582">
        <f>Model!DG397</f>
        <v>2101.7915702716473</v>
      </c>
      <c r="BD12" s="582">
        <f>Model!DH397</f>
        <v>2176.4544051129087</v>
      </c>
      <c r="BE12" s="582">
        <f>Model!DI397</f>
        <v>2266.3250817953813</v>
      </c>
    </row>
    <row r="13" spans="2:57" ht="15.95" customHeight="1">
      <c r="B13" s="579" t="s">
        <v>2531</v>
      </c>
      <c r="C13" s="582">
        <f>Model!AH398</f>
        <v>345</v>
      </c>
      <c r="D13" s="582">
        <f>Model!AI398</f>
        <v>323</v>
      </c>
      <c r="E13" s="582">
        <f>Model!AJ398</f>
        <v>54</v>
      </c>
      <c r="F13" s="582">
        <f>Model!AK398</f>
        <v>71</v>
      </c>
      <c r="G13" s="582">
        <f>Model!AL398</f>
        <v>81.530715005035248</v>
      </c>
      <c r="H13" s="582">
        <f>Model!AM398</f>
        <v>80.522162688748168</v>
      </c>
      <c r="I13" s="582">
        <f>Model!AN398</f>
        <v>84.812337998963187</v>
      </c>
      <c r="J13" s="582">
        <f>Model!AO398</f>
        <v>90.091171379111373</v>
      </c>
      <c r="K13" s="582">
        <f>Model!AP398</f>
        <v>86.674528301886795</v>
      </c>
      <c r="L13" s="582">
        <f>Model!AQ398</f>
        <v>0</v>
      </c>
      <c r="M13" s="582">
        <f>Model!AR398</f>
        <v>0</v>
      </c>
      <c r="N13" s="582">
        <f>Model!AS398</f>
        <v>0</v>
      </c>
      <c r="O13" s="582">
        <f>Model!AT398</f>
        <v>0</v>
      </c>
      <c r="P13" s="582">
        <f>Model!AU398</f>
        <v>0</v>
      </c>
      <c r="Q13" s="582">
        <f>Model!AV398</f>
        <v>0</v>
      </c>
      <c r="R13" s="582">
        <f>Model!AW398</f>
        <v>0</v>
      </c>
      <c r="S13" s="582">
        <f>Model!AX398</f>
        <v>0</v>
      </c>
      <c r="T13" s="588">
        <f>Model!AY398</f>
        <v>0</v>
      </c>
      <c r="U13" s="582">
        <f>Model!AZ398</f>
        <v>0</v>
      </c>
      <c r="V13" s="582">
        <f>Model!BA398</f>
        <v>0</v>
      </c>
      <c r="W13" s="582">
        <f>Model!BB398</f>
        <v>0</v>
      </c>
      <c r="X13" s="582">
        <f>Model!BC398</f>
        <v>0</v>
      </c>
      <c r="Y13" s="582">
        <f>Model!BD398</f>
        <v>0</v>
      </c>
      <c r="Z13" s="582">
        <f>Model!BE398</f>
        <v>0</v>
      </c>
      <c r="AA13" s="582">
        <f>Model!BF398</f>
        <v>0</v>
      </c>
      <c r="AB13" s="582">
        <f>Model!BG398</f>
        <v>0</v>
      </c>
      <c r="AC13" s="582">
        <f>Model!BH398</f>
        <v>0</v>
      </c>
      <c r="AD13" s="582">
        <f>Model!BI398</f>
        <v>0</v>
      </c>
      <c r="AE13" s="582">
        <f>Model!BJ398</f>
        <v>0</v>
      </c>
      <c r="AF13" s="582">
        <f>Model!BK398</f>
        <v>0</v>
      </c>
      <c r="AG13" s="582">
        <f>Model!BL398</f>
        <v>0</v>
      </c>
      <c r="AH13" s="582">
        <f>Model!BM398</f>
        <v>0</v>
      </c>
      <c r="AI13" s="582">
        <f>Model!BN398</f>
        <v>0</v>
      </c>
      <c r="AJ13" s="582">
        <f>Model!BO398</f>
        <v>0</v>
      </c>
      <c r="AK13" s="582">
        <f>Model!BP398</f>
        <v>0</v>
      </c>
      <c r="AL13" s="582">
        <f>Model!BQ398</f>
        <v>0</v>
      </c>
      <c r="AN13" s="582">
        <f>Model!CR398</f>
        <v>668</v>
      </c>
      <c r="AO13" s="582">
        <f>Model!CS398</f>
        <v>125</v>
      </c>
      <c r="AP13" s="582">
        <f>Model!CT398</f>
        <v>162.05287769378342</v>
      </c>
      <c r="AQ13" s="582">
        <f>Model!CU398</f>
        <v>174.90350937807455</v>
      </c>
      <c r="AR13" s="582">
        <f>Model!CV398</f>
        <v>86.674528301886795</v>
      </c>
      <c r="AS13" s="582">
        <f>Model!CW398</f>
        <v>0</v>
      </c>
      <c r="AT13" s="582">
        <f>Model!CX398</f>
        <v>0</v>
      </c>
      <c r="AU13" s="582">
        <f>Model!CY398</f>
        <v>0</v>
      </c>
      <c r="AV13" s="588">
        <f>Model!CZ398</f>
        <v>0</v>
      </c>
      <c r="AW13" s="582">
        <f>Model!DA398</f>
        <v>0</v>
      </c>
      <c r="AX13" s="582">
        <f>Model!DB398</f>
        <v>0</v>
      </c>
      <c r="AY13" s="582">
        <f>Model!DC398</f>
        <v>0</v>
      </c>
      <c r="AZ13" s="582">
        <f>Model!DD398</f>
        <v>0</v>
      </c>
      <c r="BA13" s="582">
        <f>Model!DE398</f>
        <v>0</v>
      </c>
      <c r="BB13" s="582">
        <f>Model!DF398</f>
        <v>0</v>
      </c>
      <c r="BC13" s="582">
        <f>Model!DG398</f>
        <v>0</v>
      </c>
      <c r="BD13" s="582">
        <f>Model!DH398</f>
        <v>0</v>
      </c>
      <c r="BE13" s="582">
        <f>Model!DI398</f>
        <v>0</v>
      </c>
    </row>
    <row r="14" spans="2:57" ht="15.95" customHeight="1">
      <c r="B14" s="579" t="s">
        <v>658</v>
      </c>
      <c r="C14" s="582">
        <f>Model!AH405</f>
        <v>359</v>
      </c>
      <c r="D14" s="582">
        <f>Model!AI405</f>
        <v>313</v>
      </c>
      <c r="E14" s="582">
        <f>Model!AJ405</f>
        <v>273</v>
      </c>
      <c r="F14" s="582">
        <f>Model!AK405</f>
        <v>291</v>
      </c>
      <c r="G14" s="582">
        <f>Model!AL405</f>
        <v>306</v>
      </c>
      <c r="H14" s="582">
        <f>Model!AM405</f>
        <v>329</v>
      </c>
      <c r="I14" s="582">
        <f>Model!AN405</f>
        <v>279</v>
      </c>
      <c r="J14" s="582">
        <f>Model!AO405</f>
        <v>259</v>
      </c>
      <c r="K14" s="582">
        <f>Model!AP405</f>
        <v>379</v>
      </c>
      <c r="L14" s="582">
        <f>Model!AQ405</f>
        <v>307</v>
      </c>
      <c r="M14" s="582">
        <f>Model!AR405</f>
        <v>311</v>
      </c>
      <c r="N14" s="582">
        <f>Model!AS405</f>
        <v>393</v>
      </c>
      <c r="O14" s="582">
        <f>Model!AT405</f>
        <v>215</v>
      </c>
      <c r="P14" s="582">
        <f>Model!AU405</f>
        <v>381</v>
      </c>
      <c r="Q14" s="582">
        <f>Model!AV405</f>
        <v>253</v>
      </c>
      <c r="R14" s="582">
        <f>Model!AW405</f>
        <v>307</v>
      </c>
      <c r="S14" s="582">
        <f>Model!AX405</f>
        <v>280</v>
      </c>
      <c r="T14" s="588">
        <f>Model!AY405</f>
        <v>279</v>
      </c>
      <c r="U14" s="582">
        <f>Model!AZ405</f>
        <v>282.8</v>
      </c>
      <c r="V14" s="582">
        <f>Model!BA405</f>
        <v>281.79000000000002</v>
      </c>
      <c r="W14" s="582">
        <f>Model!BB405</f>
        <v>285.62799999999999</v>
      </c>
      <c r="X14" s="582">
        <f>Model!BC405</f>
        <v>284.60790000000003</v>
      </c>
      <c r="Y14" s="582">
        <f>Model!BD405</f>
        <v>288.48428000000001</v>
      </c>
      <c r="Z14" s="582">
        <f>Model!BE405</f>
        <v>287.453979</v>
      </c>
      <c r="AA14" s="582">
        <f>Model!BF405</f>
        <v>291.36912280000001</v>
      </c>
      <c r="AB14" s="582">
        <f>Model!BG405</f>
        <v>290.32851879000003</v>
      </c>
      <c r="AC14" s="582">
        <f>Model!BH405</f>
        <v>294.28281402800002</v>
      </c>
      <c r="AD14" s="582">
        <f>Model!BI405</f>
        <v>293.23180397790003</v>
      </c>
      <c r="AE14" s="582">
        <f>Model!BJ405</f>
        <v>297.88373117982275</v>
      </c>
      <c r="AF14" s="582">
        <f>Model!BK405</f>
        <v>305.91496568711489</v>
      </c>
      <c r="AG14" s="582">
        <f>Model!BL405</f>
        <v>310.64954447179622</v>
      </c>
      <c r="AH14" s="582">
        <f>Model!BM405</f>
        <v>315.84481963179979</v>
      </c>
      <c r="AI14" s="582">
        <f>Model!BN405</f>
        <v>320.74220156099295</v>
      </c>
      <c r="AJ14" s="582">
        <f>Model!BO405</f>
        <v>328.89306686720693</v>
      </c>
      <c r="AK14" s="582">
        <f>Model!BP405</f>
        <v>333.97046133437271</v>
      </c>
      <c r="AL14" s="582">
        <f>Model!BQ405</f>
        <v>343.26805496163837</v>
      </c>
      <c r="AN14" s="582">
        <f>Model!CR405</f>
        <v>672</v>
      </c>
      <c r="AO14" s="582">
        <f>Model!CS405</f>
        <v>564</v>
      </c>
      <c r="AP14" s="582">
        <f>Model!CT405</f>
        <v>635</v>
      </c>
      <c r="AQ14" s="582">
        <f>Model!CU405</f>
        <v>538</v>
      </c>
      <c r="AR14" s="582">
        <f>Model!CV405</f>
        <v>686</v>
      </c>
      <c r="AS14" s="582">
        <f>Model!CW405</f>
        <v>704</v>
      </c>
      <c r="AT14" s="582">
        <f>Model!CX405</f>
        <v>596</v>
      </c>
      <c r="AU14" s="582">
        <f>Model!CY405</f>
        <v>560</v>
      </c>
      <c r="AV14" s="588">
        <f>Model!CZ405</f>
        <v>559</v>
      </c>
      <c r="AW14" s="582">
        <f>Model!DA405</f>
        <v>564.59</v>
      </c>
      <c r="AX14" s="582">
        <f>Model!DB405</f>
        <v>570.23590000000002</v>
      </c>
      <c r="AY14" s="582">
        <f>Model!DC405</f>
        <v>575.93825900000002</v>
      </c>
      <c r="AZ14" s="582">
        <f>Model!DD405</f>
        <v>581.6976415900001</v>
      </c>
      <c r="BA14" s="582">
        <f>Model!DE405</f>
        <v>587.51461800590005</v>
      </c>
      <c r="BB14" s="582">
        <f>Model!DF405</f>
        <v>603.79869686693769</v>
      </c>
      <c r="BC14" s="582">
        <f>Model!DG405</f>
        <v>626.49436410359601</v>
      </c>
      <c r="BD14" s="582">
        <f>Model!DH405</f>
        <v>649.63526842819988</v>
      </c>
      <c r="BE14" s="582">
        <f>Model!DI405</f>
        <v>677.23851629601108</v>
      </c>
    </row>
    <row r="15" spans="2:57" ht="15.95" customHeight="1">
      <c r="B15" s="580" t="s">
        <v>2532</v>
      </c>
      <c r="C15" s="583">
        <f>Model!AH406</f>
        <v>2767</v>
      </c>
      <c r="D15" s="583">
        <f>Model!AI406</f>
        <v>2371</v>
      </c>
      <c r="E15" s="583">
        <f>Model!AJ406</f>
        <v>2196</v>
      </c>
      <c r="F15" s="583">
        <f>Model!AK406</f>
        <v>2313</v>
      </c>
      <c r="G15" s="583">
        <f>Model!AL406</f>
        <v>2215</v>
      </c>
      <c r="H15" s="583">
        <f>Model!AM406</f>
        <v>2240</v>
      </c>
      <c r="I15" s="583">
        <f>Model!AN406</f>
        <v>2207</v>
      </c>
      <c r="J15" s="583">
        <f>Model!AO406</f>
        <v>2483</v>
      </c>
      <c r="K15" s="583">
        <f>Model!AP406</f>
        <v>1937</v>
      </c>
      <c r="L15" s="583">
        <f>Model!AQ406</f>
        <v>1810</v>
      </c>
      <c r="M15" s="583">
        <f>Model!AR406</f>
        <v>1576</v>
      </c>
      <c r="N15" s="583">
        <f>Model!AS406</f>
        <v>1810</v>
      </c>
      <c r="O15" s="583">
        <f>Model!AT406</f>
        <v>2090</v>
      </c>
      <c r="P15" s="583">
        <f>Model!AU406</f>
        <v>2291</v>
      </c>
      <c r="Q15" s="583">
        <f>Model!AV406</f>
        <v>2448</v>
      </c>
      <c r="R15" s="583">
        <f>Model!AW406</f>
        <v>2302</v>
      </c>
      <c r="S15" s="583">
        <f>Model!AX406</f>
        <v>2126</v>
      </c>
      <c r="T15" s="589">
        <f>Model!AY406</f>
        <v>2097</v>
      </c>
      <c r="U15" s="583">
        <f>Model!AZ406</f>
        <v>2168.1771210547849</v>
      </c>
      <c r="V15" s="583">
        <f>Model!BA406</f>
        <v>2094.4578777721872</v>
      </c>
      <c r="W15" s="583">
        <f>Model!BB406</f>
        <v>2151.439947652219</v>
      </c>
      <c r="X15" s="583">
        <f>Model!BC406</f>
        <v>2087.9452054538524</v>
      </c>
      <c r="Y15" s="583">
        <f>Model!BD406</f>
        <v>2195.4885078141301</v>
      </c>
      <c r="Z15" s="583">
        <f>Model!BE406</f>
        <v>2125.6738675091365</v>
      </c>
      <c r="AA15" s="583">
        <f>Model!BF406</f>
        <v>2216.1827879177358</v>
      </c>
      <c r="AB15" s="583">
        <f>Model!BG406</f>
        <v>2149.1932427041211</v>
      </c>
      <c r="AC15" s="583">
        <f>Model!BH406</f>
        <v>2237.81085368408</v>
      </c>
      <c r="AD15" s="583">
        <f>Model!BI406</f>
        <v>2171.7876196277816</v>
      </c>
      <c r="AE15" s="583">
        <f>Model!BJ406</f>
        <v>2298.468979967623</v>
      </c>
      <c r="AF15" s="583">
        <f>Model!BK406</f>
        <v>2352.4612592137669</v>
      </c>
      <c r="AG15" s="583">
        <f>Model!BL406</f>
        <v>2380.4866898171249</v>
      </c>
      <c r="AH15" s="583">
        <f>Model!BM406</f>
        <v>2412.6651869236298</v>
      </c>
      <c r="AI15" s="583">
        <f>Model!BN406</f>
        <v>2443.2000928340995</v>
      </c>
      <c r="AJ15" s="583">
        <f>Model!BO406</f>
        <v>2499.0988641862464</v>
      </c>
      <c r="AK15" s="583">
        <f>Model!BP406</f>
        <v>2532.0916045576905</v>
      </c>
      <c r="AL15" s="583">
        <f>Model!BQ406</f>
        <v>2597.5454591426551</v>
      </c>
      <c r="AN15" s="583">
        <f>Model!CR406</f>
        <v>5138</v>
      </c>
      <c r="AO15" s="583">
        <f>Model!CS406</f>
        <v>4509</v>
      </c>
      <c r="AP15" s="583">
        <f>Model!CT406</f>
        <v>4455</v>
      </c>
      <c r="AQ15" s="583">
        <f>Model!CU406</f>
        <v>4690</v>
      </c>
      <c r="AR15" s="583">
        <f>Model!CV406</f>
        <v>3747</v>
      </c>
      <c r="AS15" s="583">
        <f>Model!CW406</f>
        <v>3386</v>
      </c>
      <c r="AT15" s="583">
        <f>Model!CX406</f>
        <v>4381</v>
      </c>
      <c r="AU15" s="583">
        <f>Model!CY406</f>
        <v>4750</v>
      </c>
      <c r="AV15" s="589">
        <f>Model!CZ406</f>
        <v>4223</v>
      </c>
      <c r="AW15" s="583">
        <f>Model!DA406</f>
        <v>4262.6349988269722</v>
      </c>
      <c r="AX15" s="583">
        <f>Model!DB406</f>
        <v>4239.3851531060718</v>
      </c>
      <c r="AY15" s="583">
        <f>Model!DC406</f>
        <v>4321.162375323267</v>
      </c>
      <c r="AZ15" s="583">
        <f>Model!DD406</f>
        <v>4365.3760306218574</v>
      </c>
      <c r="BA15" s="583">
        <f>Model!DE406</f>
        <v>4409.5984733118621</v>
      </c>
      <c r="BB15" s="583">
        <f>Model!DF406</f>
        <v>4650.9302391813899</v>
      </c>
      <c r="BC15" s="583">
        <f>Model!DG406</f>
        <v>4793.1518767407542</v>
      </c>
      <c r="BD15" s="583">
        <f>Model!DH406</f>
        <v>4942.2989570203463</v>
      </c>
      <c r="BE15" s="583">
        <f>Model!DI406</f>
        <v>5129.6370637003456</v>
      </c>
    </row>
    <row r="16" spans="2:57" ht="15.95" customHeight="1">
      <c r="B16" s="579" t="s">
        <v>2533</v>
      </c>
      <c r="C16" s="582">
        <f>Model!AH407</f>
        <v>-210</v>
      </c>
      <c r="D16" s="582">
        <f>Model!AI407</f>
        <v>13</v>
      </c>
      <c r="E16" s="582">
        <f>Model!AJ407</f>
        <v>324</v>
      </c>
      <c r="F16" s="582">
        <f>Model!AK407</f>
        <v>20</v>
      </c>
      <c r="G16" s="582">
        <f>Model!AL407</f>
        <v>232</v>
      </c>
      <c r="H16" s="582">
        <f>Model!AM407</f>
        <v>3</v>
      </c>
      <c r="I16" s="582">
        <f>Model!AN407</f>
        <v>-850</v>
      </c>
      <c r="J16" s="582">
        <f>Model!AO407</f>
        <v>-137</v>
      </c>
      <c r="K16" s="582">
        <f>Model!AP407</f>
        <v>-500</v>
      </c>
      <c r="L16" s="582">
        <f>Model!AQ407</f>
        <v>39</v>
      </c>
      <c r="M16" s="582">
        <f>Model!AR407</f>
        <v>272</v>
      </c>
      <c r="N16" s="582">
        <f>Model!AS407</f>
        <v>15</v>
      </c>
      <c r="O16" s="582">
        <f>Model!AT407</f>
        <v>-50</v>
      </c>
      <c r="P16" s="582">
        <f>Model!AU407</f>
        <v>0</v>
      </c>
      <c r="Q16" s="582">
        <f>Model!AV407</f>
        <v>0</v>
      </c>
      <c r="R16" s="582">
        <f>Model!AW407</f>
        <v>-10</v>
      </c>
      <c r="S16" s="582">
        <f>Model!AX407</f>
        <v>0</v>
      </c>
      <c r="T16" s="588">
        <f>Model!AY407</f>
        <v>-285</v>
      </c>
      <c r="U16" s="582">
        <f>Model!AZ407</f>
        <v>0</v>
      </c>
      <c r="V16" s="582">
        <f>Model!BA407</f>
        <v>0</v>
      </c>
      <c r="W16" s="582">
        <f>Model!BB407</f>
        <v>0</v>
      </c>
      <c r="X16" s="582">
        <f>Model!BC407</f>
        <v>0</v>
      </c>
      <c r="Y16" s="582">
        <f>Model!BD407</f>
        <v>0</v>
      </c>
      <c r="Z16" s="582">
        <f>Model!BE407</f>
        <v>0</v>
      </c>
      <c r="AA16" s="582">
        <f>Model!BF407</f>
        <v>0</v>
      </c>
      <c r="AB16" s="582">
        <f>Model!BG407</f>
        <v>0</v>
      </c>
      <c r="AC16" s="582">
        <f>Model!BH407</f>
        <v>0</v>
      </c>
      <c r="AD16" s="582">
        <f>Model!BI407</f>
        <v>0</v>
      </c>
      <c r="AE16" s="582">
        <f>Model!BJ407</f>
        <v>0</v>
      </c>
      <c r="AF16" s="582">
        <f>Model!BK407</f>
        <v>0</v>
      </c>
      <c r="AG16" s="582">
        <f>Model!BL407</f>
        <v>0</v>
      </c>
      <c r="AH16" s="582">
        <f>Model!BM407</f>
        <v>0</v>
      </c>
      <c r="AI16" s="582">
        <f>Model!BN407</f>
        <v>0</v>
      </c>
      <c r="AJ16" s="582">
        <f>Model!BO407</f>
        <v>0</v>
      </c>
      <c r="AK16" s="582">
        <f>Model!BP407</f>
        <v>0</v>
      </c>
      <c r="AL16" s="582">
        <f>Model!BQ407</f>
        <v>0</v>
      </c>
      <c r="AN16" s="582">
        <f>Model!CR407</f>
        <v>-197</v>
      </c>
      <c r="AO16" s="582">
        <f>Model!CS407</f>
        <v>344</v>
      </c>
      <c r="AP16" s="582">
        <f>Model!CT407</f>
        <v>235</v>
      </c>
      <c r="AQ16" s="582">
        <f>Model!CU407</f>
        <v>-987</v>
      </c>
      <c r="AR16" s="582">
        <f>Model!CV407</f>
        <v>-461</v>
      </c>
      <c r="AS16" s="582">
        <f>Model!CW407</f>
        <v>287</v>
      </c>
      <c r="AT16" s="582">
        <f>Model!CX407</f>
        <v>-50</v>
      </c>
      <c r="AU16" s="582">
        <f>Model!CY407</f>
        <v>-10</v>
      </c>
      <c r="AV16" s="588">
        <f>Model!CZ407</f>
        <v>-285</v>
      </c>
      <c r="AW16" s="582">
        <f>Model!DA407</f>
        <v>0</v>
      </c>
      <c r="AX16" s="582">
        <f>Model!DB407</f>
        <v>0</v>
      </c>
      <c r="AY16" s="582">
        <f>Model!DC407</f>
        <v>0</v>
      </c>
      <c r="AZ16" s="582">
        <f>Model!DD407</f>
        <v>0</v>
      </c>
      <c r="BA16" s="582">
        <f>Model!DE407</f>
        <v>0</v>
      </c>
      <c r="BB16" s="582">
        <f>Model!DF407</f>
        <v>0</v>
      </c>
      <c r="BC16" s="582">
        <f>Model!DG407</f>
        <v>0</v>
      </c>
      <c r="BD16" s="582">
        <f>Model!DH407</f>
        <v>0</v>
      </c>
      <c r="BE16" s="582">
        <f>Model!DI407</f>
        <v>0</v>
      </c>
    </row>
    <row r="17" spans="2:57" ht="15.95" customHeight="1">
      <c r="B17" s="580" t="s">
        <v>2534</v>
      </c>
      <c r="C17" s="583">
        <f>Model!AH408</f>
        <v>2557</v>
      </c>
      <c r="D17" s="583">
        <f>Model!AI408</f>
        <v>2384</v>
      </c>
      <c r="E17" s="583">
        <f>Model!AJ408</f>
        <v>2520</v>
      </c>
      <c r="F17" s="583">
        <f>Model!AK408</f>
        <v>2333</v>
      </c>
      <c r="G17" s="583">
        <f>Model!AL408</f>
        <v>2447</v>
      </c>
      <c r="H17" s="583">
        <f>Model!AM408</f>
        <v>2243</v>
      </c>
      <c r="I17" s="583">
        <f>Model!AN408</f>
        <v>1357</v>
      </c>
      <c r="J17" s="583">
        <f>Model!AO408</f>
        <v>2346</v>
      </c>
      <c r="K17" s="583">
        <f>Model!AP408</f>
        <v>1437</v>
      </c>
      <c r="L17" s="583">
        <f>Model!AQ408</f>
        <v>1849</v>
      </c>
      <c r="M17" s="583">
        <f>Model!AR408</f>
        <v>1848</v>
      </c>
      <c r="N17" s="583">
        <f>Model!AS408</f>
        <v>1825</v>
      </c>
      <c r="O17" s="583">
        <f>Model!AT408</f>
        <v>2040</v>
      </c>
      <c r="P17" s="583">
        <f>Model!AU408</f>
        <v>2291</v>
      </c>
      <c r="Q17" s="583">
        <f>Model!AV408</f>
        <v>2448</v>
      </c>
      <c r="R17" s="583">
        <f>Model!AW408</f>
        <v>2292</v>
      </c>
      <c r="S17" s="583">
        <f>Model!AX408</f>
        <v>2126</v>
      </c>
      <c r="T17" s="589">
        <f>Model!AY408</f>
        <v>1812</v>
      </c>
      <c r="U17" s="583">
        <f>Model!AZ408</f>
        <v>2168.1771210547849</v>
      </c>
      <c r="V17" s="583">
        <f>Model!BA408</f>
        <v>2094.4578777721872</v>
      </c>
      <c r="W17" s="583">
        <f>Model!BB408</f>
        <v>2151.439947652219</v>
      </c>
      <c r="X17" s="583">
        <f>Model!BC408</f>
        <v>2087.9452054538524</v>
      </c>
      <c r="Y17" s="583">
        <f>Model!BD408</f>
        <v>2195.4885078141301</v>
      </c>
      <c r="Z17" s="583">
        <f>Model!BE408</f>
        <v>2125.6738675091365</v>
      </c>
      <c r="AA17" s="583">
        <f>Model!BF408</f>
        <v>2216.1827879177358</v>
      </c>
      <c r="AB17" s="583">
        <f>Model!BG408</f>
        <v>2149.1932427041211</v>
      </c>
      <c r="AC17" s="583">
        <f>Model!BH408</f>
        <v>2237.81085368408</v>
      </c>
      <c r="AD17" s="583">
        <f>Model!BI408</f>
        <v>2171.7876196277816</v>
      </c>
      <c r="AE17" s="583">
        <f>Model!BJ408</f>
        <v>2298.468979967623</v>
      </c>
      <c r="AF17" s="583">
        <f>Model!BK408</f>
        <v>2352.4612592137669</v>
      </c>
      <c r="AG17" s="583">
        <f>Model!BL408</f>
        <v>2380.4866898171249</v>
      </c>
      <c r="AH17" s="583">
        <f>Model!BM408</f>
        <v>2412.6651869236298</v>
      </c>
      <c r="AI17" s="583">
        <f>Model!BN408</f>
        <v>2443.2000928340995</v>
      </c>
      <c r="AJ17" s="583">
        <f>Model!BO408</f>
        <v>2499.0988641862464</v>
      </c>
      <c r="AK17" s="583">
        <f>Model!BP408</f>
        <v>2532.0916045576905</v>
      </c>
      <c r="AL17" s="583">
        <f>Model!BQ408</f>
        <v>2597.5454591426551</v>
      </c>
      <c r="AN17" s="583">
        <f>Model!CR408</f>
        <v>4941</v>
      </c>
      <c r="AO17" s="583">
        <f>Model!CS408</f>
        <v>4853</v>
      </c>
      <c r="AP17" s="583">
        <f>Model!CT408</f>
        <v>4690</v>
      </c>
      <c r="AQ17" s="583">
        <f>Model!CU408</f>
        <v>3703</v>
      </c>
      <c r="AR17" s="583">
        <f>Model!CV408</f>
        <v>3286</v>
      </c>
      <c r="AS17" s="583">
        <f>Model!CW408</f>
        <v>3673</v>
      </c>
      <c r="AT17" s="583">
        <f>Model!CX408</f>
        <v>4331</v>
      </c>
      <c r="AU17" s="583">
        <f>Model!CY408</f>
        <v>4740</v>
      </c>
      <c r="AV17" s="589">
        <f>Model!CZ408</f>
        <v>3938</v>
      </c>
      <c r="AW17" s="583">
        <f>Model!DA408</f>
        <v>4262.6349988269722</v>
      </c>
      <c r="AX17" s="583">
        <f>Model!DB408</f>
        <v>4239.3851531060718</v>
      </c>
      <c r="AY17" s="583">
        <f>Model!DC408</f>
        <v>4321.162375323267</v>
      </c>
      <c r="AZ17" s="583">
        <f>Model!DD408</f>
        <v>4365.3760306218574</v>
      </c>
      <c r="BA17" s="583">
        <f>Model!DE408</f>
        <v>4409.5984733118621</v>
      </c>
      <c r="BB17" s="583">
        <f>Model!DF408</f>
        <v>4650.9302391813899</v>
      </c>
      <c r="BC17" s="583">
        <f>Model!DG408</f>
        <v>4793.1518767407542</v>
      </c>
      <c r="BD17" s="583">
        <f>Model!DH408</f>
        <v>4942.2989570203463</v>
      </c>
      <c r="BE17" s="583">
        <f>Model!DI408</f>
        <v>5129.6370637003456</v>
      </c>
    </row>
    <row r="18" spans="2:57" ht="15.95" customHeight="1">
      <c r="T18" s="587"/>
    </row>
    <row r="19" spans="2:57" ht="15.95" customHeight="1">
      <c r="B19" s="2" t="s">
        <v>639</v>
      </c>
      <c r="C19" s="60">
        <f>Model!AH426</f>
        <v>9976</v>
      </c>
      <c r="D19" s="60">
        <f>Model!AI426</f>
        <v>9840</v>
      </c>
      <c r="E19" s="60">
        <f>Model!AJ426</f>
        <v>9870</v>
      </c>
      <c r="F19" s="60">
        <f>Model!AK426</f>
        <v>9497</v>
      </c>
      <c r="G19" s="60">
        <f>Model!AL426</f>
        <v>9746</v>
      </c>
      <c r="H19" s="60">
        <f>Model!AM426</f>
        <v>9283</v>
      </c>
      <c r="I19" s="60">
        <f>Model!AN426</f>
        <v>8579</v>
      </c>
      <c r="J19" s="60">
        <f>Model!AO426</f>
        <v>9173</v>
      </c>
      <c r="K19" s="60">
        <f>Model!AP426</f>
        <v>8423</v>
      </c>
      <c r="L19" s="60">
        <f>Model!AQ426</f>
        <v>9024</v>
      </c>
      <c r="M19" s="60">
        <f>Model!AR426</f>
        <v>8948</v>
      </c>
      <c r="N19" s="60">
        <f>Model!AS426</f>
        <v>9599</v>
      </c>
      <c r="O19" s="60">
        <f>Model!AT426</f>
        <v>10540</v>
      </c>
      <c r="P19" s="60">
        <f>Model!AU426</f>
        <v>10365</v>
      </c>
      <c r="Q19" s="60">
        <f>Model!AV426</f>
        <v>10347</v>
      </c>
      <c r="R19" s="60">
        <f>Model!AW426</f>
        <v>10462</v>
      </c>
      <c r="S19" s="60">
        <f>Model!AX426</f>
        <v>10995</v>
      </c>
      <c r="T19" s="219">
        <f>Model!AY426</f>
        <v>10904</v>
      </c>
      <c r="U19" s="60">
        <f>Model!AZ426</f>
        <v>11439.39525800059</v>
      </c>
      <c r="V19" s="60">
        <f>Model!BA426</f>
        <v>11618.274989738493</v>
      </c>
      <c r="W19" s="60">
        <f>Model!BB426</f>
        <v>11677.815341723184</v>
      </c>
      <c r="X19" s="60">
        <f>Model!BC426</f>
        <v>11748.628007616464</v>
      </c>
      <c r="Y19" s="60">
        <f>Model!BD426</f>
        <v>11955.842080500139</v>
      </c>
      <c r="Z19" s="60">
        <f>Model!BE426</f>
        <v>12017.905014818869</v>
      </c>
      <c r="AA19" s="60">
        <f>Model!BF426</f>
        <v>12219.554292794566</v>
      </c>
      <c r="AB19" s="60">
        <f>Model!BG426</f>
        <v>12334.350595869544</v>
      </c>
      <c r="AC19" s="60">
        <f>Model!BH426</f>
        <v>12476.703349457559</v>
      </c>
      <c r="AD19" s="60">
        <f>Model!BI426</f>
        <v>12599.906210482952</v>
      </c>
      <c r="AE19" s="60">
        <f>Model!BJ426</f>
        <v>12790.936820304951</v>
      </c>
      <c r="AF19" s="60">
        <f>Model!BK426</f>
        <v>13030.142936945613</v>
      </c>
      <c r="AG19" s="60">
        <f>Model!BL426</f>
        <v>13153.900753019971</v>
      </c>
      <c r="AH19" s="60">
        <f>Model!BM426</f>
        <v>13312.271453535328</v>
      </c>
      <c r="AI19" s="60">
        <f>Model!BN426</f>
        <v>13446.146778920782</v>
      </c>
      <c r="AJ19" s="60">
        <f>Model!BO426</f>
        <v>13703.793698578693</v>
      </c>
      <c r="AK19" s="60">
        <f>Model!BP426</f>
        <v>13822.352915226738</v>
      </c>
      <c r="AL19" s="60">
        <f>Model!BQ426</f>
        <v>14103.940184191684</v>
      </c>
      <c r="AN19" s="60">
        <f>Model!CR426</f>
        <v>19816</v>
      </c>
      <c r="AO19" s="60">
        <f>Model!CS426</f>
        <v>19367</v>
      </c>
      <c r="AP19" s="60">
        <f>Model!CT426</f>
        <v>19029</v>
      </c>
      <c r="AQ19" s="60">
        <f>Model!CU426</f>
        <v>17752</v>
      </c>
      <c r="AR19" s="60">
        <f>Model!CV426</f>
        <v>17447</v>
      </c>
      <c r="AS19" s="60">
        <f>Model!CW426</f>
        <v>18547</v>
      </c>
      <c r="AT19" s="60">
        <f>Model!CX426</f>
        <v>20905</v>
      </c>
      <c r="AU19" s="60">
        <f>Model!CY426</f>
        <v>20809</v>
      </c>
      <c r="AV19" s="219">
        <f>Model!CZ426</f>
        <v>21899</v>
      </c>
      <c r="AW19" s="60">
        <f>Model!DA426</f>
        <v>23057.670247739083</v>
      </c>
      <c r="AX19" s="60">
        <f>Model!DB426</f>
        <v>23426.44334933965</v>
      </c>
      <c r="AY19" s="60">
        <f>Model!DC426</f>
        <v>23973.74709531901</v>
      </c>
      <c r="AZ19" s="60">
        <f>Model!DD426</f>
        <v>24553.90488866411</v>
      </c>
      <c r="BA19" s="60">
        <f>Model!DE426</f>
        <v>25076.609559940509</v>
      </c>
      <c r="BB19" s="60">
        <f>Model!DF426</f>
        <v>25821.079757250562</v>
      </c>
      <c r="BC19" s="60">
        <f>Model!DG426</f>
        <v>26466.172206555297</v>
      </c>
      <c r="BD19" s="60">
        <f>Model!DH426</f>
        <v>27149.940477499476</v>
      </c>
      <c r="BE19" s="60">
        <f>Model!DI426</f>
        <v>27926.293099418424</v>
      </c>
    </row>
    <row r="20" spans="2:57" ht="15.95" customHeight="1" outlineLevel="1">
      <c r="B20" s="608" t="s">
        <v>2554</v>
      </c>
      <c r="C20" s="609"/>
      <c r="D20" s="610">
        <f t="shared" ref="D20:M20" si="3">D19/C19-1</f>
        <v>-1.3632718524458687E-2</v>
      </c>
      <c r="E20" s="610">
        <f t="shared" si="3"/>
        <v>3.0487804878047697E-3</v>
      </c>
      <c r="F20" s="610">
        <f t="shared" si="3"/>
        <v>-3.7791286727456908E-2</v>
      </c>
      <c r="G20" s="610">
        <f t="shared" si="3"/>
        <v>2.6218805938717393E-2</v>
      </c>
      <c r="H20" s="610">
        <f t="shared" si="3"/>
        <v>-4.750666940283188E-2</v>
      </c>
      <c r="I20" s="610">
        <f t="shared" si="3"/>
        <v>-7.5837552515350626E-2</v>
      </c>
      <c r="J20" s="610">
        <f t="shared" si="3"/>
        <v>6.923883902552741E-2</v>
      </c>
      <c r="K20" s="610">
        <f t="shared" si="3"/>
        <v>-8.1761691921944823E-2</v>
      </c>
      <c r="L20" s="610">
        <f t="shared" si="3"/>
        <v>7.1352249792235645E-2</v>
      </c>
      <c r="M20" s="610">
        <f t="shared" si="3"/>
        <v>-8.4219858156028282E-3</v>
      </c>
      <c r="N20" s="610">
        <f>N19/M19-1</f>
        <v>7.2753687974966397E-2</v>
      </c>
      <c r="O20" s="610">
        <f t="shared" ref="O20:BA20" si="4">O19/N19-1</f>
        <v>9.80310449005104E-2</v>
      </c>
      <c r="P20" s="610">
        <f t="shared" si="4"/>
        <v>-1.6603415559772294E-2</v>
      </c>
      <c r="Q20" s="610">
        <f t="shared" si="4"/>
        <v>-1.7366136034732138E-3</v>
      </c>
      <c r="R20" s="610">
        <f t="shared" si="4"/>
        <v>1.1114332656808834E-2</v>
      </c>
      <c r="S20" s="610">
        <f t="shared" si="4"/>
        <v>5.0946281781686142E-2</v>
      </c>
      <c r="T20" s="611">
        <f t="shared" si="4"/>
        <v>-8.2764893133242534E-3</v>
      </c>
      <c r="U20" s="610">
        <f t="shared" si="4"/>
        <v>4.9100812362489865E-2</v>
      </c>
      <c r="V20" s="610">
        <f t="shared" si="4"/>
        <v>1.5637166799774338E-2</v>
      </c>
      <c r="W20" s="610">
        <f t="shared" si="4"/>
        <v>5.1247153331521744E-3</v>
      </c>
      <c r="X20" s="610">
        <f t="shared" si="4"/>
        <v>6.0638624452533652E-3</v>
      </c>
      <c r="Y20" s="610">
        <f t="shared" si="4"/>
        <v>1.7637299670169249E-2</v>
      </c>
      <c r="Z20" s="610">
        <f t="shared" si="4"/>
        <v>5.1910132218921934E-3</v>
      </c>
      <c r="AA20" s="610">
        <f t="shared" si="4"/>
        <v>1.6779070705505772E-2</v>
      </c>
      <c r="AB20" s="610">
        <f t="shared" si="4"/>
        <v>9.3944754713901624E-3</v>
      </c>
      <c r="AC20" s="610">
        <f t="shared" si="4"/>
        <v>1.1541163232029916E-2</v>
      </c>
      <c r="AD20" s="610">
        <f t="shared" si="4"/>
        <v>9.874632551133633E-3</v>
      </c>
      <c r="AE20" s="610">
        <f t="shared" si="4"/>
        <v>1.5161272364318412E-2</v>
      </c>
      <c r="AF20" s="610">
        <f t="shared" si="4"/>
        <v>1.8701219465093066E-2</v>
      </c>
      <c r="AG20" s="610">
        <f t="shared" si="4"/>
        <v>9.4978095538349461E-3</v>
      </c>
      <c r="AH20" s="610">
        <f t="shared" si="4"/>
        <v>1.2039827841866302E-2</v>
      </c>
      <c r="AI20" s="610">
        <f t="shared" si="4"/>
        <v>1.0056535118948551E-2</v>
      </c>
      <c r="AJ20" s="610">
        <f t="shared" si="4"/>
        <v>1.9161394256220543E-2</v>
      </c>
      <c r="AK20" s="610">
        <f t="shared" si="4"/>
        <v>8.6515616956741592E-3</v>
      </c>
      <c r="AL20" s="610">
        <f t="shared" si="4"/>
        <v>2.0371876676274825E-2</v>
      </c>
      <c r="AM20" s="610"/>
      <c r="AN20" s="610" t="e">
        <f t="shared" si="4"/>
        <v>#DIV/0!</v>
      </c>
      <c r="AO20" s="610">
        <f t="shared" si="4"/>
        <v>-2.2658457811869148E-2</v>
      </c>
      <c r="AP20" s="610">
        <f t="shared" si="4"/>
        <v>-1.7452367429132032E-2</v>
      </c>
      <c r="AQ20" s="610">
        <f t="shared" si="4"/>
        <v>-6.7108098165957197E-2</v>
      </c>
      <c r="AR20" s="610">
        <f t="shared" si="4"/>
        <v>-1.7181162685894535E-2</v>
      </c>
      <c r="AS20" s="610">
        <f t="shared" si="4"/>
        <v>6.3048088496589605E-2</v>
      </c>
      <c r="AT20" s="610">
        <f t="shared" si="4"/>
        <v>0.12713646411818624</v>
      </c>
      <c r="AU20" s="610">
        <f t="shared" si="4"/>
        <v>-4.5922028222913358E-3</v>
      </c>
      <c r="AV20" s="611">
        <f t="shared" si="4"/>
        <v>5.2381181219664619E-2</v>
      </c>
      <c r="AW20" s="610">
        <f t="shared" si="4"/>
        <v>5.2909733217913368E-2</v>
      </c>
      <c r="AX20" s="610">
        <f t="shared" si="4"/>
        <v>1.5993510950514489E-2</v>
      </c>
      <c r="AY20" s="610">
        <f t="shared" si="4"/>
        <v>2.3362647834238359E-2</v>
      </c>
      <c r="AZ20" s="610">
        <f t="shared" si="4"/>
        <v>2.4199712754055858E-2</v>
      </c>
      <c r="BA20" s="610">
        <f t="shared" si="4"/>
        <v>2.1288046591632748E-2</v>
      </c>
      <c r="BB20" s="610">
        <f t="shared" ref="BB20" si="5">BB19/BA19-1</f>
        <v>2.9687833019473642E-2</v>
      </c>
      <c r="BC20" s="610">
        <f t="shared" ref="BC20" si="6">BC19/BB19-1</f>
        <v>2.4983170935119148E-2</v>
      </c>
      <c r="BD20" s="610">
        <f t="shared" ref="BD20" si="7">BD19/BC19-1</f>
        <v>2.5835555878942706E-2</v>
      </c>
      <c r="BE20" s="610">
        <f t="shared" ref="BE20" si="8">BE19/BD19-1</f>
        <v>2.8595002724309815E-2</v>
      </c>
    </row>
    <row r="21" spans="2:57" ht="15.95" customHeight="1">
      <c r="T21" s="587"/>
      <c r="AW21" s="612"/>
    </row>
    <row r="22" spans="2:57" ht="15.95" customHeight="1">
      <c r="B22" s="579" t="s">
        <v>2551</v>
      </c>
      <c r="C22" s="582">
        <f>Model!AH432</f>
        <v>-2519</v>
      </c>
      <c r="D22" s="582">
        <f>Model!AI432</f>
        <v>-2405</v>
      </c>
      <c r="E22" s="582">
        <f>Model!AJ432</f>
        <v>-2355</v>
      </c>
      <c r="F22" s="582">
        <f>Model!AK432</f>
        <v>-2260</v>
      </c>
      <c r="G22" s="582">
        <f>Model!AL432</f>
        <v>-2370</v>
      </c>
      <c r="H22" s="582">
        <f>Model!AM432</f>
        <v>-2395</v>
      </c>
      <c r="I22" s="582">
        <f>Model!AN432</f>
        <v>-2465</v>
      </c>
      <c r="J22" s="582">
        <f>Model!AO432</f>
        <v>-2413</v>
      </c>
      <c r="K22" s="582">
        <f>Model!AP432</f>
        <v>-2449</v>
      </c>
      <c r="L22" s="582">
        <f>Model!AQ432</f>
        <v>-2497</v>
      </c>
      <c r="M22" s="582">
        <f>-[3]ANZ!C175</f>
        <v>-2601</v>
      </c>
      <c r="N22" s="582">
        <f>-[3]ANZ!D175</f>
        <v>-2604</v>
      </c>
      <c r="O22" s="582">
        <f>-[3]ANZ!E175</f>
        <v>-2893</v>
      </c>
      <c r="P22" s="582">
        <f>-[3]ANZ!F175</f>
        <v>-2869</v>
      </c>
      <c r="Q22" s="582">
        <f>-[3]ANZ!G175</f>
        <v>-3062</v>
      </c>
      <c r="R22" s="582">
        <f>-[3]ANZ!H175</f>
        <v>-3116</v>
      </c>
      <c r="S22" s="582">
        <f>-[3]ANZ!I175</f>
        <v>-3312</v>
      </c>
      <c r="T22" s="588">
        <f>-[3]ANZ!J175</f>
        <v>-3443</v>
      </c>
      <c r="U22" s="582">
        <f>-[3]ANZ!K175</f>
        <v>-3299.1123333333335</v>
      </c>
      <c r="V22" s="582">
        <f>-[3]ANZ!L175</f>
        <v>-3365.4875435184586</v>
      </c>
      <c r="W22" s="582">
        <f>-[3]ANZ!M175</f>
        <v>-3254.6519316115387</v>
      </c>
      <c r="X22" s="582">
        <f>-[3]ANZ!N175</f>
        <v>-3455.1081919776093</v>
      </c>
      <c r="Y22" s="582">
        <f>-[3]ANZ!O175</f>
        <v>-3315.9012171760055</v>
      </c>
      <c r="Z22" s="582">
        <f>-[3]ANZ!P175</f>
        <v>-3550.5330986869935</v>
      </c>
      <c r="AA22" s="582">
        <f>-[3]ANZ!Q175</f>
        <v>-3426.1171232525708</v>
      </c>
      <c r="AB22" s="582">
        <f>-[3]ANZ!R175</f>
        <v>-3637.8213565193537</v>
      </c>
      <c r="AC22" s="582">
        <f>-[3]ANZ!S175</f>
        <v>-3508.9353586327497</v>
      </c>
      <c r="AD22" s="582">
        <f>-[3]ANZ!T175</f>
        <v>-3741.5335906509786</v>
      </c>
      <c r="AE22" s="582"/>
      <c r="AN22" s="582"/>
      <c r="AO22" s="582"/>
      <c r="AP22" s="582"/>
      <c r="AQ22" s="582"/>
      <c r="AR22" s="582"/>
      <c r="AS22" s="582">
        <f>-[3]ANZ!V175</f>
        <v>-5205</v>
      </c>
      <c r="AT22" s="582">
        <f>-[3]ANZ!W175</f>
        <v>-5762</v>
      </c>
      <c r="AU22" s="582">
        <f>-[3]ANZ!X175</f>
        <v>-6178</v>
      </c>
      <c r="AV22" s="588">
        <f>-[3]ANZ!Y175</f>
        <v>-6755</v>
      </c>
      <c r="AW22" s="582">
        <f>-[3]ANZ!Z175</f>
        <v>-6664.599876851792</v>
      </c>
      <c r="AX22" s="582">
        <f>-[3]ANZ!AA175</f>
        <v>-6709.760123589148</v>
      </c>
      <c r="AY22" s="582">
        <f>-[3]ANZ!AB175</f>
        <v>-6866.434315862999</v>
      </c>
      <c r="AZ22" s="582">
        <f>-[3]ANZ!AC175</f>
        <v>-7063.9384797719249</v>
      </c>
      <c r="BA22" s="582">
        <f>-[3]ANZ!AD175</f>
        <v>-7250.4689492837279</v>
      </c>
      <c r="BB22" s="582"/>
      <c r="BC22" s="582"/>
      <c r="BD22" s="582"/>
      <c r="BE22" s="582"/>
    </row>
    <row r="23" spans="2:57" ht="15.95" customHeight="1">
      <c r="B23" s="579" t="s">
        <v>2535</v>
      </c>
      <c r="M23" s="582">
        <f>-[3]ANZ!C176</f>
        <v>-801</v>
      </c>
      <c r="N23" s="582">
        <f>-[3]ANZ!D176</f>
        <v>-801</v>
      </c>
      <c r="O23" s="582">
        <f>-[3]ANZ!E176</f>
        <v>-836</v>
      </c>
      <c r="P23" s="582">
        <f>-[3]ANZ!F176</f>
        <v>-864</v>
      </c>
      <c r="Q23" s="582">
        <f>-[3]ANZ!G176</f>
        <v>-898</v>
      </c>
      <c r="R23" s="582">
        <f>-[3]ANZ!H176</f>
        <v>-1017</v>
      </c>
      <c r="S23" s="582">
        <f>-[3]ANZ!I176</f>
        <v>-1057</v>
      </c>
      <c r="T23" s="588">
        <f>-[3]ANZ!J176</f>
        <v>-1186</v>
      </c>
      <c r="U23" s="582">
        <f>-[3]ANZ!K176</f>
        <v>-817.24139654482292</v>
      </c>
      <c r="V23" s="582">
        <f>-[3]ANZ!L176</f>
        <v>-907.4576029767785</v>
      </c>
      <c r="W23" s="582">
        <f>-[3]ANZ!M176</f>
        <v>-751.38171259442061</v>
      </c>
      <c r="X23" s="582">
        <f>-[3]ANZ!N176</f>
        <v>-936.52363845456659</v>
      </c>
      <c r="Y23" s="582">
        <f>-[3]ANZ!O176</f>
        <v>-775.48944793539192</v>
      </c>
      <c r="Z23" s="582">
        <f>-[3]ANZ!P176</f>
        <v>-983.89605177502892</v>
      </c>
      <c r="AA23" s="582">
        <f>-[3]ANZ!Q176</f>
        <v>-757.65490350907794</v>
      </c>
      <c r="AB23" s="582">
        <f>-[3]ANZ!R176</f>
        <v>-974.362497717824</v>
      </c>
      <c r="AC23" s="582">
        <f>-[3]ANZ!S176</f>
        <v>-743.49389387409258</v>
      </c>
      <c r="AD23" s="582">
        <f>-[3]ANZ!T176</f>
        <v>-979.56732717115256</v>
      </c>
      <c r="AS23" s="582">
        <f>-[3]ANZ!V176</f>
        <v>-1602</v>
      </c>
      <c r="AT23" s="582">
        <f>-[3]ANZ!W176</f>
        <v>-1700</v>
      </c>
      <c r="AU23" s="582">
        <f>-[3]ANZ!X176</f>
        <v>-1915</v>
      </c>
      <c r="AV23" s="588">
        <f>-[3]ANZ!Y176</f>
        <v>-2243</v>
      </c>
      <c r="AW23" s="582">
        <f>-[3]ANZ!Z176</f>
        <v>-1724.6989995216013</v>
      </c>
      <c r="AX23" s="582">
        <f>-[3]ANZ!AA176</f>
        <v>-1687.9053510489871</v>
      </c>
      <c r="AY23" s="582">
        <f>-[3]ANZ!AB176</f>
        <v>-1759.3854997104208</v>
      </c>
      <c r="AZ23" s="582">
        <f>-[3]ANZ!AC176</f>
        <v>-1732.0174012269019</v>
      </c>
      <c r="BA23" s="582">
        <f>-[3]ANZ!AD176</f>
        <v>-1723.061221045245</v>
      </c>
      <c r="BB23" s="582"/>
      <c r="BC23" s="582"/>
      <c r="BD23" s="582"/>
      <c r="BE23" s="582"/>
    </row>
    <row r="24" spans="2:57" ht="15.95" customHeight="1">
      <c r="B24" s="579" t="s">
        <v>2536</v>
      </c>
      <c r="M24" s="582">
        <f>-[3]ANZ!C177</f>
        <v>-341</v>
      </c>
      <c r="N24" s="582">
        <f>-[3]ANZ!D177</f>
        <v>-333</v>
      </c>
      <c r="O24" s="582">
        <f>-[3]ANZ!E177</f>
        <v>-334</v>
      </c>
      <c r="P24" s="582">
        <f>-[3]ANZ!F177</f>
        <v>-324</v>
      </c>
      <c r="Q24" s="582">
        <f>-[3]ANZ!G177</f>
        <v>-321</v>
      </c>
      <c r="R24" s="582">
        <f>-[3]ANZ!H177</f>
        <v>-338</v>
      </c>
      <c r="S24" s="582">
        <f>-[3]ANZ!I177</f>
        <v>-348</v>
      </c>
      <c r="T24" s="588">
        <f>-[3]ANZ!J177</f>
        <v>-362</v>
      </c>
      <c r="U24" s="582">
        <f>-[3]ANZ!K177</f>
        <v>-302.43266666666665</v>
      </c>
      <c r="V24" s="582">
        <f>-[3]ANZ!L177</f>
        <v>-314.61634714566281</v>
      </c>
      <c r="W24" s="582">
        <f>-[3]ANZ!M177</f>
        <v>-295.45936125388886</v>
      </c>
      <c r="X24" s="582">
        <f>-[3]ANZ!N177</f>
        <v>-330.72438920058931</v>
      </c>
      <c r="Y24" s="582">
        <f>-[3]ANZ!O177</f>
        <v>-311.31254223783628</v>
      </c>
      <c r="Z24" s="582">
        <f>-[3]ANZ!P177</f>
        <v>-349.904901775832</v>
      </c>
      <c r="AA24" s="582">
        <f>-[3]ANZ!Q177</f>
        <v>-326.85834216771661</v>
      </c>
      <c r="AB24" s="582">
        <f>-[3]ANZ!R177</f>
        <v>-362.49968814495503</v>
      </c>
      <c r="AC24" s="582">
        <f>-[3]ANZ!S177</f>
        <v>-338.828466230998</v>
      </c>
      <c r="AD24" s="582">
        <f>-[3]ANZ!T177</f>
        <v>-378.60603896776098</v>
      </c>
      <c r="AS24" s="582">
        <f>-[3]ANZ!V177</f>
        <v>-674</v>
      </c>
      <c r="AT24" s="582">
        <f>-[3]ANZ!W177</f>
        <v>-658</v>
      </c>
      <c r="AU24" s="582">
        <f>-[3]ANZ!X177</f>
        <v>-659</v>
      </c>
      <c r="AV24" s="588">
        <f>-[3]ANZ!Y177</f>
        <v>-710</v>
      </c>
      <c r="AW24" s="582">
        <f>-[3]ANZ!Z177</f>
        <v>-617.04901381232946</v>
      </c>
      <c r="AX24" s="582">
        <f>-[3]ANZ!AA177</f>
        <v>-626.18375045447817</v>
      </c>
      <c r="AY24" s="582">
        <f>-[3]ANZ!AB177</f>
        <v>-661.21744401366823</v>
      </c>
      <c r="AZ24" s="582">
        <f>-[3]ANZ!AC177</f>
        <v>-689.35803031267164</v>
      </c>
      <c r="BA24" s="582">
        <f>-[3]ANZ!AD177</f>
        <v>-717.43450519875898</v>
      </c>
      <c r="BB24" s="582"/>
      <c r="BC24" s="582"/>
      <c r="BD24" s="582"/>
      <c r="BE24" s="582"/>
    </row>
    <row r="25" spans="2:57" ht="15.95" customHeight="1">
      <c r="B25" s="579" t="s">
        <v>271</v>
      </c>
      <c r="M25" s="582">
        <f>-[3]ANZ!C178</f>
        <v>-812</v>
      </c>
      <c r="N25" s="582">
        <f>-[3]ANZ!D178</f>
        <v>-888</v>
      </c>
      <c r="O25" s="582">
        <f>-[3]ANZ!E178</f>
        <v>-781</v>
      </c>
      <c r="P25" s="582">
        <f>-[3]ANZ!F178</f>
        <v>-1085</v>
      </c>
      <c r="Q25" s="582">
        <f>-[3]ANZ!G178</f>
        <v>-934</v>
      </c>
      <c r="R25" s="582">
        <f>-[3]ANZ!H178</f>
        <v>-1055</v>
      </c>
      <c r="S25" s="582">
        <f>-[3]ANZ!I178</f>
        <v>-1025</v>
      </c>
      <c r="T25" s="588">
        <f>-[3]ANZ!J178</f>
        <v>-1116</v>
      </c>
      <c r="U25" s="582">
        <f>-[3]ANZ!K178</f>
        <v>-1125.3</v>
      </c>
      <c r="V25" s="582">
        <f>-[3]ANZ!L178</f>
        <v>-1144.0549999999998</v>
      </c>
      <c r="W25" s="582">
        <f>-[3]ANZ!M178</f>
        <v>-1170.7496166666665</v>
      </c>
      <c r="X25" s="582">
        <f>-[3]ANZ!N178</f>
        <v>-1198.0671077222221</v>
      </c>
      <c r="Y25" s="582">
        <f>-[3]ANZ!O178</f>
        <v>-1222.0284498766666</v>
      </c>
      <c r="Z25" s="582">
        <f>-[3]ANZ!P178</f>
        <v>-1246.4690188741999</v>
      </c>
      <c r="AA25" s="582">
        <f>-[3]ANZ!Q178</f>
        <v>-1254.7788123333612</v>
      </c>
      <c r="AB25" s="582">
        <f>-[3]ANZ!R178</f>
        <v>-1263.1440044155836</v>
      </c>
      <c r="AC25" s="582">
        <f>-[3]ANZ!S178</f>
        <v>-1271.5649644450207</v>
      </c>
      <c r="AD25" s="582">
        <f>-[3]ANZ!T178</f>
        <v>-1280.0420642079873</v>
      </c>
      <c r="AS25" s="582">
        <f>-[3]ANZ!V178</f>
        <v>-1700</v>
      </c>
      <c r="AT25" s="582">
        <f>-[3]ANZ!W178</f>
        <v>-1866</v>
      </c>
      <c r="AU25" s="582">
        <f>-[3]ANZ!X178</f>
        <v>-1989</v>
      </c>
      <c r="AV25" s="588">
        <f>-[3]ANZ!Y178</f>
        <v>-2141</v>
      </c>
      <c r="AW25" s="582">
        <f>-[3]ANZ!Z178</f>
        <v>-2269.3549999999996</v>
      </c>
      <c r="AX25" s="582">
        <f>-[3]ANZ!AA178</f>
        <v>-2368.8167243888884</v>
      </c>
      <c r="AY25" s="582">
        <f>-[3]ANZ!AB178</f>
        <v>-2468.4974687508666</v>
      </c>
      <c r="AZ25" s="582">
        <f>-[3]ANZ!AC178</f>
        <v>-2517.9228167489446</v>
      </c>
      <c r="BA25" s="582">
        <f>-[3]ANZ!AD178</f>
        <v>-2551.607028653008</v>
      </c>
      <c r="BB25" s="582"/>
      <c r="BC25" s="582"/>
      <c r="BD25" s="582"/>
      <c r="BE25" s="582"/>
    </row>
    <row r="26" spans="2:57" ht="15.95" customHeight="1">
      <c r="B26" s="580" t="s">
        <v>2537</v>
      </c>
      <c r="C26" s="583">
        <f>Model!AH441</f>
        <v>-4487</v>
      </c>
      <c r="D26" s="583">
        <f>Model!AI441</f>
        <v>-4480</v>
      </c>
      <c r="E26" s="583">
        <f>Model!AJ441</f>
        <v>-4294</v>
      </c>
      <c r="F26" s="583">
        <f>Model!AK441</f>
        <v>-4308</v>
      </c>
      <c r="G26" s="583">
        <f>Model!AL441</f>
        <v>-4222</v>
      </c>
      <c r="H26" s="583">
        <f>Model!AM441</f>
        <v>-4305</v>
      </c>
      <c r="I26" s="583">
        <f>Model!AN441</f>
        <v>-4361</v>
      </c>
      <c r="J26" s="583">
        <f>Model!AO441</f>
        <v>-4288</v>
      </c>
      <c r="K26" s="583">
        <f>Model!AP441</f>
        <v>-4187</v>
      </c>
      <c r="L26" s="583">
        <f>Model!AQ441</f>
        <v>-4423</v>
      </c>
      <c r="M26" s="583">
        <f>Model!AR441</f>
        <v>-4544</v>
      </c>
      <c r="N26" s="583">
        <f>Model!AS441</f>
        <v>-4626</v>
      </c>
      <c r="O26" s="583">
        <f>Model!AT441</f>
        <v>-4844</v>
      </c>
      <c r="P26" s="583">
        <f>Model!AU441</f>
        <v>-4874</v>
      </c>
      <c r="Q26" s="583">
        <f>Model!AV441</f>
        <v>-5215</v>
      </c>
      <c r="R26" s="583">
        <f>Model!AW441</f>
        <v>-5526</v>
      </c>
      <c r="S26" s="583">
        <f>Model!AX441</f>
        <v>-5742</v>
      </c>
      <c r="T26" s="589">
        <f>Model!AY441</f>
        <v>-6107</v>
      </c>
      <c r="U26" s="583">
        <f>Model!AZ441</f>
        <v>-5544.0863965448234</v>
      </c>
      <c r="V26" s="583">
        <f>Model!BA441</f>
        <v>-5731.6164936409004</v>
      </c>
      <c r="W26" s="583">
        <f>Model!BB441</f>
        <v>-5472.2426221265141</v>
      </c>
      <c r="X26" s="583">
        <f>Model!BC441</f>
        <v>-5920.4233273549871</v>
      </c>
      <c r="Y26" s="583">
        <f>Model!BD441</f>
        <v>-5624.7316572259006</v>
      </c>
      <c r="Z26" s="583">
        <f>Model!BE441</f>
        <v>-6130.8030711120537</v>
      </c>
      <c r="AA26" s="583">
        <f>Model!BF441</f>
        <v>-5765.4091812627266</v>
      </c>
      <c r="AB26" s="583">
        <f>Model!BG441</f>
        <v>-6237.8275467977164</v>
      </c>
      <c r="AC26" s="583">
        <f>Model!BH441</f>
        <v>-5862.8226831828606</v>
      </c>
      <c r="AD26" s="583">
        <f>Model!BI441</f>
        <v>-6379.7490209978796</v>
      </c>
      <c r="AE26" s="583">
        <f>Model!BJ441</f>
        <v>-6132.6309569320729</v>
      </c>
      <c r="AF26" s="583">
        <f>Model!BK441</f>
        <v>-6473.7293775789922</v>
      </c>
      <c r="AG26" s="583">
        <f>Model!BL441</f>
        <v>-6246.8716708539541</v>
      </c>
      <c r="AH26" s="583">
        <f>Model!BM441</f>
        <v>-6599.0425989516634</v>
      </c>
      <c r="AI26" s="583">
        <f>Model!BN441</f>
        <v>-6372.5196491489351</v>
      </c>
      <c r="AJ26" s="583">
        <f>Model!BO441</f>
        <v>-6761.0866308130544</v>
      </c>
      <c r="AK26" s="583">
        <f>Model!BP441</f>
        <v>-6511.0906991425963</v>
      </c>
      <c r="AL26" s="583">
        <f>Model!BQ441</f>
        <v>-6916.5775161239162</v>
      </c>
      <c r="AM26" s="580"/>
      <c r="AN26" s="583">
        <f>Model!CR441</f>
        <v>-8967</v>
      </c>
      <c r="AO26" s="583">
        <f>Model!CS441</f>
        <v>-8602</v>
      </c>
      <c r="AP26" s="583">
        <f>Model!CT441</f>
        <v>-8527</v>
      </c>
      <c r="AQ26" s="583">
        <f>Model!CU441</f>
        <v>-8649</v>
      </c>
      <c r="AR26" s="583">
        <f>Model!CV441</f>
        <v>-8610</v>
      </c>
      <c r="AS26" s="583">
        <f>Model!CW441</f>
        <v>-9170</v>
      </c>
      <c r="AT26" s="583">
        <f>Model!CX441</f>
        <v>-9718</v>
      </c>
      <c r="AU26" s="583">
        <f>Model!CY441</f>
        <v>-10741</v>
      </c>
      <c r="AV26" s="589">
        <f>Model!CZ441</f>
        <v>-11849</v>
      </c>
      <c r="AW26" s="583">
        <f>Model!DA441</f>
        <v>-11275.702890185723</v>
      </c>
      <c r="AX26" s="583">
        <f>Model!DB441</f>
        <v>-11392.665949481501</v>
      </c>
      <c r="AY26" s="583">
        <f>Model!DC441</f>
        <v>-11755.534728337954</v>
      </c>
      <c r="AZ26" s="583">
        <f>Model!DD441</f>
        <v>-12003.236728060443</v>
      </c>
      <c r="BA26" s="583">
        <f>Model!DE441</f>
        <v>-12242.57170418074</v>
      </c>
      <c r="BB26" s="583">
        <f>Model!DF441</f>
        <v>-12606.360334511064</v>
      </c>
      <c r="BC26" s="583">
        <f>Model!DG441</f>
        <v>-12845.914269805617</v>
      </c>
      <c r="BD26" s="583">
        <f>Model!DH441</f>
        <v>-13133.60627996199</v>
      </c>
      <c r="BE26" s="583">
        <f>Model!DI441</f>
        <v>-13427.668215266513</v>
      </c>
    </row>
    <row r="27" spans="2:57" ht="15.95" customHeight="1">
      <c r="B27" s="579" t="s">
        <v>2533</v>
      </c>
      <c r="C27" s="582">
        <f>Model!AH442</f>
        <v>0</v>
      </c>
      <c r="D27" s="582">
        <f>Model!AI442</f>
        <v>0</v>
      </c>
      <c r="E27" s="582">
        <f>Model!AJ442</f>
        <v>-179</v>
      </c>
      <c r="F27" s="582">
        <f>Model!AK442</f>
        <v>-620</v>
      </c>
      <c r="G27" s="582">
        <f>Model!AL442</f>
        <v>-143</v>
      </c>
      <c r="H27" s="582">
        <f>Model!AM442</f>
        <v>-401</v>
      </c>
      <c r="I27" s="582">
        <f>Model!AN442</f>
        <v>-244</v>
      </c>
      <c r="J27" s="582">
        <f>Model!AO442</f>
        <v>-490</v>
      </c>
      <c r="K27" s="582">
        <f>Model!AP442</f>
        <v>-295</v>
      </c>
      <c r="L27" s="582">
        <f>Model!AQ442</f>
        <v>-146</v>
      </c>
      <c r="M27" s="582">
        <f>Model!AR442</f>
        <v>-247</v>
      </c>
      <c r="N27" s="582">
        <f>Model!AS442</f>
        <v>-162</v>
      </c>
      <c r="O27" s="582">
        <f>Model!AT442</f>
        <v>-153</v>
      </c>
      <c r="P27" s="582">
        <f>Model!AU442</f>
        <v>-268</v>
      </c>
      <c r="Q27" s="582">
        <f>Model!AV442</f>
        <v>0</v>
      </c>
      <c r="R27" s="582">
        <f>Model!AW442</f>
        <v>0</v>
      </c>
      <c r="S27" s="582">
        <f>Model!AX442</f>
        <v>0</v>
      </c>
      <c r="T27" s="588">
        <f>Model!AY442</f>
        <v>-1031</v>
      </c>
      <c r="U27" s="582">
        <f>Model!AZ442</f>
        <v>-111.25</v>
      </c>
      <c r="V27" s="582">
        <f>Model!BA442</f>
        <v>-111.25</v>
      </c>
      <c r="W27" s="582">
        <f>Model!BB442</f>
        <v>-111.25</v>
      </c>
      <c r="X27" s="582">
        <f>Model!BC442</f>
        <v>-111.25</v>
      </c>
      <c r="Y27" s="582">
        <f>Model!BD442</f>
        <v>0</v>
      </c>
      <c r="Z27" s="582">
        <f>Model!BE442</f>
        <v>0</v>
      </c>
      <c r="AA27" s="582">
        <f>Model!BF442</f>
        <v>0</v>
      </c>
      <c r="AB27" s="582">
        <f>Model!BG442</f>
        <v>0</v>
      </c>
      <c r="AC27" s="582">
        <f>Model!BH442</f>
        <v>0</v>
      </c>
      <c r="AD27" s="582">
        <f>Model!BI442</f>
        <v>0</v>
      </c>
      <c r="AE27" s="582">
        <f>Model!BJ442</f>
        <v>0</v>
      </c>
      <c r="AF27" s="582">
        <f>Model!BK442</f>
        <v>0</v>
      </c>
      <c r="AG27" s="582">
        <f>Model!BL442</f>
        <v>0</v>
      </c>
      <c r="AH27" s="582">
        <f>Model!BM442</f>
        <v>0</v>
      </c>
      <c r="AI27" s="582">
        <f>Model!BN442</f>
        <v>0</v>
      </c>
      <c r="AJ27" s="582">
        <f>Model!BO442</f>
        <v>0</v>
      </c>
      <c r="AK27" s="582">
        <f>Model!BP442</f>
        <v>0</v>
      </c>
      <c r="AL27" s="582">
        <f>Model!BQ442</f>
        <v>0</v>
      </c>
      <c r="AN27" s="582">
        <f>Model!CR442</f>
        <v>0</v>
      </c>
      <c r="AO27" s="582">
        <f>Model!CS442</f>
        <v>-799</v>
      </c>
      <c r="AP27" s="582">
        <f>Model!CT442</f>
        <v>-544</v>
      </c>
      <c r="AQ27" s="582">
        <f>Model!CU442</f>
        <v>-734</v>
      </c>
      <c r="AR27" s="582">
        <f>Model!CV442</f>
        <v>-441</v>
      </c>
      <c r="AS27" s="582">
        <f>Model!CW442</f>
        <v>-409</v>
      </c>
      <c r="AT27" s="582">
        <f>Model!CX442</f>
        <v>-421</v>
      </c>
      <c r="AU27" s="582">
        <f>Model!CY442</f>
        <v>0</v>
      </c>
      <c r="AV27" s="588">
        <f>Model!CZ442</f>
        <v>-1031</v>
      </c>
      <c r="AW27" s="582">
        <f>Model!DA442</f>
        <v>-222.5</v>
      </c>
      <c r="AX27" s="582">
        <f>Model!DB442</f>
        <v>-222.5</v>
      </c>
      <c r="AY27" s="582">
        <f>Model!DC442</f>
        <v>0</v>
      </c>
      <c r="AZ27" s="582">
        <f>Model!DD442</f>
        <v>0</v>
      </c>
      <c r="BA27" s="582">
        <f>Model!DE442</f>
        <v>0</v>
      </c>
      <c r="BB27" s="582">
        <f>Model!DF442</f>
        <v>0</v>
      </c>
      <c r="BC27" s="582">
        <f>Model!DG442</f>
        <v>0</v>
      </c>
      <c r="BD27" s="582">
        <f>Model!DH442</f>
        <v>0</v>
      </c>
      <c r="BE27" s="582">
        <f>Model!DI442</f>
        <v>0</v>
      </c>
    </row>
    <row r="28" spans="2:57" ht="15.95" customHeight="1">
      <c r="B28" s="580" t="s">
        <v>2538</v>
      </c>
      <c r="C28" s="583">
        <f>Model!AH443</f>
        <v>-4487</v>
      </c>
      <c r="D28" s="583">
        <f>Model!AI443</f>
        <v>-4480</v>
      </c>
      <c r="E28" s="583">
        <f>Model!AJ443</f>
        <v>-4473</v>
      </c>
      <c r="F28" s="583">
        <f>Model!AK443</f>
        <v>-4928</v>
      </c>
      <c r="G28" s="583">
        <f>Model!AL443</f>
        <v>-4365</v>
      </c>
      <c r="H28" s="583">
        <f>Model!AM443</f>
        <v>-4706</v>
      </c>
      <c r="I28" s="583">
        <f>Model!AN443</f>
        <v>-4605</v>
      </c>
      <c r="J28" s="583">
        <f>Model!AO443</f>
        <v>-4778</v>
      </c>
      <c r="K28" s="583">
        <f>Model!AP443</f>
        <v>-4482</v>
      </c>
      <c r="L28" s="583">
        <f>Model!AQ443</f>
        <v>-4569</v>
      </c>
      <c r="M28" s="583">
        <f>Model!AR443</f>
        <v>-4791</v>
      </c>
      <c r="N28" s="583">
        <f>Model!AS443</f>
        <v>-4788</v>
      </c>
      <c r="O28" s="583">
        <f>Model!AT443</f>
        <v>-4997</v>
      </c>
      <c r="P28" s="583">
        <f>Model!AU443</f>
        <v>-5142</v>
      </c>
      <c r="Q28" s="583">
        <f>Model!AV443</f>
        <v>-5215</v>
      </c>
      <c r="R28" s="583">
        <f>Model!AW443</f>
        <v>-5526</v>
      </c>
      <c r="S28" s="583">
        <f>Model!AX443</f>
        <v>-5742</v>
      </c>
      <c r="T28" s="589">
        <f>Model!AY443</f>
        <v>-7138</v>
      </c>
      <c r="U28" s="583">
        <f>Model!AZ443</f>
        <v>-5655.3363965448234</v>
      </c>
      <c r="V28" s="583">
        <f>Model!BA443</f>
        <v>-5842.8664936409004</v>
      </c>
      <c r="W28" s="583">
        <f>Model!BB443</f>
        <v>-5583.4926221265141</v>
      </c>
      <c r="X28" s="583">
        <f>Model!BC443</f>
        <v>-6031.6733273549871</v>
      </c>
      <c r="Y28" s="583">
        <f>Model!BD443</f>
        <v>-5624.7316572259006</v>
      </c>
      <c r="Z28" s="583">
        <f>Model!BE443</f>
        <v>-6130.8030711120537</v>
      </c>
      <c r="AA28" s="583">
        <f>Model!BF443</f>
        <v>-5765.4091812627266</v>
      </c>
      <c r="AB28" s="583">
        <f>Model!BG443</f>
        <v>-6237.8275467977164</v>
      </c>
      <c r="AC28" s="583">
        <f>Model!BH443</f>
        <v>-5862.8226831828606</v>
      </c>
      <c r="AD28" s="583">
        <f>Model!BI443</f>
        <v>-6379.7490209978796</v>
      </c>
      <c r="AE28" s="583">
        <f>Model!BJ443</f>
        <v>-6132.6309569320729</v>
      </c>
      <c r="AF28" s="583">
        <f>Model!BK443</f>
        <v>-6473.7293775789922</v>
      </c>
      <c r="AG28" s="583">
        <f>Model!BL443</f>
        <v>-6246.8716708539541</v>
      </c>
      <c r="AH28" s="583">
        <f>Model!BM443</f>
        <v>-6599.0425989516634</v>
      </c>
      <c r="AI28" s="583">
        <f>Model!BN443</f>
        <v>-6372.5196491489351</v>
      </c>
      <c r="AJ28" s="583">
        <f>Model!BO443</f>
        <v>-6761.0866308130544</v>
      </c>
      <c r="AK28" s="583">
        <f>Model!BP443</f>
        <v>-6511.0906991425963</v>
      </c>
      <c r="AL28" s="583">
        <f>Model!BQ443</f>
        <v>-6916.5775161239162</v>
      </c>
      <c r="AM28" s="580"/>
      <c r="AN28" s="583">
        <f>Model!CR443</f>
        <v>-8967</v>
      </c>
      <c r="AO28" s="583">
        <f>Model!CS443</f>
        <v>-9401</v>
      </c>
      <c r="AP28" s="583">
        <f>Model!CT443</f>
        <v>-9071</v>
      </c>
      <c r="AQ28" s="583">
        <f>Model!CU443</f>
        <v>-9383</v>
      </c>
      <c r="AR28" s="583">
        <f>Model!CV443</f>
        <v>-9051</v>
      </c>
      <c r="AS28" s="583">
        <f>Model!CW443</f>
        <v>-9579</v>
      </c>
      <c r="AT28" s="583">
        <f>Model!CX443</f>
        <v>-10139</v>
      </c>
      <c r="AU28" s="583">
        <f>Model!CY443</f>
        <v>-10741</v>
      </c>
      <c r="AV28" s="589">
        <f>Model!CZ443</f>
        <v>-12880</v>
      </c>
      <c r="AW28" s="583">
        <f>Model!DA443</f>
        <v>-11498.202890185723</v>
      </c>
      <c r="AX28" s="583">
        <f>Model!DB443</f>
        <v>-11615.165949481501</v>
      </c>
      <c r="AY28" s="583">
        <f>Model!DC443</f>
        <v>-11755.534728337954</v>
      </c>
      <c r="AZ28" s="583">
        <f>Model!DD443</f>
        <v>-12003.236728060443</v>
      </c>
      <c r="BA28" s="583">
        <f>Model!DE443</f>
        <v>-12242.57170418074</v>
      </c>
      <c r="BB28" s="583">
        <f>Model!DF443</f>
        <v>-12606.360334511064</v>
      </c>
      <c r="BC28" s="583">
        <f>Model!DG443</f>
        <v>-12845.914269805617</v>
      </c>
      <c r="BD28" s="583">
        <f>Model!DH443</f>
        <v>-13133.60627996199</v>
      </c>
      <c r="BE28" s="583">
        <f>Model!DI443</f>
        <v>-13427.668215266513</v>
      </c>
    </row>
    <row r="29" spans="2:57" ht="15.95" customHeight="1" outlineLevel="1">
      <c r="B29" s="608" t="s">
        <v>2555</v>
      </c>
      <c r="C29" s="582"/>
      <c r="D29" s="610">
        <f t="shared" ref="D29:M29" si="9">(D26/C26)-1</f>
        <v>-1.5600624024960652E-3</v>
      </c>
      <c r="E29" s="610">
        <f t="shared" si="9"/>
        <v>-4.1517857142857162E-2</v>
      </c>
      <c r="F29" s="610">
        <f t="shared" si="9"/>
        <v>3.260363297624691E-3</v>
      </c>
      <c r="G29" s="610">
        <f t="shared" si="9"/>
        <v>-1.9962859795728871E-2</v>
      </c>
      <c r="H29" s="610">
        <f t="shared" si="9"/>
        <v>1.9658929417337712E-2</v>
      </c>
      <c r="I29" s="610">
        <f t="shared" si="9"/>
        <v>1.3008130081300751E-2</v>
      </c>
      <c r="J29" s="610">
        <f t="shared" si="9"/>
        <v>-1.6739279981655586E-2</v>
      </c>
      <c r="K29" s="610">
        <f t="shared" si="9"/>
        <v>-2.355410447761197E-2</v>
      </c>
      <c r="L29" s="610">
        <f t="shared" si="9"/>
        <v>5.6364939097205635E-2</v>
      </c>
      <c r="M29" s="610">
        <f t="shared" si="9"/>
        <v>2.7356997513000136E-2</v>
      </c>
      <c r="N29" s="610">
        <f>(N26/M26)-1</f>
        <v>1.8045774647887258E-2</v>
      </c>
      <c r="O29" s="610">
        <f t="shared" ref="O29:AD29" si="10">(O26/N26)-1</f>
        <v>4.7124945957630837E-2</v>
      </c>
      <c r="P29" s="610">
        <f t="shared" si="10"/>
        <v>6.1932287365813465E-3</v>
      </c>
      <c r="Q29" s="610">
        <f t="shared" si="10"/>
        <v>6.9963069347558582E-2</v>
      </c>
      <c r="R29" s="610">
        <f t="shared" si="10"/>
        <v>5.9635666347075844E-2</v>
      </c>
      <c r="S29" s="610">
        <f t="shared" si="10"/>
        <v>3.9087947882736174E-2</v>
      </c>
      <c r="T29" s="611">
        <f t="shared" si="10"/>
        <v>6.3566701497735911E-2</v>
      </c>
      <c r="U29" s="610">
        <f t="shared" si="10"/>
        <v>-9.2175143843978513E-2</v>
      </c>
      <c r="V29" s="610">
        <f t="shared" si="10"/>
        <v>3.3825247963839233E-2</v>
      </c>
      <c r="W29" s="610">
        <f t="shared" si="10"/>
        <v>-4.5253179762141382E-2</v>
      </c>
      <c r="X29" s="610">
        <f t="shared" si="10"/>
        <v>8.1900737261958234E-2</v>
      </c>
      <c r="Y29" s="610">
        <f t="shared" si="10"/>
        <v>-4.9944345831295478E-2</v>
      </c>
      <c r="Z29" s="610">
        <f t="shared" si="10"/>
        <v>8.99725435321026E-2</v>
      </c>
      <c r="AA29" s="610">
        <f t="shared" si="10"/>
        <v>-5.9599678151633917E-2</v>
      </c>
      <c r="AB29" s="610">
        <f t="shared" si="10"/>
        <v>8.1940127869904567E-2</v>
      </c>
      <c r="AC29" s="610">
        <f t="shared" si="10"/>
        <v>-6.011786327875801E-2</v>
      </c>
      <c r="AD29" s="610">
        <f t="shared" si="10"/>
        <v>8.8170215227178828E-2</v>
      </c>
      <c r="AE29" s="583"/>
      <c r="AF29" s="583"/>
      <c r="AG29" s="583"/>
      <c r="AH29" s="583"/>
      <c r="AI29" s="583"/>
      <c r="AJ29" s="583"/>
      <c r="AK29" s="583"/>
      <c r="AL29" s="583"/>
      <c r="AM29" s="580"/>
      <c r="AN29" s="583"/>
      <c r="AO29" s="583"/>
      <c r="AP29" s="583"/>
      <c r="AQ29" s="583"/>
      <c r="AR29" s="583"/>
      <c r="AS29" s="610">
        <f t="shared" ref="AS29:BA29" si="11">(AS26/AR26)-1</f>
        <v>6.5040650406503975E-2</v>
      </c>
      <c r="AT29" s="610">
        <f t="shared" si="11"/>
        <v>5.9760087241003346E-2</v>
      </c>
      <c r="AU29" s="610">
        <f t="shared" si="11"/>
        <v>0.10526857378061338</v>
      </c>
      <c r="AV29" s="611">
        <f t="shared" si="11"/>
        <v>0.10315613071408625</v>
      </c>
      <c r="AW29" s="610">
        <f t="shared" si="11"/>
        <v>-4.8383585940946716E-2</v>
      </c>
      <c r="AX29" s="610">
        <f t="shared" si="11"/>
        <v>1.0373017135595353E-2</v>
      </c>
      <c r="AY29" s="610">
        <f t="shared" si="11"/>
        <v>3.1851085642774279E-2</v>
      </c>
      <c r="AZ29" s="610">
        <f t="shared" si="11"/>
        <v>2.1071095909008575E-2</v>
      </c>
      <c r="BA29" s="610">
        <f t="shared" si="11"/>
        <v>1.9939203195151078E-2</v>
      </c>
      <c r="BB29" s="610">
        <f t="shared" ref="BB29" si="12">(BB26/BA26)-1</f>
        <v>2.9715050000980847E-2</v>
      </c>
      <c r="BC29" s="610">
        <f t="shared" ref="BC29" si="13">(BC26/BB26)-1</f>
        <v>1.9002624781297994E-2</v>
      </c>
      <c r="BD29" s="610">
        <f t="shared" ref="BD29" si="14">(BD26/BC26)-1</f>
        <v>2.2395604089667343E-2</v>
      </c>
      <c r="BE29" s="610">
        <f t="shared" ref="BE29" si="15">(BE26/BD26)-1</f>
        <v>2.2390037361876391E-2</v>
      </c>
    </row>
    <row r="30" spans="2:57" ht="15.95" customHeight="1" outlineLevel="1">
      <c r="B30" s="608" t="s">
        <v>2556</v>
      </c>
      <c r="C30" s="609"/>
      <c r="D30" s="610">
        <f t="shared" ref="D30:M30" si="16">D28/C28-1</f>
        <v>-1.5600624024960652E-3</v>
      </c>
      <c r="E30" s="610">
        <f t="shared" si="16"/>
        <v>-1.5625000000000222E-3</v>
      </c>
      <c r="F30" s="610">
        <f t="shared" si="16"/>
        <v>0.10172143974960868</v>
      </c>
      <c r="G30" s="610">
        <f t="shared" si="16"/>
        <v>-0.11424512987012991</v>
      </c>
      <c r="H30" s="610">
        <f t="shared" si="16"/>
        <v>7.8121420389461571E-2</v>
      </c>
      <c r="I30" s="610">
        <f t="shared" si="16"/>
        <v>-2.1461963450913779E-2</v>
      </c>
      <c r="J30" s="610">
        <f t="shared" si="16"/>
        <v>3.7567861020629811E-2</v>
      </c>
      <c r="K30" s="610">
        <f t="shared" si="16"/>
        <v>-6.1950606948514064E-2</v>
      </c>
      <c r="L30" s="610">
        <f t="shared" si="16"/>
        <v>1.9410977242302563E-2</v>
      </c>
      <c r="M30" s="610">
        <f t="shared" si="16"/>
        <v>4.8588312541037348E-2</v>
      </c>
      <c r="N30" s="610">
        <f>N28/M28-1</f>
        <v>-6.2617407639320444E-4</v>
      </c>
      <c r="O30" s="610">
        <f t="shared" ref="O30:AL30" si="17">O28/N28-1</f>
        <v>4.3650793650793718E-2</v>
      </c>
      <c r="P30" s="610">
        <f t="shared" si="17"/>
        <v>2.9017410446267711E-2</v>
      </c>
      <c r="Q30" s="610">
        <f t="shared" si="17"/>
        <v>1.4196810579541141E-2</v>
      </c>
      <c r="R30" s="610">
        <f t="shared" si="17"/>
        <v>5.9635666347075844E-2</v>
      </c>
      <c r="S30" s="610">
        <f t="shared" si="17"/>
        <v>3.9087947882736174E-2</v>
      </c>
      <c r="T30" s="611">
        <f t="shared" si="17"/>
        <v>0.24312086381051889</v>
      </c>
      <c r="U30" s="610">
        <f t="shared" si="17"/>
        <v>-0.20771415010579664</v>
      </c>
      <c r="V30" s="610">
        <f t="shared" si="17"/>
        <v>3.3159848317891427E-2</v>
      </c>
      <c r="W30" s="610">
        <f t="shared" si="17"/>
        <v>-4.4391545108325992E-2</v>
      </c>
      <c r="X30" s="610">
        <f t="shared" si="17"/>
        <v>8.0268881067810938E-2</v>
      </c>
      <c r="Y30" s="610">
        <f t="shared" si="17"/>
        <v>-6.746745853816638E-2</v>
      </c>
      <c r="Z30" s="610">
        <f t="shared" si="17"/>
        <v>8.99725435321026E-2</v>
      </c>
      <c r="AA30" s="610">
        <f t="shared" si="17"/>
        <v>-5.9599678151633917E-2</v>
      </c>
      <c r="AB30" s="610">
        <f t="shared" si="17"/>
        <v>8.1940127869904567E-2</v>
      </c>
      <c r="AC30" s="610">
        <f t="shared" si="17"/>
        <v>-6.011786327875801E-2</v>
      </c>
      <c r="AD30" s="610">
        <f t="shared" si="17"/>
        <v>8.8170215227178828E-2</v>
      </c>
      <c r="AE30" s="610">
        <f t="shared" si="17"/>
        <v>-3.8734762645436183E-2</v>
      </c>
      <c r="AF30" s="610">
        <f t="shared" si="17"/>
        <v>5.5620242444452961E-2</v>
      </c>
      <c r="AG30" s="610">
        <f t="shared" si="17"/>
        <v>-3.5042815893839063E-2</v>
      </c>
      <c r="AH30" s="610">
        <f t="shared" si="17"/>
        <v>5.6375566307986569E-2</v>
      </c>
      <c r="AI30" s="610">
        <f t="shared" si="17"/>
        <v>-3.4326638509458052E-2</v>
      </c>
      <c r="AJ30" s="610">
        <f t="shared" si="17"/>
        <v>6.0975407383171198E-2</v>
      </c>
      <c r="AK30" s="610">
        <f t="shared" si="17"/>
        <v>-3.6975703066889243E-2</v>
      </c>
      <c r="AL30" s="610">
        <f t="shared" si="17"/>
        <v>6.227632753368284E-2</v>
      </c>
      <c r="AM30" s="610"/>
      <c r="AN30" s="610" t="e">
        <f t="shared" ref="AN30:BA30" si="18">AN28/AM28-1</f>
        <v>#DIV/0!</v>
      </c>
      <c r="AO30" s="610">
        <f t="shared" si="18"/>
        <v>4.8399687743950093E-2</v>
      </c>
      <c r="AP30" s="610">
        <f t="shared" si="18"/>
        <v>-3.5102648654398494E-2</v>
      </c>
      <c r="AQ30" s="610">
        <f t="shared" si="18"/>
        <v>3.4395325763421969E-2</v>
      </c>
      <c r="AR30" s="610">
        <f t="shared" si="18"/>
        <v>-3.5383139720771561E-2</v>
      </c>
      <c r="AS30" s="610">
        <f t="shared" si="18"/>
        <v>5.8336095459065263E-2</v>
      </c>
      <c r="AT30" s="610">
        <f t="shared" si="18"/>
        <v>5.8461217246059016E-2</v>
      </c>
      <c r="AU30" s="610">
        <f t="shared" si="18"/>
        <v>5.9374691784199518E-2</v>
      </c>
      <c r="AV30" s="611">
        <f t="shared" si="18"/>
        <v>0.19914346895074941</v>
      </c>
      <c r="AW30" s="610">
        <f t="shared" si="18"/>
        <v>-0.10728238430235071</v>
      </c>
      <c r="AX30" s="610">
        <f t="shared" si="18"/>
        <v>1.0172290436413434E-2</v>
      </c>
      <c r="AY30" s="610">
        <f t="shared" si="18"/>
        <v>1.2084956811376335E-2</v>
      </c>
      <c r="AZ30" s="610">
        <f t="shared" si="18"/>
        <v>2.1071095909008575E-2</v>
      </c>
      <c r="BA30" s="610">
        <f t="shared" si="18"/>
        <v>1.9939203195151078E-2</v>
      </c>
      <c r="BB30" s="610">
        <f t="shared" ref="BB30" si="19">BB28/BA28-1</f>
        <v>2.9715050000980847E-2</v>
      </c>
      <c r="BC30" s="610">
        <f t="shared" ref="BC30" si="20">BC28/BB28-1</f>
        <v>1.9002624781297994E-2</v>
      </c>
      <c r="BD30" s="610">
        <f t="shared" ref="BD30" si="21">BD28/BC28-1</f>
        <v>2.2395604089667343E-2</v>
      </c>
      <c r="BE30" s="610">
        <f t="shared" ref="BE30" si="22">BE28/BD28-1</f>
        <v>2.2390037361876391E-2</v>
      </c>
    </row>
    <row r="31" spans="2:57" ht="15.95" customHeight="1">
      <c r="T31" s="587"/>
      <c r="AW31" s="612"/>
    </row>
    <row r="32" spans="2:57" ht="15.95" customHeight="1">
      <c r="B32" s="2" t="s">
        <v>2511</v>
      </c>
      <c r="C32" s="60">
        <f>Model!AH461</f>
        <v>5489</v>
      </c>
      <c r="D32" s="60">
        <f>Model!AI461</f>
        <v>5360</v>
      </c>
      <c r="E32" s="60">
        <f>Model!AJ461</f>
        <v>5397</v>
      </c>
      <c r="F32" s="60">
        <f>Model!AK461</f>
        <v>4569</v>
      </c>
      <c r="G32" s="60">
        <f>Model!AL461</f>
        <v>5381</v>
      </c>
      <c r="H32" s="60">
        <f>Model!AM461</f>
        <v>4577</v>
      </c>
      <c r="I32" s="60">
        <f>Model!AN461</f>
        <v>3974</v>
      </c>
      <c r="J32" s="60">
        <f>Model!AO461</f>
        <v>4395</v>
      </c>
      <c r="K32" s="60">
        <f>Model!AP461</f>
        <v>3941</v>
      </c>
      <c r="L32" s="60">
        <f>Model!AQ461</f>
        <v>4455</v>
      </c>
      <c r="M32" s="60">
        <f>Model!AR461</f>
        <v>4157</v>
      </c>
      <c r="N32" s="60">
        <f>Model!AS461</f>
        <v>4811</v>
      </c>
      <c r="O32" s="60">
        <f>Model!AT461</f>
        <v>5543</v>
      </c>
      <c r="P32" s="60">
        <f>Model!AU461</f>
        <v>5223</v>
      </c>
      <c r="Q32" s="60">
        <f>Model!AV461</f>
        <v>5132</v>
      </c>
      <c r="R32" s="60">
        <f>Model!AW461</f>
        <v>4936</v>
      </c>
      <c r="S32" s="60">
        <f>Model!AX461</f>
        <v>5253</v>
      </c>
      <c r="T32" s="219">
        <f>Model!AY461</f>
        <v>3766</v>
      </c>
      <c r="U32" s="60">
        <f>Model!AZ461</f>
        <v>5784.0588614557664</v>
      </c>
      <c r="V32" s="60">
        <f>Model!BA461</f>
        <v>5775.4084960975924</v>
      </c>
      <c r="W32" s="60">
        <f>Model!BB461</f>
        <v>6094.3227195966701</v>
      </c>
      <c r="X32" s="60">
        <f>Model!BC461</f>
        <v>5716.9546802614768</v>
      </c>
      <c r="Y32" s="60">
        <f>Model!BD461</f>
        <v>6331.1104232742382</v>
      </c>
      <c r="Z32" s="60">
        <f>Model!BE461</f>
        <v>5887.1019437068153</v>
      </c>
      <c r="AA32" s="60">
        <f>Model!BF461</f>
        <v>6454.1451115318396</v>
      </c>
      <c r="AB32" s="60">
        <f>Model!BG461</f>
        <v>6096.5230490718277</v>
      </c>
      <c r="AC32" s="60">
        <f>Model!BH461</f>
        <v>6613.8806662746983</v>
      </c>
      <c r="AD32" s="60">
        <f>Model!BI461</f>
        <v>6220.1571894850722</v>
      </c>
      <c r="AE32" s="60">
        <f>Model!BJ461</f>
        <v>6658.3058633728779</v>
      </c>
      <c r="AF32" s="60">
        <f>Model!BK461</f>
        <v>6556.4135593666206</v>
      </c>
      <c r="AG32" s="60">
        <f>Model!BL461</f>
        <v>6907.0290821660165</v>
      </c>
      <c r="AH32" s="60">
        <f>Model!BM461</f>
        <v>6713.2288545836645</v>
      </c>
      <c r="AI32" s="60">
        <f>Model!BN461</f>
        <v>7073.6271297718467</v>
      </c>
      <c r="AJ32" s="60">
        <f>Model!BO461</f>
        <v>6942.7070677656384</v>
      </c>
      <c r="AK32" s="60">
        <f>Model!BP461</f>
        <v>7311.262216084142</v>
      </c>
      <c r="AL32" s="60">
        <f>Model!BQ461</f>
        <v>7187.362668067768</v>
      </c>
      <c r="AN32" s="60">
        <f>Model!CR461</f>
        <v>10849</v>
      </c>
      <c r="AO32" s="60">
        <f>Model!CS461</f>
        <v>9966</v>
      </c>
      <c r="AP32" s="60">
        <f>Model!CT461</f>
        <v>9958</v>
      </c>
      <c r="AQ32" s="60">
        <f>Model!CU461</f>
        <v>8369</v>
      </c>
      <c r="AR32" s="60">
        <f>Model!CV461</f>
        <v>8396</v>
      </c>
      <c r="AS32" s="60">
        <f>Model!CW461</f>
        <v>8968</v>
      </c>
      <c r="AT32" s="60">
        <f>Model!CX461</f>
        <v>10766</v>
      </c>
      <c r="AU32" s="60">
        <f>Model!CY461</f>
        <v>10068</v>
      </c>
      <c r="AV32" s="219">
        <f>Model!CZ461</f>
        <v>9019</v>
      </c>
      <c r="AW32" s="60">
        <f>Model!DA461</f>
        <v>11559.46735755336</v>
      </c>
      <c r="AX32" s="60">
        <f>Model!DB461</f>
        <v>11811.277399858149</v>
      </c>
      <c r="AY32" s="60">
        <f>Model!DC461</f>
        <v>12218.212366981055</v>
      </c>
      <c r="AZ32" s="60">
        <f>Model!DD461</f>
        <v>12550.668160603667</v>
      </c>
      <c r="BA32" s="60">
        <f>Model!DE461</f>
        <v>12834.037855759769</v>
      </c>
      <c r="BB32" s="60">
        <f>Model!DF461</f>
        <v>13214.719422739498</v>
      </c>
      <c r="BC32" s="60">
        <f>Model!DG461</f>
        <v>13620.25793674968</v>
      </c>
      <c r="BD32" s="60">
        <f>Model!DH461</f>
        <v>14016.334197537486</v>
      </c>
      <c r="BE32" s="60">
        <f>Model!DI461</f>
        <v>14498.624884151912</v>
      </c>
    </row>
    <row r="33" spans="2:57" ht="15.95" customHeight="1" outlineLevel="1">
      <c r="B33" s="608" t="s">
        <v>2554</v>
      </c>
      <c r="C33" s="609"/>
      <c r="D33" s="609"/>
      <c r="E33" s="609"/>
      <c r="F33" s="609"/>
      <c r="G33" s="609"/>
      <c r="H33" s="609"/>
      <c r="I33" s="609"/>
      <c r="J33" s="609"/>
      <c r="K33" s="609"/>
      <c r="L33" s="609"/>
      <c r="M33" s="609"/>
      <c r="N33" s="610">
        <f>N32/M32-1</f>
        <v>0.15732499398604771</v>
      </c>
      <c r="O33" s="610">
        <f t="shared" ref="O33:AL33" si="23">O32/N32-1</f>
        <v>0.15215131989191444</v>
      </c>
      <c r="P33" s="610">
        <f t="shared" si="23"/>
        <v>-5.773047086415295E-2</v>
      </c>
      <c r="Q33" s="610">
        <f t="shared" si="23"/>
        <v>-1.7422937009381578E-2</v>
      </c>
      <c r="R33" s="610">
        <f t="shared" si="23"/>
        <v>-3.8191738113795837E-2</v>
      </c>
      <c r="S33" s="610">
        <f t="shared" si="23"/>
        <v>6.4222042139384206E-2</v>
      </c>
      <c r="T33" s="611">
        <f t="shared" si="23"/>
        <v>-0.28307633733104898</v>
      </c>
      <c r="U33" s="610">
        <f t="shared" si="23"/>
        <v>0.53586268227715528</v>
      </c>
      <c r="V33" s="610">
        <f t="shared" si="23"/>
        <v>-1.4955527883402375E-3</v>
      </c>
      <c r="W33" s="610">
        <f t="shared" si="23"/>
        <v>5.5219336210514891E-2</v>
      </c>
      <c r="X33" s="610">
        <f t="shared" si="23"/>
        <v>-6.1921243212431643E-2</v>
      </c>
      <c r="Y33" s="610">
        <f t="shared" si="23"/>
        <v>0.10742707916387961</v>
      </c>
      <c r="Z33" s="610">
        <f t="shared" si="23"/>
        <v>-7.0131217098215903E-2</v>
      </c>
      <c r="AA33" s="610">
        <f t="shared" si="23"/>
        <v>9.6319576804879459E-2</v>
      </c>
      <c r="AB33" s="610">
        <f t="shared" si="23"/>
        <v>-5.5409671812466144E-2</v>
      </c>
      <c r="AC33" s="610">
        <f t="shared" si="23"/>
        <v>8.4861094272683291E-2</v>
      </c>
      <c r="AD33" s="610">
        <f t="shared" si="23"/>
        <v>-5.9529873104195663E-2</v>
      </c>
      <c r="AE33" s="610">
        <f t="shared" si="23"/>
        <v>7.0440128848910488E-2</v>
      </c>
      <c r="AF33" s="610">
        <f t="shared" si="23"/>
        <v>-1.5303037453830992E-2</v>
      </c>
      <c r="AG33" s="610">
        <f t="shared" si="23"/>
        <v>5.3476724679531573E-2</v>
      </c>
      <c r="AH33" s="610">
        <f t="shared" si="23"/>
        <v>-2.8058406194168883E-2</v>
      </c>
      <c r="AI33" s="610">
        <f t="shared" si="23"/>
        <v>5.3684789092525831E-2</v>
      </c>
      <c r="AJ33" s="610">
        <f t="shared" si="23"/>
        <v>-1.85081938310242E-2</v>
      </c>
      <c r="AK33" s="610">
        <f t="shared" si="23"/>
        <v>5.308522233779267E-2</v>
      </c>
      <c r="AL33" s="610">
        <f t="shared" si="23"/>
        <v>-1.6946396443531464E-2</v>
      </c>
      <c r="AM33" s="610"/>
      <c r="AN33" s="610" t="e">
        <f t="shared" ref="AN33:BA33" si="24">AN32/AM32-1</f>
        <v>#DIV/0!</v>
      </c>
      <c r="AO33" s="610">
        <f t="shared" si="24"/>
        <v>-8.1389989860816692E-2</v>
      </c>
      <c r="AP33" s="610">
        <f t="shared" si="24"/>
        <v>-8.0272927955049589E-4</v>
      </c>
      <c r="AQ33" s="610">
        <f t="shared" si="24"/>
        <v>-0.15957019481823664</v>
      </c>
      <c r="AR33" s="610">
        <f t="shared" si="24"/>
        <v>3.2261918986735694E-3</v>
      </c>
      <c r="AS33" s="610">
        <f t="shared" si="24"/>
        <v>6.812767984754653E-2</v>
      </c>
      <c r="AT33" s="610">
        <f t="shared" si="24"/>
        <v>0.20049063336306872</v>
      </c>
      <c r="AU33" s="610">
        <f t="shared" si="24"/>
        <v>-6.4833735835036266E-2</v>
      </c>
      <c r="AV33" s="611">
        <f t="shared" si="24"/>
        <v>-0.10419149781485892</v>
      </c>
      <c r="AW33" s="610">
        <f t="shared" si="24"/>
        <v>0.28167949412943338</v>
      </c>
      <c r="AX33" s="610">
        <f t="shared" si="24"/>
        <v>2.1783879353251212E-2</v>
      </c>
      <c r="AY33" s="610">
        <f t="shared" si="24"/>
        <v>3.4453086939418842E-2</v>
      </c>
      <c r="AZ33" s="610">
        <f t="shared" si="24"/>
        <v>2.7209855553096407E-2</v>
      </c>
      <c r="BA33" s="610">
        <f t="shared" si="24"/>
        <v>2.2578056524958035E-2</v>
      </c>
      <c r="BB33" s="610">
        <f t="shared" ref="BB33" si="25">BB32/BA32-1</f>
        <v>2.9661870352742037E-2</v>
      </c>
      <c r="BC33" s="610">
        <f t="shared" ref="BC33" si="26">BC32/BB32-1</f>
        <v>3.0688393830923477E-2</v>
      </c>
      <c r="BD33" s="610">
        <f t="shared" ref="BD33" si="27">BD32/BC32-1</f>
        <v>2.9079938326213917E-2</v>
      </c>
      <c r="BE33" s="610">
        <f t="shared" ref="BE33" si="28">BE32/BD32-1</f>
        <v>3.4409188580788674E-2</v>
      </c>
    </row>
    <row r="34" spans="2:57" ht="15.95" customHeight="1">
      <c r="T34" s="587"/>
    </row>
    <row r="35" spans="2:57" ht="15.95" customHeight="1">
      <c r="B35" s="579" t="s">
        <v>642</v>
      </c>
      <c r="C35" s="582">
        <f>Model!AH472</f>
        <v>-720</v>
      </c>
      <c r="D35" s="582">
        <f>Model!AI472</f>
        <v>-479</v>
      </c>
      <c r="E35" s="582">
        <f>Model!AJ472</f>
        <v>-408</v>
      </c>
      <c r="F35" s="582">
        <f>Model!AK472</f>
        <v>-280</v>
      </c>
      <c r="G35" s="582">
        <f>Model!AL472</f>
        <v>-393</v>
      </c>
      <c r="H35" s="582">
        <f>Model!AM472</f>
        <v>-402</v>
      </c>
      <c r="I35" s="582">
        <f>Model!AN472</f>
        <v>-1674</v>
      </c>
      <c r="J35" s="582">
        <f>Model!AO472</f>
        <v>-1064</v>
      </c>
      <c r="K35" s="582">
        <f>Model!AP472</f>
        <v>491</v>
      </c>
      <c r="L35" s="582">
        <f>Model!AQ472</f>
        <v>76</v>
      </c>
      <c r="M35" s="582">
        <f>Model!AR472</f>
        <v>284</v>
      </c>
      <c r="N35" s="582">
        <f>Model!AS472</f>
        <v>-52</v>
      </c>
      <c r="O35" s="582">
        <f>Model!AT472</f>
        <v>-133</v>
      </c>
      <c r="P35" s="582">
        <f>Model!AU472</f>
        <v>-112</v>
      </c>
      <c r="Q35" s="582">
        <f>Model!AV472</f>
        <v>-70</v>
      </c>
      <c r="R35" s="582">
        <f>Model!AW472</f>
        <v>-336</v>
      </c>
      <c r="S35" s="582">
        <f>Model!AX472</f>
        <v>-145</v>
      </c>
      <c r="T35" s="588">
        <f>Model!AY472</f>
        <v>-296</v>
      </c>
      <c r="U35" s="582">
        <f>Model!AZ472</f>
        <v>-315.8678176424711</v>
      </c>
      <c r="V35" s="582">
        <f>Model!BA472</f>
        <v>-356.07823082477046</v>
      </c>
      <c r="W35" s="582">
        <f>Model!BB472</f>
        <v>-427.72863205069257</v>
      </c>
      <c r="X35" s="582">
        <f>Model!BC472</f>
        <v>-534.19107553923209</v>
      </c>
      <c r="Y35" s="582">
        <f>Model!BD472</f>
        <v>-529.99517101503318</v>
      </c>
      <c r="Z35" s="582">
        <f>Model!BE472</f>
        <v>-510.25994074499647</v>
      </c>
      <c r="AA35" s="582">
        <f>Model!BF472</f>
        <v>-485.54714579794796</v>
      </c>
      <c r="AB35" s="582">
        <f>Model!BG472</f>
        <v>-466.53979881955439</v>
      </c>
      <c r="AC35" s="582">
        <f>Model!BH472</f>
        <v>-500.5185726410823</v>
      </c>
      <c r="AD35" s="582">
        <f>Model!BI472</f>
        <v>-497.7997009460351</v>
      </c>
      <c r="AE35" s="582">
        <f>Model!BJ472</f>
        <v>-339.49528212692508</v>
      </c>
      <c r="AF35" s="582">
        <f>Model!BK472</f>
        <v>-367.92022945396303</v>
      </c>
      <c r="AG35" s="582">
        <f>Model!BL472</f>
        <v>-409.53317829099836</v>
      </c>
      <c r="AH35" s="582">
        <f>Model!BM472</f>
        <v>-470.58727237260905</v>
      </c>
      <c r="AI35" s="582">
        <f>Model!BN472</f>
        <v>-546.51020343847154</v>
      </c>
      <c r="AJ35" s="582">
        <f>Model!BO472</f>
        <v>-612.69213577501034</v>
      </c>
      <c r="AK35" s="582">
        <f>Model!BP472</f>
        <v>-675.72808775103431</v>
      </c>
      <c r="AL35" s="582">
        <f>Model!BQ472</f>
        <v>-691.97776031678177</v>
      </c>
      <c r="AN35" s="582">
        <f>Model!CR472</f>
        <v>-1199</v>
      </c>
      <c r="AO35" s="582">
        <f>Model!CS472</f>
        <v>-688</v>
      </c>
      <c r="AP35" s="582">
        <f>Model!CT472</f>
        <v>-795</v>
      </c>
      <c r="AQ35" s="582">
        <f>Model!CU472</f>
        <v>-2738</v>
      </c>
      <c r="AR35" s="582">
        <f>Model!CV472</f>
        <v>567</v>
      </c>
      <c r="AS35" s="582">
        <f>Model!CW472</f>
        <v>232</v>
      </c>
      <c r="AT35" s="582">
        <f>Model!CX472</f>
        <v>-245</v>
      </c>
      <c r="AU35" s="582">
        <f>Model!CY472</f>
        <v>-406</v>
      </c>
      <c r="AV35" s="588">
        <f>Model!CZ472</f>
        <v>-441</v>
      </c>
      <c r="AW35" s="582">
        <f>Model!DA472</f>
        <v>-671.94604846724155</v>
      </c>
      <c r="AX35" s="582">
        <f>Model!DB472</f>
        <v>-961.91970758992466</v>
      </c>
      <c r="AY35" s="582">
        <f>Model!DC472</f>
        <v>-1040.2551117600296</v>
      </c>
      <c r="AZ35" s="582">
        <f>Model!DD472</f>
        <v>-952.08694461750235</v>
      </c>
      <c r="BA35" s="582">
        <f>Model!DE472</f>
        <v>-998.31827358711735</v>
      </c>
      <c r="BB35" s="582">
        <f>Model!DF472</f>
        <v>-707.41551158088805</v>
      </c>
      <c r="BC35" s="582">
        <f>Model!DG472</f>
        <v>-880.12045066360747</v>
      </c>
      <c r="BD35" s="582">
        <f>Model!DH472</f>
        <v>-1159.202339213482</v>
      </c>
      <c r="BE35" s="582">
        <f>Model!DI472</f>
        <v>-1367.7058480678161</v>
      </c>
    </row>
    <row r="36" spans="2:57" s="613" customFormat="1" ht="15.95" customHeight="1">
      <c r="B36" s="613" t="s">
        <v>2539</v>
      </c>
      <c r="C36" s="614">
        <f t="shared" ref="C36:AD36" si="29">(-C35/C59)*10000</f>
        <v>12.430703146176436</v>
      </c>
      <c r="D36" s="614">
        <f t="shared" si="29"/>
        <v>8.2098710416081069</v>
      </c>
      <c r="E36" s="614">
        <f t="shared" si="29"/>
        <v>6.8578459304231192</v>
      </c>
      <c r="F36" s="614">
        <f t="shared" si="29"/>
        <v>4.6066800150704248</v>
      </c>
      <c r="G36" s="614">
        <f t="shared" si="29"/>
        <v>6.4082808685911079</v>
      </c>
      <c r="H36" s="614">
        <f t="shared" si="29"/>
        <v>6.5017507823935174</v>
      </c>
      <c r="I36" s="614">
        <f t="shared" si="29"/>
        <v>25.333658201431337</v>
      </c>
      <c r="J36" s="614">
        <f t="shared" si="29"/>
        <v>17.126154083879523</v>
      </c>
      <c r="K36" s="614">
        <f t="shared" si="29"/>
        <v>-7.9492542919497202</v>
      </c>
      <c r="L36" s="614">
        <f t="shared" si="29"/>
        <v>-1.2010797074422692</v>
      </c>
      <c r="M36" s="614">
        <f t="shared" si="29"/>
        <v>-4.3426869305001885</v>
      </c>
      <c r="N36" s="614">
        <f t="shared" si="29"/>
        <v>0.77194284653924661</v>
      </c>
      <c r="O36" s="614">
        <f t="shared" si="29"/>
        <v>1.9244515313135757</v>
      </c>
      <c r="P36" s="614">
        <f t="shared" si="29"/>
        <v>1.5827480462953805</v>
      </c>
      <c r="Q36" s="614">
        <f t="shared" si="29"/>
        <v>0.97832041950379589</v>
      </c>
      <c r="R36" s="614">
        <f t="shared" si="29"/>
        <v>4.182563936589343</v>
      </c>
      <c r="S36" s="615">
        <f t="shared" si="29"/>
        <v>1.7678356327388529</v>
      </c>
      <c r="T36" s="616">
        <f t="shared" si="29"/>
        <v>3.5685394667203556</v>
      </c>
      <c r="U36" s="614">
        <f t="shared" si="29"/>
        <v>3.7303160777503606</v>
      </c>
      <c r="V36" s="614">
        <f t="shared" si="29"/>
        <v>4.145740109066594</v>
      </c>
      <c r="W36" s="614">
        <f t="shared" si="29"/>
        <v>4.9074786300371454</v>
      </c>
      <c r="X36" s="614">
        <f t="shared" si="29"/>
        <v>6.0167431761384318</v>
      </c>
      <c r="Y36" s="614">
        <f t="shared" si="29"/>
        <v>5.8643181587579676</v>
      </c>
      <c r="Z36" s="614">
        <f t="shared" si="29"/>
        <v>5.5452347061163065</v>
      </c>
      <c r="AA36" s="614">
        <f t="shared" si="29"/>
        <v>5.189556182540775</v>
      </c>
      <c r="AB36" s="614">
        <f t="shared" si="29"/>
        <v>4.9071608356765308</v>
      </c>
      <c r="AC36" s="614">
        <f t="shared" si="29"/>
        <v>5.1661033903505968</v>
      </c>
      <c r="AD36" s="614">
        <f t="shared" si="29"/>
        <v>5.0477340618455999</v>
      </c>
      <c r="AN36" s="614">
        <f t="shared" ref="AN36:BE36" si="30">(-AN35/AN59)*10000</f>
        <v>20.550387012292525</v>
      </c>
      <c r="AO36" s="614">
        <f t="shared" si="30"/>
        <v>11.319270894173043</v>
      </c>
      <c r="AP36" s="614">
        <f t="shared" si="30"/>
        <v>12.857939980106584</v>
      </c>
      <c r="AQ36" s="614">
        <f t="shared" si="30"/>
        <v>44.070873948930583</v>
      </c>
      <c r="AR36" s="614">
        <f t="shared" si="30"/>
        <v>-8.9606867647337705</v>
      </c>
      <c r="AS36" s="614">
        <f t="shared" si="30"/>
        <v>-3.4440526999443311</v>
      </c>
      <c r="AT36" s="614">
        <f t="shared" si="30"/>
        <v>3.4622613512711444</v>
      </c>
      <c r="AU36" s="615">
        <f t="shared" si="30"/>
        <v>5.0539314233787893</v>
      </c>
      <c r="AV36" s="616">
        <f t="shared" si="30"/>
        <v>5.3166415703502601</v>
      </c>
      <c r="AW36" s="614">
        <f t="shared" si="30"/>
        <v>7.8233192683725887</v>
      </c>
      <c r="AX36" s="614">
        <f t="shared" si="30"/>
        <v>10.834370137675014</v>
      </c>
      <c r="AY36" s="614">
        <f t="shared" si="30"/>
        <v>11.30494143930733</v>
      </c>
      <c r="AZ36" s="614">
        <f t="shared" si="30"/>
        <v>10.014244826716196</v>
      </c>
      <c r="BA36" s="614">
        <f t="shared" si="30"/>
        <v>10.123037728973797</v>
      </c>
      <c r="BB36" s="614">
        <f t="shared" si="30"/>
        <v>6.9080228719018422</v>
      </c>
      <c r="BC36" s="614">
        <f t="shared" si="30"/>
        <v>8.2808260356941279</v>
      </c>
      <c r="BD36" s="614">
        <f t="shared" si="30"/>
        <v>10.487209816961853</v>
      </c>
      <c r="BE36" s="614">
        <f t="shared" si="30"/>
        <v>11.878819316643854</v>
      </c>
    </row>
    <row r="37" spans="2:57" ht="15.95" customHeight="1">
      <c r="T37" s="587"/>
    </row>
    <row r="38" spans="2:57" s="580" customFormat="1" ht="15.95" customHeight="1">
      <c r="B38" s="580" t="s">
        <v>2540</v>
      </c>
      <c r="C38" s="583">
        <f>Model!AH490</f>
        <v>4769</v>
      </c>
      <c r="D38" s="583">
        <f>Model!AI490</f>
        <v>4881</v>
      </c>
      <c r="E38" s="583">
        <f>Model!AJ490</f>
        <v>4989</v>
      </c>
      <c r="F38" s="583">
        <f>Model!AK490</f>
        <v>4289</v>
      </c>
      <c r="G38" s="583">
        <f>Model!AL490</f>
        <v>4988</v>
      </c>
      <c r="H38" s="583">
        <f>Model!AM490</f>
        <v>4175</v>
      </c>
      <c r="I38" s="583">
        <f>Model!AN490</f>
        <v>2300</v>
      </c>
      <c r="J38" s="583">
        <f>Model!AO490</f>
        <v>3331</v>
      </c>
      <c r="K38" s="583">
        <f>Model!AP490</f>
        <v>4432</v>
      </c>
      <c r="L38" s="583">
        <f>Model!AQ490</f>
        <v>4531</v>
      </c>
      <c r="M38" s="583">
        <f>Model!AR490</f>
        <v>4441</v>
      </c>
      <c r="N38" s="583">
        <f>Model!AS490</f>
        <v>4759</v>
      </c>
      <c r="O38" s="583">
        <f>Model!AT490</f>
        <v>5410</v>
      </c>
      <c r="P38" s="583">
        <f>Model!AU490</f>
        <v>5111</v>
      </c>
      <c r="Q38" s="583">
        <f>Model!AV490</f>
        <v>5062</v>
      </c>
      <c r="R38" s="583">
        <f>Model!AW490</f>
        <v>4600</v>
      </c>
      <c r="S38" s="583">
        <f>Model!AX490</f>
        <v>5108</v>
      </c>
      <c r="T38" s="589">
        <f>Model!AY490</f>
        <v>3470</v>
      </c>
      <c r="U38" s="583">
        <f>Model!AZ490</f>
        <v>5468.1910438132954</v>
      </c>
      <c r="V38" s="583">
        <f>Model!BA490</f>
        <v>5419.3302652728216</v>
      </c>
      <c r="W38" s="583">
        <f>Model!BB490</f>
        <v>5666.5940875459773</v>
      </c>
      <c r="X38" s="583">
        <f>Model!BC490</f>
        <v>5182.763604722245</v>
      </c>
      <c r="Y38" s="583">
        <f>Model!BD490</f>
        <v>5801.1152522592047</v>
      </c>
      <c r="Z38" s="583">
        <f>Model!BE490</f>
        <v>5376.8420029618192</v>
      </c>
      <c r="AA38" s="583">
        <f>Model!BF490</f>
        <v>5968.5979657338912</v>
      </c>
      <c r="AB38" s="583">
        <f>Model!BG490</f>
        <v>5629.9832502522731</v>
      </c>
      <c r="AC38" s="583">
        <f>Model!BH490</f>
        <v>6113.3620936336156</v>
      </c>
      <c r="AD38" s="583">
        <f>Model!BI490</f>
        <v>5722.3574885390371</v>
      </c>
      <c r="AE38" s="583">
        <f>Model!BJ490</f>
        <v>6318.8105812459526</v>
      </c>
      <c r="AF38" s="583">
        <f>Model!BK490</f>
        <v>6188.4933299126578</v>
      </c>
      <c r="AG38" s="583">
        <f>Model!BL490</f>
        <v>6497.4959038750185</v>
      </c>
      <c r="AH38" s="583">
        <f>Model!BM490</f>
        <v>6242.6415822110557</v>
      </c>
      <c r="AI38" s="583">
        <f>Model!BN490</f>
        <v>6527.116926333375</v>
      </c>
      <c r="AJ38" s="583">
        <f>Model!BO490</f>
        <v>6330.0149319906277</v>
      </c>
      <c r="AK38" s="583">
        <f>Model!BP490</f>
        <v>6635.5341283331072</v>
      </c>
      <c r="AL38" s="583">
        <f>Model!BQ490</f>
        <v>6495.3849077509858</v>
      </c>
      <c r="AN38" s="583">
        <f>Model!CR490</f>
        <v>9650</v>
      </c>
      <c r="AO38" s="583">
        <f>Model!CS490</f>
        <v>9278</v>
      </c>
      <c r="AP38" s="583">
        <f>Model!CT490</f>
        <v>9163</v>
      </c>
      <c r="AQ38" s="583">
        <f>Model!CU490</f>
        <v>5631</v>
      </c>
      <c r="AR38" s="583">
        <f>Model!CV490</f>
        <v>8963</v>
      </c>
      <c r="AS38" s="583">
        <f>Model!CW490</f>
        <v>9200</v>
      </c>
      <c r="AT38" s="583">
        <f>Model!CX490</f>
        <v>10521</v>
      </c>
      <c r="AU38" s="583">
        <f>Model!CY490</f>
        <v>9662</v>
      </c>
      <c r="AV38" s="589">
        <f>Model!CZ490</f>
        <v>8578</v>
      </c>
      <c r="AW38" s="583">
        <f>Model!DA490</f>
        <v>10887.521309086118</v>
      </c>
      <c r="AX38" s="583">
        <f>Model!DB490</f>
        <v>10849.357692268224</v>
      </c>
      <c r="AY38" s="583">
        <f>Model!DC490</f>
        <v>11177.957255221027</v>
      </c>
      <c r="AZ38" s="583">
        <f>Model!DD490</f>
        <v>11598.581215986165</v>
      </c>
      <c r="BA38" s="583">
        <f>Model!DE490</f>
        <v>11835.719582172651</v>
      </c>
      <c r="BB38" s="583">
        <f>Model!DF490</f>
        <v>12507.303911158609</v>
      </c>
      <c r="BC38" s="583">
        <f>Model!DG490</f>
        <v>12740.137486086072</v>
      </c>
      <c r="BD38" s="583">
        <f>Model!DH490</f>
        <v>12857.131858324004</v>
      </c>
      <c r="BE38" s="583">
        <f>Model!DI490</f>
        <v>13130.919036084095</v>
      </c>
    </row>
    <row r="39" spans="2:57" ht="15.95" customHeight="1">
      <c r="T39" s="587"/>
    </row>
    <row r="40" spans="2:57" ht="15.95" customHeight="1">
      <c r="B40" s="579" t="s">
        <v>649</v>
      </c>
      <c r="C40" s="582">
        <f>Model!AH497</f>
        <v>-1406</v>
      </c>
      <c r="D40" s="582">
        <f>Model!AI497</f>
        <v>-1420</v>
      </c>
      <c r="E40" s="582">
        <f>Model!AJ497</f>
        <v>-1489</v>
      </c>
      <c r="F40" s="582">
        <f>Model!AK497</f>
        <v>-1286</v>
      </c>
      <c r="G40" s="582">
        <f>Model!AL497</f>
        <v>-1415</v>
      </c>
      <c r="H40" s="582">
        <f>Model!AM497</f>
        <v>-1263</v>
      </c>
      <c r="I40" s="582">
        <f>Model!AN497</f>
        <v>-886</v>
      </c>
      <c r="J40" s="582">
        <f>Model!AO497</f>
        <v>-986</v>
      </c>
      <c r="K40" s="582">
        <f>Model!AP497</f>
        <v>-1442</v>
      </c>
      <c r="L40" s="582">
        <f>Model!AQ497</f>
        <v>-1322</v>
      </c>
      <c r="M40" s="582">
        <f>Model!AR497</f>
        <v>-1328</v>
      </c>
      <c r="N40" s="582">
        <f>Model!AS497</f>
        <v>-1356</v>
      </c>
      <c r="O40" s="582">
        <f>Model!AT497</f>
        <v>-1567</v>
      </c>
      <c r="P40" s="582">
        <f>Model!AU497</f>
        <v>-1513</v>
      </c>
      <c r="Q40" s="582">
        <f>Model!AV497</f>
        <v>-1496</v>
      </c>
      <c r="R40" s="582">
        <f>Model!AW497</f>
        <v>-1406</v>
      </c>
      <c r="S40" s="582">
        <f>Model!AX497</f>
        <v>-1519</v>
      </c>
      <c r="T40" s="588">
        <f>Model!AY497</f>
        <v>-1231</v>
      </c>
      <c r="U40" s="582">
        <f>Model!AZ497</f>
        <v>-1626.1124110321839</v>
      </c>
      <c r="V40" s="582">
        <f>Model!BA497</f>
        <v>-1611.5823557066201</v>
      </c>
      <c r="W40" s="582">
        <f>Model!BB497</f>
        <v>-1685.1128463160414</v>
      </c>
      <c r="X40" s="582">
        <f>Model!BC497</f>
        <v>-1541.2329513651312</v>
      </c>
      <c r="Y40" s="582">
        <f>Model!BD497</f>
        <v>-1725.1163015234399</v>
      </c>
      <c r="Z40" s="582">
        <f>Model!BE497</f>
        <v>-1598.9473379990218</v>
      </c>
      <c r="AA40" s="582">
        <f>Model!BF497</f>
        <v>-1774.9217521436531</v>
      </c>
      <c r="AB40" s="582">
        <f>Model!BG497</f>
        <v>-1674.2256376533287</v>
      </c>
      <c r="AC40" s="582">
        <f>Model!BH497</f>
        <v>-1817.9712255735046</v>
      </c>
      <c r="AD40" s="582">
        <f>Model!BI497</f>
        <v>-1701.6955804797958</v>
      </c>
      <c r="AE40" s="582">
        <f>Model!BJ497</f>
        <v>-1879.0668114550904</v>
      </c>
      <c r="AF40" s="582">
        <f>Model!BK497</f>
        <v>-1840.3135019845981</v>
      </c>
      <c r="AG40" s="582">
        <f>Model!BL497</f>
        <v>-1932.2036566143604</v>
      </c>
      <c r="AH40" s="582">
        <f>Model!BM497</f>
        <v>-1856.4159286175789</v>
      </c>
      <c r="AI40" s="582">
        <f>Model!BN497</f>
        <v>-1941.0122574589657</v>
      </c>
      <c r="AJ40" s="582">
        <f>Model!BO497</f>
        <v>-1882.3987239024596</v>
      </c>
      <c r="AK40" s="582">
        <f>Model!BP497</f>
        <v>-1973.2530033159728</v>
      </c>
      <c r="AL40" s="582">
        <f>Model!BQ497</f>
        <v>-1931.5758956291595</v>
      </c>
      <c r="AN40" s="582">
        <f>Model!CR497</f>
        <v>-2826</v>
      </c>
      <c r="AO40" s="582">
        <f>Model!CS497</f>
        <v>-2775</v>
      </c>
      <c r="AP40" s="582">
        <f>Model!CT497</f>
        <v>-2678</v>
      </c>
      <c r="AQ40" s="582">
        <f>Model!CU497</f>
        <v>-1872</v>
      </c>
      <c r="AR40" s="582">
        <f>Model!CV497</f>
        <v>-2764</v>
      </c>
      <c r="AS40" s="582">
        <f>Model!CW497</f>
        <v>-2684</v>
      </c>
      <c r="AT40" s="582">
        <f>Model!CX497</f>
        <v>-3080</v>
      </c>
      <c r="AU40" s="582">
        <f>Model!CY497</f>
        <v>-2902</v>
      </c>
      <c r="AV40" s="588">
        <f>Model!CZ497</f>
        <v>-2750</v>
      </c>
      <c r="AW40" s="582">
        <f>Model!DA497</f>
        <v>-3237.694766738804</v>
      </c>
      <c r="AX40" s="582">
        <f>Model!DB497</f>
        <v>-3226.3457976811724</v>
      </c>
      <c r="AY40" s="582">
        <f>Model!DC497</f>
        <v>-3324.0636395224619</v>
      </c>
      <c r="AZ40" s="582">
        <f>Model!DD497</f>
        <v>-3449.1473897969818</v>
      </c>
      <c r="BA40" s="582">
        <f>Model!DE497</f>
        <v>-3519.6668060533002</v>
      </c>
      <c r="BB40" s="582">
        <f>Model!DF497</f>
        <v>-3719.3803134396885</v>
      </c>
      <c r="BC40" s="582">
        <f>Model!DG497</f>
        <v>-3788.6195852319393</v>
      </c>
      <c r="BD40" s="582">
        <f>Model!DH497</f>
        <v>-3823.410981361425</v>
      </c>
      <c r="BE40" s="582">
        <f>Model!DI497</f>
        <v>-3904.8288989451321</v>
      </c>
    </row>
    <row r="41" spans="2:57" s="613" customFormat="1" ht="15.95" customHeight="1">
      <c r="B41" s="613" t="s">
        <v>2548</v>
      </c>
      <c r="C41" s="617">
        <f>-C40/C38</f>
        <v>0.29482071713147412</v>
      </c>
      <c r="D41" s="617">
        <f t="shared" ref="D41:BE41" si="31">-D40/D38</f>
        <v>0.2909239909854538</v>
      </c>
      <c r="E41" s="617">
        <f t="shared" si="31"/>
        <v>0.29845660452996592</v>
      </c>
      <c r="F41" s="617">
        <f t="shared" si="31"/>
        <v>0.29983679179295875</v>
      </c>
      <c r="G41" s="617">
        <f t="shared" si="31"/>
        <v>0.28368083400160388</v>
      </c>
      <c r="H41" s="617">
        <f t="shared" si="31"/>
        <v>0.30251497005988026</v>
      </c>
      <c r="I41" s="617">
        <f t="shared" si="31"/>
        <v>0.38521739130434784</v>
      </c>
      <c r="J41" s="617">
        <f t="shared" si="31"/>
        <v>0.29600720504353045</v>
      </c>
      <c r="K41" s="617">
        <f t="shared" si="31"/>
        <v>0.32536101083032493</v>
      </c>
      <c r="L41" s="617">
        <f t="shared" si="31"/>
        <v>0.29176782167291987</v>
      </c>
      <c r="M41" s="617">
        <f t="shared" si="31"/>
        <v>0.29903174960594459</v>
      </c>
      <c r="N41" s="617">
        <f t="shared" si="31"/>
        <v>0.28493380962387055</v>
      </c>
      <c r="O41" s="617">
        <f t="shared" si="31"/>
        <v>0.28964879852125691</v>
      </c>
      <c r="P41" s="617">
        <f t="shared" si="31"/>
        <v>0.29602817452553315</v>
      </c>
      <c r="Q41" s="617">
        <f t="shared" si="31"/>
        <v>0.2955353615171869</v>
      </c>
      <c r="R41" s="617">
        <f t="shared" si="31"/>
        <v>0.3056521739130435</v>
      </c>
      <c r="S41" s="618">
        <f t="shared" si="31"/>
        <v>0.29737666405638213</v>
      </c>
      <c r="T41" s="619">
        <f t="shared" si="31"/>
        <v>0.35475504322766571</v>
      </c>
      <c r="U41" s="617">
        <f t="shared" si="31"/>
        <v>0.29737666405638213</v>
      </c>
      <c r="V41" s="617">
        <f t="shared" si="31"/>
        <v>0.29737666405638213</v>
      </c>
      <c r="W41" s="617">
        <f t="shared" si="31"/>
        <v>0.29737666405638213</v>
      </c>
      <c r="X41" s="617">
        <f t="shared" si="31"/>
        <v>0.29737666405638213</v>
      </c>
      <c r="Y41" s="617">
        <f t="shared" si="31"/>
        <v>0.29737666405638213</v>
      </c>
      <c r="Z41" s="617">
        <f t="shared" si="31"/>
        <v>0.29737666405638213</v>
      </c>
      <c r="AA41" s="617">
        <f t="shared" si="31"/>
        <v>0.29737666405638213</v>
      </c>
      <c r="AB41" s="617">
        <f t="shared" si="31"/>
        <v>0.29737666405638213</v>
      </c>
      <c r="AC41" s="617">
        <f t="shared" si="31"/>
        <v>0.29737666405638213</v>
      </c>
      <c r="AD41" s="617">
        <f t="shared" si="31"/>
        <v>0.29737666405638213</v>
      </c>
      <c r="AE41" s="617">
        <f t="shared" si="31"/>
        <v>0.29737666405638213</v>
      </c>
      <c r="AF41" s="617">
        <f t="shared" si="31"/>
        <v>0.29737666405638213</v>
      </c>
      <c r="AG41" s="617">
        <f t="shared" si="31"/>
        <v>0.29737666405638213</v>
      </c>
      <c r="AH41" s="617">
        <f t="shared" si="31"/>
        <v>0.29737666405638213</v>
      </c>
      <c r="AI41" s="617">
        <f t="shared" si="31"/>
        <v>0.29737666405638213</v>
      </c>
      <c r="AJ41" s="617">
        <f t="shared" si="31"/>
        <v>0.29737666405638213</v>
      </c>
      <c r="AK41" s="617">
        <f t="shared" si="31"/>
        <v>0.29737666405638213</v>
      </c>
      <c r="AL41" s="617">
        <f t="shared" si="31"/>
        <v>0.29737666405638213</v>
      </c>
      <c r="AN41" s="617">
        <f t="shared" si="31"/>
        <v>0.29284974093264249</v>
      </c>
      <c r="AO41" s="617">
        <f t="shared" si="31"/>
        <v>0.29909463246389306</v>
      </c>
      <c r="AP41" s="617">
        <f t="shared" si="31"/>
        <v>0.29226235948925022</v>
      </c>
      <c r="AQ41" s="617">
        <f t="shared" si="31"/>
        <v>0.33244539158231218</v>
      </c>
      <c r="AR41" s="617">
        <f t="shared" si="31"/>
        <v>0.30837889099631821</v>
      </c>
      <c r="AS41" s="617">
        <f t="shared" si="31"/>
        <v>0.29173913043478261</v>
      </c>
      <c r="AT41" s="617">
        <f t="shared" si="31"/>
        <v>0.29274783765801732</v>
      </c>
      <c r="AU41" s="618">
        <f t="shared" si="31"/>
        <v>0.30035189401780171</v>
      </c>
      <c r="AV41" s="619">
        <f t="shared" si="31"/>
        <v>0.32058754954534857</v>
      </c>
      <c r="AW41" s="617">
        <f t="shared" si="31"/>
        <v>0.29737666405638208</v>
      </c>
      <c r="AX41" s="617">
        <f t="shared" si="31"/>
        <v>0.29737666405638208</v>
      </c>
      <c r="AY41" s="617">
        <f t="shared" si="31"/>
        <v>0.29737666405638208</v>
      </c>
      <c r="AZ41" s="617">
        <f t="shared" si="31"/>
        <v>0.29737666405638213</v>
      </c>
      <c r="BA41" s="617">
        <f t="shared" si="31"/>
        <v>0.29737666405638213</v>
      </c>
      <c r="BB41" s="617">
        <f t="shared" si="31"/>
        <v>0.29737666405638219</v>
      </c>
      <c r="BC41" s="617">
        <f t="shared" si="31"/>
        <v>0.29737666405638219</v>
      </c>
      <c r="BD41" s="617">
        <f t="shared" si="31"/>
        <v>0.29737666405638208</v>
      </c>
      <c r="BE41" s="617">
        <f t="shared" si="31"/>
        <v>0.29737666405638208</v>
      </c>
    </row>
    <row r="42" spans="2:57" ht="15.95" customHeight="1">
      <c r="T42" s="587"/>
    </row>
    <row r="43" spans="2:57" ht="15.95" customHeight="1">
      <c r="B43" s="579" t="s">
        <v>2541</v>
      </c>
      <c r="C43" s="582">
        <f>Model!AH498</f>
        <v>-8</v>
      </c>
      <c r="D43" s="582">
        <f>Model!AI498</f>
        <v>-7</v>
      </c>
      <c r="E43" s="582">
        <f>Model!AJ498</f>
        <v>-7</v>
      </c>
      <c r="F43" s="582">
        <f>Model!AK498</f>
        <v>-9</v>
      </c>
      <c r="G43" s="582">
        <f>Model!AL498</f>
        <v>-9</v>
      </c>
      <c r="H43" s="582">
        <f>Model!AM498</f>
        <v>-6</v>
      </c>
      <c r="I43" s="582">
        <f>Model!AN498</f>
        <v>-1</v>
      </c>
      <c r="J43" s="582">
        <f>Model!AO498</f>
        <v>0</v>
      </c>
      <c r="K43" s="582">
        <f>Model!AP498</f>
        <v>0</v>
      </c>
      <c r="L43" s="582">
        <f>Model!AQ498</f>
        <v>-1</v>
      </c>
      <c r="M43" s="582">
        <f>Model!AR498</f>
        <v>0</v>
      </c>
      <c r="N43" s="582">
        <f>Model!AS498</f>
        <v>-1</v>
      </c>
      <c r="O43" s="582">
        <f>Model!AT498</f>
        <v>-14</v>
      </c>
      <c r="P43" s="582">
        <f>Model!AU498</f>
        <v>-14</v>
      </c>
      <c r="Q43" s="582">
        <f>Model!AV498</f>
        <v>-14</v>
      </c>
      <c r="R43" s="582">
        <f>Model!AW498</f>
        <v>-21</v>
      </c>
      <c r="S43" s="582">
        <f>Model!AX498</f>
        <v>-21</v>
      </c>
      <c r="T43" s="588">
        <f>Model!AY498</f>
        <v>-20</v>
      </c>
      <c r="U43" s="582">
        <f>Model!AZ498</f>
        <v>-20</v>
      </c>
      <c r="V43" s="582">
        <f>Model!BA498</f>
        <v>-20</v>
      </c>
      <c r="W43" s="582">
        <f>Model!BB498</f>
        <v>-20</v>
      </c>
      <c r="X43" s="582">
        <f>Model!BC498</f>
        <v>-20</v>
      </c>
      <c r="Y43" s="582">
        <f>Model!BD498</f>
        <v>-20</v>
      </c>
      <c r="Z43" s="582">
        <f>Model!BE498</f>
        <v>-20</v>
      </c>
      <c r="AA43" s="582">
        <f>Model!BF498</f>
        <v>-20</v>
      </c>
      <c r="AB43" s="582">
        <f>Model!BG498</f>
        <v>-20</v>
      </c>
      <c r="AC43" s="582">
        <f>Model!BH498</f>
        <v>-20</v>
      </c>
      <c r="AD43" s="582">
        <f>Model!BI498</f>
        <v>-20</v>
      </c>
      <c r="AE43" s="582">
        <f>Model!BJ498</f>
        <v>-20</v>
      </c>
      <c r="AF43" s="582">
        <f>Model!BK498</f>
        <v>-20</v>
      </c>
      <c r="AG43" s="582">
        <f>Model!BL498</f>
        <v>-20</v>
      </c>
      <c r="AH43" s="582">
        <f>Model!BM498</f>
        <v>-20</v>
      </c>
      <c r="AI43" s="582">
        <f>Model!BN498</f>
        <v>-20</v>
      </c>
      <c r="AJ43" s="582">
        <f>Model!BO498</f>
        <v>-20</v>
      </c>
      <c r="AK43" s="582">
        <f>Model!BP498</f>
        <v>-20</v>
      </c>
      <c r="AL43" s="582">
        <f>Model!BQ498</f>
        <v>-20</v>
      </c>
      <c r="AM43" s="582"/>
      <c r="AN43" s="582">
        <f>Model!CR498</f>
        <v>-15</v>
      </c>
      <c r="AO43" s="582">
        <f>Model!CS498</f>
        <v>-16</v>
      </c>
      <c r="AP43" s="582">
        <f>Model!CT498</f>
        <v>-15</v>
      </c>
      <c r="AQ43" s="582">
        <f>Model!CU498</f>
        <v>-1</v>
      </c>
      <c r="AR43" s="582">
        <f>Model!CV498</f>
        <v>-1</v>
      </c>
      <c r="AS43" s="582">
        <f>Model!CW498</f>
        <v>-1</v>
      </c>
      <c r="AT43" s="582">
        <f>Model!CX498</f>
        <v>-28</v>
      </c>
      <c r="AU43" s="582">
        <f>Model!CY498</f>
        <v>-35</v>
      </c>
      <c r="AV43" s="588">
        <f>Model!CZ498</f>
        <v>-41</v>
      </c>
      <c r="AW43" s="582">
        <f>Model!DA498</f>
        <v>-40</v>
      </c>
      <c r="AX43" s="582">
        <f>Model!DB498</f>
        <v>-40</v>
      </c>
      <c r="AY43" s="582">
        <f>Model!DC498</f>
        <v>-40</v>
      </c>
      <c r="AZ43" s="582">
        <f>Model!DD498</f>
        <v>-40</v>
      </c>
      <c r="BA43" s="582">
        <f>Model!DE498</f>
        <v>-40</v>
      </c>
      <c r="BB43" s="582">
        <f>Model!DF498</f>
        <v>-40</v>
      </c>
      <c r="BC43" s="582">
        <f>Model!DG498</f>
        <v>-40</v>
      </c>
      <c r="BD43" s="582">
        <f>Model!DH498</f>
        <v>-40</v>
      </c>
      <c r="BE43" s="582">
        <f>Model!DI498</f>
        <v>-40</v>
      </c>
    </row>
    <row r="44" spans="2:57" ht="15.95" customHeight="1">
      <c r="B44" s="2" t="s">
        <v>2542</v>
      </c>
      <c r="C44" s="60">
        <f>Model!AH515</f>
        <v>3355</v>
      </c>
      <c r="D44" s="60">
        <f>Model!AI515</f>
        <v>3454</v>
      </c>
      <c r="E44" s="60">
        <f>Model!AJ515</f>
        <v>3493</v>
      </c>
      <c r="F44" s="60">
        <f>Model!AK515</f>
        <v>2994</v>
      </c>
      <c r="G44" s="60">
        <f>Model!AL515</f>
        <v>3564</v>
      </c>
      <c r="H44" s="60">
        <f>Model!AM515</f>
        <v>2906</v>
      </c>
      <c r="I44" s="60">
        <f>Model!AN515</f>
        <v>1413</v>
      </c>
      <c r="J44" s="60">
        <f>Model!AO515</f>
        <v>2345</v>
      </c>
      <c r="K44" s="60">
        <f>Model!AP515</f>
        <v>2990</v>
      </c>
      <c r="L44" s="60">
        <f>Model!AQ515</f>
        <v>3208</v>
      </c>
      <c r="M44" s="60">
        <f>Model!AR515</f>
        <v>3113</v>
      </c>
      <c r="N44" s="60">
        <f>Model!AS515</f>
        <v>3402</v>
      </c>
      <c r="O44" s="60">
        <f>Model!AT515</f>
        <v>3829</v>
      </c>
      <c r="P44" s="60">
        <f>Model!AU515</f>
        <v>3584</v>
      </c>
      <c r="Q44" s="60">
        <f>Model!AV515</f>
        <v>3552</v>
      </c>
      <c r="R44" s="60">
        <f>Model!AW515</f>
        <v>3173</v>
      </c>
      <c r="S44" s="60">
        <f>Model!AX515</f>
        <v>3568</v>
      </c>
      <c r="T44" s="219">
        <f>Model!AY515</f>
        <v>2219</v>
      </c>
      <c r="U44" s="60">
        <f>Model!AZ515</f>
        <v>3822.0786327811115</v>
      </c>
      <c r="V44" s="60">
        <f>Model!BA515</f>
        <v>3787.7479095662015</v>
      </c>
      <c r="W44" s="60">
        <f>Model!BB515</f>
        <v>3961.4812412299361</v>
      </c>
      <c r="X44" s="60">
        <f>Model!BC515</f>
        <v>3621.5306533571138</v>
      </c>
      <c r="Y44" s="60">
        <f>Model!BD515</f>
        <v>4055.998950735765</v>
      </c>
      <c r="Z44" s="60">
        <f>Model!BE515</f>
        <v>3757.8946649627974</v>
      </c>
      <c r="AA44" s="60">
        <f>Model!BF515</f>
        <v>4173.6762135902381</v>
      </c>
      <c r="AB44" s="60">
        <f>Model!BG515</f>
        <v>3935.7576125989444</v>
      </c>
      <c r="AC44" s="60">
        <f>Model!BH515</f>
        <v>4275.3908680601107</v>
      </c>
      <c r="AD44" s="60">
        <f>Model!BI515</f>
        <v>4000.6619080592413</v>
      </c>
      <c r="AE44" s="60">
        <f>Model!BJ515</f>
        <v>4419.7437697908626</v>
      </c>
      <c r="AF44" s="60">
        <f>Model!BK515</f>
        <v>4328.1798279280592</v>
      </c>
      <c r="AG44" s="60">
        <f>Model!BL515</f>
        <v>4545.2922472606579</v>
      </c>
      <c r="AH44" s="60">
        <f>Model!BM515</f>
        <v>4366.2256535934766</v>
      </c>
      <c r="AI44" s="60">
        <f>Model!BN515</f>
        <v>4566.1046688744091</v>
      </c>
      <c r="AJ44" s="60">
        <f>Model!BO515</f>
        <v>4427.6162080881677</v>
      </c>
      <c r="AK44" s="60">
        <f>Model!BP515</f>
        <v>4642.2811250171344</v>
      </c>
      <c r="AL44" s="60">
        <f>Model!BQ515</f>
        <v>4543.8090121218265</v>
      </c>
      <c r="AN44" s="60">
        <f>Model!CR515</f>
        <v>6809</v>
      </c>
      <c r="AO44" s="60">
        <f>Model!CS515</f>
        <v>6487</v>
      </c>
      <c r="AP44" s="60">
        <f>Model!CT515</f>
        <v>6470</v>
      </c>
      <c r="AQ44" s="60">
        <f>Model!CU515</f>
        <v>3758</v>
      </c>
      <c r="AR44" s="60">
        <f>Model!CV515</f>
        <v>6198</v>
      </c>
      <c r="AS44" s="60">
        <f>Model!CW515</f>
        <v>6515</v>
      </c>
      <c r="AT44" s="60">
        <f>Model!CX515</f>
        <v>7413</v>
      </c>
      <c r="AU44" s="60">
        <f>Model!CY515</f>
        <v>6725</v>
      </c>
      <c r="AV44" s="219">
        <f>Model!CZ515</f>
        <v>5787</v>
      </c>
      <c r="AW44" s="60">
        <f>Model!DA515</f>
        <v>7609.826542347314</v>
      </c>
      <c r="AX44" s="60">
        <f>Model!DB515</f>
        <v>7583.0118945870518</v>
      </c>
      <c r="AY44" s="60">
        <f>Model!DC515</f>
        <v>7813.8936156985646</v>
      </c>
      <c r="AZ44" s="60">
        <f>Model!DD515</f>
        <v>8109.4338261891835</v>
      </c>
      <c r="BA44" s="60">
        <f>Model!DE515</f>
        <v>8276.0527761193516</v>
      </c>
      <c r="BB44" s="60">
        <f>Model!DF515</f>
        <v>8747.9235977189201</v>
      </c>
      <c r="BC44" s="60">
        <f>Model!DG515</f>
        <v>8911.5179008541327</v>
      </c>
      <c r="BD44" s="60">
        <f>Model!DH515</f>
        <v>8993.7208769625795</v>
      </c>
      <c r="BE44" s="60">
        <f>Model!DI515</f>
        <v>9186.0901371389627</v>
      </c>
    </row>
    <row r="45" spans="2:57" ht="15.95" customHeight="1">
      <c r="T45" s="587"/>
    </row>
    <row r="46" spans="2:57" ht="15.95" customHeight="1">
      <c r="B46" s="579" t="s">
        <v>2543</v>
      </c>
      <c r="C46" s="579">
        <v>56</v>
      </c>
      <c r="D46" s="579">
        <v>73</v>
      </c>
      <c r="E46" s="579">
        <v>-617</v>
      </c>
      <c r="F46" s="579">
        <v>-65</v>
      </c>
      <c r="G46" s="579">
        <v>-50</v>
      </c>
      <c r="H46" s="579">
        <v>-259</v>
      </c>
      <c r="I46" s="579">
        <v>-90</v>
      </c>
      <c r="J46" s="579">
        <v>-8</v>
      </c>
      <c r="K46" s="579">
        <v>-8</v>
      </c>
      <c r="L46" s="579">
        <v>-9</v>
      </c>
      <c r="M46" s="579">
        <v>-5</v>
      </c>
      <c r="N46" s="579">
        <v>-14</v>
      </c>
      <c r="O46" s="579">
        <v>0</v>
      </c>
      <c r="P46" s="579">
        <v>0</v>
      </c>
      <c r="Q46" s="579">
        <v>0</v>
      </c>
      <c r="R46" s="579">
        <v>0</v>
      </c>
      <c r="S46" s="579">
        <v>0</v>
      </c>
      <c r="T46" s="587">
        <v>0</v>
      </c>
      <c r="U46" s="579">
        <v>0</v>
      </c>
      <c r="V46" s="579">
        <v>0</v>
      </c>
      <c r="W46" s="579">
        <v>0</v>
      </c>
      <c r="X46" s="579">
        <v>0</v>
      </c>
      <c r="Y46" s="579">
        <v>0</v>
      </c>
      <c r="Z46" s="579">
        <v>0</v>
      </c>
      <c r="AA46" s="579">
        <v>0</v>
      </c>
      <c r="AB46" s="579">
        <v>0</v>
      </c>
      <c r="AC46" s="579">
        <v>0</v>
      </c>
      <c r="AD46" s="579">
        <v>0</v>
      </c>
      <c r="AE46" s="579">
        <v>0</v>
      </c>
      <c r="AF46" s="579">
        <v>0</v>
      </c>
      <c r="AG46" s="579">
        <v>0</v>
      </c>
      <c r="AH46" s="579">
        <v>0</v>
      </c>
      <c r="AI46" s="579">
        <v>0</v>
      </c>
      <c r="AJ46" s="579">
        <v>0</v>
      </c>
      <c r="AK46" s="579">
        <v>0</v>
      </c>
      <c r="AL46" s="579">
        <v>0</v>
      </c>
      <c r="AN46" s="579">
        <v>129</v>
      </c>
      <c r="AO46" s="579">
        <v>-682</v>
      </c>
      <c r="AP46" s="579">
        <v>-309</v>
      </c>
      <c r="AQ46" s="579">
        <v>-98</v>
      </c>
      <c r="AR46" s="579">
        <v>-17</v>
      </c>
      <c r="AS46" s="579">
        <v>-19</v>
      </c>
      <c r="AT46" s="579">
        <v>0</v>
      </c>
      <c r="AU46" s="579">
        <v>0</v>
      </c>
      <c r="AV46" s="587">
        <v>0</v>
      </c>
      <c r="AW46" s="579">
        <v>0</v>
      </c>
      <c r="AX46" s="579">
        <v>0</v>
      </c>
      <c r="AY46" s="579">
        <v>0</v>
      </c>
      <c r="AZ46" s="579">
        <v>0</v>
      </c>
      <c r="BA46" s="579">
        <v>0</v>
      </c>
      <c r="BB46" s="579">
        <v>0</v>
      </c>
      <c r="BC46" s="579">
        <v>0</v>
      </c>
      <c r="BD46" s="579">
        <v>0</v>
      </c>
      <c r="BE46" s="579">
        <v>0</v>
      </c>
    </row>
    <row r="47" spans="2:57" s="580" customFormat="1" ht="15.95" customHeight="1">
      <c r="B47" s="580" t="s">
        <v>357</v>
      </c>
      <c r="C47" s="583">
        <f>C44+C46</f>
        <v>3411</v>
      </c>
      <c r="D47" s="583">
        <f t="shared" ref="D47:AL47" si="32">D44+D46</f>
        <v>3527</v>
      </c>
      <c r="E47" s="583">
        <f t="shared" si="32"/>
        <v>2876</v>
      </c>
      <c r="F47" s="583">
        <f t="shared" si="32"/>
        <v>2929</v>
      </c>
      <c r="G47" s="583">
        <f t="shared" si="32"/>
        <v>3514</v>
      </c>
      <c r="H47" s="583">
        <f t="shared" si="32"/>
        <v>2647</v>
      </c>
      <c r="I47" s="583">
        <f t="shared" si="32"/>
        <v>1323</v>
      </c>
      <c r="J47" s="583">
        <f t="shared" si="32"/>
        <v>2337</v>
      </c>
      <c r="K47" s="583">
        <f t="shared" si="32"/>
        <v>2982</v>
      </c>
      <c r="L47" s="583">
        <f t="shared" si="32"/>
        <v>3199</v>
      </c>
      <c r="M47" s="583">
        <f t="shared" si="32"/>
        <v>3108</v>
      </c>
      <c r="N47" s="583">
        <f t="shared" si="32"/>
        <v>3388</v>
      </c>
      <c r="O47" s="583">
        <f t="shared" si="32"/>
        <v>3829</v>
      </c>
      <c r="P47" s="583">
        <f t="shared" si="32"/>
        <v>3584</v>
      </c>
      <c r="Q47" s="583">
        <f t="shared" si="32"/>
        <v>3552</v>
      </c>
      <c r="R47" s="583">
        <f t="shared" si="32"/>
        <v>3173</v>
      </c>
      <c r="S47" s="583">
        <f t="shared" si="32"/>
        <v>3568</v>
      </c>
      <c r="T47" s="589">
        <f t="shared" si="32"/>
        <v>2219</v>
      </c>
      <c r="U47" s="583">
        <f t="shared" si="32"/>
        <v>3822.0786327811115</v>
      </c>
      <c r="V47" s="583">
        <f t="shared" si="32"/>
        <v>3787.7479095662015</v>
      </c>
      <c r="W47" s="583">
        <f t="shared" si="32"/>
        <v>3961.4812412299361</v>
      </c>
      <c r="X47" s="583">
        <f t="shared" si="32"/>
        <v>3621.5306533571138</v>
      </c>
      <c r="Y47" s="583">
        <f t="shared" si="32"/>
        <v>4055.998950735765</v>
      </c>
      <c r="Z47" s="583">
        <f t="shared" si="32"/>
        <v>3757.8946649627974</v>
      </c>
      <c r="AA47" s="583">
        <f t="shared" si="32"/>
        <v>4173.6762135902381</v>
      </c>
      <c r="AB47" s="583">
        <f t="shared" si="32"/>
        <v>3935.7576125989444</v>
      </c>
      <c r="AC47" s="583">
        <f t="shared" si="32"/>
        <v>4275.3908680601107</v>
      </c>
      <c r="AD47" s="583">
        <f t="shared" si="32"/>
        <v>4000.6619080592413</v>
      </c>
      <c r="AE47" s="583">
        <f t="shared" si="32"/>
        <v>4419.7437697908626</v>
      </c>
      <c r="AF47" s="583">
        <f t="shared" si="32"/>
        <v>4328.1798279280592</v>
      </c>
      <c r="AG47" s="583">
        <f t="shared" si="32"/>
        <v>4545.2922472606579</v>
      </c>
      <c r="AH47" s="583">
        <f t="shared" si="32"/>
        <v>4366.2256535934766</v>
      </c>
      <c r="AI47" s="583">
        <f t="shared" si="32"/>
        <v>4566.1046688744091</v>
      </c>
      <c r="AJ47" s="583">
        <f t="shared" si="32"/>
        <v>4427.6162080881677</v>
      </c>
      <c r="AK47" s="583">
        <f t="shared" si="32"/>
        <v>4642.2811250171344</v>
      </c>
      <c r="AL47" s="583">
        <f t="shared" si="32"/>
        <v>4543.8090121218265</v>
      </c>
      <c r="AN47" s="583">
        <f t="shared" ref="AN47:BE47" si="33">AN44+AN46</f>
        <v>6938</v>
      </c>
      <c r="AO47" s="583">
        <f t="shared" si="33"/>
        <v>5805</v>
      </c>
      <c r="AP47" s="583">
        <f t="shared" si="33"/>
        <v>6161</v>
      </c>
      <c r="AQ47" s="583">
        <f t="shared" si="33"/>
        <v>3660</v>
      </c>
      <c r="AR47" s="583">
        <f t="shared" si="33"/>
        <v>6181</v>
      </c>
      <c r="AS47" s="583">
        <f t="shared" si="33"/>
        <v>6496</v>
      </c>
      <c r="AT47" s="583">
        <f t="shared" si="33"/>
        <v>7413</v>
      </c>
      <c r="AU47" s="583">
        <f t="shared" si="33"/>
        <v>6725</v>
      </c>
      <c r="AV47" s="589">
        <f t="shared" si="33"/>
        <v>5787</v>
      </c>
      <c r="AW47" s="583">
        <f t="shared" si="33"/>
        <v>7609.826542347314</v>
      </c>
      <c r="AX47" s="583">
        <f t="shared" si="33"/>
        <v>7583.0118945870518</v>
      </c>
      <c r="AY47" s="583">
        <f t="shared" si="33"/>
        <v>7813.8936156985646</v>
      </c>
      <c r="AZ47" s="583">
        <f t="shared" si="33"/>
        <v>8109.4338261891835</v>
      </c>
      <c r="BA47" s="583">
        <f t="shared" si="33"/>
        <v>8276.0527761193516</v>
      </c>
      <c r="BB47" s="583">
        <f t="shared" si="33"/>
        <v>8747.9235977189201</v>
      </c>
      <c r="BC47" s="583">
        <f t="shared" si="33"/>
        <v>8911.5179008541327</v>
      </c>
      <c r="BD47" s="583">
        <f t="shared" si="33"/>
        <v>8993.7208769625795</v>
      </c>
      <c r="BE47" s="583">
        <f t="shared" si="33"/>
        <v>9186.0901371389627</v>
      </c>
    </row>
    <row r="48" spans="2:57" ht="15.95" customHeight="1" outlineLevel="1">
      <c r="B48" s="608" t="s">
        <v>2554</v>
      </c>
      <c r="C48" s="609"/>
      <c r="D48" s="609"/>
      <c r="E48" s="609"/>
      <c r="F48" s="609"/>
      <c r="G48" s="609"/>
      <c r="H48" s="609"/>
      <c r="I48" s="609"/>
      <c r="J48" s="609"/>
      <c r="K48" s="609"/>
      <c r="L48" s="609"/>
      <c r="M48" s="609"/>
      <c r="N48" s="610">
        <f>N47/M47-1</f>
        <v>9.0090090090090058E-2</v>
      </c>
      <c r="O48" s="610">
        <f t="shared" ref="O48:AL48" si="34">O47/N47-1</f>
        <v>0.13016528925619841</v>
      </c>
      <c r="P48" s="610">
        <f t="shared" si="34"/>
        <v>-6.3985374771480807E-2</v>
      </c>
      <c r="Q48" s="610">
        <f t="shared" si="34"/>
        <v>-8.9285714285713969E-3</v>
      </c>
      <c r="R48" s="610">
        <f t="shared" si="34"/>
        <v>-0.1067004504504504</v>
      </c>
      <c r="S48" s="610">
        <f t="shared" si="34"/>
        <v>0.12448786637251819</v>
      </c>
      <c r="T48" s="611">
        <f t="shared" si="34"/>
        <v>-0.3780829596412556</v>
      </c>
      <c r="U48" s="610">
        <f t="shared" si="34"/>
        <v>0.7224329124745883</v>
      </c>
      <c r="V48" s="610">
        <f t="shared" si="34"/>
        <v>-8.9822126945434677E-3</v>
      </c>
      <c r="W48" s="610">
        <f t="shared" si="34"/>
        <v>4.5867184356424451E-2</v>
      </c>
      <c r="X48" s="610">
        <f t="shared" si="34"/>
        <v>-8.5814009248539769E-2</v>
      </c>
      <c r="Y48" s="610">
        <f t="shared" si="34"/>
        <v>0.11996814026022529</v>
      </c>
      <c r="Z48" s="610">
        <f t="shared" si="34"/>
        <v>-7.3497130890256002E-2</v>
      </c>
      <c r="AA48" s="610">
        <f t="shared" si="34"/>
        <v>0.11064215091073004</v>
      </c>
      <c r="AB48" s="610">
        <f t="shared" si="34"/>
        <v>-5.7004565954730246E-2</v>
      </c>
      <c r="AC48" s="610">
        <f t="shared" si="34"/>
        <v>8.6294251041768799E-2</v>
      </c>
      <c r="AD48" s="610">
        <f t="shared" si="34"/>
        <v>-6.4258209010378264E-2</v>
      </c>
      <c r="AE48" s="610">
        <f t="shared" si="34"/>
        <v>0.10475313119746277</v>
      </c>
      <c r="AF48" s="610">
        <f t="shared" si="34"/>
        <v>-2.0717024929962413E-2</v>
      </c>
      <c r="AG48" s="610">
        <f t="shared" si="34"/>
        <v>5.0162522807314147E-2</v>
      </c>
      <c r="AH48" s="610">
        <f t="shared" si="34"/>
        <v>-3.9396057266746776E-2</v>
      </c>
      <c r="AI48" s="610">
        <f t="shared" si="34"/>
        <v>4.5778443703757832E-2</v>
      </c>
      <c r="AJ48" s="610">
        <f t="shared" si="34"/>
        <v>-3.032967284571253E-2</v>
      </c>
      <c r="AK48" s="610">
        <f t="shared" si="34"/>
        <v>4.8483180754652189E-2</v>
      </c>
      <c r="AL48" s="610">
        <f t="shared" si="34"/>
        <v>-2.1212009838147083E-2</v>
      </c>
      <c r="AM48" s="610"/>
      <c r="AN48" s="610" t="e">
        <f t="shared" ref="AN48:BA48" si="35">AN47/AM47-1</f>
        <v>#DIV/0!</v>
      </c>
      <c r="AO48" s="610">
        <f t="shared" si="35"/>
        <v>-0.16330354569040073</v>
      </c>
      <c r="AP48" s="610">
        <f t="shared" si="35"/>
        <v>6.1326442721791663E-2</v>
      </c>
      <c r="AQ48" s="610">
        <f t="shared" si="35"/>
        <v>-0.40594059405940597</v>
      </c>
      <c r="AR48" s="610">
        <f t="shared" si="35"/>
        <v>0.68879781420765029</v>
      </c>
      <c r="AS48" s="610">
        <f t="shared" si="35"/>
        <v>5.0962627406568428E-2</v>
      </c>
      <c r="AT48" s="610">
        <f t="shared" si="35"/>
        <v>0.14116379310344818</v>
      </c>
      <c r="AU48" s="610">
        <f t="shared" si="35"/>
        <v>-9.2809928503979511E-2</v>
      </c>
      <c r="AV48" s="611">
        <f t="shared" si="35"/>
        <v>-0.13947955390334577</v>
      </c>
      <c r="AW48" s="610">
        <f t="shared" si="35"/>
        <v>0.3149864424308475</v>
      </c>
      <c r="AX48" s="610">
        <f t="shared" si="35"/>
        <v>-3.5236871183651486E-3</v>
      </c>
      <c r="AY48" s="610">
        <f t="shared" si="35"/>
        <v>3.0447231828334864E-2</v>
      </c>
      <c r="AZ48" s="610">
        <f t="shared" si="35"/>
        <v>3.7822400076814588E-2</v>
      </c>
      <c r="BA48" s="610">
        <f t="shared" si="35"/>
        <v>2.0546311062071609E-2</v>
      </c>
      <c r="BB48" s="610">
        <f t="shared" ref="BB48" si="36">BB47/BA47-1</f>
        <v>5.7016410402934703E-2</v>
      </c>
      <c r="BC48" s="610">
        <f t="shared" ref="BC48" si="37">BC47/BB47-1</f>
        <v>1.8700929575776293E-2</v>
      </c>
      <c r="BD48" s="610">
        <f t="shared" ref="BD48" si="38">BD47/BC47-1</f>
        <v>9.2243517909074146E-3</v>
      </c>
      <c r="BE48" s="610">
        <f t="shared" ref="BE48" si="39">BE47/BD47-1</f>
        <v>2.1389285125485324E-2</v>
      </c>
    </row>
    <row r="49" spans="2:57" ht="15.95" customHeight="1">
      <c r="T49" s="587"/>
      <c r="AW49" s="620"/>
    </row>
    <row r="50" spans="2:57" ht="15.95" customHeight="1">
      <c r="B50" s="579" t="s">
        <v>2132</v>
      </c>
      <c r="C50" s="582">
        <f>C51-C47</f>
        <v>-500</v>
      </c>
      <c r="D50" s="582">
        <f t="shared" ref="D50:AL50" si="40">D51-D47</f>
        <v>-32</v>
      </c>
      <c r="E50" s="582">
        <f t="shared" si="40"/>
        <v>447</v>
      </c>
      <c r="F50" s="582">
        <f t="shared" si="40"/>
        <v>148</v>
      </c>
      <c r="G50" s="582">
        <f t="shared" si="40"/>
        <v>-341</v>
      </c>
      <c r="H50" s="582">
        <f t="shared" si="40"/>
        <v>133</v>
      </c>
      <c r="I50" s="582">
        <f t="shared" si="40"/>
        <v>222</v>
      </c>
      <c r="J50" s="582">
        <f t="shared" si="40"/>
        <v>-305</v>
      </c>
      <c r="K50" s="582">
        <f t="shared" si="40"/>
        <v>-39</v>
      </c>
      <c r="L50" s="582">
        <f t="shared" si="40"/>
        <v>20</v>
      </c>
      <c r="M50" s="582">
        <f t="shared" si="40"/>
        <v>422</v>
      </c>
      <c r="N50" s="582">
        <f t="shared" si="40"/>
        <v>201</v>
      </c>
      <c r="O50" s="582">
        <f t="shared" si="40"/>
        <v>-274</v>
      </c>
      <c r="P50" s="582">
        <f t="shared" si="40"/>
        <v>-33</v>
      </c>
      <c r="Q50" s="582">
        <f t="shared" si="40"/>
        <v>-145</v>
      </c>
      <c r="R50" s="582">
        <f t="shared" si="40"/>
        <v>-45</v>
      </c>
      <c r="S50" s="582">
        <f t="shared" si="40"/>
        <v>74</v>
      </c>
      <c r="T50" s="588">
        <f t="shared" si="40"/>
        <v>30</v>
      </c>
      <c r="U50" s="582">
        <f t="shared" si="40"/>
        <v>0</v>
      </c>
      <c r="V50" s="582">
        <f t="shared" si="40"/>
        <v>0</v>
      </c>
      <c r="W50" s="582">
        <f t="shared" si="40"/>
        <v>0</v>
      </c>
      <c r="X50" s="582">
        <f t="shared" si="40"/>
        <v>0</v>
      </c>
      <c r="Y50" s="582">
        <f t="shared" si="40"/>
        <v>0</v>
      </c>
      <c r="Z50" s="582">
        <f t="shared" si="40"/>
        <v>0</v>
      </c>
      <c r="AA50" s="582">
        <f t="shared" si="40"/>
        <v>0</v>
      </c>
      <c r="AB50" s="582">
        <f t="shared" si="40"/>
        <v>0</v>
      </c>
      <c r="AC50" s="582">
        <f t="shared" si="40"/>
        <v>0</v>
      </c>
      <c r="AD50" s="582">
        <f t="shared" si="40"/>
        <v>0</v>
      </c>
      <c r="AE50" s="582">
        <f t="shared" si="40"/>
        <v>0</v>
      </c>
      <c r="AF50" s="582">
        <f t="shared" si="40"/>
        <v>0</v>
      </c>
      <c r="AG50" s="582">
        <f t="shared" si="40"/>
        <v>0</v>
      </c>
      <c r="AH50" s="582">
        <f t="shared" si="40"/>
        <v>0</v>
      </c>
      <c r="AI50" s="582">
        <f t="shared" si="40"/>
        <v>0</v>
      </c>
      <c r="AJ50" s="582">
        <f t="shared" si="40"/>
        <v>0</v>
      </c>
      <c r="AK50" s="582">
        <f t="shared" si="40"/>
        <v>0</v>
      </c>
      <c r="AL50" s="582">
        <f t="shared" si="40"/>
        <v>0</v>
      </c>
      <c r="AN50" s="582">
        <f t="shared" ref="AN50:BE50" si="41">AN51-AN47</f>
        <v>-532</v>
      </c>
      <c r="AO50" s="582">
        <f t="shared" si="41"/>
        <v>595</v>
      </c>
      <c r="AP50" s="582">
        <f t="shared" si="41"/>
        <v>-208</v>
      </c>
      <c r="AQ50" s="582">
        <f t="shared" si="41"/>
        <v>-83</v>
      </c>
      <c r="AR50" s="582">
        <f t="shared" si="41"/>
        <v>-19</v>
      </c>
      <c r="AS50" s="582">
        <f t="shared" si="41"/>
        <v>623</v>
      </c>
      <c r="AT50" s="582">
        <f t="shared" si="41"/>
        <v>-307</v>
      </c>
      <c r="AU50" s="582">
        <f t="shared" si="41"/>
        <v>-190</v>
      </c>
      <c r="AV50" s="588">
        <f t="shared" si="41"/>
        <v>104</v>
      </c>
      <c r="AW50" s="582">
        <f t="shared" si="41"/>
        <v>0</v>
      </c>
      <c r="AX50" s="582">
        <f t="shared" si="41"/>
        <v>0</v>
      </c>
      <c r="AY50" s="582">
        <f t="shared" si="41"/>
        <v>0</v>
      </c>
      <c r="AZ50" s="582">
        <f t="shared" si="41"/>
        <v>0</v>
      </c>
      <c r="BA50" s="582">
        <f t="shared" si="41"/>
        <v>0</v>
      </c>
      <c r="BB50" s="582">
        <f t="shared" si="41"/>
        <v>0</v>
      </c>
      <c r="BC50" s="582">
        <f t="shared" si="41"/>
        <v>0</v>
      </c>
      <c r="BD50" s="582">
        <f t="shared" si="41"/>
        <v>0</v>
      </c>
      <c r="BE50" s="582">
        <f t="shared" si="41"/>
        <v>0</v>
      </c>
    </row>
    <row r="51" spans="2:57" ht="15.95" customHeight="1">
      <c r="B51" s="2" t="s">
        <v>2544</v>
      </c>
      <c r="C51" s="60">
        <f>Model!AH525</f>
        <v>2911</v>
      </c>
      <c r="D51" s="60">
        <f>Model!AI525</f>
        <v>3495</v>
      </c>
      <c r="E51" s="60">
        <f>Model!AJ525</f>
        <v>3323</v>
      </c>
      <c r="F51" s="60">
        <f>Model!AK525</f>
        <v>3077</v>
      </c>
      <c r="G51" s="60">
        <f>Model!AL525</f>
        <v>3173</v>
      </c>
      <c r="H51" s="60">
        <f>Model!AM525</f>
        <v>2780</v>
      </c>
      <c r="I51" s="60">
        <f>Model!AN525</f>
        <v>1545</v>
      </c>
      <c r="J51" s="60">
        <f>Model!AO525</f>
        <v>2032</v>
      </c>
      <c r="K51" s="60">
        <f>Model!AP525</f>
        <v>2943</v>
      </c>
      <c r="L51" s="60">
        <f>Model!AQ525</f>
        <v>3219</v>
      </c>
      <c r="M51" s="60">
        <f>Model!AR525</f>
        <v>3530</v>
      </c>
      <c r="N51" s="60">
        <f>Model!AS525</f>
        <v>3589</v>
      </c>
      <c r="O51" s="60">
        <f>Model!AT525</f>
        <v>3555</v>
      </c>
      <c r="P51" s="60">
        <f>Model!AU525</f>
        <v>3551</v>
      </c>
      <c r="Q51" s="60">
        <f>Model!AV525</f>
        <v>3407</v>
      </c>
      <c r="R51" s="60">
        <f>Model!AW525</f>
        <v>3128</v>
      </c>
      <c r="S51" s="60">
        <f>Model!AX525</f>
        <v>3642</v>
      </c>
      <c r="T51" s="219">
        <f>Model!AY525</f>
        <v>2249</v>
      </c>
      <c r="U51" s="60">
        <f>Model!AZ525</f>
        <v>3822.0786327811115</v>
      </c>
      <c r="V51" s="60">
        <f>Model!BA525</f>
        <v>3787.7479095662015</v>
      </c>
      <c r="W51" s="60">
        <f>Model!BB525</f>
        <v>3961.4812412299361</v>
      </c>
      <c r="X51" s="60">
        <f>Model!BC525</f>
        <v>3621.5306533571138</v>
      </c>
      <c r="Y51" s="60">
        <f>Model!BD525</f>
        <v>4055.998950735765</v>
      </c>
      <c r="Z51" s="60">
        <f>Model!BE525</f>
        <v>3757.8946649627974</v>
      </c>
      <c r="AA51" s="60">
        <f>Model!BF525</f>
        <v>4173.6762135902381</v>
      </c>
      <c r="AB51" s="60">
        <f>Model!BG525</f>
        <v>3935.7576125989444</v>
      </c>
      <c r="AC51" s="60">
        <f>Model!BH525</f>
        <v>4275.3908680601107</v>
      </c>
      <c r="AD51" s="60">
        <f>Model!BI525</f>
        <v>4000.6619080592413</v>
      </c>
      <c r="AE51" s="60">
        <f>Model!BJ525</f>
        <v>4419.7437697908626</v>
      </c>
      <c r="AF51" s="60">
        <f>Model!BK525</f>
        <v>4328.1798279280592</v>
      </c>
      <c r="AG51" s="60">
        <f>Model!BL525</f>
        <v>4545.2922472606579</v>
      </c>
      <c r="AH51" s="60">
        <f>Model!BM525</f>
        <v>4366.2256535934766</v>
      </c>
      <c r="AI51" s="60">
        <f>Model!BN525</f>
        <v>4566.1046688744091</v>
      </c>
      <c r="AJ51" s="60">
        <f>Model!BO525</f>
        <v>4427.6162080881677</v>
      </c>
      <c r="AK51" s="60">
        <f>Model!BP525</f>
        <v>4642.2811250171344</v>
      </c>
      <c r="AL51" s="60">
        <f>Model!BQ525</f>
        <v>4543.8090121218265</v>
      </c>
      <c r="AN51" s="60">
        <f>Model!CR525</f>
        <v>6406</v>
      </c>
      <c r="AO51" s="60">
        <f>Model!CS525</f>
        <v>6400</v>
      </c>
      <c r="AP51" s="60">
        <f>Model!CT525</f>
        <v>5953</v>
      </c>
      <c r="AQ51" s="60">
        <f>Model!CU525</f>
        <v>3577</v>
      </c>
      <c r="AR51" s="60">
        <f>Model!CV525</f>
        <v>6162</v>
      </c>
      <c r="AS51" s="60">
        <f>Model!CW525</f>
        <v>7119</v>
      </c>
      <c r="AT51" s="60">
        <f>Model!CX525</f>
        <v>7106</v>
      </c>
      <c r="AU51" s="60">
        <f>Model!CY525</f>
        <v>6535</v>
      </c>
      <c r="AV51" s="219">
        <f>Model!CZ525</f>
        <v>5891</v>
      </c>
      <c r="AW51" s="60">
        <f>Model!DA525</f>
        <v>7609.8265423473131</v>
      </c>
      <c r="AX51" s="60">
        <f>Model!DB525</f>
        <v>7583.0118945870499</v>
      </c>
      <c r="AY51" s="60">
        <f>Model!DC525</f>
        <v>7813.8936156985619</v>
      </c>
      <c r="AZ51" s="60">
        <f>Model!DD525</f>
        <v>8109.4338261891826</v>
      </c>
      <c r="BA51" s="60">
        <f>Model!DE525</f>
        <v>8276.0527761193516</v>
      </c>
      <c r="BB51" s="60">
        <f>Model!DF525</f>
        <v>8747.9235977189219</v>
      </c>
      <c r="BC51" s="60">
        <f>Model!DG525</f>
        <v>8911.5179008541345</v>
      </c>
      <c r="BD51" s="60">
        <f>Model!DH525</f>
        <v>8993.7208769625759</v>
      </c>
      <c r="BE51" s="60">
        <f>Model!DI525</f>
        <v>9186.0901371389609</v>
      </c>
    </row>
    <row r="52" spans="2:57" ht="15.95" customHeight="1">
      <c r="T52" s="587"/>
      <c r="AS52" s="612"/>
      <c r="AT52" s="612"/>
      <c r="AU52" s="612"/>
      <c r="AV52" s="621"/>
      <c r="AW52" s="612"/>
    </row>
    <row r="53" spans="2:57" ht="15.95" customHeight="1">
      <c r="B53" s="578" t="s">
        <v>2488</v>
      </c>
      <c r="T53" s="587"/>
      <c r="AW53" s="612"/>
    </row>
    <row r="54" spans="2:57" ht="15.95" customHeight="1">
      <c r="B54" s="579" t="s">
        <v>2549</v>
      </c>
      <c r="C54" s="581">
        <f>Model!AH730</f>
        <v>1.1384370934090366</v>
      </c>
      <c r="D54" s="581">
        <f>Model!AI730</f>
        <v>1.1698296613409804</v>
      </c>
      <c r="E54" s="581">
        <f>Model!AJ730</f>
        <v>1.1848992675921495</v>
      </c>
      <c r="F54" s="581">
        <f>Model!AK730</f>
        <v>1.0305688307542851</v>
      </c>
      <c r="G54" s="581">
        <f>Model!AL730</f>
        <v>1.2376332752283943</v>
      </c>
      <c r="H54" s="581">
        <f>Model!AM730</f>
        <v>1.0189806369066552</v>
      </c>
      <c r="I54" s="581">
        <f>Model!AN730</f>
        <v>0.49523688193315907</v>
      </c>
      <c r="J54" s="581">
        <f>Model!AO730</f>
        <v>0.82171576363379484</v>
      </c>
      <c r="K54" s="581">
        <f>Model!AP730</f>
        <v>1.0449632366928525</v>
      </c>
      <c r="L54" s="581">
        <f>Model!AQ730</f>
        <v>1.121269689966178</v>
      </c>
      <c r="M54" s="596">
        <f>Model!AR730</f>
        <v>1.0901774570228386</v>
      </c>
      <c r="N54" s="596">
        <f>Model!AS730</f>
        <v>1.188471615720524</v>
      </c>
      <c r="O54" s="596">
        <f>Model!AT730</f>
        <v>1.2788484018569855</v>
      </c>
      <c r="P54" s="596">
        <f>Model!AU730</f>
        <v>1.194587027531498</v>
      </c>
      <c r="Q54" s="596">
        <f>Model!AV730</f>
        <v>1.1834871555659214</v>
      </c>
      <c r="R54" s="596">
        <f>Model!AW730</f>
        <v>1.0592555499916541</v>
      </c>
      <c r="S54" s="596">
        <f>Model!AX730</f>
        <v>1.2005787543322453</v>
      </c>
      <c r="T54" s="597">
        <f>Model!AY730</f>
        <v>0.74630881512124569</v>
      </c>
      <c r="U54" s="596">
        <f>Model!AZ730</f>
        <v>1.2781621830832393</v>
      </c>
      <c r="V54" s="596">
        <f>Model!BA730</f>
        <v>1.2574996282388522</v>
      </c>
      <c r="W54" s="596">
        <f>Model!BB730</f>
        <v>1.3104309486617365</v>
      </c>
      <c r="X54" s="596">
        <f>Model!BC730</f>
        <v>1.2031057806426448</v>
      </c>
      <c r="Y54" s="596">
        <f>Model!BD730</f>
        <v>1.3588231168331162</v>
      </c>
      <c r="Z54" s="596">
        <f>Model!BE730</f>
        <v>1.2692140460154022</v>
      </c>
      <c r="AA54" s="596">
        <f>Model!BF730</f>
        <v>1.4207230885872972</v>
      </c>
      <c r="AB54" s="596">
        <f>Model!BG730</f>
        <v>1.3498893593552532</v>
      </c>
      <c r="AC54" s="596">
        <f>Model!BH730</f>
        <v>1.4718319212360396</v>
      </c>
      <c r="AD54" s="596">
        <f>Model!BI730</f>
        <v>1.3772546380131074</v>
      </c>
      <c r="AE54" s="596">
        <f>Model!BJ730</f>
        <v>1.5215263738012086</v>
      </c>
      <c r="AF54" s="596">
        <f>Model!BK730</f>
        <v>1.4900048739835736</v>
      </c>
      <c r="AG54" s="596">
        <f>Model!BL730</f>
        <v>1.564747277457784</v>
      </c>
      <c r="AH54" s="596">
        <f>Model!BM730</f>
        <v>1.5031024041070709</v>
      </c>
      <c r="AI54" s="596">
        <f>Model!BN730</f>
        <v>1.5719120928944696</v>
      </c>
      <c r="AJ54" s="596">
        <f>Model!BO730</f>
        <v>1.5242365133747611</v>
      </c>
      <c r="AK54" s="596">
        <f>Model!BP730</f>
        <v>1.5981363477655506</v>
      </c>
      <c r="AL54" s="596">
        <f>Model!BQ730</f>
        <v>1.5642366638340472</v>
      </c>
      <c r="AM54" s="596"/>
      <c r="AN54" s="596">
        <f>Model!CR730</f>
        <v>2.3083356936850734</v>
      </c>
      <c r="AO54" s="596">
        <f>Model!CS730</f>
        <v>2.2166713333103707</v>
      </c>
      <c r="AP54" s="596">
        <f>Model!CT730</f>
        <v>2.2576752207097885</v>
      </c>
      <c r="AQ54" s="596">
        <f>Model!CU730</f>
        <v>1.316987243632767</v>
      </c>
      <c r="AR54" s="596">
        <f>Model!CV730</f>
        <v>2.1661907376875926</v>
      </c>
      <c r="AS54" s="596">
        <f>Model!CW730</f>
        <v>2.2879719051799823</v>
      </c>
      <c r="AT54" s="596">
        <f>Model!CX730</f>
        <v>2.4733084211931136</v>
      </c>
      <c r="AU54" s="596">
        <f>Model!CY730</f>
        <v>2.2428628601921026</v>
      </c>
      <c r="AV54" s="597">
        <f>Model!CZ730</f>
        <v>1.9467805961111486</v>
      </c>
      <c r="AW54" s="596">
        <f>Model!DA730</f>
        <v>2.5356119199015255</v>
      </c>
      <c r="AX54" s="596">
        <f>Model!DB730</f>
        <v>2.5137512423049428</v>
      </c>
      <c r="AY54" s="596">
        <f>Model!DC730</f>
        <v>2.6284008399015493</v>
      </c>
      <c r="AZ54" s="596">
        <f>Model!DD730</f>
        <v>2.7708512028938617</v>
      </c>
      <c r="BA54" s="596">
        <f>Model!DE730</f>
        <v>2.8490865592491468</v>
      </c>
      <c r="BB54" s="581">
        <f>Model!DF730</f>
        <v>3.0115312477847813</v>
      </c>
      <c r="BC54" s="581">
        <f>Model!DG730</f>
        <v>3.0678496815648542</v>
      </c>
      <c r="BD54" s="581">
        <f>Model!DH730</f>
        <v>3.0961486062692316</v>
      </c>
      <c r="BE54" s="581">
        <f>Model!DI730</f>
        <v>3.1623730115995983</v>
      </c>
    </row>
    <row r="55" spans="2:57" ht="15.95" customHeight="1">
      <c r="B55" s="579" t="s">
        <v>2550</v>
      </c>
      <c r="C55" s="581">
        <f>Model!AH732</f>
        <v>1.0925796208501006</v>
      </c>
      <c r="D55" s="581">
        <f>Model!AI732</f>
        <v>1.1199412896943808</v>
      </c>
      <c r="E55" s="581">
        <f>Model!AJ732</f>
        <v>1.1251257759885154</v>
      </c>
      <c r="F55" s="581">
        <f>Model!AK732</f>
        <v>0.99199098170673305</v>
      </c>
      <c r="G55" s="581">
        <f>Model!AL732</f>
        <v>1.1746465819950092</v>
      </c>
      <c r="H55" s="581">
        <f>Model!AM732</f>
        <v>0.97966678003576657</v>
      </c>
      <c r="I55" s="581">
        <f>Model!AN732</f>
        <v>0.47083189711603785</v>
      </c>
      <c r="J55" s="581">
        <f>Model!AO732</f>
        <v>0.75475033898834631</v>
      </c>
      <c r="K55" s="581">
        <f>Model!AP732</f>
        <v>0.99131404876150953</v>
      </c>
      <c r="L55" s="581">
        <f>Model!AQ732</f>
        <v>1.0551795388826275</v>
      </c>
      <c r="M55" s="596">
        <f>Model!AR732</f>
        <v>1.0244331561311941</v>
      </c>
      <c r="N55" s="596">
        <f>Model!AS732</f>
        <v>1.1155619138451756</v>
      </c>
      <c r="O55" s="596">
        <f>Model!AT732</f>
        <v>1.2137388280511241</v>
      </c>
      <c r="P55" s="596">
        <f>Model!AU732</f>
        <v>1.1476109215017065</v>
      </c>
      <c r="Q55" s="596">
        <f>Model!AV732</f>
        <v>1.1599064442666338</v>
      </c>
      <c r="R55" s="596">
        <f>Model!AW732</f>
        <v>1.0451365240542383</v>
      </c>
      <c r="S55" s="596">
        <f>Model!AX732</f>
        <v>1.1704012182614911</v>
      </c>
      <c r="T55" s="597">
        <f>Model!AY732</f>
        <v>0.74420632525069597</v>
      </c>
      <c r="U55" s="596">
        <f>Model!AZ732</f>
        <v>1.2745817683598542</v>
      </c>
      <c r="V55" s="596">
        <f>Model!BA732</f>
        <v>1.2540025567843691</v>
      </c>
      <c r="W55" s="596">
        <f>Model!BB732</f>
        <v>1.3067997928845458</v>
      </c>
      <c r="X55" s="596">
        <f>Model!BC732</f>
        <v>1.1997577878704706</v>
      </c>
      <c r="Y55" s="596">
        <f>Model!BD732</f>
        <v>1.3550099407528129</v>
      </c>
      <c r="Z55" s="596">
        <f>Model!BE732</f>
        <v>1.2656233879891892</v>
      </c>
      <c r="AA55" s="596">
        <f>Model!BF732</f>
        <v>1.4166723019089882</v>
      </c>
      <c r="AB55" s="596">
        <f>Model!BG732</f>
        <v>1.3460114480697039</v>
      </c>
      <c r="AC55" s="596">
        <f>Model!BH732</f>
        <v>1.4675880144658706</v>
      </c>
      <c r="AD55" s="596">
        <f>Model!BI732</f>
        <v>1.3732834370911964</v>
      </c>
      <c r="AE55" s="596">
        <f>Model!BJ732</f>
        <v>1.5171391771481131</v>
      </c>
      <c r="AF55" s="596">
        <f>Model!BK732</f>
        <v>1.4857085669929131</v>
      </c>
      <c r="AG55" s="596">
        <f>Model!BL732</f>
        <v>1.5602354568697172</v>
      </c>
      <c r="AH55" s="596">
        <f>Model!BM732</f>
        <v>1.498768331461269</v>
      </c>
      <c r="AI55" s="596">
        <f>Model!BN732</f>
        <v>1.5673796131480437</v>
      </c>
      <c r="AJ55" s="596">
        <f>Model!BO732</f>
        <v>1.5198415022562242</v>
      </c>
      <c r="AK55" s="596">
        <f>Model!BP732</f>
        <v>1.5935282525285348</v>
      </c>
      <c r="AL55" s="596">
        <f>Model!BQ732</f>
        <v>1.5597263155585341</v>
      </c>
      <c r="AM55" s="596"/>
      <c r="AN55" s="596">
        <f>Model!CR732</f>
        <v>2.2059824989817343</v>
      </c>
      <c r="AO55" s="596">
        <f>Model!CS732</f>
        <v>2.1217099838796347</v>
      </c>
      <c r="AP55" s="596">
        <f>Model!CT732</f>
        <v>2.1634654242993072</v>
      </c>
      <c r="AQ55" s="596">
        <f>Model!CU732</f>
        <v>1.2310035900159322</v>
      </c>
      <c r="AR55" s="596">
        <f>Model!CV732</f>
        <v>2.0441684232606168</v>
      </c>
      <c r="AS55" s="596">
        <f>Model!CW732</f>
        <v>2.1395111691788027</v>
      </c>
      <c r="AT55" s="596">
        <f>Model!CX732</f>
        <v>2.3681394282219843</v>
      </c>
      <c r="AU55" s="596">
        <f>Model!CY732</f>
        <v>2.2093382807668522</v>
      </c>
      <c r="AV55" s="597">
        <f>Model!CZ732</f>
        <v>1.8821346583225886</v>
      </c>
      <c r="AW55" s="596">
        <f>Model!DA732</f>
        <v>2.5285348049597367</v>
      </c>
      <c r="AX55" s="596">
        <f>Model!DB732</f>
        <v>2.5067709357212138</v>
      </c>
      <c r="AY55" s="596">
        <f>Model!DC732</f>
        <v>2.6209950805601165</v>
      </c>
      <c r="AZ55" s="596">
        <f>Model!DD732</f>
        <v>2.7629212526334936</v>
      </c>
      <c r="BA55" s="596">
        <f>Model!DE732</f>
        <v>2.8408714515570668</v>
      </c>
      <c r="BB55" s="581">
        <f>Model!DF732</f>
        <v>3.0028477441410257</v>
      </c>
      <c r="BC55" s="581">
        <f>Model!DG732</f>
        <v>3.0590037883309855</v>
      </c>
      <c r="BD55" s="581">
        <f>Model!DH732</f>
        <v>3.0872211154042688</v>
      </c>
      <c r="BE55" s="581">
        <f>Model!DI732</f>
        <v>3.1532545680870698</v>
      </c>
    </row>
    <row r="56" spans="2:57" ht="15.95" customHeight="1">
      <c r="B56" s="579" t="s">
        <v>624</v>
      </c>
      <c r="C56" s="581">
        <f>Model!AH735</f>
        <v>0.79366880000000006</v>
      </c>
      <c r="D56" s="581">
        <f>Model!AI735</f>
        <v>0.79366880000000006</v>
      </c>
      <c r="E56" s="581">
        <f>Model!AJ735</f>
        <v>0.79366880000000006</v>
      </c>
      <c r="F56" s="581">
        <f>Model!AK735</f>
        <v>0.79366880000000006</v>
      </c>
      <c r="G56" s="581">
        <f>Model!AL735</f>
        <v>0.79366880000000006</v>
      </c>
      <c r="H56" s="581">
        <f>Model!AM735</f>
        <v>0.79366880000000006</v>
      </c>
      <c r="I56" s="581">
        <f>Model!AN735</f>
        <v>0.24802150000000001</v>
      </c>
      <c r="J56" s="581">
        <f>Model!AO735</f>
        <v>0.34723009999999999</v>
      </c>
      <c r="K56" s="581">
        <f>Model!AP735</f>
        <v>0.69446019999999997</v>
      </c>
      <c r="L56" s="581">
        <f>Model!AQ735</f>
        <v>0.71430192000000003</v>
      </c>
      <c r="M56" s="596">
        <f>Model!AR735</f>
        <v>0.71430192000000003</v>
      </c>
      <c r="N56" s="596">
        <f>Model!AS735</f>
        <v>0.74</v>
      </c>
      <c r="O56" s="596">
        <f>Model!AT735</f>
        <v>0.81</v>
      </c>
      <c r="P56" s="596">
        <f>Model!AU735</f>
        <v>0.94000000000000006</v>
      </c>
      <c r="Q56" s="596">
        <f>Model!AV735</f>
        <v>0.83</v>
      </c>
      <c r="R56" s="596">
        <f>Model!AW735</f>
        <v>0.83</v>
      </c>
      <c r="S56" s="596">
        <f>Model!AX735</f>
        <v>0.83</v>
      </c>
      <c r="T56" s="597">
        <f>Model!AY735</f>
        <v>0.83</v>
      </c>
      <c r="U56" s="596">
        <f>Model!AZ735</f>
        <v>0.86</v>
      </c>
      <c r="V56" s="596">
        <f>Model!BA735</f>
        <v>0.9</v>
      </c>
      <c r="W56" s="596">
        <f>Model!BB735</f>
        <v>0.91</v>
      </c>
      <c r="X56" s="596">
        <f>Model!BC735</f>
        <v>0.92</v>
      </c>
      <c r="Y56" s="596">
        <f>Model!BD735</f>
        <v>0.94000000000000006</v>
      </c>
      <c r="Z56" s="596">
        <f>Model!BE735</f>
        <v>0.96000000000000008</v>
      </c>
      <c r="AA56" s="596">
        <f>Model!BF735</f>
        <v>0.98000000000000009</v>
      </c>
      <c r="AB56" s="596">
        <f>Model!BG735</f>
        <v>1</v>
      </c>
      <c r="AC56" s="596">
        <f>Model!BH735</f>
        <v>1.02</v>
      </c>
      <c r="AD56" s="596">
        <f>Model!BI735</f>
        <v>1.04</v>
      </c>
      <c r="AE56" s="596">
        <f>Model!BJ735</f>
        <v>1.06</v>
      </c>
      <c r="AF56" s="596">
        <f>Model!BK735</f>
        <v>1.08</v>
      </c>
      <c r="AG56" s="596">
        <f>Model!BL735</f>
        <v>1.1000000000000001</v>
      </c>
      <c r="AH56" s="596">
        <f>Model!BM735</f>
        <v>1.1200000000000001</v>
      </c>
      <c r="AI56" s="596">
        <f>Model!BN735</f>
        <v>1.1400000000000001</v>
      </c>
      <c r="AJ56" s="596">
        <f>Model!BO735</f>
        <v>1.1600000000000001</v>
      </c>
      <c r="AK56" s="596">
        <f>Model!BP735</f>
        <v>1.1800000000000002</v>
      </c>
      <c r="AL56" s="596">
        <f>Model!BQ735</f>
        <v>1.2000000000000002</v>
      </c>
      <c r="AM56" s="596"/>
      <c r="AN56" s="596">
        <f>Model!CR735</f>
        <v>1.5873376000000001</v>
      </c>
      <c r="AO56" s="596">
        <f>Model!CS735</f>
        <v>1.5873376000000001</v>
      </c>
      <c r="AP56" s="596">
        <f>Model!CT735</f>
        <v>1.5873376000000001</v>
      </c>
      <c r="AQ56" s="596">
        <f>Model!CU735</f>
        <v>0.59525159999999999</v>
      </c>
      <c r="AR56" s="596">
        <f>Model!CV735</f>
        <v>1.40876212</v>
      </c>
      <c r="AS56" s="596">
        <f>Model!CW735</f>
        <v>1.45430192</v>
      </c>
      <c r="AT56" s="596">
        <f>Model!CX735</f>
        <v>1.75</v>
      </c>
      <c r="AU56" s="596">
        <f>Model!CY735</f>
        <v>1.66</v>
      </c>
      <c r="AV56" s="597">
        <f>Model!CZ735</f>
        <v>1.66</v>
      </c>
      <c r="AW56" s="596">
        <f>Model!DA735</f>
        <v>1.76</v>
      </c>
      <c r="AX56" s="596">
        <f>Model!DB735</f>
        <v>1.83</v>
      </c>
      <c r="AY56" s="596">
        <f>Model!DC735</f>
        <v>1.9000000000000001</v>
      </c>
      <c r="AZ56" s="596">
        <f>Model!DD735</f>
        <v>1.98</v>
      </c>
      <c r="BA56" s="596">
        <f>Model!DE735</f>
        <v>2.06</v>
      </c>
      <c r="BB56" s="581">
        <f>Model!DF735</f>
        <v>2.14</v>
      </c>
      <c r="BC56" s="581">
        <f>Model!DG735</f>
        <v>2.2200000000000002</v>
      </c>
      <c r="BD56" s="581">
        <f>Model!DH735</f>
        <v>2.3000000000000003</v>
      </c>
      <c r="BE56" s="581">
        <f>Model!DI735</f>
        <v>2.3800000000000003</v>
      </c>
    </row>
    <row r="57" spans="2:57" ht="15.95" customHeight="1">
      <c r="C57" s="581"/>
      <c r="D57" s="581"/>
      <c r="E57" s="581"/>
      <c r="F57" s="581"/>
      <c r="G57" s="581"/>
      <c r="H57" s="581"/>
      <c r="I57" s="581"/>
      <c r="J57" s="581"/>
      <c r="K57" s="581"/>
      <c r="L57" s="581"/>
      <c r="M57" s="596"/>
      <c r="N57" s="596"/>
      <c r="O57" s="596"/>
      <c r="P57" s="596"/>
      <c r="Q57" s="596"/>
      <c r="R57" s="596"/>
      <c r="S57" s="596"/>
      <c r="T57" s="597"/>
      <c r="U57" s="596"/>
      <c r="V57" s="596"/>
      <c r="W57" s="596"/>
      <c r="X57" s="596"/>
      <c r="Y57" s="596"/>
      <c r="Z57" s="596"/>
      <c r="AA57" s="596"/>
      <c r="AB57" s="596"/>
      <c r="AC57" s="596"/>
      <c r="AD57" s="596"/>
      <c r="AE57" s="596"/>
      <c r="AF57" s="596"/>
      <c r="AG57" s="596"/>
      <c r="AH57" s="596"/>
      <c r="AI57" s="596"/>
      <c r="AJ57" s="596"/>
      <c r="AK57" s="596"/>
      <c r="AL57" s="596"/>
      <c r="AM57" s="596"/>
      <c r="AN57" s="596"/>
      <c r="AO57" s="596"/>
      <c r="AP57" s="596"/>
      <c r="AQ57" s="596"/>
      <c r="AR57" s="596"/>
      <c r="AS57" s="596"/>
      <c r="AT57" s="596"/>
      <c r="AU57" s="596"/>
      <c r="AV57" s="597"/>
      <c r="AW57" s="596"/>
      <c r="AX57" s="596"/>
      <c r="AY57" s="596"/>
      <c r="AZ57" s="596"/>
      <c r="BA57" s="596"/>
      <c r="BB57" s="581"/>
      <c r="BC57" s="581"/>
      <c r="BD57" s="581"/>
      <c r="BE57" s="581"/>
    </row>
    <row r="58" spans="2:57" ht="15.95" customHeight="1">
      <c r="B58" s="578" t="s">
        <v>1511</v>
      </c>
      <c r="C58" s="581"/>
      <c r="D58" s="581"/>
      <c r="E58" s="581"/>
      <c r="F58" s="581"/>
      <c r="G58" s="581"/>
      <c r="H58" s="581"/>
      <c r="I58" s="581"/>
      <c r="J58" s="581"/>
      <c r="K58" s="581"/>
      <c r="L58" s="581"/>
      <c r="M58" s="596"/>
      <c r="N58" s="596"/>
      <c r="O58" s="596"/>
      <c r="P58" s="596"/>
      <c r="Q58" s="596"/>
      <c r="R58" s="596"/>
      <c r="S58" s="596"/>
      <c r="T58" s="597"/>
      <c r="U58" s="596"/>
      <c r="V58" s="596"/>
      <c r="W58" s="596"/>
      <c r="X58" s="596"/>
      <c r="Y58" s="596"/>
      <c r="Z58" s="596"/>
      <c r="AA58" s="596"/>
      <c r="AB58" s="596"/>
      <c r="AC58" s="596"/>
      <c r="AD58" s="596"/>
      <c r="AE58" s="596"/>
      <c r="AF58" s="596"/>
      <c r="AG58" s="596"/>
      <c r="AH58" s="596"/>
      <c r="AI58" s="596"/>
      <c r="AJ58" s="596"/>
      <c r="AK58" s="596"/>
      <c r="AL58" s="596"/>
      <c r="AM58" s="596"/>
      <c r="AN58" s="596"/>
      <c r="AO58" s="596"/>
      <c r="AP58" s="596"/>
      <c r="AQ58" s="596"/>
      <c r="AR58" s="596"/>
      <c r="AS58" s="596"/>
      <c r="AT58" s="596"/>
      <c r="AU58" s="596"/>
      <c r="AV58" s="597"/>
      <c r="AW58" s="596"/>
      <c r="AX58" s="596"/>
      <c r="AY58" s="596"/>
      <c r="AZ58" s="596"/>
      <c r="BA58" s="596"/>
      <c r="BB58" s="581"/>
      <c r="BC58" s="581"/>
      <c r="BD58" s="581"/>
      <c r="BE58" s="581"/>
    </row>
    <row r="59" spans="2:57" ht="15.95" customHeight="1">
      <c r="B59" s="579" t="s">
        <v>2545</v>
      </c>
      <c r="C59" s="582">
        <f>Model!AH178</f>
        <v>579211</v>
      </c>
      <c r="D59" s="582">
        <f>Model!AI178</f>
        <v>583444</v>
      </c>
      <c r="E59" s="582">
        <f>Model!AJ178</f>
        <v>594939</v>
      </c>
      <c r="F59" s="582">
        <f>Model!AK178</f>
        <v>607813</v>
      </c>
      <c r="G59" s="582">
        <f>Model!AL178</f>
        <v>613269</v>
      </c>
      <c r="H59" s="582">
        <f>Model!AM178</f>
        <v>618295</v>
      </c>
      <c r="I59" s="582">
        <f>Model!AN178</f>
        <v>660781</v>
      </c>
      <c r="J59" s="582">
        <f>Model!AO178</f>
        <v>621272</v>
      </c>
      <c r="K59" s="582">
        <f>Model!AP178</f>
        <v>617668</v>
      </c>
      <c r="L59" s="582">
        <f>Model!AQ178</f>
        <v>632764</v>
      </c>
      <c r="M59" s="582">
        <f>Model!AR178</f>
        <v>653973</v>
      </c>
      <c r="N59" s="582">
        <f>Model!AS178</f>
        <v>673625</v>
      </c>
      <c r="O59" s="582">
        <f>Model!AT178</f>
        <v>691106</v>
      </c>
      <c r="P59" s="582">
        <f>Model!AU178</f>
        <v>707630</v>
      </c>
      <c r="Q59" s="582">
        <f>Model!AV178</f>
        <v>715512</v>
      </c>
      <c r="R59" s="582">
        <f>Model!AW178</f>
        <v>803335</v>
      </c>
      <c r="S59" s="582">
        <f>Model!AX178</f>
        <v>820212</v>
      </c>
      <c r="T59" s="588">
        <f>Model!AY178</f>
        <v>829471</v>
      </c>
      <c r="U59" s="582">
        <f>Model!AZ178</f>
        <v>846758.85651213047</v>
      </c>
      <c r="V59" s="582">
        <f>Model!BA178</f>
        <v>858901.47828137933</v>
      </c>
      <c r="W59" s="582">
        <f>Model!BB178</f>
        <v>871585.31762665056</v>
      </c>
      <c r="X59" s="582">
        <f>Model!BC178</f>
        <v>887840.91310022969</v>
      </c>
      <c r="Y59" s="582">
        <f>Model!BD178</f>
        <v>903762.64838823723</v>
      </c>
      <c r="Z59" s="582">
        <f>Model!BE178</f>
        <v>920177.35549081059</v>
      </c>
      <c r="AA59" s="582">
        <f>Model!BF178</f>
        <v>935623.64240601985</v>
      </c>
      <c r="AB59" s="582">
        <f>Model!BG178</f>
        <v>950732.64244299917</v>
      </c>
      <c r="AC59" s="582">
        <f>Model!BH178</f>
        <v>968851.24981425237</v>
      </c>
      <c r="AD59" s="582">
        <f>Model!BI178</f>
        <v>986184.48366518121</v>
      </c>
      <c r="AE59" s="582">
        <f>Model!BJ178</f>
        <v>1005227.5780730119</v>
      </c>
      <c r="AF59" s="582">
        <f>Model!BK178</f>
        <v>1024049.1739804128</v>
      </c>
      <c r="AG59" s="582">
        <f>Model!BL178</f>
        <v>1043251.2401975717</v>
      </c>
      <c r="AH59" s="582">
        <f>Model!BM178</f>
        <v>1062841.372189064</v>
      </c>
      <c r="AI59" s="582">
        <f>Model!BN178</f>
        <v>1083885.2258747432</v>
      </c>
      <c r="AJ59" s="582">
        <f>Model!BO178</f>
        <v>1105348.6670387827</v>
      </c>
      <c r="AK59" s="582">
        <f>Model!BP178</f>
        <v>1128120.6209036773</v>
      </c>
      <c r="AL59" s="582">
        <f>Model!BQ178</f>
        <v>1151381.9779643191</v>
      </c>
      <c r="AN59" s="582">
        <f>Model!CR178</f>
        <v>583444</v>
      </c>
      <c r="AO59" s="582">
        <f>Model!CS178</f>
        <v>607813</v>
      </c>
      <c r="AP59" s="582">
        <f>Model!CT178</f>
        <v>618295</v>
      </c>
      <c r="AQ59" s="582">
        <f>Model!CU178</f>
        <v>621272</v>
      </c>
      <c r="AR59" s="582">
        <f>Model!CV178</f>
        <v>632764</v>
      </c>
      <c r="AS59" s="582">
        <f>Model!CW178</f>
        <v>673625</v>
      </c>
      <c r="AT59" s="582">
        <f>Model!CX178</f>
        <v>707630</v>
      </c>
      <c r="AU59" s="582">
        <f>Model!CY178</f>
        <v>803335</v>
      </c>
      <c r="AV59" s="588">
        <f>Model!CZ178</f>
        <v>829471</v>
      </c>
      <c r="AW59" s="582">
        <f>Model!DA178</f>
        <v>858901.47828137933</v>
      </c>
      <c r="AX59" s="582">
        <f>Model!DB178</f>
        <v>887840.91310022969</v>
      </c>
      <c r="AY59" s="582">
        <f>Model!DC178</f>
        <v>920177.35549081059</v>
      </c>
      <c r="AZ59" s="582">
        <f>Model!DD178</f>
        <v>950732.64244299917</v>
      </c>
      <c r="BA59" s="582">
        <f>Model!DE178</f>
        <v>986184.48366518121</v>
      </c>
      <c r="BB59" s="582">
        <f>Model!DF178</f>
        <v>1024049.1739804128</v>
      </c>
      <c r="BC59" s="582">
        <f>Model!DG178</f>
        <v>1062841.372189064</v>
      </c>
      <c r="BD59" s="582">
        <f>Model!DH178</f>
        <v>1105348.6670387827</v>
      </c>
      <c r="BE59" s="582">
        <f>Model!DI178</f>
        <v>1151381.9779643191</v>
      </c>
    </row>
    <row r="60" spans="2:57" ht="15.95" customHeight="1" outlineLevel="1">
      <c r="B60" s="608" t="s">
        <v>2554</v>
      </c>
      <c r="C60" s="609"/>
      <c r="D60" s="610">
        <f t="shared" ref="D60:M60" si="42">D59/C59-1</f>
        <v>7.3082175580228004E-3</v>
      </c>
      <c r="E60" s="610">
        <f t="shared" si="42"/>
        <v>1.9701976539308053E-2</v>
      </c>
      <c r="F60" s="610">
        <f t="shared" si="42"/>
        <v>2.1639193261830281E-2</v>
      </c>
      <c r="G60" s="610">
        <f t="shared" si="42"/>
        <v>8.9764450579372657E-3</v>
      </c>
      <c r="H60" s="610">
        <f t="shared" si="42"/>
        <v>8.1954248461930668E-3</v>
      </c>
      <c r="I60" s="610">
        <f t="shared" si="42"/>
        <v>6.8714772074818686E-2</v>
      </c>
      <c r="J60" s="610">
        <f t="shared" si="42"/>
        <v>-5.979136809321095E-2</v>
      </c>
      <c r="K60" s="610">
        <f t="shared" si="42"/>
        <v>-5.8010018156298138E-3</v>
      </c>
      <c r="L60" s="610">
        <f t="shared" si="42"/>
        <v>2.4440314214108527E-2</v>
      </c>
      <c r="M60" s="610">
        <f t="shared" si="42"/>
        <v>3.3518025677819807E-2</v>
      </c>
      <c r="N60" s="610">
        <f>N59/M59-1</f>
        <v>3.0050170266968212E-2</v>
      </c>
      <c r="O60" s="610">
        <f t="shared" ref="O60:AL60" si="43">O59/N59-1</f>
        <v>2.5950640192985652E-2</v>
      </c>
      <c r="P60" s="610">
        <f t="shared" si="43"/>
        <v>2.3909501581522941E-2</v>
      </c>
      <c r="Q60" s="610">
        <f t="shared" si="43"/>
        <v>1.1138589375803809E-2</v>
      </c>
      <c r="R60" s="610">
        <f t="shared" si="43"/>
        <v>0.12274147743154562</v>
      </c>
      <c r="S60" s="610">
        <f t="shared" si="43"/>
        <v>2.1008670106493543E-2</v>
      </c>
      <c r="T60" s="611">
        <f t="shared" si="43"/>
        <v>1.1288544912778642E-2</v>
      </c>
      <c r="U60" s="610">
        <f t="shared" si="43"/>
        <v>2.0842026438694594E-2</v>
      </c>
      <c r="V60" s="610">
        <f t="shared" si="43"/>
        <v>1.434011782205058E-2</v>
      </c>
      <c r="W60" s="610">
        <f t="shared" si="43"/>
        <v>1.4767513697439449E-2</v>
      </c>
      <c r="X60" s="610">
        <f t="shared" si="43"/>
        <v>1.8650607284027565E-2</v>
      </c>
      <c r="Y60" s="610">
        <f t="shared" si="43"/>
        <v>1.7933094829355012E-2</v>
      </c>
      <c r="Z60" s="610">
        <f t="shared" si="43"/>
        <v>1.8162630566606497E-2</v>
      </c>
      <c r="AA60" s="610">
        <f t="shared" si="43"/>
        <v>1.6786206292775496E-2</v>
      </c>
      <c r="AB60" s="610">
        <f t="shared" si="43"/>
        <v>1.6148587265415237E-2</v>
      </c>
      <c r="AC60" s="610">
        <f t="shared" si="43"/>
        <v>1.9057521076267792E-2</v>
      </c>
      <c r="AD60" s="610">
        <f t="shared" si="43"/>
        <v>1.7890500584327951E-2</v>
      </c>
      <c r="AE60" s="610">
        <f t="shared" si="43"/>
        <v>1.9309870235492355E-2</v>
      </c>
      <c r="AF60" s="610">
        <f t="shared" si="43"/>
        <v>1.872371621904878E-2</v>
      </c>
      <c r="AG60" s="610">
        <f t="shared" si="43"/>
        <v>1.8751117334064871E-2</v>
      </c>
      <c r="AH60" s="610">
        <f t="shared" si="43"/>
        <v>1.8777961852968872E-2</v>
      </c>
      <c r="AI60" s="610">
        <f t="shared" si="43"/>
        <v>1.9799618490891513E-2</v>
      </c>
      <c r="AJ60" s="610">
        <f t="shared" si="43"/>
        <v>1.9802319149352376E-2</v>
      </c>
      <c r="AK60" s="610">
        <f t="shared" si="43"/>
        <v>2.0601602502403615E-2</v>
      </c>
      <c r="AL60" s="610">
        <f t="shared" si="43"/>
        <v>2.0619565523062766E-2</v>
      </c>
      <c r="AM60" s="610"/>
      <c r="AN60" s="610" t="e">
        <f t="shared" ref="AN60:BA60" si="44">AN59/AM59-1</f>
        <v>#DIV/0!</v>
      </c>
      <c r="AO60" s="610">
        <f t="shared" si="44"/>
        <v>4.1767504679112388E-2</v>
      </c>
      <c r="AP60" s="610">
        <f t="shared" si="44"/>
        <v>1.7245435684988708E-2</v>
      </c>
      <c r="AQ60" s="610">
        <f t="shared" si="44"/>
        <v>4.8148537510410705E-3</v>
      </c>
      <c r="AR60" s="610">
        <f t="shared" si="44"/>
        <v>1.8497534091348022E-2</v>
      </c>
      <c r="AS60" s="610">
        <f t="shared" si="44"/>
        <v>6.4575418323419065E-2</v>
      </c>
      <c r="AT60" s="610">
        <f t="shared" si="44"/>
        <v>5.0480608647244463E-2</v>
      </c>
      <c r="AU60" s="610">
        <f t="shared" si="44"/>
        <v>0.13524723372383862</v>
      </c>
      <c r="AV60" s="611">
        <f t="shared" si="44"/>
        <v>3.2534372335327078E-2</v>
      </c>
      <c r="AW60" s="610">
        <f t="shared" si="44"/>
        <v>3.5481021375526556E-2</v>
      </c>
      <c r="AX60" s="610">
        <f t="shared" si="44"/>
        <v>3.3693544079999471E-2</v>
      </c>
      <c r="AY60" s="610">
        <f t="shared" si="44"/>
        <v>3.6421437572262905E-2</v>
      </c>
      <c r="AZ60" s="610">
        <f t="shared" si="44"/>
        <v>3.320586707536477E-2</v>
      </c>
      <c r="BA60" s="610">
        <f t="shared" si="44"/>
        <v>3.7288970252546516E-2</v>
      </c>
      <c r="BB60" s="610">
        <f t="shared" ref="BB60" si="45">BB59/BA59-1</f>
        <v>3.8395138985057198E-2</v>
      </c>
      <c r="BC60" s="610">
        <f t="shared" ref="BC60" si="46">BC59/BB59-1</f>
        <v>3.788118695303333E-2</v>
      </c>
      <c r="BD60" s="610">
        <f t="shared" ref="BD60" si="47">BD59/BC59-1</f>
        <v>3.9994016004635924E-2</v>
      </c>
      <c r="BE60" s="610">
        <f t="shared" ref="BE60" si="48">BE59/BD59-1</f>
        <v>4.1645964118144807E-2</v>
      </c>
    </row>
    <row r="61" spans="2:57" ht="15.95" customHeight="1">
      <c r="B61" s="579" t="s">
        <v>1548</v>
      </c>
      <c r="C61" s="582">
        <f>Model!AH204</f>
        <v>528100</v>
      </c>
      <c r="D61" s="582">
        <f>Model!AI204</f>
        <v>521898</v>
      </c>
      <c r="E61" s="582">
        <f>Model!AJ204</f>
        <v>522158</v>
      </c>
      <c r="F61" s="582">
        <f>Model!AK204</f>
        <v>529166</v>
      </c>
      <c r="G61" s="582">
        <f>Model!AL204</f>
        <v>536193</v>
      </c>
      <c r="H61" s="582">
        <f>Model!AM204</f>
        <v>548339</v>
      </c>
      <c r="I61" s="582">
        <f>Model!AN204</f>
        <v>604374</v>
      </c>
      <c r="J61" s="582">
        <f>Model!AO204</f>
        <v>584854</v>
      </c>
      <c r="K61" s="582">
        <f>Model!AP204</f>
        <v>601525</v>
      </c>
      <c r="L61" s="582">
        <f>Model!AQ204</f>
        <v>631290</v>
      </c>
      <c r="M61" s="582">
        <f>Model!AR204</f>
        <v>647999</v>
      </c>
      <c r="N61" s="582">
        <f>Model!AS204</f>
        <v>654479</v>
      </c>
      <c r="O61" s="582">
        <f>Model!AT204</f>
        <v>693172</v>
      </c>
      <c r="P61" s="582">
        <f>Model!AU204</f>
        <v>689038</v>
      </c>
      <c r="Q61" s="582">
        <f>Model!AV204</f>
        <v>680185</v>
      </c>
      <c r="R61" s="582">
        <f>Model!AW204</f>
        <v>757417</v>
      </c>
      <c r="S61" s="582">
        <f>Model!AX204</f>
        <v>796146</v>
      </c>
      <c r="T61" s="588">
        <f>Model!AY204</f>
        <v>793818</v>
      </c>
      <c r="U61" s="582">
        <f>Model!AZ204</f>
        <v>832240.12000000011</v>
      </c>
      <c r="V61" s="582">
        <f>Model!BA204</f>
        <v>867711.62859999994</v>
      </c>
      <c r="W61" s="582">
        <f>Model!BB204</f>
        <v>892905.13930299995</v>
      </c>
      <c r="X61" s="582">
        <f>Model!BC204</f>
        <v>918833.50937321503</v>
      </c>
      <c r="Y61" s="582">
        <f>Model!BD204</f>
        <v>945518.26094281452</v>
      </c>
      <c r="Z61" s="582">
        <f>Model!BE204</f>
        <v>972981.54871671204</v>
      </c>
      <c r="AA61" s="582">
        <f>Model!BF204</f>
        <v>1001246.178622467</v>
      </c>
      <c r="AB61" s="582">
        <f>Model!BG204</f>
        <v>1030335.6270115009</v>
      </c>
      <c r="AC61" s="582">
        <f>Model!BH204</f>
        <v>1059462.6319592183</v>
      </c>
      <c r="AD61" s="582">
        <f>Model!BI204</f>
        <v>1083482.0400629439</v>
      </c>
      <c r="AE61" s="582">
        <f>Model!BJ204</f>
        <v>1112172.8298944326</v>
      </c>
      <c r="AF61" s="582">
        <f>Model!BK204</f>
        <v>1136474.6141584343</v>
      </c>
      <c r="AG61" s="582">
        <f>Model!BL204</f>
        <v>1153944.6784479099</v>
      </c>
      <c r="AH61" s="582">
        <f>Model!BM204</f>
        <v>1171789.313699136</v>
      </c>
      <c r="AI61" s="582">
        <f>Model!BN204</f>
        <v>1195018.240898605</v>
      </c>
      <c r="AJ61" s="582">
        <f>Model!BO204</f>
        <v>1218711.8107757014</v>
      </c>
      <c r="AK61" s="582">
        <f>Model!BP204</f>
        <v>1247042.8975757645</v>
      </c>
      <c r="AL61" s="582">
        <f>Model!BQ204</f>
        <v>1276107.3835180469</v>
      </c>
      <c r="AN61" s="582">
        <f>Model!CR204</f>
        <v>521898</v>
      </c>
      <c r="AO61" s="582">
        <f>Model!CS204</f>
        <v>529166</v>
      </c>
      <c r="AP61" s="582">
        <f>Model!CT204</f>
        <v>548339</v>
      </c>
      <c r="AQ61" s="582">
        <f>Model!CU204</f>
        <v>584854</v>
      </c>
      <c r="AR61" s="582">
        <f>Model!CV204</f>
        <v>631290</v>
      </c>
      <c r="AS61" s="582">
        <f>Model!CW204</f>
        <v>654479</v>
      </c>
      <c r="AT61" s="582">
        <f>Model!CX204</f>
        <v>689038</v>
      </c>
      <c r="AU61" s="582">
        <f>Model!CY204</f>
        <v>757417</v>
      </c>
      <c r="AV61" s="588">
        <f>Model!CZ204</f>
        <v>793818</v>
      </c>
      <c r="AW61" s="582">
        <f>Model!DA204</f>
        <v>867711.62859999994</v>
      </c>
      <c r="AX61" s="582">
        <f>Model!DB204</f>
        <v>918833.50937321503</v>
      </c>
      <c r="AY61" s="582">
        <f>Model!DC204</f>
        <v>972981.54871671204</v>
      </c>
      <c r="AZ61" s="582">
        <f>Model!DD204</f>
        <v>1030335.6270115009</v>
      </c>
      <c r="BA61" s="582">
        <f>Model!DE204</f>
        <v>1083482.0400629439</v>
      </c>
      <c r="BB61" s="582">
        <f>Model!DF204</f>
        <v>1136474.6141584343</v>
      </c>
      <c r="BC61" s="582">
        <f>Model!DG204</f>
        <v>1171789.313699136</v>
      </c>
      <c r="BD61" s="582">
        <f>Model!DH204</f>
        <v>1218711.8107757014</v>
      </c>
      <c r="BE61" s="582">
        <f>Model!DI204</f>
        <v>1276107.3835180469</v>
      </c>
    </row>
    <row r="62" spans="2:57" ht="15.95" customHeight="1">
      <c r="B62" s="579" t="s">
        <v>2546</v>
      </c>
      <c r="C62" s="582">
        <f>Model!AH613</f>
        <v>397040</v>
      </c>
      <c r="D62" s="582">
        <f>Model!AI613</f>
        <v>391113</v>
      </c>
      <c r="E62" s="582">
        <f>Model!AJ613</f>
        <v>395777</v>
      </c>
      <c r="F62" s="582">
        <f>Model!AK613</f>
        <v>390820</v>
      </c>
      <c r="G62" s="582">
        <f>Model!AL613</f>
        <v>396291</v>
      </c>
      <c r="H62" s="582">
        <f>Model!AM613</f>
        <v>416961</v>
      </c>
      <c r="I62" s="582">
        <f>Model!AN613</f>
        <v>449012</v>
      </c>
      <c r="J62" s="582">
        <f>Model!AO613</f>
        <v>429384</v>
      </c>
      <c r="K62" s="582">
        <f>Model!AP613</f>
        <v>408166</v>
      </c>
      <c r="L62" s="582">
        <f>Model!AQ613</f>
        <v>416086</v>
      </c>
      <c r="M62" s="582">
        <f>Model!AR613</f>
        <v>437910</v>
      </c>
      <c r="N62" s="582">
        <f>Model!AS613</f>
        <v>454718</v>
      </c>
      <c r="O62" s="582">
        <f>Model!AT613</f>
        <v>435514</v>
      </c>
      <c r="P62" s="582">
        <f>Model!AU613</f>
        <v>433327</v>
      </c>
      <c r="Q62" s="582">
        <f>Model!AV613</f>
        <v>432779</v>
      </c>
      <c r="R62" s="582">
        <f>Model!AW613</f>
        <v>446582</v>
      </c>
      <c r="S62" s="582">
        <f>Model!AX613</f>
        <v>468999</v>
      </c>
      <c r="T62" s="588">
        <f>Model!AY613</f>
        <v>458547</v>
      </c>
      <c r="U62" s="582">
        <f>Model!AZ613</f>
        <v>473004.07998366241</v>
      </c>
      <c r="V62" s="582">
        <f>Model!BA613</f>
        <v>477683.98771293456</v>
      </c>
      <c r="W62" s="582">
        <f>Model!BB613</f>
        <v>481892.76939075906</v>
      </c>
      <c r="X62" s="582">
        <f>Model!BC613</f>
        <v>486596.49337076169</v>
      </c>
      <c r="Y62" s="582">
        <f>Model!BD613</f>
        <v>491059.65528068034</v>
      </c>
      <c r="Z62" s="582">
        <f>Model!BE613</f>
        <v>496155.39589073515</v>
      </c>
      <c r="AA62" s="582">
        <f>Model!BF613</f>
        <v>500702.7520364857</v>
      </c>
      <c r="AB62" s="582">
        <f>Model!BG613</f>
        <v>505236.32402287924</v>
      </c>
      <c r="AC62" s="582">
        <f>Model!BH613</f>
        <v>512566.19489913905</v>
      </c>
      <c r="AD62" s="582">
        <f>Model!BI613</f>
        <v>519809.02985123609</v>
      </c>
      <c r="AE62" s="582">
        <f>Model!BJ613</f>
        <v>527984.8336512862</v>
      </c>
      <c r="AF62" s="582">
        <f>Model!BK613</f>
        <v>535546.49969854206</v>
      </c>
      <c r="AG62" s="582">
        <f>Model!BL613</f>
        <v>543266.45961689414</v>
      </c>
      <c r="AH62" s="582">
        <f>Model!BM613</f>
        <v>551147.83086879493</v>
      </c>
      <c r="AI62" s="582">
        <f>Model!BN613</f>
        <v>560044.69290617923</v>
      </c>
      <c r="AJ62" s="582">
        <f>Model!BO613</f>
        <v>569122.15363462712</v>
      </c>
      <c r="AK62" s="582">
        <f>Model!BP613</f>
        <v>579092.01915571874</v>
      </c>
      <c r="AL62" s="582">
        <f>Model!BQ613</f>
        <v>589292.21942159254</v>
      </c>
      <c r="AN62" s="582">
        <f>Model!CR613</f>
        <v>336834</v>
      </c>
      <c r="AO62" s="582">
        <f>Model!CS613</f>
        <v>337580</v>
      </c>
      <c r="AP62" s="582">
        <f>Model!CT613</f>
        <v>416961</v>
      </c>
      <c r="AQ62" s="582">
        <f>Model!CU613</f>
        <v>429384</v>
      </c>
      <c r="AR62" s="582">
        <f>Model!CV613</f>
        <v>416086</v>
      </c>
      <c r="AS62" s="582">
        <f>Model!CW613</f>
        <v>454718</v>
      </c>
      <c r="AT62" s="582">
        <f>Model!CX613</f>
        <v>433327</v>
      </c>
      <c r="AU62" s="582">
        <f>Model!CY613</f>
        <v>446582</v>
      </c>
      <c r="AV62" s="588">
        <f>Model!CZ613</f>
        <v>458547</v>
      </c>
      <c r="AW62" s="582">
        <f>Model!DA613</f>
        <v>477683.98771293456</v>
      </c>
      <c r="AX62" s="582">
        <f>Model!DB613</f>
        <v>486596.49337076169</v>
      </c>
      <c r="AY62" s="582">
        <f>Model!DC613</f>
        <v>496155.39589073515</v>
      </c>
      <c r="AZ62" s="582">
        <f>Model!DD613</f>
        <v>505236.32402287924</v>
      </c>
      <c r="BA62" s="582">
        <f>Model!DE613</f>
        <v>519809.02985123609</v>
      </c>
      <c r="BB62" s="582">
        <f>Model!DF613</f>
        <v>535546.49969854206</v>
      </c>
      <c r="BC62" s="582">
        <f>Model!DG613</f>
        <v>551147.83086879493</v>
      </c>
      <c r="BD62" s="582">
        <f>Model!DH613</f>
        <v>569122.15363462712</v>
      </c>
      <c r="BE62" s="582">
        <f>Model!DI613</f>
        <v>589292.21942159254</v>
      </c>
    </row>
    <row r="63" spans="2:57" ht="15.95" customHeight="1">
      <c r="B63" s="579" t="s">
        <v>2547</v>
      </c>
      <c r="C63" s="582">
        <f>Model!AH538</f>
        <v>57791</v>
      </c>
      <c r="D63" s="582">
        <f>Model!AI538</f>
        <v>58959</v>
      </c>
      <c r="E63" s="582">
        <f>Model!AJ538</f>
        <v>59374</v>
      </c>
      <c r="F63" s="582">
        <f>Model!AK538</f>
        <v>59265</v>
      </c>
      <c r="G63" s="582">
        <f>Model!AL538</f>
        <v>59821</v>
      </c>
      <c r="H63" s="582">
        <f>Model!AM538</f>
        <v>60783</v>
      </c>
      <c r="I63" s="582">
        <f>Model!AN538</f>
        <v>61364</v>
      </c>
      <c r="J63" s="582">
        <f>Model!AO538</f>
        <v>61287</v>
      </c>
      <c r="K63" s="582">
        <f>Model!AP538</f>
        <v>62566</v>
      </c>
      <c r="L63" s="582">
        <f>Model!AQ538</f>
        <v>63665</v>
      </c>
      <c r="M63" s="582">
        <f>Model!AR538</f>
        <v>61747</v>
      </c>
      <c r="N63" s="582">
        <f>Model!AS538</f>
        <v>65907</v>
      </c>
      <c r="O63" s="582">
        <f>Model!AT538</f>
        <v>69055</v>
      </c>
      <c r="P63" s="582">
        <f>Model!AU538</f>
        <v>69495</v>
      </c>
      <c r="Q63" s="582">
        <f>Model!AV538</f>
        <v>69538</v>
      </c>
      <c r="R63" s="582">
        <f>Model!AW538</f>
        <v>69086</v>
      </c>
      <c r="S63" s="582">
        <f>Model!AX538</f>
        <v>70803</v>
      </c>
      <c r="T63" s="588">
        <f>Model!AY538</f>
        <v>70389</v>
      </c>
      <c r="U63" s="582">
        <f>Model!AZ538</f>
        <v>72984.260722750987</v>
      </c>
      <c r="V63" s="582">
        <f>Model!BA538</f>
        <v>74824.543680334085</v>
      </c>
      <c r="W63" s="582">
        <f>Model!BB538</f>
        <v>75846.045688262253</v>
      </c>
      <c r="X63" s="582">
        <f>Model!BC538</f>
        <v>75534.704939225208</v>
      </c>
      <c r="Y63" s="582">
        <f>Model!BD538</f>
        <v>75616.658722733497</v>
      </c>
      <c r="Z63" s="582">
        <f>Model!BE538</f>
        <v>75330.044065305992</v>
      </c>
      <c r="AA63" s="582">
        <f>Model!BF538</f>
        <v>75426.962457227739</v>
      </c>
      <c r="AB63" s="582">
        <f>Model!BG538</f>
        <v>75258.117365588187</v>
      </c>
      <c r="AC63" s="582">
        <f>Model!BH538</f>
        <v>76412.472412577947</v>
      </c>
      <c r="AD63" s="582">
        <f>Model!BI538</f>
        <v>77241.743055072002</v>
      </c>
      <c r="AE63" s="582">
        <f>Model!BJ538</f>
        <v>78536.526407397148</v>
      </c>
      <c r="AF63" s="582">
        <f>Model!BK538</f>
        <v>79781.318194242675</v>
      </c>
      <c r="AG63" s="582">
        <f>Model!BL538</f>
        <v>81185.045267570182</v>
      </c>
      <c r="AH63" s="582">
        <f>Model!BM538</f>
        <v>82351.528614379888</v>
      </c>
      <c r="AI63" s="582">
        <f>Model!BN538</f>
        <v>83659.713843619917</v>
      </c>
      <c r="AJ63" s="582">
        <f>Model!BO538</f>
        <v>84771.233479223083</v>
      </c>
      <c r="AK63" s="582">
        <f>Model!BP538</f>
        <v>86039.240898904609</v>
      </c>
      <c r="AL63" s="582">
        <f>Model!BQ538</f>
        <v>87150.59907284021</v>
      </c>
      <c r="AN63" s="582">
        <f>Model!CR538</f>
        <v>58959</v>
      </c>
      <c r="AO63" s="582">
        <f>Model!CS538</f>
        <v>59265</v>
      </c>
      <c r="AP63" s="582">
        <f>Model!CT538</f>
        <v>60783</v>
      </c>
      <c r="AQ63" s="582">
        <f>Model!CU538</f>
        <v>61287</v>
      </c>
      <c r="AR63" s="582">
        <f>Model!CV538</f>
        <v>63665</v>
      </c>
      <c r="AS63" s="582">
        <f>Model!CW538</f>
        <v>65907</v>
      </c>
      <c r="AT63" s="582">
        <f>Model!CX538</f>
        <v>69495</v>
      </c>
      <c r="AU63" s="582">
        <f>Model!CY538</f>
        <v>69086</v>
      </c>
      <c r="AV63" s="588">
        <f>Model!CZ538</f>
        <v>70389</v>
      </c>
      <c r="AW63" s="582">
        <f>Model!DA538</f>
        <v>74824.543680334085</v>
      </c>
      <c r="AX63" s="582">
        <f>Model!DB538</f>
        <v>75534.704939225194</v>
      </c>
      <c r="AY63" s="582">
        <f>Model!DC538</f>
        <v>75330.044065305978</v>
      </c>
      <c r="AZ63" s="582">
        <f>Model!DD538</f>
        <v>75258.117365588187</v>
      </c>
      <c r="BA63" s="582">
        <f>Model!DE538</f>
        <v>77241.743055071987</v>
      </c>
      <c r="BB63" s="582">
        <f>Model!DF538</f>
        <v>79781.318194242645</v>
      </c>
      <c r="BC63" s="582">
        <f>Model!DG538</f>
        <v>82351.528614379844</v>
      </c>
      <c r="BD63" s="582">
        <f>Model!DH538</f>
        <v>84771.233479223039</v>
      </c>
      <c r="BE63" s="582">
        <f>Model!DI538</f>
        <v>87150.599072840167</v>
      </c>
    </row>
    <row r="64" spans="2:57" ht="15.95" customHeight="1">
      <c r="Q64" s="612"/>
      <c r="R64" s="612"/>
      <c r="S64" s="612"/>
      <c r="T64" s="621"/>
      <c r="U64" s="612"/>
      <c r="V64" s="612"/>
      <c r="AV64" s="621"/>
      <c r="AW64" s="612"/>
    </row>
    <row r="65" spans="2:59" ht="15.95" customHeight="1">
      <c r="B65" s="578" t="s">
        <v>724</v>
      </c>
      <c r="Q65" s="612"/>
      <c r="R65" s="612"/>
      <c r="S65" s="612"/>
      <c r="T65" s="621"/>
      <c r="U65" s="612"/>
      <c r="V65" s="612"/>
      <c r="AV65" s="621"/>
      <c r="AW65" s="612"/>
    </row>
    <row r="66" spans="2:59" ht="15.95" customHeight="1">
      <c r="B66" s="579" t="s">
        <v>2552</v>
      </c>
      <c r="C66" s="582">
        <f>Model!AH239</f>
        <v>743906</v>
      </c>
      <c r="D66" s="582">
        <f>Model!AI239</f>
        <v>752073</v>
      </c>
      <c r="E66" s="582">
        <f>Model!AJ239</f>
        <v>765186</v>
      </c>
      <c r="F66" s="582">
        <f>Model!AK239</f>
        <v>784501</v>
      </c>
      <c r="G66" s="582">
        <f>Model!AL239</f>
        <v>811528</v>
      </c>
      <c r="H66" s="582">
        <f>Model!AM239</f>
        <v>814832</v>
      </c>
      <c r="I66" s="582">
        <f>Model!AN239</f>
        <v>856651</v>
      </c>
      <c r="J66" s="582">
        <f>Model!AO239</f>
        <v>869110</v>
      </c>
      <c r="K66" s="582">
        <f>Model!AP239</f>
        <v>857524</v>
      </c>
      <c r="L66" s="582">
        <f>Model!AQ239</f>
        <v>869825</v>
      </c>
      <c r="M66" s="582">
        <f>Model!AR239</f>
        <v>899678</v>
      </c>
      <c r="N66" s="582">
        <f>Model!AS239</f>
        <v>920340</v>
      </c>
      <c r="O66" s="582">
        <f>Model!AT239</f>
        <v>972972</v>
      </c>
      <c r="P66" s="582">
        <f>Model!AU239</f>
        <v>977175</v>
      </c>
      <c r="Q66" s="582">
        <f>Model!AV239</f>
        <v>1015621</v>
      </c>
      <c r="R66" s="582">
        <f>Model!AW239</f>
        <v>1031611</v>
      </c>
      <c r="S66" s="582">
        <f>Model!AX239</f>
        <v>1142128</v>
      </c>
      <c r="T66" s="588">
        <f>Model!AY239</f>
        <v>1177153</v>
      </c>
      <c r="U66" s="582">
        <f>Model!AZ239</f>
        <v>1194061.1921367832</v>
      </c>
      <c r="V66" s="582">
        <f>Model!BA239</f>
        <v>1213579.2865731912</v>
      </c>
      <c r="W66" s="582">
        <f>Model!BB239</f>
        <v>1229722.0398154487</v>
      </c>
      <c r="X66" s="582">
        <f>Model!BC239</f>
        <v>1248895.8192393433</v>
      </c>
      <c r="Y66" s="582">
        <f>Model!BD239</f>
        <v>1270515.3731107337</v>
      </c>
      <c r="Z66" s="582">
        <f>Model!BE239</f>
        <v>1292280.5773370189</v>
      </c>
      <c r="AA66" s="582">
        <f>Model!BF239</f>
        <v>1313727.4241874733</v>
      </c>
      <c r="AB66" s="582">
        <f>Model!BG239</f>
        <v>1334296.3058475591</v>
      </c>
      <c r="AC66" s="582">
        <f>Model!BH239</f>
        <v>1357105.4160026924</v>
      </c>
      <c r="AD66" s="582">
        <f>Model!BI239</f>
        <v>1381842.0915120025</v>
      </c>
      <c r="AE66" s="582">
        <f>Model!BJ239</f>
        <v>1407358.558217081</v>
      </c>
      <c r="AF66" s="582">
        <f>Model!BK239</f>
        <v>1433965.690673504</v>
      </c>
      <c r="AG66" s="582">
        <f>Model!BL239</f>
        <v>1460620.6422439239</v>
      </c>
      <c r="AH66" s="582">
        <f>Model!BM239</f>
        <v>1487814.9556971129</v>
      </c>
      <c r="AI66" s="582">
        <f>Model!BN239</f>
        <v>1516396.7953352381</v>
      </c>
      <c r="AJ66" s="582">
        <f>Model!BO239</f>
        <v>1546389.7007156245</v>
      </c>
      <c r="AK66" s="582">
        <f>Model!BP239</f>
        <v>1577677.289175469</v>
      </c>
      <c r="AL66" s="582">
        <f>Model!BQ239</f>
        <v>1610313.3552057077</v>
      </c>
      <c r="AN66" s="582">
        <f>Model!CR239</f>
        <v>748000</v>
      </c>
      <c r="AO66" s="582">
        <f>Model!CS239</f>
        <v>774884</v>
      </c>
      <c r="AP66" s="582">
        <f>Model!CT239</f>
        <v>813219</v>
      </c>
      <c r="AQ66" s="582">
        <f>Model!CU239</f>
        <v>862882</v>
      </c>
      <c r="AR66" s="582">
        <f>Model!CV239</f>
        <v>863691</v>
      </c>
      <c r="AS66" s="582">
        <f>Model!CW239</f>
        <v>910037</v>
      </c>
      <c r="AT66" s="582">
        <f>Model!CX239</f>
        <v>975079</v>
      </c>
      <c r="AU66" s="582">
        <f>Model!CY239</f>
        <v>1023616</v>
      </c>
      <c r="AV66" s="588">
        <f>Model!CZ239</f>
        <v>1159688</v>
      </c>
      <c r="AW66" s="582">
        <f>Model!DA239</f>
        <v>1203846.9764706534</v>
      </c>
      <c r="AX66" s="582">
        <f>Model!DB239</f>
        <v>1239335.1949786616</v>
      </c>
      <c r="AY66" s="582">
        <f>Model!DC239</f>
        <v>1281397.9752238763</v>
      </c>
      <c r="AZ66" s="582">
        <f>Model!DD239</f>
        <v>1324040.0415677354</v>
      </c>
      <c r="BA66" s="582">
        <f>Model!DE239</f>
        <v>1369507.6396142095</v>
      </c>
      <c r="BB66" s="582">
        <f>Model!DF239</f>
        <v>1420698.5725719451</v>
      </c>
      <c r="BC66" s="582">
        <f>Model!DG239</f>
        <v>1474217.7989705186</v>
      </c>
      <c r="BD66" s="582">
        <f>Model!DH239</f>
        <v>1531434.3341971855</v>
      </c>
      <c r="BE66" s="582">
        <f>Model!DI239</f>
        <v>1594040.0291303557</v>
      </c>
    </row>
    <row r="67" spans="2:59" ht="15.95" customHeight="1" outlineLevel="1">
      <c r="B67" s="608" t="s">
        <v>2554</v>
      </c>
      <c r="C67" s="609"/>
      <c r="D67" s="610">
        <f t="shared" ref="D67:M67" si="49">D66/C66-1</f>
        <v>1.0978537610934813E-2</v>
      </c>
      <c r="E67" s="610">
        <f t="shared" si="49"/>
        <v>1.7435807428268335E-2</v>
      </c>
      <c r="F67" s="610">
        <f t="shared" si="49"/>
        <v>2.5242228686881418E-2</v>
      </c>
      <c r="G67" s="610">
        <f t="shared" si="49"/>
        <v>3.4451198914979164E-2</v>
      </c>
      <c r="H67" s="610">
        <f t="shared" si="49"/>
        <v>4.0713321043759354E-3</v>
      </c>
      <c r="I67" s="610">
        <f t="shared" si="49"/>
        <v>5.1322235749209577E-2</v>
      </c>
      <c r="J67" s="610">
        <f t="shared" si="49"/>
        <v>1.4543845743482553E-2</v>
      </c>
      <c r="K67" s="610">
        <f t="shared" si="49"/>
        <v>-1.3330878715007266E-2</v>
      </c>
      <c r="L67" s="610">
        <f t="shared" si="49"/>
        <v>1.4344788017594867E-2</v>
      </c>
      <c r="M67" s="610">
        <f t="shared" si="49"/>
        <v>3.4320696691863217E-2</v>
      </c>
      <c r="N67" s="610">
        <f>N66/M66-1</f>
        <v>2.2965994500254494E-2</v>
      </c>
      <c r="O67" s="610">
        <f t="shared" ref="O67:AL67" si="50">O66/N66-1</f>
        <v>5.7187561118716923E-2</v>
      </c>
      <c r="P67" s="610">
        <f t="shared" si="50"/>
        <v>4.3197543197543986E-3</v>
      </c>
      <c r="Q67" s="610">
        <f t="shared" si="50"/>
        <v>3.9344027425998407E-2</v>
      </c>
      <c r="R67" s="610">
        <f t="shared" si="50"/>
        <v>1.5744062007382764E-2</v>
      </c>
      <c r="S67" s="610">
        <f t="shared" si="50"/>
        <v>0.10713049783300099</v>
      </c>
      <c r="T67" s="611">
        <f t="shared" si="50"/>
        <v>3.0666440188840571E-2</v>
      </c>
      <c r="U67" s="610">
        <f t="shared" si="50"/>
        <v>1.4363631691702849E-2</v>
      </c>
      <c r="V67" s="610">
        <f t="shared" si="50"/>
        <v>1.6345975034562699E-2</v>
      </c>
      <c r="W67" s="610">
        <f t="shared" si="50"/>
        <v>1.3301770573095562E-2</v>
      </c>
      <c r="X67" s="610">
        <f t="shared" si="50"/>
        <v>1.5591962088255418E-2</v>
      </c>
      <c r="Y67" s="610">
        <f t="shared" si="50"/>
        <v>1.7310934617875473E-2</v>
      </c>
      <c r="Z67" s="610">
        <f t="shared" si="50"/>
        <v>1.7131004226257573E-2</v>
      </c>
      <c r="AA67" s="610">
        <f t="shared" si="50"/>
        <v>1.6596122565464499E-2</v>
      </c>
      <c r="AB67" s="610">
        <f t="shared" si="50"/>
        <v>1.5656886871192155E-2</v>
      </c>
      <c r="AC67" s="610">
        <f t="shared" si="50"/>
        <v>1.7094486475884185E-2</v>
      </c>
      <c r="AD67" s="610">
        <f t="shared" si="50"/>
        <v>1.8227526924305737E-2</v>
      </c>
      <c r="AE67" s="610">
        <f t="shared" si="50"/>
        <v>1.8465544552314528E-2</v>
      </c>
      <c r="AF67" s="610">
        <f t="shared" si="50"/>
        <v>1.8905723989862455E-2</v>
      </c>
      <c r="AG67" s="610">
        <f t="shared" si="50"/>
        <v>1.8588277072306036E-2</v>
      </c>
      <c r="AH67" s="610">
        <f t="shared" si="50"/>
        <v>1.8618327488108655E-2</v>
      </c>
      <c r="AI67" s="610">
        <f t="shared" si="50"/>
        <v>1.9210614551682159E-2</v>
      </c>
      <c r="AJ67" s="610">
        <f t="shared" si="50"/>
        <v>1.9779061438701895E-2</v>
      </c>
      <c r="AK67" s="610">
        <f t="shared" si="50"/>
        <v>2.0232667383496938E-2</v>
      </c>
      <c r="AL67" s="610">
        <f t="shared" si="50"/>
        <v>2.0686148082473377E-2</v>
      </c>
      <c r="AM67" s="610"/>
      <c r="AN67" s="610" t="e">
        <f t="shared" ref="AN67:BA67" si="51">AN66/AM66-1</f>
        <v>#DIV/0!</v>
      </c>
      <c r="AO67" s="610">
        <f t="shared" si="51"/>
        <v>3.5941176470588143E-2</v>
      </c>
      <c r="AP67" s="610">
        <f t="shared" si="51"/>
        <v>4.9471920958491955E-2</v>
      </c>
      <c r="AQ67" s="610">
        <f t="shared" si="51"/>
        <v>6.1069650364784955E-2</v>
      </c>
      <c r="AR67" s="610">
        <f t="shared" si="51"/>
        <v>9.3755577239984511E-4</v>
      </c>
      <c r="AS67" s="610">
        <f t="shared" si="51"/>
        <v>5.3660394747658602E-2</v>
      </c>
      <c r="AT67" s="610">
        <f t="shared" si="51"/>
        <v>7.1471819277677762E-2</v>
      </c>
      <c r="AU67" s="610">
        <f t="shared" si="51"/>
        <v>4.9777505207270423E-2</v>
      </c>
      <c r="AV67" s="611">
        <f t="shared" si="51"/>
        <v>0.1329326622483431</v>
      </c>
      <c r="AW67" s="610">
        <f t="shared" si="51"/>
        <v>3.807832492071439E-2</v>
      </c>
      <c r="AX67" s="610">
        <f t="shared" si="51"/>
        <v>2.9479011204604832E-2</v>
      </c>
      <c r="AY67" s="610">
        <f t="shared" si="51"/>
        <v>3.3939793217878433E-2</v>
      </c>
      <c r="AZ67" s="610">
        <f t="shared" si="51"/>
        <v>3.3277769411496738E-2</v>
      </c>
      <c r="BA67" s="610">
        <f t="shared" si="51"/>
        <v>3.4340047596021384E-2</v>
      </c>
      <c r="BB67" s="610">
        <f t="shared" ref="BB67" si="52">BB66/BA66-1</f>
        <v>3.7379078054764259E-2</v>
      </c>
      <c r="BC67" s="610">
        <f t="shared" ref="BC67" si="53">BC66/BB66-1</f>
        <v>3.7671063680795758E-2</v>
      </c>
      <c r="BD67" s="610">
        <f t="shared" ref="BD67" si="54">BD66/BC66-1</f>
        <v>3.8811453278221553E-2</v>
      </c>
      <c r="BE67" s="610">
        <f t="shared" ref="BE67" si="55">BE66/BD66-1</f>
        <v>4.0880430544865343E-2</v>
      </c>
    </row>
    <row r="68" spans="2:59" ht="15.95" customHeight="1">
      <c r="B68" s="579" t="s">
        <v>2553</v>
      </c>
      <c r="C68" s="582">
        <f>Model!AH237</f>
        <v>555781</v>
      </c>
      <c r="D68" s="582">
        <f>Model!AI237</f>
        <v>558356</v>
      </c>
      <c r="E68" s="582">
        <f>Model!AJ237</f>
        <v>561445</v>
      </c>
      <c r="F68" s="582">
        <f>Model!AK237</f>
        <v>572505</v>
      </c>
      <c r="G68" s="582">
        <f>Model!AL237</f>
        <v>585911</v>
      </c>
      <c r="H68" s="582">
        <f>Model!AM237</f>
        <v>589929</v>
      </c>
      <c r="I68" s="582">
        <f>Model!AN237</f>
        <v>604639</v>
      </c>
      <c r="J68" s="582">
        <f>Model!AO237</f>
        <v>607394</v>
      </c>
      <c r="K68" s="582">
        <f>Model!AP237</f>
        <v>586454</v>
      </c>
      <c r="L68" s="582">
        <f>Model!AQ237</f>
        <v>587317</v>
      </c>
      <c r="M68" s="582">
        <f>Model!AR237</f>
        <v>607087</v>
      </c>
      <c r="N68" s="582">
        <f>Model!AS237</f>
        <v>619490</v>
      </c>
      <c r="O68" s="582">
        <f>Model!AT237</f>
        <v>649253</v>
      </c>
      <c r="P68" s="582">
        <f>Model!AU237</f>
        <v>650169</v>
      </c>
      <c r="Q68" s="582">
        <f>Model!AV237</f>
        <v>663982</v>
      </c>
      <c r="R68" s="582">
        <f>Model!AW237</f>
        <v>699378</v>
      </c>
      <c r="S68" s="582">
        <f>Model!AX237</f>
        <v>762557</v>
      </c>
      <c r="T68" s="588">
        <f>Model!AY237</f>
        <v>777193</v>
      </c>
      <c r="U68" s="582">
        <f>Model!AZ237</f>
        <v>788356.31400536967</v>
      </c>
      <c r="V68" s="582">
        <f>Model!BA237</f>
        <v>801242.7666324412</v>
      </c>
      <c r="W68" s="582">
        <f>Model!BB237</f>
        <v>811900.7140875383</v>
      </c>
      <c r="X68" s="582">
        <f>Model!BC237</f>
        <v>824559.83924101875</v>
      </c>
      <c r="Y68" s="582">
        <f>Model!BD237</f>
        <v>838833.740706646</v>
      </c>
      <c r="Z68" s="582">
        <f>Model!BE237</f>
        <v>853203.80506381905</v>
      </c>
      <c r="AA68" s="582">
        <f>Model!BF237</f>
        <v>867363.67998597876</v>
      </c>
      <c r="AB68" s="582">
        <f>Model!BG237</f>
        <v>880943.89499970013</v>
      </c>
      <c r="AC68" s="582">
        <f>Model!BH237</f>
        <v>896003.17849878513</v>
      </c>
      <c r="AD68" s="582">
        <f>Model!BI237</f>
        <v>912335.1005591352</v>
      </c>
      <c r="AE68" s="582">
        <f>Model!BJ237</f>
        <v>929181.86500515044</v>
      </c>
      <c r="AF68" s="582">
        <f>Model!BK237</f>
        <v>946748.72088132345</v>
      </c>
      <c r="AG68" s="582">
        <f>Model!BL237</f>
        <v>964347.14842291689</v>
      </c>
      <c r="AH68" s="582">
        <f>Model!BM237</f>
        <v>982301.67944447859</v>
      </c>
      <c r="AI68" s="582">
        <f>Model!BN237</f>
        <v>1001172.2983817564</v>
      </c>
      <c r="AJ68" s="582">
        <f>Model!BO237</f>
        <v>1020974.5467821755</v>
      </c>
      <c r="AK68" s="582">
        <f>Model!BP237</f>
        <v>1041631.5851942358</v>
      </c>
      <c r="AL68" s="582">
        <f>Model!BQ237</f>
        <v>1063178.9304129451</v>
      </c>
      <c r="AN68" s="582">
        <f>Model!CR237</f>
        <v>557072</v>
      </c>
      <c r="AO68" s="582">
        <f>Model!CS237</f>
        <v>567013</v>
      </c>
      <c r="AP68" s="582">
        <f>Model!CT237</f>
        <v>587924</v>
      </c>
      <c r="AQ68" s="582">
        <f>Model!CU237</f>
        <v>606017</v>
      </c>
      <c r="AR68" s="582">
        <f>Model!CV237</f>
        <v>586885</v>
      </c>
      <c r="AS68" s="582">
        <f>Model!CW237</f>
        <v>613305.49041095888</v>
      </c>
      <c r="AT68" s="582">
        <f>Model!CX237</f>
        <v>649712.25479452056</v>
      </c>
      <c r="AU68" s="582">
        <f>Model!CY237</f>
        <v>681680</v>
      </c>
      <c r="AV68" s="588">
        <f>Model!CZ237</f>
        <v>769895.04931506852</v>
      </c>
      <c r="AW68" s="582">
        <f>Model!DA237</f>
        <v>794817.19299373694</v>
      </c>
      <c r="AX68" s="582">
        <f>Model!DB237</f>
        <v>818247.61793161207</v>
      </c>
      <c r="AY68" s="582">
        <f>Model!DC237</f>
        <v>846018.77288523247</v>
      </c>
      <c r="AZ68" s="582">
        <f>Model!DD237</f>
        <v>874172.39052710484</v>
      </c>
      <c r="BA68" s="582">
        <f>Model!DE237</f>
        <v>904191.51202493336</v>
      </c>
      <c r="BB68" s="582">
        <f>Model!DF237</f>
        <v>937989.3571293687</v>
      </c>
      <c r="BC68" s="582">
        <f>Model!DG237</f>
        <v>973324.41393369774</v>
      </c>
      <c r="BD68" s="582">
        <f>Model!DH237</f>
        <v>1011100.5489496378</v>
      </c>
      <c r="BE68" s="582">
        <f>Model!DI237</f>
        <v>1052434.774714849</v>
      </c>
    </row>
    <row r="69" spans="2:59" ht="15.95" customHeight="1" outlineLevel="1">
      <c r="B69" s="608" t="s">
        <v>2554</v>
      </c>
      <c r="C69" s="609"/>
      <c r="D69" s="610">
        <f t="shared" ref="D69:M69" si="56">D68/C68-1</f>
        <v>4.6331198799527407E-3</v>
      </c>
      <c r="E69" s="610">
        <f t="shared" si="56"/>
        <v>5.5323127180508802E-3</v>
      </c>
      <c r="F69" s="610">
        <f t="shared" si="56"/>
        <v>1.9699169108283066E-2</v>
      </c>
      <c r="G69" s="610">
        <f t="shared" si="56"/>
        <v>2.3416389376512026E-2</v>
      </c>
      <c r="H69" s="610">
        <f t="shared" si="56"/>
        <v>6.8576968174347552E-3</v>
      </c>
      <c r="I69" s="610">
        <f t="shared" si="56"/>
        <v>2.4935204066930172E-2</v>
      </c>
      <c r="J69" s="610">
        <f t="shared" si="56"/>
        <v>4.5564378083451373E-3</v>
      </c>
      <c r="K69" s="610">
        <f t="shared" si="56"/>
        <v>-3.447515121980127E-2</v>
      </c>
      <c r="L69" s="610">
        <f t="shared" si="56"/>
        <v>1.4715561663829479E-3</v>
      </c>
      <c r="M69" s="610">
        <f t="shared" si="56"/>
        <v>3.3661549044212924E-2</v>
      </c>
      <c r="N69" s="610">
        <f>N68/M68-1</f>
        <v>2.0430350180451917E-2</v>
      </c>
      <c r="O69" s="610">
        <f t="shared" ref="O69:AL69" si="57">O68/N68-1</f>
        <v>4.8044359069557174E-2</v>
      </c>
      <c r="P69" s="610">
        <f t="shared" si="57"/>
        <v>1.4108521639484284E-3</v>
      </c>
      <c r="Q69" s="610">
        <f t="shared" si="57"/>
        <v>2.1245245466947837E-2</v>
      </c>
      <c r="R69" s="610">
        <f t="shared" si="57"/>
        <v>5.3308674030320136E-2</v>
      </c>
      <c r="S69" s="610">
        <f t="shared" si="57"/>
        <v>9.0335984260299762E-2</v>
      </c>
      <c r="T69" s="611">
        <f t="shared" si="57"/>
        <v>1.9193319319080304E-2</v>
      </c>
      <c r="U69" s="610">
        <f t="shared" si="57"/>
        <v>1.4363631691702849E-2</v>
      </c>
      <c r="V69" s="610">
        <f t="shared" si="57"/>
        <v>1.6345975034562477E-2</v>
      </c>
      <c r="W69" s="610">
        <f t="shared" si="57"/>
        <v>1.3301770573095562E-2</v>
      </c>
      <c r="X69" s="610">
        <f t="shared" si="57"/>
        <v>1.5591962088255418E-2</v>
      </c>
      <c r="Y69" s="610">
        <f t="shared" si="57"/>
        <v>1.7310934617875473E-2</v>
      </c>
      <c r="Z69" s="610">
        <f t="shared" si="57"/>
        <v>1.7131004226257573E-2</v>
      </c>
      <c r="AA69" s="610">
        <f t="shared" si="57"/>
        <v>1.6596122565464277E-2</v>
      </c>
      <c r="AB69" s="610">
        <f t="shared" si="57"/>
        <v>1.5656886871192155E-2</v>
      </c>
      <c r="AC69" s="610">
        <f t="shared" si="57"/>
        <v>1.7094486475883963E-2</v>
      </c>
      <c r="AD69" s="610">
        <f t="shared" si="57"/>
        <v>1.8227526924305737E-2</v>
      </c>
      <c r="AE69" s="610">
        <f t="shared" si="57"/>
        <v>1.846554455231475E-2</v>
      </c>
      <c r="AF69" s="610">
        <f t="shared" si="57"/>
        <v>1.8905723989862455E-2</v>
      </c>
      <c r="AG69" s="610">
        <f t="shared" si="57"/>
        <v>1.8588277072306036E-2</v>
      </c>
      <c r="AH69" s="610">
        <f t="shared" si="57"/>
        <v>1.8618327488108877E-2</v>
      </c>
      <c r="AI69" s="610">
        <f t="shared" si="57"/>
        <v>1.9210614551682159E-2</v>
      </c>
      <c r="AJ69" s="610">
        <f t="shared" si="57"/>
        <v>1.9779061438701895E-2</v>
      </c>
      <c r="AK69" s="610">
        <f t="shared" si="57"/>
        <v>2.0232667383496938E-2</v>
      </c>
      <c r="AL69" s="610">
        <f t="shared" si="57"/>
        <v>2.0686148082473155E-2</v>
      </c>
      <c r="AM69" s="610"/>
      <c r="AN69" s="610" t="e">
        <f t="shared" ref="AN69:BA69" si="58">AN68/AM68-1</f>
        <v>#DIV/0!</v>
      </c>
      <c r="AO69" s="610">
        <f t="shared" si="58"/>
        <v>1.7845090042220679E-2</v>
      </c>
      <c r="AP69" s="610">
        <f t="shared" si="58"/>
        <v>3.687922499131413E-2</v>
      </c>
      <c r="AQ69" s="610">
        <f t="shared" si="58"/>
        <v>3.0774385804968052E-2</v>
      </c>
      <c r="AR69" s="610">
        <f t="shared" si="58"/>
        <v>-3.1570071466642036E-2</v>
      </c>
      <c r="AS69" s="610">
        <f t="shared" si="58"/>
        <v>4.5018172914555565E-2</v>
      </c>
      <c r="AT69" s="610">
        <f t="shared" si="58"/>
        <v>5.9361549754212151E-2</v>
      </c>
      <c r="AU69" s="610">
        <f t="shared" si="58"/>
        <v>4.9202927864720136E-2</v>
      </c>
      <c r="AV69" s="611">
        <f t="shared" si="58"/>
        <v>0.12940829907738016</v>
      </c>
      <c r="AW69" s="610">
        <f t="shared" si="58"/>
        <v>3.2370832493130441E-2</v>
      </c>
      <c r="AX69" s="610">
        <f t="shared" si="58"/>
        <v>2.9479011204605055E-2</v>
      </c>
      <c r="AY69" s="610">
        <f t="shared" si="58"/>
        <v>3.3939793217878211E-2</v>
      </c>
      <c r="AZ69" s="610">
        <f t="shared" si="58"/>
        <v>3.327776941149696E-2</v>
      </c>
      <c r="BA69" s="610">
        <f t="shared" si="58"/>
        <v>3.4340047596021384E-2</v>
      </c>
      <c r="BB69" s="610">
        <f t="shared" ref="BB69" si="59">BB68/BA68-1</f>
        <v>3.7379078054764259E-2</v>
      </c>
      <c r="BC69" s="610">
        <f t="shared" ref="BC69" si="60">BC68/BB68-1</f>
        <v>3.7671063680795758E-2</v>
      </c>
      <c r="BD69" s="610">
        <f t="shared" ref="BD69" si="61">BD68/BC68-1</f>
        <v>3.8811453278221553E-2</v>
      </c>
      <c r="BE69" s="610">
        <f t="shared" ref="BE69" si="62">BE68/BD68-1</f>
        <v>4.0880430544865565E-2</v>
      </c>
    </row>
    <row r="70" spans="2:59" ht="15.95" customHeight="1">
      <c r="B70" s="579" t="s">
        <v>927</v>
      </c>
      <c r="C70" s="584">
        <f>Model!AH323</f>
        <v>2.0000865346245005E-2</v>
      </c>
      <c r="D70" s="584">
        <f>Model!AI323</f>
        <v>1.9773687967259951E-2</v>
      </c>
      <c r="E70" s="584">
        <f>Model!AJ323</f>
        <v>1.9263792875698998E-2</v>
      </c>
      <c r="F70" s="584">
        <f>Model!AK323</f>
        <v>1.8213937852235233E-2</v>
      </c>
      <c r="G70" s="584">
        <f>Model!AL323</f>
        <v>1.8037707134694544E-2</v>
      </c>
      <c r="H70" s="584">
        <f>Model!AM323</f>
        <v>1.7232423437769762E-2</v>
      </c>
      <c r="I70" s="584">
        <f>Model!AN323</f>
        <v>1.6861008742183225E-2</v>
      </c>
      <c r="J70" s="584">
        <f>Model!AO323</f>
        <v>1.5710324354799739E-2</v>
      </c>
      <c r="K70" s="584">
        <f>Model!AP323</f>
        <v>1.6338183672275776E-2</v>
      </c>
      <c r="L70" s="584">
        <f>Model!AQ323</f>
        <v>1.6452496019000118E-2</v>
      </c>
      <c r="M70" s="584">
        <f>Model!AR323</f>
        <v>1.5826785793373838E-2</v>
      </c>
      <c r="N70" s="584">
        <f>Model!AS323</f>
        <v>1.6847598850080477E-2</v>
      </c>
      <c r="O70" s="584">
        <f>Model!AT323</f>
        <v>1.7520240352963186E-2</v>
      </c>
      <c r="P70" s="584">
        <f>Model!AU323</f>
        <v>1.6480036617208552E-2</v>
      </c>
      <c r="Q70" s="584">
        <f>Model!AV323</f>
        <v>1.5555015108982585E-2</v>
      </c>
      <c r="R70" s="584">
        <f>Model!AW323</f>
        <v>1.5839303768571678E-2</v>
      </c>
      <c r="S70" s="584">
        <f>Model!AX323</f>
        <v>1.5573325204557439E-2</v>
      </c>
      <c r="T70" s="590">
        <f>Model!AY323</f>
        <v>1.5354854808742975E-2</v>
      </c>
      <c r="U70" s="584">
        <f>Model!AZ323</f>
        <v>1.5571544536685598E-2</v>
      </c>
      <c r="V70" s="584">
        <f>Model!BA323</f>
        <v>1.5652534381261584E-2</v>
      </c>
      <c r="W70" s="584">
        <f>Model!BB323</f>
        <v>1.5536107259616641E-2</v>
      </c>
      <c r="X70" s="584">
        <f>Model!BC323</f>
        <v>1.5428488662613784E-2</v>
      </c>
      <c r="Y70" s="584">
        <f>Model!BD323</f>
        <v>1.5364400587753187E-2</v>
      </c>
      <c r="Z70" s="584">
        <f>Model!BE323</f>
        <v>1.5309726572993133E-2</v>
      </c>
      <c r="AA70" s="584">
        <f>Model!BF323</f>
        <v>1.5270828803668117E-2</v>
      </c>
      <c r="AB70" s="584">
        <f>Model!BG323</f>
        <v>1.5224997640886428E-2</v>
      </c>
      <c r="AC70" s="584">
        <f>Model!BH323</f>
        <v>1.5130764641043843E-2</v>
      </c>
      <c r="AD70" s="584">
        <f>Model!BI323</f>
        <v>1.505183049125179E-2</v>
      </c>
      <c r="AE70" s="584">
        <f>Model!BJ323</f>
        <v>1.495183049125179E-2</v>
      </c>
      <c r="AF70" s="584">
        <f>Model!BK323</f>
        <v>1.4851830491251791E-2</v>
      </c>
      <c r="AG70" s="584">
        <f>Model!BL323</f>
        <v>1.4751830491251791E-2</v>
      </c>
      <c r="AH70" s="584">
        <f>Model!BM323</f>
        <v>1.4651830491251792E-2</v>
      </c>
      <c r="AI70" s="584">
        <f>Model!BN323</f>
        <v>1.4551830491251793E-2</v>
      </c>
      <c r="AJ70" s="584">
        <f>Model!BO323</f>
        <v>1.4451830491251793E-2</v>
      </c>
      <c r="AK70" s="584">
        <f>Model!BP323</f>
        <v>1.4351830491251794E-2</v>
      </c>
      <c r="AL70" s="584">
        <f>Model!BQ323</f>
        <v>1.4251830491251795E-2</v>
      </c>
      <c r="AN70" s="584">
        <f>Model!CR323</f>
        <v>1.9886363636363633E-2</v>
      </c>
      <c r="AO70" s="584">
        <f>Model!CS323</f>
        <v>1.8730545475193702E-2</v>
      </c>
      <c r="AP70" s="584">
        <f>Model!CT323</f>
        <v>1.7632396685271744E-2</v>
      </c>
      <c r="AQ70" s="584">
        <f>Model!CU323</f>
        <v>1.6281484606238163E-2</v>
      </c>
      <c r="AR70" s="584">
        <f>Model!CV323</f>
        <v>1.6395910111370846E-2</v>
      </c>
      <c r="AS70" s="584">
        <f>Model!CW323</f>
        <v>1.6344390392918094E-2</v>
      </c>
      <c r="AT70" s="584">
        <f>Model!CX323</f>
        <v>1.6997597117771997E-2</v>
      </c>
      <c r="AU70" s="584">
        <f>Model!CY323</f>
        <v>1.5698269663623858E-2</v>
      </c>
      <c r="AV70" s="590">
        <f>Model!CZ323</f>
        <v>1.54884207648836E-2</v>
      </c>
      <c r="AW70" s="584">
        <f>Model!DA323</f>
        <v>1.5612862066963083E-2</v>
      </c>
      <c r="AX70" s="584">
        <f>Model!DB323</f>
        <v>1.5482062526312431E-2</v>
      </c>
      <c r="AY70" s="584">
        <f>Model!DC323</f>
        <v>1.5336831657607306E-2</v>
      </c>
      <c r="AZ70" s="584">
        <f>Model!DD323</f>
        <v>1.524799679763973E-2</v>
      </c>
      <c r="BA70" s="584">
        <f>Model!DE323</f>
        <v>1.5091206395024669E-2</v>
      </c>
      <c r="BB70" s="584">
        <f>Model!DF323</f>
        <v>1.4901830491251791E-2</v>
      </c>
      <c r="BC70" s="584">
        <f>Model!DG323</f>
        <v>1.4801830491251791E-2</v>
      </c>
      <c r="BD70" s="584">
        <f>Model!DH323</f>
        <v>1.4701830491251792E-2</v>
      </c>
      <c r="BE70" s="584">
        <f>Model!DI323</f>
        <v>1.4601830491251792E-2</v>
      </c>
    </row>
    <row r="71" spans="2:59" ht="15.95" customHeight="1">
      <c r="B71" s="579" t="s">
        <v>2479</v>
      </c>
      <c r="C71" s="586">
        <f>Model!AH793</f>
        <v>0.44977947072975138</v>
      </c>
      <c r="D71" s="586">
        <f>Model!AI793</f>
        <v>0.45528455284552843</v>
      </c>
      <c r="E71" s="586">
        <f>Model!AJ793</f>
        <v>0.45319148936170212</v>
      </c>
      <c r="F71" s="586">
        <f>Model!AK793</f>
        <v>0.51890070548594291</v>
      </c>
      <c r="G71" s="586">
        <f>Model!AL793</f>
        <v>0.44787605171352352</v>
      </c>
      <c r="H71" s="586">
        <f>Model!AM793</f>
        <v>0.50694818485403426</v>
      </c>
      <c r="I71" s="586">
        <f>Model!AN793</f>
        <v>0.53677584800093248</v>
      </c>
      <c r="J71" s="586">
        <f>Model!AO793</f>
        <v>0.52087648533740327</v>
      </c>
      <c r="K71" s="586">
        <f>Model!AP793</f>
        <v>0.53211444853377654</v>
      </c>
      <c r="L71" s="586">
        <f>Model!AQ793</f>
        <v>0.50631648936170215</v>
      </c>
      <c r="M71" s="586">
        <f>Model!AR793</f>
        <v>0.53542691104157358</v>
      </c>
      <c r="N71" s="586">
        <f>Model!AS793</f>
        <v>0.49880195853734766</v>
      </c>
      <c r="O71" s="586">
        <f>Model!AT793</f>
        <v>0.47409867172675524</v>
      </c>
      <c r="P71" s="586">
        <f>Model!AU793</f>
        <v>0.49609261939218524</v>
      </c>
      <c r="Q71" s="586">
        <f>Model!AV793</f>
        <v>0.50401082439354405</v>
      </c>
      <c r="R71" s="586">
        <f>Model!AW793</f>
        <v>0.52819728541387878</v>
      </c>
      <c r="S71" s="586">
        <f>Model!AX793</f>
        <v>0.52223738062755798</v>
      </c>
      <c r="T71" s="591">
        <f>Model!AY793</f>
        <v>0.65462215700660309</v>
      </c>
      <c r="U71" s="586">
        <f>Model!AZ793</f>
        <v>0.49437372072527541</v>
      </c>
      <c r="V71" s="586">
        <f>Model!BA793</f>
        <v>0.50290309867871474</v>
      </c>
      <c r="W71" s="586">
        <f>Model!BB793</f>
        <v>0.47812818226175269</v>
      </c>
      <c r="X71" s="586">
        <f>Model!BC793</f>
        <v>0.51339384679170552</v>
      </c>
      <c r="Y71" s="586">
        <f>Model!BD793</f>
        <v>0.47045884508626812</v>
      </c>
      <c r="Z71" s="586">
        <f>Model!BE793</f>
        <v>0.5101390852692187</v>
      </c>
      <c r="AA71" s="586">
        <f>Model!BF793</f>
        <v>0.47181828756736094</v>
      </c>
      <c r="AB71" s="586">
        <f>Model!BG793</f>
        <v>0.50572808826162308</v>
      </c>
      <c r="AC71" s="586">
        <f>Model!BH793</f>
        <v>0.46990158529638798</v>
      </c>
      <c r="AD71" s="586">
        <f>Model!BI793</f>
        <v>0.50633305632783321</v>
      </c>
      <c r="AE71" s="586">
        <f>Model!BJ793</f>
        <v>0.4794512742176037</v>
      </c>
      <c r="AF71" s="586">
        <f>Model!BK793</f>
        <v>0.49682719590307844</v>
      </c>
      <c r="AG71" s="586">
        <f>Model!BL793</f>
        <v>0.47490640138969809</v>
      </c>
      <c r="AH71" s="586">
        <f>Model!BM793</f>
        <v>0.49571124071385742</v>
      </c>
      <c r="AI71" s="586">
        <f>Model!BN793</f>
        <v>0.47392905595370927</v>
      </c>
      <c r="AJ71" s="586">
        <f>Model!BO793</f>
        <v>0.49337335189994064</v>
      </c>
      <c r="AK71" s="586">
        <f>Model!BP793</f>
        <v>0.47105516253820739</v>
      </c>
      <c r="AL71" s="586">
        <f>Model!BQ793</f>
        <v>0.49040037222196392</v>
      </c>
      <c r="AN71" s="586">
        <f>Model!CR793</f>
        <v>0.45251312071053695</v>
      </c>
      <c r="AO71" s="586">
        <f>Model!CS793</f>
        <v>0.48541333195642072</v>
      </c>
      <c r="AP71" s="586">
        <f>Model!CT793</f>
        <v>0.47669346786483791</v>
      </c>
      <c r="AQ71" s="586">
        <f>Model!CU793</f>
        <v>0.52856016223524105</v>
      </c>
      <c r="AR71" s="586">
        <f>Model!CV793</f>
        <v>0.51877113543875741</v>
      </c>
      <c r="AS71" s="586">
        <f>Model!CW793</f>
        <v>0.51647166657680488</v>
      </c>
      <c r="AT71" s="586">
        <f>Model!CX793</f>
        <v>0.48500358765845492</v>
      </c>
      <c r="AU71" s="586">
        <f>Model!CY793</f>
        <v>0.51617088759671292</v>
      </c>
      <c r="AV71" s="591">
        <f>Model!CZ793</f>
        <v>0.58815471026074251</v>
      </c>
      <c r="AW71" s="586">
        <f>Model!DA793</f>
        <v>0.49867149484944939</v>
      </c>
      <c r="AX71" s="586">
        <f>Model!DB793</f>
        <v>0.49581431445968566</v>
      </c>
      <c r="AY71" s="586">
        <f>Model!DC793</f>
        <v>0.49035032703057418</v>
      </c>
      <c r="AZ71" s="586">
        <f>Model!DD793</f>
        <v>0.48885245676755962</v>
      </c>
      <c r="BA71" s="586">
        <f>Model!DE793</f>
        <v>0.48820681579451064</v>
      </c>
      <c r="BB71" s="586">
        <f>Model!DF793</f>
        <v>0.48821972020636345</v>
      </c>
      <c r="BC71" s="586">
        <f>Model!DG793</f>
        <v>0.48537106800143415</v>
      </c>
      <c r="BD71" s="586">
        <f>Model!DH793</f>
        <v>0.48374346495700321</v>
      </c>
      <c r="BE71" s="586">
        <f>Model!DI793</f>
        <v>0.48082529849069544</v>
      </c>
    </row>
    <row r="72" spans="2:59" ht="15.95" customHeight="1">
      <c r="B72" s="579" t="s">
        <v>2484</v>
      </c>
      <c r="C72" s="584">
        <f>Model!AH788</f>
        <v>7.3302952911055803E-3</v>
      </c>
      <c r="D72" s="584">
        <f>Model!AI788</f>
        <v>7.4859912515363542E-3</v>
      </c>
      <c r="E72" s="584">
        <f>Model!AJ788</f>
        <v>7.8557148422309705E-3</v>
      </c>
      <c r="F72" s="584">
        <f>Model!AK788</f>
        <v>6.5527503508789418E-3</v>
      </c>
      <c r="G72" s="584">
        <f>Model!AL788</f>
        <v>7.6721503537171181E-3</v>
      </c>
      <c r="H72" s="584">
        <f>Model!AM788</f>
        <v>5.9215505012977232E-3</v>
      </c>
      <c r="I72" s="584">
        <f>Model!AN788</f>
        <v>2.7652393947785315E-3</v>
      </c>
      <c r="J72" s="584">
        <f>Model!AO788</f>
        <v>4.3347499061882483E-3</v>
      </c>
      <c r="K72" s="584">
        <f>Model!AP788</f>
        <v>5.735091903566838E-3</v>
      </c>
      <c r="L72" s="584">
        <f>Model!AQ788</f>
        <v>6.2315698111043826E-3</v>
      </c>
      <c r="M72" s="584">
        <f>Model!AR788</f>
        <v>6.18266268519394E-3</v>
      </c>
      <c r="N72" s="584">
        <f>Model!AS788</f>
        <v>6.3891544754953516E-3</v>
      </c>
      <c r="O72" s="584">
        <f>Model!AT788</f>
        <v>6.9036482991689969E-3</v>
      </c>
      <c r="P72" s="584">
        <f>Model!AU788</f>
        <v>6.409237894207497E-3</v>
      </c>
      <c r="Q72" s="584">
        <f>Model!AV788</f>
        <v>6.1083615076922022E-3</v>
      </c>
      <c r="R72" s="584">
        <f>Model!AW788</f>
        <v>5.3701248092827168E-3</v>
      </c>
      <c r="S72" s="584">
        <f>Model!AX788</f>
        <v>5.4292660871419545E-3</v>
      </c>
      <c r="T72" s="590">
        <f>Model!AY788</f>
        <v>3.280430127255464E-3</v>
      </c>
      <c r="U72" s="584">
        <f>Model!AZ788</f>
        <v>5.6009170277177261E-3</v>
      </c>
      <c r="V72" s="584">
        <f>Model!BA788</f>
        <v>5.43149413865846E-3</v>
      </c>
      <c r="W72" s="584">
        <f>Model!BB788</f>
        <v>5.6368535548495169E-3</v>
      </c>
      <c r="X72" s="584">
        <f>Model!BC788</f>
        <v>5.0462917675629616E-3</v>
      </c>
      <c r="Y72" s="584">
        <f>Model!BD788</f>
        <v>5.5707354403954721E-3</v>
      </c>
      <c r="Z72" s="584">
        <f>Model!BE788</f>
        <v>5.0743732588350264E-3</v>
      </c>
      <c r="AA72" s="584">
        <f>Model!BF788</f>
        <v>5.5590373675015589E-3</v>
      </c>
      <c r="AB72" s="584">
        <f>Model!BG788</f>
        <v>5.1331323711797652E-3</v>
      </c>
      <c r="AC72" s="584">
        <f>Model!BH788</f>
        <v>5.5124967526095654E-3</v>
      </c>
      <c r="AD72" s="584">
        <f>Model!BI788</f>
        <v>5.0382514331178997E-3</v>
      </c>
      <c r="AE72" s="584">
        <f>Model!BJ788</f>
        <v>5.4951359190685469E-3</v>
      </c>
      <c r="AF72" s="584">
        <f>Model!BK788</f>
        <v>5.2525831902533572E-3</v>
      </c>
      <c r="AG72" s="584">
        <f>Model!BL788</f>
        <v>5.4302397234122328E-3</v>
      </c>
      <c r="AH72" s="584">
        <f>Model!BM788</f>
        <v>5.1209658686976797E-3</v>
      </c>
      <c r="AI72" s="584">
        <f>Model!BN788</f>
        <v>5.2688897322595478E-3</v>
      </c>
      <c r="AJ72" s="584">
        <f>Model!BO788</f>
        <v>4.9826160583774032E-3</v>
      </c>
      <c r="AK72" s="584">
        <f>Model!BP788</f>
        <v>5.1487211076430353E-3</v>
      </c>
      <c r="AL72" s="584">
        <f>Model!BQ788</f>
        <v>4.9103910227581817E-3</v>
      </c>
      <c r="AN72" s="584">
        <f>Model!CR788</f>
        <v>7.408463209021156E-3</v>
      </c>
      <c r="AO72" s="584">
        <f>Model!CS788</f>
        <v>7.1933032531206649E-3</v>
      </c>
      <c r="AP72" s="584">
        <f>Model!CT788</f>
        <v>6.7746066382768418E-3</v>
      </c>
      <c r="AQ72" s="584">
        <f>Model!CU788</f>
        <v>3.5723689901641029E-3</v>
      </c>
      <c r="AR72" s="584">
        <f>Model!CV788</f>
        <v>5.9817651708393288E-3</v>
      </c>
      <c r="AS72" s="584">
        <f>Model!CW788</f>
        <v>6.2887982169350628E-3</v>
      </c>
      <c r="AT72" s="584">
        <f>Model!CX788</f>
        <v>6.6554261519731952E-3</v>
      </c>
      <c r="AU72" s="584">
        <f>Model!CY788</f>
        <v>5.7362974993154826E-3</v>
      </c>
      <c r="AV72" s="590">
        <f>Model!CZ788</f>
        <v>4.3393333158370292E-3</v>
      </c>
      <c r="AW72" s="584">
        <f>Model!DA788</f>
        <v>5.5155317814637433E-3</v>
      </c>
      <c r="AX72" s="584">
        <f>Model!DB788</f>
        <v>5.3387058296003745E-3</v>
      </c>
      <c r="AY72" s="584">
        <f>Model!DC788</f>
        <v>5.320446607824496E-3</v>
      </c>
      <c r="AZ72" s="584">
        <f>Model!DD788</f>
        <v>5.344074799909026E-3</v>
      </c>
      <c r="BA72" s="584">
        <f>Model!DE788</f>
        <v>5.2728438816110022E-3</v>
      </c>
      <c r="BB72" s="584">
        <f>Model!DF788</f>
        <v>5.3726673272895915E-3</v>
      </c>
      <c r="BC72" s="584">
        <f>Model!DG788</f>
        <v>5.2741765328946106E-3</v>
      </c>
      <c r="BD72" s="584">
        <f>Model!DH788</f>
        <v>5.1242340452773965E-3</v>
      </c>
      <c r="BE72" s="584">
        <f>Model!DI788</f>
        <v>5.0282917638714885E-3</v>
      </c>
    </row>
    <row r="73" spans="2:59" ht="15.95" customHeight="1">
      <c r="B73" s="579" t="s">
        <v>2489</v>
      </c>
      <c r="C73" s="585">
        <f>Model!AH783</f>
        <v>0.11663894300062522</v>
      </c>
      <c r="D73" s="585">
        <f>Model!AI783</f>
        <v>0.11754281614857846</v>
      </c>
      <c r="E73" s="585">
        <f>Model!AJ783</f>
        <v>0.11638852109543942</v>
      </c>
      <c r="F73" s="585">
        <f>Model!AK783</f>
        <v>9.8743953704978751E-2</v>
      </c>
      <c r="G73" s="585">
        <f>Model!AL783</f>
        <v>0.11547356001134798</v>
      </c>
      <c r="H73" s="585">
        <f>Model!AM783</f>
        <v>8.7621527276536257E-2</v>
      </c>
      <c r="I73" s="585">
        <f>Model!AN783</f>
        <v>4.6778785671720849E-2</v>
      </c>
      <c r="J73" s="585">
        <f>Model!AO783</f>
        <v>7.6713583538475377E-2</v>
      </c>
      <c r="K73" s="585">
        <f>Model!AP783</f>
        <v>9.6890054313829133E-2</v>
      </c>
      <c r="L73" s="585">
        <f>Model!AQ783</f>
        <v>0.10188565290650857</v>
      </c>
      <c r="M73" s="585">
        <f>Model!AR783</f>
        <v>9.9835359893888045E-2</v>
      </c>
      <c r="N73" s="585">
        <f>Model!AS783</f>
        <v>0.10793020091246927</v>
      </c>
      <c r="O73" s="585">
        <f>Model!AT783</f>
        <v>0.11443914758296703</v>
      </c>
      <c r="P73" s="585">
        <f>Model!AU783</f>
        <v>0.10485775496786018</v>
      </c>
      <c r="Q73" s="585">
        <f>Model!AV783</f>
        <v>0.10114183205672143</v>
      </c>
      <c r="R73" s="585">
        <f>Model!AW783</f>
        <v>9.2055732449428093E-2</v>
      </c>
      <c r="S73" s="585">
        <f>Model!AX783</f>
        <v>0.1015288974028164</v>
      </c>
      <c r="T73" s="592">
        <f>Model!AY783</f>
        <v>6.096875458125689E-2</v>
      </c>
      <c r="U73" s="585">
        <f>Model!AZ783</f>
        <v>0.10398513704832402</v>
      </c>
      <c r="V73" s="585">
        <f>Model!BA783</f>
        <v>9.9412472350984993E-2</v>
      </c>
      <c r="W73" s="585">
        <f>Model!BB783</f>
        <v>0.1025578552386321</v>
      </c>
      <c r="X73" s="585">
        <f>Model!BC783</f>
        <v>9.2807189857102568E-2</v>
      </c>
      <c r="Y73" s="585">
        <f>Model!BD783</f>
        <v>0.10438403888958042</v>
      </c>
      <c r="Z73" s="585">
        <f>Model!BE783</f>
        <v>9.6843238500358655E-2</v>
      </c>
      <c r="AA73" s="585">
        <f>Model!BF783</f>
        <v>0.10798938358516735</v>
      </c>
      <c r="AB73" s="585">
        <f>Model!BG783</f>
        <v>0.10132537114892735</v>
      </c>
      <c r="AC73" s="585">
        <f>Model!BH783</f>
        <v>0.10995481775445165</v>
      </c>
      <c r="AD73" s="585">
        <f>Model!BI783</f>
        <v>0.10100607221442673</v>
      </c>
      <c r="AE73" s="585">
        <f>Model!BJ783</f>
        <v>0.11067003075867422</v>
      </c>
      <c r="AF73" s="585">
        <f>Model!BK783</f>
        <v>0.10605607236275126</v>
      </c>
      <c r="AG73" s="585">
        <f>Model!BL783</f>
        <v>0.1098436642612847</v>
      </c>
      <c r="AH73" s="585">
        <f>Model!BM783</f>
        <v>0.1038579185559572</v>
      </c>
      <c r="AI73" s="585">
        <f>Model!BN783</f>
        <v>0.10728726543046262</v>
      </c>
      <c r="AJ73" s="585">
        <f>Model!BO783</f>
        <v>0.10197839884587145</v>
      </c>
      <c r="AK73" s="585">
        <f>Model!BP783</f>
        <v>0.10601242066565508</v>
      </c>
      <c r="AL73" s="585">
        <f>Model!BQ783</f>
        <v>0.1017789038454341</v>
      </c>
      <c r="AN73" s="585">
        <f>Model!CR783</f>
        <v>0.11709070273337747</v>
      </c>
      <c r="AO73" s="585">
        <f>Model!CS783</f>
        <v>0.10682937272532649</v>
      </c>
      <c r="AP73" s="585">
        <f>Model!CT783</f>
        <v>0.10129713565518267</v>
      </c>
      <c r="AQ73" s="585">
        <f>Model!CU783</f>
        <v>6.183514467416433E-2</v>
      </c>
      <c r="AR73" s="585">
        <f>Model!CV783</f>
        <v>9.9413750791957717E-2</v>
      </c>
      <c r="AS73" s="585">
        <f>Model!CW783</f>
        <v>0.1041075751643909</v>
      </c>
      <c r="AT73" s="585">
        <f>Model!CX783</f>
        <v>0.10958519350737664</v>
      </c>
      <c r="AU73" s="585">
        <f>Model!CY783</f>
        <v>9.6557665386410141E-2</v>
      </c>
      <c r="AV73" s="592">
        <f>Model!CZ783</f>
        <v>8.0888416756356316E-2</v>
      </c>
      <c r="AW73" s="585">
        <f>Model!DA783</f>
        <v>0.10166620055431072</v>
      </c>
      <c r="AX73" s="585">
        <f>Model!DB783</f>
        <v>9.7658961224029867E-2</v>
      </c>
      <c r="AY73" s="585">
        <f>Model!DC783</f>
        <v>0.10061619300922893</v>
      </c>
      <c r="AZ73" s="585">
        <f>Model!DD783</f>
        <v>0.10464890680029766</v>
      </c>
      <c r="BA73" s="585">
        <f>Model!DE783</f>
        <v>0.1054428717518985</v>
      </c>
      <c r="BB73" s="585">
        <f>Model!DF783</f>
        <v>0.10834287873832273</v>
      </c>
      <c r="BC73" s="585">
        <f>Model!DG783</f>
        <v>0.10682708649841263</v>
      </c>
      <c r="BD73" s="585">
        <f>Model!DH783</f>
        <v>0.10461050240028646</v>
      </c>
      <c r="BE73" s="585">
        <f>Model!DI783</f>
        <v>0.10387915915518231</v>
      </c>
    </row>
    <row r="74" spans="2:59" ht="15.95" customHeight="1">
      <c r="B74" s="579" t="s">
        <v>2167</v>
      </c>
      <c r="C74" s="594">
        <f>C73/C72</f>
        <v>15.911902367992235</v>
      </c>
      <c r="D74" s="594">
        <f t="shared" ref="D74:BE74" si="63">D73/D72</f>
        <v>15.701703648725889</v>
      </c>
      <c r="E74" s="594">
        <f t="shared" si="63"/>
        <v>14.815777231341794</v>
      </c>
      <c r="F74" s="594">
        <f t="shared" si="63"/>
        <v>15.069085256961438</v>
      </c>
      <c r="G74" s="594">
        <f t="shared" si="63"/>
        <v>15.05100326343339</v>
      </c>
      <c r="H74" s="594">
        <f t="shared" si="63"/>
        <v>14.797058178822214</v>
      </c>
      <c r="I74" s="594">
        <f t="shared" si="63"/>
        <v>16.91672184334238</v>
      </c>
      <c r="J74" s="594">
        <f t="shared" si="63"/>
        <v>17.697349373941915</v>
      </c>
      <c r="K74" s="594">
        <f t="shared" si="63"/>
        <v>16.894246150365976</v>
      </c>
      <c r="L74" s="594">
        <f t="shared" si="63"/>
        <v>16.349917596197482</v>
      </c>
      <c r="M74" s="594">
        <f t="shared" si="63"/>
        <v>16.147631688361528</v>
      </c>
      <c r="N74" s="594">
        <f t="shared" si="63"/>
        <v>16.892720519815171</v>
      </c>
      <c r="O74" s="594">
        <f t="shared" si="63"/>
        <v>16.57661900255583</v>
      </c>
      <c r="P74" s="594">
        <f t="shared" si="63"/>
        <v>16.360409255931646</v>
      </c>
      <c r="Q74" s="594">
        <f t="shared" si="63"/>
        <v>16.557931603975057</v>
      </c>
      <c r="R74" s="594">
        <f t="shared" si="63"/>
        <v>17.142196079000239</v>
      </c>
      <c r="S74" s="594">
        <f t="shared" si="63"/>
        <v>18.700298672644852</v>
      </c>
      <c r="T74" s="595">
        <f t="shared" si="63"/>
        <v>18.585597685711335</v>
      </c>
      <c r="U74" s="594">
        <f t="shared" si="63"/>
        <v>18.565734242040023</v>
      </c>
      <c r="V74" s="594">
        <f t="shared" si="63"/>
        <v>18.302969645759234</v>
      </c>
      <c r="W74" s="594">
        <f t="shared" si="63"/>
        <v>18.194167054490741</v>
      </c>
      <c r="X74" s="594">
        <f t="shared" si="63"/>
        <v>18.391166054578438</v>
      </c>
      <c r="Y74" s="594">
        <f t="shared" si="63"/>
        <v>18.737927874415465</v>
      </c>
      <c r="Z74" s="594">
        <f t="shared" si="63"/>
        <v>19.084768415832286</v>
      </c>
      <c r="AA74" s="594">
        <f t="shared" si="63"/>
        <v>19.425914316834653</v>
      </c>
      <c r="AB74" s="594">
        <f t="shared" si="63"/>
        <v>19.739481435901368</v>
      </c>
      <c r="AC74" s="594">
        <f t="shared" si="63"/>
        <v>19.946463950731591</v>
      </c>
      <c r="AD74" s="594">
        <f t="shared" si="63"/>
        <v>20.047842700045553</v>
      </c>
      <c r="AE74" s="594">
        <f t="shared" si="63"/>
        <v>20.139634831349785</v>
      </c>
      <c r="AF74" s="594">
        <f t="shared" si="63"/>
        <v>20.191221827680501</v>
      </c>
      <c r="AG74" s="594">
        <f t="shared" si="63"/>
        <v>20.228142744361488</v>
      </c>
      <c r="AH74" s="594">
        <f t="shared" si="63"/>
        <v>20.280923798144638</v>
      </c>
      <c r="AI74" s="594">
        <f t="shared" si="63"/>
        <v>20.362404772599557</v>
      </c>
      <c r="AJ74" s="594">
        <f t="shared" si="63"/>
        <v>20.466838634779513</v>
      </c>
      <c r="AK74" s="594">
        <f t="shared" si="63"/>
        <v>20.590049149930575</v>
      </c>
      <c r="AL74" s="594">
        <f t="shared" si="63"/>
        <v>20.727250309337805</v>
      </c>
      <c r="AM74" s="594"/>
      <c r="AN74" s="594">
        <f t="shared" si="63"/>
        <v>15.804992132619107</v>
      </c>
      <c r="AO74" s="594">
        <f t="shared" si="63"/>
        <v>14.851226059318545</v>
      </c>
      <c r="AP74" s="594">
        <f t="shared" si="63"/>
        <v>14.95247489099207</v>
      </c>
      <c r="AQ74" s="594">
        <f t="shared" si="63"/>
        <v>17.309282676122386</v>
      </c>
      <c r="AR74" s="594">
        <f t="shared" si="63"/>
        <v>16.619467323223006</v>
      </c>
      <c r="AS74" s="594">
        <f t="shared" si="63"/>
        <v>16.554446743741959</v>
      </c>
      <c r="AT74" s="594">
        <f t="shared" si="63"/>
        <v>16.465541199775302</v>
      </c>
      <c r="AU74" s="594">
        <f t="shared" si="63"/>
        <v>16.832750637137011</v>
      </c>
      <c r="AV74" s="595">
        <f t="shared" si="63"/>
        <v>18.640747522469006</v>
      </c>
      <c r="AW74" s="594">
        <f t="shared" si="63"/>
        <v>18.432710495112037</v>
      </c>
      <c r="AX74" s="594">
        <f t="shared" si="63"/>
        <v>18.2926282775427</v>
      </c>
      <c r="AY74" s="594">
        <f t="shared" si="63"/>
        <v>18.911230658955976</v>
      </c>
      <c r="AZ74" s="594">
        <f t="shared" si="63"/>
        <v>19.582230922755635</v>
      </c>
      <c r="BA74" s="594">
        <f t="shared" si="63"/>
        <v>19.997343771096581</v>
      </c>
      <c r="BB74" s="594">
        <f t="shared" si="63"/>
        <v>20.165566214757551</v>
      </c>
      <c r="BC74" s="594">
        <f t="shared" si="63"/>
        <v>20.254742296193683</v>
      </c>
      <c r="BD74" s="594">
        <f t="shared" si="63"/>
        <v>20.4148564401928</v>
      </c>
      <c r="BE74" s="594">
        <f t="shared" si="63"/>
        <v>20.658936281613357</v>
      </c>
      <c r="BF74" s="593"/>
      <c r="BG74" s="593"/>
    </row>
    <row r="75" spans="2:59" ht="15.95" customHeight="1">
      <c r="T75" s="587"/>
    </row>
    <row r="76" spans="2:59" ht="15.95" customHeight="1">
      <c r="B76" s="578" t="s">
        <v>1757</v>
      </c>
      <c r="T76" s="587"/>
    </row>
    <row r="77" spans="2:59" ht="15.95" customHeight="1">
      <c r="B77" s="579" t="s">
        <v>546</v>
      </c>
      <c r="C77" s="585">
        <f>Model!AH834</f>
        <v>0.10129206125327422</v>
      </c>
      <c r="D77" s="585">
        <f>Model!AI834</f>
        <v>0.10568812593802814</v>
      </c>
      <c r="E77" s="585">
        <f>Model!AJ834</f>
        <v>0.11043340062712083</v>
      </c>
      <c r="F77" s="585">
        <f>Model!AK834</f>
        <v>0.11440816744281254</v>
      </c>
      <c r="G77" s="585">
        <f>Model!AL834</f>
        <v>0.11488527370038684</v>
      </c>
      <c r="H77" s="585">
        <f>Model!AM834</f>
        <v>0.11357177289962371</v>
      </c>
      <c r="I77" s="585">
        <f>Model!AN834</f>
        <v>0.10698600482837875</v>
      </c>
      <c r="J77" s="585">
        <f>Model!AO834</f>
        <v>0.11250535651072234</v>
      </c>
      <c r="K77" s="585">
        <f>Model!AP834</f>
        <v>0.12442486635339543</v>
      </c>
      <c r="L77" s="585">
        <f>Model!AQ834</f>
        <v>0.12343361708877491</v>
      </c>
      <c r="M77" s="585">
        <f>Model!AR834</f>
        <v>0.11534561896280057</v>
      </c>
      <c r="N77" s="585">
        <f>Model!AS834</f>
        <v>0.12287175788070848</v>
      </c>
      <c r="O77" s="585">
        <f>Model!AT834</f>
        <v>0.13175466230706706</v>
      </c>
      <c r="P77" s="585">
        <f>Model!AU834</f>
        <v>0.13337271852434765</v>
      </c>
      <c r="Q77" s="585">
        <f>Model!AV834</f>
        <v>0.1349695803169747</v>
      </c>
      <c r="R77" s="585">
        <f>Model!AW834</f>
        <v>0.12196864181718027</v>
      </c>
      <c r="S77" s="585">
        <f>Model!AX834</f>
        <v>0.11775931291964375</v>
      </c>
      <c r="T77" s="592">
        <f>Model!AY834</f>
        <v>0.12034535173057506</v>
      </c>
      <c r="U77" s="585">
        <f>Model!AZ834</f>
        <v>0.12222691222660555</v>
      </c>
      <c r="V77" s="585">
        <f>Model!BA834</f>
        <v>0.12491240172017685</v>
      </c>
      <c r="W77" s="585">
        <f>Model!BB834</f>
        <v>0.12596089185690604</v>
      </c>
      <c r="X77" s="585">
        <f>Model!BC834</f>
        <v>0.12409317790658439</v>
      </c>
      <c r="Y77" s="585">
        <f>Model!BD834</f>
        <v>0.12312120437641005</v>
      </c>
      <c r="Z77" s="585">
        <f>Model!BE834</f>
        <v>0.12124542651726326</v>
      </c>
      <c r="AA77" s="585">
        <f>Model!BF834</f>
        <v>0.12030922746360177</v>
      </c>
      <c r="AB77" s="585">
        <f>Model!BG834</f>
        <v>0.11884835474899448</v>
      </c>
      <c r="AC77" s="585">
        <f>Model!BH834</f>
        <v>0.11936219990587769</v>
      </c>
      <c r="AD77" s="585">
        <f>Model!BI834</f>
        <v>0.11923978192458752</v>
      </c>
      <c r="AE77" s="585">
        <f>Model!BJ834</f>
        <v>0.119800858135588</v>
      </c>
      <c r="AF77" s="585">
        <f>Model!BK834</f>
        <v>0.12036923255572936</v>
      </c>
      <c r="AG77" s="585">
        <f>Model!BL834</f>
        <v>0.12120248299569437</v>
      </c>
      <c r="AH77" s="585">
        <f>Model!BM834</f>
        <v>0.12152176365177289</v>
      </c>
      <c r="AI77" s="585">
        <f>Model!BN834</f>
        <v>0.12188686656296453</v>
      </c>
      <c r="AJ77" s="585">
        <f>Model!BO834</f>
        <v>0.12183370505084869</v>
      </c>
      <c r="AK77" s="585">
        <f>Model!BP834</f>
        <v>0.1218842794889623</v>
      </c>
      <c r="AL77" s="585">
        <f>Model!BQ834</f>
        <v>0.12159865768367244</v>
      </c>
      <c r="AN77" s="585">
        <f>Model!CR834</f>
        <v>0.12271920293082052</v>
      </c>
      <c r="AO77" s="585">
        <f>Model!CS834</f>
        <v>0.13245156703596184</v>
      </c>
      <c r="AP77" s="585">
        <f>Model!CT834</f>
        <v>0.11357177289962371</v>
      </c>
      <c r="AQ77" s="585">
        <f>Model!CU834</f>
        <v>0.11250535651072234</v>
      </c>
      <c r="AR77" s="585">
        <f>Model!CV834</f>
        <v>0.12343361708877491</v>
      </c>
      <c r="AS77" s="585">
        <f>Model!CW834</f>
        <v>0.12287175788070848</v>
      </c>
      <c r="AT77" s="585">
        <f>Model!CX834</f>
        <v>0.13337271852434765</v>
      </c>
      <c r="AU77" s="585">
        <f>Model!CY834</f>
        <v>0.12196864181718027</v>
      </c>
      <c r="AV77" s="592">
        <f>Model!CZ834</f>
        <v>0.12034535173057506</v>
      </c>
      <c r="AW77" s="585">
        <f>Model!DA834</f>
        <v>0.12491240172017685</v>
      </c>
      <c r="AX77" s="585">
        <f>Model!DB834</f>
        <v>0.12409317790658436</v>
      </c>
      <c r="AY77" s="585">
        <f>Model!DC834</f>
        <v>0.12124542651726324</v>
      </c>
      <c r="AZ77" s="585">
        <f>Model!DD834</f>
        <v>0.11884835474899448</v>
      </c>
      <c r="BA77" s="585">
        <f>Model!DE834</f>
        <v>0.11923978192458749</v>
      </c>
      <c r="BB77" s="585">
        <f>Model!DF834</f>
        <v>0.1203692325557293</v>
      </c>
      <c r="BC77" s="585">
        <f>Model!DG834</f>
        <v>0.12152176365177281</v>
      </c>
      <c r="BD77" s="585">
        <f>Model!DH834</f>
        <v>0.12183370505084863</v>
      </c>
      <c r="BE77" s="585">
        <f>Model!DI834</f>
        <v>0.12159865768367237</v>
      </c>
    </row>
    <row r="78" spans="2:59" ht="15.95" customHeight="1">
      <c r="B78" s="579" t="s">
        <v>655</v>
      </c>
      <c r="C78" s="585">
        <f>Model!AH837</f>
        <v>0.14542363489824703</v>
      </c>
      <c r="D78" s="585">
        <f>Model!AI837</f>
        <v>0.14827684070843977</v>
      </c>
      <c r="E78" s="585">
        <f>Model!AJ837</f>
        <v>0.14949074857811342</v>
      </c>
      <c r="F78" s="585">
        <f>Model!AK837</f>
        <v>0.15232332019855688</v>
      </c>
      <c r="G78" s="585">
        <f>Model!AL837</f>
        <v>0.15302896104125505</v>
      </c>
      <c r="H78" s="585">
        <f>Model!AM837</f>
        <v>0.15293996320998846</v>
      </c>
      <c r="I78" s="585">
        <f>Model!AN837</f>
        <v>0.1539246167140299</v>
      </c>
      <c r="J78" s="585">
        <f>Model!AO837</f>
        <v>0.16312671175451343</v>
      </c>
      <c r="K78" s="585">
        <f>Model!AP837</f>
        <v>0.18349152060681193</v>
      </c>
      <c r="L78" s="585">
        <f>Model!AQ837</f>
        <v>0.18409175026316674</v>
      </c>
      <c r="M78" s="585">
        <f>Model!AR837</f>
        <v>0.16620081751958166</v>
      </c>
      <c r="N78" s="585">
        <f>Model!AS837</f>
        <v>0.18216784908448752</v>
      </c>
      <c r="O78" s="585">
        <f>Model!AT837</f>
        <v>0.20580968694462176</v>
      </c>
      <c r="P78" s="585">
        <f>Model!AU837</f>
        <v>0.20996845338508793</v>
      </c>
      <c r="Q78" s="585">
        <f>Model!AV837</f>
        <v>0.21935445111708285</v>
      </c>
      <c r="R78" s="585">
        <f>Model!AW837</f>
        <v>0.20570690265169667</v>
      </c>
      <c r="S78" s="585">
        <f>Model!AX837</f>
        <v>0.20363156424640563</v>
      </c>
      <c r="T78" s="592">
        <f>Model!AY837</f>
        <v>0.21012240838997964</v>
      </c>
      <c r="U78" s="585">
        <f>Model!AZ837</f>
        <v>0.20932081984645937</v>
      </c>
      <c r="V78" s="585">
        <f>Model!BA837</f>
        <v>0.21121639881485504</v>
      </c>
      <c r="W78" s="585">
        <f>Model!BB837</f>
        <v>0.21156761964913604</v>
      </c>
      <c r="X78" s="585">
        <f>Model!BC837</f>
        <v>0.20893427756752364</v>
      </c>
      <c r="Y78" s="585">
        <f>Model!BD837</f>
        <v>0.20723989496164777</v>
      </c>
      <c r="Z78" s="585">
        <f>Model!BE837</f>
        <v>0.20455244496698546</v>
      </c>
      <c r="AA78" s="585">
        <f>Model!BF837</f>
        <v>0.20290609540095889</v>
      </c>
      <c r="AB78" s="585">
        <f>Model!BG837</f>
        <v>0.2007499515603676</v>
      </c>
      <c r="AC78" s="585">
        <f>Model!BH837</f>
        <v>0.20016442829229342</v>
      </c>
      <c r="AD78" s="585">
        <f>Model!BI837</f>
        <v>0.19898616960640936</v>
      </c>
      <c r="AE78" s="585">
        <f>Model!BJ837</f>
        <v>0.19838543632811359</v>
      </c>
      <c r="AF78" s="585">
        <f>Model!BK837</f>
        <v>0.1979109820405289</v>
      </c>
      <c r="AG78" s="585">
        <f>Model!BL837</f>
        <v>0.19770947906214298</v>
      </c>
      <c r="AH78" s="585">
        <f>Model!BM837</f>
        <v>0.19700223289935903</v>
      </c>
      <c r="AI78" s="585">
        <f>Model!BN837</f>
        <v>0.19624303082217265</v>
      </c>
      <c r="AJ78" s="585">
        <f>Model!BO837</f>
        <v>0.19507893202970161</v>
      </c>
      <c r="AK78" s="585">
        <f>Model!BP837</f>
        <v>0.19394931661485912</v>
      </c>
      <c r="AL78" s="585">
        <f>Model!BQ837</f>
        <v>0.19249752510169776</v>
      </c>
      <c r="AN78" s="585">
        <f>Model!CR837</f>
        <v>0.17217086161135753</v>
      </c>
      <c r="AO78" s="585">
        <f>Model!CS837</f>
        <v>0.17634634753243675</v>
      </c>
      <c r="AP78" s="585">
        <f>Model!CT837</f>
        <v>0.15293996320998846</v>
      </c>
      <c r="AQ78" s="585">
        <f>Model!CU837</f>
        <v>0.16312671175451343</v>
      </c>
      <c r="AR78" s="585">
        <f>Model!CV837</f>
        <v>0.18409175026316674</v>
      </c>
      <c r="AS78" s="585">
        <f>Model!CW837</f>
        <v>0.18216784908448752</v>
      </c>
      <c r="AT78" s="585">
        <f>Model!CX837</f>
        <v>0.20996845338508793</v>
      </c>
      <c r="AU78" s="585">
        <f>Model!CY837</f>
        <v>0.20570690265169667</v>
      </c>
      <c r="AV78" s="592">
        <f>Model!CZ837</f>
        <v>0.21012240838997964</v>
      </c>
      <c r="AW78" s="585">
        <f>Model!DA837</f>
        <v>0.21121639881485504</v>
      </c>
      <c r="AX78" s="585">
        <f>Model!DB837</f>
        <v>0.20893427756752364</v>
      </c>
      <c r="AY78" s="585">
        <f>Model!DC837</f>
        <v>0.20455244496698546</v>
      </c>
      <c r="AZ78" s="585">
        <f>Model!DD837</f>
        <v>0.2007499515603676</v>
      </c>
      <c r="BA78" s="585">
        <f>Model!DE837</f>
        <v>0.1989861696064093</v>
      </c>
      <c r="BB78" s="585">
        <f>Model!DF837</f>
        <v>0.19791098204052884</v>
      </c>
      <c r="BC78" s="585">
        <f>Model!DG837</f>
        <v>0.19700223289935892</v>
      </c>
      <c r="BD78" s="585">
        <f>Model!DH837</f>
        <v>0.19507893202970156</v>
      </c>
      <c r="BE78" s="585">
        <f>Model!DI837</f>
        <v>0.19249752510169768</v>
      </c>
    </row>
  </sheetData>
  <pageMargins left="0.7" right="0.7" top="0.75" bottom="0.75" header="0.3" footer="0.3"/>
  <customProperties>
    <customPr name="Qube.Worksheet.Visibility"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1DD891-415F-4D2D-94ED-DA41FB0E8302}">
  <ds:schemaRefs>
    <ds:schemaRef ds:uri="http://www.w3.org/2001/XMLSchema"/>
    <ds:schemaRef ds:uri="Exchange-SubmissionSheetWrapper"/>
  </ds:schemaRefs>
</ds:datastoreItem>
</file>

<file path=docMetadata/LabelInfo.xml><?xml version="1.0" encoding="utf-8"?>
<clbl:labelList xmlns:clbl="http://schemas.microsoft.com/office/2020/mipLabelMetadata">
  <clbl:label id="{a64882d5-5c68-43ae-b974-91da18426e9b}" enabled="1" method="Standard" siteId="{38651f6f-836b-4bdf-9615-4e255c290fea}"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8</vt:i4>
      </vt:variant>
    </vt:vector>
  </HeadingPairs>
  <TitlesOfParts>
    <vt:vector size="21" baseType="lpstr">
      <vt:lpstr>_QP_ANZ.AX</vt:lpstr>
      <vt:lpstr>Sheet2</vt:lpstr>
      <vt:lpstr>Sheet1</vt:lpstr>
      <vt:lpstr>MigrationOutput_QP_ANZ.AX</vt:lpstr>
      <vt:lpstr>Cover Page</vt:lpstr>
      <vt:lpstr>QP_ANZ.AX_migrated</vt:lpstr>
      <vt:lpstr>Summary</vt:lpstr>
      <vt:lpstr>Model</vt:lpstr>
      <vt:lpstr>FinSum</vt:lpstr>
      <vt:lpstr>Financial Summary</vt:lpstr>
      <vt:lpstr>RIM</vt:lpstr>
      <vt:lpstr>Old</vt:lpstr>
      <vt:lpstr>Detailed P&amp;L</vt:lpstr>
      <vt:lpstr>MigrationOutput_QP_ANZ.AX!ExchangeSheetLink</vt:lpstr>
      <vt:lpstr>MigrationOutput_QP_ANZ.AX!HiddenSheetLink</vt:lpstr>
      <vt:lpstr>MigrationOutput_QP_ANZ.AX!LastProblemKeyword</vt:lpstr>
      <vt:lpstr>FinSum!Print_Area</vt:lpstr>
      <vt:lpstr>Model!Print_Area</vt:lpstr>
      <vt:lpstr>RIM!Print_Area</vt:lpstr>
      <vt:lpstr>Model!Print_Titles</vt:lpstr>
      <vt:lpstr>Summary!Print_Titles</vt:lpstr>
    </vt:vector>
  </TitlesOfParts>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c:creator>
  <cp:lastModifiedBy>Vaghani, Rushil [GIR]</cp:lastModifiedBy>
  <cp:lastPrinted>2021-07-19T10:59:31Z</cp:lastPrinted>
  <dcterms:created xsi:type="dcterms:W3CDTF">2012-12-15T08:59:51Z</dcterms:created>
  <dcterms:modified xsi:type="dcterms:W3CDTF">2026-02-11T23:56:04Z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{E9ACFA18-5FD9-4264-A152-296B8B0EA5FA}</vt:lpwstr>
  </property>
  <property fmtid="{D5CDD505-2E9C-101B-9397-08002B2CF9AE}" pid="3" name="TitusGUID">
    <vt:lpwstr>2a151620-acc4-439b-b3af-ecb9d49421bf</vt:lpwstr>
  </property>
  <property fmtid="{D5CDD505-2E9C-101B-9397-08002B2CF9AE}" pid="4" name="Classification">
    <vt:lpwstr>I</vt:lpwstr>
  </property>
  <property fmtid="{D5CDD505-2E9C-101B-9397-08002B2CF9AE}" pid="5" name="Project">
    <vt:lpwstr>irroot</vt:lpwstr>
  </property>
</Properties>
</file>